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3.xml" ContentType="application/vnd.openxmlformats-officedocument.drawing+xml"/>
  <Override PartName="/xl/ctrlProps/ctrlProp103.xml" ContentType="application/vnd.ms-excel.controlproperties+xml"/>
  <Override PartName="/xl/drawings/drawing4.xml" ContentType="application/vnd.openxmlformats-officedocument.drawing+xml"/>
  <Override PartName="/xl/ctrlProps/ctrlProp10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60" yWindow="2415" windowWidth="5100" windowHeight="5640" tabRatio="685" firstSheet="5" activeTab="6"/>
  </bookViews>
  <sheets>
    <sheet name="Parameters" sheetId="27" r:id="rId1"/>
    <sheet name="AFS Structure" sheetId="30" r:id="rId2"/>
    <sheet name="Fin Pos" sheetId="1" r:id="rId3"/>
    <sheet name="Fin Perform" sheetId="13" r:id="rId4"/>
    <sheet name="Net Assets" sheetId="16" r:id="rId5"/>
    <sheet name="Cash Flow" sheetId="5" r:id="rId6"/>
    <sheet name="Budget Statement" sheetId="38" r:id="rId7"/>
    <sheet name="Notes I" sheetId="6" r:id="rId8"/>
    <sheet name="PPE Note" sheetId="23" r:id="rId9"/>
    <sheet name="Notes II" sheetId="24" r:id="rId10"/>
    <sheet name="Fin Instruments - Continued" sheetId="42" r:id="rId11"/>
    <sheet name="Notes III" sheetId="29" r:id="rId12"/>
    <sheet name="APPENDIX A" sheetId="8" r:id="rId13"/>
    <sheet name="APPENDIX B" sheetId="17" r:id="rId14"/>
    <sheet name="APPENDIX C" sheetId="18" r:id="rId15"/>
    <sheet name="APPENDIX D" sheetId="19" r:id="rId16"/>
    <sheet name="APPENDIX E(1)" sheetId="20" r:id="rId17"/>
    <sheet name="APPENDIX E(2)" sheetId="21" r:id="rId18"/>
    <sheet name="APPENDIX F" sheetId="14" r:id="rId19"/>
    <sheet name="Internal Param" sheetId="31" state="hidden" r:id="rId20"/>
    <sheet name="Trial Balance - FPos" sheetId="43" r:id="rId21"/>
    <sheet name="Trial Balance - FPer" sheetId="44" r:id="rId22"/>
    <sheet name="2012 - TB" sheetId="45" r:id="rId23"/>
    <sheet name="2011 - TB" sheetId="46" r:id="rId24"/>
    <sheet name="2012 Budget" sheetId="47" r:id="rId25"/>
    <sheet name="2011 Budget" sheetId="48" r:id="rId26"/>
    <sheet name="TB 16 Aug 2012" sheetId="49" r:id="rId27"/>
    <sheet name="Original Budget" sheetId="50" r:id="rId28"/>
    <sheet name="TB 1 Sep 2012" sheetId="51"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_Fill" localSheetId="1" hidden="1">'[1]APPENDIX A'!#REF!</definedName>
    <definedName name="_Fill" localSheetId="10" hidden="1">'APPENDIX A'!#REF!</definedName>
    <definedName name="_Fill" hidden="1">'APPENDIX A'!#REF!</definedName>
    <definedName name="_xlnm._FilterDatabase" localSheetId="12" hidden="1">'APPENDIX A'!$A$1:$P$35</definedName>
    <definedName name="_xlnm._FilterDatabase" localSheetId="15" hidden="1">'APPENDIX D'!#REF!</definedName>
    <definedName name="_xlnm._FilterDatabase" localSheetId="5" hidden="1">'Cash Flow'!$A$1:$O$56</definedName>
    <definedName name="_xlnm._FilterDatabase" localSheetId="10" hidden="1">'Fin Instruments - Continued'!$A$1:$O$216</definedName>
    <definedName name="_xlnm._FilterDatabase" localSheetId="3" hidden="1">'Fin Perform'!$A$1:$R$59</definedName>
    <definedName name="_xlnm._FilterDatabase" localSheetId="2" hidden="1">'Fin Pos'!$A$1:$T$64</definedName>
    <definedName name="_xlnm._FilterDatabase" localSheetId="4" hidden="1">'Net Assets'!$A$1:$Z$44</definedName>
    <definedName name="_xlnm._FilterDatabase" localSheetId="7" hidden="1">'Notes I'!$A$1:$Z$1057</definedName>
    <definedName name="_xlnm._FilterDatabase" localSheetId="9" hidden="1">'Notes II'!$A$1:$Z$4325</definedName>
    <definedName name="_xlnm._FilterDatabase" localSheetId="11" hidden="1">'Notes III'!$A$1:$U$333</definedName>
    <definedName name="_xlnm._FilterDatabase" localSheetId="8" hidden="1">'PPE Note'!$A$1:$Y$171</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Sort" localSheetId="1" hidden="1">#REF!</definedName>
    <definedName name="_Sort" hidden="1">#REF!</definedName>
    <definedName name="A" localSheetId="1">#REF!</definedName>
    <definedName name="A">#REF!</definedName>
    <definedName name="Afs_Type">'Internal Param'!$A$2:$A$3</definedName>
    <definedName name="AppendixA">'APPENDIX A'!$A$1</definedName>
    <definedName name="AppendixB">'APPENDIX B'!$A$1</definedName>
    <definedName name="AppendixC">'APPENDIX C'!$A$1</definedName>
    <definedName name="AppendixD">'APPENDIX D'!$A$1</definedName>
    <definedName name="AppendixE1">'APPENDIX E(1)'!$A$1</definedName>
    <definedName name="AppendixE2">'APPENDIX E(2)'!$A$1</definedName>
    <definedName name="AppendixF">'APPENDIX F'!$A$1</definedName>
    <definedName name="Base" localSheetId="10">Parameters!$C$21</definedName>
    <definedName name="Base">Parameters!$C$21</definedName>
    <definedName name="Current" localSheetId="10">Parameters!$C$17</definedName>
    <definedName name="Current">Parameters!$C$17</definedName>
    <definedName name="Fin_Year">'Internal Param'!$E$2:$E$4</definedName>
    <definedName name="FinPerf_Type">'Internal Param'!$C$2:$C$4</definedName>
    <definedName name="FinPos_Type">'Internal Param'!$B$2:$B$6</definedName>
    <definedName name="Input_Sign">'Internal Param'!$D$2:$D$3</definedName>
    <definedName name="Note1">'Notes I'!$B$7</definedName>
    <definedName name="Note10">'PPE Note'!$B$4</definedName>
    <definedName name="Note11">'Notes II'!$B$157</definedName>
    <definedName name="Note12">'Notes II'!$B$345</definedName>
    <definedName name="NOTE12B">'Notes II'!$B$436</definedName>
    <definedName name="Note13">'Notes II'!$B$599</definedName>
    <definedName name="Note14">'Notes II'!$B$743</definedName>
    <definedName name="Note15">'Notes II'!$B$841</definedName>
    <definedName name="Note16">'Notes II'!$B$877</definedName>
    <definedName name="Note17">'Notes II'!$B$959</definedName>
    <definedName name="Note18">'Notes II'!$B$1081</definedName>
    <definedName name="Note19">'Notes II'!$B$1100</definedName>
    <definedName name="Note2">'Notes I'!$B$14</definedName>
    <definedName name="Note20">'Notes II'!$B$1158</definedName>
    <definedName name="Note21">'Notes II'!$B$1299</definedName>
    <definedName name="Note22">'Notes II'!$B$1327</definedName>
    <definedName name="Note23">'Notes II'!$B$1339</definedName>
    <definedName name="Note24">'Notes II'!$B$1349</definedName>
    <definedName name="Note25">'Notes II'!$B$1416</definedName>
    <definedName name="Note26">'Notes II'!$B$1528</definedName>
    <definedName name="Note27">'Notes II'!$B$1691</definedName>
    <definedName name="Note28">'Notes II'!$B$1880</definedName>
    <definedName name="Note29">'Notes II'!$B$1920</definedName>
    <definedName name="Note3">'Notes I'!$B$52</definedName>
    <definedName name="Note30">'Notes II'!$B$1954</definedName>
    <definedName name="Note31">'Notes II'!$B$2006</definedName>
    <definedName name="Note32">'Notes II'!$B$2053</definedName>
    <definedName name="Note33">'Notes II'!$B$2342</definedName>
    <definedName name="Note34">'Notes II'!$B$2412</definedName>
    <definedName name="Note35">'Notes II'!$B$2435</definedName>
    <definedName name="Note36">'Notes II'!$B$2457</definedName>
    <definedName name="Note37">'Notes II'!$B$2505</definedName>
    <definedName name="Note38">'Notes II'!$B$2539</definedName>
    <definedName name="Note39">'Notes II'!$B$2702</definedName>
    <definedName name="Note4">'Notes I'!$B$93</definedName>
    <definedName name="Note40">'Notes II'!$B$2733</definedName>
    <definedName name="Note41">'Notes II'!$B$2756</definedName>
    <definedName name="Note42">'Notes II'!$B$2815</definedName>
    <definedName name="Note43">'Notes II'!$B$2844</definedName>
    <definedName name="Note44">'Notes II'!$B$2858</definedName>
    <definedName name="Note45">'Notes II'!$B$2887</definedName>
    <definedName name="Note46">'Notes II'!$B$2921</definedName>
    <definedName name="Note47">'Notes II'!$B$2931</definedName>
    <definedName name="Note48">'Notes II'!$B$3032</definedName>
    <definedName name="Note49">'Notes II'!$B$3055</definedName>
    <definedName name="Note5">'Notes I'!$B$423</definedName>
    <definedName name="Note50">'Notes II'!$B$3140</definedName>
    <definedName name="Note51">'Notes II'!$B$3598</definedName>
    <definedName name="Note52">'Notes II'!$B$3890</definedName>
    <definedName name="Note53">'Notes II'!$B$3909</definedName>
    <definedName name="Note54">'Notes II'!$B$3957</definedName>
    <definedName name="Note55">'Notes II'!$B$3965</definedName>
    <definedName name="Note56">'Notes II'!$B$4011</definedName>
    <definedName name="Note57">'Notes II'!$B$4025</definedName>
    <definedName name="Note58">'Notes II'!$B$4099</definedName>
    <definedName name="Note59">'Notes II'!$B$4271</definedName>
    <definedName name="Note6">'Notes I'!$B$879</definedName>
    <definedName name="Note60">#REF!</definedName>
    <definedName name="Note61" localSheetId="10">'Fin Instruments - Continued'!$B$4</definedName>
    <definedName name="Note61">'Notes II'!$B$4328</definedName>
    <definedName name="Note62">'Notes III'!$B$7</definedName>
    <definedName name="Note63">'Notes III'!$B$64</definedName>
    <definedName name="Note64">'Notes III'!$B$154</definedName>
    <definedName name="Note65">'Notes III'!$B$256</definedName>
    <definedName name="Note66" localSheetId="10">'Notes III'!#REF!</definedName>
    <definedName name="Note66">'Notes III'!#REF!</definedName>
    <definedName name="Note67">'Notes III'!$B$286</definedName>
    <definedName name="Note68">'Notes III'!$B$294</definedName>
    <definedName name="Note69">'Notes III'!$B$300</definedName>
    <definedName name="Note7">'Notes I'!$B$891</definedName>
    <definedName name="Note70">'Notes III'!$B$314</definedName>
    <definedName name="Note71">'Notes III'!$B$319</definedName>
    <definedName name="Note8">'Notes I'!$B$1001</definedName>
    <definedName name="Note9">'Notes I'!$B$1050</definedName>
    <definedName name="Output_Col">'Internal Param'!$F$2:$F$15</definedName>
    <definedName name="PF0812_" localSheetId="22">'2012 - TB'!$A$1:$H$736</definedName>
    <definedName name="PF0816_" localSheetId="26">'TB 16 Aug 2012'!$A$1:$I$699</definedName>
    <definedName name="PM2906_" localSheetId="24">'2012 Budget'!$A$1:$H$2152</definedName>
    <definedName name="_xlnm.Print_Area" localSheetId="12">'APPENDIX A'!$A$1:$L$135</definedName>
    <definedName name="_xlnm.Print_Area" localSheetId="13">'APPENDIX B'!$A$1:$AM$315</definedName>
    <definedName name="_xlnm.Print_Area" localSheetId="14">'APPENDIX C'!$A$1:$X$88</definedName>
    <definedName name="_xlnm.Print_Area" localSheetId="15">'APPENDIX D'!$A$1:$L$52</definedName>
    <definedName name="_xlnm.Print_Area" localSheetId="16">'APPENDIX E(1)'!$A$1:$F$94</definedName>
    <definedName name="_xlnm.Print_Area" localSheetId="17">'APPENDIX E(2)'!$A$1:$H$50</definedName>
    <definedName name="_xlnm.Print_Area" localSheetId="18">'APPENDIX F'!$A$1:$T$26</definedName>
    <definedName name="_xlnm.Print_Area" localSheetId="6">'Budget Statement'!$A$1:$K$617</definedName>
    <definedName name="_xlnm.Print_Area" localSheetId="5">'Cash Flow'!$C$1:$M$57</definedName>
    <definedName name="_xlnm.Print_Area" localSheetId="10">'Fin Instruments - Continued'!$A$1:$J$217</definedName>
    <definedName name="_xlnm.Print_Area" localSheetId="3">'Fin Perform'!$A$1:$L$59</definedName>
    <definedName name="_xlnm.Print_Area" localSheetId="2">'Fin Pos'!$B$1:$M$63</definedName>
    <definedName name="_xlnm.Print_Area" localSheetId="4">'Net Assets'!$A$1:$M$45</definedName>
    <definedName name="_xlnm.Print_Area" localSheetId="7">'Notes I'!$A$1:$L$998</definedName>
    <definedName name="_xlnm.Print_Area" localSheetId="9">'Notes II'!$A$1:$L$5058</definedName>
    <definedName name="_xlnm.Print_Area" localSheetId="11">'Notes III'!$A$1:$L$334</definedName>
    <definedName name="_xlnm.Print_Area" localSheetId="8">'PPE Note'!$A$1:$K$171</definedName>
    <definedName name="_xlnm.Print_Titles" localSheetId="12">'APPENDIX A'!$1:$3</definedName>
    <definedName name="_xlnm.Print_Titles" localSheetId="13">'APPENDIX B'!$1:$7</definedName>
    <definedName name="_xlnm.Print_Titles" localSheetId="14">'APPENDIX C'!$1:$7</definedName>
    <definedName name="_xlnm.Print_Titles" localSheetId="15">'APPENDIX D'!$1:$7</definedName>
    <definedName name="_xlnm.Print_Titles" localSheetId="16">'APPENDIX E(1)'!$1:$6</definedName>
    <definedName name="_xlnm.Print_Titles" localSheetId="17">'APPENDIX E(2)'!$1:$7</definedName>
    <definedName name="_xlnm.Print_Titles" localSheetId="18">'APPENDIX F'!$1:$5</definedName>
    <definedName name="_xlnm.Print_Titles" localSheetId="10">'Fin Instruments - Continued'!$1:$3</definedName>
    <definedName name="_xlnm.Print_Titles" localSheetId="7">'Notes I'!$1:$6</definedName>
    <definedName name="_xlnm.Print_Titles" localSheetId="9">'Notes II'!$1:$6</definedName>
    <definedName name="_xlnm.Print_Titles" localSheetId="11">'Notes III'!$1:$6</definedName>
    <definedName name="_xlnm.Print_Titles" localSheetId="8">'PPE Note'!$1:$3</definedName>
    <definedName name="Prior" localSheetId="10">Parameters!$C$19</definedName>
    <definedName name="Prior">Parameters!$C$19</definedName>
    <definedName name="PriorYear" localSheetId="10">Parameters!$C$13</definedName>
    <definedName name="PriorYear">Parameters!$C$13</definedName>
    <definedName name="ProperMuni" localSheetId="10">Parameters!$C$4</definedName>
    <definedName name="ProperMuni">Parameters!$C$4</definedName>
    <definedName name="Report1">#REF!</definedName>
    <definedName name="Report10">#REF!</definedName>
    <definedName name="Report11">#REF!</definedName>
    <definedName name="Report12">#REF!</definedName>
    <definedName name="Report13">#REF!</definedName>
    <definedName name="Report14">#REF!</definedName>
    <definedName name="Report15">#REF!</definedName>
    <definedName name="Report16">#REF!</definedName>
    <definedName name="Report17">#REF!</definedName>
    <definedName name="Report18">#REF!</definedName>
    <definedName name="Report19" localSheetId="10">#REF!</definedName>
    <definedName name="Report19">#REF!</definedName>
    <definedName name="Report2">#REF!</definedName>
    <definedName name="Report20">#REF!</definedName>
    <definedName name="Report3">#REF!</definedName>
    <definedName name="Report4">#REF!</definedName>
    <definedName name="Report5">#REF!</definedName>
    <definedName name="Report6">#REF!</definedName>
    <definedName name="Report7">#REF!</definedName>
    <definedName name="Report8">#REF!</definedName>
    <definedName name="Report9">#REF!</definedName>
    <definedName name="UpperMuni">Parameters!$C$5</definedName>
    <definedName name="YearEnd" localSheetId="10">Parameters!$C$11</definedName>
    <definedName name="YearEnd">Parameters!$C$11</definedName>
  </definedNames>
  <calcPr calcId="145621"/>
</workbook>
</file>

<file path=xl/calcChain.xml><?xml version="1.0" encoding="utf-8"?>
<calcChain xmlns="http://schemas.openxmlformats.org/spreadsheetml/2006/main">
  <c r="M4116" i="24" l="1"/>
  <c r="I4111" i="24"/>
  <c r="I4116" i="24"/>
  <c r="N4116" i="24"/>
  <c r="K3919" i="24"/>
  <c r="I3803" i="24"/>
  <c r="I3230" i="24"/>
  <c r="B44" i="16"/>
  <c r="F125" i="43"/>
  <c r="D628" i="45"/>
  <c r="I628" i="45"/>
  <c r="F126" i="43"/>
  <c r="I1160" i="24"/>
  <c r="F71" i="43"/>
  <c r="I1161" i="24"/>
  <c r="I3225" i="24"/>
  <c r="CH608" i="45"/>
  <c r="D608" i="45"/>
  <c r="D728" i="45"/>
  <c r="CK734" i="45"/>
  <c r="E983" i="44"/>
  <c r="F983" i="44"/>
  <c r="G983" i="44"/>
  <c r="E985" i="44"/>
  <c r="F985" i="44"/>
  <c r="G985" i="44"/>
  <c r="E988" i="44"/>
  <c r="F988" i="44"/>
  <c r="G988" i="44"/>
  <c r="E989" i="44"/>
  <c r="F989" i="44"/>
  <c r="G989" i="44"/>
  <c r="E991" i="44"/>
  <c r="F991" i="44"/>
  <c r="G991" i="44"/>
  <c r="E993" i="44"/>
  <c r="F993" i="44"/>
  <c r="G993" i="44"/>
  <c r="E994" i="44"/>
  <c r="F994" i="44"/>
  <c r="G994" i="44"/>
  <c r="E995" i="44"/>
  <c r="F995" i="44"/>
  <c r="G995" i="44"/>
  <c r="E996" i="44"/>
  <c r="F996" i="44"/>
  <c r="G996" i="44"/>
  <c r="E997" i="44"/>
  <c r="F997" i="44"/>
  <c r="G997" i="44"/>
  <c r="E998" i="44"/>
  <c r="F998" i="44"/>
  <c r="G998" i="44"/>
  <c r="E999" i="44"/>
  <c r="F999" i="44"/>
  <c r="G999" i="44"/>
  <c r="E1002" i="44"/>
  <c r="G1002" i="44"/>
  <c r="E1005" i="44"/>
  <c r="G1005" i="44"/>
  <c r="E1022" i="44"/>
  <c r="F1022" i="44"/>
  <c r="G1022" i="44"/>
  <c r="E1025" i="44"/>
  <c r="G1025" i="44"/>
  <c r="E1026" i="44"/>
  <c r="G1026" i="44"/>
  <c r="E1028" i="44"/>
  <c r="F1028" i="44"/>
  <c r="G1028" i="44"/>
  <c r="E1031" i="44"/>
  <c r="G1031" i="44"/>
  <c r="E1034" i="44"/>
  <c r="G1034" i="44"/>
  <c r="E1039" i="44"/>
  <c r="G1039" i="44"/>
  <c r="E1041" i="44"/>
  <c r="G1041" i="44"/>
  <c r="E1044" i="44"/>
  <c r="G1044" i="44"/>
  <c r="E1047" i="44"/>
  <c r="G1047" i="44"/>
  <c r="E1049" i="44"/>
  <c r="G1049" i="44"/>
  <c r="E1051" i="44"/>
  <c r="G1051" i="44"/>
  <c r="E1053" i="44"/>
  <c r="F1053" i="44"/>
  <c r="G1053" i="44"/>
  <c r="E1054" i="44"/>
  <c r="F1054" i="44"/>
  <c r="G1054" i="44"/>
  <c r="E1056" i="44"/>
  <c r="F1056" i="44"/>
  <c r="G1056" i="44"/>
  <c r="E1059" i="44"/>
  <c r="F1059" i="44"/>
  <c r="G1059" i="44"/>
  <c r="E1060" i="44"/>
  <c r="F1060" i="44"/>
  <c r="G1060" i="44"/>
  <c r="E1061" i="44"/>
  <c r="F1061" i="44"/>
  <c r="G1061" i="44"/>
  <c r="E1062" i="44"/>
  <c r="F1062" i="44"/>
  <c r="G1062" i="44"/>
  <c r="E1063" i="44"/>
  <c r="F1063" i="44"/>
  <c r="G1063" i="44"/>
  <c r="E1067" i="44"/>
  <c r="F1067" i="44"/>
  <c r="G1067" i="44"/>
  <c r="G1068" i="44"/>
  <c r="L20" i="5"/>
  <c r="C126" i="43"/>
  <c r="C125" i="43"/>
  <c r="K1160" i="24"/>
  <c r="C121" i="43"/>
  <c r="K1168" i="24"/>
  <c r="C118" i="43"/>
  <c r="C119" i="43"/>
  <c r="C120" i="43"/>
  <c r="C122" i="43"/>
  <c r="C123" i="43"/>
  <c r="K1169" i="24"/>
  <c r="N3807" i="24"/>
  <c r="I712" i="45"/>
  <c r="M193" i="17"/>
  <c r="E79" i="43"/>
  <c r="E81" i="43"/>
  <c r="E82" i="43"/>
  <c r="F82" i="43"/>
  <c r="E640" i="45"/>
  <c r="I640" i="45"/>
  <c r="F665" i="45"/>
  <c r="CI628" i="45"/>
  <c r="CI734" i="45"/>
  <c r="CJ734" i="45"/>
  <c r="BM734" i="45"/>
  <c r="R61" i="17"/>
  <c r="AN61" i="17"/>
  <c r="N61" i="17"/>
  <c r="R101" i="17"/>
  <c r="M101" i="17"/>
  <c r="N101" i="17"/>
  <c r="U38" i="17"/>
  <c r="N196" i="17"/>
  <c r="AP39" i="17"/>
  <c r="AP40" i="17"/>
  <c r="AP41" i="17"/>
  <c r="AP42" i="17"/>
  <c r="AP43" i="17"/>
  <c r="AP44" i="17"/>
  <c r="AP45" i="17"/>
  <c r="AP46" i="17"/>
  <c r="AP47" i="17"/>
  <c r="AP48" i="17"/>
  <c r="AP49" i="17"/>
  <c r="AP50" i="17"/>
  <c r="AP51" i="17"/>
  <c r="AP52" i="17"/>
  <c r="AP53" i="17"/>
  <c r="AP54" i="17"/>
  <c r="AP55" i="17"/>
  <c r="AP56" i="17"/>
  <c r="AP57" i="17"/>
  <c r="AP58" i="17"/>
  <c r="AP59" i="17"/>
  <c r="AP60" i="17"/>
  <c r="AP62" i="17"/>
  <c r="AP63" i="17"/>
  <c r="AP64" i="17"/>
  <c r="AP65" i="17"/>
  <c r="AP66" i="17"/>
  <c r="AP67" i="17"/>
  <c r="AP68" i="17"/>
  <c r="AP69" i="17"/>
  <c r="AP70" i="17"/>
  <c r="AP71" i="17"/>
  <c r="AP72" i="17"/>
  <c r="AP73" i="17"/>
  <c r="AP74" i="17"/>
  <c r="AP75" i="17"/>
  <c r="AP76" i="17"/>
  <c r="AP77" i="17"/>
  <c r="AP78" i="17"/>
  <c r="AP79" i="17"/>
  <c r="AP80" i="17"/>
  <c r="AP81" i="17"/>
  <c r="AP82" i="17"/>
  <c r="AP84" i="17"/>
  <c r="AP85" i="17"/>
  <c r="AP86" i="17"/>
  <c r="AP87" i="17"/>
  <c r="AP88" i="17"/>
  <c r="AP89" i="17"/>
  <c r="AP90" i="17"/>
  <c r="AP91" i="17"/>
  <c r="AP92" i="17"/>
  <c r="AP93" i="17"/>
  <c r="AP94" i="17"/>
  <c r="AP95" i="17"/>
  <c r="AP96" i="17"/>
  <c r="AP97" i="17"/>
  <c r="AP98" i="17"/>
  <c r="AP99" i="17"/>
  <c r="AP100" i="17"/>
  <c r="AP102" i="17"/>
  <c r="AP103" i="17"/>
  <c r="AP104" i="17"/>
  <c r="AP105" i="17"/>
  <c r="AP106" i="17"/>
  <c r="AP107" i="17"/>
  <c r="AP108" i="17"/>
  <c r="AP109" i="17"/>
  <c r="AP110" i="17"/>
  <c r="AP111" i="17"/>
  <c r="AP112" i="17"/>
  <c r="AP38" i="17"/>
  <c r="AO38" i="17"/>
  <c r="AN39" i="17"/>
  <c r="AN40" i="17"/>
  <c r="AN41" i="17"/>
  <c r="AN42" i="17"/>
  <c r="AN43" i="17"/>
  <c r="AN44" i="17"/>
  <c r="AN45" i="17"/>
  <c r="AN46" i="17"/>
  <c r="AN47" i="17"/>
  <c r="AN48" i="17"/>
  <c r="AN49" i="17"/>
  <c r="AN50" i="17"/>
  <c r="AN51" i="17"/>
  <c r="AN52" i="17"/>
  <c r="AN53" i="17"/>
  <c r="AN54" i="17"/>
  <c r="AN55" i="17"/>
  <c r="AN56" i="17"/>
  <c r="AN57" i="17"/>
  <c r="AN58" i="17"/>
  <c r="AN62" i="17"/>
  <c r="AN63" i="17"/>
  <c r="AN64" i="17"/>
  <c r="AN65" i="17"/>
  <c r="AN66" i="17"/>
  <c r="AN67" i="17"/>
  <c r="AN68" i="17"/>
  <c r="AN69" i="17"/>
  <c r="AN70" i="17"/>
  <c r="AN71" i="17"/>
  <c r="AN72" i="17"/>
  <c r="AN73" i="17"/>
  <c r="AN74" i="17"/>
  <c r="AN75" i="17"/>
  <c r="AN76" i="17"/>
  <c r="AN77" i="17"/>
  <c r="AN78" i="17"/>
  <c r="AN79" i="17"/>
  <c r="AN80" i="17"/>
  <c r="AN83" i="17"/>
  <c r="AN84" i="17"/>
  <c r="AN101" i="17"/>
  <c r="AN102" i="17"/>
  <c r="AN103" i="17"/>
  <c r="AN104" i="17"/>
  <c r="AN105" i="17"/>
  <c r="AN106" i="17"/>
  <c r="AN107" i="17"/>
  <c r="AN108" i="17"/>
  <c r="AN109" i="17"/>
  <c r="AN110" i="17"/>
  <c r="AN111" i="17"/>
  <c r="AN112" i="17"/>
  <c r="AN38" i="17"/>
  <c r="X10" i="18"/>
  <c r="X11" i="18"/>
  <c r="X12" i="18"/>
  <c r="X13" i="18"/>
  <c r="X14" i="18"/>
  <c r="X15" i="18"/>
  <c r="X16"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74" i="18"/>
  <c r="X9" i="18"/>
  <c r="W13" i="18"/>
  <c r="S33" i="18"/>
  <c r="E70" i="18"/>
  <c r="E64" i="18"/>
  <c r="I33" i="18"/>
  <c r="S75" i="18"/>
  <c r="S10" i="18"/>
  <c r="S11" i="18"/>
  <c r="S12" i="18"/>
  <c r="S14" i="18"/>
  <c r="S15" i="18"/>
  <c r="S17" i="18"/>
  <c r="S16" i="18"/>
  <c r="S18" i="18"/>
  <c r="S19" i="18"/>
  <c r="S20" i="18"/>
  <c r="S21" i="18"/>
  <c r="S22" i="18"/>
  <c r="S24" i="18"/>
  <c r="S26" i="18"/>
  <c r="S30" i="18"/>
  <c r="S31" i="18"/>
  <c r="S32" i="18"/>
  <c r="S41" i="18"/>
  <c r="S48" i="18"/>
  <c r="S52" i="18"/>
  <c r="S59" i="18"/>
  <c r="S61" i="18"/>
  <c r="S64" i="18"/>
  <c r="S65" i="18"/>
  <c r="S70" i="18"/>
  <c r="S71" i="18"/>
  <c r="S78" i="18"/>
  <c r="D16" i="18"/>
  <c r="C78" i="18"/>
  <c r="C33" i="18"/>
  <c r="L136" i="23"/>
  <c r="V22" i="18"/>
  <c r="C59" i="18"/>
  <c r="C64" i="18"/>
  <c r="G421" i="38"/>
  <c r="I390" i="6"/>
  <c r="E350" i="6"/>
  <c r="E348" i="6"/>
  <c r="I266" i="6"/>
  <c r="I104" i="6"/>
  <c r="G104" i="6"/>
  <c r="CH734" i="45"/>
  <c r="CA608" i="45"/>
  <c r="E728" i="45"/>
  <c r="CA728" i="45"/>
  <c r="CA734" i="45"/>
  <c r="CB723" i="45"/>
  <c r="D86" i="43"/>
  <c r="I4483" i="24"/>
  <c r="K4483" i="24"/>
  <c r="K4426" i="24"/>
  <c r="J43" i="5"/>
  <c r="J51" i="5"/>
  <c r="I139" i="29"/>
  <c r="I172" i="29"/>
  <c r="F580" i="45"/>
  <c r="F509" i="45"/>
  <c r="E509" i="45"/>
  <c r="F378" i="45"/>
  <c r="E378" i="45"/>
  <c r="E347" i="6"/>
  <c r="E344" i="6"/>
  <c r="C275" i="6"/>
  <c r="C272" i="6"/>
  <c r="C254" i="6"/>
  <c r="G102" i="6"/>
  <c r="G106" i="6"/>
  <c r="G108" i="6"/>
  <c r="E400" i="45"/>
  <c r="F628" i="45"/>
  <c r="CG734" i="45"/>
  <c r="E142" i="45"/>
  <c r="F728" i="45"/>
  <c r="CE608" i="45"/>
  <c r="CE734" i="45"/>
  <c r="CF734" i="45"/>
  <c r="CD628" i="45"/>
  <c r="CD734" i="45"/>
  <c r="F134" i="45"/>
  <c r="CC734" i="45"/>
  <c r="I4126" i="24"/>
  <c r="F577" i="45"/>
  <c r="E712" i="45"/>
  <c r="E580" i="45"/>
  <c r="CB734" i="45"/>
  <c r="F28" i="23"/>
  <c r="F100" i="23"/>
  <c r="F663" i="45"/>
  <c r="F661" i="45"/>
  <c r="D663" i="45"/>
  <c r="D661" i="45"/>
  <c r="BZ734" i="45"/>
  <c r="BY734" i="45"/>
  <c r="BX665" i="45"/>
  <c r="BX734" i="45"/>
  <c r="F585" i="45"/>
  <c r="BW734" i="45"/>
  <c r="K1161" i="24"/>
  <c r="E364" i="6"/>
  <c r="E363" i="6"/>
  <c r="E362" i="6"/>
  <c r="E360" i="6"/>
  <c r="I295" i="6"/>
  <c r="I249" i="6"/>
  <c r="I125" i="6"/>
  <c r="F874" i="44"/>
  <c r="BU608" i="45"/>
  <c r="BU734" i="45"/>
  <c r="BU610" i="45"/>
  <c r="E727" i="45"/>
  <c r="D727" i="45"/>
  <c r="E714" i="45"/>
  <c r="D714" i="45"/>
  <c r="D712" i="45"/>
  <c r="F610" i="45"/>
  <c r="F605" i="45"/>
  <c r="D534" i="45"/>
  <c r="F534" i="45"/>
  <c r="F482" i="45"/>
  <c r="F522" i="45"/>
  <c r="I522" i="45"/>
  <c r="E435" i="45"/>
  <c r="BV734" i="45"/>
  <c r="I2087" i="24"/>
  <c r="M16" i="17"/>
  <c r="B69" i="6"/>
  <c r="F701" i="45"/>
  <c r="E672" i="45"/>
  <c r="BT734" i="45"/>
  <c r="D701" i="45"/>
  <c r="BS734" i="45"/>
  <c r="E87" i="23"/>
  <c r="E138" i="23"/>
  <c r="E277" i="43"/>
  <c r="D277" i="43"/>
  <c r="E618" i="45"/>
  <c r="E617" i="45"/>
  <c r="E615" i="45"/>
  <c r="E614" i="45"/>
  <c r="E613" i="45"/>
  <c r="E612" i="45"/>
  <c r="D618" i="45"/>
  <c r="D617" i="45"/>
  <c r="D616" i="45"/>
  <c r="D615" i="45"/>
  <c r="D614" i="45"/>
  <c r="C277" i="43"/>
  <c r="D613" i="45"/>
  <c r="D612" i="45"/>
  <c r="E636" i="45"/>
  <c r="E627" i="45"/>
  <c r="BP543" i="45"/>
  <c r="F543" i="45"/>
  <c r="D636" i="45"/>
  <c r="BO734" i="45"/>
  <c r="BQ734" i="45"/>
  <c r="BR734" i="45"/>
  <c r="I614" i="45"/>
  <c r="F277" i="43"/>
  <c r="BP734" i="45"/>
  <c r="C257" i="6"/>
  <c r="D320" i="44"/>
  <c r="BN734" i="45"/>
  <c r="F720" i="45"/>
  <c r="F719" i="45"/>
  <c r="F715" i="45"/>
  <c r="E484" i="45"/>
  <c r="E715" i="45"/>
  <c r="F3" i="45"/>
  <c r="F672" i="45"/>
  <c r="BL734" i="45"/>
  <c r="BK734" i="45"/>
  <c r="AF16" i="17"/>
  <c r="F673" i="45"/>
  <c r="E701" i="45"/>
  <c r="BH734" i="45"/>
  <c r="BJ734" i="45"/>
  <c r="BI608" i="45"/>
  <c r="BI734" i="45"/>
  <c r="E106" i="23"/>
  <c r="E93" i="23"/>
  <c r="K169" i="29"/>
  <c r="I169" i="29"/>
  <c r="I4287" i="24"/>
  <c r="I4279" i="24"/>
  <c r="E48" i="44"/>
  <c r="C48" i="44"/>
  <c r="C49" i="44"/>
  <c r="E49" i="45"/>
  <c r="I49" i="45"/>
  <c r="F625" i="45"/>
  <c r="H25" i="8"/>
  <c r="Q25" i="8"/>
  <c r="F25" i="8"/>
  <c r="G25" i="8"/>
  <c r="K809" i="51"/>
  <c r="K973" i="51"/>
  <c r="G3" i="51"/>
  <c r="G4" i="51"/>
  <c r="G5" i="51"/>
  <c r="G6" i="51"/>
  <c r="G7" i="51"/>
  <c r="G8" i="51"/>
  <c r="G9" i="51"/>
  <c r="G10" i="51"/>
  <c r="G11" i="51"/>
  <c r="G12" i="51"/>
  <c r="G13" i="51"/>
  <c r="G14" i="51"/>
  <c r="G15" i="51"/>
  <c r="G16" i="51"/>
  <c r="G17" i="51"/>
  <c r="G18" i="51"/>
  <c r="G19" i="51"/>
  <c r="G20" i="51"/>
  <c r="G21" i="51"/>
  <c r="G22" i="51"/>
  <c r="G23" i="51"/>
  <c r="G24" i="51"/>
  <c r="G25" i="51"/>
  <c r="G26" i="51"/>
  <c r="G27" i="51"/>
  <c r="G28" i="51"/>
  <c r="G29" i="51"/>
  <c r="G30" i="51"/>
  <c r="G31" i="51"/>
  <c r="G32" i="51"/>
  <c r="G33" i="51"/>
  <c r="G34" i="51"/>
  <c r="G35" i="51"/>
  <c r="G36" i="51"/>
  <c r="G37" i="51"/>
  <c r="G38" i="51"/>
  <c r="G39" i="51"/>
  <c r="G40" i="51"/>
  <c r="G41" i="51"/>
  <c r="G42" i="51"/>
  <c r="G43" i="51"/>
  <c r="G44" i="51"/>
  <c r="G45" i="51"/>
  <c r="G46" i="51"/>
  <c r="G47" i="51"/>
  <c r="G48" i="51"/>
  <c r="G49" i="51"/>
  <c r="G50" i="51"/>
  <c r="G51" i="51"/>
  <c r="G52" i="51"/>
  <c r="G53" i="51"/>
  <c r="G54" i="51"/>
  <c r="G55" i="51"/>
  <c r="G56" i="51"/>
  <c r="G57" i="51"/>
  <c r="G58" i="51"/>
  <c r="G59" i="51"/>
  <c r="G60" i="51"/>
  <c r="G61" i="51"/>
  <c r="G62" i="51"/>
  <c r="G63" i="51"/>
  <c r="G64" i="51"/>
  <c r="G65" i="51"/>
  <c r="G66" i="51"/>
  <c r="G67" i="51"/>
  <c r="G68" i="51"/>
  <c r="G69" i="51"/>
  <c r="G70" i="51"/>
  <c r="G71" i="51"/>
  <c r="G72" i="51"/>
  <c r="G73" i="51"/>
  <c r="G74" i="51"/>
  <c r="G75" i="51"/>
  <c r="G76" i="51"/>
  <c r="G77" i="51"/>
  <c r="G78" i="51"/>
  <c r="G79" i="51"/>
  <c r="G80" i="51"/>
  <c r="G81" i="51"/>
  <c r="G82" i="51"/>
  <c r="G83" i="51"/>
  <c r="G84" i="51"/>
  <c r="G85" i="51"/>
  <c r="G86" i="51"/>
  <c r="G87" i="51"/>
  <c r="G88" i="51"/>
  <c r="G89" i="51"/>
  <c r="G90" i="51"/>
  <c r="G91" i="51"/>
  <c r="G92" i="51"/>
  <c r="G93" i="51"/>
  <c r="G94" i="51"/>
  <c r="G95" i="51"/>
  <c r="G96" i="51"/>
  <c r="G97" i="51"/>
  <c r="G98" i="51"/>
  <c r="G99" i="51"/>
  <c r="G100" i="51"/>
  <c r="G101" i="51"/>
  <c r="G102" i="51"/>
  <c r="G103" i="51"/>
  <c r="G104" i="51"/>
  <c r="G105" i="51"/>
  <c r="G106" i="51"/>
  <c r="G107" i="51"/>
  <c r="G108" i="51"/>
  <c r="G109" i="51"/>
  <c r="G110" i="51"/>
  <c r="G111" i="51"/>
  <c r="G112" i="51"/>
  <c r="G113" i="51"/>
  <c r="G114" i="51"/>
  <c r="G115" i="51"/>
  <c r="G116" i="51"/>
  <c r="G117" i="51"/>
  <c r="G118" i="51"/>
  <c r="K118" i="51"/>
  <c r="G119" i="51"/>
  <c r="G120" i="51"/>
  <c r="G121" i="51"/>
  <c r="G122" i="51"/>
  <c r="G123" i="51"/>
  <c r="G124" i="51"/>
  <c r="G125" i="51"/>
  <c r="G126" i="51"/>
  <c r="G127" i="51"/>
  <c r="G128" i="51"/>
  <c r="G129" i="51"/>
  <c r="G130" i="51"/>
  <c r="G131" i="51"/>
  <c r="G132" i="51"/>
  <c r="G133" i="51"/>
  <c r="G134" i="51"/>
  <c r="G135" i="51"/>
  <c r="G136" i="51"/>
  <c r="G137" i="51"/>
  <c r="G138" i="51"/>
  <c r="G139" i="51"/>
  <c r="G140" i="51"/>
  <c r="G141" i="51"/>
  <c r="G142" i="51"/>
  <c r="G143" i="51"/>
  <c r="G144" i="51"/>
  <c r="G145" i="51"/>
  <c r="G146" i="51"/>
  <c r="G147" i="51"/>
  <c r="G148" i="51"/>
  <c r="G149" i="51"/>
  <c r="G150" i="51"/>
  <c r="G151" i="51"/>
  <c r="G152" i="51"/>
  <c r="G153" i="51"/>
  <c r="G154" i="51"/>
  <c r="G155" i="51"/>
  <c r="G156" i="51"/>
  <c r="G157" i="51"/>
  <c r="G158" i="51"/>
  <c r="G159" i="51"/>
  <c r="G160" i="51"/>
  <c r="G161" i="51"/>
  <c r="G162" i="51"/>
  <c r="G163" i="51"/>
  <c r="G164" i="51"/>
  <c r="G165" i="51"/>
  <c r="G166" i="51"/>
  <c r="G167" i="51"/>
  <c r="G168" i="51"/>
  <c r="G169" i="51"/>
  <c r="G170" i="51"/>
  <c r="G171" i="51"/>
  <c r="G172" i="51"/>
  <c r="G173" i="51"/>
  <c r="G174" i="51"/>
  <c r="G175" i="51"/>
  <c r="G176" i="51"/>
  <c r="G177" i="51"/>
  <c r="G178" i="51"/>
  <c r="G179" i="51"/>
  <c r="G180" i="51"/>
  <c r="G181" i="51"/>
  <c r="G182" i="51"/>
  <c r="G183" i="51"/>
  <c r="G184" i="51"/>
  <c r="G185" i="51"/>
  <c r="G186" i="51"/>
  <c r="G187" i="51"/>
  <c r="G188" i="51"/>
  <c r="G189" i="51"/>
  <c r="G190" i="51"/>
  <c r="G191" i="51"/>
  <c r="G192" i="51"/>
  <c r="G193" i="51"/>
  <c r="G194" i="51"/>
  <c r="G195" i="51"/>
  <c r="G196" i="51"/>
  <c r="G197" i="51"/>
  <c r="G198" i="51"/>
  <c r="G199" i="51"/>
  <c r="G200" i="51"/>
  <c r="G201" i="51"/>
  <c r="G202" i="51"/>
  <c r="G203" i="51"/>
  <c r="G204" i="51"/>
  <c r="G205" i="51"/>
  <c r="G206" i="51"/>
  <c r="G207" i="51"/>
  <c r="G208" i="51"/>
  <c r="G209" i="51"/>
  <c r="G210" i="51"/>
  <c r="G211" i="51"/>
  <c r="G212" i="51"/>
  <c r="G213" i="51"/>
  <c r="G214" i="51"/>
  <c r="G215" i="51"/>
  <c r="G216" i="51"/>
  <c r="G217" i="51"/>
  <c r="G218" i="51"/>
  <c r="G219" i="51"/>
  <c r="G220" i="51"/>
  <c r="G221" i="51"/>
  <c r="G222" i="51"/>
  <c r="G223" i="51"/>
  <c r="G224" i="51"/>
  <c r="G225" i="51"/>
  <c r="G226" i="51"/>
  <c r="G227" i="51"/>
  <c r="G228" i="51"/>
  <c r="G229" i="51"/>
  <c r="G230" i="51"/>
  <c r="G231" i="51"/>
  <c r="G232" i="51"/>
  <c r="G233" i="51"/>
  <c r="G234" i="51"/>
  <c r="G235" i="51"/>
  <c r="G236" i="51"/>
  <c r="G237" i="51"/>
  <c r="G238" i="51"/>
  <c r="G239" i="51"/>
  <c r="G240" i="51"/>
  <c r="G241" i="51"/>
  <c r="G242" i="51"/>
  <c r="G243" i="51"/>
  <c r="G244" i="51"/>
  <c r="G245" i="51"/>
  <c r="G246" i="51"/>
  <c r="G247" i="51"/>
  <c r="G248" i="51"/>
  <c r="G249" i="51"/>
  <c r="G250" i="51"/>
  <c r="G251" i="51"/>
  <c r="G252" i="51"/>
  <c r="G253" i="51"/>
  <c r="G254" i="51"/>
  <c r="G255" i="51"/>
  <c r="G256" i="51"/>
  <c r="G257" i="51"/>
  <c r="G258" i="51"/>
  <c r="G259" i="51"/>
  <c r="G260" i="51"/>
  <c r="G261" i="51"/>
  <c r="G262" i="51"/>
  <c r="G263" i="51"/>
  <c r="G264" i="51"/>
  <c r="G265" i="51"/>
  <c r="G266" i="51"/>
  <c r="G267" i="51"/>
  <c r="G268" i="51"/>
  <c r="G269" i="51"/>
  <c r="G270" i="51"/>
  <c r="G271" i="51"/>
  <c r="G272" i="51"/>
  <c r="G273" i="51"/>
  <c r="G274" i="51"/>
  <c r="G275" i="51"/>
  <c r="G276" i="51"/>
  <c r="G277" i="51"/>
  <c r="G278" i="51"/>
  <c r="G279" i="51"/>
  <c r="G280" i="51"/>
  <c r="G281" i="51"/>
  <c r="G282" i="51"/>
  <c r="G283" i="51"/>
  <c r="G284" i="51"/>
  <c r="G285" i="51"/>
  <c r="G286" i="51"/>
  <c r="G287" i="51"/>
  <c r="G288" i="51"/>
  <c r="G289" i="51"/>
  <c r="G290" i="51"/>
  <c r="G291" i="51"/>
  <c r="G292" i="51"/>
  <c r="G293" i="51"/>
  <c r="G294" i="51"/>
  <c r="G295" i="51"/>
  <c r="G296" i="51"/>
  <c r="G297" i="51"/>
  <c r="G298" i="51"/>
  <c r="G299" i="51"/>
  <c r="G300" i="51"/>
  <c r="G301" i="51"/>
  <c r="G302" i="51"/>
  <c r="G303" i="51"/>
  <c r="G304" i="51"/>
  <c r="G305" i="51"/>
  <c r="G306" i="51"/>
  <c r="G307" i="51"/>
  <c r="G308" i="51"/>
  <c r="G309" i="51"/>
  <c r="G310" i="51"/>
  <c r="G311" i="51"/>
  <c r="G312" i="51"/>
  <c r="G313" i="51"/>
  <c r="G314" i="51"/>
  <c r="G315" i="51"/>
  <c r="G316" i="51"/>
  <c r="G317" i="51"/>
  <c r="G318" i="51"/>
  <c r="G319" i="51"/>
  <c r="G320" i="51"/>
  <c r="G321" i="51"/>
  <c r="G322" i="51"/>
  <c r="G323" i="51"/>
  <c r="G324" i="51"/>
  <c r="G325" i="51"/>
  <c r="G326" i="51"/>
  <c r="G327" i="51"/>
  <c r="G328" i="51"/>
  <c r="G329" i="51"/>
  <c r="G330" i="51"/>
  <c r="G331" i="51"/>
  <c r="G332" i="51"/>
  <c r="G333" i="51"/>
  <c r="G334" i="51"/>
  <c r="G335" i="51"/>
  <c r="G336" i="51"/>
  <c r="G337" i="51"/>
  <c r="G338" i="51"/>
  <c r="G339" i="51"/>
  <c r="G340" i="51"/>
  <c r="G341" i="51"/>
  <c r="G342" i="51"/>
  <c r="G343" i="51"/>
  <c r="G344" i="51"/>
  <c r="G345" i="51"/>
  <c r="G346" i="51"/>
  <c r="G347" i="51"/>
  <c r="G348" i="51"/>
  <c r="G349" i="51"/>
  <c r="G350" i="51"/>
  <c r="G351" i="51"/>
  <c r="G352" i="51"/>
  <c r="G353" i="51"/>
  <c r="G354" i="51"/>
  <c r="G355" i="51"/>
  <c r="G356" i="51"/>
  <c r="G357" i="51"/>
  <c r="G358" i="51"/>
  <c r="G359" i="51"/>
  <c r="G360" i="51"/>
  <c r="G361" i="51"/>
  <c r="G362" i="51"/>
  <c r="G363" i="51"/>
  <c r="G364" i="51"/>
  <c r="G365" i="51"/>
  <c r="G366" i="51"/>
  <c r="G367" i="51"/>
  <c r="G368" i="51"/>
  <c r="G369" i="51"/>
  <c r="G370" i="51"/>
  <c r="G371" i="51"/>
  <c r="G372" i="51"/>
  <c r="G373" i="51"/>
  <c r="G374" i="51"/>
  <c r="G375" i="51"/>
  <c r="G376" i="51"/>
  <c r="G377" i="51"/>
  <c r="G378" i="51"/>
  <c r="G379" i="51"/>
  <c r="G380" i="51"/>
  <c r="G381" i="51"/>
  <c r="G382" i="51"/>
  <c r="G383" i="51"/>
  <c r="G384" i="51"/>
  <c r="G385" i="51"/>
  <c r="G386" i="51"/>
  <c r="G387" i="51"/>
  <c r="G388" i="51"/>
  <c r="G389" i="51"/>
  <c r="G390" i="51"/>
  <c r="G391" i="51"/>
  <c r="G392" i="51"/>
  <c r="G393" i="51"/>
  <c r="G394" i="51"/>
  <c r="G395" i="51"/>
  <c r="G396" i="51"/>
  <c r="G397" i="51"/>
  <c r="G398" i="51"/>
  <c r="G399" i="51"/>
  <c r="G400" i="51"/>
  <c r="G401" i="51"/>
  <c r="G402" i="51"/>
  <c r="G403" i="51"/>
  <c r="G404" i="51"/>
  <c r="G405" i="51"/>
  <c r="G406" i="51"/>
  <c r="G407" i="51"/>
  <c r="G408" i="51"/>
  <c r="G409" i="51"/>
  <c r="G410" i="51"/>
  <c r="G411" i="51"/>
  <c r="G412" i="51"/>
  <c r="G413" i="51"/>
  <c r="G414" i="51"/>
  <c r="G415" i="51"/>
  <c r="G416" i="51"/>
  <c r="G417" i="51"/>
  <c r="G418" i="51"/>
  <c r="G419" i="51"/>
  <c r="G420" i="51"/>
  <c r="G421" i="51"/>
  <c r="G422" i="51"/>
  <c r="G423" i="51"/>
  <c r="G424" i="51"/>
  <c r="G425" i="51"/>
  <c r="G426" i="51"/>
  <c r="G427" i="51"/>
  <c r="G428" i="51"/>
  <c r="G429" i="51"/>
  <c r="G430" i="51"/>
  <c r="G431" i="51"/>
  <c r="G432" i="51"/>
  <c r="G433" i="51"/>
  <c r="G434" i="51"/>
  <c r="G435" i="51"/>
  <c r="G436" i="51"/>
  <c r="G437" i="51"/>
  <c r="G438" i="51"/>
  <c r="G439" i="51"/>
  <c r="G440" i="51"/>
  <c r="G441" i="51"/>
  <c r="G442" i="51"/>
  <c r="G443" i="51"/>
  <c r="G444" i="51"/>
  <c r="G445" i="51"/>
  <c r="G446" i="51"/>
  <c r="G447" i="51"/>
  <c r="G448" i="51"/>
  <c r="G449" i="51"/>
  <c r="G450" i="51"/>
  <c r="G451" i="51"/>
  <c r="G452" i="51"/>
  <c r="G453" i="51"/>
  <c r="G454" i="51"/>
  <c r="G455" i="51"/>
  <c r="G456" i="51"/>
  <c r="G457" i="51"/>
  <c r="G458" i="51"/>
  <c r="G459" i="51"/>
  <c r="G460" i="51"/>
  <c r="G461" i="51"/>
  <c r="G462" i="51"/>
  <c r="G463" i="51"/>
  <c r="G464" i="51"/>
  <c r="G465" i="51"/>
  <c r="G466" i="51"/>
  <c r="G467" i="51"/>
  <c r="G468" i="51"/>
  <c r="G469" i="51"/>
  <c r="G470" i="51"/>
  <c r="G471" i="51"/>
  <c r="G472" i="51"/>
  <c r="G473" i="51"/>
  <c r="G474" i="51"/>
  <c r="G475" i="51"/>
  <c r="G476" i="51"/>
  <c r="G477" i="51"/>
  <c r="G478" i="51"/>
  <c r="G479" i="51"/>
  <c r="G480" i="51"/>
  <c r="G481" i="51"/>
  <c r="G482" i="51"/>
  <c r="G483" i="51"/>
  <c r="G484" i="51"/>
  <c r="G485" i="51"/>
  <c r="G486" i="51"/>
  <c r="G487" i="51"/>
  <c r="G488" i="51"/>
  <c r="G489" i="51"/>
  <c r="G490" i="51"/>
  <c r="G491" i="51"/>
  <c r="G492" i="51"/>
  <c r="G493" i="51"/>
  <c r="G494" i="51"/>
  <c r="G495" i="51"/>
  <c r="G496" i="51"/>
  <c r="G497" i="51"/>
  <c r="G498" i="51"/>
  <c r="G499" i="51"/>
  <c r="G500" i="51"/>
  <c r="G501" i="51"/>
  <c r="G502" i="51"/>
  <c r="G503" i="51"/>
  <c r="G504" i="51"/>
  <c r="G505" i="51"/>
  <c r="G506" i="51"/>
  <c r="G507" i="51"/>
  <c r="G508" i="51"/>
  <c r="G509" i="51"/>
  <c r="G510" i="51"/>
  <c r="G511" i="51"/>
  <c r="G512" i="51"/>
  <c r="G513" i="51"/>
  <c r="G514" i="51"/>
  <c r="G515" i="51"/>
  <c r="G516" i="51"/>
  <c r="G517" i="51"/>
  <c r="G518" i="51"/>
  <c r="G519" i="51"/>
  <c r="G520" i="51"/>
  <c r="G521" i="51"/>
  <c r="G522" i="51"/>
  <c r="G523" i="51"/>
  <c r="G524" i="51"/>
  <c r="G525" i="51"/>
  <c r="G526" i="51"/>
  <c r="G527" i="51"/>
  <c r="G528" i="51"/>
  <c r="G529" i="51"/>
  <c r="G530" i="51"/>
  <c r="G531" i="51"/>
  <c r="G532" i="51"/>
  <c r="G533" i="51"/>
  <c r="G534" i="51"/>
  <c r="G535" i="51"/>
  <c r="G536" i="51"/>
  <c r="G537" i="51"/>
  <c r="G538" i="51"/>
  <c r="G539" i="51"/>
  <c r="G540" i="51"/>
  <c r="G541" i="51"/>
  <c r="G542" i="51"/>
  <c r="G543" i="51"/>
  <c r="G544" i="51"/>
  <c r="G545" i="51"/>
  <c r="G546" i="51"/>
  <c r="G547" i="51"/>
  <c r="G548" i="51"/>
  <c r="G549" i="51"/>
  <c r="G550" i="51"/>
  <c r="G551" i="51"/>
  <c r="G552" i="51"/>
  <c r="G553" i="51"/>
  <c r="G554" i="51"/>
  <c r="G555" i="51"/>
  <c r="G556" i="51"/>
  <c r="G557" i="51"/>
  <c r="G558" i="51"/>
  <c r="G559" i="51"/>
  <c r="G560" i="51"/>
  <c r="G561" i="51"/>
  <c r="G562" i="51"/>
  <c r="G563" i="51"/>
  <c r="G564" i="51"/>
  <c r="G565" i="51"/>
  <c r="G566" i="51"/>
  <c r="G567" i="51"/>
  <c r="G568" i="51"/>
  <c r="G569" i="51"/>
  <c r="G570" i="51"/>
  <c r="G571" i="51"/>
  <c r="G572" i="51"/>
  <c r="G573" i="51"/>
  <c r="G574" i="51"/>
  <c r="G575" i="51"/>
  <c r="G576" i="51"/>
  <c r="G577" i="51"/>
  <c r="G578" i="51"/>
  <c r="G579" i="51"/>
  <c r="G580" i="51"/>
  <c r="G581" i="51"/>
  <c r="G582" i="51"/>
  <c r="G583" i="51"/>
  <c r="G584" i="51"/>
  <c r="G585" i="51"/>
  <c r="G586" i="51"/>
  <c r="G587" i="51"/>
  <c r="G588" i="51"/>
  <c r="G589" i="51"/>
  <c r="G590" i="51"/>
  <c r="G591" i="51"/>
  <c r="G592" i="51"/>
  <c r="G593" i="51"/>
  <c r="G594" i="51"/>
  <c r="G595" i="51"/>
  <c r="G596" i="51"/>
  <c r="G597" i="51"/>
  <c r="G598" i="51"/>
  <c r="G599" i="51"/>
  <c r="G600" i="51"/>
  <c r="G601" i="51"/>
  <c r="G602" i="51"/>
  <c r="G603" i="51"/>
  <c r="G604" i="51"/>
  <c r="G605" i="51"/>
  <c r="G606" i="51"/>
  <c r="G607" i="51"/>
  <c r="G608" i="51"/>
  <c r="G609" i="51"/>
  <c r="G610" i="51"/>
  <c r="G611" i="51"/>
  <c r="G612" i="51"/>
  <c r="G613" i="51"/>
  <c r="G614" i="51"/>
  <c r="G615" i="51"/>
  <c r="G616" i="51"/>
  <c r="G617" i="51"/>
  <c r="G618" i="51"/>
  <c r="G619" i="51"/>
  <c r="G620" i="51"/>
  <c r="G621" i="51"/>
  <c r="G622" i="51"/>
  <c r="G623" i="51"/>
  <c r="G624" i="51"/>
  <c r="G625" i="51"/>
  <c r="G626" i="51"/>
  <c r="G627" i="51"/>
  <c r="G628" i="51"/>
  <c r="G629" i="51"/>
  <c r="G630" i="51"/>
  <c r="G631" i="51"/>
  <c r="G632" i="51"/>
  <c r="G633" i="51"/>
  <c r="G634" i="51"/>
  <c r="G635" i="51"/>
  <c r="G636" i="51"/>
  <c r="G637" i="51"/>
  <c r="G638" i="51"/>
  <c r="G639" i="51"/>
  <c r="G640" i="51"/>
  <c r="G641" i="51"/>
  <c r="G642" i="51"/>
  <c r="G643" i="51"/>
  <c r="G644" i="51"/>
  <c r="G645" i="51"/>
  <c r="G646" i="51"/>
  <c r="G647" i="51"/>
  <c r="G648" i="51"/>
  <c r="G649" i="51"/>
  <c r="G650" i="51"/>
  <c r="G651" i="51"/>
  <c r="G652" i="51"/>
  <c r="G653" i="51"/>
  <c r="G654" i="51"/>
  <c r="G655" i="51"/>
  <c r="G656" i="51"/>
  <c r="G657" i="51"/>
  <c r="G658" i="51"/>
  <c r="G659" i="51"/>
  <c r="G660" i="51"/>
  <c r="G661" i="51"/>
  <c r="G662" i="51"/>
  <c r="G663" i="51"/>
  <c r="G664" i="51"/>
  <c r="G665" i="51"/>
  <c r="G666" i="51"/>
  <c r="G667" i="51"/>
  <c r="G668" i="51"/>
  <c r="G669" i="51"/>
  <c r="G670" i="51"/>
  <c r="G671" i="51"/>
  <c r="G672" i="51"/>
  <c r="G673" i="51"/>
  <c r="G674" i="51"/>
  <c r="G675" i="51"/>
  <c r="G676" i="51"/>
  <c r="G677" i="51"/>
  <c r="G678" i="51"/>
  <c r="G679" i="51"/>
  <c r="G680" i="51"/>
  <c r="G681" i="51"/>
  <c r="G682" i="51"/>
  <c r="G683" i="51"/>
  <c r="G684" i="51"/>
  <c r="G685" i="51"/>
  <c r="G686" i="51"/>
  <c r="G687" i="51"/>
  <c r="G688" i="51"/>
  <c r="G689" i="51"/>
  <c r="G690" i="51"/>
  <c r="G691" i="51"/>
  <c r="G692" i="51"/>
  <c r="G693" i="51"/>
  <c r="G694" i="51"/>
  <c r="G695" i="51"/>
  <c r="G696" i="51"/>
  <c r="G697" i="51"/>
  <c r="G698" i="51"/>
  <c r="G699" i="51"/>
  <c r="G700" i="51"/>
  <c r="G701" i="51"/>
  <c r="G702" i="51"/>
  <c r="G703" i="51"/>
  <c r="G704" i="51"/>
  <c r="G705" i="51"/>
  <c r="G706" i="51"/>
  <c r="G707" i="51"/>
  <c r="G708" i="51"/>
  <c r="G709" i="51"/>
  <c r="G710" i="51"/>
  <c r="G711" i="51"/>
  <c r="G712" i="51"/>
  <c r="G713" i="51"/>
  <c r="G714" i="51"/>
  <c r="G715" i="51"/>
  <c r="G716" i="51"/>
  <c r="G717" i="51"/>
  <c r="G718" i="51"/>
  <c r="G719" i="51"/>
  <c r="G720" i="51"/>
  <c r="G721" i="51"/>
  <c r="G722" i="51"/>
  <c r="G723" i="51"/>
  <c r="G724" i="51"/>
  <c r="G725" i="51"/>
  <c r="G726" i="51"/>
  <c r="G727" i="51"/>
  <c r="G728" i="51"/>
  <c r="G729" i="51"/>
  <c r="G730" i="51"/>
  <c r="G731" i="51"/>
  <c r="G732" i="51"/>
  <c r="G733" i="51"/>
  <c r="G734" i="51"/>
  <c r="G735" i="51"/>
  <c r="G736" i="51"/>
  <c r="G737" i="51"/>
  <c r="G738" i="51"/>
  <c r="G739" i="51"/>
  <c r="G740" i="51"/>
  <c r="G741" i="51"/>
  <c r="G742" i="51"/>
  <c r="G743" i="51"/>
  <c r="G744" i="51"/>
  <c r="G745" i="51"/>
  <c r="G746" i="51"/>
  <c r="G747" i="51"/>
  <c r="G748" i="51"/>
  <c r="G749" i="51"/>
  <c r="G750" i="51"/>
  <c r="G751" i="51"/>
  <c r="K751" i="51"/>
  <c r="G752" i="51"/>
  <c r="G753" i="51"/>
  <c r="G754" i="51"/>
  <c r="G755" i="51"/>
  <c r="G756" i="51"/>
  <c r="G757" i="51"/>
  <c r="G758" i="51"/>
  <c r="G759" i="51"/>
  <c r="G760" i="51"/>
  <c r="G761" i="51"/>
  <c r="G762" i="51"/>
  <c r="G763" i="51"/>
  <c r="G764" i="51"/>
  <c r="G765" i="51"/>
  <c r="G766" i="51"/>
  <c r="G767" i="51"/>
  <c r="G768" i="51"/>
  <c r="G769" i="51"/>
  <c r="G770" i="51"/>
  <c r="G771" i="51"/>
  <c r="G772" i="51"/>
  <c r="G773" i="51"/>
  <c r="G774" i="51"/>
  <c r="G775" i="51"/>
  <c r="G776" i="51"/>
  <c r="G777" i="51"/>
  <c r="G778" i="51"/>
  <c r="G779" i="51"/>
  <c r="G780" i="51"/>
  <c r="G781" i="51"/>
  <c r="G782" i="51"/>
  <c r="G783" i="51"/>
  <c r="G784" i="51"/>
  <c r="G785" i="51"/>
  <c r="G786" i="51"/>
  <c r="G787" i="51"/>
  <c r="G788" i="51"/>
  <c r="G789" i="51"/>
  <c r="G790" i="51"/>
  <c r="G791" i="51"/>
  <c r="G792" i="51"/>
  <c r="G793" i="51"/>
  <c r="G794" i="51"/>
  <c r="G795" i="51"/>
  <c r="G796" i="51"/>
  <c r="G797" i="51"/>
  <c r="G798" i="51"/>
  <c r="G799" i="51"/>
  <c r="G800" i="51"/>
  <c r="G801" i="51"/>
  <c r="G802" i="51"/>
  <c r="G803" i="51"/>
  <c r="G804" i="51"/>
  <c r="G805" i="51"/>
  <c r="G806" i="51"/>
  <c r="G807" i="51"/>
  <c r="G808" i="51"/>
  <c r="G809" i="51"/>
  <c r="G810" i="51"/>
  <c r="G811" i="51"/>
  <c r="G812" i="51"/>
  <c r="G813" i="51"/>
  <c r="G814" i="51"/>
  <c r="G815" i="51"/>
  <c r="G816" i="51"/>
  <c r="G817" i="51"/>
  <c r="G818" i="51"/>
  <c r="G819" i="51"/>
  <c r="G820" i="51"/>
  <c r="G821" i="51"/>
  <c r="G822" i="51"/>
  <c r="G823" i="51"/>
  <c r="G824" i="51"/>
  <c r="G825" i="51"/>
  <c r="G826" i="51"/>
  <c r="G827" i="51"/>
  <c r="G828" i="51"/>
  <c r="G829" i="51"/>
  <c r="G830" i="51"/>
  <c r="G831" i="51"/>
  <c r="G832" i="51"/>
  <c r="G833" i="51"/>
  <c r="G834" i="51"/>
  <c r="G835" i="51"/>
  <c r="G836" i="51"/>
  <c r="G837" i="51"/>
  <c r="G838" i="51"/>
  <c r="G839" i="51"/>
  <c r="G840" i="51"/>
  <c r="G841" i="51"/>
  <c r="G842" i="51"/>
  <c r="G843" i="51"/>
  <c r="G844" i="51"/>
  <c r="G845" i="51"/>
  <c r="G846" i="51"/>
  <c r="G847" i="51"/>
  <c r="G848" i="51"/>
  <c r="G849" i="51"/>
  <c r="G850" i="51"/>
  <c r="G851" i="51"/>
  <c r="G852" i="51"/>
  <c r="G853" i="51"/>
  <c r="G854" i="51"/>
  <c r="G855" i="51"/>
  <c r="G856" i="51"/>
  <c r="G857" i="51"/>
  <c r="G858" i="51"/>
  <c r="G859" i="51"/>
  <c r="G860" i="51"/>
  <c r="G861" i="51"/>
  <c r="G862" i="51"/>
  <c r="G863" i="51"/>
  <c r="G864" i="51"/>
  <c r="G865" i="51"/>
  <c r="G866" i="51"/>
  <c r="G867" i="51"/>
  <c r="G868" i="51"/>
  <c r="G869" i="51"/>
  <c r="G870" i="51"/>
  <c r="G871" i="51"/>
  <c r="G872" i="51"/>
  <c r="G873" i="51"/>
  <c r="G874" i="51"/>
  <c r="G875" i="51"/>
  <c r="G876" i="51"/>
  <c r="G877" i="51"/>
  <c r="G878" i="51"/>
  <c r="G879" i="51"/>
  <c r="G880" i="51"/>
  <c r="G881" i="51"/>
  <c r="G882" i="51"/>
  <c r="G883" i="51"/>
  <c r="G884" i="51"/>
  <c r="G885" i="51"/>
  <c r="G886" i="51"/>
  <c r="G887" i="51"/>
  <c r="G888" i="51"/>
  <c r="G889" i="51"/>
  <c r="G890" i="51"/>
  <c r="G891" i="51"/>
  <c r="G892" i="51"/>
  <c r="G893" i="51"/>
  <c r="G894" i="51"/>
  <c r="G895" i="51"/>
  <c r="G896" i="51"/>
  <c r="G897" i="51"/>
  <c r="G898" i="51"/>
  <c r="G899" i="51"/>
  <c r="G900" i="51"/>
  <c r="G901" i="51"/>
  <c r="G902" i="51"/>
  <c r="G903" i="51"/>
  <c r="K903" i="51"/>
  <c r="G904" i="51"/>
  <c r="G905" i="51"/>
  <c r="G906" i="51"/>
  <c r="G907" i="51"/>
  <c r="G908" i="51"/>
  <c r="G909" i="51"/>
  <c r="G910" i="51"/>
  <c r="G911" i="51"/>
  <c r="G912" i="51"/>
  <c r="G913" i="51"/>
  <c r="G914" i="51"/>
  <c r="G915" i="51"/>
  <c r="G916" i="51"/>
  <c r="G917" i="51"/>
  <c r="G918" i="51"/>
  <c r="G919" i="51"/>
  <c r="G920" i="51"/>
  <c r="G921" i="51"/>
  <c r="G922" i="51"/>
  <c r="G923" i="51"/>
  <c r="G924" i="51"/>
  <c r="G925" i="51"/>
  <c r="G926" i="51"/>
  <c r="G927" i="51"/>
  <c r="G928" i="51"/>
  <c r="G929" i="51"/>
  <c r="G930" i="51"/>
  <c r="G931" i="51"/>
  <c r="G932" i="51"/>
  <c r="G933" i="51"/>
  <c r="G934" i="51"/>
  <c r="G935" i="51"/>
  <c r="G936" i="51"/>
  <c r="G937" i="51"/>
  <c r="G938" i="51"/>
  <c r="G939" i="51"/>
  <c r="G940" i="51"/>
  <c r="G941" i="51"/>
  <c r="G942" i="51"/>
  <c r="G943" i="51"/>
  <c r="G944" i="51"/>
  <c r="G945" i="51"/>
  <c r="G946" i="51"/>
  <c r="G947" i="51"/>
  <c r="G948" i="51"/>
  <c r="G949" i="51"/>
  <c r="G950" i="51"/>
  <c r="G951" i="51"/>
  <c r="G952" i="51"/>
  <c r="G953" i="51"/>
  <c r="G954" i="51"/>
  <c r="G955" i="51"/>
  <c r="G956" i="51"/>
  <c r="G957" i="51"/>
  <c r="G958" i="51"/>
  <c r="G959" i="51"/>
  <c r="G960" i="51"/>
  <c r="G961" i="51"/>
  <c r="G962" i="51"/>
  <c r="G963" i="51"/>
  <c r="G964" i="51"/>
  <c r="G965" i="51"/>
  <c r="G966" i="51"/>
  <c r="G967" i="51"/>
  <c r="G968" i="51"/>
  <c r="G969" i="51"/>
  <c r="G970" i="51"/>
  <c r="G971" i="51"/>
  <c r="G972" i="51"/>
  <c r="G973" i="51"/>
  <c r="G974" i="51"/>
  <c r="G975" i="51"/>
  <c r="G976" i="51"/>
  <c r="K976" i="51"/>
  <c r="G977" i="51"/>
  <c r="G978" i="51"/>
  <c r="G979" i="51"/>
  <c r="G980" i="51"/>
  <c r="G981" i="51"/>
  <c r="G982" i="51"/>
  <c r="G983" i="51"/>
  <c r="G984" i="51"/>
  <c r="G985" i="51"/>
  <c r="G986" i="51"/>
  <c r="G987" i="51"/>
  <c r="G988" i="51"/>
  <c r="G989" i="51"/>
  <c r="G990" i="51"/>
  <c r="G991" i="51"/>
  <c r="G992" i="51"/>
  <c r="G993" i="51"/>
  <c r="G994" i="51"/>
  <c r="G995" i="51"/>
  <c r="G996" i="51"/>
  <c r="G997" i="51"/>
  <c r="G998" i="51"/>
  <c r="G999" i="51"/>
  <c r="G1000" i="51"/>
  <c r="G1001" i="51"/>
  <c r="G1002" i="51"/>
  <c r="G1003" i="51"/>
  <c r="G1004" i="51"/>
  <c r="G1005" i="51"/>
  <c r="G1006" i="51"/>
  <c r="G1007" i="51"/>
  <c r="G1008" i="51"/>
  <c r="G1009" i="51"/>
  <c r="G1010" i="51"/>
  <c r="G1011" i="51"/>
  <c r="G1012" i="51"/>
  <c r="G1013" i="51"/>
  <c r="G1014" i="51"/>
  <c r="G1015" i="51"/>
  <c r="G1016" i="51"/>
  <c r="G1017" i="51"/>
  <c r="G1018" i="51"/>
  <c r="G1019" i="51"/>
  <c r="G1020" i="51"/>
  <c r="G1021" i="51"/>
  <c r="G1022" i="51"/>
  <c r="G1023" i="51"/>
  <c r="G1024" i="51"/>
  <c r="G1025" i="51"/>
  <c r="G1026" i="51"/>
  <c r="G1027" i="51"/>
  <c r="G1028" i="51"/>
  <c r="G1029" i="51"/>
  <c r="G1030" i="51"/>
  <c r="G1031" i="51"/>
  <c r="G1032" i="51"/>
  <c r="G1033" i="51"/>
  <c r="G1034" i="51"/>
  <c r="G1035" i="51"/>
  <c r="G1036" i="51"/>
  <c r="G1037" i="51"/>
  <c r="G1038" i="51"/>
  <c r="G1039" i="51"/>
  <c r="G1040" i="51"/>
  <c r="G1041" i="51"/>
  <c r="G1042" i="51"/>
  <c r="G1043" i="51"/>
  <c r="G1044" i="51"/>
  <c r="G1045" i="51"/>
  <c r="G1046" i="51"/>
  <c r="G1047" i="51"/>
  <c r="G1048" i="51"/>
  <c r="G1049" i="51"/>
  <c r="G1050" i="51"/>
  <c r="G1051" i="51"/>
  <c r="G1052" i="51"/>
  <c r="G1053" i="51"/>
  <c r="G1054" i="51"/>
  <c r="G1055" i="51"/>
  <c r="G1056" i="51"/>
  <c r="G1057" i="51"/>
  <c r="G1058" i="51"/>
  <c r="G1059" i="51"/>
  <c r="G1060" i="51"/>
  <c r="G1061" i="51"/>
  <c r="G1062" i="51"/>
  <c r="G1063" i="51"/>
  <c r="G1064" i="51"/>
  <c r="G1065" i="51"/>
  <c r="G1066" i="51"/>
  <c r="G1067" i="51"/>
  <c r="G1068" i="51"/>
  <c r="G1069" i="51"/>
  <c r="G1070" i="51"/>
  <c r="G1071" i="51"/>
  <c r="G1072" i="51"/>
  <c r="G1073" i="51"/>
  <c r="G1074" i="51"/>
  <c r="G1075" i="51"/>
  <c r="G1076" i="51"/>
  <c r="G1077" i="51"/>
  <c r="G1078" i="51"/>
  <c r="G1079" i="51"/>
  <c r="G1080" i="51"/>
  <c r="G1081" i="51"/>
  <c r="G1082" i="51"/>
  <c r="G1083" i="51"/>
  <c r="G1084" i="51"/>
  <c r="G1085" i="51"/>
  <c r="G1086" i="51"/>
  <c r="G1087" i="51"/>
  <c r="G1088" i="51"/>
  <c r="G1089" i="51"/>
  <c r="G1090" i="51"/>
  <c r="G1091" i="51"/>
  <c r="G1092" i="51"/>
  <c r="G1093" i="51"/>
  <c r="G1094" i="51"/>
  <c r="G1095" i="51"/>
  <c r="G1096" i="51"/>
  <c r="G1097" i="51"/>
  <c r="G1098" i="51"/>
  <c r="G1099" i="51"/>
  <c r="G1100" i="51"/>
  <c r="G1101" i="51"/>
  <c r="G1102" i="51"/>
  <c r="G1103" i="51"/>
  <c r="G1104" i="51"/>
  <c r="G1105" i="51"/>
  <c r="G1106" i="51"/>
  <c r="G1107" i="51"/>
  <c r="G1108" i="51"/>
  <c r="G1109" i="51"/>
  <c r="G1110" i="51"/>
  <c r="G1111" i="51"/>
  <c r="G1112" i="51"/>
  <c r="G1113" i="51"/>
  <c r="G1114" i="51"/>
  <c r="G1115" i="51"/>
  <c r="G1116" i="51"/>
  <c r="G1117" i="51"/>
  <c r="G1118" i="51"/>
  <c r="G1119" i="51"/>
  <c r="G1120" i="51"/>
  <c r="G1121" i="51"/>
  <c r="G1122" i="51"/>
  <c r="G1123" i="51"/>
  <c r="G1124" i="51"/>
  <c r="G1125" i="51"/>
  <c r="G1126" i="51"/>
  <c r="G1127" i="51"/>
  <c r="G1128" i="51"/>
  <c r="G1129" i="51"/>
  <c r="G1130" i="51"/>
  <c r="G1131" i="51"/>
  <c r="G1132" i="51"/>
  <c r="G1133" i="51"/>
  <c r="G1134" i="51"/>
  <c r="G1135" i="51"/>
  <c r="G1136" i="51"/>
  <c r="G1137" i="51"/>
  <c r="G1138" i="51"/>
  <c r="G1139" i="51"/>
  <c r="G1140" i="51"/>
  <c r="G1141" i="51"/>
  <c r="G1142" i="51"/>
  <c r="G1143" i="51"/>
  <c r="G1144" i="51"/>
  <c r="G1145" i="51"/>
  <c r="G1146" i="51"/>
  <c r="G1147" i="51"/>
  <c r="G1148" i="51"/>
  <c r="G1149" i="51"/>
  <c r="G1150" i="51"/>
  <c r="G1151" i="51"/>
  <c r="G1152" i="51"/>
  <c r="G1153" i="51"/>
  <c r="G1154" i="51"/>
  <c r="G1155" i="51"/>
  <c r="G1156" i="51"/>
  <c r="G1157" i="51"/>
  <c r="G1158" i="51"/>
  <c r="G1159" i="51"/>
  <c r="G1160" i="51"/>
  <c r="G1161" i="51"/>
  <c r="G1162" i="51"/>
  <c r="G1163" i="51"/>
  <c r="G1164" i="51"/>
  <c r="G1165" i="51"/>
  <c r="G1166" i="51"/>
  <c r="G1167" i="51"/>
  <c r="G1168" i="51"/>
  <c r="G1169" i="51"/>
  <c r="G1170" i="51"/>
  <c r="G1171" i="51"/>
  <c r="G2" i="51"/>
  <c r="K31" i="51"/>
  <c r="K33" i="51"/>
  <c r="K41" i="51"/>
  <c r="K66" i="51"/>
  <c r="K87" i="51"/>
  <c r="K89" i="51"/>
  <c r="K98" i="51"/>
  <c r="K105" i="51"/>
  <c r="K106" i="51"/>
  <c r="K113" i="51"/>
  <c r="K121" i="51"/>
  <c r="K122" i="51"/>
  <c r="K127" i="51"/>
  <c r="K129" i="51"/>
  <c r="K130" i="51"/>
  <c r="K135" i="51"/>
  <c r="K159" i="51"/>
  <c r="K174" i="51"/>
  <c r="K177" i="51"/>
  <c r="K182" i="51"/>
  <c r="K183" i="51"/>
  <c r="K190" i="51"/>
  <c r="K191" i="51"/>
  <c r="K199" i="51"/>
  <c r="K201" i="51"/>
  <c r="K202" i="51"/>
  <c r="K207" i="51"/>
  <c r="K215" i="51"/>
  <c r="K223" i="51"/>
  <c r="K241" i="51"/>
  <c r="K263" i="51"/>
  <c r="K265" i="51"/>
  <c r="K266" i="51"/>
  <c r="K273" i="51"/>
  <c r="K274" i="51"/>
  <c r="K278" i="51"/>
  <c r="K281" i="51"/>
  <c r="K287" i="51"/>
  <c r="K290" i="51"/>
  <c r="K297" i="51"/>
  <c r="K298" i="51"/>
  <c r="K306" i="51"/>
  <c r="K310" i="51"/>
  <c r="K311" i="51"/>
  <c r="K313" i="51"/>
  <c r="K327" i="51"/>
  <c r="K329" i="51"/>
  <c r="K342" i="51"/>
  <c r="K343" i="51"/>
  <c r="K346" i="51"/>
  <c r="K375" i="51"/>
  <c r="K383" i="51"/>
  <c r="K393" i="51"/>
  <c r="K401" i="51"/>
  <c r="K402" i="51"/>
  <c r="K415" i="51"/>
  <c r="K423" i="51"/>
  <c r="K426" i="51"/>
  <c r="K430" i="51"/>
  <c r="K433" i="51"/>
  <c r="K438" i="51"/>
  <c r="K441" i="51"/>
  <c r="K442" i="51"/>
  <c r="K447" i="51"/>
  <c r="K457" i="51"/>
  <c r="K458" i="51"/>
  <c r="K463" i="51"/>
  <c r="K465" i="51"/>
  <c r="K466" i="51"/>
  <c r="K479" i="51"/>
  <c r="K489" i="51"/>
  <c r="K490" i="51"/>
  <c r="K494" i="51"/>
  <c r="K495" i="51"/>
  <c r="K497" i="51"/>
  <c r="K519" i="51"/>
  <c r="K522" i="51"/>
  <c r="K542" i="51"/>
  <c r="K545" i="51"/>
  <c r="K554" i="51"/>
  <c r="K561" i="51"/>
  <c r="K567" i="51"/>
  <c r="K575" i="51"/>
  <c r="K585" i="51"/>
  <c r="K586" i="51"/>
  <c r="K602" i="51"/>
  <c r="K607" i="51"/>
  <c r="K609" i="51"/>
  <c r="K617" i="51"/>
  <c r="K618" i="51"/>
  <c r="K630" i="51"/>
  <c r="K631" i="51"/>
  <c r="K633" i="51"/>
  <c r="K634" i="51"/>
  <c r="K638" i="51"/>
  <c r="K639" i="51"/>
  <c r="K647" i="51"/>
  <c r="K673" i="51"/>
  <c r="K674" i="51"/>
  <c r="K679" i="51"/>
  <c r="K689" i="51"/>
  <c r="K690" i="51"/>
  <c r="K694" i="51"/>
  <c r="K697" i="51"/>
  <c r="K698" i="51"/>
  <c r="K713" i="51"/>
  <c r="K718" i="51"/>
  <c r="K721" i="51"/>
  <c r="K722" i="51"/>
  <c r="K726" i="51"/>
  <c r="K729" i="51"/>
  <c r="K730" i="51"/>
  <c r="K734" i="51"/>
  <c r="K735" i="51"/>
  <c r="K743" i="51"/>
  <c r="K746" i="51"/>
  <c r="K754" i="51"/>
  <c r="K758" i="51"/>
  <c r="K761" i="51"/>
  <c r="K762" i="51"/>
  <c r="K769" i="51"/>
  <c r="K774" i="51"/>
  <c r="K775" i="51"/>
  <c r="K782" i="51"/>
  <c r="K799" i="51"/>
  <c r="K814" i="51"/>
  <c r="K818" i="51"/>
  <c r="K825" i="51"/>
  <c r="K826" i="51"/>
  <c r="K830" i="51"/>
  <c r="K839" i="51"/>
  <c r="K857" i="51"/>
  <c r="K858" i="51"/>
  <c r="K862" i="51"/>
  <c r="K866" i="51"/>
  <c r="K871" i="51"/>
  <c r="K873" i="51"/>
  <c r="K895" i="51"/>
  <c r="K898" i="51"/>
  <c r="K905" i="51"/>
  <c r="K914" i="51"/>
  <c r="K918" i="51"/>
  <c r="K921" i="51"/>
  <c r="K929" i="51"/>
  <c r="K934" i="51"/>
  <c r="K959" i="51"/>
  <c r="K961" i="51"/>
  <c r="K966" i="51"/>
  <c r="K967" i="51"/>
  <c r="K970" i="51"/>
  <c r="K974" i="51"/>
  <c r="K978" i="51"/>
  <c r="K1001" i="51"/>
  <c r="K1010" i="51"/>
  <c r="K1017" i="51"/>
  <c r="K1018" i="51"/>
  <c r="K1030" i="51"/>
  <c r="K1063" i="51"/>
  <c r="K1065" i="51"/>
  <c r="K1070" i="51"/>
  <c r="K1073" i="51"/>
  <c r="K1086" i="51"/>
  <c r="K1090" i="51"/>
  <c r="K1098" i="51"/>
  <c r="K1102" i="51"/>
  <c r="K1106" i="51"/>
  <c r="K1110" i="51"/>
  <c r="K1113" i="51"/>
  <c r="K1114" i="51"/>
  <c r="K1118" i="51"/>
  <c r="K1119" i="51"/>
  <c r="K1121" i="51"/>
  <c r="K1122" i="51"/>
  <c r="K1126" i="51"/>
  <c r="K1127" i="51"/>
  <c r="K1129" i="51"/>
  <c r="K1159" i="51"/>
  <c r="K1161" i="51"/>
  <c r="K3" i="51"/>
  <c r="K12" i="51"/>
  <c r="K24" i="51"/>
  <c r="K30" i="51"/>
  <c r="K40" i="51"/>
  <c r="K56" i="51"/>
  <c r="K60" i="51"/>
  <c r="K68" i="51"/>
  <c r="K69" i="51"/>
  <c r="K76" i="51"/>
  <c r="K79" i="51"/>
  <c r="K83" i="51"/>
  <c r="K86" i="51"/>
  <c r="K91" i="51"/>
  <c r="K92" i="51"/>
  <c r="K93" i="51"/>
  <c r="K94" i="51"/>
  <c r="K101" i="51"/>
  <c r="K104" i="51"/>
  <c r="K107" i="51"/>
  <c r="K110" i="51"/>
  <c r="K116" i="51"/>
  <c r="K123" i="51"/>
  <c r="K124" i="51"/>
  <c r="K125" i="51"/>
  <c r="K126" i="51"/>
  <c r="K140" i="51"/>
  <c r="K142" i="51"/>
  <c r="K143" i="51"/>
  <c r="K152" i="51"/>
  <c r="K156" i="51"/>
  <c r="K160" i="51"/>
  <c r="K163" i="51"/>
  <c r="K175" i="51"/>
  <c r="K179" i="51"/>
  <c r="K189" i="51"/>
  <c r="K204" i="51"/>
  <c r="K206" i="51"/>
  <c r="K211" i="51"/>
  <c r="K219" i="51"/>
  <c r="K224" i="51"/>
  <c r="K228" i="51"/>
  <c r="K230" i="51"/>
  <c r="K237" i="51"/>
  <c r="K248" i="51"/>
  <c r="K256" i="51"/>
  <c r="K264" i="51"/>
  <c r="K267" i="51"/>
  <c r="K269" i="51"/>
  <c r="K270" i="51"/>
  <c r="K272" i="51"/>
  <c r="K275" i="51"/>
  <c r="K276" i="51"/>
  <c r="K277" i="51"/>
  <c r="K279" i="51"/>
  <c r="K280" i="51"/>
  <c r="K283" i="51"/>
  <c r="K284" i="51"/>
  <c r="K285" i="51"/>
  <c r="K286" i="51"/>
  <c r="K301" i="51"/>
  <c r="K303" i="51"/>
  <c r="K304" i="51"/>
  <c r="K307" i="51"/>
  <c r="K312" i="51"/>
  <c r="K326" i="51"/>
  <c r="K328" i="51"/>
  <c r="K331" i="51"/>
  <c r="K344" i="51"/>
  <c r="K350" i="51"/>
  <c r="K354" i="51"/>
  <c r="K355" i="51"/>
  <c r="K356" i="51"/>
  <c r="K358" i="51"/>
  <c r="K364" i="51"/>
  <c r="K368" i="51"/>
  <c r="K379" i="51"/>
  <c r="K380" i="51"/>
  <c r="K387" i="51"/>
  <c r="K388" i="51"/>
  <c r="K400" i="51"/>
  <c r="K403" i="51"/>
  <c r="K404" i="51"/>
  <c r="K405" i="51"/>
  <c r="K411" i="51"/>
  <c r="K419" i="51"/>
  <c r="K420" i="51"/>
  <c r="K421" i="51"/>
  <c r="K424" i="51"/>
  <c r="K428" i="51"/>
  <c r="K429" i="51"/>
  <c r="K431" i="51"/>
  <c r="K435" i="51"/>
  <c r="K436" i="51"/>
  <c r="K437" i="51"/>
  <c r="K440" i="51"/>
  <c r="K443" i="51"/>
  <c r="K453" i="51"/>
  <c r="K459" i="51"/>
  <c r="K460" i="51"/>
  <c r="K464" i="51"/>
  <c r="K469" i="51"/>
  <c r="K472" i="51"/>
  <c r="K475" i="51"/>
  <c r="K476" i="51"/>
  <c r="K486" i="51"/>
  <c r="K491" i="51"/>
  <c r="K496" i="51"/>
  <c r="K499" i="51"/>
  <c r="K500" i="51"/>
  <c r="K507" i="51"/>
  <c r="K509" i="51"/>
  <c r="K516" i="51"/>
  <c r="K517" i="51"/>
  <c r="K523" i="51"/>
  <c r="K525" i="51"/>
  <c r="K527" i="51"/>
  <c r="K532" i="51"/>
  <c r="K535" i="51"/>
  <c r="K536" i="51"/>
  <c r="K539" i="51"/>
  <c r="K547" i="51"/>
  <c r="K548" i="51"/>
  <c r="K550" i="51"/>
  <c r="K560" i="51"/>
  <c r="K579" i="51"/>
  <c r="K580" i="51"/>
  <c r="K581" i="51"/>
  <c r="K582" i="51"/>
  <c r="K606" i="51"/>
  <c r="K608" i="51"/>
  <c r="K610" i="51"/>
  <c r="K611" i="51"/>
  <c r="K612" i="51"/>
  <c r="K613" i="51"/>
  <c r="K615" i="51"/>
  <c r="K616" i="51"/>
  <c r="K619" i="51"/>
  <c r="K627" i="51"/>
  <c r="K628" i="51"/>
  <c r="K629" i="51"/>
  <c r="K632" i="51"/>
  <c r="K635" i="51"/>
  <c r="K636" i="51"/>
  <c r="K637" i="51"/>
  <c r="K640" i="51"/>
  <c r="K644" i="51"/>
  <c r="K648" i="51"/>
  <c r="K651" i="51"/>
  <c r="K652" i="51"/>
  <c r="K653" i="51"/>
  <c r="K654" i="51"/>
  <c r="K656" i="51"/>
  <c r="K661" i="51"/>
  <c r="K667" i="51"/>
  <c r="K669" i="51"/>
  <c r="K680" i="51"/>
  <c r="K688" i="51"/>
  <c r="K691" i="51"/>
  <c r="K692" i="51"/>
  <c r="K695" i="51"/>
  <c r="K696" i="51"/>
  <c r="K700" i="51"/>
  <c r="K701" i="51"/>
  <c r="K704" i="51"/>
  <c r="K708" i="51"/>
  <c r="K719" i="51"/>
  <c r="K720" i="51"/>
  <c r="K723" i="51"/>
  <c r="K724" i="51"/>
  <c r="K725" i="51"/>
  <c r="K727" i="51"/>
  <c r="K728" i="51"/>
  <c r="K731" i="51"/>
  <c r="K732" i="51"/>
  <c r="K733" i="51"/>
  <c r="K736" i="51"/>
  <c r="K757" i="51"/>
  <c r="K760" i="51"/>
  <c r="K764" i="51"/>
  <c r="K771" i="51"/>
  <c r="K772" i="51"/>
  <c r="K773" i="51"/>
  <c r="K776" i="51"/>
  <c r="K780" i="51"/>
  <c r="K783" i="51"/>
  <c r="K795" i="51"/>
  <c r="K800" i="51"/>
  <c r="K803" i="51"/>
  <c r="K808" i="51"/>
  <c r="K811" i="51"/>
  <c r="K812" i="51"/>
  <c r="K813" i="51"/>
  <c r="K816" i="51"/>
  <c r="K823" i="51"/>
  <c r="K827" i="51"/>
  <c r="K832" i="51"/>
  <c r="K843" i="51"/>
  <c r="K847" i="51"/>
  <c r="K851" i="51"/>
  <c r="K852" i="51"/>
  <c r="K853" i="51"/>
  <c r="K859" i="51"/>
  <c r="K860" i="51"/>
  <c r="K864" i="51"/>
  <c r="K868" i="51"/>
  <c r="K876" i="51"/>
  <c r="K877" i="51"/>
  <c r="K880" i="51"/>
  <c r="K893" i="51"/>
  <c r="K904" i="51"/>
  <c r="K907" i="51"/>
  <c r="K912" i="51"/>
  <c r="K915" i="51"/>
  <c r="K917" i="51"/>
  <c r="K924" i="51"/>
  <c r="K931" i="51"/>
  <c r="K941" i="51"/>
  <c r="K947" i="51"/>
  <c r="K955" i="51"/>
  <c r="K963" i="51"/>
  <c r="K965" i="51"/>
  <c r="K971" i="51"/>
  <c r="K972" i="51"/>
  <c r="K975" i="51"/>
  <c r="K980" i="51"/>
  <c r="K983" i="51"/>
  <c r="K987" i="51"/>
  <c r="K995" i="51"/>
  <c r="K1007" i="51"/>
  <c r="K1015" i="51"/>
  <c r="K1019" i="51"/>
  <c r="K1020" i="51"/>
  <c r="K1027" i="51"/>
  <c r="K1035" i="51"/>
  <c r="K1061" i="51"/>
  <c r="K1069" i="51"/>
  <c r="K1071" i="51"/>
  <c r="K1072" i="51"/>
  <c r="K1075" i="51"/>
  <c r="K1080" i="51"/>
  <c r="K1088" i="51"/>
  <c r="K1100" i="51"/>
  <c r="K1104" i="51"/>
  <c r="K1112" i="51"/>
  <c r="K1115" i="51"/>
  <c r="K1116" i="51"/>
  <c r="K1117" i="51"/>
  <c r="K1120" i="51"/>
  <c r="K1123" i="51"/>
  <c r="K1124" i="51"/>
  <c r="K1125" i="51"/>
  <c r="K1128" i="51"/>
  <c r="K1139" i="51"/>
  <c r="K1140" i="51"/>
  <c r="K1141" i="51"/>
  <c r="K1143" i="51"/>
  <c r="K1156" i="51"/>
  <c r="K1157" i="51"/>
  <c r="K1160" i="51"/>
  <c r="K1163" i="51"/>
  <c r="J71" i="18"/>
  <c r="J70" i="18"/>
  <c r="H33" i="8"/>
  <c r="U181" i="17"/>
  <c r="N181" i="17"/>
  <c r="R181" i="17"/>
  <c r="S181" i="17"/>
  <c r="T181" i="17"/>
  <c r="N182" i="17"/>
  <c r="R182" i="17"/>
  <c r="S182" i="17"/>
  <c r="T182" i="17"/>
  <c r="U182" i="17"/>
  <c r="M174" i="17"/>
  <c r="AG16" i="17"/>
  <c r="C129" i="38"/>
  <c r="C122" i="38"/>
  <c r="C123" i="38"/>
  <c r="C124" i="38"/>
  <c r="C125" i="38"/>
  <c r="C126" i="38"/>
  <c r="C127" i="38"/>
  <c r="C128" i="38"/>
  <c r="C130" i="38"/>
  <c r="C131" i="38"/>
  <c r="C132" i="38"/>
  <c r="C357" i="38"/>
  <c r="C358" i="38"/>
  <c r="H1127" i="44"/>
  <c r="H1128" i="44"/>
  <c r="H8" i="44"/>
  <c r="H9" i="44"/>
  <c r="H10" i="44"/>
  <c r="H11" i="44"/>
  <c r="H12" i="44"/>
  <c r="H13" i="44"/>
  <c r="H14" i="44"/>
  <c r="H16" i="44"/>
  <c r="H17" i="44"/>
  <c r="H18" i="44"/>
  <c r="H19" i="44"/>
  <c r="H20" i="44"/>
  <c r="H21" i="44"/>
  <c r="H22" i="44"/>
  <c r="H23" i="44"/>
  <c r="H24" i="44"/>
  <c r="H25" i="44"/>
  <c r="H26" i="44"/>
  <c r="H27" i="44"/>
  <c r="H28" i="44"/>
  <c r="H29" i="44"/>
  <c r="H30" i="44"/>
  <c r="H31" i="44"/>
  <c r="H34" i="44"/>
  <c r="H35" i="44"/>
  <c r="H36" i="44"/>
  <c r="H37" i="44"/>
  <c r="H38" i="44"/>
  <c r="H39" i="44"/>
  <c r="H40" i="44"/>
  <c r="H42" i="44"/>
  <c r="H43" i="44"/>
  <c r="H44" i="44"/>
  <c r="H45" i="44"/>
  <c r="H46" i="44"/>
  <c r="H47" i="44"/>
  <c r="H48" i="44"/>
  <c r="H49" i="44"/>
  <c r="H50" i="44"/>
  <c r="H51" i="44"/>
  <c r="H52" i="44"/>
  <c r="H53" i="44"/>
  <c r="H54" i="44"/>
  <c r="H55" i="44"/>
  <c r="H56" i="44"/>
  <c r="H57" i="44"/>
  <c r="H58" i="44"/>
  <c r="H59" i="44"/>
  <c r="H60" i="44"/>
  <c r="H61" i="44"/>
  <c r="H62" i="44"/>
  <c r="H63" i="44"/>
  <c r="H64" i="44"/>
  <c r="H65" i="44"/>
  <c r="H66" i="44"/>
  <c r="H67" i="44"/>
  <c r="H68" i="44"/>
  <c r="H69" i="44"/>
  <c r="H70" i="44"/>
  <c r="H71" i="44"/>
  <c r="H72" i="44"/>
  <c r="H73" i="44"/>
  <c r="H74" i="44"/>
  <c r="H75" i="44"/>
  <c r="H76" i="44"/>
  <c r="H77" i="44"/>
  <c r="H78" i="44"/>
  <c r="H79" i="44"/>
  <c r="H80" i="44"/>
  <c r="H81" i="44"/>
  <c r="H82" i="44"/>
  <c r="H83" i="44"/>
  <c r="H84" i="44"/>
  <c r="H85" i="44"/>
  <c r="H86" i="44"/>
  <c r="H87" i="44"/>
  <c r="H88" i="44"/>
  <c r="H89" i="44"/>
  <c r="H90" i="44"/>
  <c r="H91" i="44"/>
  <c r="H92" i="44"/>
  <c r="H93" i="44"/>
  <c r="H94" i="44"/>
  <c r="H95" i="44"/>
  <c r="H96" i="44"/>
  <c r="H97" i="44"/>
  <c r="H98" i="44"/>
  <c r="H99" i="44"/>
  <c r="H100" i="44"/>
  <c r="H101" i="44"/>
  <c r="H102" i="44"/>
  <c r="H103" i="44"/>
  <c r="H104" i="44"/>
  <c r="H105" i="44"/>
  <c r="H106" i="44"/>
  <c r="H107" i="44"/>
  <c r="H108" i="44"/>
  <c r="H109" i="44"/>
  <c r="H110" i="44"/>
  <c r="H111" i="44"/>
  <c r="H112" i="44"/>
  <c r="H113" i="44"/>
  <c r="H114" i="44"/>
  <c r="H115" i="44"/>
  <c r="H116" i="44"/>
  <c r="H117" i="44"/>
  <c r="H118" i="44"/>
  <c r="H119" i="44"/>
  <c r="H120" i="44"/>
  <c r="H121" i="44"/>
  <c r="H122" i="44"/>
  <c r="H123" i="44"/>
  <c r="H124" i="44"/>
  <c r="H125" i="44"/>
  <c r="H126" i="44"/>
  <c r="H127" i="44"/>
  <c r="H128" i="44"/>
  <c r="H129" i="44"/>
  <c r="H130" i="44"/>
  <c r="H131" i="44"/>
  <c r="H132" i="44"/>
  <c r="H133" i="44"/>
  <c r="H134" i="44"/>
  <c r="H135" i="44"/>
  <c r="H136" i="44"/>
  <c r="H137" i="44"/>
  <c r="H138" i="44"/>
  <c r="H139" i="44"/>
  <c r="H140" i="44"/>
  <c r="H141" i="44"/>
  <c r="H142" i="44"/>
  <c r="H143" i="44"/>
  <c r="H144" i="44"/>
  <c r="H145" i="44"/>
  <c r="H146" i="44"/>
  <c r="H147" i="44"/>
  <c r="H148" i="44"/>
  <c r="H149" i="44"/>
  <c r="H150" i="44"/>
  <c r="H151" i="44"/>
  <c r="H152" i="44"/>
  <c r="H153" i="44"/>
  <c r="H154" i="44"/>
  <c r="H155" i="44"/>
  <c r="H156" i="44"/>
  <c r="H157" i="44"/>
  <c r="H158" i="44"/>
  <c r="H159" i="44"/>
  <c r="H160" i="44"/>
  <c r="H161" i="44"/>
  <c r="H162" i="44"/>
  <c r="H163" i="44"/>
  <c r="H164" i="44"/>
  <c r="H165" i="44"/>
  <c r="H166" i="44"/>
  <c r="H167" i="44"/>
  <c r="H168" i="44"/>
  <c r="H169" i="44"/>
  <c r="H170" i="44"/>
  <c r="H171" i="44"/>
  <c r="H172" i="44"/>
  <c r="H173" i="44"/>
  <c r="H174" i="44"/>
  <c r="H175" i="44"/>
  <c r="H176" i="44"/>
  <c r="H177" i="44"/>
  <c r="H178" i="44"/>
  <c r="H179" i="44"/>
  <c r="H180" i="44"/>
  <c r="H181" i="44"/>
  <c r="H182" i="44"/>
  <c r="H183" i="44"/>
  <c r="H184" i="44"/>
  <c r="H185" i="44"/>
  <c r="H186" i="44"/>
  <c r="H187" i="44"/>
  <c r="H188" i="44"/>
  <c r="H189" i="44"/>
  <c r="H190" i="44"/>
  <c r="H191" i="44"/>
  <c r="H192" i="44"/>
  <c r="H193" i="44"/>
  <c r="H194" i="44"/>
  <c r="H195" i="44"/>
  <c r="H196" i="44"/>
  <c r="H197" i="44"/>
  <c r="H198" i="44"/>
  <c r="H199" i="44"/>
  <c r="H200" i="44"/>
  <c r="H201" i="44"/>
  <c r="H202" i="44"/>
  <c r="H203" i="44"/>
  <c r="H204" i="44"/>
  <c r="H205" i="44"/>
  <c r="H206" i="44"/>
  <c r="H207" i="44"/>
  <c r="H208" i="44"/>
  <c r="H209" i="44"/>
  <c r="H210" i="44"/>
  <c r="H211" i="44"/>
  <c r="H212" i="44"/>
  <c r="H213" i="44"/>
  <c r="H214" i="44"/>
  <c r="H215" i="44"/>
  <c r="H216" i="44"/>
  <c r="H217" i="44"/>
  <c r="H218" i="44"/>
  <c r="H219" i="44"/>
  <c r="H220" i="44"/>
  <c r="H221" i="44"/>
  <c r="H222" i="44"/>
  <c r="H223" i="44"/>
  <c r="H224" i="44"/>
  <c r="H225" i="44"/>
  <c r="H226" i="44"/>
  <c r="H227" i="44"/>
  <c r="H228" i="44"/>
  <c r="H229" i="44"/>
  <c r="H230" i="44"/>
  <c r="H231" i="44"/>
  <c r="H232" i="44"/>
  <c r="H233" i="44"/>
  <c r="H234" i="44"/>
  <c r="H235" i="44"/>
  <c r="H236" i="44"/>
  <c r="H237" i="44"/>
  <c r="H238" i="44"/>
  <c r="H239" i="44"/>
  <c r="H240" i="44"/>
  <c r="H241" i="44"/>
  <c r="H242" i="44"/>
  <c r="H243" i="44"/>
  <c r="H244" i="44"/>
  <c r="H245" i="44"/>
  <c r="H246" i="44"/>
  <c r="H247" i="44"/>
  <c r="H248" i="44"/>
  <c r="H249" i="44"/>
  <c r="H250" i="44"/>
  <c r="H251" i="44"/>
  <c r="H252" i="44"/>
  <c r="H253" i="44"/>
  <c r="H254" i="44"/>
  <c r="H255" i="44"/>
  <c r="H256" i="44"/>
  <c r="H257" i="44"/>
  <c r="H258" i="44"/>
  <c r="H259" i="44"/>
  <c r="H260" i="44"/>
  <c r="H261" i="44"/>
  <c r="H262" i="44"/>
  <c r="H263" i="44"/>
  <c r="H264" i="44"/>
  <c r="H265"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H293" i="44"/>
  <c r="H294" i="44"/>
  <c r="H295" i="44"/>
  <c r="H296" i="44"/>
  <c r="H297" i="44"/>
  <c r="H298" i="44"/>
  <c r="H299" i="44"/>
  <c r="H300" i="44"/>
  <c r="H301" i="44"/>
  <c r="H302" i="44"/>
  <c r="H303" i="44"/>
  <c r="H304" i="44"/>
  <c r="H305" i="44"/>
  <c r="H306" i="44"/>
  <c r="H307" i="44"/>
  <c r="H308" i="44"/>
  <c r="H309" i="44"/>
  <c r="H310" i="44"/>
  <c r="H311" i="44"/>
  <c r="H312" i="44"/>
  <c r="H313" i="44"/>
  <c r="H314" i="44"/>
  <c r="H315" i="44"/>
  <c r="H316" i="44"/>
  <c r="H317" i="44"/>
  <c r="H318" i="44"/>
  <c r="H319" i="44"/>
  <c r="H320" i="44"/>
  <c r="H321" i="44"/>
  <c r="H322" i="44"/>
  <c r="H323" i="44"/>
  <c r="H324" i="44"/>
  <c r="H325" i="44"/>
  <c r="H326" i="44"/>
  <c r="H327" i="44"/>
  <c r="H328" i="44"/>
  <c r="H329" i="44"/>
  <c r="H330" i="44"/>
  <c r="H331" i="44"/>
  <c r="H332" i="44"/>
  <c r="H333" i="44"/>
  <c r="H334" i="44"/>
  <c r="H335" i="44"/>
  <c r="H336" i="44"/>
  <c r="H337" i="44"/>
  <c r="H338" i="44"/>
  <c r="H339" i="44"/>
  <c r="H340" i="44"/>
  <c r="H341" i="44"/>
  <c r="H342" i="44"/>
  <c r="H343" i="44"/>
  <c r="H344" i="44"/>
  <c r="H345" i="44"/>
  <c r="H346" i="44"/>
  <c r="H347" i="44"/>
  <c r="H348" i="44"/>
  <c r="H349" i="44"/>
  <c r="H350" i="44"/>
  <c r="H351" i="44"/>
  <c r="H352" i="44"/>
  <c r="H353" i="44"/>
  <c r="H354" i="44"/>
  <c r="H355" i="44"/>
  <c r="H356" i="44"/>
  <c r="H357" i="44"/>
  <c r="H358" i="44"/>
  <c r="H359" i="44"/>
  <c r="H360" i="44"/>
  <c r="H361" i="44"/>
  <c r="H362" i="44"/>
  <c r="H363" i="44"/>
  <c r="H364" i="44"/>
  <c r="H365" i="44"/>
  <c r="H366" i="44"/>
  <c r="H367" i="44"/>
  <c r="H368" i="44"/>
  <c r="H369" i="44"/>
  <c r="H370" i="44"/>
  <c r="H371" i="44"/>
  <c r="H372" i="44"/>
  <c r="H373" i="44"/>
  <c r="H374" i="44"/>
  <c r="H375" i="44"/>
  <c r="H376" i="44"/>
  <c r="H377" i="44"/>
  <c r="H378" i="44"/>
  <c r="H379" i="44"/>
  <c r="H380" i="44"/>
  <c r="H381" i="44"/>
  <c r="H382" i="44"/>
  <c r="H383" i="44"/>
  <c r="H384" i="44"/>
  <c r="H385" i="44"/>
  <c r="H386" i="44"/>
  <c r="H387" i="44"/>
  <c r="H388" i="44"/>
  <c r="H389" i="44"/>
  <c r="H390" i="44"/>
  <c r="H391" i="44"/>
  <c r="H392" i="44"/>
  <c r="H393" i="44"/>
  <c r="H394" i="44"/>
  <c r="H395" i="44"/>
  <c r="H396" i="44"/>
  <c r="H397" i="44"/>
  <c r="H398" i="44"/>
  <c r="H399" i="44"/>
  <c r="H400" i="44"/>
  <c r="H401" i="44"/>
  <c r="H402" i="44"/>
  <c r="H403" i="44"/>
  <c r="H404" i="44"/>
  <c r="H405" i="44"/>
  <c r="H406" i="44"/>
  <c r="H407" i="44"/>
  <c r="H408" i="44"/>
  <c r="H409" i="44"/>
  <c r="H410" i="44"/>
  <c r="H411" i="44"/>
  <c r="H412" i="44"/>
  <c r="H413" i="44"/>
  <c r="H414" i="44"/>
  <c r="H415" i="44"/>
  <c r="H416" i="44"/>
  <c r="H417" i="44"/>
  <c r="H418" i="44"/>
  <c r="H419" i="44"/>
  <c r="H420" i="44"/>
  <c r="H421" i="44"/>
  <c r="H422" i="44"/>
  <c r="H423" i="44"/>
  <c r="H424" i="44"/>
  <c r="H425" i="44"/>
  <c r="H426" i="44"/>
  <c r="H427" i="44"/>
  <c r="H428" i="44"/>
  <c r="H429" i="44"/>
  <c r="H430" i="44"/>
  <c r="H431" i="44"/>
  <c r="H432" i="44"/>
  <c r="H433" i="44"/>
  <c r="H434" i="44"/>
  <c r="H435" i="44"/>
  <c r="H436" i="44"/>
  <c r="H437" i="44"/>
  <c r="H438" i="44"/>
  <c r="H440" i="44"/>
  <c r="H441" i="44"/>
  <c r="H442" i="44"/>
  <c r="H443" i="44"/>
  <c r="H444" i="44"/>
  <c r="H445" i="44"/>
  <c r="H446" i="44"/>
  <c r="H447" i="44"/>
  <c r="H448" i="44"/>
  <c r="H449" i="44"/>
  <c r="H450" i="44"/>
  <c r="H452" i="44"/>
  <c r="H453" i="44"/>
  <c r="H454" i="44"/>
  <c r="H455" i="44"/>
  <c r="H456" i="44"/>
  <c r="H457" i="44"/>
  <c r="H458" i="44"/>
  <c r="H459" i="44"/>
  <c r="H460" i="44"/>
  <c r="H461" i="44"/>
  <c r="H462" i="44"/>
  <c r="H463" i="44"/>
  <c r="H464" i="44"/>
  <c r="H465" i="44"/>
  <c r="H466" i="44"/>
  <c r="H467" i="44"/>
  <c r="H468" i="44"/>
  <c r="H470" i="44"/>
  <c r="H471" i="44"/>
  <c r="H472" i="44"/>
  <c r="H473" i="44"/>
  <c r="H474" i="44"/>
  <c r="H475" i="44"/>
  <c r="H476" i="44"/>
  <c r="H477" i="44"/>
  <c r="H478" i="44"/>
  <c r="H479" i="44"/>
  <c r="H480" i="44"/>
  <c r="H481" i="44"/>
  <c r="H482" i="44"/>
  <c r="H483" i="44"/>
  <c r="H484" i="44"/>
  <c r="H485" i="44"/>
  <c r="H486" i="44"/>
  <c r="H487" i="44"/>
  <c r="H488" i="44"/>
  <c r="H489" i="44"/>
  <c r="H490" i="44"/>
  <c r="H491" i="44"/>
  <c r="H492" i="44"/>
  <c r="H493" i="44"/>
  <c r="H494" i="44"/>
  <c r="H495" i="44"/>
  <c r="H496" i="44"/>
  <c r="H497" i="44"/>
  <c r="H498" i="44"/>
  <c r="H499" i="44"/>
  <c r="H500" i="44"/>
  <c r="H501" i="44"/>
  <c r="H502" i="44"/>
  <c r="H503" i="44"/>
  <c r="H504" i="44"/>
  <c r="H505" i="44"/>
  <c r="H506" i="44"/>
  <c r="H507" i="44"/>
  <c r="H508" i="44"/>
  <c r="H509" i="44"/>
  <c r="H510" i="44"/>
  <c r="H511" i="44"/>
  <c r="H512" i="44"/>
  <c r="H513" i="44"/>
  <c r="H514" i="44"/>
  <c r="H515" i="44"/>
  <c r="H516" i="44"/>
  <c r="H517" i="44"/>
  <c r="H518" i="44"/>
  <c r="H519" i="44"/>
  <c r="H520" i="44"/>
  <c r="H521" i="44"/>
  <c r="H522" i="44"/>
  <c r="H523" i="44"/>
  <c r="H524" i="44"/>
  <c r="H525" i="44"/>
  <c r="H526" i="44"/>
  <c r="H527" i="44"/>
  <c r="H528" i="44"/>
  <c r="H529" i="44"/>
  <c r="H530" i="44"/>
  <c r="H531" i="44"/>
  <c r="H532" i="44"/>
  <c r="H533" i="44"/>
  <c r="H534" i="44"/>
  <c r="H535" i="44"/>
  <c r="H536" i="44"/>
  <c r="H537" i="44"/>
  <c r="H538" i="44"/>
  <c r="H539" i="44"/>
  <c r="H540" i="44"/>
  <c r="H541" i="44"/>
  <c r="H542" i="44"/>
  <c r="H543" i="44"/>
  <c r="H544" i="44"/>
  <c r="H545" i="44"/>
  <c r="H546" i="44"/>
  <c r="H547" i="44"/>
  <c r="H548" i="44"/>
  <c r="H549" i="44"/>
  <c r="H550" i="44"/>
  <c r="H551" i="44"/>
  <c r="H552" i="44"/>
  <c r="H553" i="44"/>
  <c r="H554" i="44"/>
  <c r="H555" i="44"/>
  <c r="H556" i="44"/>
  <c r="H557" i="44"/>
  <c r="H558" i="44"/>
  <c r="H559" i="44"/>
  <c r="H560" i="44"/>
  <c r="H561" i="44"/>
  <c r="H562" i="44"/>
  <c r="H563" i="44"/>
  <c r="H564" i="44"/>
  <c r="H565" i="44"/>
  <c r="H566" i="44"/>
  <c r="H567" i="44"/>
  <c r="H568" i="44"/>
  <c r="H569" i="44"/>
  <c r="H570" i="44"/>
  <c r="H571" i="44"/>
  <c r="H572" i="44"/>
  <c r="H573" i="44"/>
  <c r="H574" i="44"/>
  <c r="H575" i="44"/>
  <c r="H576" i="44"/>
  <c r="H577" i="44"/>
  <c r="H578" i="44"/>
  <c r="H579" i="44"/>
  <c r="H580" i="44"/>
  <c r="H581" i="44"/>
  <c r="H582" i="44"/>
  <c r="H583" i="44"/>
  <c r="H584" i="44"/>
  <c r="H585" i="44"/>
  <c r="H586" i="44"/>
  <c r="H587" i="44"/>
  <c r="H588" i="44"/>
  <c r="H589" i="44"/>
  <c r="H590" i="44"/>
  <c r="H591" i="44"/>
  <c r="H592" i="44"/>
  <c r="H593" i="44"/>
  <c r="H594" i="44"/>
  <c r="H595" i="44"/>
  <c r="H596" i="44"/>
  <c r="H597" i="44"/>
  <c r="H598" i="44"/>
  <c r="H599" i="44"/>
  <c r="H600" i="44"/>
  <c r="H601" i="44"/>
  <c r="H602" i="44"/>
  <c r="H603" i="44"/>
  <c r="H604" i="44"/>
  <c r="H605" i="44"/>
  <c r="H606" i="44"/>
  <c r="H607" i="44"/>
  <c r="H608" i="44"/>
  <c r="H609" i="44"/>
  <c r="H610" i="44"/>
  <c r="H611" i="44"/>
  <c r="H612" i="44"/>
  <c r="H613" i="44"/>
  <c r="H614" i="44"/>
  <c r="H615" i="44"/>
  <c r="H616" i="44"/>
  <c r="H617" i="44"/>
  <c r="H618" i="44"/>
  <c r="H619" i="44"/>
  <c r="H620" i="44"/>
  <c r="H621" i="44"/>
  <c r="H622" i="44"/>
  <c r="H623" i="44"/>
  <c r="H624" i="44"/>
  <c r="H625" i="44"/>
  <c r="H626" i="44"/>
  <c r="H627" i="44"/>
  <c r="H628" i="44"/>
  <c r="H629" i="44"/>
  <c r="H630" i="44"/>
  <c r="H631" i="44"/>
  <c r="H632" i="44"/>
  <c r="H633" i="44"/>
  <c r="H634" i="44"/>
  <c r="H635" i="44"/>
  <c r="H636" i="44"/>
  <c r="H637" i="44"/>
  <c r="H638" i="44"/>
  <c r="H639" i="44"/>
  <c r="H640" i="44"/>
  <c r="H641" i="44"/>
  <c r="H642" i="44"/>
  <c r="H643" i="44"/>
  <c r="H644" i="44"/>
  <c r="H645" i="44"/>
  <c r="H646" i="44"/>
  <c r="H647" i="44"/>
  <c r="H648" i="44"/>
  <c r="H649" i="44"/>
  <c r="H650" i="44"/>
  <c r="H651" i="44"/>
  <c r="H652" i="44"/>
  <c r="H653" i="44"/>
  <c r="H654" i="44"/>
  <c r="H655" i="44"/>
  <c r="H656" i="44"/>
  <c r="H657" i="44"/>
  <c r="H658" i="44"/>
  <c r="H659" i="44"/>
  <c r="H660" i="44"/>
  <c r="H661" i="44"/>
  <c r="H662" i="44"/>
  <c r="H663" i="44"/>
  <c r="H664" i="44"/>
  <c r="H665" i="44"/>
  <c r="H666" i="44"/>
  <c r="H667" i="44"/>
  <c r="H668" i="44"/>
  <c r="H669" i="44"/>
  <c r="H670" i="44"/>
  <c r="H671" i="44"/>
  <c r="H672" i="44"/>
  <c r="H673" i="44"/>
  <c r="H674" i="44"/>
  <c r="H675" i="44"/>
  <c r="H676" i="44"/>
  <c r="H677" i="44"/>
  <c r="H678" i="44"/>
  <c r="H679" i="44"/>
  <c r="H680" i="44"/>
  <c r="H681" i="44"/>
  <c r="H682" i="44"/>
  <c r="H683" i="44"/>
  <c r="H684" i="44"/>
  <c r="H685" i="44"/>
  <c r="H686" i="44"/>
  <c r="H687" i="44"/>
  <c r="H688" i="44"/>
  <c r="H689" i="44"/>
  <c r="H690" i="44"/>
  <c r="H691" i="44"/>
  <c r="H692" i="44"/>
  <c r="H693" i="44"/>
  <c r="H694" i="44"/>
  <c r="H695" i="44"/>
  <c r="H696" i="44"/>
  <c r="H697" i="44"/>
  <c r="H698" i="44"/>
  <c r="H699" i="44"/>
  <c r="H700" i="44"/>
  <c r="H701" i="44"/>
  <c r="H702" i="44"/>
  <c r="H703" i="44"/>
  <c r="H704" i="44"/>
  <c r="H705" i="44"/>
  <c r="H706" i="44"/>
  <c r="H707" i="44"/>
  <c r="H708" i="44"/>
  <c r="H709" i="44"/>
  <c r="H710" i="44"/>
  <c r="H711" i="44"/>
  <c r="H712" i="44"/>
  <c r="H713" i="44"/>
  <c r="H714" i="44"/>
  <c r="H715" i="44"/>
  <c r="H716" i="44"/>
  <c r="H717" i="44"/>
  <c r="H718" i="44"/>
  <c r="H719" i="44"/>
  <c r="H720" i="44"/>
  <c r="H721" i="44"/>
  <c r="H722" i="44"/>
  <c r="H723" i="44"/>
  <c r="H724" i="44"/>
  <c r="H725" i="44"/>
  <c r="H726" i="44"/>
  <c r="H727" i="44"/>
  <c r="H728" i="44"/>
  <c r="H729" i="44"/>
  <c r="H730" i="44"/>
  <c r="H731" i="44"/>
  <c r="H732" i="44"/>
  <c r="H733" i="44"/>
  <c r="H734" i="44"/>
  <c r="H735" i="44"/>
  <c r="H736" i="44"/>
  <c r="H737" i="44"/>
  <c r="H738" i="44"/>
  <c r="H739" i="44"/>
  <c r="H740" i="44"/>
  <c r="H741" i="44"/>
  <c r="H742" i="44"/>
  <c r="H743" i="44"/>
  <c r="H744" i="44"/>
  <c r="H745" i="44"/>
  <c r="H746" i="44"/>
  <c r="H747" i="44"/>
  <c r="H748" i="44"/>
  <c r="H749" i="44"/>
  <c r="H750" i="44"/>
  <c r="H751" i="44"/>
  <c r="H752" i="44"/>
  <c r="H753" i="44"/>
  <c r="H754" i="44"/>
  <c r="H755" i="44"/>
  <c r="H756" i="44"/>
  <c r="H758" i="44"/>
  <c r="H759" i="44"/>
  <c r="H760" i="44"/>
  <c r="H762" i="44"/>
  <c r="H763" i="44"/>
  <c r="H764" i="44"/>
  <c r="H765" i="44"/>
  <c r="H766" i="44"/>
  <c r="H767" i="44"/>
  <c r="H768" i="44"/>
  <c r="H769" i="44"/>
  <c r="H770" i="44"/>
  <c r="H771" i="44"/>
  <c r="H772" i="44"/>
  <c r="H773" i="44"/>
  <c r="H774" i="44"/>
  <c r="H775" i="44"/>
  <c r="H776" i="44"/>
  <c r="H777" i="44"/>
  <c r="H778" i="44"/>
  <c r="H779" i="44"/>
  <c r="H781" i="44"/>
  <c r="H782" i="44"/>
  <c r="H783" i="44"/>
  <c r="H784" i="44"/>
  <c r="H785" i="44"/>
  <c r="H786" i="44"/>
  <c r="H787" i="44"/>
  <c r="H788" i="44"/>
  <c r="H789" i="44"/>
  <c r="H790" i="44"/>
  <c r="H791" i="44"/>
  <c r="H792" i="44"/>
  <c r="H793" i="44"/>
  <c r="H794" i="44"/>
  <c r="H795" i="44"/>
  <c r="H796" i="44"/>
  <c r="H797" i="44"/>
  <c r="H798" i="44"/>
  <c r="H799" i="44"/>
  <c r="H800" i="44"/>
  <c r="H801" i="44"/>
  <c r="H802" i="44"/>
  <c r="H803" i="44"/>
  <c r="H804" i="44"/>
  <c r="H805" i="44"/>
  <c r="H806" i="44"/>
  <c r="H807" i="44"/>
  <c r="H808" i="44"/>
  <c r="H809" i="44"/>
  <c r="H810" i="44"/>
  <c r="H811" i="44"/>
  <c r="H812" i="44"/>
  <c r="H813" i="44"/>
  <c r="H814" i="44"/>
  <c r="H815" i="44"/>
  <c r="H816" i="44"/>
  <c r="H817" i="44"/>
  <c r="H818" i="44"/>
  <c r="H819" i="44"/>
  <c r="H820" i="44"/>
  <c r="H821" i="44"/>
  <c r="H822" i="44"/>
  <c r="H823" i="44"/>
  <c r="H824" i="44"/>
  <c r="H825" i="44"/>
  <c r="H826" i="44"/>
  <c r="H827" i="44"/>
  <c r="H828" i="44"/>
  <c r="H829" i="44"/>
  <c r="H830" i="44"/>
  <c r="H831" i="44"/>
  <c r="H832" i="44"/>
  <c r="H833" i="44"/>
  <c r="H834" i="44"/>
  <c r="H835" i="44"/>
  <c r="H836" i="44"/>
  <c r="H838" i="44"/>
  <c r="H839" i="44"/>
  <c r="H840" i="44"/>
  <c r="H841" i="44"/>
  <c r="H842" i="44"/>
  <c r="H843" i="44"/>
  <c r="H844" i="44"/>
  <c r="H845" i="44"/>
  <c r="H846" i="44"/>
  <c r="H847" i="44"/>
  <c r="H848" i="44"/>
  <c r="H849" i="44"/>
  <c r="H850" i="44"/>
  <c r="H851" i="44"/>
  <c r="H852" i="44"/>
  <c r="H853" i="44"/>
  <c r="H854" i="44"/>
  <c r="H855" i="44"/>
  <c r="H856" i="44"/>
  <c r="H858" i="44"/>
  <c r="H859" i="44"/>
  <c r="H860" i="44"/>
  <c r="H861" i="44"/>
  <c r="H862" i="44"/>
  <c r="H863" i="44"/>
  <c r="H864" i="44"/>
  <c r="H865" i="44"/>
  <c r="H866" i="44"/>
  <c r="H868" i="44"/>
  <c r="H869" i="44"/>
  <c r="H870" i="44"/>
  <c r="H871" i="44"/>
  <c r="H872" i="44"/>
  <c r="H873" i="44"/>
  <c r="H874" i="44"/>
  <c r="H875" i="44"/>
  <c r="H876" i="44"/>
  <c r="H878" i="44"/>
  <c r="H879" i="44"/>
  <c r="H880" i="44"/>
  <c r="H881" i="44"/>
  <c r="H882" i="44"/>
  <c r="H883" i="44"/>
  <c r="H884" i="44"/>
  <c r="H885" i="44"/>
  <c r="H886" i="44"/>
  <c r="H887" i="44"/>
  <c r="H888" i="44"/>
  <c r="H889" i="44"/>
  <c r="H890" i="44"/>
  <c r="H891" i="44"/>
  <c r="H892" i="44"/>
  <c r="H893" i="44"/>
  <c r="H894" i="44"/>
  <c r="H895" i="44"/>
  <c r="H896" i="44"/>
  <c r="H897" i="44"/>
  <c r="H898" i="44"/>
  <c r="H899" i="44"/>
  <c r="H900" i="44"/>
  <c r="H901" i="44"/>
  <c r="H902" i="44"/>
  <c r="H903" i="44"/>
  <c r="H904" i="44"/>
  <c r="H905" i="44"/>
  <c r="H906" i="44"/>
  <c r="H907" i="44"/>
  <c r="H908" i="44"/>
  <c r="H909" i="44"/>
  <c r="H911" i="44"/>
  <c r="H913" i="44"/>
  <c r="H914" i="44"/>
  <c r="H915" i="44"/>
  <c r="H916" i="44"/>
  <c r="H917" i="44"/>
  <c r="H918" i="44"/>
  <c r="H920" i="44"/>
  <c r="D13" i="13"/>
  <c r="H919" i="44"/>
  <c r="H921" i="44"/>
  <c r="H922" i="44"/>
  <c r="H923" i="44"/>
  <c r="H924" i="44"/>
  <c r="H925" i="44"/>
  <c r="H926" i="44"/>
  <c r="H927" i="44"/>
  <c r="H929" i="44"/>
  <c r="H930" i="44"/>
  <c r="H931" i="44"/>
  <c r="H932" i="44"/>
  <c r="H933" i="44"/>
  <c r="H934" i="44"/>
  <c r="H935" i="44"/>
  <c r="H936" i="44"/>
  <c r="H937" i="44"/>
  <c r="H940" i="44"/>
  <c r="H941" i="44"/>
  <c r="H942" i="44"/>
  <c r="H943" i="44"/>
  <c r="H944" i="44"/>
  <c r="H945" i="44"/>
  <c r="H946" i="44"/>
  <c r="D16" i="13"/>
  <c r="H947" i="44"/>
  <c r="H948" i="44"/>
  <c r="H949" i="44"/>
  <c r="H950" i="44"/>
  <c r="H951" i="44"/>
  <c r="H952" i="44"/>
  <c r="H953" i="44"/>
  <c r="H954" i="44"/>
  <c r="H955" i="44"/>
  <c r="H956" i="44"/>
  <c r="H957" i="44"/>
  <c r="H959" i="44"/>
  <c r="H960" i="44"/>
  <c r="H961" i="44"/>
  <c r="H962" i="44"/>
  <c r="H963" i="44"/>
  <c r="H964" i="44"/>
  <c r="H965" i="44"/>
  <c r="H966" i="44"/>
  <c r="H967" i="44"/>
  <c r="H968" i="44"/>
  <c r="H969" i="44"/>
  <c r="H970" i="44"/>
  <c r="H971" i="44"/>
  <c r="H972" i="44"/>
  <c r="H973" i="44"/>
  <c r="H974" i="44"/>
  <c r="H975" i="44"/>
  <c r="H976" i="44"/>
  <c r="H978" i="44"/>
  <c r="H979" i="44"/>
  <c r="H980" i="44"/>
  <c r="H981" i="44"/>
  <c r="H982" i="44"/>
  <c r="H983" i="44"/>
  <c r="H984" i="44"/>
  <c r="H985" i="44"/>
  <c r="H986" i="44"/>
  <c r="H987" i="44"/>
  <c r="H988" i="44"/>
  <c r="H989" i="44"/>
  <c r="H990" i="44"/>
  <c r="H991" i="44"/>
  <c r="H992" i="44"/>
  <c r="H993" i="44"/>
  <c r="H994" i="44"/>
  <c r="H995" i="44"/>
  <c r="H996" i="44"/>
  <c r="H997" i="44"/>
  <c r="H998" i="44"/>
  <c r="H999" i="44"/>
  <c r="H1000" i="44"/>
  <c r="H1001" i="44"/>
  <c r="H1002" i="44"/>
  <c r="H1003" i="44"/>
  <c r="H1004" i="44"/>
  <c r="H1005" i="44"/>
  <c r="H1006" i="44"/>
  <c r="H1007" i="44"/>
  <c r="H1008" i="44"/>
  <c r="H1009" i="44"/>
  <c r="H1010" i="44"/>
  <c r="H1011" i="44"/>
  <c r="H1012" i="44"/>
  <c r="H1013" i="44"/>
  <c r="H1014" i="44"/>
  <c r="H1015" i="44"/>
  <c r="H1016" i="44"/>
  <c r="H1017" i="44"/>
  <c r="H1018" i="44"/>
  <c r="H1019" i="44"/>
  <c r="H1020" i="44"/>
  <c r="H1021" i="44"/>
  <c r="H1022" i="44"/>
  <c r="H1023" i="44"/>
  <c r="H1024" i="44"/>
  <c r="H1025" i="44"/>
  <c r="H1026" i="44"/>
  <c r="H1027" i="44"/>
  <c r="H1028" i="44"/>
  <c r="H1029" i="44"/>
  <c r="H1030" i="44"/>
  <c r="H1031" i="44"/>
  <c r="H1032" i="44"/>
  <c r="H1033" i="44"/>
  <c r="H1034" i="44"/>
  <c r="H1035" i="44"/>
  <c r="H1036" i="44"/>
  <c r="H1037" i="44"/>
  <c r="H1038" i="44"/>
  <c r="H1039" i="44"/>
  <c r="H1040" i="44"/>
  <c r="H1041" i="44"/>
  <c r="H1042" i="44"/>
  <c r="H1043" i="44"/>
  <c r="H1044" i="44"/>
  <c r="H1045" i="44"/>
  <c r="H1046" i="44"/>
  <c r="H1047" i="44"/>
  <c r="H1048" i="44"/>
  <c r="H1049" i="44"/>
  <c r="H1050" i="44"/>
  <c r="H1051" i="44"/>
  <c r="H1052" i="44"/>
  <c r="H1053" i="44"/>
  <c r="H1054" i="44"/>
  <c r="H1055" i="44"/>
  <c r="H1056" i="44"/>
  <c r="H1057" i="44"/>
  <c r="H1058" i="44"/>
  <c r="H1059" i="44"/>
  <c r="H1060" i="44"/>
  <c r="H1061" i="44"/>
  <c r="H1062" i="44"/>
  <c r="H1063" i="44"/>
  <c r="H1064" i="44"/>
  <c r="H1065" i="44"/>
  <c r="H1066" i="44"/>
  <c r="H1067" i="44"/>
  <c r="H1069" i="44"/>
  <c r="H1070" i="44"/>
  <c r="H1071" i="44"/>
  <c r="H1072" i="44"/>
  <c r="H1073" i="44"/>
  <c r="H1074" i="44"/>
  <c r="H1075" i="44"/>
  <c r="H1076" i="44"/>
  <c r="H1077" i="44"/>
  <c r="H1078" i="44"/>
  <c r="H1079" i="44"/>
  <c r="H1080" i="44"/>
  <c r="H1082" i="44"/>
  <c r="H1083" i="44"/>
  <c r="H1084" i="44"/>
  <c r="H1085" i="44"/>
  <c r="H1086" i="44"/>
  <c r="H1087" i="44"/>
  <c r="H1088" i="44"/>
  <c r="H1089" i="44"/>
  <c r="H1090" i="44"/>
  <c r="H1091" i="44"/>
  <c r="H1092" i="44"/>
  <c r="H1093" i="44"/>
  <c r="H1094" i="44"/>
  <c r="H1095" i="44"/>
  <c r="H1096" i="44"/>
  <c r="H1097" i="44"/>
  <c r="H1098" i="44"/>
  <c r="H1099" i="44"/>
  <c r="H1100" i="44"/>
  <c r="H1101" i="44"/>
  <c r="H1102" i="44"/>
  <c r="H1103" i="44"/>
  <c r="H1104" i="44"/>
  <c r="H1105" i="44"/>
  <c r="H1106" i="44"/>
  <c r="H1107" i="44"/>
  <c r="H1109" i="44"/>
  <c r="H1110" i="44"/>
  <c r="H1111" i="44"/>
  <c r="H1112" i="44"/>
  <c r="H1113" i="44"/>
  <c r="H1114" i="44"/>
  <c r="H1115" i="44"/>
  <c r="G1115" i="44"/>
  <c r="H1116" i="44"/>
  <c r="H1117" i="44"/>
  <c r="H1118" i="44"/>
  <c r="H1119" i="44"/>
  <c r="G1119" i="44"/>
  <c r="H1120" i="44"/>
  <c r="H1121" i="44"/>
  <c r="H1122" i="44"/>
  <c r="H1123" i="44"/>
  <c r="H1125" i="44"/>
  <c r="H1126" i="44"/>
  <c r="H910" i="44"/>
  <c r="H7" i="44"/>
  <c r="E2" i="50"/>
  <c r="E3" i="50"/>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4" i="50"/>
  <c r="E275" i="50"/>
  <c r="E276" i="50"/>
  <c r="E277" i="50"/>
  <c r="E278" i="50"/>
  <c r="E279" i="50"/>
  <c r="E280" i="50"/>
  <c r="E281" i="50"/>
  <c r="E282" i="50"/>
  <c r="E283" i="50"/>
  <c r="E284" i="50"/>
  <c r="E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546" i="50"/>
  <c r="E547" i="50"/>
  <c r="E548" i="50"/>
  <c r="E549" i="50"/>
  <c r="E550" i="50"/>
  <c r="E551" i="50"/>
  <c r="E552" i="50"/>
  <c r="E553" i="50"/>
  <c r="E554" i="50"/>
  <c r="E555" i="50"/>
  <c r="E556" i="50"/>
  <c r="E557" i="50"/>
  <c r="E558" i="50"/>
  <c r="E559" i="50"/>
  <c r="E560" i="50"/>
  <c r="E561" i="50"/>
  <c r="E562" i="50"/>
  <c r="E563" i="50"/>
  <c r="E564" i="50"/>
  <c r="E565" i="50"/>
  <c r="E566" i="50"/>
  <c r="E567" i="50"/>
  <c r="E568" i="50"/>
  <c r="E569" i="50"/>
  <c r="E570" i="50"/>
  <c r="E571" i="50"/>
  <c r="E572" i="50"/>
  <c r="E573" i="50"/>
  <c r="E574" i="50"/>
  <c r="E575" i="50"/>
  <c r="E576" i="50"/>
  <c r="E577" i="50"/>
  <c r="E578" i="50"/>
  <c r="E579" i="50"/>
  <c r="E580" i="50"/>
  <c r="E581" i="50"/>
  <c r="E582" i="50"/>
  <c r="E583" i="50"/>
  <c r="E584" i="50"/>
  <c r="E585" i="50"/>
  <c r="E586" i="50"/>
  <c r="E587" i="50"/>
  <c r="E588" i="50"/>
  <c r="E589" i="50"/>
  <c r="E590" i="50"/>
  <c r="E591" i="50"/>
  <c r="E592" i="50"/>
  <c r="E593" i="50"/>
  <c r="E594" i="50"/>
  <c r="E595" i="50"/>
  <c r="E596" i="50"/>
  <c r="E597" i="50"/>
  <c r="E598" i="50"/>
  <c r="E599" i="50"/>
  <c r="E600" i="50"/>
  <c r="E601" i="50"/>
  <c r="E602" i="50"/>
  <c r="E603" i="50"/>
  <c r="E604" i="50"/>
  <c r="E605" i="50"/>
  <c r="E606" i="50"/>
  <c r="E607" i="50"/>
  <c r="E608" i="50"/>
  <c r="E609" i="50"/>
  <c r="E610" i="50"/>
  <c r="E611" i="50"/>
  <c r="E613" i="50"/>
  <c r="E614" i="50"/>
  <c r="E615" i="50"/>
  <c r="E616" i="50"/>
  <c r="E617" i="50"/>
  <c r="E618" i="50"/>
  <c r="E619" i="50"/>
  <c r="E620" i="50"/>
  <c r="E621" i="50"/>
  <c r="E622" i="50"/>
  <c r="E623" i="50"/>
  <c r="E624" i="50"/>
  <c r="E625" i="50"/>
  <c r="E626" i="50"/>
  <c r="E627" i="50"/>
  <c r="E628" i="50"/>
  <c r="E629" i="50"/>
  <c r="E630" i="50"/>
  <c r="E631" i="50"/>
  <c r="E632" i="50"/>
  <c r="E633" i="50"/>
  <c r="E634" i="50"/>
  <c r="E635" i="50"/>
  <c r="E636" i="50"/>
  <c r="E637" i="50"/>
  <c r="E638" i="50"/>
  <c r="E639" i="50"/>
  <c r="E640" i="50"/>
  <c r="E641" i="50"/>
  <c r="E642" i="50"/>
  <c r="E643" i="50"/>
  <c r="E644" i="50"/>
  <c r="E645" i="50"/>
  <c r="E646" i="50"/>
  <c r="E647" i="50"/>
  <c r="E648" i="50"/>
  <c r="E649" i="50"/>
  <c r="E650" i="50"/>
  <c r="E651" i="50"/>
  <c r="E652" i="50"/>
  <c r="E653" i="50"/>
  <c r="E654" i="50"/>
  <c r="E655" i="50"/>
  <c r="E656" i="50"/>
  <c r="E657" i="50"/>
  <c r="E658" i="50"/>
  <c r="E659" i="50"/>
  <c r="E660" i="50"/>
  <c r="E661" i="50"/>
  <c r="E662" i="50"/>
  <c r="E663" i="50"/>
  <c r="E664" i="50"/>
  <c r="E665" i="50"/>
  <c r="E666" i="50"/>
  <c r="E667" i="50"/>
  <c r="E668" i="50"/>
  <c r="E669" i="50"/>
  <c r="E670" i="50"/>
  <c r="E671" i="50"/>
  <c r="E672" i="50"/>
  <c r="E673" i="50"/>
  <c r="E674" i="50"/>
  <c r="E675" i="50"/>
  <c r="E676" i="50"/>
  <c r="E677" i="50"/>
  <c r="E678" i="50"/>
  <c r="E679" i="50"/>
  <c r="E680" i="50"/>
  <c r="E681" i="50"/>
  <c r="E682" i="50"/>
  <c r="E683" i="50"/>
  <c r="E684" i="50"/>
  <c r="E685" i="50"/>
  <c r="E1" i="50"/>
  <c r="E18" i="21"/>
  <c r="E20" i="21"/>
  <c r="H41" i="44"/>
  <c r="D22" i="13"/>
  <c r="H857" i="44"/>
  <c r="D42" i="13"/>
  <c r="H15" i="44"/>
  <c r="H939" i="44"/>
  <c r="D9" i="13"/>
  <c r="H867" i="44"/>
  <c r="D20" i="13"/>
  <c r="H780" i="44"/>
  <c r="D41" i="13"/>
  <c r="H928" i="44"/>
  <c r="D11" i="13"/>
  <c r="H877" i="44"/>
  <c r="D21" i="13"/>
  <c r="H1081" i="44"/>
  <c r="D18" i="13"/>
  <c r="H837" i="44"/>
  <c r="D15" i="13"/>
  <c r="H1068" i="44"/>
  <c r="D38" i="13"/>
  <c r="H451" i="44"/>
  <c r="D39" i="13"/>
  <c r="H1108" i="44"/>
  <c r="H958" i="44"/>
  <c r="D34" i="13"/>
  <c r="H977" i="44"/>
  <c r="D19" i="13"/>
  <c r="H439" i="44"/>
  <c r="D33" i="13"/>
  <c r="H912" i="44"/>
  <c r="D23" i="13"/>
  <c r="H469" i="44"/>
  <c r="H757" i="44"/>
  <c r="D44" i="13"/>
  <c r="F133" i="38"/>
  <c r="F132" i="38"/>
  <c r="F131" i="38"/>
  <c r="F130" i="38"/>
  <c r="F129" i="38"/>
  <c r="F128" i="38"/>
  <c r="F127" i="38"/>
  <c r="F126" i="38"/>
  <c r="F125" i="38"/>
  <c r="F124" i="38"/>
  <c r="F122" i="38"/>
  <c r="F121" i="38"/>
  <c r="C121" i="38"/>
  <c r="F120" i="38"/>
  <c r="I8" i="44"/>
  <c r="I9" i="44"/>
  <c r="I13" i="44"/>
  <c r="I21" i="44"/>
  <c r="I23" i="44"/>
  <c r="I24" i="44"/>
  <c r="I26" i="44"/>
  <c r="I29" i="44"/>
  <c r="I39" i="44"/>
  <c r="I40" i="44"/>
  <c r="I47" i="44"/>
  <c r="I58" i="44"/>
  <c r="I61" i="44"/>
  <c r="I63" i="44"/>
  <c r="I64" i="44"/>
  <c r="I67" i="44"/>
  <c r="I69" i="44"/>
  <c r="I73" i="44"/>
  <c r="I74" i="44"/>
  <c r="I75" i="44"/>
  <c r="I76" i="44"/>
  <c r="I78" i="44"/>
  <c r="I79" i="44"/>
  <c r="I82" i="44"/>
  <c r="I83" i="44"/>
  <c r="I84" i="44"/>
  <c r="I85" i="44"/>
  <c r="I87" i="44"/>
  <c r="I91" i="44"/>
  <c r="I94" i="44"/>
  <c r="I95" i="44"/>
  <c r="I96" i="44"/>
  <c r="I97" i="44"/>
  <c r="I98" i="44"/>
  <c r="I99" i="44"/>
  <c r="I101" i="44"/>
  <c r="I102" i="44"/>
  <c r="I103" i="44"/>
  <c r="I104" i="44"/>
  <c r="I105" i="44"/>
  <c r="I106" i="44"/>
  <c r="I107" i="44"/>
  <c r="I108" i="44"/>
  <c r="I109" i="44"/>
  <c r="I110" i="44"/>
  <c r="I111" i="44"/>
  <c r="I112" i="44"/>
  <c r="I113" i="44"/>
  <c r="I114" i="44"/>
  <c r="I115" i="44"/>
  <c r="I116" i="44"/>
  <c r="I117" i="44"/>
  <c r="I118" i="44"/>
  <c r="I119" i="44"/>
  <c r="I120" i="44"/>
  <c r="I122" i="44"/>
  <c r="I123" i="44"/>
  <c r="I124" i="44"/>
  <c r="I125" i="44"/>
  <c r="I127" i="44"/>
  <c r="I128" i="44"/>
  <c r="I129" i="44"/>
  <c r="I130" i="44"/>
  <c r="I132" i="44"/>
  <c r="I134" i="44"/>
  <c r="I135" i="44"/>
  <c r="I136" i="44"/>
  <c r="I137" i="44"/>
  <c r="I138" i="44"/>
  <c r="I140" i="44"/>
  <c r="I141" i="44"/>
  <c r="I142" i="44"/>
  <c r="I143" i="44"/>
  <c r="I144" i="44"/>
  <c r="I145" i="44"/>
  <c r="I146" i="44"/>
  <c r="I148" i="44"/>
  <c r="I149" i="44"/>
  <c r="I150" i="44"/>
  <c r="I151" i="44"/>
  <c r="I152" i="44"/>
  <c r="I153" i="44"/>
  <c r="I154" i="44"/>
  <c r="I155" i="44"/>
  <c r="I156" i="44"/>
  <c r="I157" i="44"/>
  <c r="I158" i="44"/>
  <c r="I159" i="44"/>
  <c r="I160" i="44"/>
  <c r="I161" i="44"/>
  <c r="I162" i="44"/>
  <c r="I163" i="44"/>
  <c r="I164" i="44"/>
  <c r="I165" i="44"/>
  <c r="I166" i="44"/>
  <c r="I167" i="44"/>
  <c r="I173" i="44"/>
  <c r="I174" i="44"/>
  <c r="I175" i="44"/>
  <c r="I176" i="44"/>
  <c r="I177" i="44"/>
  <c r="I178" i="44"/>
  <c r="I179" i="44"/>
  <c r="I180" i="44"/>
  <c r="I181" i="44"/>
  <c r="I182" i="44"/>
  <c r="I183" i="44"/>
  <c r="I184" i="44"/>
  <c r="I185" i="44"/>
  <c r="I186" i="44"/>
  <c r="I188" i="44"/>
  <c r="I189" i="44"/>
  <c r="I191" i="44"/>
  <c r="I193" i="44"/>
  <c r="I196" i="44"/>
  <c r="I197" i="44"/>
  <c r="I198" i="44"/>
  <c r="I200" i="44"/>
  <c r="I201" i="44"/>
  <c r="I203" i="44"/>
  <c r="I204" i="44"/>
  <c r="I206" i="44"/>
  <c r="I207" i="44"/>
  <c r="I208" i="44"/>
  <c r="I209" i="44"/>
  <c r="I211" i="44"/>
  <c r="I212" i="44"/>
  <c r="I214" i="44"/>
  <c r="I215" i="44"/>
  <c r="I216" i="44"/>
  <c r="I217" i="44"/>
  <c r="I218" i="44"/>
  <c r="I219" i="44"/>
  <c r="I220" i="44"/>
  <c r="I221" i="44"/>
  <c r="I222" i="44"/>
  <c r="I224" i="44"/>
  <c r="I225" i="44"/>
  <c r="I227" i="44"/>
  <c r="I228" i="44"/>
  <c r="I229" i="44"/>
  <c r="I231" i="44"/>
  <c r="I232" i="44"/>
  <c r="I233" i="44"/>
  <c r="I234" i="44"/>
  <c r="I235" i="44"/>
  <c r="I236" i="44"/>
  <c r="I237" i="44"/>
  <c r="I238" i="44"/>
  <c r="I239" i="44"/>
  <c r="I241" i="44"/>
  <c r="I242" i="44"/>
  <c r="I244" i="44"/>
  <c r="I246" i="44"/>
  <c r="I247" i="44"/>
  <c r="I248" i="44"/>
  <c r="I249" i="44"/>
  <c r="I250" i="44"/>
  <c r="I251" i="44"/>
  <c r="I252" i="44"/>
  <c r="I254" i="44"/>
  <c r="I255" i="44"/>
  <c r="I258" i="44"/>
  <c r="I259" i="44"/>
  <c r="I261" i="44"/>
  <c r="I262" i="44"/>
  <c r="I263" i="44"/>
  <c r="I264" i="44"/>
  <c r="I265" i="44"/>
  <c r="I266" i="44"/>
  <c r="I267" i="44"/>
  <c r="I269" i="44"/>
  <c r="I271" i="44"/>
  <c r="I273" i="44"/>
  <c r="I274" i="44"/>
  <c r="I275" i="44"/>
  <c r="I276" i="44"/>
  <c r="I277" i="44"/>
  <c r="I278" i="44"/>
  <c r="I279" i="44"/>
  <c r="I280" i="44"/>
  <c r="I281" i="44"/>
  <c r="I282" i="44"/>
  <c r="I283" i="44"/>
  <c r="I284" i="44"/>
  <c r="I285" i="44"/>
  <c r="I286" i="44"/>
  <c r="I288" i="44"/>
  <c r="I289" i="44"/>
  <c r="I290" i="44"/>
  <c r="I292" i="44"/>
  <c r="I293" i="44"/>
  <c r="I294" i="44"/>
  <c r="I295" i="44"/>
  <c r="I296" i="44"/>
  <c r="I297" i="44"/>
  <c r="I298" i="44"/>
  <c r="I299" i="44"/>
  <c r="I300" i="44"/>
  <c r="I302" i="44"/>
  <c r="I303" i="44"/>
  <c r="I305" i="44"/>
  <c r="I306" i="44"/>
  <c r="I307" i="44"/>
  <c r="I309" i="44"/>
  <c r="I310" i="44"/>
  <c r="I311" i="44"/>
  <c r="I312" i="44"/>
  <c r="I313" i="44"/>
  <c r="I315" i="44"/>
  <c r="I316" i="44"/>
  <c r="I319" i="44"/>
  <c r="I320" i="44"/>
  <c r="I321" i="44"/>
  <c r="I322" i="44"/>
  <c r="I323" i="44"/>
  <c r="I325" i="44"/>
  <c r="I326" i="44"/>
  <c r="I328" i="44"/>
  <c r="I329" i="44"/>
  <c r="I330" i="44"/>
  <c r="I331" i="44"/>
  <c r="I332" i="44"/>
  <c r="I333" i="44"/>
  <c r="I334" i="44"/>
  <c r="I335" i="44"/>
  <c r="I336" i="44"/>
  <c r="I338" i="44"/>
  <c r="I339" i="44"/>
  <c r="I341" i="44"/>
  <c r="I342" i="44"/>
  <c r="I343" i="44"/>
  <c r="I345" i="44"/>
  <c r="I346" i="44"/>
  <c r="I347" i="44"/>
  <c r="I348" i="44"/>
  <c r="I349" i="44"/>
  <c r="I350" i="44"/>
  <c r="I352" i="44"/>
  <c r="I354" i="44"/>
  <c r="I355" i="44"/>
  <c r="I360" i="44"/>
  <c r="I362" i="44"/>
  <c r="I364" i="44"/>
  <c r="I365" i="44"/>
  <c r="I366" i="44"/>
  <c r="I367" i="44"/>
  <c r="I372" i="44"/>
  <c r="I374" i="44"/>
  <c r="I376" i="44"/>
  <c r="I378" i="44"/>
  <c r="I379" i="44"/>
  <c r="I382" i="44"/>
  <c r="I384" i="44"/>
  <c r="I386" i="44"/>
  <c r="I388" i="44"/>
  <c r="I389" i="44"/>
  <c r="I394" i="44"/>
  <c r="I395" i="44"/>
  <c r="I397" i="44"/>
  <c r="I399" i="44"/>
  <c r="I401" i="44"/>
  <c r="I403" i="44"/>
  <c r="I408" i="44"/>
  <c r="I409" i="44"/>
  <c r="I410" i="44"/>
  <c r="I411" i="44"/>
  <c r="I413" i="44"/>
  <c r="I414" i="44"/>
  <c r="I416" i="44"/>
  <c r="I417" i="44"/>
  <c r="I418" i="44"/>
  <c r="I419" i="44"/>
  <c r="I421" i="44"/>
  <c r="I422" i="44"/>
  <c r="I423" i="44"/>
  <c r="I424" i="44"/>
  <c r="I425" i="44"/>
  <c r="I427" i="44"/>
  <c r="I428" i="44"/>
  <c r="I430" i="44"/>
  <c r="I431" i="44"/>
  <c r="I432" i="44"/>
  <c r="I434" i="44"/>
  <c r="I435" i="44"/>
  <c r="I436" i="44"/>
  <c r="I437" i="44"/>
  <c r="I438" i="44"/>
  <c r="I445" i="44"/>
  <c r="I446" i="44"/>
  <c r="I447" i="44"/>
  <c r="I449" i="44"/>
  <c r="I458" i="44"/>
  <c r="I459" i="44"/>
  <c r="I464" i="44"/>
  <c r="I465" i="44"/>
  <c r="I466" i="44"/>
  <c r="I467" i="44"/>
  <c r="I468" i="44"/>
  <c r="I470" i="44"/>
  <c r="I471" i="44"/>
  <c r="I472" i="44"/>
  <c r="I474" i="44"/>
  <c r="I476" i="44"/>
  <c r="I477" i="44"/>
  <c r="I480" i="44"/>
  <c r="I481" i="44"/>
  <c r="I485" i="44"/>
  <c r="I486" i="44"/>
  <c r="I487" i="44"/>
  <c r="I488" i="44"/>
  <c r="I489" i="44"/>
  <c r="I490" i="44"/>
  <c r="I491" i="44"/>
  <c r="I493" i="44"/>
  <c r="I494" i="44"/>
  <c r="I502" i="44"/>
  <c r="I504" i="44"/>
  <c r="I506" i="44"/>
  <c r="I509" i="44"/>
  <c r="I510" i="44"/>
  <c r="I511" i="44"/>
  <c r="I514" i="44"/>
  <c r="I515" i="44"/>
  <c r="I521" i="44"/>
  <c r="I522" i="44"/>
  <c r="I523" i="44"/>
  <c r="I524" i="44"/>
  <c r="I525" i="44"/>
  <c r="I526" i="44"/>
  <c r="I527" i="44"/>
  <c r="I528" i="44"/>
  <c r="I529" i="44"/>
  <c r="I531" i="44"/>
  <c r="I534" i="44"/>
  <c r="I535" i="44"/>
  <c r="I537" i="44"/>
  <c r="I538" i="44"/>
  <c r="I545" i="44"/>
  <c r="I546" i="44"/>
  <c r="I547" i="44"/>
  <c r="I548" i="44"/>
  <c r="I551" i="44"/>
  <c r="I570" i="44"/>
  <c r="I573" i="44"/>
  <c r="I576" i="44"/>
  <c r="I580" i="44"/>
  <c r="I581" i="44"/>
  <c r="I586" i="44"/>
  <c r="I588" i="44"/>
  <c r="I589" i="44"/>
  <c r="I592" i="44"/>
  <c r="I593" i="44"/>
  <c r="I594" i="44"/>
  <c r="I595" i="44"/>
  <c r="I596" i="44"/>
  <c r="I599" i="44"/>
  <c r="I600" i="44"/>
  <c r="I603" i="44"/>
  <c r="I604" i="44"/>
  <c r="I606" i="44"/>
  <c r="I608" i="44"/>
  <c r="I609" i="44"/>
  <c r="I611" i="44"/>
  <c r="I620" i="44"/>
  <c r="I622" i="44"/>
  <c r="I623" i="44"/>
  <c r="I624" i="44"/>
  <c r="I626" i="44"/>
  <c r="I627" i="44"/>
  <c r="I628" i="44"/>
  <c r="I630" i="44"/>
  <c r="I631" i="44"/>
  <c r="I633" i="44"/>
  <c r="I641" i="44"/>
  <c r="I644" i="44"/>
  <c r="I645" i="44"/>
  <c r="I646" i="44"/>
  <c r="I650" i="44"/>
  <c r="I651" i="44"/>
  <c r="I654" i="44"/>
  <c r="I656" i="44"/>
  <c r="I659" i="44"/>
  <c r="I661" i="44"/>
  <c r="I662" i="44"/>
  <c r="I663" i="44"/>
  <c r="I664" i="44"/>
  <c r="I666" i="44"/>
  <c r="I670" i="44"/>
  <c r="I672" i="44"/>
  <c r="I673" i="44"/>
  <c r="I674" i="44"/>
  <c r="I675" i="44"/>
  <c r="I677" i="44"/>
  <c r="I679" i="44"/>
  <c r="I680" i="44"/>
  <c r="I682" i="44"/>
  <c r="I683" i="44"/>
  <c r="I684" i="44"/>
  <c r="I685" i="44"/>
  <c r="I686" i="44"/>
  <c r="I688" i="44"/>
  <c r="I689" i="44"/>
  <c r="I690" i="44"/>
  <c r="I692" i="44"/>
  <c r="I693" i="44"/>
  <c r="I694" i="44"/>
  <c r="I695" i="44"/>
  <c r="I696" i="44"/>
  <c r="I697" i="44"/>
  <c r="I698" i="44"/>
  <c r="I701" i="44"/>
  <c r="I702" i="44"/>
  <c r="I715" i="44"/>
  <c r="I716" i="44"/>
  <c r="I717" i="44"/>
  <c r="I718" i="44"/>
  <c r="I719" i="44"/>
  <c r="I720" i="44"/>
  <c r="I722" i="44"/>
  <c r="I723" i="44"/>
  <c r="I725" i="44"/>
  <c r="I726" i="44"/>
  <c r="I727" i="44"/>
  <c r="I728" i="44"/>
  <c r="I729" i="44"/>
  <c r="I730" i="44"/>
  <c r="I731" i="44"/>
  <c r="I732" i="44"/>
  <c r="I733" i="44"/>
  <c r="I734" i="44"/>
  <c r="I736" i="44"/>
  <c r="I738" i="44"/>
  <c r="I739" i="44"/>
  <c r="I740" i="44"/>
  <c r="I741" i="44"/>
  <c r="I742" i="44"/>
  <c r="I752" i="44"/>
  <c r="I753" i="44"/>
  <c r="I754" i="44"/>
  <c r="I755" i="44"/>
  <c r="I763" i="44"/>
  <c r="I766" i="44"/>
  <c r="I767" i="44"/>
  <c r="I768" i="44"/>
  <c r="I770" i="44"/>
  <c r="I775" i="44"/>
  <c r="I1127" i="44"/>
  <c r="I1128" i="44"/>
  <c r="I788" i="44"/>
  <c r="I789" i="44"/>
  <c r="I790" i="44"/>
  <c r="I791" i="44"/>
  <c r="I792" i="44"/>
  <c r="I793" i="44"/>
  <c r="I794" i="44"/>
  <c r="I795" i="44"/>
  <c r="I796" i="44"/>
  <c r="I797" i="44"/>
  <c r="I798" i="44"/>
  <c r="I799" i="44"/>
  <c r="I800" i="44"/>
  <c r="I801" i="44"/>
  <c r="I802" i="44"/>
  <c r="I803" i="44"/>
  <c r="I804" i="44"/>
  <c r="I805" i="44"/>
  <c r="I806" i="44"/>
  <c r="I807" i="44"/>
  <c r="I809" i="44"/>
  <c r="I810" i="44"/>
  <c r="I811" i="44"/>
  <c r="I812" i="44"/>
  <c r="I813" i="44"/>
  <c r="I814" i="44"/>
  <c r="I815" i="44"/>
  <c r="I816" i="44"/>
  <c r="I817" i="44"/>
  <c r="I818" i="44"/>
  <c r="I822" i="44"/>
  <c r="I823" i="44"/>
  <c r="I824" i="44"/>
  <c r="I828" i="44"/>
  <c r="I832" i="44"/>
  <c r="I833" i="44"/>
  <c r="I835" i="44"/>
  <c r="I836" i="44"/>
  <c r="I855" i="44"/>
  <c r="I856" i="44"/>
  <c r="I863" i="44"/>
  <c r="I864" i="44"/>
  <c r="I865" i="44"/>
  <c r="I876" i="44"/>
  <c r="I877" i="44"/>
  <c r="F21" i="13"/>
  <c r="I883" i="44"/>
  <c r="I884" i="44"/>
  <c r="I890" i="44"/>
  <c r="I891" i="44"/>
  <c r="I892" i="44"/>
  <c r="I894" i="44"/>
  <c r="I897" i="44"/>
  <c r="I899" i="44"/>
  <c r="I900" i="44"/>
  <c r="I901" i="44"/>
  <c r="I902" i="44"/>
  <c r="I906" i="44"/>
  <c r="I911" i="44"/>
  <c r="I918" i="44"/>
  <c r="I920" i="44"/>
  <c r="F13" i="13"/>
  <c r="I927" i="44"/>
  <c r="I928" i="44"/>
  <c r="F11" i="13"/>
  <c r="I934" i="44"/>
  <c r="I935" i="44"/>
  <c r="I936" i="44"/>
  <c r="I937" i="44"/>
  <c r="I945" i="44"/>
  <c r="I946" i="44"/>
  <c r="F16" i="13"/>
  <c r="I952" i="44"/>
  <c r="I953" i="44"/>
  <c r="I954" i="44"/>
  <c r="I955" i="44"/>
  <c r="I956" i="44"/>
  <c r="I957" i="44"/>
  <c r="I964" i="44"/>
  <c r="I965" i="44"/>
  <c r="I966" i="44"/>
  <c r="I967" i="44"/>
  <c r="I968" i="44"/>
  <c r="I969" i="44"/>
  <c r="I971" i="44"/>
  <c r="I972" i="44"/>
  <c r="I974" i="44"/>
  <c r="I976" i="44"/>
  <c r="I983" i="44"/>
  <c r="I985" i="44"/>
  <c r="I988" i="44"/>
  <c r="I989" i="44"/>
  <c r="I991" i="44"/>
  <c r="I993" i="44"/>
  <c r="I994" i="44"/>
  <c r="I995" i="44"/>
  <c r="I996" i="44"/>
  <c r="I997" i="44"/>
  <c r="I998" i="44"/>
  <c r="I999" i="44"/>
  <c r="I1002" i="44"/>
  <c r="I1005" i="44"/>
  <c r="I1012" i="44"/>
  <c r="I1022" i="44"/>
  <c r="I1025" i="44"/>
  <c r="I1026" i="44"/>
  <c r="I1028" i="44"/>
  <c r="I1031" i="44"/>
  <c r="I1034" i="44"/>
  <c r="I1039" i="44"/>
  <c r="I1041" i="44"/>
  <c r="I1044" i="44"/>
  <c r="I1047" i="44"/>
  <c r="I1049" i="44"/>
  <c r="I1051" i="44"/>
  <c r="I1053" i="44"/>
  <c r="I1054" i="44"/>
  <c r="I1056" i="44"/>
  <c r="I1059" i="44"/>
  <c r="I1060" i="44"/>
  <c r="I1061" i="44"/>
  <c r="I1062" i="44"/>
  <c r="I1063" i="44"/>
  <c r="I1067" i="44"/>
  <c r="I1074" i="44"/>
  <c r="I1075" i="44"/>
  <c r="I1076" i="44"/>
  <c r="I1077" i="44"/>
  <c r="I1078" i="44"/>
  <c r="I1079" i="44"/>
  <c r="I1087" i="44"/>
  <c r="I1088" i="44"/>
  <c r="I1094" i="44"/>
  <c r="I1095" i="44"/>
  <c r="I1101" i="44"/>
  <c r="I1102" i="44"/>
  <c r="I1103" i="44"/>
  <c r="I1104" i="44"/>
  <c r="I1105" i="44"/>
  <c r="I1106" i="44"/>
  <c r="I1107" i="44"/>
  <c r="I1116" i="44"/>
  <c r="G1116" i="44"/>
  <c r="I1117" i="44"/>
  <c r="G1117" i="44"/>
  <c r="I1118" i="44"/>
  <c r="G1118" i="44"/>
  <c r="I1120" i="44"/>
  <c r="G1120" i="44"/>
  <c r="I1121" i="44"/>
  <c r="G1121" i="44"/>
  <c r="I1122" i="44"/>
  <c r="G1122" i="44"/>
  <c r="I1123" i="44"/>
  <c r="G1123" i="44"/>
  <c r="I1125" i="44"/>
  <c r="I1126" i="44"/>
  <c r="I910" i="44"/>
  <c r="I7" i="44"/>
  <c r="B1124" i="44"/>
  <c r="A1124" i="44"/>
  <c r="I41" i="44"/>
  <c r="F22" i="13"/>
  <c r="I1124" i="44"/>
  <c r="E403" i="50"/>
  <c r="E612" i="50"/>
  <c r="H1124" i="44"/>
  <c r="E273" i="50"/>
  <c r="I780" i="44"/>
  <c r="F41" i="13"/>
  <c r="I958" i="44"/>
  <c r="F34" i="13"/>
  <c r="F81" i="38"/>
  <c r="C18" i="20"/>
  <c r="I977" i="44"/>
  <c r="F19" i="13"/>
  <c r="I837" i="44"/>
  <c r="F15" i="13"/>
  <c r="I469" i="44"/>
  <c r="I1108" i="44"/>
  <c r="I1081" i="44"/>
  <c r="F18" i="13"/>
  <c r="I939" i="44"/>
  <c r="F9" i="13"/>
  <c r="I15" i="44"/>
  <c r="F40" i="13"/>
  <c r="I451" i="44"/>
  <c r="F39" i="13"/>
  <c r="I1068" i="44"/>
  <c r="F38" i="13"/>
  <c r="I857" i="44"/>
  <c r="F42" i="13"/>
  <c r="I867" i="44"/>
  <c r="F20" i="13"/>
  <c r="I439" i="44"/>
  <c r="F33" i="13"/>
  <c r="I912" i="44"/>
  <c r="F23" i="13"/>
  <c r="T12" i="18"/>
  <c r="T11" i="18"/>
  <c r="T10" i="18"/>
  <c r="T22" i="18"/>
  <c r="T78" i="18"/>
  <c r="O13" i="18"/>
  <c r="O22" i="18"/>
  <c r="J22" i="18"/>
  <c r="J13" i="18"/>
  <c r="J58" i="18"/>
  <c r="J40" i="18"/>
  <c r="J29" i="18"/>
  <c r="J23" i="18"/>
  <c r="J9" i="18"/>
  <c r="G1124" i="44"/>
  <c r="F80" i="38"/>
  <c r="C17" i="20"/>
  <c r="T31" i="18"/>
  <c r="U31" i="18"/>
  <c r="V31" i="18"/>
  <c r="R31" i="18"/>
  <c r="R32" i="18"/>
  <c r="R33" i="18"/>
  <c r="W31" i="18"/>
  <c r="U22" i="18"/>
  <c r="W22" i="18"/>
  <c r="R22" i="18"/>
  <c r="J61" i="18"/>
  <c r="J59" i="18"/>
  <c r="J52" i="18"/>
  <c r="J41" i="18"/>
  <c r="J64" i="18"/>
  <c r="J33" i="18"/>
  <c r="J32" i="18"/>
  <c r="M31" i="18"/>
  <c r="J30" i="18"/>
  <c r="M22" i="18"/>
  <c r="I70" i="18"/>
  <c r="I61" i="18"/>
  <c r="I59" i="18"/>
  <c r="I52" i="18"/>
  <c r="I41" i="18"/>
  <c r="I64" i="18"/>
  <c r="I32" i="18"/>
  <c r="H31" i="18"/>
  <c r="I30" i="18"/>
  <c r="H22" i="18"/>
  <c r="C70" i="18"/>
  <c r="C61" i="18"/>
  <c r="C52" i="18"/>
  <c r="C41" i="18"/>
  <c r="C32" i="18"/>
  <c r="C30" i="18"/>
  <c r="P13" i="18"/>
  <c r="Q13" i="18"/>
  <c r="N13" i="18"/>
  <c r="L13" i="18"/>
  <c r="K13" i="18"/>
  <c r="I13" i="18"/>
  <c r="G13" i="18"/>
  <c r="E13" i="18"/>
  <c r="F13" i="18"/>
  <c r="C13" i="18"/>
  <c r="C9" i="18"/>
  <c r="C48" i="18"/>
  <c r="C24" i="18"/>
  <c r="C21" i="18"/>
  <c r="C20" i="18"/>
  <c r="C19" i="18"/>
  <c r="C18" i="18"/>
  <c r="C17" i="18"/>
  <c r="C16" i="18"/>
  <c r="C15" i="18"/>
  <c r="C14" i="18"/>
  <c r="C12" i="18"/>
  <c r="C11" i="18"/>
  <c r="C10" i="18"/>
  <c r="S83" i="18"/>
  <c r="S84" i="18"/>
  <c r="S76" i="18"/>
  <c r="S74" i="18"/>
  <c r="S77" i="18"/>
  <c r="S79" i="18"/>
  <c r="J34" i="19"/>
  <c r="H34" i="19"/>
  <c r="H13" i="19"/>
  <c r="I1878" i="47"/>
  <c r="I1688" i="47"/>
  <c r="I1682" i="47"/>
  <c r="I1595" i="47"/>
  <c r="I1459" i="47"/>
  <c r="I1111" i="47"/>
  <c r="A13" i="19"/>
  <c r="K47" i="19"/>
  <c r="D47" i="19"/>
  <c r="L8" i="44"/>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92" i="44"/>
  <c r="L93" i="44"/>
  <c r="L94" i="44"/>
  <c r="L95" i="44"/>
  <c r="L96" i="44"/>
  <c r="L97" i="44"/>
  <c r="L98" i="44"/>
  <c r="L99" i="44"/>
  <c r="L100" i="44"/>
  <c r="L101" i="44"/>
  <c r="L102" i="44"/>
  <c r="L103" i="44"/>
  <c r="L104" i="44"/>
  <c r="L105" i="44"/>
  <c r="L106" i="44"/>
  <c r="L107" i="44"/>
  <c r="L108" i="44"/>
  <c r="L109" i="44"/>
  <c r="L110" i="44"/>
  <c r="L111" i="44"/>
  <c r="L112" i="44"/>
  <c r="L113" i="44"/>
  <c r="L114" i="44"/>
  <c r="L115" i="44"/>
  <c r="L116" i="44"/>
  <c r="L117" i="44"/>
  <c r="L118" i="44"/>
  <c r="L119" i="44"/>
  <c r="L120" i="44"/>
  <c r="L121" i="44"/>
  <c r="L122" i="44"/>
  <c r="L123" i="44"/>
  <c r="L124" i="44"/>
  <c r="L125" i="44"/>
  <c r="L126" i="44"/>
  <c r="L127" i="44"/>
  <c r="L128" i="44"/>
  <c r="L129" i="44"/>
  <c r="L130" i="44"/>
  <c r="L131" i="44"/>
  <c r="L132" i="44"/>
  <c r="L133" i="44"/>
  <c r="L134" i="44"/>
  <c r="L135" i="44"/>
  <c r="L136" i="44"/>
  <c r="L137" i="44"/>
  <c r="L138" i="44"/>
  <c r="L139" i="44"/>
  <c r="L140" i="44"/>
  <c r="L141" i="44"/>
  <c r="L142" i="44"/>
  <c r="L143" i="44"/>
  <c r="L144" i="44"/>
  <c r="L145" i="44"/>
  <c r="L146" i="44"/>
  <c r="L147" i="44"/>
  <c r="L148" i="44"/>
  <c r="L149" i="44"/>
  <c r="L150" i="44"/>
  <c r="L151" i="44"/>
  <c r="L152" i="44"/>
  <c r="L153" i="44"/>
  <c r="L154" i="44"/>
  <c r="L155" i="44"/>
  <c r="L156" i="44"/>
  <c r="L157" i="44"/>
  <c r="L158" i="44"/>
  <c r="L159" i="44"/>
  <c r="L160" i="44"/>
  <c r="L161" i="44"/>
  <c r="L162" i="44"/>
  <c r="L163" i="44"/>
  <c r="L164" i="44"/>
  <c r="L165" i="44"/>
  <c r="L166" i="44"/>
  <c r="L167" i="44"/>
  <c r="L168" i="44"/>
  <c r="L169" i="44"/>
  <c r="L170" i="44"/>
  <c r="L171" i="44"/>
  <c r="L172" i="44"/>
  <c r="L173" i="44"/>
  <c r="L174" i="44"/>
  <c r="L175" i="44"/>
  <c r="L176" i="44"/>
  <c r="L177" i="44"/>
  <c r="L178" i="44"/>
  <c r="L179" i="44"/>
  <c r="L180" i="44"/>
  <c r="L181" i="44"/>
  <c r="L182" i="44"/>
  <c r="L183" i="44"/>
  <c r="L184" i="44"/>
  <c r="L185" i="44"/>
  <c r="L186" i="44"/>
  <c r="L187" i="44"/>
  <c r="L188" i="44"/>
  <c r="L189" i="44"/>
  <c r="L190" i="44"/>
  <c r="L191" i="44"/>
  <c r="L192" i="44"/>
  <c r="L193" i="44"/>
  <c r="L194" i="44"/>
  <c r="L195" i="44"/>
  <c r="L196" i="44"/>
  <c r="L197" i="44"/>
  <c r="L198" i="44"/>
  <c r="L199" i="44"/>
  <c r="L200" i="44"/>
  <c r="L201" i="44"/>
  <c r="L202" i="44"/>
  <c r="L203" i="44"/>
  <c r="L204" i="44"/>
  <c r="L205" i="44"/>
  <c r="L206" i="44"/>
  <c r="L207" i="44"/>
  <c r="L208" i="44"/>
  <c r="L209" i="44"/>
  <c r="L210" i="44"/>
  <c r="L211" i="44"/>
  <c r="L212" i="44"/>
  <c r="L213" i="44"/>
  <c r="L214" i="44"/>
  <c r="L215" i="44"/>
  <c r="L216" i="44"/>
  <c r="L217" i="44"/>
  <c r="L218" i="44"/>
  <c r="L219" i="44"/>
  <c r="L220" i="44"/>
  <c r="L221" i="44"/>
  <c r="L222" i="44"/>
  <c r="L223" i="44"/>
  <c r="L224" i="44"/>
  <c r="L225" i="44"/>
  <c r="L226" i="44"/>
  <c r="L227" i="44"/>
  <c r="L228" i="44"/>
  <c r="L229" i="44"/>
  <c r="L230" i="44"/>
  <c r="L231" i="44"/>
  <c r="L232" i="44"/>
  <c r="L233" i="44"/>
  <c r="L234" i="44"/>
  <c r="L235" i="44"/>
  <c r="L236" i="44"/>
  <c r="L237" i="44"/>
  <c r="L238" i="44"/>
  <c r="L239" i="44"/>
  <c r="L240" i="44"/>
  <c r="L241" i="44"/>
  <c r="L242" i="44"/>
  <c r="L243" i="44"/>
  <c r="L244" i="44"/>
  <c r="L245" i="44"/>
  <c r="L246" i="44"/>
  <c r="L247" i="44"/>
  <c r="L248" i="44"/>
  <c r="L249" i="44"/>
  <c r="L250" i="44"/>
  <c r="L251" i="44"/>
  <c r="L252" i="44"/>
  <c r="L253" i="44"/>
  <c r="L254" i="44"/>
  <c r="L255" i="44"/>
  <c r="L256" i="44"/>
  <c r="L257" i="44"/>
  <c r="L258" i="44"/>
  <c r="L259" i="44"/>
  <c r="L260" i="44"/>
  <c r="L261" i="44"/>
  <c r="L262" i="44"/>
  <c r="L263" i="44"/>
  <c r="L264" i="44"/>
  <c r="L265" i="44"/>
  <c r="L266" i="44"/>
  <c r="L267" i="44"/>
  <c r="L268" i="44"/>
  <c r="L269" i="44"/>
  <c r="L270" i="44"/>
  <c r="L271" i="44"/>
  <c r="L272" i="44"/>
  <c r="L273" i="44"/>
  <c r="L274" i="44"/>
  <c r="L275" i="44"/>
  <c r="L276" i="44"/>
  <c r="L277" i="44"/>
  <c r="L278" i="44"/>
  <c r="L279" i="44"/>
  <c r="L280" i="44"/>
  <c r="L281" i="44"/>
  <c r="L282" i="44"/>
  <c r="L283" i="44"/>
  <c r="L284" i="44"/>
  <c r="L285" i="44"/>
  <c r="L286" i="44"/>
  <c r="L287" i="44"/>
  <c r="L288" i="44"/>
  <c r="L289" i="44"/>
  <c r="L290" i="44"/>
  <c r="L291" i="44"/>
  <c r="L292" i="44"/>
  <c r="L293" i="44"/>
  <c r="L294" i="44"/>
  <c r="L295" i="44"/>
  <c r="L296" i="44"/>
  <c r="L297" i="44"/>
  <c r="L298" i="44"/>
  <c r="L299" i="44"/>
  <c r="L300" i="44"/>
  <c r="L301" i="44"/>
  <c r="L302" i="44"/>
  <c r="L303" i="44"/>
  <c r="L304" i="44"/>
  <c r="L305" i="44"/>
  <c r="L306" i="44"/>
  <c r="L307" i="44"/>
  <c r="L308" i="44"/>
  <c r="L309" i="44"/>
  <c r="L310" i="44"/>
  <c r="L311" i="44"/>
  <c r="L312" i="44"/>
  <c r="L313" i="44"/>
  <c r="L314" i="44"/>
  <c r="L315" i="44"/>
  <c r="L316" i="44"/>
  <c r="L317" i="44"/>
  <c r="L318" i="44"/>
  <c r="L319" i="44"/>
  <c r="L320" i="44"/>
  <c r="L321" i="44"/>
  <c r="L322" i="44"/>
  <c r="L323" i="44"/>
  <c r="L324" i="44"/>
  <c r="L325" i="44"/>
  <c r="L326" i="44"/>
  <c r="L327" i="44"/>
  <c r="L328" i="44"/>
  <c r="L329" i="44"/>
  <c r="L330" i="44"/>
  <c r="L331" i="44"/>
  <c r="L332" i="44"/>
  <c r="L333" i="44"/>
  <c r="L334" i="44"/>
  <c r="L335" i="44"/>
  <c r="L336" i="44"/>
  <c r="L337" i="44"/>
  <c r="L338" i="44"/>
  <c r="L339" i="44"/>
  <c r="L340" i="44"/>
  <c r="L341" i="44"/>
  <c r="L342" i="44"/>
  <c r="L343" i="44"/>
  <c r="L344" i="44"/>
  <c r="L345" i="44"/>
  <c r="L346" i="44"/>
  <c r="L347" i="44"/>
  <c r="L348" i="44"/>
  <c r="L349" i="44"/>
  <c r="L350" i="44"/>
  <c r="L351" i="44"/>
  <c r="L352" i="44"/>
  <c r="L353" i="44"/>
  <c r="L354" i="44"/>
  <c r="L355" i="44"/>
  <c r="L356" i="44"/>
  <c r="L357" i="44"/>
  <c r="L358" i="44"/>
  <c r="L359" i="44"/>
  <c r="L360" i="44"/>
  <c r="L361" i="44"/>
  <c r="L362" i="44"/>
  <c r="L363" i="44"/>
  <c r="L364" i="44"/>
  <c r="L365" i="44"/>
  <c r="L366" i="44"/>
  <c r="L367" i="44"/>
  <c r="L368" i="44"/>
  <c r="L369" i="44"/>
  <c r="L370" i="44"/>
  <c r="L371" i="44"/>
  <c r="L372" i="44"/>
  <c r="L373" i="44"/>
  <c r="L374" i="44"/>
  <c r="L375" i="44"/>
  <c r="L376" i="44"/>
  <c r="L377" i="44"/>
  <c r="L378" i="44"/>
  <c r="L379" i="44"/>
  <c r="L380" i="44"/>
  <c r="L381" i="44"/>
  <c r="L382" i="44"/>
  <c r="L383" i="44"/>
  <c r="L384" i="44"/>
  <c r="L385" i="44"/>
  <c r="L386" i="44"/>
  <c r="L387" i="44"/>
  <c r="L388" i="44"/>
  <c r="L389" i="44"/>
  <c r="L390" i="44"/>
  <c r="L391" i="44"/>
  <c r="L392" i="44"/>
  <c r="L393" i="44"/>
  <c r="L394" i="44"/>
  <c r="L395" i="44"/>
  <c r="L396" i="44"/>
  <c r="L397" i="44"/>
  <c r="L398" i="44"/>
  <c r="L399" i="44"/>
  <c r="L400" i="44"/>
  <c r="L401" i="44"/>
  <c r="L402" i="44"/>
  <c r="L403" i="44"/>
  <c r="L404" i="44"/>
  <c r="L405" i="44"/>
  <c r="L406" i="44"/>
  <c r="L407" i="44"/>
  <c r="L408" i="44"/>
  <c r="L409" i="44"/>
  <c r="L410" i="44"/>
  <c r="L411" i="44"/>
  <c r="L412" i="44"/>
  <c r="L413" i="44"/>
  <c r="L414" i="44"/>
  <c r="L415" i="44"/>
  <c r="L416" i="44"/>
  <c r="L417" i="44"/>
  <c r="L418" i="44"/>
  <c r="L419" i="44"/>
  <c r="L420" i="44"/>
  <c r="L421" i="44"/>
  <c r="L422" i="44"/>
  <c r="L423" i="44"/>
  <c r="L424" i="44"/>
  <c r="L425" i="44"/>
  <c r="L426" i="44"/>
  <c r="L427" i="44"/>
  <c r="L428" i="44"/>
  <c r="L429" i="44"/>
  <c r="L430" i="44"/>
  <c r="L431" i="44"/>
  <c r="L432" i="44"/>
  <c r="L433" i="44"/>
  <c r="L434" i="44"/>
  <c r="L435" i="44"/>
  <c r="L436" i="44"/>
  <c r="L437" i="44"/>
  <c r="L438" i="44"/>
  <c r="L439" i="44"/>
  <c r="L440" i="44"/>
  <c r="L441" i="44"/>
  <c r="L442" i="44"/>
  <c r="L443" i="44"/>
  <c r="L444" i="44"/>
  <c r="L445" i="44"/>
  <c r="L446" i="44"/>
  <c r="L447" i="44"/>
  <c r="L448" i="44"/>
  <c r="L449" i="44"/>
  <c r="L450" i="44"/>
  <c r="L451" i="44"/>
  <c r="L452" i="44"/>
  <c r="L453" i="44"/>
  <c r="L454" i="44"/>
  <c r="L455" i="44"/>
  <c r="L456" i="44"/>
  <c r="L457" i="44"/>
  <c r="L458" i="44"/>
  <c r="L459" i="44"/>
  <c r="L460" i="44"/>
  <c r="L461" i="44"/>
  <c r="L462" i="44"/>
  <c r="L463" i="44"/>
  <c r="L464" i="44"/>
  <c r="L465" i="44"/>
  <c r="L466" i="44"/>
  <c r="L467" i="44"/>
  <c r="L468" i="44"/>
  <c r="L469" i="44"/>
  <c r="L470" i="44"/>
  <c r="L471" i="44"/>
  <c r="L472" i="44"/>
  <c r="L473" i="44"/>
  <c r="L474" i="44"/>
  <c r="L475" i="44"/>
  <c r="L476" i="44"/>
  <c r="L477" i="44"/>
  <c r="L478" i="44"/>
  <c r="L479" i="44"/>
  <c r="L480" i="44"/>
  <c r="L481" i="44"/>
  <c r="L482" i="44"/>
  <c r="L483" i="44"/>
  <c r="L484" i="44"/>
  <c r="L485" i="44"/>
  <c r="L486" i="44"/>
  <c r="L487" i="44"/>
  <c r="L488" i="44"/>
  <c r="L489" i="44"/>
  <c r="L490" i="44"/>
  <c r="L491" i="44"/>
  <c r="L492" i="44"/>
  <c r="L493" i="44"/>
  <c r="L494" i="44"/>
  <c r="L495" i="44"/>
  <c r="L496" i="44"/>
  <c r="L497" i="44"/>
  <c r="L498" i="44"/>
  <c r="L499" i="44"/>
  <c r="L500" i="44"/>
  <c r="L501" i="44"/>
  <c r="L502" i="44"/>
  <c r="L503" i="44"/>
  <c r="L504" i="44"/>
  <c r="L505" i="44"/>
  <c r="L506" i="44"/>
  <c r="L507" i="44"/>
  <c r="L508" i="44"/>
  <c r="L509" i="44"/>
  <c r="L510" i="44"/>
  <c r="L511" i="44"/>
  <c r="L512" i="44"/>
  <c r="L513" i="44"/>
  <c r="L514" i="44"/>
  <c r="L515" i="44"/>
  <c r="L516" i="44"/>
  <c r="L517" i="44"/>
  <c r="L518" i="44"/>
  <c r="L519" i="44"/>
  <c r="L520" i="44"/>
  <c r="L521" i="44"/>
  <c r="L522" i="44"/>
  <c r="L523" i="44"/>
  <c r="L524" i="44"/>
  <c r="L525" i="44"/>
  <c r="L526" i="44"/>
  <c r="L527" i="44"/>
  <c r="L528" i="44"/>
  <c r="L529" i="44"/>
  <c r="L530" i="44"/>
  <c r="L531" i="44"/>
  <c r="L532" i="44"/>
  <c r="L533" i="44"/>
  <c r="L534" i="44"/>
  <c r="L535" i="44"/>
  <c r="L536" i="44"/>
  <c r="L537" i="44"/>
  <c r="L538" i="44"/>
  <c r="L539" i="44"/>
  <c r="L540" i="44"/>
  <c r="L541" i="44"/>
  <c r="L542" i="44"/>
  <c r="L543" i="44"/>
  <c r="L544" i="44"/>
  <c r="L545" i="44"/>
  <c r="L546" i="44"/>
  <c r="L547" i="44"/>
  <c r="L548" i="44"/>
  <c r="L549" i="44"/>
  <c r="L550" i="44"/>
  <c r="L551" i="44"/>
  <c r="L552" i="44"/>
  <c r="L553" i="44"/>
  <c r="L554" i="44"/>
  <c r="L555" i="44"/>
  <c r="L556" i="44"/>
  <c r="L557" i="44"/>
  <c r="L558" i="44"/>
  <c r="L559" i="44"/>
  <c r="L560" i="44"/>
  <c r="L561" i="44"/>
  <c r="L562" i="44"/>
  <c r="L563" i="44"/>
  <c r="L564" i="44"/>
  <c r="L565" i="44"/>
  <c r="L566" i="44"/>
  <c r="L567" i="44"/>
  <c r="L568" i="44"/>
  <c r="L569" i="44"/>
  <c r="L570" i="44"/>
  <c r="L571" i="44"/>
  <c r="L572" i="44"/>
  <c r="L573" i="44"/>
  <c r="L574" i="44"/>
  <c r="L575" i="44"/>
  <c r="L576" i="44"/>
  <c r="L577" i="44"/>
  <c r="L578" i="44"/>
  <c r="L579" i="44"/>
  <c r="L580" i="44"/>
  <c r="L581" i="44"/>
  <c r="L582" i="44"/>
  <c r="L583" i="44"/>
  <c r="L584" i="44"/>
  <c r="L585" i="44"/>
  <c r="L586" i="44"/>
  <c r="L587" i="44"/>
  <c r="L588" i="44"/>
  <c r="L589" i="44"/>
  <c r="L590" i="44"/>
  <c r="L591" i="44"/>
  <c r="L592" i="44"/>
  <c r="L593" i="44"/>
  <c r="L594" i="44"/>
  <c r="L595" i="44"/>
  <c r="L596" i="44"/>
  <c r="L597" i="44"/>
  <c r="L598" i="44"/>
  <c r="L599" i="44"/>
  <c r="L600" i="44"/>
  <c r="L601" i="44"/>
  <c r="L602" i="44"/>
  <c r="L603" i="44"/>
  <c r="L604" i="44"/>
  <c r="L605" i="44"/>
  <c r="L606" i="44"/>
  <c r="L607" i="44"/>
  <c r="L608" i="44"/>
  <c r="L609" i="44"/>
  <c r="L610" i="44"/>
  <c r="L611" i="44"/>
  <c r="L612" i="44"/>
  <c r="L613" i="44"/>
  <c r="L614" i="44"/>
  <c r="L615" i="44"/>
  <c r="L616" i="44"/>
  <c r="L617" i="44"/>
  <c r="L618" i="44"/>
  <c r="L619" i="44"/>
  <c r="L620" i="44"/>
  <c r="L621" i="44"/>
  <c r="L622" i="44"/>
  <c r="L623" i="44"/>
  <c r="L624" i="44"/>
  <c r="L625" i="44"/>
  <c r="L626" i="44"/>
  <c r="L627" i="44"/>
  <c r="L628" i="44"/>
  <c r="L629" i="44"/>
  <c r="L630" i="44"/>
  <c r="L631" i="44"/>
  <c r="L632" i="44"/>
  <c r="L633" i="44"/>
  <c r="L634" i="44"/>
  <c r="L635" i="44"/>
  <c r="L636" i="44"/>
  <c r="L637" i="44"/>
  <c r="L638" i="44"/>
  <c r="L639" i="44"/>
  <c r="L640" i="44"/>
  <c r="L641" i="44"/>
  <c r="L642" i="44"/>
  <c r="L643" i="44"/>
  <c r="L644" i="44"/>
  <c r="L645" i="44"/>
  <c r="L646" i="44"/>
  <c r="L647" i="44"/>
  <c r="L648" i="44"/>
  <c r="L649" i="44"/>
  <c r="L650" i="44"/>
  <c r="L651" i="44"/>
  <c r="L652" i="44"/>
  <c r="L653" i="44"/>
  <c r="L654" i="44"/>
  <c r="L655" i="44"/>
  <c r="L656" i="44"/>
  <c r="L657" i="44"/>
  <c r="L658" i="44"/>
  <c r="L659" i="44"/>
  <c r="L660" i="44"/>
  <c r="L661" i="44"/>
  <c r="L662" i="44"/>
  <c r="L663" i="44"/>
  <c r="L664" i="44"/>
  <c r="L665" i="44"/>
  <c r="L666" i="44"/>
  <c r="L667" i="44"/>
  <c r="L668" i="44"/>
  <c r="L669" i="44"/>
  <c r="L670" i="44"/>
  <c r="L671" i="44"/>
  <c r="L672" i="44"/>
  <c r="L673" i="44"/>
  <c r="L674" i="44"/>
  <c r="L675" i="44"/>
  <c r="L676" i="44"/>
  <c r="L677" i="44"/>
  <c r="L678" i="44"/>
  <c r="L679" i="44"/>
  <c r="L680" i="44"/>
  <c r="L681" i="44"/>
  <c r="L682" i="44"/>
  <c r="L683" i="44"/>
  <c r="L684" i="44"/>
  <c r="L685" i="44"/>
  <c r="L686" i="44"/>
  <c r="L687" i="44"/>
  <c r="L688" i="44"/>
  <c r="L689" i="44"/>
  <c r="L690" i="44"/>
  <c r="L691" i="44"/>
  <c r="L692" i="44"/>
  <c r="L693" i="44"/>
  <c r="L694" i="44"/>
  <c r="L695" i="44"/>
  <c r="L696" i="44"/>
  <c r="L697" i="44"/>
  <c r="L698" i="44"/>
  <c r="L699" i="44"/>
  <c r="L700" i="44"/>
  <c r="L701" i="44"/>
  <c r="L702" i="44"/>
  <c r="L703" i="44"/>
  <c r="L704" i="44"/>
  <c r="L705" i="44"/>
  <c r="L706" i="44"/>
  <c r="L707" i="44"/>
  <c r="L708" i="44"/>
  <c r="L709" i="44"/>
  <c r="L710" i="44"/>
  <c r="L711" i="44"/>
  <c r="L712" i="44"/>
  <c r="L713" i="44"/>
  <c r="L714" i="44"/>
  <c r="L715" i="44"/>
  <c r="L716" i="44"/>
  <c r="L717" i="44"/>
  <c r="L718" i="44"/>
  <c r="L719" i="44"/>
  <c r="L720" i="44"/>
  <c r="L721" i="44"/>
  <c r="L722" i="44"/>
  <c r="L723" i="44"/>
  <c r="L724" i="44"/>
  <c r="L725" i="44"/>
  <c r="L726" i="44"/>
  <c r="L727" i="44"/>
  <c r="L728" i="44"/>
  <c r="L729" i="44"/>
  <c r="L730" i="44"/>
  <c r="L731" i="44"/>
  <c r="L732" i="44"/>
  <c r="L733" i="44"/>
  <c r="L734" i="44"/>
  <c r="L735" i="44"/>
  <c r="L736" i="44"/>
  <c r="L737" i="44"/>
  <c r="L738" i="44"/>
  <c r="L739" i="44"/>
  <c r="L740" i="44"/>
  <c r="L741" i="44"/>
  <c r="L742" i="44"/>
  <c r="L743" i="44"/>
  <c r="L744" i="44"/>
  <c r="L745" i="44"/>
  <c r="L746" i="44"/>
  <c r="L747" i="44"/>
  <c r="L748" i="44"/>
  <c r="L749" i="44"/>
  <c r="L750" i="44"/>
  <c r="L751" i="44"/>
  <c r="L752" i="44"/>
  <c r="L753" i="44"/>
  <c r="L754" i="44"/>
  <c r="L755" i="44"/>
  <c r="L756" i="44"/>
  <c r="L757" i="44"/>
  <c r="L758" i="44"/>
  <c r="L759" i="44"/>
  <c r="L760" i="44"/>
  <c r="L761" i="44"/>
  <c r="L762" i="44"/>
  <c r="L763" i="44"/>
  <c r="L764" i="44"/>
  <c r="L765" i="44"/>
  <c r="L766" i="44"/>
  <c r="L767" i="44"/>
  <c r="L768" i="44"/>
  <c r="L769" i="44"/>
  <c r="L770" i="44"/>
  <c r="L771" i="44"/>
  <c r="L772" i="44"/>
  <c r="L773" i="44"/>
  <c r="L774" i="44"/>
  <c r="L775" i="44"/>
  <c r="L776" i="44"/>
  <c r="L777" i="44"/>
  <c r="L778" i="44"/>
  <c r="L779" i="44"/>
  <c r="L780" i="44"/>
  <c r="L781" i="44"/>
  <c r="L782" i="44"/>
  <c r="L783" i="44"/>
  <c r="L784" i="44"/>
  <c r="L785" i="44"/>
  <c r="L786" i="44"/>
  <c r="L787" i="44"/>
  <c r="L788" i="44"/>
  <c r="L789" i="44"/>
  <c r="L790" i="44"/>
  <c r="L791" i="44"/>
  <c r="L792" i="44"/>
  <c r="L793" i="44"/>
  <c r="L794" i="44"/>
  <c r="L795" i="44"/>
  <c r="L796" i="44"/>
  <c r="L797" i="44"/>
  <c r="L798" i="44"/>
  <c r="L799" i="44"/>
  <c r="L800" i="44"/>
  <c r="L801" i="44"/>
  <c r="L802" i="44"/>
  <c r="L803" i="44"/>
  <c r="L804" i="44"/>
  <c r="L805" i="44"/>
  <c r="L806" i="44"/>
  <c r="L807" i="44"/>
  <c r="L808" i="44"/>
  <c r="L809" i="44"/>
  <c r="L810" i="44"/>
  <c r="L811" i="44"/>
  <c r="L812" i="44"/>
  <c r="L813" i="44"/>
  <c r="L814" i="44"/>
  <c r="L815" i="44"/>
  <c r="L816" i="44"/>
  <c r="L817" i="44"/>
  <c r="L818" i="44"/>
  <c r="L819" i="44"/>
  <c r="L820" i="44"/>
  <c r="L821" i="44"/>
  <c r="L822" i="44"/>
  <c r="L823" i="44"/>
  <c r="L824" i="44"/>
  <c r="L825" i="44"/>
  <c r="L826" i="44"/>
  <c r="L827" i="44"/>
  <c r="L828" i="44"/>
  <c r="L829" i="44"/>
  <c r="L830" i="44"/>
  <c r="L831" i="44"/>
  <c r="L832" i="44"/>
  <c r="L833" i="44"/>
  <c r="L834" i="44"/>
  <c r="L835" i="44"/>
  <c r="L836" i="44"/>
  <c r="L837" i="44"/>
  <c r="L838" i="44"/>
  <c r="L839" i="44"/>
  <c r="L840" i="44"/>
  <c r="L841" i="44"/>
  <c r="L842" i="44"/>
  <c r="L843" i="44"/>
  <c r="L844" i="44"/>
  <c r="L845" i="44"/>
  <c r="L846" i="44"/>
  <c r="L847" i="44"/>
  <c r="L848" i="44"/>
  <c r="L849" i="44"/>
  <c r="L850" i="44"/>
  <c r="L851" i="44"/>
  <c r="L852" i="44"/>
  <c r="L853" i="44"/>
  <c r="L854" i="44"/>
  <c r="L855" i="44"/>
  <c r="L856" i="44"/>
  <c r="L857" i="44"/>
  <c r="L858" i="44"/>
  <c r="L859" i="44"/>
  <c r="L860" i="44"/>
  <c r="L861" i="44"/>
  <c r="L862" i="44"/>
  <c r="L863" i="44"/>
  <c r="L864" i="44"/>
  <c r="L865" i="44"/>
  <c r="L866" i="44"/>
  <c r="L867" i="44"/>
  <c r="L868" i="44"/>
  <c r="L869" i="44"/>
  <c r="L870" i="44"/>
  <c r="L871" i="44"/>
  <c r="L872" i="44"/>
  <c r="L873" i="44"/>
  <c r="L874" i="44"/>
  <c r="L875" i="44"/>
  <c r="L876" i="44"/>
  <c r="L877" i="44"/>
  <c r="L878" i="44"/>
  <c r="L879" i="44"/>
  <c r="L880" i="44"/>
  <c r="L881" i="44"/>
  <c r="L882" i="44"/>
  <c r="L883" i="44"/>
  <c r="L884" i="44"/>
  <c r="L885" i="44"/>
  <c r="L886" i="44"/>
  <c r="L887" i="44"/>
  <c r="L888" i="44"/>
  <c r="L889" i="44"/>
  <c r="L890" i="44"/>
  <c r="L891" i="44"/>
  <c r="L892" i="44"/>
  <c r="L893" i="44"/>
  <c r="L894" i="44"/>
  <c r="L895" i="44"/>
  <c r="L896" i="44"/>
  <c r="L897" i="44"/>
  <c r="L898" i="44"/>
  <c r="L899" i="44"/>
  <c r="L900" i="44"/>
  <c r="L901" i="44"/>
  <c r="L902" i="44"/>
  <c r="L903" i="44"/>
  <c r="L904" i="44"/>
  <c r="L905" i="44"/>
  <c r="L906" i="44"/>
  <c r="L907" i="44"/>
  <c r="L908" i="44"/>
  <c r="L909" i="44"/>
  <c r="L910" i="44"/>
  <c r="L911" i="44"/>
  <c r="L912" i="44"/>
  <c r="L913" i="44"/>
  <c r="L914" i="44"/>
  <c r="L915" i="44"/>
  <c r="L916" i="44"/>
  <c r="L917" i="44"/>
  <c r="L918" i="44"/>
  <c r="L919" i="44"/>
  <c r="L920" i="44"/>
  <c r="L921" i="44"/>
  <c r="L922" i="44"/>
  <c r="L923" i="44"/>
  <c r="L924" i="44"/>
  <c r="L925" i="44"/>
  <c r="L926" i="44"/>
  <c r="L927" i="44"/>
  <c r="L928" i="44"/>
  <c r="L929" i="44"/>
  <c r="L930" i="44"/>
  <c r="L931" i="44"/>
  <c r="L932" i="44"/>
  <c r="L933" i="44"/>
  <c r="L934" i="44"/>
  <c r="L935" i="44"/>
  <c r="L936" i="44"/>
  <c r="L937" i="44"/>
  <c r="L938" i="44"/>
  <c r="L939" i="44"/>
  <c r="L940" i="44"/>
  <c r="L941" i="44"/>
  <c r="L942" i="44"/>
  <c r="L943" i="44"/>
  <c r="L944" i="44"/>
  <c r="L945" i="44"/>
  <c r="L946" i="44"/>
  <c r="L947" i="44"/>
  <c r="L948" i="44"/>
  <c r="L949" i="44"/>
  <c r="L950" i="44"/>
  <c r="L951" i="44"/>
  <c r="L952" i="44"/>
  <c r="L953" i="44"/>
  <c r="L954" i="44"/>
  <c r="L955" i="44"/>
  <c r="L956" i="44"/>
  <c r="L957" i="44"/>
  <c r="L958" i="44"/>
  <c r="L959" i="44"/>
  <c r="L960" i="44"/>
  <c r="L961" i="44"/>
  <c r="L962" i="44"/>
  <c r="L963" i="44"/>
  <c r="L964" i="44"/>
  <c r="L965" i="44"/>
  <c r="L966" i="44"/>
  <c r="L967" i="44"/>
  <c r="L968" i="44"/>
  <c r="L969" i="44"/>
  <c r="L970" i="44"/>
  <c r="L971" i="44"/>
  <c r="L972" i="44"/>
  <c r="L973" i="44"/>
  <c r="L974" i="44"/>
  <c r="L975" i="44"/>
  <c r="L976" i="44"/>
  <c r="L977" i="44"/>
  <c r="L978" i="44"/>
  <c r="L979" i="44"/>
  <c r="L980" i="44"/>
  <c r="L981" i="44"/>
  <c r="L982" i="44"/>
  <c r="L983" i="44"/>
  <c r="L984" i="44"/>
  <c r="L985" i="44"/>
  <c r="L986" i="44"/>
  <c r="L987" i="44"/>
  <c r="L988" i="44"/>
  <c r="L989" i="44"/>
  <c r="L990" i="44"/>
  <c r="L991" i="44"/>
  <c r="L992" i="44"/>
  <c r="L993" i="44"/>
  <c r="L994" i="44"/>
  <c r="L995" i="44"/>
  <c r="L996" i="44"/>
  <c r="L997" i="44"/>
  <c r="L998" i="44"/>
  <c r="L999" i="44"/>
  <c r="L1000" i="44"/>
  <c r="L1001" i="44"/>
  <c r="L1002" i="44"/>
  <c r="L1003" i="44"/>
  <c r="L1004" i="44"/>
  <c r="L1005" i="44"/>
  <c r="L1006" i="44"/>
  <c r="L1007" i="44"/>
  <c r="L1008" i="44"/>
  <c r="L1009" i="44"/>
  <c r="L1010" i="44"/>
  <c r="L1011" i="44"/>
  <c r="L1012" i="44"/>
  <c r="L1013" i="44"/>
  <c r="L1014" i="44"/>
  <c r="L1015" i="44"/>
  <c r="L1016" i="44"/>
  <c r="L1017" i="44"/>
  <c r="L1018" i="44"/>
  <c r="L1019" i="44"/>
  <c r="L1020" i="44"/>
  <c r="L1021" i="44"/>
  <c r="L1022" i="44"/>
  <c r="L1023" i="44"/>
  <c r="L1024" i="44"/>
  <c r="L1025" i="44"/>
  <c r="L1026" i="44"/>
  <c r="L1027" i="44"/>
  <c r="L1028" i="44"/>
  <c r="L1029" i="44"/>
  <c r="L1030" i="44"/>
  <c r="L1031" i="44"/>
  <c r="L1032" i="44"/>
  <c r="L1033" i="44"/>
  <c r="L1034" i="44"/>
  <c r="L1035" i="44"/>
  <c r="L1036" i="44"/>
  <c r="L1037" i="44"/>
  <c r="L1038" i="44"/>
  <c r="L1039" i="44"/>
  <c r="L1040" i="44"/>
  <c r="L1041" i="44"/>
  <c r="L1042" i="44"/>
  <c r="L1043" i="44"/>
  <c r="L1044" i="44"/>
  <c r="L1045" i="44"/>
  <c r="L1046" i="44"/>
  <c r="L1047" i="44"/>
  <c r="L1048" i="44"/>
  <c r="L1049" i="44"/>
  <c r="L1050" i="44"/>
  <c r="L1051" i="44"/>
  <c r="L1052" i="44"/>
  <c r="L1053" i="44"/>
  <c r="L1054" i="44"/>
  <c r="L1055" i="44"/>
  <c r="L1056" i="44"/>
  <c r="L1057" i="44"/>
  <c r="L1058" i="44"/>
  <c r="L1059" i="44"/>
  <c r="L1060" i="44"/>
  <c r="L1061" i="44"/>
  <c r="L1062" i="44"/>
  <c r="L1063" i="44"/>
  <c r="L1064" i="44"/>
  <c r="L1065" i="44"/>
  <c r="L1066" i="44"/>
  <c r="L1067" i="44"/>
  <c r="L1068" i="44"/>
  <c r="L1069" i="44"/>
  <c r="L1070" i="44"/>
  <c r="L1071" i="44"/>
  <c r="L1072" i="44"/>
  <c r="L1073" i="44"/>
  <c r="L1074" i="44"/>
  <c r="L1075" i="44"/>
  <c r="L1076" i="44"/>
  <c r="L1077" i="44"/>
  <c r="L1078" i="44"/>
  <c r="L1079" i="44"/>
  <c r="L1080" i="44"/>
  <c r="L1081" i="44"/>
  <c r="L1082" i="44"/>
  <c r="L1083" i="44"/>
  <c r="L1084" i="44"/>
  <c r="L1085" i="44"/>
  <c r="L1086" i="44"/>
  <c r="L1087" i="44"/>
  <c r="L1088" i="44"/>
  <c r="L1089" i="44"/>
  <c r="L1090" i="44"/>
  <c r="L1091" i="44"/>
  <c r="L1092" i="44"/>
  <c r="L1093" i="44"/>
  <c r="L1094" i="44"/>
  <c r="L1095" i="44"/>
  <c r="L1096" i="44"/>
  <c r="L1097" i="44"/>
  <c r="L1098" i="44"/>
  <c r="L1099" i="44"/>
  <c r="L1100" i="44"/>
  <c r="L1101" i="44"/>
  <c r="L1102" i="44"/>
  <c r="L1103" i="44"/>
  <c r="L1104" i="44"/>
  <c r="L1105" i="44"/>
  <c r="L1106" i="44"/>
  <c r="L1107" i="44"/>
  <c r="L1108" i="44"/>
  <c r="L1109" i="44"/>
  <c r="L1110" i="44"/>
  <c r="L1111" i="44"/>
  <c r="L1112" i="44"/>
  <c r="L1113" i="44"/>
  <c r="L1114" i="44"/>
  <c r="L1116" i="44"/>
  <c r="L1117" i="44"/>
  <c r="L1118" i="44"/>
  <c r="L1119" i="44"/>
  <c r="L1120" i="44"/>
  <c r="L1121" i="44"/>
  <c r="L1122" i="44"/>
  <c r="L1123" i="44"/>
  <c r="L1125" i="44"/>
  <c r="L1126" i="44"/>
  <c r="L7" i="44"/>
  <c r="J1595" i="47"/>
  <c r="A34" i="19"/>
  <c r="J21" i="47"/>
  <c r="J23" i="47"/>
  <c r="J24" i="47"/>
  <c r="J25" i="47"/>
  <c r="J40" i="47"/>
  <c r="J41" i="47"/>
  <c r="J49" i="47"/>
  <c r="J50" i="47"/>
  <c r="J53" i="47"/>
  <c r="J54" i="47"/>
  <c r="J56" i="47"/>
  <c r="J62" i="47"/>
  <c r="J73" i="47"/>
  <c r="J78" i="47"/>
  <c r="J79" i="47"/>
  <c r="J83" i="47"/>
  <c r="J84" i="47"/>
  <c r="J88" i="47"/>
  <c r="J90" i="47"/>
  <c r="J92" i="47"/>
  <c r="J93" i="47"/>
  <c r="J94" i="47"/>
  <c r="J95" i="47"/>
  <c r="J96" i="47"/>
  <c r="J97" i="47"/>
  <c r="J98" i="47"/>
  <c r="J99" i="47"/>
  <c r="J101" i="47"/>
  <c r="J103" i="47"/>
  <c r="J104" i="47"/>
  <c r="J105" i="47"/>
  <c r="J120" i="47"/>
  <c r="J121" i="47"/>
  <c r="J125" i="47"/>
  <c r="J127" i="47"/>
  <c r="J138" i="47"/>
  <c r="J139" i="47"/>
  <c r="J140" i="47"/>
  <c r="J141" i="47"/>
  <c r="J153" i="47"/>
  <c r="J156" i="47"/>
  <c r="J157" i="47"/>
  <c r="J158" i="47"/>
  <c r="J159" i="47"/>
  <c r="J161" i="47"/>
  <c r="J162" i="47"/>
  <c r="J168" i="47"/>
  <c r="J169" i="47"/>
  <c r="J173" i="47"/>
  <c r="J174" i="47"/>
  <c r="J180" i="47"/>
  <c r="J181" i="47"/>
  <c r="J190" i="47"/>
  <c r="J193" i="47"/>
  <c r="J194" i="47"/>
  <c r="J199" i="47"/>
  <c r="J207" i="47"/>
  <c r="J212" i="47"/>
  <c r="J213" i="47"/>
  <c r="J296" i="47"/>
  <c r="J297" i="47"/>
  <c r="J298" i="47"/>
  <c r="J300" i="47"/>
  <c r="J301" i="47"/>
  <c r="J302" i="47"/>
  <c r="J303" i="47"/>
  <c r="J305" i="47"/>
  <c r="J306" i="47"/>
  <c r="J307" i="47"/>
  <c r="J311" i="47"/>
  <c r="J312" i="47"/>
  <c r="J315" i="47"/>
  <c r="J317" i="47"/>
  <c r="J319" i="47"/>
  <c r="J321" i="47"/>
  <c r="J323" i="47"/>
  <c r="J328" i="47"/>
  <c r="J334" i="47"/>
  <c r="J418" i="47"/>
  <c r="J421" i="47"/>
  <c r="J422" i="47"/>
  <c r="J434" i="47"/>
  <c r="J435" i="47"/>
  <c r="J436" i="47"/>
  <c r="J440" i="47"/>
  <c r="J446" i="47"/>
  <c r="J448" i="47"/>
  <c r="J451" i="47"/>
  <c r="J453" i="47"/>
  <c r="J455" i="47"/>
  <c r="J456" i="47"/>
  <c r="J457" i="47"/>
  <c r="J458" i="47"/>
  <c r="J459" i="47"/>
  <c r="J460" i="47"/>
  <c r="J461" i="47"/>
  <c r="J463" i="47"/>
  <c r="J462" i="47"/>
  <c r="J464" i="47"/>
  <c r="J465" i="47"/>
  <c r="J466" i="47"/>
  <c r="J479" i="47"/>
  <c r="J480" i="47"/>
  <c r="J491" i="47"/>
  <c r="J492" i="47"/>
  <c r="J495" i="47"/>
  <c r="J496" i="47"/>
  <c r="J500" i="47"/>
  <c r="J502" i="47"/>
  <c r="J504" i="47"/>
  <c r="J505" i="47"/>
  <c r="J506" i="47"/>
  <c r="J507" i="47"/>
  <c r="J508" i="47"/>
  <c r="J509" i="47"/>
  <c r="J510" i="47"/>
  <c r="J512" i="47"/>
  <c r="A15" i="19"/>
  <c r="J511" i="47"/>
  <c r="J513" i="47"/>
  <c r="J514" i="47"/>
  <c r="J515" i="47"/>
  <c r="J530" i="47"/>
  <c r="J531" i="47"/>
  <c r="J546" i="47"/>
  <c r="J547" i="47"/>
  <c r="J551" i="47"/>
  <c r="J552" i="47"/>
  <c r="J556" i="47"/>
  <c r="J558" i="47"/>
  <c r="J560" i="47"/>
  <c r="J561" i="47"/>
  <c r="J562" i="47"/>
  <c r="J563" i="47"/>
  <c r="J564" i="47"/>
  <c r="J569" i="47"/>
  <c r="J574" i="47"/>
  <c r="J575" i="47"/>
  <c r="J576" i="47"/>
  <c r="J578" i="47"/>
  <c r="J581" i="47"/>
  <c r="J582" i="47"/>
  <c r="J583" i="47"/>
  <c r="J595" i="47"/>
  <c r="J596" i="47"/>
  <c r="J604" i="47"/>
  <c r="J605" i="47"/>
  <c r="J611" i="47"/>
  <c r="J613" i="47"/>
  <c r="J614" i="47"/>
  <c r="J615" i="47"/>
  <c r="J616" i="47"/>
  <c r="J617" i="47"/>
  <c r="J618" i="47"/>
  <c r="J620" i="47"/>
  <c r="J622" i="47"/>
  <c r="J624" i="47"/>
  <c r="J633" i="47"/>
  <c r="J634" i="47"/>
  <c r="J635" i="47"/>
  <c r="J637" i="47"/>
  <c r="J640" i="47"/>
  <c r="J641" i="47"/>
  <c r="J647" i="47"/>
  <c r="J649" i="47"/>
  <c r="J650" i="47"/>
  <c r="J749" i="47"/>
  <c r="J750" i="47"/>
  <c r="J751" i="47"/>
  <c r="J753" i="47"/>
  <c r="J758" i="47"/>
  <c r="J834" i="47"/>
  <c r="J854" i="47"/>
  <c r="J860" i="47"/>
  <c r="J865" i="47"/>
  <c r="J867" i="47"/>
  <c r="J869" i="47"/>
  <c r="J870" i="47"/>
  <c r="J871" i="47"/>
  <c r="J872" i="47"/>
  <c r="J873" i="47"/>
  <c r="J874" i="47"/>
  <c r="J875" i="47"/>
  <c r="J876" i="47"/>
  <c r="J877" i="47"/>
  <c r="J878" i="47"/>
  <c r="J879" i="47"/>
  <c r="J880" i="47"/>
  <c r="J882" i="47"/>
  <c r="J883" i="47"/>
  <c r="J884" i="47"/>
  <c r="J899" i="47"/>
  <c r="J900" i="47"/>
  <c r="J902" i="47"/>
  <c r="J903" i="47"/>
  <c r="J905" i="47"/>
  <c r="J906" i="47"/>
  <c r="J912" i="47"/>
  <c r="J917" i="47"/>
  <c r="J925" i="47"/>
  <c r="J926" i="47"/>
  <c r="J930" i="47"/>
  <c r="J931" i="47"/>
  <c r="J935" i="47"/>
  <c r="J937" i="47"/>
  <c r="J939" i="47"/>
  <c r="J940" i="47"/>
  <c r="J941" i="47"/>
  <c r="J942" i="47"/>
  <c r="J943" i="47"/>
  <c r="J944" i="47"/>
  <c r="J945" i="47"/>
  <c r="J946" i="47"/>
  <c r="J947" i="47"/>
  <c r="J948" i="47"/>
  <c r="J949" i="47"/>
  <c r="J950" i="47"/>
  <c r="J951" i="47"/>
  <c r="J953" i="47"/>
  <c r="J955" i="47"/>
  <c r="J957" i="47"/>
  <c r="J958" i="47"/>
  <c r="J959" i="47"/>
  <c r="J970" i="47"/>
  <c r="J971" i="47"/>
  <c r="J978" i="47"/>
  <c r="J982" i="47"/>
  <c r="J983" i="47"/>
  <c r="J986" i="47"/>
  <c r="J987" i="47"/>
  <c r="J991" i="47"/>
  <c r="J993" i="47"/>
  <c r="J995" i="47"/>
  <c r="J996" i="47"/>
  <c r="J997" i="47"/>
  <c r="J998" i="47"/>
  <c r="J999" i="47"/>
  <c r="J1003" i="47"/>
  <c r="J1004" i="47"/>
  <c r="J1005" i="47"/>
  <c r="J1006" i="47"/>
  <c r="J1007" i="47"/>
  <c r="J1009" i="47"/>
  <c r="J1010" i="47"/>
  <c r="J1011" i="47"/>
  <c r="J1023" i="47"/>
  <c r="J1024" i="47"/>
  <c r="J1025" i="47"/>
  <c r="J1026" i="47"/>
  <c r="J1027" i="47"/>
  <c r="J1028" i="47"/>
  <c r="J1031" i="47"/>
  <c r="J1032" i="47"/>
  <c r="J1033" i="47"/>
  <c r="J1038" i="47"/>
  <c r="J1039" i="47"/>
  <c r="J1047" i="47"/>
  <c r="J1048" i="47"/>
  <c r="J1054" i="47"/>
  <c r="J1055" i="47"/>
  <c r="J1059" i="47"/>
  <c r="J1061" i="47"/>
  <c r="J1063" i="47"/>
  <c r="J1064" i="47"/>
  <c r="J1065" i="47"/>
  <c r="J1066" i="47"/>
  <c r="J1067" i="47"/>
  <c r="J1068" i="47"/>
  <c r="J1069" i="47"/>
  <c r="J1070" i="47"/>
  <c r="J1071" i="47"/>
  <c r="J1074" i="47"/>
  <c r="J1076" i="47"/>
  <c r="J1077" i="47"/>
  <c r="J1078" i="47"/>
  <c r="J1081" i="47"/>
  <c r="J1082" i="47"/>
  <c r="J1085" i="47"/>
  <c r="J1086" i="47"/>
  <c r="J1091" i="47"/>
  <c r="J1093" i="47"/>
  <c r="J1095" i="47"/>
  <c r="J1096" i="47"/>
  <c r="J1097" i="47"/>
  <c r="J1098" i="47"/>
  <c r="J1099" i="47"/>
  <c r="J1100" i="47"/>
  <c r="J1102" i="47"/>
  <c r="J1107" i="47"/>
  <c r="J1108" i="47"/>
  <c r="J1109" i="47"/>
  <c r="J1111" i="47"/>
  <c r="J1112" i="47"/>
  <c r="J1114" i="47"/>
  <c r="J1115" i="47"/>
  <c r="J1182" i="47"/>
  <c r="J1188" i="47"/>
  <c r="J1190" i="47"/>
  <c r="J1200" i="47"/>
  <c r="J1213" i="47"/>
  <c r="J1215" i="47"/>
  <c r="J1222" i="47"/>
  <c r="J1229" i="47"/>
  <c r="J1231" i="47"/>
  <c r="J1233" i="47"/>
  <c r="J1234" i="47"/>
  <c r="J1235" i="47"/>
  <c r="J1236" i="47"/>
  <c r="J1237" i="47"/>
  <c r="J1240" i="47"/>
  <c r="J1241" i="47"/>
  <c r="J1244" i="47"/>
  <c r="J1245" i="47"/>
  <c r="J1246" i="47"/>
  <c r="J1247" i="47"/>
  <c r="J1248" i="47"/>
  <c r="J1249" i="47"/>
  <c r="J1252" i="47"/>
  <c r="J1254" i="47"/>
  <c r="J1255" i="47"/>
  <c r="J1256" i="47"/>
  <c r="J1268" i="47"/>
  <c r="J1269" i="47"/>
  <c r="J1271" i="47"/>
  <c r="J1273" i="47"/>
  <c r="J1278" i="47"/>
  <c r="J1279" i="47"/>
  <c r="J1282" i="47"/>
  <c r="J1283" i="47"/>
  <c r="J1287" i="47"/>
  <c r="J1289" i="47"/>
  <c r="J1291" i="47"/>
  <c r="J1292" i="47"/>
  <c r="J1293" i="47"/>
  <c r="J1294" i="47"/>
  <c r="J1295" i="47"/>
  <c r="J1298" i="47"/>
  <c r="J1299" i="47"/>
  <c r="J1300" i="47"/>
  <c r="J1301" i="47"/>
  <c r="J1302" i="47"/>
  <c r="J1303" i="47"/>
  <c r="J1304" i="47"/>
  <c r="J1305" i="47"/>
  <c r="J1306" i="47"/>
  <c r="J1308" i="47"/>
  <c r="J1309" i="47"/>
  <c r="J1310" i="47"/>
  <c r="J1325" i="47"/>
  <c r="J1326" i="47"/>
  <c r="J1328" i="47"/>
  <c r="J1329" i="47"/>
  <c r="J1330" i="47"/>
  <c r="J1331" i="47"/>
  <c r="J1332" i="47"/>
  <c r="J1333" i="47"/>
  <c r="J1334" i="47"/>
  <c r="J1336" i="47"/>
  <c r="J1339" i="47"/>
  <c r="J1343" i="47"/>
  <c r="J1344" i="47"/>
  <c r="J1348" i="47"/>
  <c r="J1349" i="47"/>
  <c r="J1353" i="47"/>
  <c r="J1355" i="47"/>
  <c r="J1357" i="47"/>
  <c r="J1358" i="47"/>
  <c r="J1359" i="47"/>
  <c r="J1360" i="47"/>
  <c r="J1361" i="47"/>
  <c r="J1362" i="47"/>
  <c r="J1363" i="47"/>
  <c r="J1365" i="47"/>
  <c r="A29" i="19"/>
  <c r="J1364" i="47"/>
  <c r="J1366" i="47"/>
  <c r="J1367" i="47"/>
  <c r="J1368" i="47"/>
  <c r="J1377" i="47"/>
  <c r="J1378" i="47"/>
  <c r="J1382" i="47"/>
  <c r="J1383" i="47"/>
  <c r="J1388" i="47"/>
  <c r="J1390" i="47"/>
  <c r="J1392" i="47"/>
  <c r="J1393" i="47"/>
  <c r="J1394" i="47"/>
  <c r="J1395" i="47"/>
  <c r="J1396" i="47"/>
  <c r="J1397" i="47"/>
  <c r="J1398" i="47"/>
  <c r="J1399" i="47"/>
  <c r="J1400" i="47"/>
  <c r="J1403" i="47"/>
  <c r="J1405" i="47"/>
  <c r="J1406" i="47"/>
  <c r="J1407" i="47"/>
  <c r="J1419" i="47"/>
  <c r="J1420" i="47"/>
  <c r="J1421" i="47"/>
  <c r="J1423" i="47"/>
  <c r="J1424" i="47"/>
  <c r="J1425" i="47"/>
  <c r="J1428" i="47"/>
  <c r="J1429" i="47"/>
  <c r="J1432" i="47"/>
  <c r="J1433" i="47"/>
  <c r="J1437" i="47"/>
  <c r="J1439" i="47"/>
  <c r="J1441" i="47"/>
  <c r="J1446" i="47"/>
  <c r="J1453" i="47"/>
  <c r="J1455" i="47"/>
  <c r="J1457" i="47"/>
  <c r="J1460" i="47"/>
  <c r="J1461" i="47"/>
  <c r="J1462" i="47"/>
  <c r="J1464" i="47"/>
  <c r="J1465" i="47"/>
  <c r="J1467" i="47"/>
  <c r="J1468" i="47"/>
  <c r="J1519" i="47"/>
  <c r="J1524" i="47"/>
  <c r="J1526" i="47"/>
  <c r="J1528" i="47"/>
  <c r="J1530" i="47"/>
  <c r="J1532" i="47"/>
  <c r="J1534" i="47"/>
  <c r="J1538" i="47"/>
  <c r="J1540" i="47"/>
  <c r="J1548" i="47"/>
  <c r="J1553" i="47"/>
  <c r="J1572" i="47"/>
  <c r="J1583" i="47"/>
  <c r="J1585" i="47"/>
  <c r="J1587" i="47"/>
  <c r="J1588" i="47"/>
  <c r="J1589" i="47"/>
  <c r="J1590" i="47"/>
  <c r="J1591" i="47"/>
  <c r="J1592" i="47"/>
  <c r="J1594" i="47"/>
  <c r="J1596" i="47"/>
  <c r="J1597" i="47"/>
  <c r="J1598" i="47"/>
  <c r="J1609" i="47"/>
  <c r="J1610" i="47"/>
  <c r="J1611" i="47"/>
  <c r="J1612" i="47"/>
  <c r="J1613" i="47"/>
  <c r="J1615" i="47"/>
  <c r="J1616" i="47"/>
  <c r="J1617" i="47"/>
  <c r="J1619" i="47"/>
  <c r="J1620" i="47"/>
  <c r="J1623" i="47"/>
  <c r="J1625" i="47"/>
  <c r="J1627" i="47"/>
  <c r="J1628" i="47"/>
  <c r="J1629" i="47"/>
  <c r="J1630" i="47"/>
  <c r="J1631" i="47"/>
  <c r="J1634" i="47"/>
  <c r="J1635" i="47"/>
  <c r="J1636" i="47"/>
  <c r="J1637" i="47"/>
  <c r="J1638" i="47"/>
  <c r="J1639" i="47"/>
  <c r="J1640" i="47"/>
  <c r="J1642" i="47"/>
  <c r="J1641" i="47"/>
  <c r="J1643" i="47"/>
  <c r="J1644" i="47"/>
  <c r="J1648" i="47"/>
  <c r="J1650" i="47"/>
  <c r="J1651" i="47"/>
  <c r="J1652" i="47"/>
  <c r="J1667" i="47"/>
  <c r="J1668" i="47"/>
  <c r="J1669" i="47"/>
  <c r="J1670" i="47"/>
  <c r="J1671" i="47"/>
  <c r="J1672" i="47"/>
  <c r="J1673" i="47"/>
  <c r="J1674" i="47"/>
  <c r="J1675" i="47"/>
  <c r="J1676" i="47"/>
  <c r="J1679" i="47"/>
  <c r="J1680" i="47"/>
  <c r="J1681" i="47"/>
  <c r="J1682" i="47"/>
  <c r="J1683" i="47"/>
  <c r="J1684" i="47"/>
  <c r="J1686" i="47"/>
  <c r="J1687" i="47"/>
  <c r="J1689" i="47"/>
  <c r="J1690" i="47"/>
  <c r="J1692" i="47"/>
  <c r="J1696" i="47"/>
  <c r="J1698" i="47"/>
  <c r="J1703" i="47"/>
  <c r="J1707" i="47"/>
  <c r="J1710" i="47"/>
  <c r="J1712" i="47"/>
  <c r="J1713" i="47"/>
  <c r="J1721" i="47"/>
  <c r="J1722" i="47"/>
  <c r="J1723" i="47"/>
  <c r="J1727" i="47"/>
  <c r="J1729" i="47"/>
  <c r="J1731" i="47"/>
  <c r="J1732" i="47"/>
  <c r="J1733" i="47"/>
  <c r="J1736" i="47"/>
  <c r="J1737" i="47"/>
  <c r="J1738" i="47"/>
  <c r="J1739" i="47"/>
  <c r="J1740" i="47"/>
  <c r="J1743" i="47"/>
  <c r="J1744" i="47"/>
  <c r="J1745" i="47"/>
  <c r="J1746" i="47"/>
  <c r="J1747" i="47"/>
  <c r="J1749" i="47"/>
  <c r="J1750" i="47"/>
  <c r="J1751" i="47"/>
  <c r="J1767" i="47"/>
  <c r="J1768" i="47"/>
  <c r="J1769" i="47"/>
  <c r="J1770" i="47"/>
  <c r="J1771" i="47"/>
  <c r="J1772" i="47"/>
  <c r="J1773" i="47"/>
  <c r="J1774" i="47"/>
  <c r="J1775" i="47"/>
  <c r="J1776" i="47"/>
  <c r="J1777" i="47"/>
  <c r="J1778" i="47"/>
  <c r="J1779" i="47"/>
  <c r="J1780" i="47"/>
  <c r="J1783" i="47"/>
  <c r="J1784" i="47"/>
  <c r="J1787" i="47"/>
  <c r="J1788" i="47"/>
  <c r="J1789" i="47"/>
  <c r="J1790" i="47"/>
  <c r="J1793" i="47"/>
  <c r="J1795" i="47"/>
  <c r="J1800" i="47"/>
  <c r="J1802" i="47"/>
  <c r="J1805" i="47"/>
  <c r="J1806" i="47"/>
  <c r="J1813" i="47"/>
  <c r="J1814" i="47"/>
  <c r="J1815" i="47"/>
  <c r="J1819" i="47"/>
  <c r="J1821" i="47"/>
  <c r="J1823" i="47"/>
  <c r="J1824" i="47"/>
  <c r="J1825" i="47"/>
  <c r="J1826" i="47"/>
  <c r="J1827" i="47"/>
  <c r="J1830" i="47"/>
  <c r="J1831" i="47"/>
  <c r="J1832" i="47"/>
  <c r="J1833" i="47"/>
  <c r="J1834" i="47"/>
  <c r="J1835" i="47"/>
  <c r="J1836" i="47"/>
  <c r="J1837" i="47"/>
  <c r="J1838" i="47"/>
  <c r="J1840" i="47"/>
  <c r="J1841" i="47"/>
  <c r="J1844" i="47"/>
  <c r="J1846" i="47"/>
  <c r="J1847" i="47"/>
  <c r="J1848" i="47"/>
  <c r="J1864" i="47"/>
  <c r="J1865" i="47"/>
  <c r="J1866" i="47"/>
  <c r="J1867" i="47"/>
  <c r="J1868" i="47"/>
  <c r="J1869" i="47"/>
  <c r="J1871" i="47"/>
  <c r="J1873" i="47"/>
  <c r="J1874" i="47"/>
  <c r="J1875" i="47"/>
  <c r="J1876" i="47"/>
  <c r="J1877" i="47"/>
  <c r="J1883" i="47"/>
  <c r="J1884" i="47"/>
  <c r="J1888" i="47"/>
  <c r="J1890" i="47"/>
  <c r="J1892" i="47"/>
  <c r="J1895" i="47"/>
  <c r="J1901" i="47"/>
  <c r="J1902" i="47"/>
  <c r="J1909" i="47"/>
  <c r="J1910" i="47"/>
  <c r="J1914" i="47"/>
  <c r="J1916" i="47"/>
  <c r="J1918" i="47"/>
  <c r="J1919" i="47"/>
  <c r="J1920" i="47"/>
  <c r="J1921" i="47"/>
  <c r="J1922" i="47"/>
  <c r="J1925" i="47"/>
  <c r="J1926" i="47"/>
  <c r="J1929" i="47"/>
  <c r="J1930" i="47"/>
  <c r="J1931" i="47"/>
  <c r="J1932" i="47"/>
  <c r="J1933" i="47"/>
  <c r="J1934" i="47"/>
  <c r="J1936" i="47"/>
  <c r="J1937" i="47"/>
  <c r="J1938" i="47"/>
  <c r="J1940" i="47"/>
  <c r="J1942" i="47"/>
  <c r="J1943" i="47"/>
  <c r="J1944" i="47"/>
  <c r="J1959" i="47"/>
  <c r="J1960" i="47"/>
  <c r="J1961" i="47"/>
  <c r="J1962" i="47"/>
  <c r="J1963" i="47"/>
  <c r="J1964" i="47"/>
  <c r="J1965" i="47"/>
  <c r="J1966" i="47"/>
  <c r="J1967" i="47"/>
  <c r="J1968" i="47"/>
  <c r="J1969" i="47"/>
  <c r="J1970" i="47"/>
  <c r="J1971" i="47"/>
  <c r="J1972" i="47"/>
  <c r="J1973" i="47"/>
  <c r="J1974" i="47"/>
  <c r="J1975" i="47"/>
  <c r="J1976" i="47"/>
  <c r="J1979" i="47"/>
  <c r="J1980" i="47"/>
  <c r="J1982" i="47"/>
  <c r="J1983" i="47"/>
  <c r="J1985" i="47"/>
  <c r="J1986" i="47"/>
  <c r="J1988" i="47"/>
  <c r="J1989" i="47"/>
  <c r="J1991" i="47"/>
  <c r="J1992" i="47"/>
  <c r="J1995" i="47"/>
  <c r="J1998" i="47"/>
  <c r="J2001" i="47"/>
  <c r="J2006" i="47"/>
  <c r="J2010" i="47"/>
  <c r="J2011" i="47"/>
  <c r="J2019" i="47"/>
  <c r="J2020" i="47"/>
  <c r="J2024" i="47"/>
  <c r="J2026" i="47"/>
  <c r="J2028" i="47"/>
  <c r="J2030" i="47"/>
  <c r="J2031" i="47"/>
  <c r="J2032" i="47"/>
  <c r="J2033" i="47"/>
  <c r="J2034" i="47"/>
  <c r="J2038" i="47"/>
  <c r="J2039" i="47"/>
  <c r="J2040" i="47"/>
  <c r="J2041" i="47"/>
  <c r="J2042" i="47"/>
  <c r="J2043" i="47"/>
  <c r="J2044" i="47"/>
  <c r="J2045" i="47"/>
  <c r="J2046" i="47"/>
  <c r="J2047" i="47"/>
  <c r="J2048" i="47"/>
  <c r="J2049" i="47"/>
  <c r="J2052" i="47"/>
  <c r="J2054" i="47"/>
  <c r="J2055" i="47"/>
  <c r="J2056" i="47"/>
  <c r="J2068" i="47"/>
  <c r="J2069" i="47"/>
  <c r="J2070" i="47"/>
  <c r="J2071" i="47"/>
  <c r="J2072" i="47"/>
  <c r="J2073" i="47"/>
  <c r="J2076" i="47"/>
  <c r="J2077" i="47"/>
  <c r="J2078" i="47"/>
  <c r="J2079" i="47"/>
  <c r="J2080" i="47"/>
  <c r="J2081" i="47"/>
  <c r="J2084" i="47"/>
  <c r="J2085" i="47"/>
  <c r="J2087" i="47"/>
  <c r="J2089" i="47"/>
  <c r="J2090" i="47"/>
  <c r="J2091" i="47"/>
  <c r="J2092" i="47"/>
  <c r="J2093" i="47"/>
  <c r="J2096" i="47"/>
  <c r="J2097" i="47"/>
  <c r="J2100" i="47"/>
  <c r="J2102" i="47"/>
  <c r="J2103" i="47"/>
  <c r="J2109" i="47"/>
  <c r="J2111" i="47"/>
  <c r="J18" i="47"/>
  <c r="H2108" i="47"/>
  <c r="H2101" i="47"/>
  <c r="H2088" i="47"/>
  <c r="H2083" i="47"/>
  <c r="H2079" i="47"/>
  <c r="H2075" i="47"/>
  <c r="H2071" i="47"/>
  <c r="H2067" i="47"/>
  <c r="H2051" i="47"/>
  <c r="H2045" i="47"/>
  <c r="H2041" i="47"/>
  <c r="H2037" i="47"/>
  <c r="H2025" i="47"/>
  <c r="H2018" i="47"/>
  <c r="H2009" i="47"/>
  <c r="H1984" i="47"/>
  <c r="H1978" i="47"/>
  <c r="H1974" i="47"/>
  <c r="H1970" i="47"/>
  <c r="H1966" i="47"/>
  <c r="H1962" i="47"/>
  <c r="H1958" i="47"/>
  <c r="H1939" i="47"/>
  <c r="H1932" i="47"/>
  <c r="H1928" i="47"/>
  <c r="H1924" i="47"/>
  <c r="H1913" i="47"/>
  <c r="H1908" i="47"/>
  <c r="H1900" i="47"/>
  <c r="H1878" i="47"/>
  <c r="H1872" i="47"/>
  <c r="H1867" i="47"/>
  <c r="H1863" i="47"/>
  <c r="H1843" i="47"/>
  <c r="H1839" i="47"/>
  <c r="H1833" i="47"/>
  <c r="H1829" i="47"/>
  <c r="H1818" i="47"/>
  <c r="H1812" i="47"/>
  <c r="H1804" i="47"/>
  <c r="H1786" i="47"/>
  <c r="H1782" i="47"/>
  <c r="H1778" i="47"/>
  <c r="H1774" i="47"/>
  <c r="H1770" i="47"/>
  <c r="H1766" i="47"/>
  <c r="H1746" i="47"/>
  <c r="H1742" i="47"/>
  <c r="H1735" i="47"/>
  <c r="H1726" i="47"/>
  <c r="H1720" i="47"/>
  <c r="H1711" i="47"/>
  <c r="H1688" i="47"/>
  <c r="H1682" i="47"/>
  <c r="H1678" i="47"/>
  <c r="H1674" i="47"/>
  <c r="H1670" i="47"/>
  <c r="H1666" i="47"/>
  <c r="H1647" i="47"/>
  <c r="H1642" i="47"/>
  <c r="H1637" i="47"/>
  <c r="H1633" i="47"/>
  <c r="H1622" i="47"/>
  <c r="H1618" i="47"/>
  <c r="H1608" i="47"/>
  <c r="H1595" i="47"/>
  <c r="H1582" i="47"/>
  <c r="H1571" i="47"/>
  <c r="H1552" i="47"/>
  <c r="H1523" i="47"/>
  <c r="H1518" i="47"/>
  <c r="H1464" i="47"/>
  <c r="H1459" i="47"/>
  <c r="H1452" i="47"/>
  <c r="H1436" i="47"/>
  <c r="H1431" i="47"/>
  <c r="H1427" i="47"/>
  <c r="H1418" i="47"/>
  <c r="H1402" i="47"/>
  <c r="H1397" i="47"/>
  <c r="H1387" i="47"/>
  <c r="H1381" i="47"/>
  <c r="H1376" i="47"/>
  <c r="H1363" i="47"/>
  <c r="H1365" i="47"/>
  <c r="H1352" i="47"/>
  <c r="H1347" i="47"/>
  <c r="H1342" i="47"/>
  <c r="H1324" i="47"/>
  <c r="H1305" i="47"/>
  <c r="H1301" i="47"/>
  <c r="H1297" i="47"/>
  <c r="H1286" i="47"/>
  <c r="H1281" i="47"/>
  <c r="H1277" i="47"/>
  <c r="H1267" i="47"/>
  <c r="H1251" i="47"/>
  <c r="H1247" i="47"/>
  <c r="H1243" i="47"/>
  <c r="H1239" i="47"/>
  <c r="H1221" i="47"/>
  <c r="H1228" i="47"/>
  <c r="H1212" i="47"/>
  <c r="H1181" i="47"/>
  <c r="H1111" i="47"/>
  <c r="H1106" i="47"/>
  <c r="H1090" i="47"/>
  <c r="H1084" i="47"/>
  <c r="H1080" i="47"/>
  <c r="H1073" i="47"/>
  <c r="H1069" i="47"/>
  <c r="H1058" i="47"/>
  <c r="H1053" i="47"/>
  <c r="H1046" i="47"/>
  <c r="H1030" i="47"/>
  <c r="H1026" i="47"/>
  <c r="H1022" i="47"/>
  <c r="H1002" i="47"/>
  <c r="H1006" i="47"/>
  <c r="H990" i="47"/>
  <c r="H985" i="47"/>
  <c r="H981" i="47"/>
  <c r="H969" i="47"/>
  <c r="H954" i="47"/>
  <c r="H949" i="47"/>
  <c r="H945" i="47"/>
  <c r="H934" i="47"/>
  <c r="H929" i="47"/>
  <c r="H924" i="47"/>
  <c r="H898" i="47"/>
  <c r="H879" i="47"/>
  <c r="H875" i="47"/>
  <c r="H864" i="47"/>
  <c r="H853" i="47"/>
  <c r="H842" i="47"/>
  <c r="H757" i="47"/>
  <c r="H748" i="47"/>
  <c r="H646" i="47"/>
  <c r="H639" i="47"/>
  <c r="H632" i="47"/>
  <c r="H603" i="47"/>
  <c r="H610" i="47"/>
  <c r="H594" i="47"/>
  <c r="H578" i="47"/>
  <c r="H573" i="47"/>
  <c r="H555" i="47"/>
  <c r="H550" i="47"/>
  <c r="H545" i="47"/>
  <c r="H529" i="47"/>
  <c r="H510" i="47"/>
  <c r="H512" i="47"/>
  <c r="H499" i="47"/>
  <c r="H494" i="47"/>
  <c r="H490" i="47"/>
  <c r="H478" i="47"/>
  <c r="H461" i="47"/>
  <c r="H463" i="47"/>
  <c r="H450" i="47"/>
  <c r="H433" i="47"/>
  <c r="H420" i="47"/>
  <c r="H327" i="47"/>
  <c r="H310" i="47"/>
  <c r="H305" i="47"/>
  <c r="H300" i="47"/>
  <c r="H295" i="47"/>
  <c r="H209" i="47"/>
  <c r="H192" i="47"/>
  <c r="D179" i="47"/>
  <c r="E179" i="47"/>
  <c r="F179" i="47"/>
  <c r="G179" i="47"/>
  <c r="H179" i="47"/>
  <c r="H172" i="47"/>
  <c r="H167" i="47"/>
  <c r="H155" i="47"/>
  <c r="H133" i="47"/>
  <c r="H119" i="47"/>
  <c r="H100" i="47"/>
  <c r="H102" i="47"/>
  <c r="H87" i="47"/>
  <c r="H82" i="47"/>
  <c r="H77" i="47"/>
  <c r="H52" i="47"/>
  <c r="H48" i="47"/>
  <c r="H20" i="47"/>
  <c r="H22" i="47"/>
  <c r="H1438" i="47"/>
  <c r="H1253" i="47"/>
  <c r="J757" i="47"/>
  <c r="J639" i="47"/>
  <c r="H1008" i="47"/>
  <c r="H881" i="47"/>
  <c r="H2053" i="47"/>
  <c r="H1845" i="47"/>
  <c r="H1354" i="47"/>
  <c r="H1075" i="47"/>
  <c r="H956" i="47"/>
  <c r="H866" i="47"/>
  <c r="H211" i="47"/>
  <c r="H452" i="47"/>
  <c r="H1307" i="47"/>
  <c r="H1915" i="47"/>
  <c r="H648" i="47"/>
  <c r="H1230" i="47"/>
  <c r="H1584" i="47"/>
  <c r="H1586" i="47"/>
  <c r="H1820" i="47"/>
  <c r="H1822" i="47"/>
  <c r="H2110" i="47"/>
  <c r="H501" i="47"/>
  <c r="H503" i="47"/>
  <c r="H580" i="47"/>
  <c r="H612" i="47"/>
  <c r="H1404" i="47"/>
  <c r="H1440" i="47"/>
  <c r="H1466" i="47"/>
  <c r="H1649" i="47"/>
  <c r="H1941" i="47"/>
  <c r="H557" i="47"/>
  <c r="H559" i="47"/>
  <c r="H936" i="47"/>
  <c r="H938" i="47"/>
  <c r="H1389" i="47"/>
  <c r="H1391" i="47"/>
  <c r="H1748" i="47"/>
  <c r="H992" i="47"/>
  <c r="H1092" i="47"/>
  <c r="H1288" i="47"/>
  <c r="H1290" i="47"/>
  <c r="H1728" i="47"/>
  <c r="H1113" i="47"/>
  <c r="H1232" i="47"/>
  <c r="H2027" i="47"/>
  <c r="H1624" i="47"/>
  <c r="H1626" i="47"/>
  <c r="H1060" i="47"/>
  <c r="H1062" i="47"/>
  <c r="H135" i="47"/>
  <c r="H137" i="47"/>
  <c r="J1459" i="47"/>
  <c r="J1878" i="47"/>
  <c r="J100" i="47"/>
  <c r="J102" i="47"/>
  <c r="A11" i="19"/>
  <c r="J1839" i="47"/>
  <c r="J881" i="47"/>
  <c r="A19" i="19"/>
  <c r="I21" i="47"/>
  <c r="I23" i="47"/>
  <c r="I24" i="47"/>
  <c r="I25" i="47"/>
  <c r="I40" i="47"/>
  <c r="I41" i="47"/>
  <c r="I49" i="47"/>
  <c r="I50" i="47"/>
  <c r="I53" i="47"/>
  <c r="I54" i="47"/>
  <c r="I78" i="47"/>
  <c r="I79" i="47"/>
  <c r="I83" i="47"/>
  <c r="I84" i="47"/>
  <c r="I88" i="47"/>
  <c r="I90" i="47"/>
  <c r="I92" i="47"/>
  <c r="I93" i="47"/>
  <c r="I94" i="47"/>
  <c r="I95" i="47"/>
  <c r="I96" i="47"/>
  <c r="I97" i="47"/>
  <c r="I101" i="47"/>
  <c r="I103" i="47"/>
  <c r="I104" i="47"/>
  <c r="I105" i="47"/>
  <c r="I120" i="47"/>
  <c r="I121" i="47"/>
  <c r="I134" i="47"/>
  <c r="I136" i="47"/>
  <c r="I138" i="47"/>
  <c r="I139" i="47"/>
  <c r="I140" i="47"/>
  <c r="I156" i="47"/>
  <c r="I157" i="47"/>
  <c r="I159" i="47"/>
  <c r="I161" i="47"/>
  <c r="I162" i="47"/>
  <c r="I168" i="47"/>
  <c r="I169" i="47"/>
  <c r="I173" i="47"/>
  <c r="I174" i="47"/>
  <c r="I180" i="47"/>
  <c r="I296" i="47"/>
  <c r="I297" i="47"/>
  <c r="I301" i="47"/>
  <c r="I302" i="47"/>
  <c r="I306" i="47"/>
  <c r="I307" i="47"/>
  <c r="I311" i="47"/>
  <c r="I312" i="47"/>
  <c r="I453" i="47"/>
  <c r="I455" i="47"/>
  <c r="I456" i="47"/>
  <c r="I457" i="47"/>
  <c r="I458" i="47"/>
  <c r="I459" i="47"/>
  <c r="I462" i="47"/>
  <c r="I464" i="47"/>
  <c r="I465" i="47"/>
  <c r="I466" i="47"/>
  <c r="I479" i="47"/>
  <c r="I480" i="47"/>
  <c r="I491" i="47"/>
  <c r="I492" i="47"/>
  <c r="I495" i="47"/>
  <c r="I496" i="47"/>
  <c r="I500" i="47"/>
  <c r="I502" i="47"/>
  <c r="I504" i="47"/>
  <c r="I505" i="47"/>
  <c r="I506" i="47"/>
  <c r="I507" i="47"/>
  <c r="I508" i="47"/>
  <c r="I511" i="47"/>
  <c r="I513" i="47"/>
  <c r="I514" i="47"/>
  <c r="I515" i="47"/>
  <c r="I530" i="47"/>
  <c r="I531" i="47"/>
  <c r="I546" i="47"/>
  <c r="I547" i="47"/>
  <c r="I551" i="47"/>
  <c r="I552" i="47"/>
  <c r="I556" i="47"/>
  <c r="I558" i="47"/>
  <c r="I560" i="47"/>
  <c r="I561" i="47"/>
  <c r="I562" i="47"/>
  <c r="I574" i="47"/>
  <c r="I575" i="47"/>
  <c r="I579" i="47"/>
  <c r="I581" i="47"/>
  <c r="I582" i="47"/>
  <c r="I583" i="47"/>
  <c r="I595" i="47"/>
  <c r="I596" i="47"/>
  <c r="I613" i="47"/>
  <c r="I614" i="47"/>
  <c r="I615" i="47"/>
  <c r="I616" i="47"/>
  <c r="I633" i="47"/>
  <c r="I634" i="47"/>
  <c r="I640" i="47"/>
  <c r="I641" i="47"/>
  <c r="I649" i="47"/>
  <c r="I650" i="47"/>
  <c r="I749" i="47"/>
  <c r="I758" i="47"/>
  <c r="I759" i="47"/>
  <c r="I854" i="47"/>
  <c r="I871" i="47"/>
  <c r="I872" i="47"/>
  <c r="I873" i="47"/>
  <c r="I876" i="47"/>
  <c r="I877" i="47"/>
  <c r="I880" i="47"/>
  <c r="I882" i="47"/>
  <c r="I883" i="47"/>
  <c r="I884" i="47"/>
  <c r="I899" i="47"/>
  <c r="I900" i="47"/>
  <c r="I925" i="47"/>
  <c r="I926" i="47"/>
  <c r="I930" i="47"/>
  <c r="I931" i="47"/>
  <c r="I935" i="47"/>
  <c r="I937" i="47"/>
  <c r="I939" i="47"/>
  <c r="I940" i="47"/>
  <c r="I941" i="47"/>
  <c r="I942" i="47"/>
  <c r="I943" i="47"/>
  <c r="I946" i="47"/>
  <c r="I947" i="47"/>
  <c r="I950" i="47"/>
  <c r="I951" i="47"/>
  <c r="I955" i="47"/>
  <c r="I957" i="47"/>
  <c r="I958" i="47"/>
  <c r="I959" i="47"/>
  <c r="I970" i="47"/>
  <c r="I971" i="47"/>
  <c r="I982" i="47"/>
  <c r="I983" i="47"/>
  <c r="I986" i="47"/>
  <c r="I987" i="47"/>
  <c r="I991" i="47"/>
  <c r="I993" i="47"/>
  <c r="I995" i="47"/>
  <c r="I996" i="47"/>
  <c r="I997" i="47"/>
  <c r="I998" i="47"/>
  <c r="I999" i="47"/>
  <c r="I1003" i="47"/>
  <c r="I1004" i="47"/>
  <c r="I1007" i="47"/>
  <c r="I1009" i="47"/>
  <c r="I1010" i="47"/>
  <c r="I1011" i="47"/>
  <c r="I1023" i="47"/>
  <c r="I1024" i="47"/>
  <c r="I1027" i="47"/>
  <c r="I1028" i="47"/>
  <c r="I1031" i="47"/>
  <c r="I1032" i="47"/>
  <c r="I1047" i="47"/>
  <c r="I1048" i="47"/>
  <c r="I1054" i="47"/>
  <c r="I1055" i="47"/>
  <c r="I1059" i="47"/>
  <c r="I1061" i="47"/>
  <c r="I1063" i="47"/>
  <c r="I1064" i="47"/>
  <c r="I1065" i="47"/>
  <c r="I1066" i="47"/>
  <c r="I1067" i="47"/>
  <c r="I1070" i="47"/>
  <c r="I1071" i="47"/>
  <c r="I1074" i="47"/>
  <c r="I1076" i="47"/>
  <c r="I1077" i="47"/>
  <c r="I1078" i="47"/>
  <c r="I1081" i="47"/>
  <c r="I1082" i="47"/>
  <c r="I1085" i="47"/>
  <c r="I1086" i="47"/>
  <c r="I1091" i="47"/>
  <c r="I1093" i="47"/>
  <c r="I1095" i="47"/>
  <c r="I1096" i="47"/>
  <c r="I1097" i="47"/>
  <c r="I1098" i="47"/>
  <c r="I1099" i="47"/>
  <c r="I1107" i="47"/>
  <c r="I1108" i="47"/>
  <c r="I1112" i="47"/>
  <c r="I1114" i="47"/>
  <c r="I1115" i="47"/>
  <c r="I1182" i="47"/>
  <c r="I1213" i="47"/>
  <c r="I1229" i="47"/>
  <c r="I1231" i="47"/>
  <c r="I1233" i="47"/>
  <c r="I1234" i="47"/>
  <c r="I1235" i="47"/>
  <c r="I1236" i="47"/>
  <c r="I1237" i="47"/>
  <c r="I1240" i="47"/>
  <c r="I1241" i="47"/>
  <c r="I1244" i="47"/>
  <c r="I1245" i="47"/>
  <c r="I1248" i="47"/>
  <c r="I1249" i="47"/>
  <c r="I1252" i="47"/>
  <c r="I1254" i="47"/>
  <c r="I1255" i="47"/>
  <c r="I1256" i="47"/>
  <c r="I1268" i="47"/>
  <c r="I1269" i="47"/>
  <c r="I1278" i="47"/>
  <c r="I1279" i="47"/>
  <c r="I1282" i="47"/>
  <c r="I1283" i="47"/>
  <c r="I1287" i="47"/>
  <c r="I1289" i="47"/>
  <c r="I1291" i="47"/>
  <c r="I1292" i="47"/>
  <c r="I1293" i="47"/>
  <c r="I1294" i="47"/>
  <c r="I1295" i="47"/>
  <c r="I1298" i="47"/>
  <c r="I1299" i="47"/>
  <c r="I1302" i="47"/>
  <c r="I1303" i="47"/>
  <c r="I1306" i="47"/>
  <c r="I1308" i="47"/>
  <c r="I1309" i="47"/>
  <c r="I1310" i="47"/>
  <c r="I1325" i="47"/>
  <c r="I1326" i="47"/>
  <c r="I1343" i="47"/>
  <c r="I1344" i="47"/>
  <c r="I1348" i="47"/>
  <c r="I1349" i="47"/>
  <c r="I1353" i="47"/>
  <c r="I1355" i="47"/>
  <c r="I1357" i="47"/>
  <c r="I1358" i="47"/>
  <c r="I1359" i="47"/>
  <c r="I1360" i="47"/>
  <c r="I1361" i="47"/>
  <c r="I1364" i="47"/>
  <c r="I1366" i="47"/>
  <c r="I1367" i="47"/>
  <c r="I1368" i="47"/>
  <c r="I1377" i="47"/>
  <c r="I1378" i="47"/>
  <c r="I1382" i="47"/>
  <c r="I1383" i="47"/>
  <c r="I1388" i="47"/>
  <c r="I1390" i="47"/>
  <c r="I1392" i="47"/>
  <c r="I1393" i="47"/>
  <c r="I1394" i="47"/>
  <c r="I1395" i="47"/>
  <c r="I1398" i="47"/>
  <c r="I1399" i="47"/>
  <c r="I1403" i="47"/>
  <c r="I1405" i="47"/>
  <c r="I1406" i="47"/>
  <c r="I1407" i="47"/>
  <c r="I1419" i="47"/>
  <c r="I1420" i="47"/>
  <c r="I1428" i="47"/>
  <c r="I1429" i="47"/>
  <c r="I1432" i="47"/>
  <c r="I1433" i="47"/>
  <c r="I1437" i="47"/>
  <c r="I1439" i="47"/>
  <c r="I1441" i="47"/>
  <c r="I1442" i="47"/>
  <c r="I1443" i="47"/>
  <c r="I1444" i="47"/>
  <c r="I1445" i="47"/>
  <c r="I1519" i="47"/>
  <c r="I1520" i="47"/>
  <c r="I1524" i="47"/>
  <c r="I1598" i="47"/>
  <c r="I1609" i="47"/>
  <c r="I1610" i="47"/>
  <c r="I1619" i="47"/>
  <c r="I1620" i="47"/>
  <c r="I1623" i="47"/>
  <c r="I1625" i="47"/>
  <c r="I1627" i="47"/>
  <c r="I1628" i="47"/>
  <c r="I1629" i="47"/>
  <c r="I1630" i="47"/>
  <c r="I1631" i="47"/>
  <c r="I1634" i="47"/>
  <c r="I1635" i="47"/>
  <c r="I1638" i="47"/>
  <c r="I1639" i="47"/>
  <c r="I1641" i="47"/>
  <c r="I1643" i="47"/>
  <c r="I1644" i="47"/>
  <c r="I1648" i="47"/>
  <c r="I1650" i="47"/>
  <c r="I1651" i="47"/>
  <c r="I1652" i="47"/>
  <c r="I1667" i="47"/>
  <c r="I1668" i="47"/>
  <c r="I1671" i="47"/>
  <c r="I1672" i="47"/>
  <c r="I1675" i="47"/>
  <c r="I1676" i="47"/>
  <c r="I1679" i="47"/>
  <c r="I1680" i="47"/>
  <c r="I1683" i="47"/>
  <c r="I1684" i="47"/>
  <c r="I1689" i="47"/>
  <c r="I1690" i="47"/>
  <c r="I1712" i="47"/>
  <c r="I1713" i="47"/>
  <c r="I1721" i="47"/>
  <c r="I1722" i="47"/>
  <c r="I1727" i="47"/>
  <c r="I1729" i="47"/>
  <c r="I1731" i="47"/>
  <c r="I1732" i="47"/>
  <c r="I1733" i="47"/>
  <c r="I1736" i="47"/>
  <c r="I1737" i="47"/>
  <c r="I1738" i="47"/>
  <c r="I1739" i="47"/>
  <c r="I1740" i="47"/>
  <c r="I1743" i="47"/>
  <c r="I1744" i="47"/>
  <c r="I1747" i="47"/>
  <c r="I1749" i="47"/>
  <c r="I1750" i="47"/>
  <c r="I1751" i="47"/>
  <c r="I1767" i="47"/>
  <c r="I1768" i="47"/>
  <c r="I1771" i="47"/>
  <c r="I1772" i="47"/>
  <c r="I1775" i="47"/>
  <c r="I1776" i="47"/>
  <c r="I1779" i="47"/>
  <c r="I1780" i="47"/>
  <c r="I1783" i="47"/>
  <c r="I1784" i="47"/>
  <c r="I1787" i="47"/>
  <c r="I1788" i="47"/>
  <c r="I1805" i="47"/>
  <c r="I1806" i="47"/>
  <c r="I1813" i="47"/>
  <c r="I1814" i="47"/>
  <c r="I1819" i="47"/>
  <c r="I1821" i="47"/>
  <c r="AV608" i="45"/>
  <c r="AV673" i="45"/>
  <c r="D673" i="45"/>
  <c r="H2112" i="47"/>
  <c r="H1356" i="47"/>
  <c r="H1094" i="47"/>
  <c r="H454" i="47"/>
  <c r="H2029" i="47"/>
  <c r="H1730" i="47"/>
  <c r="H994" i="47"/>
  <c r="H1917" i="47"/>
  <c r="H868" i="47"/>
  <c r="B4121" i="24"/>
  <c r="E641" i="45"/>
  <c r="D121" i="43"/>
  <c r="E534" i="45"/>
  <c r="F622" i="45"/>
  <c r="F634" i="45"/>
  <c r="BG622" i="45"/>
  <c r="BG610" i="45"/>
  <c r="D610" i="45"/>
  <c r="BG734" i="45"/>
  <c r="I727" i="45"/>
  <c r="C287" i="43"/>
  <c r="D634" i="45"/>
  <c r="D622" i="45"/>
  <c r="F86" i="43"/>
  <c r="I1165" i="51"/>
  <c r="K1165" i="51"/>
  <c r="C86" i="43"/>
  <c r="G1110" i="44"/>
  <c r="C1110" i="44"/>
  <c r="D1108" i="44"/>
  <c r="F1102" i="44"/>
  <c r="F1103" i="44"/>
  <c r="F1104" i="44"/>
  <c r="F1105" i="44"/>
  <c r="F1101" i="44"/>
  <c r="E1106" i="44"/>
  <c r="E1107" i="44"/>
  <c r="E608" i="45"/>
  <c r="I605" i="45"/>
  <c r="I979" i="51"/>
  <c r="K979" i="51"/>
  <c r="F584" i="45"/>
  <c r="I584" i="45"/>
  <c r="I946" i="51"/>
  <c r="K946" i="51"/>
  <c r="I435" i="45"/>
  <c r="I699" i="51"/>
  <c r="K699" i="51"/>
  <c r="E310" i="45"/>
  <c r="E1103" i="44"/>
  <c r="BF253" i="45"/>
  <c r="E190" i="45"/>
  <c r="I190" i="45"/>
  <c r="I282" i="51"/>
  <c r="K282" i="51"/>
  <c r="E123" i="45"/>
  <c r="I123" i="45"/>
  <c r="I172" i="51"/>
  <c r="K172" i="51"/>
  <c r="C1106" i="44"/>
  <c r="C1105" i="44"/>
  <c r="J423" i="47"/>
  <c r="C1104" i="44"/>
  <c r="C1103" i="44"/>
  <c r="J1029" i="47"/>
  <c r="J1030" i="47"/>
  <c r="C1101" i="44"/>
  <c r="E253" i="45"/>
  <c r="BF734" i="45"/>
  <c r="E1105" i="44"/>
  <c r="G1105" i="44"/>
  <c r="E1104" i="44"/>
  <c r="G1104" i="44"/>
  <c r="F1106" i="44"/>
  <c r="G1106" i="44"/>
  <c r="C1108" i="44"/>
  <c r="C1112" i="44"/>
  <c r="J830" i="47"/>
  <c r="K2414" i="24"/>
  <c r="J2035" i="47"/>
  <c r="I253" i="45"/>
  <c r="I381" i="51"/>
  <c r="K381" i="51"/>
  <c r="E1101" i="44"/>
  <c r="G1101" i="44"/>
  <c r="I830" i="47"/>
  <c r="I310" i="45"/>
  <c r="I484" i="51"/>
  <c r="K484" i="51"/>
  <c r="E1102" i="44"/>
  <c r="G1102" i="44"/>
  <c r="F1107" i="44"/>
  <c r="G1107" i="44"/>
  <c r="G1103" i="44"/>
  <c r="B31" i="46"/>
  <c r="B316" i="29"/>
  <c r="I81" i="24"/>
  <c r="I61" i="24"/>
  <c r="E240" i="43"/>
  <c r="C240" i="43"/>
  <c r="K56" i="6"/>
  <c r="D193" i="43"/>
  <c r="D240" i="43"/>
  <c r="I701" i="45"/>
  <c r="E673" i="45"/>
  <c r="BE734" i="45"/>
  <c r="F240" i="43"/>
  <c r="I56" i="6"/>
  <c r="I1111" i="51"/>
  <c r="K1111" i="51"/>
  <c r="E1108" i="44"/>
  <c r="F1108" i="44"/>
  <c r="I2945" i="24"/>
  <c r="I423" i="47"/>
  <c r="I2414" i="24"/>
  <c r="I2035" i="47"/>
  <c r="I2509" i="24"/>
  <c r="I1936" i="47"/>
  <c r="I2846" i="24"/>
  <c r="I1548" i="47"/>
  <c r="I2825" i="24"/>
  <c r="I1029" i="47"/>
  <c r="I1030" i="47"/>
  <c r="I2944" i="24"/>
  <c r="G1108" i="44"/>
  <c r="G1112" i="44"/>
  <c r="E35" i="23"/>
  <c r="AV672" i="45"/>
  <c r="D672" i="45"/>
  <c r="E50" i="23"/>
  <c r="AV665" i="45"/>
  <c r="AV667" i="45"/>
  <c r="AV675" i="45"/>
  <c r="AV679" i="45"/>
  <c r="I3232" i="24"/>
  <c r="F138" i="23"/>
  <c r="AZ28" i="45"/>
  <c r="BA681" i="45"/>
  <c r="E681" i="45"/>
  <c r="D213" i="43"/>
  <c r="F680" i="45"/>
  <c r="E212" i="43"/>
  <c r="C1095" i="44"/>
  <c r="E58" i="45"/>
  <c r="I58" i="45"/>
  <c r="I67" i="51"/>
  <c r="K67" i="51"/>
  <c r="BA28" i="45"/>
  <c r="C1097" i="44"/>
  <c r="F1095" i="44"/>
  <c r="D1095" i="44"/>
  <c r="D191" i="43"/>
  <c r="D194" i="43"/>
  <c r="D203" i="43"/>
  <c r="D204" i="43"/>
  <c r="D205" i="43"/>
  <c r="D208" i="43"/>
  <c r="D209" i="43"/>
  <c r="D210" i="43"/>
  <c r="D211" i="43"/>
  <c r="D212" i="43"/>
  <c r="D214" i="43"/>
  <c r="D215" i="43"/>
  <c r="D216" i="43"/>
  <c r="D218" i="43"/>
  <c r="D220" i="43"/>
  <c r="D221" i="43"/>
  <c r="D222" i="43"/>
  <c r="D223" i="43"/>
  <c r="D224" i="43"/>
  <c r="D225" i="43"/>
  <c r="D226" i="43"/>
  <c r="D228" i="43"/>
  <c r="D230" i="43"/>
  <c r="D232" i="43"/>
  <c r="D234" i="43"/>
  <c r="D236" i="43"/>
  <c r="D237" i="43"/>
  <c r="D238" i="43"/>
  <c r="E191" i="43"/>
  <c r="E193" i="43"/>
  <c r="E195" i="43"/>
  <c r="E201" i="43"/>
  <c r="E203" i="43"/>
  <c r="E204" i="43"/>
  <c r="E206" i="43"/>
  <c r="E214" i="43"/>
  <c r="E216" i="43"/>
  <c r="E218" i="43"/>
  <c r="E220" i="43"/>
  <c r="E222" i="43"/>
  <c r="E224" i="43"/>
  <c r="E226" i="43"/>
  <c r="E228" i="43"/>
  <c r="E230" i="43"/>
  <c r="E232" i="43"/>
  <c r="E234" i="43"/>
  <c r="E236" i="43"/>
  <c r="D171" i="43"/>
  <c r="D172" i="43"/>
  <c r="D173" i="43"/>
  <c r="D174" i="43"/>
  <c r="D176" i="43"/>
  <c r="E172" i="43"/>
  <c r="E174" i="43"/>
  <c r="E176" i="43"/>
  <c r="E42" i="23"/>
  <c r="E1094" i="44"/>
  <c r="G1094" i="44"/>
  <c r="C1099" i="44"/>
  <c r="G1095" i="44"/>
  <c r="I46" i="13"/>
  <c r="G1097" i="44"/>
  <c r="I125" i="47"/>
  <c r="E1095" i="44"/>
  <c r="K3876" i="24"/>
  <c r="I3872" i="24"/>
  <c r="I3876" i="24"/>
  <c r="B3560" i="24"/>
  <c r="G1099" i="44"/>
  <c r="F627" i="45"/>
  <c r="E610" i="45"/>
  <c r="BD734" i="45"/>
  <c r="I3665" i="24"/>
  <c r="D625" i="45"/>
  <c r="BC734" i="45"/>
  <c r="O44" i="13"/>
  <c r="O48" i="13"/>
  <c r="O12" i="1"/>
  <c r="D647" i="45"/>
  <c r="Q647" i="45"/>
  <c r="F647" i="45"/>
  <c r="E679" i="45"/>
  <c r="D206" i="43"/>
  <c r="AZ675" i="45"/>
  <c r="BB241" i="45"/>
  <c r="E241" i="45"/>
  <c r="F571" i="45"/>
  <c r="F29" i="23"/>
  <c r="K1109" i="24"/>
  <c r="L38" i="1"/>
  <c r="F700" i="45"/>
  <c r="E238" i="43"/>
  <c r="D700" i="45"/>
  <c r="C238" i="43"/>
  <c r="K159" i="24"/>
  <c r="E28" i="45"/>
  <c r="G28" i="45"/>
  <c r="BA734" i="45"/>
  <c r="E675" i="45"/>
  <c r="D201" i="43"/>
  <c r="F699" i="45"/>
  <c r="E237" i="43"/>
  <c r="F692" i="45"/>
  <c r="E225" i="43"/>
  <c r="F690" i="45"/>
  <c r="E223" i="43"/>
  <c r="F688" i="45"/>
  <c r="E221" i="43"/>
  <c r="F683" i="45"/>
  <c r="E215" i="43"/>
  <c r="F681" i="45"/>
  <c r="E213" i="43"/>
  <c r="F668" i="45"/>
  <c r="E173" i="43"/>
  <c r="E211" i="43"/>
  <c r="F62" i="45"/>
  <c r="E210" i="43"/>
  <c r="F662" i="45"/>
  <c r="E209" i="43"/>
  <c r="F660" i="45"/>
  <c r="E208" i="43"/>
  <c r="F678" i="45"/>
  <c r="E205" i="43"/>
  <c r="E674" i="45"/>
  <c r="D195" i="43"/>
  <c r="E194" i="43"/>
  <c r="F255" i="45"/>
  <c r="F120" i="45"/>
  <c r="F533" i="45"/>
  <c r="F666" i="45"/>
  <c r="E171" i="43"/>
  <c r="E665" i="45"/>
  <c r="AZ734" i="45"/>
  <c r="F1087" i="44"/>
  <c r="F1088" i="44"/>
  <c r="E1087" i="44"/>
  <c r="D1088" i="44"/>
  <c r="C1087" i="44"/>
  <c r="D668" i="45"/>
  <c r="C173" i="43"/>
  <c r="D666" i="45"/>
  <c r="C171" i="43"/>
  <c r="J38" i="1"/>
  <c r="F446" i="44"/>
  <c r="E445" i="44"/>
  <c r="F433" i="45"/>
  <c r="I433" i="45"/>
  <c r="I687" i="51"/>
  <c r="K687" i="51"/>
  <c r="F642" i="45"/>
  <c r="E294" i="43"/>
  <c r="E295" i="43"/>
  <c r="AY734" i="45"/>
  <c r="I3228" i="24"/>
  <c r="C445" i="44"/>
  <c r="D642" i="45"/>
  <c r="C294" i="43"/>
  <c r="C295" i="43"/>
  <c r="AX734" i="45"/>
  <c r="D294" i="43"/>
  <c r="D295" i="43"/>
  <c r="BB734" i="45"/>
  <c r="C1088" i="44"/>
  <c r="J64" i="47"/>
  <c r="K2822" i="24"/>
  <c r="I3386" i="24"/>
  <c r="J1521" i="47"/>
  <c r="J1523" i="47"/>
  <c r="F445" i="44"/>
  <c r="I668" i="45"/>
  <c r="I666" i="45"/>
  <c r="I700" i="45"/>
  <c r="I28" i="45"/>
  <c r="I32" i="51"/>
  <c r="K32" i="51"/>
  <c r="G1087" i="44"/>
  <c r="E1088" i="44"/>
  <c r="I2605" i="24"/>
  <c r="I2626" i="24"/>
  <c r="I2646" i="24"/>
  <c r="F238" i="43"/>
  <c r="I159" i="24"/>
  <c r="I1109" i="51"/>
  <c r="K1109" i="51"/>
  <c r="F171" i="43"/>
  <c r="I1057" i="51"/>
  <c r="K1057" i="51"/>
  <c r="F173" i="43"/>
  <c r="I1059" i="51"/>
  <c r="K1059" i="51"/>
  <c r="G1088" i="44"/>
  <c r="I64" i="47"/>
  <c r="I1129" i="24"/>
  <c r="K1129" i="24"/>
  <c r="E4" i="45"/>
  <c r="F626" i="45"/>
  <c r="AW734" i="45"/>
  <c r="C237" i="43"/>
  <c r="D699" i="45"/>
  <c r="I699" i="45"/>
  <c r="D698" i="45"/>
  <c r="D692" i="45"/>
  <c r="C225" i="43"/>
  <c r="D691" i="45"/>
  <c r="C224" i="43"/>
  <c r="D690" i="45"/>
  <c r="I690" i="45"/>
  <c r="D689" i="45"/>
  <c r="I689" i="45"/>
  <c r="D688" i="45"/>
  <c r="I688" i="45"/>
  <c r="D687" i="45"/>
  <c r="I687" i="45"/>
  <c r="D683" i="45"/>
  <c r="I683" i="45"/>
  <c r="D681" i="45"/>
  <c r="C213" i="43"/>
  <c r="D682" i="45"/>
  <c r="I682" i="45"/>
  <c r="D662" i="45"/>
  <c r="D660" i="45"/>
  <c r="D679" i="45"/>
  <c r="I679" i="45"/>
  <c r="D680" i="45"/>
  <c r="I680" i="45"/>
  <c r="D678" i="45"/>
  <c r="C205" i="43"/>
  <c r="D676" i="45"/>
  <c r="I673" i="45"/>
  <c r="D697" i="45"/>
  <c r="D696" i="45"/>
  <c r="D695" i="45"/>
  <c r="D694" i="45"/>
  <c r="I694" i="45"/>
  <c r="D693" i="45"/>
  <c r="I693" i="45"/>
  <c r="D686" i="45"/>
  <c r="I686" i="45"/>
  <c r="D684" i="45"/>
  <c r="I684" i="45"/>
  <c r="D677" i="45"/>
  <c r="I677" i="45"/>
  <c r="D675" i="45"/>
  <c r="D674" i="45"/>
  <c r="D671" i="45"/>
  <c r="D255" i="45"/>
  <c r="D62" i="45"/>
  <c r="D670" i="45"/>
  <c r="D669" i="45"/>
  <c r="D667" i="45"/>
  <c r="D665" i="45"/>
  <c r="C170" i="43"/>
  <c r="AV734" i="45"/>
  <c r="F220" i="43"/>
  <c r="I1091" i="51"/>
  <c r="K1091" i="51"/>
  <c r="F226" i="43"/>
  <c r="I1097" i="51"/>
  <c r="K1097" i="51"/>
  <c r="F212" i="43"/>
  <c r="I1081" i="51"/>
  <c r="K1081" i="51"/>
  <c r="F221" i="43"/>
  <c r="I1092" i="51"/>
  <c r="K1092" i="51"/>
  <c r="F228" i="43"/>
  <c r="I1099" i="51"/>
  <c r="K1099" i="51"/>
  <c r="F206" i="43"/>
  <c r="I1079" i="51"/>
  <c r="K1079" i="51"/>
  <c r="F222" i="43"/>
  <c r="I1093" i="51"/>
  <c r="K1093" i="51"/>
  <c r="F214" i="43"/>
  <c r="I1083" i="51"/>
  <c r="K1083" i="51"/>
  <c r="F204" i="43"/>
  <c r="I1077" i="51"/>
  <c r="K1077" i="51"/>
  <c r="F216" i="43"/>
  <c r="I1085" i="51"/>
  <c r="K1085" i="51"/>
  <c r="F215" i="43"/>
  <c r="I1084" i="51"/>
  <c r="K1084" i="51"/>
  <c r="F237" i="43"/>
  <c r="I1108" i="51"/>
  <c r="K1108" i="51"/>
  <c r="F223" i="43"/>
  <c r="I1094" i="51"/>
  <c r="K1094" i="51"/>
  <c r="F218" i="43"/>
  <c r="I1089" i="51"/>
  <c r="K1089" i="51"/>
  <c r="F194" i="43"/>
  <c r="I1067" i="51"/>
  <c r="K1067" i="51"/>
  <c r="I691" i="45"/>
  <c r="I692" i="45"/>
  <c r="I678" i="45"/>
  <c r="C215" i="43"/>
  <c r="C223" i="43"/>
  <c r="C222" i="43"/>
  <c r="I681" i="45"/>
  <c r="C221" i="43"/>
  <c r="C194" i="43"/>
  <c r="O4136" i="24"/>
  <c r="I4136" i="24"/>
  <c r="N4129" i="24"/>
  <c r="AU628" i="45"/>
  <c r="AU734" i="45"/>
  <c r="F213" i="43"/>
  <c r="I1082" i="51"/>
  <c r="K1082" i="51"/>
  <c r="F205" i="43"/>
  <c r="I1078" i="51"/>
  <c r="K1078" i="51"/>
  <c r="F225" i="43"/>
  <c r="I1096" i="51"/>
  <c r="K1096" i="51"/>
  <c r="F224" i="43"/>
  <c r="I1095" i="51"/>
  <c r="K1095" i="51"/>
  <c r="K285" i="24"/>
  <c r="K284" i="24"/>
  <c r="K283" i="24"/>
  <c r="I287" i="24"/>
  <c r="K287" i="24"/>
  <c r="AT685" i="45"/>
  <c r="D685" i="45"/>
  <c r="I685" i="45"/>
  <c r="I1087" i="51"/>
  <c r="K1087" i="51"/>
  <c r="AT608" i="45"/>
  <c r="C18" i="43"/>
  <c r="F631" i="45"/>
  <c r="N711" i="45"/>
  <c r="AS636" i="45"/>
  <c r="AS734" i="45"/>
  <c r="F635" i="45"/>
  <c r="F644" i="45"/>
  <c r="D124" i="43"/>
  <c r="C124" i="43"/>
  <c r="K1167" i="24"/>
  <c r="F636" i="45"/>
  <c r="E124" i="43"/>
  <c r="AT734" i="45"/>
  <c r="N135" i="45"/>
  <c r="E135" i="45"/>
  <c r="E478" i="45"/>
  <c r="E193" i="45"/>
  <c r="E133" i="45"/>
  <c r="F139" i="45"/>
  <c r="AR734" i="45"/>
  <c r="AQ734" i="45"/>
  <c r="F545" i="45"/>
  <c r="E131" i="45"/>
  <c r="I1102" i="24"/>
  <c r="AI604" i="45"/>
  <c r="E604" i="45"/>
  <c r="AI596" i="45"/>
  <c r="E464" i="44"/>
  <c r="F464" i="44"/>
  <c r="F465" i="44"/>
  <c r="F466" i="44"/>
  <c r="F467" i="44"/>
  <c r="E468" i="44"/>
  <c r="F470" i="44"/>
  <c r="E472" i="44"/>
  <c r="F472" i="44"/>
  <c r="E474" i="44"/>
  <c r="F474" i="44"/>
  <c r="E476" i="44"/>
  <c r="F476" i="44"/>
  <c r="E477" i="44"/>
  <c r="F477" i="44"/>
  <c r="E480" i="44"/>
  <c r="F480" i="44"/>
  <c r="E481" i="44"/>
  <c r="F481" i="44"/>
  <c r="F486" i="44"/>
  <c r="F487" i="44"/>
  <c r="F488" i="44"/>
  <c r="F489" i="44"/>
  <c r="F490" i="44"/>
  <c r="F491" i="44"/>
  <c r="F494" i="44"/>
  <c r="F509" i="44"/>
  <c r="E510" i="44"/>
  <c r="F510" i="44"/>
  <c r="F511" i="44"/>
  <c r="F515" i="44"/>
  <c r="F522" i="44"/>
  <c r="F523" i="44"/>
  <c r="F525" i="44"/>
  <c r="F526" i="44"/>
  <c r="F527" i="44"/>
  <c r="E528" i="44"/>
  <c r="F528" i="44"/>
  <c r="E529" i="44"/>
  <c r="F529" i="44"/>
  <c r="E531" i="44"/>
  <c r="F531" i="44"/>
  <c r="E534" i="44"/>
  <c r="F534" i="44"/>
  <c r="F535" i="44"/>
  <c r="E537" i="44"/>
  <c r="F537" i="44"/>
  <c r="E538" i="44"/>
  <c r="F538" i="44"/>
  <c r="E545" i="44"/>
  <c r="F545" i="44"/>
  <c r="E546" i="44"/>
  <c r="F546" i="44"/>
  <c r="E547" i="44"/>
  <c r="F547" i="44"/>
  <c r="E548" i="44"/>
  <c r="F548" i="44"/>
  <c r="E551" i="44"/>
  <c r="F551" i="44"/>
  <c r="E570" i="44"/>
  <c r="E573" i="44"/>
  <c r="F573" i="44"/>
  <c r="F576" i="44"/>
  <c r="E580" i="44"/>
  <c r="F580" i="44"/>
  <c r="E581" i="44"/>
  <c r="F581" i="44"/>
  <c r="E586" i="44"/>
  <c r="F586" i="44"/>
  <c r="E588" i="44"/>
  <c r="F588" i="44"/>
  <c r="E589" i="44"/>
  <c r="F589" i="44"/>
  <c r="E592" i="44"/>
  <c r="F592" i="44"/>
  <c r="E593" i="44"/>
  <c r="F593" i="44"/>
  <c r="F594" i="44"/>
  <c r="E595" i="44"/>
  <c r="F595" i="44"/>
  <c r="E596" i="44"/>
  <c r="F596" i="44"/>
  <c r="E599" i="44"/>
  <c r="F599" i="44"/>
  <c r="E600" i="44"/>
  <c r="F600" i="44"/>
  <c r="E603" i="44"/>
  <c r="F603" i="44"/>
  <c r="E604" i="44"/>
  <c r="F604" i="44"/>
  <c r="F606" i="44"/>
  <c r="E608" i="44"/>
  <c r="F608" i="44"/>
  <c r="E609" i="44"/>
  <c r="F609" i="44"/>
  <c r="E611" i="44"/>
  <c r="F611" i="44"/>
  <c r="E620" i="44"/>
  <c r="F620" i="44"/>
  <c r="E622" i="44"/>
  <c r="F622" i="44"/>
  <c r="F623" i="44"/>
  <c r="E624" i="44"/>
  <c r="F624" i="44"/>
  <c r="E626" i="44"/>
  <c r="F626" i="44"/>
  <c r="E627" i="44"/>
  <c r="F627" i="44"/>
  <c r="E628" i="44"/>
  <c r="F628" i="44"/>
  <c r="F630" i="44"/>
  <c r="E631" i="44"/>
  <c r="F631" i="44"/>
  <c r="E633" i="44"/>
  <c r="F633" i="44"/>
  <c r="E641" i="44"/>
  <c r="F641" i="44"/>
  <c r="E644" i="44"/>
  <c r="F644" i="44"/>
  <c r="E645" i="44"/>
  <c r="F645" i="44"/>
  <c r="F646" i="44"/>
  <c r="E650" i="44"/>
  <c r="F650" i="44"/>
  <c r="E651" i="44"/>
  <c r="F651" i="44"/>
  <c r="E654" i="44"/>
  <c r="F654" i="44"/>
  <c r="E656" i="44"/>
  <c r="F656" i="44"/>
  <c r="E659" i="44"/>
  <c r="F659" i="44"/>
  <c r="F661" i="44"/>
  <c r="E662" i="44"/>
  <c r="F662" i="44"/>
  <c r="E663" i="44"/>
  <c r="F663" i="44"/>
  <c r="F666" i="44"/>
  <c r="E670" i="44"/>
  <c r="F670" i="44"/>
  <c r="E672" i="44"/>
  <c r="F672" i="44"/>
  <c r="E673" i="44"/>
  <c r="F673" i="44"/>
  <c r="E674" i="44"/>
  <c r="F674" i="44"/>
  <c r="E675" i="44"/>
  <c r="F675" i="44"/>
  <c r="E677" i="44"/>
  <c r="F677" i="44"/>
  <c r="E679" i="44"/>
  <c r="F679" i="44"/>
  <c r="E680" i="44"/>
  <c r="F680" i="44"/>
  <c r="F682" i="44"/>
  <c r="E683" i="44"/>
  <c r="F683" i="44"/>
  <c r="F684" i="44"/>
  <c r="F685" i="44"/>
  <c r="F686" i="44"/>
  <c r="E688" i="44"/>
  <c r="F688" i="44"/>
  <c r="F689" i="44"/>
  <c r="E690" i="44"/>
  <c r="F690" i="44"/>
  <c r="E692" i="44"/>
  <c r="F692" i="44"/>
  <c r="E693" i="44"/>
  <c r="F693" i="44"/>
  <c r="E694" i="44"/>
  <c r="F694" i="44"/>
  <c r="F695" i="44"/>
  <c r="F696" i="44"/>
  <c r="E697" i="44"/>
  <c r="F697" i="44"/>
  <c r="F698" i="44"/>
  <c r="E701" i="44"/>
  <c r="F701" i="44"/>
  <c r="F702" i="44"/>
  <c r="E715" i="44"/>
  <c r="F715" i="44"/>
  <c r="E716" i="44"/>
  <c r="F716" i="44"/>
  <c r="F717" i="44"/>
  <c r="E723" i="44"/>
  <c r="F723" i="44"/>
  <c r="F725" i="44"/>
  <c r="F726" i="44"/>
  <c r="E727" i="44"/>
  <c r="F727" i="44"/>
  <c r="F728" i="44"/>
  <c r="E730" i="44"/>
  <c r="F730" i="44"/>
  <c r="F731" i="44"/>
  <c r="E732" i="44"/>
  <c r="F732" i="44"/>
  <c r="F733" i="44"/>
  <c r="E734" i="44"/>
  <c r="F734" i="44"/>
  <c r="E736" i="44"/>
  <c r="F736" i="44"/>
  <c r="E738" i="44"/>
  <c r="F738" i="44"/>
  <c r="E739" i="44"/>
  <c r="F739" i="44"/>
  <c r="E740" i="44"/>
  <c r="F740" i="44"/>
  <c r="E741" i="44"/>
  <c r="F741" i="44"/>
  <c r="E742" i="44"/>
  <c r="F742" i="44"/>
  <c r="F752" i="44"/>
  <c r="E753" i="44"/>
  <c r="F753" i="44"/>
  <c r="E754" i="44"/>
  <c r="F754" i="44"/>
  <c r="E755" i="44"/>
  <c r="F755" i="44"/>
  <c r="F458" i="44"/>
  <c r="F449" i="44"/>
  <c r="E58" i="44"/>
  <c r="E61" i="44"/>
  <c r="E63" i="44"/>
  <c r="E64" i="44"/>
  <c r="E67" i="44"/>
  <c r="E69" i="44"/>
  <c r="E73" i="44"/>
  <c r="E74" i="44"/>
  <c r="E75" i="44"/>
  <c r="E76" i="44"/>
  <c r="E78" i="44"/>
  <c r="E79" i="44"/>
  <c r="E82" i="44"/>
  <c r="E83" i="44"/>
  <c r="E84" i="44"/>
  <c r="E85" i="44"/>
  <c r="E87" i="44"/>
  <c r="E91" i="44"/>
  <c r="E94" i="44"/>
  <c r="E95" i="44"/>
  <c r="E96" i="44"/>
  <c r="E97" i="44"/>
  <c r="E98" i="44"/>
  <c r="E99" i="44"/>
  <c r="E101" i="44"/>
  <c r="E102" i="44"/>
  <c r="E103" i="44"/>
  <c r="E104" i="44"/>
  <c r="E105" i="44"/>
  <c r="E106" i="44"/>
  <c r="E107" i="44"/>
  <c r="E108" i="44"/>
  <c r="E109" i="44"/>
  <c r="E110" i="44"/>
  <c r="E111" i="44"/>
  <c r="E112" i="44"/>
  <c r="E114" i="44"/>
  <c r="E115" i="44"/>
  <c r="E116" i="44"/>
  <c r="E117" i="44"/>
  <c r="E118" i="44"/>
  <c r="E119" i="44"/>
  <c r="E120" i="44"/>
  <c r="E122" i="44"/>
  <c r="E123" i="44"/>
  <c r="E124" i="44"/>
  <c r="E125" i="44"/>
  <c r="E127" i="44"/>
  <c r="E128" i="44"/>
  <c r="E129" i="44"/>
  <c r="E130" i="44"/>
  <c r="E132" i="44"/>
  <c r="E134" i="44"/>
  <c r="E135" i="44"/>
  <c r="E136" i="44"/>
  <c r="E137" i="44"/>
  <c r="E138" i="44"/>
  <c r="E140" i="44"/>
  <c r="E141" i="44"/>
  <c r="E142" i="44"/>
  <c r="E143" i="44"/>
  <c r="E144" i="44"/>
  <c r="E145" i="44"/>
  <c r="E146" i="44"/>
  <c r="E148" i="44"/>
  <c r="E149" i="44"/>
  <c r="E150" i="44"/>
  <c r="E151" i="44"/>
  <c r="E152" i="44"/>
  <c r="E153" i="44"/>
  <c r="E154" i="44"/>
  <c r="E155" i="44"/>
  <c r="E156" i="44"/>
  <c r="E157" i="44"/>
  <c r="E158" i="44"/>
  <c r="E159" i="44"/>
  <c r="E160" i="44"/>
  <c r="E161" i="44"/>
  <c r="E162" i="44"/>
  <c r="E163" i="44"/>
  <c r="E164" i="44"/>
  <c r="E165" i="44"/>
  <c r="E166" i="44"/>
  <c r="E167" i="44"/>
  <c r="E171" i="44"/>
  <c r="E173" i="44"/>
  <c r="E174" i="44"/>
  <c r="E175" i="44"/>
  <c r="E176" i="44"/>
  <c r="E177" i="44"/>
  <c r="E178" i="44"/>
  <c r="E179" i="44"/>
  <c r="E180" i="44"/>
  <c r="E181" i="44"/>
  <c r="E182" i="44"/>
  <c r="E183" i="44"/>
  <c r="E184" i="44"/>
  <c r="E185" i="44"/>
  <c r="E186" i="44"/>
  <c r="E188" i="44"/>
  <c r="E189" i="44"/>
  <c r="E191" i="44"/>
  <c r="E193" i="44"/>
  <c r="E196" i="44"/>
  <c r="E197" i="44"/>
  <c r="E198" i="44"/>
  <c r="E200" i="44"/>
  <c r="E201" i="44"/>
  <c r="E203" i="44"/>
  <c r="E204" i="44"/>
  <c r="E207" i="44"/>
  <c r="E208" i="44"/>
  <c r="E209" i="44"/>
  <c r="E211" i="44"/>
  <c r="E212" i="44"/>
  <c r="E214" i="44"/>
  <c r="E215" i="44"/>
  <c r="E216" i="44"/>
  <c r="E217" i="44"/>
  <c r="E218" i="44"/>
  <c r="E219" i="44"/>
  <c r="E220" i="44"/>
  <c r="E221" i="44"/>
  <c r="E222" i="44"/>
  <c r="E224" i="44"/>
  <c r="E225" i="44"/>
  <c r="E227" i="44"/>
  <c r="E228" i="44"/>
  <c r="E229" i="44"/>
  <c r="E231" i="44"/>
  <c r="E232" i="44"/>
  <c r="E233" i="44"/>
  <c r="E234" i="44"/>
  <c r="E235" i="44"/>
  <c r="E236" i="44"/>
  <c r="E237" i="44"/>
  <c r="E238" i="44"/>
  <c r="E239" i="44"/>
  <c r="E241" i="44"/>
  <c r="E242" i="44"/>
  <c r="E244" i="44"/>
  <c r="E246" i="44"/>
  <c r="E247" i="44"/>
  <c r="E248" i="44"/>
  <c r="E249" i="44"/>
  <c r="E250" i="44"/>
  <c r="E251" i="44"/>
  <c r="E252" i="44"/>
  <c r="E254" i="44"/>
  <c r="E255" i="44"/>
  <c r="E258" i="44"/>
  <c r="E259" i="44"/>
  <c r="E261" i="44"/>
  <c r="E262" i="44"/>
  <c r="E263" i="44"/>
  <c r="E264" i="44"/>
  <c r="E265" i="44"/>
  <c r="E266" i="44"/>
  <c r="E267" i="44"/>
  <c r="E269" i="44"/>
  <c r="E271" i="44"/>
  <c r="E273" i="44"/>
  <c r="E274" i="44"/>
  <c r="E275" i="44"/>
  <c r="E276" i="44"/>
  <c r="E277" i="44"/>
  <c r="E278" i="44"/>
  <c r="E279" i="44"/>
  <c r="E280" i="44"/>
  <c r="E281" i="44"/>
  <c r="E282" i="44"/>
  <c r="E283" i="44"/>
  <c r="E284" i="44"/>
  <c r="E285" i="44"/>
  <c r="E286" i="44"/>
  <c r="E288" i="44"/>
  <c r="E289" i="44"/>
  <c r="E290" i="44"/>
  <c r="E292" i="44"/>
  <c r="E293" i="44"/>
  <c r="E294" i="44"/>
  <c r="E295" i="44"/>
  <c r="E296" i="44"/>
  <c r="E297" i="44"/>
  <c r="E298" i="44"/>
  <c r="E299" i="44"/>
  <c r="E300" i="44"/>
  <c r="E302" i="44"/>
  <c r="E303" i="44"/>
  <c r="E305" i="44"/>
  <c r="E306" i="44"/>
  <c r="E307" i="44"/>
  <c r="E309" i="44"/>
  <c r="E310" i="44"/>
  <c r="E311" i="44"/>
  <c r="E312" i="44"/>
  <c r="E313" i="44"/>
  <c r="E315" i="44"/>
  <c r="E316" i="44"/>
  <c r="E319" i="44"/>
  <c r="E321" i="44"/>
  <c r="E322" i="44"/>
  <c r="E323" i="44"/>
  <c r="E325" i="44"/>
  <c r="E326" i="44"/>
  <c r="E328" i="44"/>
  <c r="E329" i="44"/>
  <c r="E330" i="44"/>
  <c r="E331" i="44"/>
  <c r="E332" i="44"/>
  <c r="E333" i="44"/>
  <c r="E334" i="44"/>
  <c r="E335" i="44"/>
  <c r="E336" i="44"/>
  <c r="E338" i="44"/>
  <c r="E339" i="44"/>
  <c r="E341" i="44"/>
  <c r="E342" i="44"/>
  <c r="E343" i="44"/>
  <c r="E345" i="44"/>
  <c r="E346" i="44"/>
  <c r="E347" i="44"/>
  <c r="E348" i="44"/>
  <c r="E349" i="44"/>
  <c r="E352" i="44"/>
  <c r="E354" i="44"/>
  <c r="E355" i="44"/>
  <c r="E360" i="44"/>
  <c r="E362" i="44"/>
  <c r="E364" i="44"/>
  <c r="E365" i="44"/>
  <c r="E366" i="44"/>
  <c r="E367" i="44"/>
  <c r="E372" i="44"/>
  <c r="E374" i="44"/>
  <c r="E376" i="44"/>
  <c r="E378" i="44"/>
  <c r="E379" i="44"/>
  <c r="E382" i="44"/>
  <c r="E384" i="44"/>
  <c r="E386" i="44"/>
  <c r="E388" i="44"/>
  <c r="E389" i="44"/>
  <c r="E394" i="44"/>
  <c r="E395" i="44"/>
  <c r="E397" i="44"/>
  <c r="E399" i="44"/>
  <c r="E401" i="44"/>
  <c r="E403" i="44"/>
  <c r="E409" i="44"/>
  <c r="E410" i="44"/>
  <c r="E411" i="44"/>
  <c r="E413" i="44"/>
  <c r="E414" i="44"/>
  <c r="E416" i="44"/>
  <c r="E417" i="44"/>
  <c r="E418" i="44"/>
  <c r="E419" i="44"/>
  <c r="E421" i="44"/>
  <c r="E422" i="44"/>
  <c r="E423" i="44"/>
  <c r="E424" i="44"/>
  <c r="E425" i="44"/>
  <c r="E427" i="44"/>
  <c r="E428" i="44"/>
  <c r="E430" i="44"/>
  <c r="E431" i="44"/>
  <c r="E432" i="44"/>
  <c r="E434" i="44"/>
  <c r="E435" i="44"/>
  <c r="E436" i="44"/>
  <c r="E437" i="44"/>
  <c r="E438" i="44"/>
  <c r="E47" i="44"/>
  <c r="F120" i="44"/>
  <c r="F58" i="44"/>
  <c r="F61" i="44"/>
  <c r="F63" i="44"/>
  <c r="F64" i="44"/>
  <c r="F67" i="44"/>
  <c r="F69" i="44"/>
  <c r="F73" i="44"/>
  <c r="F74" i="44"/>
  <c r="F75" i="44"/>
  <c r="F76" i="44"/>
  <c r="F78" i="44"/>
  <c r="F79" i="44"/>
  <c r="F82" i="44"/>
  <c r="F83" i="44"/>
  <c r="F84" i="44"/>
  <c r="F85" i="44"/>
  <c r="F87" i="44"/>
  <c r="F91" i="44"/>
  <c r="F94" i="44"/>
  <c r="F95" i="44"/>
  <c r="F96" i="44"/>
  <c r="F97" i="44"/>
  <c r="F98" i="44"/>
  <c r="F99" i="44"/>
  <c r="F101" i="44"/>
  <c r="F102" i="44"/>
  <c r="F103" i="44"/>
  <c r="F104" i="44"/>
  <c r="F105" i="44"/>
  <c r="F106" i="44"/>
  <c r="F107" i="44"/>
  <c r="F108" i="44"/>
  <c r="F109" i="44"/>
  <c r="F110" i="44"/>
  <c r="F111" i="44"/>
  <c r="F112" i="44"/>
  <c r="F113" i="44"/>
  <c r="F114" i="44"/>
  <c r="F115" i="44"/>
  <c r="F116" i="44"/>
  <c r="F117" i="44"/>
  <c r="F118" i="44"/>
  <c r="F119" i="44"/>
  <c r="F122" i="44"/>
  <c r="F123" i="44"/>
  <c r="F124" i="44"/>
  <c r="F125" i="44"/>
  <c r="F127" i="44"/>
  <c r="F128" i="44"/>
  <c r="F129" i="44"/>
  <c r="F130" i="44"/>
  <c r="F132" i="44"/>
  <c r="F134" i="44"/>
  <c r="F135" i="44"/>
  <c r="F136" i="44"/>
  <c r="F137" i="44"/>
  <c r="F138" i="44"/>
  <c r="F140" i="44"/>
  <c r="F141" i="44"/>
  <c r="F142" i="44"/>
  <c r="F143" i="44"/>
  <c r="F144" i="44"/>
  <c r="F145" i="44"/>
  <c r="F146" i="44"/>
  <c r="F148" i="44"/>
  <c r="F149" i="44"/>
  <c r="F150" i="44"/>
  <c r="F151" i="44"/>
  <c r="F152" i="44"/>
  <c r="F153" i="44"/>
  <c r="F154" i="44"/>
  <c r="F155" i="44"/>
  <c r="F156" i="44"/>
  <c r="F157" i="44"/>
  <c r="F158" i="44"/>
  <c r="F159" i="44"/>
  <c r="F160" i="44"/>
  <c r="F161" i="44"/>
  <c r="F162" i="44"/>
  <c r="F163" i="44"/>
  <c r="F164" i="44"/>
  <c r="F165" i="44"/>
  <c r="F166" i="44"/>
  <c r="F167" i="44"/>
  <c r="F171" i="44"/>
  <c r="F173" i="44"/>
  <c r="F174" i="44"/>
  <c r="F175" i="44"/>
  <c r="F176" i="44"/>
  <c r="F177" i="44"/>
  <c r="F178" i="44"/>
  <c r="F179" i="44"/>
  <c r="F180" i="44"/>
  <c r="F181" i="44"/>
  <c r="F182" i="44"/>
  <c r="F183" i="44"/>
  <c r="F184" i="44"/>
  <c r="F185" i="44"/>
  <c r="F186" i="44"/>
  <c r="F188" i="44"/>
  <c r="F189" i="44"/>
  <c r="F191" i="44"/>
  <c r="F193" i="44"/>
  <c r="F196" i="44"/>
  <c r="F197" i="44"/>
  <c r="F198" i="44"/>
  <c r="F200" i="44"/>
  <c r="F201" i="44"/>
  <c r="F203" i="44"/>
  <c r="F204" i="44"/>
  <c r="F206" i="44"/>
  <c r="F207" i="44"/>
  <c r="F208" i="44"/>
  <c r="F209" i="44"/>
  <c r="F211" i="44"/>
  <c r="F212" i="44"/>
  <c r="F214" i="44"/>
  <c r="F215" i="44"/>
  <c r="F216" i="44"/>
  <c r="F217" i="44"/>
  <c r="F218" i="44"/>
  <c r="F219" i="44"/>
  <c r="F220" i="44"/>
  <c r="F221" i="44"/>
  <c r="F222" i="44"/>
  <c r="F224" i="44"/>
  <c r="F225" i="44"/>
  <c r="F227" i="44"/>
  <c r="F228" i="44"/>
  <c r="F229" i="44"/>
  <c r="F231" i="44"/>
  <c r="F232" i="44"/>
  <c r="F233" i="44"/>
  <c r="F234" i="44"/>
  <c r="F235" i="44"/>
  <c r="F236" i="44"/>
  <c r="F237" i="44"/>
  <c r="F238" i="44"/>
  <c r="F239" i="44"/>
  <c r="F241" i="44"/>
  <c r="F242" i="44"/>
  <c r="F244" i="44"/>
  <c r="F246" i="44"/>
  <c r="F247" i="44"/>
  <c r="F248" i="44"/>
  <c r="F249" i="44"/>
  <c r="F250" i="44"/>
  <c r="F251" i="44"/>
  <c r="F252" i="44"/>
  <c r="F254" i="44"/>
  <c r="F255" i="44"/>
  <c r="F258" i="44"/>
  <c r="F259" i="44"/>
  <c r="F261" i="44"/>
  <c r="F262" i="44"/>
  <c r="F263" i="44"/>
  <c r="F264" i="44"/>
  <c r="F265" i="44"/>
  <c r="F267" i="44"/>
  <c r="F269" i="44"/>
  <c r="F271" i="44"/>
  <c r="F273" i="44"/>
  <c r="F274" i="44"/>
  <c r="F275" i="44"/>
  <c r="F276" i="44"/>
  <c r="F277" i="44"/>
  <c r="F278" i="44"/>
  <c r="F279" i="44"/>
  <c r="F280" i="44"/>
  <c r="F281" i="44"/>
  <c r="F282" i="44"/>
  <c r="F283" i="44"/>
  <c r="F284" i="44"/>
  <c r="F285" i="44"/>
  <c r="F286" i="44"/>
  <c r="F288" i="44"/>
  <c r="F290" i="44"/>
  <c r="F292" i="44"/>
  <c r="F293" i="44"/>
  <c r="F294" i="44"/>
  <c r="F295" i="44"/>
  <c r="F296" i="44"/>
  <c r="F297" i="44"/>
  <c r="F298" i="44"/>
  <c r="F299" i="44"/>
  <c r="F300" i="44"/>
  <c r="F302" i="44"/>
  <c r="F303" i="44"/>
  <c r="F305" i="44"/>
  <c r="F306" i="44"/>
  <c r="F307" i="44"/>
  <c r="F309" i="44"/>
  <c r="F310" i="44"/>
  <c r="F311" i="44"/>
  <c r="F312" i="44"/>
  <c r="F313" i="44"/>
  <c r="F315" i="44"/>
  <c r="F316" i="44"/>
  <c r="F319" i="44"/>
  <c r="F320" i="44"/>
  <c r="F321" i="44"/>
  <c r="F322" i="44"/>
  <c r="F323" i="44"/>
  <c r="F325" i="44"/>
  <c r="F326" i="44"/>
  <c r="F328" i="44"/>
  <c r="F329" i="44"/>
  <c r="F330" i="44"/>
  <c r="F331" i="44"/>
  <c r="F332" i="44"/>
  <c r="F333" i="44"/>
  <c r="F334" i="44"/>
  <c r="F335" i="44"/>
  <c r="F336" i="44"/>
  <c r="F338" i="44"/>
  <c r="F339" i="44"/>
  <c r="F341" i="44"/>
  <c r="F342" i="44"/>
  <c r="F343" i="44"/>
  <c r="F345" i="44"/>
  <c r="F346" i="44"/>
  <c r="F347" i="44"/>
  <c r="F348" i="44"/>
  <c r="F349" i="44"/>
  <c r="F350" i="44"/>
  <c r="F352" i="44"/>
  <c r="F354" i="44"/>
  <c r="F355" i="44"/>
  <c r="F360" i="44"/>
  <c r="F362" i="44"/>
  <c r="F364" i="44"/>
  <c r="F365" i="44"/>
  <c r="F366" i="44"/>
  <c r="F367" i="44"/>
  <c r="F372" i="44"/>
  <c r="F374" i="44"/>
  <c r="F376" i="44"/>
  <c r="F378" i="44"/>
  <c r="F379" i="44"/>
  <c r="F382" i="44"/>
  <c r="F384" i="44"/>
  <c r="F386" i="44"/>
  <c r="F388" i="44"/>
  <c r="F389" i="44"/>
  <c r="F394" i="44"/>
  <c r="F395" i="44"/>
  <c r="F397" i="44"/>
  <c r="F399" i="44"/>
  <c r="F401" i="44"/>
  <c r="F408" i="44"/>
  <c r="F409" i="44"/>
  <c r="F410" i="44"/>
  <c r="F411" i="44"/>
  <c r="F413" i="44"/>
  <c r="F414" i="44"/>
  <c r="F416" i="44"/>
  <c r="F417" i="44"/>
  <c r="F418" i="44"/>
  <c r="F419" i="44"/>
  <c r="F421" i="44"/>
  <c r="F422" i="44"/>
  <c r="F423" i="44"/>
  <c r="F424" i="44"/>
  <c r="F425" i="44"/>
  <c r="F427" i="44"/>
  <c r="F428" i="44"/>
  <c r="F430" i="44"/>
  <c r="F431" i="44"/>
  <c r="F432" i="44"/>
  <c r="F434" i="44"/>
  <c r="F435" i="44"/>
  <c r="F436" i="44"/>
  <c r="F437" i="44"/>
  <c r="F438" i="44"/>
  <c r="F23" i="44"/>
  <c r="F24" i="44"/>
  <c r="F26" i="44"/>
  <c r="F29" i="44"/>
  <c r="F32" i="44"/>
  <c r="F21" i="44"/>
  <c r="E24" i="44"/>
  <c r="E29" i="44"/>
  <c r="E21" i="44"/>
  <c r="E9" i="44"/>
  <c r="E13" i="44"/>
  <c r="AO628" i="45"/>
  <c r="E628" i="45"/>
  <c r="F61" i="45"/>
  <c r="F718" i="44"/>
  <c r="F596" i="45"/>
  <c r="F563" i="45"/>
  <c r="F471" i="44"/>
  <c r="F282" i="45"/>
  <c r="F729" i="44"/>
  <c r="F229" i="45"/>
  <c r="F459" i="44"/>
  <c r="F112" i="45"/>
  <c r="F720" i="44"/>
  <c r="F96" i="45"/>
  <c r="F469" i="44"/>
  <c r="F496" i="45"/>
  <c r="F447" i="44"/>
  <c r="AP734" i="45"/>
  <c r="E31" i="45"/>
  <c r="E526" i="44"/>
  <c r="AO111" i="45"/>
  <c r="F111" i="45"/>
  <c r="F719" i="44"/>
  <c r="F63" i="45"/>
  <c r="F400" i="45"/>
  <c r="F237" i="45"/>
  <c r="F664" i="44"/>
  <c r="F233" i="45"/>
  <c r="F468" i="44"/>
  <c r="F230" i="45"/>
  <c r="F156" i="45"/>
  <c r="F722" i="44"/>
  <c r="F121" i="45"/>
  <c r="F92" i="45"/>
  <c r="F536" i="44"/>
  <c r="F89" i="45"/>
  <c r="F289" i="44"/>
  <c r="E111" i="45"/>
  <c r="E719" i="44"/>
  <c r="E110" i="45"/>
  <c r="E698" i="44"/>
  <c r="E96" i="45"/>
  <c r="E469" i="44"/>
  <c r="E121" i="45"/>
  <c r="E21" i="45"/>
  <c r="E576" i="44"/>
  <c r="AN61" i="45"/>
  <c r="E61" i="45"/>
  <c r="E718" i="44"/>
  <c r="E62" i="45"/>
  <c r="E596" i="45"/>
  <c r="E575" i="45"/>
  <c r="E565" i="45"/>
  <c r="E695" i="44"/>
  <c r="E563" i="45"/>
  <c r="E471" i="44"/>
  <c r="E561" i="45"/>
  <c r="E594" i="44"/>
  <c r="E470" i="45"/>
  <c r="E752" i="44"/>
  <c r="E374" i="45"/>
  <c r="E733" i="44"/>
  <c r="E354" i="45"/>
  <c r="E689" i="44"/>
  <c r="E283" i="45"/>
  <c r="E686" i="44"/>
  <c r="E282" i="45"/>
  <c r="E729" i="44"/>
  <c r="E256" i="45"/>
  <c r="E252" i="45"/>
  <c r="E685" i="44"/>
  <c r="E251" i="45"/>
  <c r="E684" i="44"/>
  <c r="E249" i="45"/>
  <c r="E728" i="44"/>
  <c r="E247" i="45"/>
  <c r="E726" i="44"/>
  <c r="E246" i="45"/>
  <c r="E725" i="44"/>
  <c r="E245" i="45"/>
  <c r="E702" i="44"/>
  <c r="E237" i="45"/>
  <c r="E664" i="44"/>
  <c r="E232" i="45"/>
  <c r="E630" i="44"/>
  <c r="E229" i="45"/>
  <c r="E459" i="44"/>
  <c r="E189" i="45"/>
  <c r="E188" i="45"/>
  <c r="E177" i="45"/>
  <c r="E646" i="44"/>
  <c r="E157" i="45"/>
  <c r="E682" i="44"/>
  <c r="E156" i="45"/>
  <c r="E722" i="44"/>
  <c r="E143" i="45"/>
  <c r="E666" i="44"/>
  <c r="E112" i="45"/>
  <c r="E720" i="44"/>
  <c r="E99" i="45"/>
  <c r="E606" i="44"/>
  <c r="E93" i="45"/>
  <c r="E623" i="44"/>
  <c r="E92" i="45"/>
  <c r="E536" i="44"/>
  <c r="E59" i="45"/>
  <c r="E527" i="44"/>
  <c r="E25" i="45"/>
  <c r="E661" i="44"/>
  <c r="AM734" i="45"/>
  <c r="AL734" i="45"/>
  <c r="AN734" i="45"/>
  <c r="AO734" i="45"/>
  <c r="F45" i="42"/>
  <c r="F26" i="42"/>
  <c r="E26" i="42"/>
  <c r="AE461" i="45"/>
  <c r="E629" i="45"/>
  <c r="F88" i="45"/>
  <c r="E611" i="45"/>
  <c r="F608" i="45"/>
  <c r="D629" i="45"/>
  <c r="AK734" i="45"/>
  <c r="F611" i="45"/>
  <c r="D611" i="45"/>
  <c r="B2043" i="24"/>
  <c r="B2042" i="24"/>
  <c r="B2041" i="24"/>
  <c r="B2040" i="24"/>
  <c r="E2016" i="24"/>
  <c r="E2017" i="24"/>
  <c r="E2013" i="24"/>
  <c r="G2013" i="24"/>
  <c r="E2012" i="24"/>
  <c r="G2012" i="24"/>
  <c r="G2017" i="24"/>
  <c r="G2016" i="24"/>
  <c r="B28" i="16"/>
  <c r="B27" i="16"/>
  <c r="H54" i="42"/>
  <c r="G54" i="42"/>
  <c r="B328" i="46"/>
  <c r="B794" i="46"/>
  <c r="I3219" i="24"/>
  <c r="I1487" i="24"/>
  <c r="K1487" i="24"/>
  <c r="E23" i="43"/>
  <c r="D23" i="43"/>
  <c r="C23" i="43"/>
  <c r="K5012" i="24"/>
  <c r="C22" i="43"/>
  <c r="D21" i="43"/>
  <c r="C21" i="43"/>
  <c r="E20" i="43"/>
  <c r="C20" i="43"/>
  <c r="E19" i="43"/>
  <c r="C19" i="43"/>
  <c r="E18" i="43"/>
  <c r="D18" i="43"/>
  <c r="I52" i="42"/>
  <c r="H52" i="42"/>
  <c r="G52" i="42"/>
  <c r="F52" i="42"/>
  <c r="H32" i="42"/>
  <c r="G32" i="42"/>
  <c r="C695" i="6"/>
  <c r="C284" i="6"/>
  <c r="J52" i="42"/>
  <c r="K893" i="6"/>
  <c r="K904" i="6"/>
  <c r="K922" i="6"/>
  <c r="K5013" i="24"/>
  <c r="Q581" i="45"/>
  <c r="Q651" i="45"/>
  <c r="F11" i="14"/>
  <c r="F74" i="45"/>
  <c r="F403" i="44"/>
  <c r="AJ33" i="45"/>
  <c r="E33" i="45"/>
  <c r="E717" i="44"/>
  <c r="AJ14" i="45"/>
  <c r="AJ11" i="45"/>
  <c r="AJ10" i="45"/>
  <c r="AJ3" i="45"/>
  <c r="AJ734" i="45"/>
  <c r="I5014" i="24"/>
  <c r="K5014" i="24"/>
  <c r="I4683" i="24"/>
  <c r="E585" i="45"/>
  <c r="E855" i="44"/>
  <c r="F856" i="44"/>
  <c r="F855" i="44"/>
  <c r="E856" i="44"/>
  <c r="F570" i="45"/>
  <c r="F13" i="44"/>
  <c r="F556" i="45"/>
  <c r="F315" i="45"/>
  <c r="F9" i="44"/>
  <c r="AI734" i="45"/>
  <c r="AH645" i="45"/>
  <c r="AH734" i="45"/>
  <c r="G856" i="44"/>
  <c r="I2050" i="47"/>
  <c r="C447" i="44"/>
  <c r="B686" i="46"/>
  <c r="B116" i="46"/>
  <c r="F972" i="46"/>
  <c r="I4" i="45"/>
  <c r="I4" i="51"/>
  <c r="K4" i="51"/>
  <c r="I5" i="45"/>
  <c r="I5" i="51"/>
  <c r="K5" i="51"/>
  <c r="I6" i="45"/>
  <c r="I6" i="51"/>
  <c r="K6" i="51"/>
  <c r="I8" i="45"/>
  <c r="I8" i="51"/>
  <c r="K8" i="51"/>
  <c r="I9" i="45"/>
  <c r="I9" i="51"/>
  <c r="K9" i="51"/>
  <c r="I12" i="45"/>
  <c r="I13" i="51"/>
  <c r="K13" i="51"/>
  <c r="I13" i="45"/>
  <c r="I14" i="51"/>
  <c r="K14" i="51"/>
  <c r="I15" i="45"/>
  <c r="I16" i="51"/>
  <c r="K16" i="51"/>
  <c r="I16" i="45"/>
  <c r="I17" i="51"/>
  <c r="K17" i="51"/>
  <c r="I17" i="45"/>
  <c r="I18" i="51"/>
  <c r="K18" i="51"/>
  <c r="I18" i="45"/>
  <c r="I19" i="51"/>
  <c r="K19" i="51"/>
  <c r="I19" i="45"/>
  <c r="I20" i="51"/>
  <c r="K20" i="51"/>
  <c r="I20" i="45"/>
  <c r="I21" i="51"/>
  <c r="K21" i="51"/>
  <c r="I21" i="45"/>
  <c r="I22" i="51"/>
  <c r="K22" i="51"/>
  <c r="I22" i="45"/>
  <c r="I23" i="51"/>
  <c r="K23" i="51"/>
  <c r="I23" i="45"/>
  <c r="I25" i="51"/>
  <c r="K25" i="51"/>
  <c r="I24" i="45"/>
  <c r="I26" i="51"/>
  <c r="K26" i="51"/>
  <c r="I25" i="45"/>
  <c r="I27" i="51"/>
  <c r="K27" i="51"/>
  <c r="I26" i="45"/>
  <c r="I28" i="51"/>
  <c r="K28" i="51"/>
  <c r="I27" i="45"/>
  <c r="I29" i="51"/>
  <c r="K29" i="51"/>
  <c r="I29" i="45"/>
  <c r="I34" i="51"/>
  <c r="K34" i="51"/>
  <c r="I31" i="45"/>
  <c r="I36" i="51"/>
  <c r="K36" i="51"/>
  <c r="I33" i="45"/>
  <c r="I38" i="51"/>
  <c r="K38" i="51"/>
  <c r="I34" i="45"/>
  <c r="I39" i="51"/>
  <c r="K39" i="51"/>
  <c r="I36" i="45"/>
  <c r="I43" i="51"/>
  <c r="K43" i="51"/>
  <c r="I38" i="45"/>
  <c r="I45" i="51"/>
  <c r="K45" i="51"/>
  <c r="I39" i="45"/>
  <c r="I46" i="51"/>
  <c r="K46" i="51"/>
  <c r="I40" i="45"/>
  <c r="I47" i="51"/>
  <c r="K47" i="51"/>
  <c r="I41" i="45"/>
  <c r="I48" i="51"/>
  <c r="K48" i="51"/>
  <c r="I42" i="45"/>
  <c r="I49" i="51"/>
  <c r="K49" i="51"/>
  <c r="I43" i="45"/>
  <c r="I50" i="51"/>
  <c r="K50" i="51"/>
  <c r="I44" i="45"/>
  <c r="I51" i="51"/>
  <c r="K51" i="51"/>
  <c r="I45" i="45"/>
  <c r="I52" i="51"/>
  <c r="K52" i="51"/>
  <c r="I46" i="45"/>
  <c r="I53" i="51"/>
  <c r="K53" i="51"/>
  <c r="I47" i="45"/>
  <c r="I54" i="51"/>
  <c r="K54" i="51"/>
  <c r="I48" i="45"/>
  <c r="I55" i="51"/>
  <c r="K55" i="51"/>
  <c r="I50" i="45"/>
  <c r="I57" i="51"/>
  <c r="K57" i="51"/>
  <c r="I51" i="45"/>
  <c r="I58" i="51"/>
  <c r="K58" i="51"/>
  <c r="I52" i="45"/>
  <c r="I59" i="51"/>
  <c r="K59" i="51"/>
  <c r="I53" i="45"/>
  <c r="I61" i="51"/>
  <c r="K61" i="51"/>
  <c r="I54" i="45"/>
  <c r="I62" i="51"/>
  <c r="K62" i="51"/>
  <c r="I55" i="45"/>
  <c r="I63" i="51"/>
  <c r="K63" i="51"/>
  <c r="I56" i="45"/>
  <c r="I64" i="51"/>
  <c r="K64" i="51"/>
  <c r="I57" i="45"/>
  <c r="I65" i="51"/>
  <c r="K65" i="51"/>
  <c r="I59" i="45"/>
  <c r="I70" i="51"/>
  <c r="K70" i="51"/>
  <c r="I60" i="45"/>
  <c r="I71" i="51"/>
  <c r="K71" i="51"/>
  <c r="I61" i="45"/>
  <c r="I72" i="51"/>
  <c r="K72" i="51"/>
  <c r="I64" i="45"/>
  <c r="I75" i="51"/>
  <c r="K75" i="51"/>
  <c r="I65" i="45"/>
  <c r="I77" i="51"/>
  <c r="K77" i="51"/>
  <c r="I66" i="45"/>
  <c r="I78" i="51"/>
  <c r="K78" i="51"/>
  <c r="I67" i="45"/>
  <c r="I80" i="51"/>
  <c r="K80" i="51"/>
  <c r="I68" i="45"/>
  <c r="I81" i="51"/>
  <c r="K81" i="51"/>
  <c r="I69" i="45"/>
  <c r="I82" i="51"/>
  <c r="K82" i="51"/>
  <c r="I70" i="45"/>
  <c r="I84" i="51"/>
  <c r="K84" i="51"/>
  <c r="I71" i="45"/>
  <c r="I85" i="51"/>
  <c r="K85" i="51"/>
  <c r="I72" i="45"/>
  <c r="I88" i="51"/>
  <c r="K88" i="51"/>
  <c r="I73" i="45"/>
  <c r="I90" i="51"/>
  <c r="K90" i="51"/>
  <c r="I74" i="45"/>
  <c r="I95" i="51"/>
  <c r="K95" i="51"/>
  <c r="I75" i="45"/>
  <c r="I96" i="51"/>
  <c r="K96" i="51"/>
  <c r="I76" i="45"/>
  <c r="I97" i="51"/>
  <c r="K97" i="51"/>
  <c r="I77" i="45"/>
  <c r="I99" i="51"/>
  <c r="K99" i="51"/>
  <c r="I78" i="45"/>
  <c r="I100" i="51"/>
  <c r="K100" i="51"/>
  <c r="I79" i="45"/>
  <c r="I102" i="51"/>
  <c r="K102" i="51"/>
  <c r="I80" i="45"/>
  <c r="I103" i="51"/>
  <c r="K103" i="51"/>
  <c r="I81" i="45"/>
  <c r="I108" i="51"/>
  <c r="K108" i="51"/>
  <c r="I82" i="45"/>
  <c r="I109" i="51"/>
  <c r="K109" i="51"/>
  <c r="I83" i="45"/>
  <c r="I111" i="51"/>
  <c r="K111" i="51"/>
  <c r="I84" i="45"/>
  <c r="I112" i="51"/>
  <c r="K112" i="51"/>
  <c r="I85" i="45"/>
  <c r="I114" i="51"/>
  <c r="K114" i="51"/>
  <c r="I86" i="45"/>
  <c r="I115" i="51"/>
  <c r="K115" i="51"/>
  <c r="I87" i="45"/>
  <c r="I117" i="51"/>
  <c r="K117" i="51"/>
  <c r="I88" i="45"/>
  <c r="I119" i="51"/>
  <c r="K119" i="51"/>
  <c r="I89" i="45"/>
  <c r="I120" i="51"/>
  <c r="K120" i="51"/>
  <c r="I90" i="45"/>
  <c r="I128" i="51"/>
  <c r="K128" i="51"/>
  <c r="I92" i="45"/>
  <c r="I132" i="51"/>
  <c r="K132" i="51"/>
  <c r="I93" i="45"/>
  <c r="I133" i="51"/>
  <c r="K133" i="51"/>
  <c r="I94" i="45"/>
  <c r="I134" i="51"/>
  <c r="K134" i="51"/>
  <c r="I95" i="45"/>
  <c r="I136" i="51"/>
  <c r="K136" i="51"/>
  <c r="I96" i="45"/>
  <c r="I137" i="51"/>
  <c r="K137" i="51"/>
  <c r="I97" i="45"/>
  <c r="I138" i="51"/>
  <c r="K138" i="51"/>
  <c r="I98" i="45"/>
  <c r="I139" i="51"/>
  <c r="K139" i="51"/>
  <c r="I99" i="45"/>
  <c r="I141" i="51"/>
  <c r="K141" i="51"/>
  <c r="I100" i="45"/>
  <c r="I144" i="51"/>
  <c r="K144" i="51"/>
  <c r="I101" i="45"/>
  <c r="I145" i="51"/>
  <c r="K145" i="51"/>
  <c r="I102" i="45"/>
  <c r="I146" i="51"/>
  <c r="K146" i="51"/>
  <c r="I103" i="45"/>
  <c r="I147" i="51"/>
  <c r="K147" i="51"/>
  <c r="I104" i="45"/>
  <c r="I148" i="51"/>
  <c r="K148" i="51"/>
  <c r="I105" i="45"/>
  <c r="I149" i="51"/>
  <c r="K149" i="51"/>
  <c r="I106" i="45"/>
  <c r="I150" i="51"/>
  <c r="K150" i="51"/>
  <c r="I108" i="45"/>
  <c r="I153" i="51"/>
  <c r="K153" i="51"/>
  <c r="I109" i="45"/>
  <c r="I154" i="51"/>
  <c r="K154" i="51"/>
  <c r="I110" i="45"/>
  <c r="I155" i="51"/>
  <c r="K155" i="51"/>
  <c r="I111" i="45"/>
  <c r="I157" i="51"/>
  <c r="K157" i="51"/>
  <c r="I112" i="45"/>
  <c r="I158" i="51"/>
  <c r="K158" i="51"/>
  <c r="I113" i="45"/>
  <c r="I161" i="51"/>
  <c r="K161" i="51"/>
  <c r="I114" i="45"/>
  <c r="I162" i="51"/>
  <c r="K162" i="51"/>
  <c r="I115" i="45"/>
  <c r="I164" i="51"/>
  <c r="K164" i="51"/>
  <c r="I116" i="45"/>
  <c r="I165" i="51"/>
  <c r="K165" i="51"/>
  <c r="I119" i="45"/>
  <c r="I168" i="51"/>
  <c r="K168" i="51"/>
  <c r="I120" i="45"/>
  <c r="I169" i="51"/>
  <c r="K169" i="51"/>
  <c r="I121" i="45"/>
  <c r="I170" i="51"/>
  <c r="K170" i="51"/>
  <c r="I122" i="45"/>
  <c r="I171" i="51"/>
  <c r="K171" i="51"/>
  <c r="I124" i="45"/>
  <c r="I173" i="51"/>
  <c r="K173" i="51"/>
  <c r="I125" i="45"/>
  <c r="I176" i="51"/>
  <c r="K176" i="51"/>
  <c r="I126" i="45"/>
  <c r="I178" i="51"/>
  <c r="K178" i="51"/>
  <c r="I127" i="45"/>
  <c r="I180" i="51"/>
  <c r="K180" i="51"/>
  <c r="I128" i="45"/>
  <c r="I181" i="51"/>
  <c r="K181" i="51"/>
  <c r="I129" i="45"/>
  <c r="I184" i="51"/>
  <c r="K184" i="51"/>
  <c r="I130" i="45"/>
  <c r="I185" i="51"/>
  <c r="K185" i="51"/>
  <c r="I131" i="45"/>
  <c r="I186" i="51"/>
  <c r="K186" i="51"/>
  <c r="I132" i="45"/>
  <c r="I187" i="51"/>
  <c r="K187" i="51"/>
  <c r="I133" i="45"/>
  <c r="I188" i="51"/>
  <c r="K188" i="51"/>
  <c r="I134" i="45"/>
  <c r="I192" i="51"/>
  <c r="K192" i="51"/>
  <c r="I135" i="45"/>
  <c r="I193" i="51"/>
  <c r="K193" i="51"/>
  <c r="I136" i="45"/>
  <c r="I194" i="51"/>
  <c r="K194" i="51"/>
  <c r="I137" i="45"/>
  <c r="I195" i="51"/>
  <c r="K195" i="51"/>
  <c r="I138" i="45"/>
  <c r="I196" i="51"/>
  <c r="K196" i="51"/>
  <c r="I139" i="45"/>
  <c r="I197" i="51"/>
  <c r="K197" i="51"/>
  <c r="I141" i="45"/>
  <c r="I200" i="51"/>
  <c r="K200" i="51"/>
  <c r="I143" i="45"/>
  <c r="I205" i="51"/>
  <c r="K205" i="51"/>
  <c r="I144" i="45"/>
  <c r="I208" i="51"/>
  <c r="K208" i="51"/>
  <c r="I145" i="45"/>
  <c r="I209" i="51"/>
  <c r="K209" i="51"/>
  <c r="I146" i="45"/>
  <c r="I210" i="51"/>
  <c r="K210" i="51"/>
  <c r="I147" i="45"/>
  <c r="I212" i="51"/>
  <c r="K212" i="51"/>
  <c r="I148" i="45"/>
  <c r="I213" i="51"/>
  <c r="K213" i="51"/>
  <c r="I149" i="45"/>
  <c r="I214" i="51"/>
  <c r="K214" i="51"/>
  <c r="I150" i="45"/>
  <c r="I216" i="51"/>
  <c r="K216" i="51"/>
  <c r="I151" i="45"/>
  <c r="I217" i="51"/>
  <c r="K217" i="51"/>
  <c r="I152" i="45"/>
  <c r="I218" i="51"/>
  <c r="K218" i="51"/>
  <c r="I154" i="45"/>
  <c r="I221" i="51"/>
  <c r="K221" i="51"/>
  <c r="I155" i="45"/>
  <c r="I222" i="51"/>
  <c r="K222" i="51"/>
  <c r="I156" i="45"/>
  <c r="I225" i="51"/>
  <c r="K225" i="51"/>
  <c r="I157" i="45"/>
  <c r="I226" i="51"/>
  <c r="K226" i="51"/>
  <c r="I159" i="45"/>
  <c r="I229" i="51"/>
  <c r="K229" i="51"/>
  <c r="I160" i="45"/>
  <c r="I231" i="51"/>
  <c r="K231" i="51"/>
  <c r="I161" i="45"/>
  <c r="I232" i="51"/>
  <c r="K232" i="51"/>
  <c r="I162" i="45"/>
  <c r="I233" i="51"/>
  <c r="K233" i="51"/>
  <c r="I163" i="45"/>
  <c r="I234" i="51"/>
  <c r="K234" i="51"/>
  <c r="I164" i="45"/>
  <c r="I235" i="51"/>
  <c r="K235" i="51"/>
  <c r="I165" i="45"/>
  <c r="I236" i="51"/>
  <c r="K236" i="51"/>
  <c r="I166" i="45"/>
  <c r="I238" i="51"/>
  <c r="K238" i="51"/>
  <c r="I167" i="45"/>
  <c r="I239" i="51"/>
  <c r="K239" i="51"/>
  <c r="I168" i="45"/>
  <c r="I240" i="51"/>
  <c r="K240" i="51"/>
  <c r="I169" i="45"/>
  <c r="I242" i="51"/>
  <c r="K242" i="51"/>
  <c r="I170" i="45"/>
  <c r="I243" i="51"/>
  <c r="K243" i="51"/>
  <c r="I171" i="45"/>
  <c r="I244" i="51"/>
  <c r="K244" i="51"/>
  <c r="I172" i="45"/>
  <c r="I245" i="51"/>
  <c r="K245" i="51"/>
  <c r="I173" i="45"/>
  <c r="I246" i="51"/>
  <c r="K246" i="51"/>
  <c r="I174" i="45"/>
  <c r="I247" i="51"/>
  <c r="K247" i="51"/>
  <c r="I175" i="45"/>
  <c r="I249" i="51"/>
  <c r="K249" i="51"/>
  <c r="I176" i="45"/>
  <c r="I250" i="51"/>
  <c r="K250" i="51"/>
  <c r="I177" i="45"/>
  <c r="I251" i="51"/>
  <c r="K251" i="51"/>
  <c r="I179" i="45"/>
  <c r="I253" i="51"/>
  <c r="K253" i="51"/>
  <c r="I180" i="45"/>
  <c r="I254" i="51"/>
  <c r="K254" i="51"/>
  <c r="I181" i="45"/>
  <c r="I255" i="51"/>
  <c r="K255" i="51"/>
  <c r="I183" i="45"/>
  <c r="I258" i="51"/>
  <c r="K258" i="51"/>
  <c r="I184" i="45"/>
  <c r="I259" i="51"/>
  <c r="K259" i="51"/>
  <c r="I185" i="45"/>
  <c r="I260" i="51"/>
  <c r="K260" i="51"/>
  <c r="I186" i="45"/>
  <c r="I261" i="51"/>
  <c r="K261" i="51"/>
  <c r="I187" i="45"/>
  <c r="I262" i="51"/>
  <c r="K262" i="51"/>
  <c r="I188" i="45"/>
  <c r="I268" i="51"/>
  <c r="K268" i="51"/>
  <c r="I189" i="45"/>
  <c r="I271" i="51"/>
  <c r="K271" i="51"/>
  <c r="I191" i="45"/>
  <c r="I288" i="51"/>
  <c r="K288" i="51"/>
  <c r="I192" i="45"/>
  <c r="I289" i="51"/>
  <c r="K289" i="51"/>
  <c r="I193" i="45"/>
  <c r="I291" i="51"/>
  <c r="K291" i="51"/>
  <c r="I194" i="45"/>
  <c r="I292" i="51"/>
  <c r="K292" i="51"/>
  <c r="I195" i="45"/>
  <c r="I293" i="51"/>
  <c r="K293" i="51"/>
  <c r="I196" i="45"/>
  <c r="I294" i="51"/>
  <c r="K294" i="51"/>
  <c r="I197" i="45"/>
  <c r="I295" i="51"/>
  <c r="K295" i="51"/>
  <c r="I198" i="45"/>
  <c r="I296" i="51"/>
  <c r="K296" i="51"/>
  <c r="I199" i="45"/>
  <c r="I299" i="51"/>
  <c r="K299" i="51"/>
  <c r="I200" i="45"/>
  <c r="I300" i="51"/>
  <c r="K300" i="51"/>
  <c r="I201" i="45"/>
  <c r="I302" i="51"/>
  <c r="K302" i="51"/>
  <c r="I202" i="45"/>
  <c r="I305" i="51"/>
  <c r="K305" i="51"/>
  <c r="I203" i="45"/>
  <c r="I308" i="51"/>
  <c r="K308" i="51"/>
  <c r="I204" i="45"/>
  <c r="I309" i="51"/>
  <c r="K309" i="51"/>
  <c r="I205" i="45"/>
  <c r="I314" i="51"/>
  <c r="K314" i="51"/>
  <c r="I206" i="45"/>
  <c r="I315" i="51"/>
  <c r="K315" i="51"/>
  <c r="I207" i="45"/>
  <c r="I316" i="51"/>
  <c r="K316" i="51"/>
  <c r="I208" i="45"/>
  <c r="I317" i="51"/>
  <c r="K317" i="51"/>
  <c r="I209" i="45"/>
  <c r="I318" i="51"/>
  <c r="K318" i="51"/>
  <c r="I210" i="45"/>
  <c r="I319" i="51"/>
  <c r="K319" i="51"/>
  <c r="I211" i="45"/>
  <c r="I320" i="51"/>
  <c r="K320" i="51"/>
  <c r="I212" i="45"/>
  <c r="I321" i="51"/>
  <c r="K321" i="51"/>
  <c r="I213" i="45"/>
  <c r="I322" i="51"/>
  <c r="K322" i="51"/>
  <c r="I214" i="45"/>
  <c r="I323" i="51"/>
  <c r="K323" i="51"/>
  <c r="I215" i="45"/>
  <c r="I324" i="51"/>
  <c r="K324" i="51"/>
  <c r="I216" i="45"/>
  <c r="I325" i="51"/>
  <c r="K325" i="51"/>
  <c r="I217" i="45"/>
  <c r="I330" i="51"/>
  <c r="K330" i="51"/>
  <c r="I218" i="45"/>
  <c r="I332" i="51"/>
  <c r="K332" i="51"/>
  <c r="I219" i="45"/>
  <c r="I333" i="51"/>
  <c r="K333" i="51"/>
  <c r="I220" i="45"/>
  <c r="I334" i="51"/>
  <c r="K334" i="51"/>
  <c r="I221" i="45"/>
  <c r="I335" i="51"/>
  <c r="K335" i="51"/>
  <c r="I222" i="45"/>
  <c r="I336" i="51"/>
  <c r="K336" i="51"/>
  <c r="I223" i="45"/>
  <c r="I337" i="51"/>
  <c r="K337" i="51"/>
  <c r="I224" i="45"/>
  <c r="I338" i="51"/>
  <c r="K338" i="51"/>
  <c r="I225" i="45"/>
  <c r="I339" i="51"/>
  <c r="K339" i="51"/>
  <c r="I226" i="45"/>
  <c r="I340" i="51"/>
  <c r="K340" i="51"/>
  <c r="I227" i="45"/>
  <c r="I341" i="51"/>
  <c r="K341" i="51"/>
  <c r="I228" i="45"/>
  <c r="I345" i="51"/>
  <c r="K345" i="51"/>
  <c r="I229" i="45"/>
  <c r="I347" i="51"/>
  <c r="K347" i="51"/>
  <c r="I230" i="45"/>
  <c r="I348" i="51"/>
  <c r="K348" i="51"/>
  <c r="I231" i="45"/>
  <c r="I349" i="51"/>
  <c r="K349" i="51"/>
  <c r="I232" i="45"/>
  <c r="I351" i="51"/>
  <c r="K351" i="51"/>
  <c r="I233" i="45"/>
  <c r="I352" i="51"/>
  <c r="K352" i="51"/>
  <c r="I234" i="45"/>
  <c r="I353" i="51"/>
  <c r="K353" i="51"/>
  <c r="I235" i="45"/>
  <c r="I357" i="51"/>
  <c r="K357" i="51"/>
  <c r="I236" i="45"/>
  <c r="I359" i="51"/>
  <c r="K359" i="51"/>
  <c r="I237" i="45"/>
  <c r="I360" i="51"/>
  <c r="K360" i="51"/>
  <c r="I239" i="45"/>
  <c r="I362" i="51"/>
  <c r="K362" i="51"/>
  <c r="I240" i="45"/>
  <c r="I363" i="51"/>
  <c r="K363" i="51"/>
  <c r="I241" i="45"/>
  <c r="I365" i="51"/>
  <c r="K365" i="51"/>
  <c r="I243" i="45"/>
  <c r="I367" i="51"/>
  <c r="K367" i="51"/>
  <c r="I244" i="45"/>
  <c r="I369" i="51"/>
  <c r="K369" i="51"/>
  <c r="I245" i="45"/>
  <c r="I370" i="51"/>
  <c r="K370" i="51"/>
  <c r="I246" i="45"/>
  <c r="I371" i="51"/>
  <c r="K371" i="51"/>
  <c r="I247" i="45"/>
  <c r="I372" i="51"/>
  <c r="K372" i="51"/>
  <c r="I248" i="45"/>
  <c r="I373" i="51"/>
  <c r="K373" i="51"/>
  <c r="I249" i="45"/>
  <c r="I374" i="51"/>
  <c r="K374" i="51"/>
  <c r="I250" i="45"/>
  <c r="I376" i="51"/>
  <c r="K376" i="51"/>
  <c r="I251" i="45"/>
  <c r="I377" i="51"/>
  <c r="K377" i="51"/>
  <c r="I252" i="45"/>
  <c r="I378" i="51"/>
  <c r="K378" i="51"/>
  <c r="I256" i="45"/>
  <c r="I385" i="51"/>
  <c r="K385" i="51"/>
  <c r="I257" i="45"/>
  <c r="I386" i="51"/>
  <c r="K386" i="51"/>
  <c r="I258" i="45"/>
  <c r="I389" i="51"/>
  <c r="K389" i="51"/>
  <c r="I259" i="45"/>
  <c r="I390" i="51"/>
  <c r="K390" i="51"/>
  <c r="I260" i="45"/>
  <c r="I391" i="51"/>
  <c r="K391" i="51"/>
  <c r="I261" i="45"/>
  <c r="I392" i="51"/>
  <c r="K392" i="51"/>
  <c r="I262" i="45"/>
  <c r="I394" i="51"/>
  <c r="K394" i="51"/>
  <c r="I263" i="45"/>
  <c r="I395" i="51"/>
  <c r="K395" i="51"/>
  <c r="I264" i="45"/>
  <c r="I396" i="51"/>
  <c r="K396" i="51"/>
  <c r="I265" i="45"/>
  <c r="I397" i="51"/>
  <c r="K397" i="51"/>
  <c r="I266" i="45"/>
  <c r="I398" i="51"/>
  <c r="K398" i="51"/>
  <c r="I268" i="45"/>
  <c r="I406" i="51"/>
  <c r="K406" i="51"/>
  <c r="I269" i="45"/>
  <c r="I407" i="51"/>
  <c r="K407" i="51"/>
  <c r="I270" i="45"/>
  <c r="I408" i="51"/>
  <c r="K408" i="51"/>
  <c r="I271" i="45"/>
  <c r="I409" i="51"/>
  <c r="K409" i="51"/>
  <c r="I272" i="45"/>
  <c r="I410" i="51"/>
  <c r="K410" i="51"/>
  <c r="I273" i="45"/>
  <c r="I412" i="51"/>
  <c r="K412" i="51"/>
  <c r="I274" i="45"/>
  <c r="I413" i="51"/>
  <c r="K413" i="51"/>
  <c r="I275" i="45"/>
  <c r="I414" i="51"/>
  <c r="K414" i="51"/>
  <c r="I276" i="45"/>
  <c r="I416" i="51"/>
  <c r="K416" i="51"/>
  <c r="I277" i="45"/>
  <c r="I417" i="51"/>
  <c r="K417" i="51"/>
  <c r="I278" i="45"/>
  <c r="I418" i="51"/>
  <c r="K418" i="51"/>
  <c r="I279" i="45"/>
  <c r="I422" i="51"/>
  <c r="K422" i="51"/>
  <c r="I280" i="45"/>
  <c r="I425" i="51"/>
  <c r="K425" i="51"/>
  <c r="I281" i="45"/>
  <c r="I427" i="51"/>
  <c r="K427" i="51"/>
  <c r="I282" i="45"/>
  <c r="I432" i="51"/>
  <c r="K432" i="51"/>
  <c r="I283" i="45"/>
  <c r="I434" i="51"/>
  <c r="K434" i="51"/>
  <c r="I285" i="45"/>
  <c r="I444" i="51"/>
  <c r="K444" i="51"/>
  <c r="I286" i="45"/>
  <c r="I445" i="51"/>
  <c r="K445" i="51"/>
  <c r="I287" i="45"/>
  <c r="I446" i="51"/>
  <c r="K446" i="51"/>
  <c r="I288" i="45"/>
  <c r="I448" i="51"/>
  <c r="K448" i="51"/>
  <c r="I289" i="45"/>
  <c r="I449" i="51"/>
  <c r="K449" i="51"/>
  <c r="I290" i="45"/>
  <c r="I450" i="51"/>
  <c r="K450" i="51"/>
  <c r="I291" i="45"/>
  <c r="I451" i="51"/>
  <c r="K451" i="51"/>
  <c r="I292" i="45"/>
  <c r="I452" i="51"/>
  <c r="K452" i="51"/>
  <c r="I293" i="45"/>
  <c r="I454" i="51"/>
  <c r="K454" i="51"/>
  <c r="I294" i="45"/>
  <c r="I455" i="51"/>
  <c r="K455" i="51"/>
  <c r="I295" i="45"/>
  <c r="I456" i="51"/>
  <c r="K456" i="51"/>
  <c r="I296" i="45"/>
  <c r="I461" i="51"/>
  <c r="K461" i="51"/>
  <c r="I297" i="45"/>
  <c r="I462" i="51"/>
  <c r="K462" i="51"/>
  <c r="I298" i="45"/>
  <c r="I467" i="51"/>
  <c r="K467" i="51"/>
  <c r="I299" i="45"/>
  <c r="I468" i="51"/>
  <c r="K468" i="51"/>
  <c r="I300" i="45"/>
  <c r="I470" i="51"/>
  <c r="K470" i="51"/>
  <c r="I301" i="45"/>
  <c r="I471" i="51"/>
  <c r="K471" i="51"/>
  <c r="I302" i="45"/>
  <c r="I473" i="51"/>
  <c r="K473" i="51"/>
  <c r="I303" i="45"/>
  <c r="I474" i="51"/>
  <c r="K474" i="51"/>
  <c r="I304" i="45"/>
  <c r="I477" i="51"/>
  <c r="K477" i="51"/>
  <c r="I305" i="45"/>
  <c r="I478" i="51"/>
  <c r="K478" i="51"/>
  <c r="I306" i="45"/>
  <c r="I480" i="51"/>
  <c r="K480" i="51"/>
  <c r="I307" i="45"/>
  <c r="I481" i="51"/>
  <c r="K481" i="51"/>
  <c r="I308" i="45"/>
  <c r="I482" i="51"/>
  <c r="K482" i="51"/>
  <c r="I311" i="45"/>
  <c r="I485" i="51"/>
  <c r="K485" i="51"/>
  <c r="I313" i="45"/>
  <c r="I488" i="51"/>
  <c r="K488" i="51"/>
  <c r="I315" i="45"/>
  <c r="I493" i="51"/>
  <c r="K493" i="51"/>
  <c r="I316" i="45"/>
  <c r="I498" i="51"/>
  <c r="K498" i="51"/>
  <c r="I317" i="45"/>
  <c r="I501" i="51"/>
  <c r="K501" i="51"/>
  <c r="I318" i="45"/>
  <c r="I502" i="51"/>
  <c r="K502" i="51"/>
  <c r="I319" i="45"/>
  <c r="I503" i="51"/>
  <c r="K503" i="51"/>
  <c r="I320" i="45"/>
  <c r="I504" i="51"/>
  <c r="K504" i="51"/>
  <c r="I321" i="45"/>
  <c r="I505" i="51"/>
  <c r="K505" i="51"/>
  <c r="I322" i="45"/>
  <c r="I506" i="51"/>
  <c r="K506" i="51"/>
  <c r="I323" i="45"/>
  <c r="I508" i="51"/>
  <c r="K508" i="51"/>
  <c r="I324" i="45"/>
  <c r="I510" i="51"/>
  <c r="K510" i="51"/>
  <c r="I325" i="45"/>
  <c r="I511" i="51"/>
  <c r="K511" i="51"/>
  <c r="I326" i="45"/>
  <c r="I512" i="51"/>
  <c r="K512" i="51"/>
  <c r="I327" i="45"/>
  <c r="I513" i="51"/>
  <c r="K513" i="51"/>
  <c r="I328" i="45"/>
  <c r="I514" i="51"/>
  <c r="K514" i="51"/>
  <c r="I329" i="45"/>
  <c r="I515" i="51"/>
  <c r="K515" i="51"/>
  <c r="I330" i="45"/>
  <c r="I518" i="51"/>
  <c r="K518" i="51"/>
  <c r="I331" i="45"/>
  <c r="I520" i="51"/>
  <c r="K520" i="51"/>
  <c r="I332" i="45"/>
  <c r="I521" i="51"/>
  <c r="K521" i="51"/>
  <c r="I333" i="45"/>
  <c r="I524" i="51"/>
  <c r="K524" i="51"/>
  <c r="I334" i="45"/>
  <c r="I526" i="51"/>
  <c r="K526" i="51"/>
  <c r="I335" i="45"/>
  <c r="I528" i="51"/>
  <c r="K528" i="51"/>
  <c r="I336" i="45"/>
  <c r="I529" i="51"/>
  <c r="K529" i="51"/>
  <c r="I337" i="45"/>
  <c r="I530" i="51"/>
  <c r="K530" i="51"/>
  <c r="I338" i="45"/>
  <c r="I531" i="51"/>
  <c r="K531" i="51"/>
  <c r="I339" i="45"/>
  <c r="I533" i="51"/>
  <c r="K533" i="51"/>
  <c r="I340" i="45"/>
  <c r="I534" i="51"/>
  <c r="K534" i="51"/>
  <c r="I341" i="45"/>
  <c r="I537" i="51"/>
  <c r="K537" i="51"/>
  <c r="I342" i="45"/>
  <c r="I538" i="51"/>
  <c r="K538" i="51"/>
  <c r="I343" i="45"/>
  <c r="I540" i="51"/>
  <c r="K540" i="51"/>
  <c r="I344" i="45"/>
  <c r="I541" i="51"/>
  <c r="K541" i="51"/>
  <c r="I345" i="45"/>
  <c r="I543" i="51"/>
  <c r="K543" i="51"/>
  <c r="I346" i="45"/>
  <c r="I544" i="51"/>
  <c r="K544" i="51"/>
  <c r="I347" i="45"/>
  <c r="I546" i="51"/>
  <c r="K546" i="51"/>
  <c r="I348" i="45"/>
  <c r="I549" i="51"/>
  <c r="K549" i="51"/>
  <c r="I349" i="45"/>
  <c r="I551" i="51"/>
  <c r="K551" i="51"/>
  <c r="I351" i="45"/>
  <c r="I553" i="51"/>
  <c r="K553" i="51"/>
  <c r="I353" i="45"/>
  <c r="I556" i="51"/>
  <c r="K556" i="51"/>
  <c r="I354" i="45"/>
  <c r="I557" i="51"/>
  <c r="K557" i="51"/>
  <c r="I355" i="45"/>
  <c r="I558" i="51"/>
  <c r="K558" i="51"/>
  <c r="I359" i="45"/>
  <c r="I562" i="51"/>
  <c r="K562" i="51"/>
  <c r="I360" i="45"/>
  <c r="I563" i="51"/>
  <c r="K563" i="51"/>
  <c r="I361" i="45"/>
  <c r="I564" i="51"/>
  <c r="K564" i="51"/>
  <c r="I362" i="45"/>
  <c r="I565" i="51"/>
  <c r="K565" i="51"/>
  <c r="I363" i="45"/>
  <c r="I566" i="51"/>
  <c r="K566" i="51"/>
  <c r="I364" i="45"/>
  <c r="I568" i="51"/>
  <c r="K568" i="51"/>
  <c r="I365" i="45"/>
  <c r="I569" i="51"/>
  <c r="K569" i="51"/>
  <c r="I366" i="45"/>
  <c r="I570" i="51"/>
  <c r="K570" i="51"/>
  <c r="I367" i="45"/>
  <c r="I571" i="51"/>
  <c r="K571" i="51"/>
  <c r="I368" i="45"/>
  <c r="I572" i="51"/>
  <c r="K572" i="51"/>
  <c r="I369" i="45"/>
  <c r="I573" i="51"/>
  <c r="K573" i="51"/>
  <c r="I370" i="45"/>
  <c r="I574" i="51"/>
  <c r="K574" i="51"/>
  <c r="I371" i="45"/>
  <c r="I576" i="51"/>
  <c r="K576" i="51"/>
  <c r="I372" i="45"/>
  <c r="I577" i="51"/>
  <c r="K577" i="51"/>
  <c r="I373" i="45"/>
  <c r="I578" i="51"/>
  <c r="K578" i="51"/>
  <c r="I374" i="45"/>
  <c r="I583" i="51"/>
  <c r="K583" i="51"/>
  <c r="I375" i="45"/>
  <c r="I584" i="51"/>
  <c r="K584" i="51"/>
  <c r="I376" i="45"/>
  <c r="I587" i="51"/>
  <c r="K587" i="51"/>
  <c r="I377" i="45"/>
  <c r="I588" i="51"/>
  <c r="K588" i="51"/>
  <c r="I378" i="45"/>
  <c r="I589" i="51"/>
  <c r="K589" i="51"/>
  <c r="I379" i="45"/>
  <c r="I590" i="51"/>
  <c r="K590" i="51"/>
  <c r="I380" i="45"/>
  <c r="I591" i="51"/>
  <c r="K591" i="51"/>
  <c r="I381" i="45"/>
  <c r="I592" i="51"/>
  <c r="K592" i="51"/>
  <c r="I382" i="45"/>
  <c r="I593" i="51"/>
  <c r="K593" i="51"/>
  <c r="I383" i="45"/>
  <c r="I594" i="51"/>
  <c r="K594" i="51"/>
  <c r="I384" i="45"/>
  <c r="I595" i="51"/>
  <c r="K595" i="51"/>
  <c r="I385" i="45"/>
  <c r="I596" i="51"/>
  <c r="K596" i="51"/>
  <c r="I386" i="45"/>
  <c r="I597" i="51"/>
  <c r="K597" i="51"/>
  <c r="I387" i="45"/>
  <c r="I598" i="51"/>
  <c r="K598" i="51"/>
  <c r="I388" i="45"/>
  <c r="I599" i="51"/>
  <c r="K599" i="51"/>
  <c r="I389" i="45"/>
  <c r="I600" i="51"/>
  <c r="K600" i="51"/>
  <c r="I390" i="45"/>
  <c r="I601" i="51"/>
  <c r="K601" i="51"/>
  <c r="I391" i="45"/>
  <c r="I603" i="51"/>
  <c r="K603" i="51"/>
  <c r="I392" i="45"/>
  <c r="I604" i="51"/>
  <c r="K604" i="51"/>
  <c r="I393" i="45"/>
  <c r="I605" i="51"/>
  <c r="K605" i="51"/>
  <c r="I394" i="45"/>
  <c r="I614" i="51"/>
  <c r="K614" i="51"/>
  <c r="I395" i="45"/>
  <c r="I620" i="51"/>
  <c r="K620" i="51"/>
  <c r="I396" i="45"/>
  <c r="I621" i="51"/>
  <c r="K621" i="51"/>
  <c r="I397" i="45"/>
  <c r="I622" i="51"/>
  <c r="K622" i="51"/>
  <c r="I398" i="45"/>
  <c r="I623" i="51"/>
  <c r="K623" i="51"/>
  <c r="I399" i="45"/>
  <c r="I624" i="51"/>
  <c r="K624" i="51"/>
  <c r="I400" i="45"/>
  <c r="I625" i="51"/>
  <c r="K625" i="51"/>
  <c r="I401" i="45"/>
  <c r="I626" i="51"/>
  <c r="K626" i="51"/>
  <c r="I402" i="45"/>
  <c r="I641" i="51"/>
  <c r="K641" i="51"/>
  <c r="I403" i="45"/>
  <c r="I642" i="51"/>
  <c r="K642" i="51"/>
  <c r="I404" i="45"/>
  <c r="I643" i="51"/>
  <c r="K643" i="51"/>
  <c r="I405" i="45"/>
  <c r="I645" i="51"/>
  <c r="K645" i="51"/>
  <c r="I406" i="45"/>
  <c r="I646" i="51"/>
  <c r="K646" i="51"/>
  <c r="I407" i="45"/>
  <c r="I649" i="51"/>
  <c r="K649" i="51"/>
  <c r="I408" i="45"/>
  <c r="I650" i="51"/>
  <c r="K650" i="51"/>
  <c r="I410" i="45"/>
  <c r="I657" i="51"/>
  <c r="K657" i="51"/>
  <c r="I411" i="45"/>
  <c r="I658" i="51"/>
  <c r="K658" i="51"/>
  <c r="I412" i="45"/>
  <c r="I659" i="51"/>
  <c r="K659" i="51"/>
  <c r="I413" i="45"/>
  <c r="I660" i="51"/>
  <c r="K660" i="51"/>
  <c r="I414" i="45"/>
  <c r="I662" i="51"/>
  <c r="K662" i="51"/>
  <c r="I415" i="45"/>
  <c r="I663" i="51"/>
  <c r="K663" i="51"/>
  <c r="I416" i="45"/>
  <c r="I664" i="51"/>
  <c r="K664" i="51"/>
  <c r="I417" i="45"/>
  <c r="I665" i="51"/>
  <c r="K665" i="51"/>
  <c r="I418" i="45"/>
  <c r="I666" i="51"/>
  <c r="K666" i="51"/>
  <c r="I419" i="45"/>
  <c r="I668" i="51"/>
  <c r="K668" i="51"/>
  <c r="I420" i="45"/>
  <c r="I670" i="51"/>
  <c r="K670" i="51"/>
  <c r="I421" i="45"/>
  <c r="I671" i="51"/>
  <c r="K671" i="51"/>
  <c r="I422" i="45"/>
  <c r="I672" i="51"/>
  <c r="K672" i="51"/>
  <c r="I423" i="45"/>
  <c r="I675" i="51"/>
  <c r="K675" i="51"/>
  <c r="I424" i="45"/>
  <c r="I676" i="51"/>
  <c r="K676" i="51"/>
  <c r="I425" i="45"/>
  <c r="I677" i="51"/>
  <c r="K677" i="51"/>
  <c r="I426" i="45"/>
  <c r="I678" i="51"/>
  <c r="K678" i="51"/>
  <c r="I427" i="45"/>
  <c r="I681" i="51"/>
  <c r="K681" i="51"/>
  <c r="I428" i="45"/>
  <c r="I682" i="51"/>
  <c r="K682" i="51"/>
  <c r="I429" i="45"/>
  <c r="I683" i="51"/>
  <c r="K683" i="51"/>
  <c r="I430" i="45"/>
  <c r="I684" i="51"/>
  <c r="K684" i="51"/>
  <c r="I431" i="45"/>
  <c r="I685" i="51"/>
  <c r="K685" i="51"/>
  <c r="I432" i="45"/>
  <c r="I686" i="51"/>
  <c r="K686" i="51"/>
  <c r="I434" i="45"/>
  <c r="I693" i="51"/>
  <c r="K693" i="51"/>
  <c r="I436" i="45"/>
  <c r="I702" i="51"/>
  <c r="K702" i="51"/>
  <c r="I437" i="45"/>
  <c r="I703" i="51"/>
  <c r="K703" i="51"/>
  <c r="I438" i="45"/>
  <c r="I705" i="51"/>
  <c r="K705" i="51"/>
  <c r="I439" i="45"/>
  <c r="I706" i="51"/>
  <c r="K706" i="51"/>
  <c r="I440" i="45"/>
  <c r="I707" i="51"/>
  <c r="K707" i="51"/>
  <c r="I441" i="45"/>
  <c r="I709" i="51"/>
  <c r="K709" i="51"/>
  <c r="I442" i="45"/>
  <c r="I710" i="51"/>
  <c r="K710" i="51"/>
  <c r="I443" i="45"/>
  <c r="I711" i="51"/>
  <c r="K711" i="51"/>
  <c r="I444" i="45"/>
  <c r="I712" i="51"/>
  <c r="K712" i="51"/>
  <c r="I445" i="45"/>
  <c r="I714" i="51"/>
  <c r="K714" i="51"/>
  <c r="I446" i="45"/>
  <c r="I715" i="51"/>
  <c r="K715" i="51"/>
  <c r="I447" i="45"/>
  <c r="I716" i="51"/>
  <c r="K716" i="51"/>
  <c r="I448" i="45"/>
  <c r="I717" i="51"/>
  <c r="K717" i="51"/>
  <c r="I449" i="45"/>
  <c r="I737" i="51"/>
  <c r="K737" i="51"/>
  <c r="I450" i="45"/>
  <c r="I738" i="51"/>
  <c r="K738" i="51"/>
  <c r="I451" i="45"/>
  <c r="I739" i="51"/>
  <c r="K739" i="51"/>
  <c r="I453" i="45"/>
  <c r="I741" i="51"/>
  <c r="K741" i="51"/>
  <c r="I454" i="45"/>
  <c r="I742" i="51"/>
  <c r="K742" i="51"/>
  <c r="I455" i="45"/>
  <c r="I744" i="51"/>
  <c r="K744" i="51"/>
  <c r="I456" i="45"/>
  <c r="I745" i="51"/>
  <c r="K745" i="51"/>
  <c r="I457" i="45"/>
  <c r="I747" i="51"/>
  <c r="K747" i="51"/>
  <c r="I458" i="45"/>
  <c r="I748" i="51"/>
  <c r="K748" i="51"/>
  <c r="I459" i="45"/>
  <c r="I749" i="51"/>
  <c r="K749" i="51"/>
  <c r="I460" i="45"/>
  <c r="I750" i="51"/>
  <c r="K750" i="51"/>
  <c r="I462" i="45"/>
  <c r="I753" i="51"/>
  <c r="K753" i="51"/>
  <c r="I463" i="45"/>
  <c r="I755" i="51"/>
  <c r="K755" i="51"/>
  <c r="I465" i="45"/>
  <c r="I759" i="51"/>
  <c r="K759" i="51"/>
  <c r="I467" i="45"/>
  <c r="I765" i="51"/>
  <c r="K765" i="51"/>
  <c r="I468" i="45"/>
  <c r="I766" i="51"/>
  <c r="K766" i="51"/>
  <c r="I469" i="45"/>
  <c r="I767" i="51"/>
  <c r="K767" i="51"/>
  <c r="I470" i="45"/>
  <c r="I768" i="51"/>
  <c r="K768" i="51"/>
  <c r="I471" i="45"/>
  <c r="I770" i="51"/>
  <c r="K770" i="51"/>
  <c r="I472" i="45"/>
  <c r="I777" i="51"/>
  <c r="K777" i="51"/>
  <c r="I473" i="45"/>
  <c r="I778" i="51"/>
  <c r="K778" i="51"/>
  <c r="I474" i="45"/>
  <c r="I779" i="51"/>
  <c r="K779" i="51"/>
  <c r="I475" i="45"/>
  <c r="I781" i="51"/>
  <c r="K781" i="51"/>
  <c r="I476" i="45"/>
  <c r="I784" i="51"/>
  <c r="K784" i="51"/>
  <c r="I477" i="45"/>
  <c r="I785" i="51"/>
  <c r="K785" i="51"/>
  <c r="I478" i="45"/>
  <c r="I786" i="51"/>
  <c r="K786" i="51"/>
  <c r="I479" i="45"/>
  <c r="I787" i="51"/>
  <c r="K787" i="51"/>
  <c r="I480" i="45"/>
  <c r="I788" i="51"/>
  <c r="K788" i="51"/>
  <c r="I482" i="45"/>
  <c r="I790" i="51"/>
  <c r="K790" i="51"/>
  <c r="I483" i="45"/>
  <c r="I791" i="51"/>
  <c r="K791" i="51"/>
  <c r="I484" i="45"/>
  <c r="I792" i="51"/>
  <c r="K792" i="51"/>
  <c r="I485" i="45"/>
  <c r="I793" i="51"/>
  <c r="K793" i="51"/>
  <c r="I486" i="45"/>
  <c r="I794" i="51"/>
  <c r="K794" i="51"/>
  <c r="I487" i="45"/>
  <c r="I796" i="51"/>
  <c r="K796" i="51"/>
  <c r="I488" i="45"/>
  <c r="I797" i="51"/>
  <c r="K797" i="51"/>
  <c r="I489" i="45"/>
  <c r="I798" i="51"/>
  <c r="K798" i="51"/>
  <c r="I490" i="45"/>
  <c r="I801" i="51"/>
  <c r="K801" i="51"/>
  <c r="I491" i="45"/>
  <c r="I802" i="51"/>
  <c r="K802" i="51"/>
  <c r="I492" i="45"/>
  <c r="I804" i="51"/>
  <c r="K804" i="51"/>
  <c r="I493" i="45"/>
  <c r="I805" i="51"/>
  <c r="K805" i="51"/>
  <c r="I494" i="45"/>
  <c r="I806" i="51"/>
  <c r="K806" i="51"/>
  <c r="I497" i="45"/>
  <c r="I815" i="51"/>
  <c r="K815" i="51"/>
  <c r="I499" i="45"/>
  <c r="I819" i="51"/>
  <c r="K819" i="51"/>
  <c r="I500" i="45"/>
  <c r="I820" i="51"/>
  <c r="K820" i="51"/>
  <c r="I501" i="45"/>
  <c r="I821" i="51"/>
  <c r="K821" i="51"/>
  <c r="I502" i="45"/>
  <c r="I822" i="51"/>
  <c r="K822" i="51"/>
  <c r="I503" i="45"/>
  <c r="I824" i="51"/>
  <c r="K824" i="51"/>
  <c r="I504" i="45"/>
  <c r="I828" i="51"/>
  <c r="K828" i="51"/>
  <c r="I505" i="45"/>
  <c r="I829" i="51"/>
  <c r="K829" i="51"/>
  <c r="I506" i="45"/>
  <c r="I831" i="51"/>
  <c r="K831" i="51"/>
  <c r="I507" i="45"/>
  <c r="I833" i="51"/>
  <c r="K833" i="51"/>
  <c r="I508" i="45"/>
  <c r="I834" i="51"/>
  <c r="K834" i="51"/>
  <c r="I509" i="45"/>
  <c r="I835" i="51"/>
  <c r="K835" i="51"/>
  <c r="I510" i="45"/>
  <c r="I836" i="51"/>
  <c r="K836" i="51"/>
  <c r="I511" i="45"/>
  <c r="I837" i="51"/>
  <c r="K837" i="51"/>
  <c r="I512" i="45"/>
  <c r="I838" i="51"/>
  <c r="K838" i="51"/>
  <c r="I513" i="45"/>
  <c r="I840" i="51"/>
  <c r="K840" i="51"/>
  <c r="I514" i="45"/>
  <c r="I841" i="51"/>
  <c r="K841" i="51"/>
  <c r="I515" i="45"/>
  <c r="I842" i="51"/>
  <c r="K842" i="51"/>
  <c r="I516" i="45"/>
  <c r="I844" i="51"/>
  <c r="K844" i="51"/>
  <c r="I517" i="45"/>
  <c r="I845" i="51"/>
  <c r="K845" i="51"/>
  <c r="I518" i="45"/>
  <c r="I846" i="51"/>
  <c r="K846" i="51"/>
  <c r="I519" i="45"/>
  <c r="I848" i="51"/>
  <c r="K848" i="51"/>
  <c r="I520" i="45"/>
  <c r="I849" i="51"/>
  <c r="K849" i="51"/>
  <c r="I521" i="45"/>
  <c r="I850" i="51"/>
  <c r="K850" i="51"/>
  <c r="I523" i="45"/>
  <c r="I854" i="51"/>
  <c r="K854" i="51"/>
  <c r="I524" i="45"/>
  <c r="I855" i="51"/>
  <c r="K855" i="51"/>
  <c r="I525" i="45"/>
  <c r="I856" i="51"/>
  <c r="K856" i="51"/>
  <c r="I526" i="45"/>
  <c r="I861" i="51"/>
  <c r="K861" i="51"/>
  <c r="I527" i="45"/>
  <c r="I863" i="51"/>
  <c r="K863" i="51"/>
  <c r="I529" i="45"/>
  <c r="I867" i="51"/>
  <c r="K867" i="51"/>
  <c r="I530" i="45"/>
  <c r="I869" i="51"/>
  <c r="K869" i="51"/>
  <c r="I531" i="45"/>
  <c r="I870" i="51"/>
  <c r="K870" i="51"/>
  <c r="I532" i="45"/>
  <c r="I872" i="51"/>
  <c r="K872" i="51"/>
  <c r="I535" i="45"/>
  <c r="I878" i="51"/>
  <c r="K878" i="51"/>
  <c r="I536" i="45"/>
  <c r="I879" i="51"/>
  <c r="K879" i="51"/>
  <c r="I537" i="45"/>
  <c r="I881" i="51"/>
  <c r="K881" i="51"/>
  <c r="I538" i="45"/>
  <c r="I882" i="51"/>
  <c r="K882" i="51"/>
  <c r="I539" i="45"/>
  <c r="I883" i="51"/>
  <c r="K883" i="51"/>
  <c r="I540" i="45"/>
  <c r="I884" i="51"/>
  <c r="K884" i="51"/>
  <c r="I541" i="45"/>
  <c r="I885" i="51"/>
  <c r="K885" i="51"/>
  <c r="I542" i="45"/>
  <c r="I886" i="51"/>
  <c r="K886" i="51"/>
  <c r="I544" i="45"/>
  <c r="I888" i="51"/>
  <c r="K888" i="51"/>
  <c r="I545" i="45"/>
  <c r="I889" i="51"/>
  <c r="K889" i="51"/>
  <c r="I546" i="45"/>
  <c r="I890" i="51"/>
  <c r="K890" i="51"/>
  <c r="I547" i="45"/>
  <c r="I891" i="51"/>
  <c r="K891" i="51"/>
  <c r="I548" i="45"/>
  <c r="I892" i="51"/>
  <c r="K892" i="51"/>
  <c r="I549" i="45"/>
  <c r="I894" i="51"/>
  <c r="K894" i="51"/>
  <c r="I550" i="45"/>
  <c r="I896" i="51"/>
  <c r="K896" i="51"/>
  <c r="I551" i="45"/>
  <c r="I897" i="51"/>
  <c r="K897" i="51"/>
  <c r="I552" i="45"/>
  <c r="I899" i="51"/>
  <c r="K899" i="51"/>
  <c r="I553" i="45"/>
  <c r="I900" i="51"/>
  <c r="K900" i="51"/>
  <c r="I554" i="45"/>
  <c r="I901" i="51"/>
  <c r="K901" i="51"/>
  <c r="I555" i="45"/>
  <c r="I902" i="51"/>
  <c r="K902" i="51"/>
  <c r="I556" i="45"/>
  <c r="I906" i="51"/>
  <c r="K906" i="51"/>
  <c r="I557" i="45"/>
  <c r="I908" i="51"/>
  <c r="K908" i="51"/>
  <c r="I558" i="45"/>
  <c r="I909" i="51"/>
  <c r="K909" i="51"/>
  <c r="I559" i="45"/>
  <c r="I910" i="51"/>
  <c r="K910" i="51"/>
  <c r="I560" i="45"/>
  <c r="I911" i="51"/>
  <c r="K911" i="51"/>
  <c r="I561" i="45"/>
  <c r="I913" i="51"/>
  <c r="K913" i="51"/>
  <c r="I563" i="45"/>
  <c r="I919" i="51"/>
  <c r="K919" i="51"/>
  <c r="I564" i="45"/>
  <c r="I920" i="51"/>
  <c r="K920" i="51"/>
  <c r="I565" i="45"/>
  <c r="I922" i="51"/>
  <c r="K922" i="51"/>
  <c r="I566" i="45"/>
  <c r="I923" i="51"/>
  <c r="K923" i="51"/>
  <c r="I567" i="45"/>
  <c r="I925" i="51"/>
  <c r="K925" i="51"/>
  <c r="I568" i="45"/>
  <c r="I926" i="51"/>
  <c r="K926" i="51"/>
  <c r="I570" i="45"/>
  <c r="I928" i="51"/>
  <c r="K928" i="51"/>
  <c r="I572" i="45"/>
  <c r="I932" i="51"/>
  <c r="K932" i="51"/>
  <c r="I573" i="45"/>
  <c r="I933" i="51"/>
  <c r="K933" i="51"/>
  <c r="I574" i="45"/>
  <c r="I935" i="51"/>
  <c r="K935" i="51"/>
  <c r="I575" i="45"/>
  <c r="I936" i="51"/>
  <c r="K936" i="51"/>
  <c r="I576" i="45"/>
  <c r="I937" i="51"/>
  <c r="K937" i="51"/>
  <c r="I578" i="45"/>
  <c r="I939" i="51"/>
  <c r="K939" i="51"/>
  <c r="I579" i="45"/>
  <c r="I940" i="51"/>
  <c r="K940" i="51"/>
  <c r="I580" i="45"/>
  <c r="I942" i="51"/>
  <c r="K942" i="51"/>
  <c r="I582" i="45"/>
  <c r="I944" i="51"/>
  <c r="K944" i="51"/>
  <c r="I583" i="45"/>
  <c r="I945" i="51"/>
  <c r="K945" i="51"/>
  <c r="I585" i="45"/>
  <c r="I948" i="51"/>
  <c r="K948" i="51"/>
  <c r="I586" i="45"/>
  <c r="I949" i="51"/>
  <c r="K949" i="51"/>
  <c r="I587" i="45"/>
  <c r="I950" i="51"/>
  <c r="K950" i="51"/>
  <c r="I588" i="45"/>
  <c r="I951" i="51"/>
  <c r="K951" i="51"/>
  <c r="I589" i="45"/>
  <c r="I952" i="51"/>
  <c r="K952" i="51"/>
  <c r="I590" i="45"/>
  <c r="I953" i="51"/>
  <c r="K953" i="51"/>
  <c r="I591" i="45"/>
  <c r="I954" i="51"/>
  <c r="K954" i="51"/>
  <c r="I592" i="45"/>
  <c r="I956" i="51"/>
  <c r="K956" i="51"/>
  <c r="I593" i="45"/>
  <c r="I957" i="51"/>
  <c r="K957" i="51"/>
  <c r="I594" i="45"/>
  <c r="I958" i="51"/>
  <c r="K958" i="51"/>
  <c r="I596" i="45"/>
  <c r="I962" i="51"/>
  <c r="K962" i="51"/>
  <c r="I597" i="45"/>
  <c r="I964" i="51"/>
  <c r="K964" i="51"/>
  <c r="I599" i="45"/>
  <c r="I969" i="51"/>
  <c r="K969" i="51"/>
  <c r="I600" i="45"/>
  <c r="I977" i="51"/>
  <c r="K977" i="51"/>
  <c r="I601" i="45"/>
  <c r="I981" i="51"/>
  <c r="K981" i="51"/>
  <c r="I604" i="45"/>
  <c r="I985" i="51"/>
  <c r="K985" i="51"/>
  <c r="AG734" i="45"/>
  <c r="E496" i="45"/>
  <c r="E447" i="44"/>
  <c r="C92" i="45"/>
  <c r="I536" i="44"/>
  <c r="I757" i="44"/>
  <c r="F44" i="13"/>
  <c r="K2820" i="24"/>
  <c r="J1781" i="47"/>
  <c r="J1782" i="47"/>
  <c r="I496" i="45"/>
  <c r="I810" i="51"/>
  <c r="K810" i="51"/>
  <c r="F705" i="45"/>
  <c r="E22" i="43"/>
  <c r="F704" i="45"/>
  <c r="E21" i="43"/>
  <c r="E703" i="45"/>
  <c r="D20" i="43"/>
  <c r="E702" i="45"/>
  <c r="D19" i="43"/>
  <c r="AF734" i="45"/>
  <c r="P43" i="13"/>
  <c r="P45" i="13"/>
  <c r="O30" i="13"/>
  <c r="O57" i="13"/>
  <c r="P24" i="13"/>
  <c r="P10" i="13"/>
  <c r="I2965" i="24"/>
  <c r="E461" i="45"/>
  <c r="I461" i="45"/>
  <c r="I752" i="51"/>
  <c r="K752" i="51"/>
  <c r="AE734" i="45"/>
  <c r="I2709" i="24"/>
  <c r="G669" i="44"/>
  <c r="I644" i="47"/>
  <c r="C669" i="44"/>
  <c r="J644" i="47"/>
  <c r="G668" i="44"/>
  <c r="G667" i="44"/>
  <c r="I207" i="47"/>
  <c r="G666" i="44"/>
  <c r="I205" i="47"/>
  <c r="C666" i="44"/>
  <c r="J205" i="47"/>
  <c r="G665" i="44"/>
  <c r="I1329" i="47"/>
  <c r="G664" i="44"/>
  <c r="I788" i="47"/>
  <c r="C664" i="44"/>
  <c r="J788" i="47"/>
  <c r="G663" i="44"/>
  <c r="I364" i="47"/>
  <c r="C663" i="44"/>
  <c r="J364" i="47"/>
  <c r="K2964" i="24"/>
  <c r="I2964" i="24"/>
  <c r="D648" i="45"/>
  <c r="E91" i="45"/>
  <c r="E153" i="45"/>
  <c r="E470" i="44"/>
  <c r="I91" i="45"/>
  <c r="I131" i="51"/>
  <c r="K131" i="51"/>
  <c r="E458" i="44"/>
  <c r="I153" i="45"/>
  <c r="I220" i="51"/>
  <c r="K220" i="51"/>
  <c r="E352" i="45"/>
  <c r="E635" i="45"/>
  <c r="F664" i="45"/>
  <c r="E705" i="45"/>
  <c r="D22" i="43"/>
  <c r="E724" i="45"/>
  <c r="F730" i="45"/>
  <c r="F731" i="45"/>
  <c r="F733" i="45"/>
  <c r="E731" i="44"/>
  <c r="I352" i="45"/>
  <c r="I555" i="51"/>
  <c r="K555" i="51"/>
  <c r="K938" i="6"/>
  <c r="I939" i="6"/>
  <c r="I938" i="6"/>
  <c r="E32" i="44"/>
  <c r="C32" i="44"/>
  <c r="I698" i="49"/>
  <c r="I4" i="49"/>
  <c r="I5"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I208" i="49"/>
  <c r="I209" i="49"/>
  <c r="I210" i="49"/>
  <c r="I211" i="49"/>
  <c r="I212" i="49"/>
  <c r="I213" i="49"/>
  <c r="I214" i="49"/>
  <c r="I215" i="49"/>
  <c r="I216" i="49"/>
  <c r="I217" i="49"/>
  <c r="I218" i="49"/>
  <c r="I219" i="49"/>
  <c r="I220" i="49"/>
  <c r="I221" i="49"/>
  <c r="I222" i="49"/>
  <c r="I223" i="49"/>
  <c r="I224" i="49"/>
  <c r="I225" i="49"/>
  <c r="I226" i="49"/>
  <c r="I227" i="49"/>
  <c r="I228" i="49"/>
  <c r="I229" i="49"/>
  <c r="I230" i="49"/>
  <c r="I231" i="49"/>
  <c r="I232" i="49"/>
  <c r="I233" i="49"/>
  <c r="I234" i="49"/>
  <c r="I235" i="49"/>
  <c r="I236" i="49"/>
  <c r="I237" i="49"/>
  <c r="I238" i="49"/>
  <c r="I239" i="49"/>
  <c r="I240" i="49"/>
  <c r="I241" i="49"/>
  <c r="I242" i="49"/>
  <c r="I243" i="49"/>
  <c r="I244" i="49"/>
  <c r="I245" i="49"/>
  <c r="I246" i="49"/>
  <c r="I247" i="49"/>
  <c r="I248" i="49"/>
  <c r="I249" i="49"/>
  <c r="I250" i="49"/>
  <c r="I251" i="49"/>
  <c r="I252" i="49"/>
  <c r="I253" i="49"/>
  <c r="I254" i="49"/>
  <c r="I255" i="49"/>
  <c r="I256" i="49"/>
  <c r="I257" i="49"/>
  <c r="I258" i="49"/>
  <c r="I259" i="49"/>
  <c r="I260" i="49"/>
  <c r="I261" i="49"/>
  <c r="I262" i="49"/>
  <c r="I263" i="49"/>
  <c r="I264" i="49"/>
  <c r="I265" i="49"/>
  <c r="I266" i="49"/>
  <c r="I267" i="49"/>
  <c r="I268" i="49"/>
  <c r="I269" i="49"/>
  <c r="I270" i="49"/>
  <c r="I271" i="49"/>
  <c r="I272" i="49"/>
  <c r="I273" i="49"/>
  <c r="I274" i="49"/>
  <c r="I275" i="49"/>
  <c r="I276" i="49"/>
  <c r="I277" i="49"/>
  <c r="I278" i="49"/>
  <c r="I279" i="49"/>
  <c r="I280" i="49"/>
  <c r="I281" i="49"/>
  <c r="I282" i="49"/>
  <c r="I283" i="49"/>
  <c r="I284" i="49"/>
  <c r="I285" i="49"/>
  <c r="I286" i="49"/>
  <c r="I287" i="49"/>
  <c r="I288" i="49"/>
  <c r="I289" i="49"/>
  <c r="I290" i="49"/>
  <c r="I291" i="49"/>
  <c r="I292" i="49"/>
  <c r="I293" i="49"/>
  <c r="I294" i="49"/>
  <c r="I295" i="49"/>
  <c r="I296" i="49"/>
  <c r="I297" i="49"/>
  <c r="I298" i="49"/>
  <c r="I299" i="49"/>
  <c r="I300" i="49"/>
  <c r="I301" i="49"/>
  <c r="I302" i="49"/>
  <c r="I303" i="49"/>
  <c r="I304" i="49"/>
  <c r="I305" i="49"/>
  <c r="I306" i="49"/>
  <c r="I307" i="49"/>
  <c r="I308" i="49"/>
  <c r="I309" i="49"/>
  <c r="I310" i="49"/>
  <c r="I311" i="49"/>
  <c r="I312" i="49"/>
  <c r="I313" i="49"/>
  <c r="I314" i="49"/>
  <c r="I315" i="49"/>
  <c r="I316" i="49"/>
  <c r="I317" i="49"/>
  <c r="I318" i="49"/>
  <c r="I319" i="49"/>
  <c r="I320" i="49"/>
  <c r="I321" i="49"/>
  <c r="I322" i="49"/>
  <c r="I323" i="49"/>
  <c r="I324" i="49"/>
  <c r="I325" i="49"/>
  <c r="I326" i="49"/>
  <c r="I327" i="49"/>
  <c r="I328" i="49"/>
  <c r="I329" i="49"/>
  <c r="I330" i="49"/>
  <c r="I331" i="49"/>
  <c r="I332" i="49"/>
  <c r="I333" i="49"/>
  <c r="I334" i="49"/>
  <c r="I335" i="49"/>
  <c r="I336" i="49"/>
  <c r="I337" i="49"/>
  <c r="I338" i="49"/>
  <c r="I339" i="49"/>
  <c r="I340" i="49"/>
  <c r="I341" i="49"/>
  <c r="I342" i="49"/>
  <c r="I343" i="49"/>
  <c r="I344" i="49"/>
  <c r="I345" i="49"/>
  <c r="I346" i="49"/>
  <c r="I347" i="49"/>
  <c r="I348" i="49"/>
  <c r="I349" i="49"/>
  <c r="I350" i="49"/>
  <c r="I351" i="49"/>
  <c r="I352" i="49"/>
  <c r="I353" i="49"/>
  <c r="I354" i="49"/>
  <c r="I355" i="49"/>
  <c r="I356" i="49"/>
  <c r="I357" i="49"/>
  <c r="I358" i="49"/>
  <c r="I359" i="49"/>
  <c r="I360" i="49"/>
  <c r="I361" i="49"/>
  <c r="I362" i="49"/>
  <c r="I363" i="49"/>
  <c r="I364" i="49"/>
  <c r="I365" i="49"/>
  <c r="I366" i="49"/>
  <c r="I367" i="49"/>
  <c r="I368" i="49"/>
  <c r="I369" i="49"/>
  <c r="I370" i="49"/>
  <c r="I371" i="49"/>
  <c r="I372" i="49"/>
  <c r="I373" i="49"/>
  <c r="I374" i="49"/>
  <c r="I375" i="49"/>
  <c r="I376" i="49"/>
  <c r="I377" i="49"/>
  <c r="I378" i="49"/>
  <c r="I379" i="49"/>
  <c r="I380" i="49"/>
  <c r="I381" i="49"/>
  <c r="I382" i="49"/>
  <c r="I383" i="49"/>
  <c r="I384" i="49"/>
  <c r="I385" i="49"/>
  <c r="I386" i="49"/>
  <c r="I387" i="49"/>
  <c r="I388" i="49"/>
  <c r="I389" i="49"/>
  <c r="I390" i="49"/>
  <c r="I391" i="49"/>
  <c r="I392" i="49"/>
  <c r="I393" i="49"/>
  <c r="I394" i="49"/>
  <c r="I395" i="49"/>
  <c r="I396" i="49"/>
  <c r="I397" i="49"/>
  <c r="I398" i="49"/>
  <c r="I399" i="49"/>
  <c r="I400" i="49"/>
  <c r="I401" i="49"/>
  <c r="I402" i="49"/>
  <c r="I403" i="49"/>
  <c r="I404" i="49"/>
  <c r="I405" i="49"/>
  <c r="I406" i="49"/>
  <c r="I407" i="49"/>
  <c r="I408" i="49"/>
  <c r="I409" i="49"/>
  <c r="I410" i="49"/>
  <c r="I411" i="49"/>
  <c r="I412" i="49"/>
  <c r="I413" i="49"/>
  <c r="I414" i="49"/>
  <c r="I415" i="49"/>
  <c r="I416" i="49"/>
  <c r="I417" i="49"/>
  <c r="I418" i="49"/>
  <c r="I419" i="49"/>
  <c r="I420" i="49"/>
  <c r="I421" i="49"/>
  <c r="I422" i="49"/>
  <c r="I423" i="49"/>
  <c r="I424" i="49"/>
  <c r="I425" i="49"/>
  <c r="I426" i="49"/>
  <c r="I427" i="49"/>
  <c r="I428" i="49"/>
  <c r="I429" i="49"/>
  <c r="I430" i="49"/>
  <c r="I431" i="49"/>
  <c r="I432" i="49"/>
  <c r="I433" i="49"/>
  <c r="I434" i="49"/>
  <c r="I435" i="49"/>
  <c r="I436" i="49"/>
  <c r="I437" i="49"/>
  <c r="I438" i="49"/>
  <c r="I439" i="49"/>
  <c r="I440" i="49"/>
  <c r="I441" i="49"/>
  <c r="I442" i="49"/>
  <c r="I443" i="49"/>
  <c r="I444" i="49"/>
  <c r="I445" i="49"/>
  <c r="I446" i="49"/>
  <c r="I447" i="49"/>
  <c r="I448" i="49"/>
  <c r="I449" i="49"/>
  <c r="I450" i="49"/>
  <c r="I451" i="49"/>
  <c r="I452" i="49"/>
  <c r="I453" i="49"/>
  <c r="I454" i="49"/>
  <c r="I455" i="49"/>
  <c r="I456" i="49"/>
  <c r="I457" i="49"/>
  <c r="I458" i="49"/>
  <c r="I459" i="49"/>
  <c r="I460" i="49"/>
  <c r="I461" i="49"/>
  <c r="I462" i="49"/>
  <c r="I463" i="49"/>
  <c r="I464" i="49"/>
  <c r="I465" i="49"/>
  <c r="I466" i="49"/>
  <c r="I467" i="49"/>
  <c r="I468" i="49"/>
  <c r="I469" i="49"/>
  <c r="I470" i="49"/>
  <c r="I471" i="49"/>
  <c r="I472" i="49"/>
  <c r="I473" i="49"/>
  <c r="I474" i="49"/>
  <c r="I475" i="49"/>
  <c r="I476" i="49"/>
  <c r="I477" i="49"/>
  <c r="I478" i="49"/>
  <c r="I479" i="49"/>
  <c r="I480" i="49"/>
  <c r="I481" i="49"/>
  <c r="I482" i="49"/>
  <c r="I483" i="49"/>
  <c r="I484" i="49"/>
  <c r="I485" i="49"/>
  <c r="I486" i="49"/>
  <c r="I487" i="49"/>
  <c r="I488" i="49"/>
  <c r="I489" i="49"/>
  <c r="I490" i="49"/>
  <c r="I491" i="49"/>
  <c r="I492" i="49"/>
  <c r="I493" i="49"/>
  <c r="I494" i="49"/>
  <c r="I495" i="49"/>
  <c r="I496" i="49"/>
  <c r="I497" i="49"/>
  <c r="I498" i="49"/>
  <c r="I499" i="49"/>
  <c r="I500" i="49"/>
  <c r="I501" i="49"/>
  <c r="I502" i="49"/>
  <c r="I503" i="49"/>
  <c r="I504" i="49"/>
  <c r="I505" i="49"/>
  <c r="I506" i="49"/>
  <c r="I507" i="49"/>
  <c r="I508" i="49"/>
  <c r="I509" i="49"/>
  <c r="I510" i="49"/>
  <c r="I511" i="49"/>
  <c r="I512" i="49"/>
  <c r="I513" i="49"/>
  <c r="I514" i="49"/>
  <c r="I515" i="49"/>
  <c r="I516" i="49"/>
  <c r="I517" i="49"/>
  <c r="I518" i="49"/>
  <c r="I519" i="49"/>
  <c r="I520" i="49"/>
  <c r="I521" i="49"/>
  <c r="I522" i="49"/>
  <c r="I523" i="49"/>
  <c r="I524" i="49"/>
  <c r="I525" i="49"/>
  <c r="I526" i="49"/>
  <c r="I527" i="49"/>
  <c r="I528" i="49"/>
  <c r="I529" i="49"/>
  <c r="I530" i="49"/>
  <c r="I531" i="49"/>
  <c r="I532" i="49"/>
  <c r="I533" i="49"/>
  <c r="I534" i="49"/>
  <c r="I535" i="49"/>
  <c r="I536" i="49"/>
  <c r="I537" i="49"/>
  <c r="I538" i="49"/>
  <c r="I539" i="49"/>
  <c r="I540" i="49"/>
  <c r="I541" i="49"/>
  <c r="I542" i="49"/>
  <c r="I543" i="49"/>
  <c r="I544" i="49"/>
  <c r="I545" i="49"/>
  <c r="I546" i="49"/>
  <c r="I547" i="49"/>
  <c r="I548" i="49"/>
  <c r="I549" i="49"/>
  <c r="I550" i="49"/>
  <c r="I551" i="49"/>
  <c r="I552" i="49"/>
  <c r="I553" i="49"/>
  <c r="I554" i="49"/>
  <c r="I555" i="49"/>
  <c r="I556" i="49"/>
  <c r="I557" i="49"/>
  <c r="I558" i="49"/>
  <c r="I559" i="49"/>
  <c r="I560" i="49"/>
  <c r="I561" i="49"/>
  <c r="I562" i="49"/>
  <c r="I563" i="49"/>
  <c r="I564" i="49"/>
  <c r="I565" i="49"/>
  <c r="I566" i="49"/>
  <c r="I567" i="49"/>
  <c r="I568" i="49"/>
  <c r="I569" i="49"/>
  <c r="I570" i="49"/>
  <c r="I571" i="49"/>
  <c r="I572" i="49"/>
  <c r="I573" i="49"/>
  <c r="I574" i="49"/>
  <c r="I575" i="49"/>
  <c r="I576" i="49"/>
  <c r="I577" i="49"/>
  <c r="I578" i="49"/>
  <c r="I579" i="49"/>
  <c r="I580" i="49"/>
  <c r="I581" i="49"/>
  <c r="I582" i="49"/>
  <c r="I583" i="49"/>
  <c r="I584" i="49"/>
  <c r="I585" i="49"/>
  <c r="I586" i="49"/>
  <c r="I587" i="49"/>
  <c r="I588" i="49"/>
  <c r="I589" i="49"/>
  <c r="I590" i="49"/>
  <c r="I591" i="49"/>
  <c r="I592" i="49"/>
  <c r="I593" i="49"/>
  <c r="I594" i="49"/>
  <c r="I595" i="49"/>
  <c r="I596" i="49"/>
  <c r="I597" i="49"/>
  <c r="I598" i="49"/>
  <c r="I599" i="49"/>
  <c r="I600" i="49"/>
  <c r="I601" i="49"/>
  <c r="I602" i="49"/>
  <c r="I603" i="49"/>
  <c r="I604" i="49"/>
  <c r="I605" i="49"/>
  <c r="I606" i="49"/>
  <c r="I607" i="49"/>
  <c r="I608" i="49"/>
  <c r="I609" i="49"/>
  <c r="I610" i="49"/>
  <c r="I611" i="49"/>
  <c r="I612" i="49"/>
  <c r="I613" i="49"/>
  <c r="I614" i="49"/>
  <c r="I615" i="49"/>
  <c r="I616" i="49"/>
  <c r="I617" i="49"/>
  <c r="I618" i="49"/>
  <c r="I619" i="49"/>
  <c r="I620" i="49"/>
  <c r="I621" i="49"/>
  <c r="I622" i="49"/>
  <c r="I623" i="49"/>
  <c r="I624" i="49"/>
  <c r="I625" i="49"/>
  <c r="I626" i="49"/>
  <c r="I627" i="49"/>
  <c r="I628" i="49"/>
  <c r="I629" i="49"/>
  <c r="I630" i="49"/>
  <c r="I631" i="49"/>
  <c r="I632" i="49"/>
  <c r="I633" i="49"/>
  <c r="I634" i="49"/>
  <c r="I635" i="49"/>
  <c r="I636" i="49"/>
  <c r="I637" i="49"/>
  <c r="I638" i="49"/>
  <c r="I639" i="49"/>
  <c r="I640" i="49"/>
  <c r="I641" i="49"/>
  <c r="I642" i="49"/>
  <c r="I643" i="49"/>
  <c r="I644" i="49"/>
  <c r="I645" i="49"/>
  <c r="I646" i="49"/>
  <c r="I647" i="49"/>
  <c r="I648" i="49"/>
  <c r="I649" i="49"/>
  <c r="I650" i="49"/>
  <c r="I651" i="49"/>
  <c r="I652" i="49"/>
  <c r="I653" i="49"/>
  <c r="I654" i="49"/>
  <c r="I655" i="49"/>
  <c r="I656" i="49"/>
  <c r="I657" i="49"/>
  <c r="I658" i="49"/>
  <c r="I659" i="49"/>
  <c r="I660" i="49"/>
  <c r="I661" i="49"/>
  <c r="I662" i="49"/>
  <c r="I663" i="49"/>
  <c r="I664" i="49"/>
  <c r="I665" i="49"/>
  <c r="I666" i="49"/>
  <c r="I667" i="49"/>
  <c r="I668" i="49"/>
  <c r="I669" i="49"/>
  <c r="I670" i="49"/>
  <c r="I671" i="49"/>
  <c r="I672" i="49"/>
  <c r="I673" i="49"/>
  <c r="I674" i="49"/>
  <c r="I675" i="49"/>
  <c r="I676" i="49"/>
  <c r="I677" i="49"/>
  <c r="I678" i="49"/>
  <c r="I679" i="49"/>
  <c r="I680" i="49"/>
  <c r="I681" i="49"/>
  <c r="I682" i="49"/>
  <c r="I683" i="49"/>
  <c r="I684" i="49"/>
  <c r="I685" i="49"/>
  <c r="I686" i="49"/>
  <c r="I687" i="49"/>
  <c r="I688" i="49"/>
  <c r="I689" i="49"/>
  <c r="I690" i="49"/>
  <c r="I691" i="49"/>
  <c r="I692" i="49"/>
  <c r="I693" i="49"/>
  <c r="I694" i="49"/>
  <c r="I695" i="49"/>
  <c r="I696" i="49"/>
  <c r="I697" i="49"/>
  <c r="I3" i="49"/>
  <c r="K2793" i="24"/>
  <c r="G3376" i="24"/>
  <c r="J147" i="47"/>
  <c r="G32" i="44"/>
  <c r="K2089" i="24"/>
  <c r="I2067" i="24"/>
  <c r="K2087" i="24"/>
  <c r="I2064" i="24"/>
  <c r="K2064" i="24"/>
  <c r="I2065" i="24"/>
  <c r="I2063" i="24"/>
  <c r="K2066" i="24"/>
  <c r="K2065" i="24"/>
  <c r="K2063" i="24"/>
  <c r="K2418" i="48"/>
  <c r="K2417" i="48"/>
  <c r="K2416" i="48"/>
  <c r="K2415" i="48"/>
  <c r="K2414" i="48"/>
  <c r="K2413" i="48"/>
  <c r="K2412" i="48"/>
  <c r="K2411" i="48"/>
  <c r="K2410" i="48"/>
  <c r="K2409" i="48"/>
  <c r="K2408" i="48"/>
  <c r="K2407" i="48"/>
  <c r="K2406" i="48"/>
  <c r="K2405" i="48"/>
  <c r="K2404" i="48"/>
  <c r="K2403" i="48"/>
  <c r="K2402" i="48"/>
  <c r="K2401" i="48"/>
  <c r="K2400" i="48"/>
  <c r="K2399" i="48"/>
  <c r="K2398" i="48"/>
  <c r="K2397" i="48"/>
  <c r="K2396" i="48"/>
  <c r="K2395" i="48"/>
  <c r="K2394" i="48"/>
  <c r="K2393" i="48"/>
  <c r="K2392" i="48"/>
  <c r="K2391" i="48"/>
  <c r="K2390" i="48"/>
  <c r="K2389" i="48"/>
  <c r="K2388" i="48"/>
  <c r="K2387" i="48"/>
  <c r="K2386" i="48"/>
  <c r="K2385" i="48"/>
  <c r="K2384" i="48"/>
  <c r="K2383" i="48"/>
  <c r="K2382" i="48"/>
  <c r="K2381" i="48"/>
  <c r="K2380" i="48"/>
  <c r="K2379" i="48"/>
  <c r="K2378" i="48"/>
  <c r="K2377" i="48"/>
  <c r="K2376" i="48"/>
  <c r="K2375" i="48"/>
  <c r="K2374" i="48"/>
  <c r="K2373" i="48"/>
  <c r="K2372" i="48"/>
  <c r="K2371" i="48"/>
  <c r="K2370" i="48"/>
  <c r="K2369" i="48"/>
  <c r="K2368" i="48"/>
  <c r="K2367" i="48"/>
  <c r="K2366" i="48"/>
  <c r="K2365" i="48"/>
  <c r="K2364" i="48"/>
  <c r="K2363" i="48"/>
  <c r="K2362" i="48"/>
  <c r="K2361" i="48"/>
  <c r="K2360" i="48"/>
  <c r="K2359" i="48"/>
  <c r="K2358" i="48"/>
  <c r="K2357" i="48"/>
  <c r="K2356" i="48"/>
  <c r="K2355" i="48"/>
  <c r="K2354" i="48"/>
  <c r="K2353" i="48"/>
  <c r="K2352" i="48"/>
  <c r="K2351" i="48"/>
  <c r="K2350" i="48"/>
  <c r="K2349" i="48"/>
  <c r="K2347" i="48"/>
  <c r="I2345" i="48"/>
  <c r="K2344" i="48"/>
  <c r="J2344" i="48"/>
  <c r="I2344" i="48"/>
  <c r="F2344" i="48"/>
  <c r="E2344" i="48"/>
  <c r="D2344" i="48"/>
  <c r="C2344" i="48"/>
  <c r="K2343" i="48"/>
  <c r="J2343" i="48"/>
  <c r="I2343" i="48"/>
  <c r="F2343" i="48"/>
  <c r="E2343" i="48"/>
  <c r="D2343" i="48"/>
  <c r="C2343" i="48"/>
  <c r="J2342" i="48"/>
  <c r="K2342" i="48"/>
  <c r="I2342" i="48"/>
  <c r="F2342" i="48"/>
  <c r="E2342" i="48"/>
  <c r="D2342" i="48"/>
  <c r="C2342" i="48"/>
  <c r="J2341" i="48"/>
  <c r="K2341" i="48"/>
  <c r="I2341" i="48"/>
  <c r="F2341" i="48"/>
  <c r="E2341" i="48"/>
  <c r="D2341" i="48"/>
  <c r="C2341" i="48"/>
  <c r="C2345" i="48"/>
  <c r="K2340" i="48"/>
  <c r="J2340" i="48"/>
  <c r="I2340" i="48"/>
  <c r="F2340" i="48"/>
  <c r="D2340" i="48"/>
  <c r="C2340" i="48"/>
  <c r="J2339" i="48"/>
  <c r="K2339" i="48"/>
  <c r="I2339" i="48"/>
  <c r="F2339" i="48"/>
  <c r="E2339" i="48"/>
  <c r="D2339" i="48"/>
  <c r="C2339" i="48"/>
  <c r="J2338" i="48"/>
  <c r="K2338" i="48"/>
  <c r="I2338" i="48"/>
  <c r="F2338" i="48"/>
  <c r="E2338" i="48"/>
  <c r="D2338" i="48"/>
  <c r="C2338" i="48"/>
  <c r="J2337" i="48"/>
  <c r="K2337" i="48"/>
  <c r="I2337" i="48"/>
  <c r="F2337" i="48"/>
  <c r="E2337" i="48"/>
  <c r="D2337" i="48"/>
  <c r="C2337" i="48"/>
  <c r="K2336" i="48"/>
  <c r="J2336" i="48"/>
  <c r="I2336" i="48"/>
  <c r="F2336" i="48"/>
  <c r="E2336" i="48"/>
  <c r="D2336" i="48"/>
  <c r="C2336" i="48"/>
  <c r="J2335" i="48"/>
  <c r="K2335" i="48"/>
  <c r="I2335" i="48"/>
  <c r="F2335" i="48"/>
  <c r="E2335" i="48"/>
  <c r="D2335" i="48"/>
  <c r="C2335" i="48"/>
  <c r="J2334" i="48"/>
  <c r="K2334" i="48"/>
  <c r="I2334" i="48"/>
  <c r="F2334" i="48"/>
  <c r="D2334" i="48"/>
  <c r="C2334" i="48"/>
  <c r="K2333" i="48"/>
  <c r="J2333" i="48"/>
  <c r="I2333" i="48"/>
  <c r="F2333" i="48"/>
  <c r="D2333" i="48"/>
  <c r="C2333" i="48"/>
  <c r="K2332" i="48"/>
  <c r="J2332" i="48"/>
  <c r="I2332" i="48"/>
  <c r="F2332" i="48"/>
  <c r="D2332" i="48"/>
  <c r="C2332" i="48"/>
  <c r="I2331" i="48"/>
  <c r="F2331" i="48"/>
  <c r="E2331" i="48"/>
  <c r="D2331" i="48"/>
  <c r="C2331" i="48"/>
  <c r="J2330" i="48"/>
  <c r="I2330" i="48"/>
  <c r="F2330" i="48"/>
  <c r="E2330" i="48"/>
  <c r="D2330" i="48"/>
  <c r="C2330" i="48"/>
  <c r="K2329" i="48"/>
  <c r="M2328" i="48"/>
  <c r="L2328" i="48"/>
  <c r="I2328" i="48"/>
  <c r="G2328" i="48"/>
  <c r="F2328" i="48"/>
  <c r="E2328" i="48"/>
  <c r="D2328" i="48"/>
  <c r="C2328" i="48"/>
  <c r="J2327" i="48"/>
  <c r="K2327" i="48"/>
  <c r="I2327" i="48"/>
  <c r="F2327" i="48"/>
  <c r="C2327" i="48"/>
  <c r="K2326" i="48"/>
  <c r="D2323" i="48"/>
  <c r="C2323" i="48"/>
  <c r="K2322" i="48"/>
  <c r="K2321" i="48"/>
  <c r="K2320" i="48"/>
  <c r="K2319" i="48"/>
  <c r="K2318" i="48"/>
  <c r="K2317" i="48"/>
  <c r="K2316" i="48"/>
  <c r="K2315" i="48"/>
  <c r="K2314" i="48"/>
  <c r="K2313" i="48"/>
  <c r="J2312" i="48"/>
  <c r="K2312" i="48"/>
  <c r="I2312" i="48"/>
  <c r="F2312" i="48"/>
  <c r="E2312" i="48"/>
  <c r="D2312" i="48"/>
  <c r="C2312" i="48"/>
  <c r="K2311" i="48"/>
  <c r="K2310" i="48"/>
  <c r="K2309" i="48"/>
  <c r="K2308" i="48"/>
  <c r="J2308" i="48"/>
  <c r="I2308" i="48"/>
  <c r="F2308" i="48"/>
  <c r="E2308" i="48"/>
  <c r="D2308" i="48"/>
  <c r="C2308" i="48"/>
  <c r="K2307" i="48"/>
  <c r="J2307" i="48"/>
  <c r="I2307" i="48"/>
  <c r="F2307" i="48"/>
  <c r="D2307" i="48"/>
  <c r="C2307" i="48"/>
  <c r="E2306" i="48"/>
  <c r="D2306" i="48"/>
  <c r="C2306" i="48"/>
  <c r="F2305" i="48"/>
  <c r="D2305" i="48"/>
  <c r="C2305" i="48"/>
  <c r="J2304" i="48"/>
  <c r="D2304" i="48"/>
  <c r="C2304" i="48"/>
  <c r="K2303" i="48"/>
  <c r="K2302" i="48"/>
  <c r="K2301" i="48"/>
  <c r="K2300" i="48"/>
  <c r="K2297" i="48"/>
  <c r="F2296" i="48"/>
  <c r="K2295" i="48"/>
  <c r="J2295" i="48"/>
  <c r="F2295" i="48"/>
  <c r="E2295" i="48"/>
  <c r="D2295" i="48"/>
  <c r="C2295" i="48"/>
  <c r="F2294" i="48"/>
  <c r="C2294" i="48"/>
  <c r="F2293" i="48"/>
  <c r="C2293" i="48"/>
  <c r="F2292" i="48"/>
  <c r="C2292" i="48"/>
  <c r="F2291" i="48"/>
  <c r="C2291" i="48"/>
  <c r="K2290" i="48"/>
  <c r="J2290" i="48"/>
  <c r="G2290" i="48"/>
  <c r="F2290" i="48"/>
  <c r="E2290" i="48"/>
  <c r="D2290" i="48"/>
  <c r="C2290" i="48"/>
  <c r="K2289" i="48"/>
  <c r="J2289" i="48"/>
  <c r="G2289" i="48"/>
  <c r="F2289" i="48"/>
  <c r="E2289" i="48"/>
  <c r="D2289" i="48"/>
  <c r="C2289" i="48"/>
  <c r="K2288" i="48"/>
  <c r="K2287" i="48"/>
  <c r="K2283" i="48"/>
  <c r="F2281" i="48"/>
  <c r="D2281" i="48"/>
  <c r="C2281" i="48"/>
  <c r="F2280" i="48"/>
  <c r="D2280" i="48"/>
  <c r="C2280" i="48"/>
  <c r="F2279" i="48"/>
  <c r="D2279" i="48"/>
  <c r="C2279" i="48"/>
  <c r="F2278" i="48"/>
  <c r="D2278" i="48"/>
  <c r="C2278" i="48"/>
  <c r="F2277" i="48"/>
  <c r="C2277" i="48"/>
  <c r="F2276" i="48"/>
  <c r="E2276" i="48"/>
  <c r="C2276" i="48"/>
  <c r="F2275" i="48"/>
  <c r="D2275" i="48"/>
  <c r="C2275" i="48"/>
  <c r="F2274" i="48"/>
  <c r="E2274" i="48"/>
  <c r="C2274" i="48"/>
  <c r="F2273" i="48"/>
  <c r="E2273" i="48"/>
  <c r="D2273" i="48"/>
  <c r="C2273" i="48"/>
  <c r="F2272" i="48"/>
  <c r="E2272" i="48"/>
  <c r="C2272" i="48"/>
  <c r="F2271" i="48"/>
  <c r="D2271" i="48"/>
  <c r="C2271" i="48"/>
  <c r="F2270" i="48"/>
  <c r="E2270" i="48"/>
  <c r="D2270" i="48"/>
  <c r="C2270" i="48"/>
  <c r="F2269" i="48"/>
  <c r="C2269" i="48"/>
  <c r="K2268" i="48"/>
  <c r="K2267" i="48"/>
  <c r="F2265" i="48"/>
  <c r="D2265" i="48"/>
  <c r="C2265" i="48"/>
  <c r="F2264" i="48"/>
  <c r="D2264" i="48"/>
  <c r="C2264" i="48"/>
  <c r="J2263" i="48"/>
  <c r="K2263" i="48"/>
  <c r="F2263" i="48"/>
  <c r="D2263" i="48"/>
  <c r="C2263" i="48"/>
  <c r="F2262" i="48"/>
  <c r="C2262" i="48"/>
  <c r="F2261" i="48"/>
  <c r="C2261" i="48"/>
  <c r="F2260" i="48"/>
  <c r="D2260" i="48"/>
  <c r="C2260" i="48"/>
  <c r="C2259" i="48"/>
  <c r="F2258" i="48"/>
  <c r="C2258" i="48"/>
  <c r="C2257" i="48"/>
  <c r="F2256" i="48"/>
  <c r="C2256" i="48"/>
  <c r="F2255" i="48"/>
  <c r="D2255" i="48"/>
  <c r="C2255" i="48"/>
  <c r="F2254" i="48"/>
  <c r="C2254" i="48"/>
  <c r="F2253" i="48"/>
  <c r="D2253" i="48"/>
  <c r="C2253" i="48"/>
  <c r="F2252" i="48"/>
  <c r="D2252" i="48"/>
  <c r="C2252" i="48"/>
  <c r="F2251" i="48"/>
  <c r="D2251" i="48"/>
  <c r="C2251" i="48"/>
  <c r="F2250" i="48"/>
  <c r="D2250" i="48"/>
  <c r="C2250" i="48"/>
  <c r="C2266" i="48"/>
  <c r="K2249" i="48"/>
  <c r="K2248" i="48"/>
  <c r="K2247" i="48"/>
  <c r="K2246" i="48"/>
  <c r="K2242" i="48"/>
  <c r="K2238" i="48"/>
  <c r="K2234" i="48"/>
  <c r="K2233" i="48"/>
  <c r="K2231" i="48"/>
  <c r="K2230" i="48"/>
  <c r="K2229" i="48"/>
  <c r="K2228" i="48"/>
  <c r="E2228" i="48"/>
  <c r="D2228" i="48"/>
  <c r="K2227" i="48"/>
  <c r="L2226" i="48"/>
  <c r="K2226" i="48"/>
  <c r="K2225" i="48"/>
  <c r="M2224" i="48"/>
  <c r="K2224" i="48"/>
  <c r="E2224" i="48"/>
  <c r="K2223" i="48"/>
  <c r="K2222" i="48"/>
  <c r="K2220" i="48"/>
  <c r="K2218" i="48"/>
  <c r="K2216" i="48"/>
  <c r="K2214" i="48"/>
  <c r="K2212" i="48"/>
  <c r="K2210" i="48"/>
  <c r="K2209" i="48"/>
  <c r="K2208" i="48"/>
  <c r="K2207" i="48"/>
  <c r="K2205" i="48"/>
  <c r="K2203" i="48"/>
  <c r="K2201" i="48"/>
  <c r="K2199" i="48"/>
  <c r="K2197" i="48"/>
  <c r="K2195" i="48"/>
  <c r="K2193" i="48"/>
  <c r="C2192" i="48"/>
  <c r="K2191" i="48"/>
  <c r="K2189" i="48"/>
  <c r="K2187" i="48"/>
  <c r="K2185" i="48"/>
  <c r="K2183" i="48"/>
  <c r="K2182" i="48"/>
  <c r="K2181" i="48"/>
  <c r="K2180" i="48"/>
  <c r="K2178" i="48"/>
  <c r="C2177" i="48"/>
  <c r="K2176" i="48"/>
  <c r="K2174" i="48"/>
  <c r="J2173" i="48"/>
  <c r="K2173" i="48"/>
  <c r="K2172" i="48"/>
  <c r="K2170" i="48"/>
  <c r="D2169" i="48"/>
  <c r="K2168" i="48"/>
  <c r="C2167" i="48"/>
  <c r="K2166" i="48"/>
  <c r="K2164" i="48"/>
  <c r="K2162" i="48"/>
  <c r="M2161" i="48"/>
  <c r="L2161" i="48"/>
  <c r="G2161" i="48"/>
  <c r="F2161" i="48"/>
  <c r="C2161" i="48"/>
  <c r="K2160" i="48"/>
  <c r="K2158" i="48"/>
  <c r="K2156" i="48"/>
  <c r="K2154" i="48"/>
  <c r="K2152" i="48"/>
  <c r="K2150" i="48"/>
  <c r="K2148" i="48"/>
  <c r="K2146" i="48"/>
  <c r="K2145" i="48"/>
  <c r="K2144" i="48"/>
  <c r="K2143" i="48"/>
  <c r="K2142" i="48"/>
  <c r="K2141" i="48"/>
  <c r="K2140" i="48"/>
  <c r="K2139" i="48"/>
  <c r="C2138" i="48"/>
  <c r="K2137" i="48"/>
  <c r="K2135" i="48"/>
  <c r="L2134" i="48"/>
  <c r="K2134" i="48"/>
  <c r="I2134" i="48"/>
  <c r="F2134" i="48"/>
  <c r="E2134" i="48"/>
  <c r="D2134" i="48"/>
  <c r="C2134" i="48"/>
  <c r="M2133" i="48"/>
  <c r="M2134" i="48"/>
  <c r="L2133" i="48"/>
  <c r="K2133" i="48"/>
  <c r="G2133" i="48"/>
  <c r="G2134" i="48"/>
  <c r="K2132" i="48"/>
  <c r="K2131" i="48"/>
  <c r="I2130" i="48"/>
  <c r="I2136" i="48"/>
  <c r="I2104" i="48"/>
  <c r="K2129" i="48"/>
  <c r="F2128" i="48"/>
  <c r="E2128" i="48"/>
  <c r="D2128" i="48"/>
  <c r="C2128" i="48"/>
  <c r="L2127" i="48"/>
  <c r="L2128" i="48"/>
  <c r="L2130" i="48"/>
  <c r="J2127" i="48"/>
  <c r="K2127" i="48"/>
  <c r="I2127" i="48"/>
  <c r="I2128" i="48"/>
  <c r="G2127" i="48"/>
  <c r="G2128" i="48"/>
  <c r="K2126" i="48"/>
  <c r="K2125" i="48"/>
  <c r="L2124" i="48"/>
  <c r="K2124" i="48"/>
  <c r="I2124" i="48"/>
  <c r="F2124" i="48"/>
  <c r="E2124" i="48"/>
  <c r="D2124" i="48"/>
  <c r="D2130" i="48"/>
  <c r="C2124" i="48"/>
  <c r="M2123" i="48"/>
  <c r="M2312" i="48"/>
  <c r="L2123" i="48"/>
  <c r="L2312" i="48"/>
  <c r="K2123" i="48"/>
  <c r="G2123" i="48"/>
  <c r="G2312" i="48"/>
  <c r="K2122" i="48"/>
  <c r="K2121" i="48"/>
  <c r="K2120" i="48"/>
  <c r="I2120" i="48"/>
  <c r="G2120" i="48"/>
  <c r="F2120" i="48"/>
  <c r="E2120" i="48"/>
  <c r="D2120" i="48"/>
  <c r="C2120" i="48"/>
  <c r="C2130" i="48"/>
  <c r="C2136" i="48"/>
  <c r="L2119" i="48"/>
  <c r="M2119" i="48"/>
  <c r="K2119" i="48"/>
  <c r="G2119" i="48"/>
  <c r="L2118" i="48"/>
  <c r="M2118" i="48"/>
  <c r="K2118" i="48"/>
  <c r="G2118" i="48"/>
  <c r="M2117" i="48"/>
  <c r="L2117" i="48"/>
  <c r="K2117" i="48"/>
  <c r="G2117" i="48"/>
  <c r="L2116" i="48"/>
  <c r="M2116" i="48"/>
  <c r="K2116" i="48"/>
  <c r="G2116" i="48"/>
  <c r="L2115" i="48"/>
  <c r="M2115" i="48"/>
  <c r="K2115" i="48"/>
  <c r="G2115" i="48"/>
  <c r="L2114" i="48"/>
  <c r="M2114" i="48"/>
  <c r="K2114" i="48"/>
  <c r="G2114" i="48"/>
  <c r="M2113" i="48"/>
  <c r="L2113" i="48"/>
  <c r="K2113" i="48"/>
  <c r="G2113" i="48"/>
  <c r="L2112" i="48"/>
  <c r="K2112" i="48"/>
  <c r="K2111" i="48"/>
  <c r="K2110" i="48"/>
  <c r="K2109" i="48"/>
  <c r="D2107" i="48"/>
  <c r="C2107" i="48"/>
  <c r="K2106" i="48"/>
  <c r="I2105" i="48"/>
  <c r="I2107" i="48"/>
  <c r="I2138" i="48"/>
  <c r="F2105" i="48"/>
  <c r="F2107" i="48"/>
  <c r="E2105" i="48"/>
  <c r="E2107" i="48"/>
  <c r="D2105" i="48"/>
  <c r="C2105" i="48"/>
  <c r="J2104" i="48"/>
  <c r="G2104" i="48"/>
  <c r="G2105" i="48"/>
  <c r="G2107" i="48"/>
  <c r="K2103" i="48"/>
  <c r="K2102" i="48"/>
  <c r="K2101" i="48"/>
  <c r="K2100" i="48"/>
  <c r="K2099" i="48"/>
  <c r="K2098" i="48"/>
  <c r="K2097" i="48"/>
  <c r="K2096" i="48"/>
  <c r="E2095" i="48"/>
  <c r="K2094" i="48"/>
  <c r="K2092" i="48"/>
  <c r="M2091" i="48"/>
  <c r="L2091" i="48"/>
  <c r="K2091" i="48"/>
  <c r="I2091" i="48"/>
  <c r="G2091" i="48"/>
  <c r="F2091" i="48"/>
  <c r="E2091" i="48"/>
  <c r="C2091" i="48"/>
  <c r="K2090" i="48"/>
  <c r="G2090" i="48"/>
  <c r="D2090" i="48"/>
  <c r="D2091" i="48"/>
  <c r="K2089" i="48"/>
  <c r="K2088" i="48"/>
  <c r="K2087" i="48"/>
  <c r="K2086" i="48"/>
  <c r="K2085" i="48"/>
  <c r="K2084" i="48"/>
  <c r="M2082" i="48"/>
  <c r="L2082" i="48"/>
  <c r="I2082" i="48"/>
  <c r="F2082" i="48"/>
  <c r="E2082" i="48"/>
  <c r="E2093" i="48"/>
  <c r="D2082" i="48"/>
  <c r="C2082" i="48"/>
  <c r="J2081" i="48"/>
  <c r="G2081" i="48"/>
  <c r="G2082" i="48"/>
  <c r="K2080" i="48"/>
  <c r="K2079" i="48"/>
  <c r="E2078" i="48"/>
  <c r="I2076" i="48"/>
  <c r="G2076" i="48"/>
  <c r="F2076" i="48"/>
  <c r="E2076" i="48"/>
  <c r="D2076" i="48"/>
  <c r="C2076" i="48"/>
  <c r="L2075" i="48"/>
  <c r="L2076" i="48"/>
  <c r="L2192" i="48"/>
  <c r="J2075" i="48"/>
  <c r="K2075" i="48"/>
  <c r="I2075" i="48"/>
  <c r="G2075" i="48"/>
  <c r="K2074" i="48"/>
  <c r="L2072" i="48"/>
  <c r="G2072" i="48"/>
  <c r="F2072" i="48"/>
  <c r="E2072" i="48"/>
  <c r="D2072" i="48"/>
  <c r="C2072" i="48"/>
  <c r="M2071" i="48"/>
  <c r="J2071" i="48"/>
  <c r="K2071" i="48"/>
  <c r="I2071" i="48"/>
  <c r="L2071" i="48"/>
  <c r="M2070" i="48"/>
  <c r="L2070" i="48"/>
  <c r="J2070" i="48"/>
  <c r="K2070" i="48"/>
  <c r="I2070" i="48"/>
  <c r="L2069" i="48"/>
  <c r="M2069" i="48"/>
  <c r="J2069" i="48"/>
  <c r="K2069" i="48"/>
  <c r="J2068" i="48"/>
  <c r="K2068" i="48"/>
  <c r="I2068" i="48"/>
  <c r="L2068" i="48"/>
  <c r="M2068" i="48"/>
  <c r="L2067" i="48"/>
  <c r="M2067" i="48"/>
  <c r="J2067" i="48"/>
  <c r="K2067" i="48"/>
  <c r="I2067" i="48"/>
  <c r="J2066" i="48"/>
  <c r="K2066" i="48"/>
  <c r="I2066" i="48"/>
  <c r="I2072" i="48"/>
  <c r="L2065" i="48"/>
  <c r="M2065" i="48"/>
  <c r="J2065" i="48"/>
  <c r="K2065" i="48"/>
  <c r="I2065" i="48"/>
  <c r="M2064" i="48"/>
  <c r="J2064" i="48"/>
  <c r="K2064" i="48"/>
  <c r="I2064" i="48"/>
  <c r="L2064" i="48"/>
  <c r="M2063" i="48"/>
  <c r="L2063" i="48"/>
  <c r="J2063" i="48"/>
  <c r="K2063" i="48"/>
  <c r="I2063" i="48"/>
  <c r="L2062" i="48"/>
  <c r="M2062" i="48"/>
  <c r="K2062" i="48"/>
  <c r="L2061" i="48"/>
  <c r="M2061" i="48"/>
  <c r="J2061" i="48"/>
  <c r="I2061" i="48"/>
  <c r="K2060" i="48"/>
  <c r="K2059" i="48"/>
  <c r="L2058" i="48"/>
  <c r="K2058" i="48"/>
  <c r="I2058" i="48"/>
  <c r="F2058" i="48"/>
  <c r="E2058" i="48"/>
  <c r="D2058" i="48"/>
  <c r="C2058" i="48"/>
  <c r="M2057" i="48"/>
  <c r="M2343" i="48"/>
  <c r="L2057" i="48"/>
  <c r="L2343" i="48"/>
  <c r="K2057" i="48"/>
  <c r="G2057" i="48"/>
  <c r="G2343" i="48"/>
  <c r="L2056" i="48"/>
  <c r="M2056" i="48"/>
  <c r="K2056" i="48"/>
  <c r="G2056" i="48"/>
  <c r="G2058" i="48"/>
  <c r="M2055" i="48"/>
  <c r="L2055" i="48"/>
  <c r="K2055" i="48"/>
  <c r="G2055" i="48"/>
  <c r="L2054" i="48"/>
  <c r="M2054" i="48"/>
  <c r="K2054" i="48"/>
  <c r="G2054" i="48"/>
  <c r="M2053" i="48"/>
  <c r="M2344" i="48"/>
  <c r="L2053" i="48"/>
  <c r="L2344" i="48"/>
  <c r="K2053" i="48"/>
  <c r="G2053" i="48"/>
  <c r="K2052" i="48"/>
  <c r="M2050" i="48"/>
  <c r="L2050" i="48"/>
  <c r="I2050" i="48"/>
  <c r="F2050" i="48"/>
  <c r="E2050" i="48"/>
  <c r="D2050" i="48"/>
  <c r="D2078" i="48"/>
  <c r="D2093" i="48"/>
  <c r="C2050" i="48"/>
  <c r="J2049" i="48"/>
  <c r="G2049" i="48"/>
  <c r="G2050" i="48"/>
  <c r="K2048" i="48"/>
  <c r="F2046" i="48"/>
  <c r="F2078" i="48"/>
  <c r="F2093" i="48"/>
  <c r="D2046" i="48"/>
  <c r="C2046" i="48"/>
  <c r="C2078" i="48"/>
  <c r="C2093" i="48"/>
  <c r="J2045" i="48"/>
  <c r="K2045" i="48"/>
  <c r="I2045" i="48"/>
  <c r="L2045" i="48"/>
  <c r="M2045" i="48"/>
  <c r="G2045" i="48"/>
  <c r="E2045" i="48"/>
  <c r="E2046" i="48"/>
  <c r="J2044" i="48"/>
  <c r="K2044" i="48"/>
  <c r="I2044" i="48"/>
  <c r="L2044" i="48"/>
  <c r="M2044" i="48"/>
  <c r="G2044" i="48"/>
  <c r="K2043" i="48"/>
  <c r="I2043" i="48"/>
  <c r="L2043" i="48"/>
  <c r="M2043" i="48"/>
  <c r="K2042" i="48"/>
  <c r="I2042" i="48"/>
  <c r="L2042" i="48"/>
  <c r="M2042" i="48"/>
  <c r="K2041" i="48"/>
  <c r="I2041" i="48"/>
  <c r="L2041" i="48"/>
  <c r="M2041" i="48"/>
  <c r="G2041" i="48"/>
  <c r="K2040" i="48"/>
  <c r="I2040" i="48"/>
  <c r="L2040" i="48"/>
  <c r="M2040" i="48"/>
  <c r="J2039" i="48"/>
  <c r="K2039" i="48"/>
  <c r="I2039" i="48"/>
  <c r="L2039" i="48"/>
  <c r="M2039" i="48"/>
  <c r="J2038" i="48"/>
  <c r="K2038" i="48"/>
  <c r="I2038" i="48"/>
  <c r="L2038" i="48"/>
  <c r="M2038" i="48"/>
  <c r="G2038" i="48"/>
  <c r="J2037" i="48"/>
  <c r="K2037" i="48"/>
  <c r="I2037" i="48"/>
  <c r="L2037" i="48"/>
  <c r="M2037" i="48"/>
  <c r="J2036" i="48"/>
  <c r="K2036" i="48"/>
  <c r="I2036" i="48"/>
  <c r="L2036" i="48"/>
  <c r="M2036" i="48"/>
  <c r="J2035" i="48"/>
  <c r="K2035" i="48"/>
  <c r="I2035" i="48"/>
  <c r="L2035" i="48"/>
  <c r="M2035" i="48"/>
  <c r="G2035" i="48"/>
  <c r="J2034" i="48"/>
  <c r="K2034" i="48"/>
  <c r="I2034" i="48"/>
  <c r="L2034" i="48"/>
  <c r="M2034" i="48"/>
  <c r="J2033" i="48"/>
  <c r="K2033" i="48"/>
  <c r="I2033" i="48"/>
  <c r="L2033" i="48"/>
  <c r="M2033" i="48"/>
  <c r="G2033" i="48"/>
  <c r="K2032" i="48"/>
  <c r="K2031" i="48"/>
  <c r="K2030" i="48"/>
  <c r="K2027" i="48"/>
  <c r="M2026" i="48"/>
  <c r="L2026" i="48"/>
  <c r="K2026" i="48"/>
  <c r="I2026" i="48"/>
  <c r="G2026" i="48"/>
  <c r="F2026" i="48"/>
  <c r="E2026" i="48"/>
  <c r="D2026" i="48"/>
  <c r="C2026" i="48"/>
  <c r="K2025" i="48"/>
  <c r="G2025" i="48"/>
  <c r="K2024" i="48"/>
  <c r="K2023" i="48"/>
  <c r="M2022" i="48"/>
  <c r="L2022" i="48"/>
  <c r="K2022" i="48"/>
  <c r="I2022" i="48"/>
  <c r="E2022" i="48"/>
  <c r="E2028" i="48"/>
  <c r="D2022" i="48"/>
  <c r="D2028" i="48"/>
  <c r="C2022" i="48"/>
  <c r="K2021" i="48"/>
  <c r="E2021" i="48"/>
  <c r="D2021" i="48"/>
  <c r="K2020" i="48"/>
  <c r="K2019" i="48"/>
  <c r="E2018" i="48"/>
  <c r="K2017" i="48"/>
  <c r="I2016" i="48"/>
  <c r="D2016" i="48"/>
  <c r="C2016" i="48"/>
  <c r="L2015" i="48"/>
  <c r="J2015" i="48"/>
  <c r="J2016" i="48"/>
  <c r="K2016" i="48"/>
  <c r="I2015" i="48"/>
  <c r="F2015" i="48"/>
  <c r="G2015" i="48"/>
  <c r="G2016" i="48"/>
  <c r="E2015" i="48"/>
  <c r="E2016" i="48"/>
  <c r="K2014" i="48"/>
  <c r="K2013" i="48"/>
  <c r="I2012" i="48"/>
  <c r="F2012" i="48"/>
  <c r="E2012" i="48"/>
  <c r="D2012" i="48"/>
  <c r="C2012" i="48"/>
  <c r="C2018" i="48"/>
  <c r="C2028" i="48"/>
  <c r="J2011" i="48"/>
  <c r="K2011" i="48"/>
  <c r="G2011" i="48"/>
  <c r="G2012" i="48"/>
  <c r="M2010" i="48"/>
  <c r="L2010" i="48"/>
  <c r="K2010" i="48"/>
  <c r="L2009" i="48"/>
  <c r="J2009" i="48"/>
  <c r="K2008" i="48"/>
  <c r="K2007" i="48"/>
  <c r="G2006" i="48"/>
  <c r="F2006" i="48"/>
  <c r="E2006" i="48"/>
  <c r="D2006" i="48"/>
  <c r="D2018" i="48"/>
  <c r="C2006" i="48"/>
  <c r="J2005" i="48"/>
  <c r="K2005" i="48"/>
  <c r="I2005" i="48"/>
  <c r="L2005" i="48"/>
  <c r="M2005" i="48"/>
  <c r="M2004" i="48"/>
  <c r="M2006" i="48"/>
  <c r="J2004" i="48"/>
  <c r="K2004" i="48"/>
  <c r="I2004" i="48"/>
  <c r="L2004" i="48"/>
  <c r="K2003" i="48"/>
  <c r="K2002" i="48"/>
  <c r="K2001" i="48"/>
  <c r="K2000" i="48"/>
  <c r="K1999" i="48"/>
  <c r="K1998" i="48"/>
  <c r="K1997" i="48"/>
  <c r="K1996" i="48"/>
  <c r="K1994" i="48"/>
  <c r="K1992" i="48"/>
  <c r="M1991" i="48"/>
  <c r="L1991" i="48"/>
  <c r="K1991" i="48"/>
  <c r="J1991" i="48"/>
  <c r="J2213" i="48"/>
  <c r="K2213" i="48"/>
  <c r="I1991" i="48"/>
  <c r="I2213" i="48"/>
  <c r="F1991" i="48"/>
  <c r="E1991" i="48"/>
  <c r="D1991" i="48"/>
  <c r="C1991" i="48"/>
  <c r="C2213" i="48"/>
  <c r="M1990" i="48"/>
  <c r="L1990" i="48"/>
  <c r="K1990" i="48"/>
  <c r="G1990" i="48"/>
  <c r="G1991" i="48"/>
  <c r="G2213" i="48"/>
  <c r="D1990" i="48"/>
  <c r="K1989" i="48"/>
  <c r="I1987" i="48"/>
  <c r="F1987" i="48"/>
  <c r="E1987" i="48"/>
  <c r="D1987" i="48"/>
  <c r="C1987" i="48"/>
  <c r="L1986" i="48"/>
  <c r="M1986" i="48"/>
  <c r="K1986" i="48"/>
  <c r="I1986" i="48"/>
  <c r="G1986" i="48"/>
  <c r="M1985" i="48"/>
  <c r="L1985" i="48"/>
  <c r="K1985" i="48"/>
  <c r="I1985" i="48"/>
  <c r="G1985" i="48"/>
  <c r="K1984" i="48"/>
  <c r="M1983" i="48"/>
  <c r="L1983" i="48"/>
  <c r="J1983" i="48"/>
  <c r="I1983" i="48"/>
  <c r="G1983" i="48"/>
  <c r="M1982" i="48"/>
  <c r="K1982" i="48"/>
  <c r="I1982" i="48"/>
  <c r="L1982" i="48"/>
  <c r="G1982" i="48"/>
  <c r="G1987" i="48"/>
  <c r="J1981" i="48"/>
  <c r="K1981" i="48"/>
  <c r="I1981" i="48"/>
  <c r="L1981" i="48"/>
  <c r="G1981" i="48"/>
  <c r="K1980" i="48"/>
  <c r="K1979" i="48"/>
  <c r="M1978" i="48"/>
  <c r="L1978" i="48"/>
  <c r="K1978" i="48"/>
  <c r="I1978" i="48"/>
  <c r="F1978" i="48"/>
  <c r="E1978" i="48"/>
  <c r="D1978" i="48"/>
  <c r="C1978" i="48"/>
  <c r="K1977" i="48"/>
  <c r="G1977" i="48"/>
  <c r="G1978" i="48"/>
  <c r="K1976" i="48"/>
  <c r="K1975" i="48"/>
  <c r="K1973" i="48"/>
  <c r="I1972" i="48"/>
  <c r="F1972" i="48"/>
  <c r="F2192" i="48"/>
  <c r="E1972" i="48"/>
  <c r="D1972" i="48"/>
  <c r="C1972" i="48"/>
  <c r="M1971" i="48"/>
  <c r="M1972" i="48"/>
  <c r="L1971" i="48"/>
  <c r="L1972" i="48"/>
  <c r="J1971" i="48"/>
  <c r="J1972" i="48"/>
  <c r="K1972" i="48"/>
  <c r="G1971" i="48"/>
  <c r="G1972" i="48"/>
  <c r="K1970" i="48"/>
  <c r="I1968" i="48"/>
  <c r="E1968" i="48"/>
  <c r="D1968" i="48"/>
  <c r="C1968" i="48"/>
  <c r="J1967" i="48"/>
  <c r="K1967" i="48"/>
  <c r="I1967" i="48"/>
  <c r="L1967" i="48"/>
  <c r="M1967" i="48"/>
  <c r="G1967" i="48"/>
  <c r="J1966" i="48"/>
  <c r="K1966" i="48"/>
  <c r="I1966" i="48"/>
  <c r="L1966" i="48"/>
  <c r="M1966" i="48"/>
  <c r="G1966" i="48"/>
  <c r="M1965" i="48"/>
  <c r="L1965" i="48"/>
  <c r="K1965" i="48"/>
  <c r="G1965" i="48"/>
  <c r="J1964" i="48"/>
  <c r="K1964" i="48"/>
  <c r="I1964" i="48"/>
  <c r="L1964" i="48"/>
  <c r="M1964" i="48"/>
  <c r="G1964" i="48"/>
  <c r="M1963" i="48"/>
  <c r="L1963" i="48"/>
  <c r="K1963" i="48"/>
  <c r="I1963" i="48"/>
  <c r="G1963" i="48"/>
  <c r="M1962" i="48"/>
  <c r="L1962" i="48"/>
  <c r="J1962" i="48"/>
  <c r="K1962" i="48"/>
  <c r="I1962" i="48"/>
  <c r="G1962" i="48"/>
  <c r="L1961" i="48"/>
  <c r="M1961" i="48"/>
  <c r="J1961" i="48"/>
  <c r="K1961" i="48"/>
  <c r="I1961" i="48"/>
  <c r="G1961" i="48"/>
  <c r="K1960" i="48"/>
  <c r="I1960" i="48"/>
  <c r="L1960" i="48"/>
  <c r="M1960" i="48"/>
  <c r="G1960" i="48"/>
  <c r="M1959" i="48"/>
  <c r="J1959" i="48"/>
  <c r="K1959" i="48"/>
  <c r="I1959" i="48"/>
  <c r="L1959" i="48"/>
  <c r="G1959" i="48"/>
  <c r="L1958" i="48"/>
  <c r="M1958" i="48"/>
  <c r="J1958" i="48"/>
  <c r="K1958" i="48"/>
  <c r="I1958" i="48"/>
  <c r="G1958" i="48"/>
  <c r="M1957" i="48"/>
  <c r="L1957" i="48"/>
  <c r="K1957" i="48"/>
  <c r="G1957" i="48"/>
  <c r="M1956" i="48"/>
  <c r="J1956" i="48"/>
  <c r="K1956" i="48"/>
  <c r="I1956" i="48"/>
  <c r="L1956" i="48"/>
  <c r="F1956" i="48"/>
  <c r="G1956" i="48"/>
  <c r="M1955" i="48"/>
  <c r="L1955" i="48"/>
  <c r="J1955" i="48"/>
  <c r="K1955" i="48"/>
  <c r="I1955" i="48"/>
  <c r="G1955" i="48"/>
  <c r="L1954" i="48"/>
  <c r="M1954" i="48"/>
  <c r="J1954" i="48"/>
  <c r="K1954" i="48"/>
  <c r="I1954" i="48"/>
  <c r="G1954" i="48"/>
  <c r="J1953" i="48"/>
  <c r="K1953" i="48"/>
  <c r="I1953" i="48"/>
  <c r="L1953" i="48"/>
  <c r="M1953" i="48"/>
  <c r="G1953" i="48"/>
  <c r="L1952" i="48"/>
  <c r="M1952" i="48"/>
  <c r="J1952" i="48"/>
  <c r="K1952" i="48"/>
  <c r="I1952" i="48"/>
  <c r="G1952" i="48"/>
  <c r="M1951" i="48"/>
  <c r="L1951" i="48"/>
  <c r="J1951" i="48"/>
  <c r="K1951" i="48"/>
  <c r="I1951" i="48"/>
  <c r="G1951" i="48"/>
  <c r="L1950" i="48"/>
  <c r="J1950" i="48"/>
  <c r="K1950" i="48"/>
  <c r="I1950" i="48"/>
  <c r="G1950" i="48"/>
  <c r="K1949" i="48"/>
  <c r="K1948" i="48"/>
  <c r="K1947" i="48"/>
  <c r="K1946" i="48"/>
  <c r="L1945" i="48"/>
  <c r="K1945" i="48"/>
  <c r="I1945" i="48"/>
  <c r="F1945" i="48"/>
  <c r="E1945" i="48"/>
  <c r="D1945" i="48"/>
  <c r="C1945" i="48"/>
  <c r="M1944" i="48"/>
  <c r="L1944" i="48"/>
  <c r="K1944" i="48"/>
  <c r="G1944" i="48"/>
  <c r="M1943" i="48"/>
  <c r="L1943" i="48"/>
  <c r="K1943" i="48"/>
  <c r="G1943" i="48"/>
  <c r="M1942" i="48"/>
  <c r="M2341" i="48"/>
  <c r="L1942" i="48"/>
  <c r="L2341" i="48"/>
  <c r="K1942" i="48"/>
  <c r="G1942" i="48"/>
  <c r="M1941" i="48"/>
  <c r="L1941" i="48"/>
  <c r="K1941" i="48"/>
  <c r="G1941" i="48"/>
  <c r="M1940" i="48"/>
  <c r="M2342" i="48"/>
  <c r="L1940" i="48"/>
  <c r="L2342" i="48"/>
  <c r="K1940" i="48"/>
  <c r="G1940" i="48"/>
  <c r="G2342" i="48"/>
  <c r="M1939" i="48"/>
  <c r="L1939" i="48"/>
  <c r="K1939" i="48"/>
  <c r="G1939" i="48"/>
  <c r="G1945" i="48"/>
  <c r="K1938" i="48"/>
  <c r="K1937" i="48"/>
  <c r="M1936" i="48"/>
  <c r="L1936" i="48"/>
  <c r="K1936" i="48"/>
  <c r="I1936" i="48"/>
  <c r="G1936" i="48"/>
  <c r="F1936" i="48"/>
  <c r="E1936" i="48"/>
  <c r="D1936" i="48"/>
  <c r="C1936" i="48"/>
  <c r="C1974" i="48"/>
  <c r="C1993" i="48"/>
  <c r="K1935" i="48"/>
  <c r="G1935" i="48"/>
  <c r="K1934" i="48"/>
  <c r="F1932" i="48"/>
  <c r="E1932" i="48"/>
  <c r="D1932" i="48"/>
  <c r="C1932" i="48"/>
  <c r="J1931" i="48"/>
  <c r="J1932" i="48"/>
  <c r="I1931" i="48"/>
  <c r="I1932" i="48"/>
  <c r="G1931" i="48"/>
  <c r="G1932" i="48"/>
  <c r="K1930" i="48"/>
  <c r="C1928" i="48"/>
  <c r="J1927" i="48"/>
  <c r="K1927" i="48"/>
  <c r="I1927" i="48"/>
  <c r="L1927" i="48"/>
  <c r="M1927" i="48"/>
  <c r="G1927" i="48"/>
  <c r="E1927" i="48"/>
  <c r="J1926" i="48"/>
  <c r="K1926" i="48"/>
  <c r="I1926" i="48"/>
  <c r="L1926" i="48"/>
  <c r="M1926" i="48"/>
  <c r="G1926" i="48"/>
  <c r="E1926" i="48"/>
  <c r="K1925" i="48"/>
  <c r="I1925" i="48"/>
  <c r="L1925" i="48"/>
  <c r="M1925" i="48"/>
  <c r="G1925" i="48"/>
  <c r="J1924" i="48"/>
  <c r="K1924" i="48"/>
  <c r="I1924" i="48"/>
  <c r="L1924" i="48"/>
  <c r="M1924" i="48"/>
  <c r="F1924" i="48"/>
  <c r="E1924" i="48"/>
  <c r="J1923" i="48"/>
  <c r="K1923" i="48"/>
  <c r="I1923" i="48"/>
  <c r="L1923" i="48"/>
  <c r="M1923" i="48"/>
  <c r="G1923" i="48"/>
  <c r="E1923" i="48"/>
  <c r="K1922" i="48"/>
  <c r="I1922" i="48"/>
  <c r="L1922" i="48"/>
  <c r="M1922" i="48"/>
  <c r="G1922" i="48"/>
  <c r="E1922" i="48"/>
  <c r="K1921" i="48"/>
  <c r="I1921" i="48"/>
  <c r="L1921" i="48"/>
  <c r="M1921" i="48"/>
  <c r="G1921" i="48"/>
  <c r="E1921" i="48"/>
  <c r="J1920" i="48"/>
  <c r="K1920" i="48"/>
  <c r="I1920" i="48"/>
  <c r="L1920" i="48"/>
  <c r="M1920" i="48"/>
  <c r="G1920" i="48"/>
  <c r="E1920" i="48"/>
  <c r="J1919" i="48"/>
  <c r="K1919" i="48"/>
  <c r="I1919" i="48"/>
  <c r="L1919" i="48"/>
  <c r="M1919" i="48"/>
  <c r="G1919" i="48"/>
  <c r="D1919" i="48"/>
  <c r="J1918" i="48"/>
  <c r="K1918" i="48"/>
  <c r="I1918" i="48"/>
  <c r="L1918" i="48"/>
  <c r="M1918" i="48"/>
  <c r="G1918" i="48"/>
  <c r="E1918" i="48"/>
  <c r="J1917" i="48"/>
  <c r="I1917" i="48"/>
  <c r="L1917" i="48"/>
  <c r="M1917" i="48"/>
  <c r="G1917" i="48"/>
  <c r="E1917" i="48"/>
  <c r="J1916" i="48"/>
  <c r="K1916" i="48"/>
  <c r="I1916" i="48"/>
  <c r="L1916" i="48"/>
  <c r="M1916" i="48"/>
  <c r="G1916" i="48"/>
  <c r="E1916" i="48"/>
  <c r="J1915" i="48"/>
  <c r="K1915" i="48"/>
  <c r="I1915" i="48"/>
  <c r="L1915" i="48"/>
  <c r="M1915" i="48"/>
  <c r="G1915" i="48"/>
  <c r="K1914" i="48"/>
  <c r="K1913" i="48"/>
  <c r="K1912" i="48"/>
  <c r="F1910" i="48"/>
  <c r="K1909" i="48"/>
  <c r="M1908" i="48"/>
  <c r="L1908" i="48"/>
  <c r="F1908" i="48"/>
  <c r="D1908" i="48"/>
  <c r="C1908" i="48"/>
  <c r="J1907" i="48"/>
  <c r="I1907" i="48"/>
  <c r="I1908" i="48"/>
  <c r="G1907" i="48"/>
  <c r="G1908" i="48"/>
  <c r="E1907" i="48"/>
  <c r="E1908" i="48"/>
  <c r="K1906" i="48"/>
  <c r="K1905" i="48"/>
  <c r="M1904" i="48"/>
  <c r="L1904" i="48"/>
  <c r="K1904" i="48"/>
  <c r="I1904" i="48"/>
  <c r="F1904" i="48"/>
  <c r="E1904" i="48"/>
  <c r="D1904" i="48"/>
  <c r="C1904" i="48"/>
  <c r="C2173" i="48"/>
  <c r="K1903" i="48"/>
  <c r="G1903" i="48"/>
  <c r="G1904" i="48"/>
  <c r="G2173" i="48"/>
  <c r="K1902" i="48"/>
  <c r="K1901" i="48"/>
  <c r="G1900" i="48"/>
  <c r="K1899" i="48"/>
  <c r="M1898" i="48"/>
  <c r="L1898" i="48"/>
  <c r="I1898" i="48"/>
  <c r="G1898" i="48"/>
  <c r="G2169" i="48"/>
  <c r="F1898" i="48"/>
  <c r="E1898" i="48"/>
  <c r="E2169" i="48"/>
  <c r="D1898" i="48"/>
  <c r="C1898" i="48"/>
  <c r="M1897" i="48"/>
  <c r="L1897" i="48"/>
  <c r="J1897" i="48"/>
  <c r="I1897" i="48"/>
  <c r="G1897" i="48"/>
  <c r="K1896" i="48"/>
  <c r="K1895" i="48"/>
  <c r="F1894" i="48"/>
  <c r="E1894" i="48"/>
  <c r="D1894" i="48"/>
  <c r="C1894" i="48"/>
  <c r="J1893" i="48"/>
  <c r="K1893" i="48"/>
  <c r="I1893" i="48"/>
  <c r="L1893" i="48"/>
  <c r="M1893" i="48"/>
  <c r="G1893" i="48"/>
  <c r="J1892" i="48"/>
  <c r="I1892" i="48"/>
  <c r="G1892" i="48"/>
  <c r="G1894" i="48"/>
  <c r="K1891" i="48"/>
  <c r="K1890" i="48"/>
  <c r="F1889" i="48"/>
  <c r="F1900" i="48"/>
  <c r="D1889" i="48"/>
  <c r="D1900" i="48"/>
  <c r="D1910" i="48"/>
  <c r="C1889" i="48"/>
  <c r="M1888" i="48"/>
  <c r="M1889" i="48"/>
  <c r="L1888" i="48"/>
  <c r="L1889" i="48"/>
  <c r="J1888" i="48"/>
  <c r="K1888" i="48"/>
  <c r="I1888" i="48"/>
  <c r="I1889" i="48"/>
  <c r="G1888" i="48"/>
  <c r="G1889" i="48"/>
  <c r="E1888" i="48"/>
  <c r="E1889" i="48"/>
  <c r="E1900" i="48"/>
  <c r="E1910" i="48"/>
  <c r="D1888" i="48"/>
  <c r="K1887" i="48"/>
  <c r="K1886" i="48"/>
  <c r="K1885" i="48"/>
  <c r="K1884" i="48"/>
  <c r="K1883" i="48"/>
  <c r="K1882" i="48"/>
  <c r="K1881" i="48"/>
  <c r="K1880" i="48"/>
  <c r="K1879" i="48"/>
  <c r="K1877" i="48"/>
  <c r="K1875" i="48"/>
  <c r="K1874" i="48"/>
  <c r="I1874" i="48"/>
  <c r="F1874" i="48"/>
  <c r="E1874" i="48"/>
  <c r="C1874" i="48"/>
  <c r="M1873" i="48"/>
  <c r="M1874" i="48"/>
  <c r="L1873" i="48"/>
  <c r="L1874" i="48"/>
  <c r="K1873" i="48"/>
  <c r="G1873" i="48"/>
  <c r="G1874" i="48"/>
  <c r="D1873" i="48"/>
  <c r="D1874" i="48"/>
  <c r="K1872" i="48"/>
  <c r="K1871" i="48"/>
  <c r="F1868" i="48"/>
  <c r="E1868" i="48"/>
  <c r="D1868" i="48"/>
  <c r="C1868" i="48"/>
  <c r="M1867" i="48"/>
  <c r="L1867" i="48"/>
  <c r="J1867" i="48"/>
  <c r="K1867" i="48"/>
  <c r="I1867" i="48"/>
  <c r="G1867" i="48"/>
  <c r="L1866" i="48"/>
  <c r="M1866" i="48"/>
  <c r="K1866" i="48"/>
  <c r="I1866" i="48"/>
  <c r="G1866" i="48"/>
  <c r="L1865" i="48"/>
  <c r="J1865" i="48"/>
  <c r="K1865" i="48"/>
  <c r="I1865" i="48"/>
  <c r="I1868" i="48"/>
  <c r="G1865" i="48"/>
  <c r="G1868" i="48"/>
  <c r="K1864" i="48"/>
  <c r="M1862" i="48"/>
  <c r="L1862" i="48"/>
  <c r="I1862" i="48"/>
  <c r="G1862" i="48"/>
  <c r="F1862" i="48"/>
  <c r="E1862" i="48"/>
  <c r="D1862" i="48"/>
  <c r="C1862" i="48"/>
  <c r="J1861" i="48"/>
  <c r="G1861" i="48"/>
  <c r="K1860" i="48"/>
  <c r="K1859" i="48"/>
  <c r="K1858" i="48"/>
  <c r="K1857" i="48"/>
  <c r="K1856" i="48"/>
  <c r="F1853" i="48"/>
  <c r="E1853" i="48"/>
  <c r="D1853" i="48"/>
  <c r="C1853" i="48"/>
  <c r="M1852" i="48"/>
  <c r="J1852" i="48"/>
  <c r="K1852" i="48"/>
  <c r="I1852" i="48"/>
  <c r="L1852" i="48"/>
  <c r="G1852" i="48"/>
  <c r="L1851" i="48"/>
  <c r="M1851" i="48"/>
  <c r="K1851" i="48"/>
  <c r="G1851" i="48"/>
  <c r="L1850" i="48"/>
  <c r="M1850" i="48"/>
  <c r="J1850" i="48"/>
  <c r="K1850" i="48"/>
  <c r="I1850" i="48"/>
  <c r="G1850" i="48"/>
  <c r="L1849" i="48"/>
  <c r="M1849" i="48"/>
  <c r="J1849" i="48"/>
  <c r="K1849" i="48"/>
  <c r="I1849" i="48"/>
  <c r="G1849" i="48"/>
  <c r="L1848" i="48"/>
  <c r="M1848" i="48"/>
  <c r="J1848" i="48"/>
  <c r="K1848" i="48"/>
  <c r="I1848" i="48"/>
  <c r="G1848" i="48"/>
  <c r="M1847" i="48"/>
  <c r="L1847" i="48"/>
  <c r="J1847" i="48"/>
  <c r="K1847" i="48"/>
  <c r="I1847" i="48"/>
  <c r="G1847" i="48"/>
  <c r="L1846" i="48"/>
  <c r="M1846" i="48"/>
  <c r="K1846" i="48"/>
  <c r="G1846" i="48"/>
  <c r="L1845" i="48"/>
  <c r="M1845" i="48"/>
  <c r="J1845" i="48"/>
  <c r="K1845" i="48"/>
  <c r="I1845" i="48"/>
  <c r="G1845" i="48"/>
  <c r="J1844" i="48"/>
  <c r="I1844" i="48"/>
  <c r="L1844" i="48"/>
  <c r="M1844" i="48"/>
  <c r="G1844" i="48"/>
  <c r="L1843" i="48"/>
  <c r="M1843" i="48"/>
  <c r="J1843" i="48"/>
  <c r="K1843" i="48"/>
  <c r="I1843" i="48"/>
  <c r="L1842" i="48"/>
  <c r="M1842" i="48"/>
  <c r="J1842" i="48"/>
  <c r="K1842" i="48"/>
  <c r="I1842" i="48"/>
  <c r="G1842" i="48"/>
  <c r="G1853" i="48"/>
  <c r="J1841" i="48"/>
  <c r="K1841" i="48"/>
  <c r="I1841" i="48"/>
  <c r="G1841" i="48"/>
  <c r="K1840" i="48"/>
  <c r="K1839" i="48"/>
  <c r="K1838" i="48"/>
  <c r="J1838" i="48"/>
  <c r="F1838" i="48"/>
  <c r="D1838" i="48"/>
  <c r="C1838" i="48"/>
  <c r="M1837" i="48"/>
  <c r="L1837" i="48"/>
  <c r="K1837" i="48"/>
  <c r="F1837" i="48"/>
  <c r="E1837" i="48"/>
  <c r="E1838" i="48"/>
  <c r="M1836" i="48"/>
  <c r="M2340" i="48"/>
  <c r="L1836" i="48"/>
  <c r="L2340" i="48"/>
  <c r="K1836" i="48"/>
  <c r="G1836" i="48"/>
  <c r="G2340" i="48"/>
  <c r="E1836" i="48"/>
  <c r="E2340" i="48"/>
  <c r="K1835" i="48"/>
  <c r="I1835" i="48"/>
  <c r="G1835" i="48"/>
  <c r="M1834" i="48"/>
  <c r="L1834" i="48"/>
  <c r="K1834" i="48"/>
  <c r="I1834" i="48"/>
  <c r="G1834" i="48"/>
  <c r="K1833" i="48"/>
  <c r="M1831" i="48"/>
  <c r="L1831" i="48"/>
  <c r="I1831" i="48"/>
  <c r="F1831" i="48"/>
  <c r="E1831" i="48"/>
  <c r="D1831" i="48"/>
  <c r="C1831" i="48"/>
  <c r="J1830" i="48"/>
  <c r="J1831" i="48"/>
  <c r="J1832" i="48"/>
  <c r="K1832" i="48"/>
  <c r="G1830" i="48"/>
  <c r="G1831" i="48"/>
  <c r="K1829" i="48"/>
  <c r="F1827" i="48"/>
  <c r="F1855" i="48"/>
  <c r="F1870" i="48"/>
  <c r="F1876" i="48"/>
  <c r="D1827" i="48"/>
  <c r="C1827" i="48"/>
  <c r="J1826" i="48"/>
  <c r="K1826" i="48"/>
  <c r="I1826" i="48"/>
  <c r="L1826" i="48"/>
  <c r="M1826" i="48"/>
  <c r="G1826" i="48"/>
  <c r="E1826" i="48"/>
  <c r="J1825" i="48"/>
  <c r="K1825" i="48"/>
  <c r="I1825" i="48"/>
  <c r="L1825" i="48"/>
  <c r="M1825" i="48"/>
  <c r="G1825" i="48"/>
  <c r="E1825" i="48"/>
  <c r="J1824" i="48"/>
  <c r="K1824" i="48"/>
  <c r="I1824" i="48"/>
  <c r="L1824" i="48"/>
  <c r="M1824" i="48"/>
  <c r="G1824" i="48"/>
  <c r="E1824" i="48"/>
  <c r="J1823" i="48"/>
  <c r="K1823" i="48"/>
  <c r="I1823" i="48"/>
  <c r="L1823" i="48"/>
  <c r="M1823" i="48"/>
  <c r="G1823" i="48"/>
  <c r="F1823" i="48"/>
  <c r="E1823" i="48"/>
  <c r="J1822" i="48"/>
  <c r="K1822" i="48"/>
  <c r="I1822" i="48"/>
  <c r="L1822" i="48"/>
  <c r="M1822" i="48"/>
  <c r="G1822" i="48"/>
  <c r="E1822" i="48"/>
  <c r="J1821" i="48"/>
  <c r="K1821" i="48"/>
  <c r="I1821" i="48"/>
  <c r="L1821" i="48"/>
  <c r="M1821" i="48"/>
  <c r="G1821" i="48"/>
  <c r="E1821" i="48"/>
  <c r="K1820" i="48"/>
  <c r="I1820" i="48"/>
  <c r="L1820" i="48"/>
  <c r="M1820" i="48"/>
  <c r="G1820" i="48"/>
  <c r="J1819" i="48"/>
  <c r="K1819" i="48"/>
  <c r="I1819" i="48"/>
  <c r="L1819" i="48"/>
  <c r="M1819" i="48"/>
  <c r="G1819" i="48"/>
  <c r="E1819" i="48"/>
  <c r="J1818" i="48"/>
  <c r="K1818" i="48"/>
  <c r="I1818" i="48"/>
  <c r="L1818" i="48"/>
  <c r="M1818" i="48"/>
  <c r="G1818" i="48"/>
  <c r="E1818" i="48"/>
  <c r="J1817" i="48"/>
  <c r="K1817" i="48"/>
  <c r="I1817" i="48"/>
  <c r="L1817" i="48"/>
  <c r="M1817" i="48"/>
  <c r="G1817" i="48"/>
  <c r="E1817" i="48"/>
  <c r="J1816" i="48"/>
  <c r="K1816" i="48"/>
  <c r="I1816" i="48"/>
  <c r="L1816" i="48"/>
  <c r="M1816" i="48"/>
  <c r="G1816" i="48"/>
  <c r="E1816" i="48"/>
  <c r="J1815" i="48"/>
  <c r="K1815" i="48"/>
  <c r="I1815" i="48"/>
  <c r="L1815" i="48"/>
  <c r="M1815" i="48"/>
  <c r="G1815" i="48"/>
  <c r="E1815" i="48"/>
  <c r="J1814" i="48"/>
  <c r="I1814" i="48"/>
  <c r="L1814" i="48"/>
  <c r="G1814" i="48"/>
  <c r="K1813" i="48"/>
  <c r="K1812" i="48"/>
  <c r="K1811" i="48"/>
  <c r="F1809" i="48"/>
  <c r="K1808" i="48"/>
  <c r="M1807" i="48"/>
  <c r="L1807" i="48"/>
  <c r="K1807" i="48"/>
  <c r="I1807" i="48"/>
  <c r="F1807" i="48"/>
  <c r="F2173" i="48"/>
  <c r="E1807" i="48"/>
  <c r="D1807" i="48"/>
  <c r="C1807" i="48"/>
  <c r="K1806" i="48"/>
  <c r="G1806" i="48"/>
  <c r="G1807" i="48"/>
  <c r="K1805" i="48"/>
  <c r="K1804" i="48"/>
  <c r="I1803" i="48"/>
  <c r="I1809" i="48"/>
  <c r="G1803" i="48"/>
  <c r="G1809" i="48"/>
  <c r="F1803" i="48"/>
  <c r="K1802" i="48"/>
  <c r="G1801" i="48"/>
  <c r="F1801" i="48"/>
  <c r="E1801" i="48"/>
  <c r="D1801" i="48"/>
  <c r="C1801" i="48"/>
  <c r="L1800" i="48"/>
  <c r="J1800" i="48"/>
  <c r="K1800" i="48"/>
  <c r="I1800" i="48"/>
  <c r="I1801" i="48"/>
  <c r="G1800" i="48"/>
  <c r="K1799" i="48"/>
  <c r="K1798" i="48"/>
  <c r="I1797" i="48"/>
  <c r="G1797" i="48"/>
  <c r="F1797" i="48"/>
  <c r="E1797" i="48"/>
  <c r="D1797" i="48"/>
  <c r="C1797" i="48"/>
  <c r="C1803" i="48"/>
  <c r="C1809" i="48"/>
  <c r="J1796" i="48"/>
  <c r="K1796" i="48"/>
  <c r="I1796" i="48"/>
  <c r="L1796" i="48"/>
  <c r="G1796" i="48"/>
  <c r="K1795" i="48"/>
  <c r="K1794" i="48"/>
  <c r="K1793" i="48"/>
  <c r="K1792" i="48"/>
  <c r="K1791" i="48"/>
  <c r="K1790" i="48"/>
  <c r="K1789" i="48"/>
  <c r="K1788" i="48"/>
  <c r="K1786" i="48"/>
  <c r="K1784" i="48"/>
  <c r="K1783" i="48"/>
  <c r="I1783" i="48"/>
  <c r="F1783" i="48"/>
  <c r="F2213" i="48"/>
  <c r="E1783" i="48"/>
  <c r="E2213" i="48"/>
  <c r="C1783" i="48"/>
  <c r="M1782" i="48"/>
  <c r="M1783" i="48"/>
  <c r="L1782" i="48"/>
  <c r="L1783" i="48"/>
  <c r="K1782" i="48"/>
  <c r="G1782" i="48"/>
  <c r="G1783" i="48"/>
  <c r="D1782" i="48"/>
  <c r="D1783" i="48"/>
  <c r="K1781" i="48"/>
  <c r="F1779" i="48"/>
  <c r="E1779" i="48"/>
  <c r="D1779" i="48"/>
  <c r="C1779" i="48"/>
  <c r="M1778" i="48"/>
  <c r="K1778" i="48"/>
  <c r="I1778" i="48"/>
  <c r="L1778" i="48"/>
  <c r="G1778" i="48"/>
  <c r="G1779" i="48"/>
  <c r="L1777" i="48"/>
  <c r="M1777" i="48"/>
  <c r="J1777" i="48"/>
  <c r="K1777" i="48"/>
  <c r="I1777" i="48"/>
  <c r="G1777" i="48"/>
  <c r="L1776" i="48"/>
  <c r="M1776" i="48"/>
  <c r="J1776" i="48"/>
  <c r="K1776" i="48"/>
  <c r="I1776" i="48"/>
  <c r="G1776" i="48"/>
  <c r="J1775" i="48"/>
  <c r="K1775" i="48"/>
  <c r="I1775" i="48"/>
  <c r="G1775" i="48"/>
  <c r="K1774" i="48"/>
  <c r="M1772" i="48"/>
  <c r="L1772" i="48"/>
  <c r="I1772" i="48"/>
  <c r="F1772" i="48"/>
  <c r="E1772" i="48"/>
  <c r="D1772" i="48"/>
  <c r="C1772" i="48"/>
  <c r="J1771" i="48"/>
  <c r="J1772" i="48"/>
  <c r="G1771" i="48"/>
  <c r="G1772" i="48"/>
  <c r="K1770" i="48"/>
  <c r="K1769" i="48"/>
  <c r="F1766" i="48"/>
  <c r="E1766" i="48"/>
  <c r="D1766" i="48"/>
  <c r="C1766" i="48"/>
  <c r="J1765" i="48"/>
  <c r="K1765" i="48"/>
  <c r="I1765" i="48"/>
  <c r="L1765" i="48"/>
  <c r="M1765" i="48"/>
  <c r="G1765" i="48"/>
  <c r="L1764" i="48"/>
  <c r="M1764" i="48"/>
  <c r="J1764" i="48"/>
  <c r="K1764" i="48"/>
  <c r="I1764" i="48"/>
  <c r="G1764" i="48"/>
  <c r="M1763" i="48"/>
  <c r="L1763" i="48"/>
  <c r="J1763" i="48"/>
  <c r="K1763" i="48"/>
  <c r="I1763" i="48"/>
  <c r="G1763" i="48"/>
  <c r="L1762" i="48"/>
  <c r="M1762" i="48"/>
  <c r="K1762" i="48"/>
  <c r="G1762" i="48"/>
  <c r="M1761" i="48"/>
  <c r="L1761" i="48"/>
  <c r="J1761" i="48"/>
  <c r="K1761" i="48"/>
  <c r="I1761" i="48"/>
  <c r="G1761" i="48"/>
  <c r="L1760" i="48"/>
  <c r="M1760" i="48"/>
  <c r="J1760" i="48"/>
  <c r="K1760" i="48"/>
  <c r="I1760" i="48"/>
  <c r="G1760" i="48"/>
  <c r="J1759" i="48"/>
  <c r="K1759" i="48"/>
  <c r="I1759" i="48"/>
  <c r="L1759" i="48"/>
  <c r="M1759" i="48"/>
  <c r="G1759" i="48"/>
  <c r="L1758" i="48"/>
  <c r="M1758" i="48"/>
  <c r="J1758" i="48"/>
  <c r="K1758" i="48"/>
  <c r="I1758" i="48"/>
  <c r="G1758" i="48"/>
  <c r="L1757" i="48"/>
  <c r="M1757" i="48"/>
  <c r="J1757" i="48"/>
  <c r="K1757" i="48"/>
  <c r="I1757" i="48"/>
  <c r="G1757" i="48"/>
  <c r="M1756" i="48"/>
  <c r="L1756" i="48"/>
  <c r="J1756" i="48"/>
  <c r="K1756" i="48"/>
  <c r="G1756" i="48"/>
  <c r="J1755" i="48"/>
  <c r="K1755" i="48"/>
  <c r="I1755" i="48"/>
  <c r="L1755" i="48"/>
  <c r="M1755" i="48"/>
  <c r="G1755" i="48"/>
  <c r="M1754" i="48"/>
  <c r="L1754" i="48"/>
  <c r="J1754" i="48"/>
  <c r="K1754" i="48"/>
  <c r="I1754" i="48"/>
  <c r="G1754" i="48"/>
  <c r="J1753" i="48"/>
  <c r="K1753" i="48"/>
  <c r="I1753" i="48"/>
  <c r="L1753" i="48"/>
  <c r="M1753" i="48"/>
  <c r="G1753" i="48"/>
  <c r="M1752" i="48"/>
  <c r="L1752" i="48"/>
  <c r="J1752" i="48"/>
  <c r="K1752" i="48"/>
  <c r="I1752" i="48"/>
  <c r="G1752" i="48"/>
  <c r="M1751" i="48"/>
  <c r="J1751" i="48"/>
  <c r="K1751" i="48"/>
  <c r="I1751" i="48"/>
  <c r="L1751" i="48"/>
  <c r="G1751" i="48"/>
  <c r="L1750" i="48"/>
  <c r="J1750" i="48"/>
  <c r="K1750" i="48"/>
  <c r="I1750" i="48"/>
  <c r="G1750" i="48"/>
  <c r="K1749" i="48"/>
  <c r="K1748" i="48"/>
  <c r="K1747" i="48"/>
  <c r="K1746" i="48"/>
  <c r="K1745" i="48"/>
  <c r="K1744" i="48"/>
  <c r="I1744" i="48"/>
  <c r="F1744" i="48"/>
  <c r="D1744" i="48"/>
  <c r="C1744" i="48"/>
  <c r="M1743" i="48"/>
  <c r="L1743" i="48"/>
  <c r="K1743" i="48"/>
  <c r="G1743" i="48"/>
  <c r="M1742" i="48"/>
  <c r="L1742" i="48"/>
  <c r="L2339" i="48"/>
  <c r="K1742" i="48"/>
  <c r="G1742" i="48"/>
  <c r="M1741" i="48"/>
  <c r="L1741" i="48"/>
  <c r="K1741" i="48"/>
  <c r="G1741" i="48"/>
  <c r="G1744" i="48"/>
  <c r="E1741" i="48"/>
  <c r="E1744" i="48"/>
  <c r="L1740" i="48"/>
  <c r="M1740" i="48"/>
  <c r="K1740" i="48"/>
  <c r="G1740" i="48"/>
  <c r="L1739" i="48"/>
  <c r="K1739" i="48"/>
  <c r="G1739" i="48"/>
  <c r="K1738" i="48"/>
  <c r="M1736" i="48"/>
  <c r="L1736" i="48"/>
  <c r="I1736" i="48"/>
  <c r="F1736" i="48"/>
  <c r="E1736" i="48"/>
  <c r="D1736" i="48"/>
  <c r="C1736" i="48"/>
  <c r="J1735" i="48"/>
  <c r="G1735" i="48"/>
  <c r="G1736" i="48"/>
  <c r="D1735" i="48"/>
  <c r="K1734" i="48"/>
  <c r="G1732" i="48"/>
  <c r="F1732" i="48"/>
  <c r="E1732" i="48"/>
  <c r="D1732" i="48"/>
  <c r="C1732" i="48"/>
  <c r="L1731" i="48"/>
  <c r="L1732" i="48"/>
  <c r="J1731" i="48"/>
  <c r="G1731" i="48"/>
  <c r="D1731" i="48"/>
  <c r="K1730" i="48"/>
  <c r="D1728" i="48"/>
  <c r="C1728" i="48"/>
  <c r="C1768" i="48"/>
  <c r="J1727" i="48"/>
  <c r="K1727" i="48"/>
  <c r="I1727" i="48"/>
  <c r="L1727" i="48"/>
  <c r="M1727" i="48"/>
  <c r="G1727" i="48"/>
  <c r="E1727" i="48"/>
  <c r="K1726" i="48"/>
  <c r="I1726" i="48"/>
  <c r="L1726" i="48"/>
  <c r="M1726" i="48"/>
  <c r="G1726" i="48"/>
  <c r="E1726" i="48"/>
  <c r="K1725" i="48"/>
  <c r="I1725" i="48"/>
  <c r="L1725" i="48"/>
  <c r="M1725" i="48"/>
  <c r="G1725" i="48"/>
  <c r="I1724" i="48"/>
  <c r="L1724" i="48"/>
  <c r="M1724" i="48"/>
  <c r="J1724" i="48"/>
  <c r="K1724" i="48"/>
  <c r="G1724" i="48"/>
  <c r="E1724" i="48"/>
  <c r="J1723" i="48"/>
  <c r="K1723" i="48"/>
  <c r="I1723" i="48"/>
  <c r="L1723" i="48"/>
  <c r="M1723" i="48"/>
  <c r="F1723" i="48"/>
  <c r="E1723" i="48"/>
  <c r="J1722" i="48"/>
  <c r="K1722" i="48"/>
  <c r="I1722" i="48"/>
  <c r="L1722" i="48"/>
  <c r="M1722" i="48"/>
  <c r="G1722" i="48"/>
  <c r="E1722" i="48"/>
  <c r="J1721" i="48"/>
  <c r="K1721" i="48"/>
  <c r="I1721" i="48"/>
  <c r="L1721" i="48"/>
  <c r="M1721" i="48"/>
  <c r="G1721" i="48"/>
  <c r="J1720" i="48"/>
  <c r="K1720" i="48"/>
  <c r="I1720" i="48"/>
  <c r="L1720" i="48"/>
  <c r="M1720" i="48"/>
  <c r="G1720" i="48"/>
  <c r="E1720" i="48"/>
  <c r="J1719" i="48"/>
  <c r="K1719" i="48"/>
  <c r="I1719" i="48"/>
  <c r="L1719" i="48"/>
  <c r="M1719" i="48"/>
  <c r="G1719" i="48"/>
  <c r="E1719" i="48"/>
  <c r="J1718" i="48"/>
  <c r="K1718" i="48"/>
  <c r="I1718" i="48"/>
  <c r="L1718" i="48"/>
  <c r="M1718" i="48"/>
  <c r="G1718" i="48"/>
  <c r="E1718" i="48"/>
  <c r="J1717" i="48"/>
  <c r="K1717" i="48"/>
  <c r="I1717" i="48"/>
  <c r="L1717" i="48"/>
  <c r="M1717" i="48"/>
  <c r="G1717" i="48"/>
  <c r="E1717" i="48"/>
  <c r="J1716" i="48"/>
  <c r="K1716" i="48"/>
  <c r="I1716" i="48"/>
  <c r="L1716" i="48"/>
  <c r="M1716" i="48"/>
  <c r="G1716" i="48"/>
  <c r="E1716" i="48"/>
  <c r="J1715" i="48"/>
  <c r="I1715" i="48"/>
  <c r="G1715" i="48"/>
  <c r="K1714" i="48"/>
  <c r="K1713" i="48"/>
  <c r="K1712" i="48"/>
  <c r="C1710" i="48"/>
  <c r="K1709" i="48"/>
  <c r="F1708" i="48"/>
  <c r="D1708" i="48"/>
  <c r="C1708" i="48"/>
  <c r="J1707" i="48"/>
  <c r="J1708" i="48"/>
  <c r="K1708" i="48"/>
  <c r="G1707" i="48"/>
  <c r="G1708" i="48"/>
  <c r="E1707" i="48"/>
  <c r="E1708" i="48"/>
  <c r="D1707" i="48"/>
  <c r="K1706" i="48"/>
  <c r="K1705" i="48"/>
  <c r="M1704" i="48"/>
  <c r="L1704" i="48"/>
  <c r="K1704" i="48"/>
  <c r="I1704" i="48"/>
  <c r="F1704" i="48"/>
  <c r="E1704" i="48"/>
  <c r="D1704" i="48"/>
  <c r="C1704" i="48"/>
  <c r="K1703" i="48"/>
  <c r="G1703" i="48"/>
  <c r="G1704" i="48"/>
  <c r="K1702" i="48"/>
  <c r="K1701" i="48"/>
  <c r="K1699" i="48"/>
  <c r="F1698" i="48"/>
  <c r="E1698" i="48"/>
  <c r="D1698" i="48"/>
  <c r="C1698" i="48"/>
  <c r="C1700" i="48"/>
  <c r="J1697" i="48"/>
  <c r="K1697" i="48"/>
  <c r="I1697" i="48"/>
  <c r="G1697" i="48"/>
  <c r="L1696" i="48"/>
  <c r="M1696" i="48"/>
  <c r="J1696" i="48"/>
  <c r="I1696" i="48"/>
  <c r="G1696" i="48"/>
  <c r="K1695" i="48"/>
  <c r="K1694" i="48"/>
  <c r="F1693" i="48"/>
  <c r="E1693" i="48"/>
  <c r="E1700" i="48"/>
  <c r="E1710" i="48"/>
  <c r="C1693" i="48"/>
  <c r="M1692" i="48"/>
  <c r="M1693" i="48"/>
  <c r="L1692" i="48"/>
  <c r="L1693" i="48"/>
  <c r="J1692" i="48"/>
  <c r="K1692" i="48"/>
  <c r="I1692" i="48"/>
  <c r="I1693" i="48"/>
  <c r="G1692" i="48"/>
  <c r="G1693" i="48"/>
  <c r="D1692" i="48"/>
  <c r="D1693" i="48"/>
  <c r="D1700" i="48"/>
  <c r="D1710" i="48"/>
  <c r="K1691" i="48"/>
  <c r="K1690" i="48"/>
  <c r="K1689" i="48"/>
  <c r="K1688" i="48"/>
  <c r="K1687" i="48"/>
  <c r="K1686" i="48"/>
  <c r="K1685" i="48"/>
  <c r="K1684" i="48"/>
  <c r="K1682" i="48"/>
  <c r="K1680" i="48"/>
  <c r="D1679" i="48"/>
  <c r="D1681" i="48"/>
  <c r="F1677" i="48"/>
  <c r="E1677" i="48"/>
  <c r="D1677" i="48"/>
  <c r="C1677" i="48"/>
  <c r="L1676" i="48"/>
  <c r="M1676" i="48"/>
  <c r="J1676" i="48"/>
  <c r="I1676" i="48"/>
  <c r="G1676" i="48"/>
  <c r="L1675" i="48"/>
  <c r="M1675" i="48"/>
  <c r="K1675" i="48"/>
  <c r="I1675" i="48"/>
  <c r="G1675" i="48"/>
  <c r="J1674" i="48"/>
  <c r="K1674" i="48"/>
  <c r="I1674" i="48"/>
  <c r="G1674" i="48"/>
  <c r="G1677" i="48"/>
  <c r="K1673" i="48"/>
  <c r="K1672" i="48"/>
  <c r="M1671" i="48"/>
  <c r="L1671" i="48"/>
  <c r="K1671" i="48"/>
  <c r="I1671" i="48"/>
  <c r="G1671" i="48"/>
  <c r="F1671" i="48"/>
  <c r="E1671" i="48"/>
  <c r="D1671" i="48"/>
  <c r="C1671" i="48"/>
  <c r="K1670" i="48"/>
  <c r="G1670" i="48"/>
  <c r="K1669" i="48"/>
  <c r="K1668" i="48"/>
  <c r="K1667" i="48"/>
  <c r="K1666" i="48"/>
  <c r="K1665" i="48"/>
  <c r="D1664" i="48"/>
  <c r="F1662" i="48"/>
  <c r="E1662" i="48"/>
  <c r="D1662" i="48"/>
  <c r="C1662" i="48"/>
  <c r="M1661" i="48"/>
  <c r="J1661" i="48"/>
  <c r="K1661" i="48"/>
  <c r="I1661" i="48"/>
  <c r="L1661" i="48"/>
  <c r="G1661" i="48"/>
  <c r="M1660" i="48"/>
  <c r="J1660" i="48"/>
  <c r="K1660" i="48"/>
  <c r="I1660" i="48"/>
  <c r="L1660" i="48"/>
  <c r="G1660" i="48"/>
  <c r="K1659" i="48"/>
  <c r="I1659" i="48"/>
  <c r="L1659" i="48"/>
  <c r="M1659" i="48"/>
  <c r="G1659" i="48"/>
  <c r="L1658" i="48"/>
  <c r="M1658" i="48"/>
  <c r="K1658" i="48"/>
  <c r="G1658" i="48"/>
  <c r="L1657" i="48"/>
  <c r="M1657" i="48"/>
  <c r="J1657" i="48"/>
  <c r="K1657" i="48"/>
  <c r="I1657" i="48"/>
  <c r="G1657" i="48"/>
  <c r="L1656" i="48"/>
  <c r="M1656" i="48"/>
  <c r="J1656" i="48"/>
  <c r="K1656" i="48"/>
  <c r="I1656" i="48"/>
  <c r="G1656" i="48"/>
  <c r="L1655" i="48"/>
  <c r="M1655" i="48"/>
  <c r="J1655" i="48"/>
  <c r="K1655" i="48"/>
  <c r="I1655" i="48"/>
  <c r="G1655" i="48"/>
  <c r="M1654" i="48"/>
  <c r="L1654" i="48"/>
  <c r="J1654" i="48"/>
  <c r="K1654" i="48"/>
  <c r="I1654" i="48"/>
  <c r="G1654" i="48"/>
  <c r="L1653" i="48"/>
  <c r="M1653" i="48"/>
  <c r="J1653" i="48"/>
  <c r="K1653" i="48"/>
  <c r="I1653" i="48"/>
  <c r="G1653" i="48"/>
  <c r="L1652" i="48"/>
  <c r="M1652" i="48"/>
  <c r="K1652" i="48"/>
  <c r="G1652" i="48"/>
  <c r="J1651" i="48"/>
  <c r="K1651" i="48"/>
  <c r="I1651" i="48"/>
  <c r="L1651" i="48"/>
  <c r="M1651" i="48"/>
  <c r="G1651" i="48"/>
  <c r="L1650" i="48"/>
  <c r="M1650" i="48"/>
  <c r="J1650" i="48"/>
  <c r="K1650" i="48"/>
  <c r="I1650" i="48"/>
  <c r="G1650" i="48"/>
  <c r="L1649" i="48"/>
  <c r="J1649" i="48"/>
  <c r="I1649" i="48"/>
  <c r="G1649" i="48"/>
  <c r="K1648" i="48"/>
  <c r="K1647" i="48"/>
  <c r="M1646" i="48"/>
  <c r="K1646" i="48"/>
  <c r="I1646" i="48"/>
  <c r="F1646" i="48"/>
  <c r="E1646" i="48"/>
  <c r="D1646" i="48"/>
  <c r="C1646" i="48"/>
  <c r="M1645" i="48"/>
  <c r="M2308" i="48"/>
  <c r="L1645" i="48"/>
  <c r="L2308" i="48"/>
  <c r="K1645" i="48"/>
  <c r="G1645" i="48"/>
  <c r="G2308" i="48"/>
  <c r="M1644" i="48"/>
  <c r="L1644" i="48"/>
  <c r="K1644" i="48"/>
  <c r="G1644" i="48"/>
  <c r="M1643" i="48"/>
  <c r="L1643" i="48"/>
  <c r="K1643" i="48"/>
  <c r="G1643" i="48"/>
  <c r="M1642" i="48"/>
  <c r="L1642" i="48"/>
  <c r="L1646" i="48"/>
  <c r="K1642" i="48"/>
  <c r="G1642" i="48"/>
  <c r="M1641" i="48"/>
  <c r="L1641" i="48"/>
  <c r="K1641" i="48"/>
  <c r="J1641" i="48"/>
  <c r="J2305" i="48"/>
  <c r="K2305" i="48"/>
  <c r="G1641" i="48"/>
  <c r="K1640" i="48"/>
  <c r="K1639" i="48"/>
  <c r="M1638" i="48"/>
  <c r="L1638" i="48"/>
  <c r="K1638" i="48"/>
  <c r="I1638" i="48"/>
  <c r="G1638" i="48"/>
  <c r="F1638" i="48"/>
  <c r="E1638" i="48"/>
  <c r="D1638" i="48"/>
  <c r="C1638" i="48"/>
  <c r="K1637" i="48"/>
  <c r="G1637" i="48"/>
  <c r="K1636" i="48"/>
  <c r="F1634" i="48"/>
  <c r="C1634" i="48"/>
  <c r="J1633" i="48"/>
  <c r="I1633" i="48"/>
  <c r="I1634" i="48"/>
  <c r="G1633" i="48"/>
  <c r="G1634" i="48"/>
  <c r="E1633" i="48"/>
  <c r="E1634" i="48"/>
  <c r="D1633" i="48"/>
  <c r="D1634" i="48"/>
  <c r="K1632" i="48"/>
  <c r="F1630" i="48"/>
  <c r="D1630" i="48"/>
  <c r="C1630" i="48"/>
  <c r="C1664" i="48"/>
  <c r="C1679" i="48"/>
  <c r="C1681" i="48"/>
  <c r="J1629" i="48"/>
  <c r="K1629" i="48"/>
  <c r="I1629" i="48"/>
  <c r="L1629" i="48"/>
  <c r="M1629" i="48"/>
  <c r="G1629" i="48"/>
  <c r="E1629" i="48"/>
  <c r="K1628" i="48"/>
  <c r="I1628" i="48"/>
  <c r="L1628" i="48"/>
  <c r="M1628" i="48"/>
  <c r="G1628" i="48"/>
  <c r="E1628" i="48"/>
  <c r="K1627" i="48"/>
  <c r="I1627" i="48"/>
  <c r="L1627" i="48"/>
  <c r="M1627" i="48"/>
  <c r="G1627" i="48"/>
  <c r="J1626" i="48"/>
  <c r="K1626" i="48"/>
  <c r="I1626" i="48"/>
  <c r="L1626" i="48"/>
  <c r="M1626" i="48"/>
  <c r="G1626" i="48"/>
  <c r="E1626" i="48"/>
  <c r="J1625" i="48"/>
  <c r="K1625" i="48"/>
  <c r="I1625" i="48"/>
  <c r="L1625" i="48"/>
  <c r="M1625" i="48"/>
  <c r="G1625" i="48"/>
  <c r="F1625" i="48"/>
  <c r="E1625" i="48"/>
  <c r="J1624" i="48"/>
  <c r="K1624" i="48"/>
  <c r="I1624" i="48"/>
  <c r="L1624" i="48"/>
  <c r="M1624" i="48"/>
  <c r="G1624" i="48"/>
  <c r="E1624" i="48"/>
  <c r="J1623" i="48"/>
  <c r="K1623" i="48"/>
  <c r="I1623" i="48"/>
  <c r="L1623" i="48"/>
  <c r="M1623" i="48"/>
  <c r="G1623" i="48"/>
  <c r="K1622" i="48"/>
  <c r="I1622" i="48"/>
  <c r="L1622" i="48"/>
  <c r="M1622" i="48"/>
  <c r="G1622" i="48"/>
  <c r="J1621" i="48"/>
  <c r="K1621" i="48"/>
  <c r="I1621" i="48"/>
  <c r="L1621" i="48"/>
  <c r="M1621" i="48"/>
  <c r="G1621" i="48"/>
  <c r="E1621" i="48"/>
  <c r="J1620" i="48"/>
  <c r="K1620" i="48"/>
  <c r="I1620" i="48"/>
  <c r="L1620" i="48"/>
  <c r="M1620" i="48"/>
  <c r="G1620" i="48"/>
  <c r="E1620" i="48"/>
  <c r="J1619" i="48"/>
  <c r="K1619" i="48"/>
  <c r="I1619" i="48"/>
  <c r="L1619" i="48"/>
  <c r="M1619" i="48"/>
  <c r="G1619" i="48"/>
  <c r="E1619" i="48"/>
  <c r="J1618" i="48"/>
  <c r="K1618" i="48"/>
  <c r="I1618" i="48"/>
  <c r="L1618" i="48"/>
  <c r="M1618" i="48"/>
  <c r="G1618" i="48"/>
  <c r="E1618" i="48"/>
  <c r="J1617" i="48"/>
  <c r="K1617" i="48"/>
  <c r="I1617" i="48"/>
  <c r="L1617" i="48"/>
  <c r="M1617" i="48"/>
  <c r="G1617" i="48"/>
  <c r="E1617" i="48"/>
  <c r="J1616" i="48"/>
  <c r="K1616" i="48"/>
  <c r="I1616" i="48"/>
  <c r="G1616" i="48"/>
  <c r="K1615" i="48"/>
  <c r="K1614" i="48"/>
  <c r="K1613" i="48"/>
  <c r="K1610" i="48"/>
  <c r="G1609" i="48"/>
  <c r="F1609" i="48"/>
  <c r="E1609" i="48"/>
  <c r="D1609" i="48"/>
  <c r="C1609" i="48"/>
  <c r="J1608" i="48"/>
  <c r="K1608" i="48"/>
  <c r="D1608" i="48"/>
  <c r="K1607" i="48"/>
  <c r="K1606" i="48"/>
  <c r="L1605" i="48"/>
  <c r="C1605" i="48"/>
  <c r="C1611" i="48"/>
  <c r="K1604" i="48"/>
  <c r="M1603" i="48"/>
  <c r="L1603" i="48"/>
  <c r="G1603" i="48"/>
  <c r="F1603" i="48"/>
  <c r="E1603" i="48"/>
  <c r="D1603" i="48"/>
  <c r="C1603" i="48"/>
  <c r="C2151" i="48"/>
  <c r="M1602" i="48"/>
  <c r="L1602" i="48"/>
  <c r="J1602" i="48"/>
  <c r="K1602" i="48"/>
  <c r="I1602" i="48"/>
  <c r="I1603" i="48"/>
  <c r="G1602" i="48"/>
  <c r="D1602" i="48"/>
  <c r="K1601" i="48"/>
  <c r="K1600" i="48"/>
  <c r="K1599" i="48"/>
  <c r="K1598" i="48"/>
  <c r="K1597" i="48"/>
  <c r="K1596" i="48"/>
  <c r="K1595" i="48"/>
  <c r="K1594" i="48"/>
  <c r="K1592" i="48"/>
  <c r="K1590" i="48"/>
  <c r="F1587" i="48"/>
  <c r="E1587" i="48"/>
  <c r="D1587" i="48"/>
  <c r="C1587" i="48"/>
  <c r="M1586" i="48"/>
  <c r="L1586" i="48"/>
  <c r="J1586" i="48"/>
  <c r="K1586" i="48"/>
  <c r="I1586" i="48"/>
  <c r="G1586" i="48"/>
  <c r="K1585" i="48"/>
  <c r="I1585" i="48"/>
  <c r="G1585" i="48"/>
  <c r="G1587" i="48"/>
  <c r="M1584" i="48"/>
  <c r="L1584" i="48"/>
  <c r="J1584" i="48"/>
  <c r="I1584" i="48"/>
  <c r="G1584" i="48"/>
  <c r="K1583" i="48"/>
  <c r="K1582" i="48"/>
  <c r="K1580" i="48"/>
  <c r="K1579" i="48"/>
  <c r="G1579" i="48"/>
  <c r="F1579" i="48"/>
  <c r="F1581" i="48"/>
  <c r="F1589" i="48"/>
  <c r="F1591" i="48"/>
  <c r="E1579" i="48"/>
  <c r="D1579" i="48"/>
  <c r="C1579" i="48"/>
  <c r="K1578" i="48"/>
  <c r="I1578" i="48"/>
  <c r="L1578" i="48"/>
  <c r="K1577" i="48"/>
  <c r="K1576" i="48"/>
  <c r="M1575" i="48"/>
  <c r="K1575" i="48"/>
  <c r="I1575" i="48"/>
  <c r="F1575" i="48"/>
  <c r="E1575" i="48"/>
  <c r="D1575" i="48"/>
  <c r="C1575" i="48"/>
  <c r="M1574" i="48"/>
  <c r="M2337" i="48"/>
  <c r="L1574" i="48"/>
  <c r="L2337" i="48"/>
  <c r="K1574" i="48"/>
  <c r="G1574" i="48"/>
  <c r="G2337" i="48"/>
  <c r="M1573" i="48"/>
  <c r="L1573" i="48"/>
  <c r="L1575" i="48"/>
  <c r="K1573" i="48"/>
  <c r="G1573" i="48"/>
  <c r="M1572" i="48"/>
  <c r="L1572" i="48"/>
  <c r="K1572" i="48"/>
  <c r="G1572" i="48"/>
  <c r="K1571" i="48"/>
  <c r="F1569" i="48"/>
  <c r="C1569" i="48"/>
  <c r="C1581" i="48"/>
  <c r="C1589" i="48"/>
  <c r="C1591" i="48"/>
  <c r="J1568" i="48"/>
  <c r="K1568" i="48"/>
  <c r="I1568" i="48"/>
  <c r="L1568" i="48"/>
  <c r="M1568" i="48"/>
  <c r="G1568" i="48"/>
  <c r="E1568" i="48"/>
  <c r="J1567" i="48"/>
  <c r="K1567" i="48"/>
  <c r="I1567" i="48"/>
  <c r="L1567" i="48"/>
  <c r="M1567" i="48"/>
  <c r="G1567" i="48"/>
  <c r="E1567" i="48"/>
  <c r="J1566" i="48"/>
  <c r="K1566" i="48"/>
  <c r="I1566" i="48"/>
  <c r="L1566" i="48"/>
  <c r="M1566" i="48"/>
  <c r="G1566" i="48"/>
  <c r="D1566" i="48"/>
  <c r="E1566" i="48"/>
  <c r="K1565" i="48"/>
  <c r="I1565" i="48"/>
  <c r="L1565" i="48"/>
  <c r="M1565" i="48"/>
  <c r="G1565" i="48"/>
  <c r="J1564" i="48"/>
  <c r="K1564" i="48"/>
  <c r="I1564" i="48"/>
  <c r="L1564" i="48"/>
  <c r="M1564" i="48"/>
  <c r="G1564" i="48"/>
  <c r="J1563" i="48"/>
  <c r="K1563" i="48"/>
  <c r="I1563" i="48"/>
  <c r="L1563" i="48"/>
  <c r="M1563" i="48"/>
  <c r="G1563" i="48"/>
  <c r="J1562" i="48"/>
  <c r="K1562" i="48"/>
  <c r="I1562" i="48"/>
  <c r="L1562" i="48"/>
  <c r="M1562" i="48"/>
  <c r="G1562" i="48"/>
  <c r="J1561" i="48"/>
  <c r="K1561" i="48"/>
  <c r="I1561" i="48"/>
  <c r="L1561" i="48"/>
  <c r="M1561" i="48"/>
  <c r="G1561" i="48"/>
  <c r="E1561" i="48"/>
  <c r="J1560" i="48"/>
  <c r="K1560" i="48"/>
  <c r="I1560" i="48"/>
  <c r="L1560" i="48"/>
  <c r="M1560" i="48"/>
  <c r="G1560" i="48"/>
  <c r="G1569" i="48"/>
  <c r="D1560" i="48"/>
  <c r="E1560" i="48"/>
  <c r="J1559" i="48"/>
  <c r="I1559" i="48"/>
  <c r="L1559" i="48"/>
  <c r="M1559" i="48"/>
  <c r="G1559" i="48"/>
  <c r="E1559" i="48"/>
  <c r="J1558" i="48"/>
  <c r="K1558" i="48"/>
  <c r="I1558" i="48"/>
  <c r="L1558" i="48"/>
  <c r="M1558" i="48"/>
  <c r="G1558" i="48"/>
  <c r="E1558" i="48"/>
  <c r="J1557" i="48"/>
  <c r="K1557" i="48"/>
  <c r="I1557" i="48"/>
  <c r="L1557" i="48"/>
  <c r="M1557" i="48"/>
  <c r="G1557" i="48"/>
  <c r="E1557" i="48"/>
  <c r="J1556" i="48"/>
  <c r="K1556" i="48"/>
  <c r="I1556" i="48"/>
  <c r="L1556" i="48"/>
  <c r="G1556" i="48"/>
  <c r="K1555" i="48"/>
  <c r="K1554" i="48"/>
  <c r="K1553" i="48"/>
  <c r="F1551" i="48"/>
  <c r="D1551" i="48"/>
  <c r="C1551" i="48"/>
  <c r="C1593" i="48"/>
  <c r="K1550" i="48"/>
  <c r="F1549" i="48"/>
  <c r="E1549" i="48"/>
  <c r="E1551" i="48"/>
  <c r="D1549" i="48"/>
  <c r="C1549" i="48"/>
  <c r="J1548" i="48"/>
  <c r="G1548" i="48"/>
  <c r="I1548" i="48"/>
  <c r="L1548" i="48"/>
  <c r="M1548" i="48"/>
  <c r="M1547" i="48"/>
  <c r="K1547" i="48"/>
  <c r="I1547" i="48"/>
  <c r="L1547" i="48"/>
  <c r="G1547" i="48"/>
  <c r="K1546" i="48"/>
  <c r="K1545" i="48"/>
  <c r="K1544" i="48"/>
  <c r="K1543" i="48"/>
  <c r="K1542" i="48"/>
  <c r="K1540" i="48"/>
  <c r="F1537" i="48"/>
  <c r="E1537" i="48"/>
  <c r="D1537" i="48"/>
  <c r="C1537" i="48"/>
  <c r="L1536" i="48"/>
  <c r="M1536" i="48"/>
  <c r="J1536" i="48"/>
  <c r="I1536" i="48"/>
  <c r="G1536" i="48"/>
  <c r="L1535" i="48"/>
  <c r="M1535" i="48"/>
  <c r="K1535" i="48"/>
  <c r="I1535" i="48"/>
  <c r="G1535" i="48"/>
  <c r="L1534" i="48"/>
  <c r="J1534" i="48"/>
  <c r="K1534" i="48"/>
  <c r="I1534" i="48"/>
  <c r="I1537" i="48"/>
  <c r="G1534" i="48"/>
  <c r="K1533" i="48"/>
  <c r="K1532" i="48"/>
  <c r="F1531" i="48"/>
  <c r="F1539" i="48"/>
  <c r="I1529" i="48"/>
  <c r="G1529" i="48"/>
  <c r="F1529" i="48"/>
  <c r="E1529" i="48"/>
  <c r="D1529" i="48"/>
  <c r="C1529" i="48"/>
  <c r="M1528" i="48"/>
  <c r="L1528" i="48"/>
  <c r="J1528" i="48"/>
  <c r="K1528" i="48"/>
  <c r="I1528" i="48"/>
  <c r="G1528" i="48"/>
  <c r="L1527" i="48"/>
  <c r="M1527" i="48"/>
  <c r="K1527" i="48"/>
  <c r="I1527" i="48"/>
  <c r="L1526" i="48"/>
  <c r="M1526" i="48"/>
  <c r="K1526" i="48"/>
  <c r="G1526" i="48"/>
  <c r="L1525" i="48"/>
  <c r="M1525" i="48"/>
  <c r="J1525" i="48"/>
  <c r="K1525" i="48"/>
  <c r="I1525" i="48"/>
  <c r="G1525" i="48"/>
  <c r="K1524" i="48"/>
  <c r="I1524" i="48"/>
  <c r="L1524" i="48"/>
  <c r="M1524" i="48"/>
  <c r="G1524" i="48"/>
  <c r="L1523" i="48"/>
  <c r="M1523" i="48"/>
  <c r="K1523" i="48"/>
  <c r="I1523" i="48"/>
  <c r="G1523" i="48"/>
  <c r="J1522" i="48"/>
  <c r="K1522" i="48"/>
  <c r="I1522" i="48"/>
  <c r="L1522" i="48"/>
  <c r="G1522" i="48"/>
  <c r="M1521" i="48"/>
  <c r="K1521" i="48"/>
  <c r="I1521" i="48"/>
  <c r="L1521" i="48"/>
  <c r="G1521" i="48"/>
  <c r="L1520" i="48"/>
  <c r="M1520" i="48"/>
  <c r="K1520" i="48"/>
  <c r="G1520" i="48"/>
  <c r="L1519" i="48"/>
  <c r="M1519" i="48"/>
  <c r="J1519" i="48"/>
  <c r="I1519" i="48"/>
  <c r="G1519" i="48"/>
  <c r="K1518" i="48"/>
  <c r="K1517" i="48"/>
  <c r="K1516" i="48"/>
  <c r="I1516" i="48"/>
  <c r="F1516" i="48"/>
  <c r="D1516" i="48"/>
  <c r="C1516" i="48"/>
  <c r="L1515" i="48"/>
  <c r="M1515" i="48"/>
  <c r="K1515" i="48"/>
  <c r="G1515" i="48"/>
  <c r="E1515" i="48"/>
  <c r="L1514" i="48"/>
  <c r="K1514" i="48"/>
  <c r="G1514" i="48"/>
  <c r="G2336" i="48"/>
  <c r="L1513" i="48"/>
  <c r="K1513" i="48"/>
  <c r="G1513" i="48"/>
  <c r="E1513" i="48"/>
  <c r="E2305" i="48"/>
  <c r="M1512" i="48"/>
  <c r="L1512" i="48"/>
  <c r="K1512" i="48"/>
  <c r="G1512" i="48"/>
  <c r="G1516" i="48"/>
  <c r="K1511" i="48"/>
  <c r="F1509" i="48"/>
  <c r="C1509" i="48"/>
  <c r="J1508" i="48"/>
  <c r="K1508" i="48"/>
  <c r="I1508" i="48"/>
  <c r="L1508" i="48"/>
  <c r="M1508" i="48"/>
  <c r="G1508" i="48"/>
  <c r="E1508" i="48"/>
  <c r="K1507" i="48"/>
  <c r="I1507" i="48"/>
  <c r="L1507" i="48"/>
  <c r="M1507" i="48"/>
  <c r="G1507" i="48"/>
  <c r="E1507" i="48"/>
  <c r="E2263" i="48"/>
  <c r="K1506" i="48"/>
  <c r="I1506" i="48"/>
  <c r="L1506" i="48"/>
  <c r="M1506" i="48"/>
  <c r="G1506" i="48"/>
  <c r="J1505" i="48"/>
  <c r="K1505" i="48"/>
  <c r="I1505" i="48"/>
  <c r="L1505" i="48"/>
  <c r="M1505" i="48"/>
  <c r="G1505" i="48"/>
  <c r="E1505" i="48"/>
  <c r="J1504" i="48"/>
  <c r="K1504" i="48"/>
  <c r="I1504" i="48"/>
  <c r="L1504" i="48"/>
  <c r="M1504" i="48"/>
  <c r="G1504" i="48"/>
  <c r="F1504" i="48"/>
  <c r="E1504" i="48"/>
  <c r="J1503" i="48"/>
  <c r="K1503" i="48"/>
  <c r="I1503" i="48"/>
  <c r="L1503" i="48"/>
  <c r="M1503" i="48"/>
  <c r="G1503" i="48"/>
  <c r="E1503" i="48"/>
  <c r="J1502" i="48"/>
  <c r="K1502" i="48"/>
  <c r="I1502" i="48"/>
  <c r="L1502" i="48"/>
  <c r="M1502" i="48"/>
  <c r="G1502" i="48"/>
  <c r="D1502" i="48"/>
  <c r="K1501" i="48"/>
  <c r="I1501" i="48"/>
  <c r="L1501" i="48"/>
  <c r="M1501" i="48"/>
  <c r="G1501" i="48"/>
  <c r="E1501" i="48"/>
  <c r="J1500" i="48"/>
  <c r="K1500" i="48"/>
  <c r="I1500" i="48"/>
  <c r="L1500" i="48"/>
  <c r="M1500" i="48"/>
  <c r="G1500" i="48"/>
  <c r="E1500" i="48"/>
  <c r="J1499" i="48"/>
  <c r="K1499" i="48"/>
  <c r="I1499" i="48"/>
  <c r="L1499" i="48"/>
  <c r="M1499" i="48"/>
  <c r="G1499" i="48"/>
  <c r="D1499" i="48"/>
  <c r="E1499" i="48"/>
  <c r="J1498" i="48"/>
  <c r="K1498" i="48"/>
  <c r="I1498" i="48"/>
  <c r="L1498" i="48"/>
  <c r="M1498" i="48"/>
  <c r="G1498" i="48"/>
  <c r="E1498" i="48"/>
  <c r="J1497" i="48"/>
  <c r="K1497" i="48"/>
  <c r="I1497" i="48"/>
  <c r="L1497" i="48"/>
  <c r="M1497" i="48"/>
  <c r="G1497" i="48"/>
  <c r="E1497" i="48"/>
  <c r="J1496" i="48"/>
  <c r="K1496" i="48"/>
  <c r="I1496" i="48"/>
  <c r="L1496" i="48"/>
  <c r="M1496" i="48"/>
  <c r="G1496" i="48"/>
  <c r="E1496" i="48"/>
  <c r="J1495" i="48"/>
  <c r="I1495" i="48"/>
  <c r="G1495" i="48"/>
  <c r="K1494" i="48"/>
  <c r="K1493" i="48"/>
  <c r="K1492" i="48"/>
  <c r="I1490" i="48"/>
  <c r="G1490" i="48"/>
  <c r="F1490" i="48"/>
  <c r="F1541" i="48"/>
  <c r="D1490" i="48"/>
  <c r="C1490" i="48"/>
  <c r="K1489" i="48"/>
  <c r="I1488" i="48"/>
  <c r="G1488" i="48"/>
  <c r="F1488" i="48"/>
  <c r="E1488" i="48"/>
  <c r="E1490" i="48"/>
  <c r="D1488" i="48"/>
  <c r="C1488" i="48"/>
  <c r="L1487" i="48"/>
  <c r="J1487" i="48"/>
  <c r="K1487" i="48"/>
  <c r="G1487" i="48"/>
  <c r="K1486" i="48"/>
  <c r="K1485" i="48"/>
  <c r="K1484" i="48"/>
  <c r="K1483" i="48"/>
  <c r="K1482" i="48"/>
  <c r="K1481" i="48"/>
  <c r="K1480" i="48"/>
  <c r="K1479" i="48"/>
  <c r="K1478" i="48"/>
  <c r="K1476" i="48"/>
  <c r="I1473" i="48"/>
  <c r="G1473" i="48"/>
  <c r="F1473" i="48"/>
  <c r="E1473" i="48"/>
  <c r="D1473" i="48"/>
  <c r="C1473" i="48"/>
  <c r="M1472" i="48"/>
  <c r="L1472" i="48"/>
  <c r="J1472" i="48"/>
  <c r="K1472" i="48"/>
  <c r="I1472" i="48"/>
  <c r="G1472" i="48"/>
  <c r="M1471" i="48"/>
  <c r="L1471" i="48"/>
  <c r="K1471" i="48"/>
  <c r="G1471" i="48"/>
  <c r="L1470" i="48"/>
  <c r="J1470" i="48"/>
  <c r="I1470" i="48"/>
  <c r="G1470" i="48"/>
  <c r="K1469" i="48"/>
  <c r="K1468" i="48"/>
  <c r="C1467" i="48"/>
  <c r="C1475" i="48"/>
  <c r="F1465" i="48"/>
  <c r="E1465" i="48"/>
  <c r="D1465" i="48"/>
  <c r="C1465" i="48"/>
  <c r="M1464" i="48"/>
  <c r="J1464" i="48"/>
  <c r="K1464" i="48"/>
  <c r="I1464" i="48"/>
  <c r="L1464" i="48"/>
  <c r="G1464" i="48"/>
  <c r="J1463" i="48"/>
  <c r="K1463" i="48"/>
  <c r="I1463" i="48"/>
  <c r="L1463" i="48"/>
  <c r="M1463" i="48"/>
  <c r="G1463" i="48"/>
  <c r="L1462" i="48"/>
  <c r="M1462" i="48"/>
  <c r="K1462" i="48"/>
  <c r="I1462" i="48"/>
  <c r="G1462" i="48"/>
  <c r="M1461" i="48"/>
  <c r="L1461" i="48"/>
  <c r="K1461" i="48"/>
  <c r="I1461" i="48"/>
  <c r="G1461" i="48"/>
  <c r="J1460" i="48"/>
  <c r="I1460" i="48"/>
  <c r="G1460" i="48"/>
  <c r="G1465" i="48"/>
  <c r="K1459" i="48"/>
  <c r="K1458" i="48"/>
  <c r="K1457" i="48"/>
  <c r="I1457" i="48"/>
  <c r="G1457" i="48"/>
  <c r="F1457" i="48"/>
  <c r="E1457" i="48"/>
  <c r="D1457" i="48"/>
  <c r="C1457" i="48"/>
  <c r="L1456" i="48"/>
  <c r="K1456" i="48"/>
  <c r="G1456" i="48"/>
  <c r="G2335" i="48"/>
  <c r="K1455" i="48"/>
  <c r="F1453" i="48"/>
  <c r="C1453" i="48"/>
  <c r="J1452" i="48"/>
  <c r="K1452" i="48"/>
  <c r="I1452" i="48"/>
  <c r="L1452" i="48"/>
  <c r="M1452" i="48"/>
  <c r="G1452" i="48"/>
  <c r="E1452" i="48"/>
  <c r="J1451" i="48"/>
  <c r="K1451" i="48"/>
  <c r="I1451" i="48"/>
  <c r="L1451" i="48"/>
  <c r="M1451" i="48"/>
  <c r="G1451" i="48"/>
  <c r="E1451" i="48"/>
  <c r="J1450" i="48"/>
  <c r="K1450" i="48"/>
  <c r="I1450" i="48"/>
  <c r="L1450" i="48"/>
  <c r="M1450" i="48"/>
  <c r="G1450" i="48"/>
  <c r="E1450" i="48"/>
  <c r="J1449" i="48"/>
  <c r="K1449" i="48"/>
  <c r="I1449" i="48"/>
  <c r="L1449" i="48"/>
  <c r="M1449" i="48"/>
  <c r="G1449" i="48"/>
  <c r="E1449" i="48"/>
  <c r="K1448" i="48"/>
  <c r="I1448" i="48"/>
  <c r="L1448" i="48"/>
  <c r="M1448" i="48"/>
  <c r="G1448" i="48"/>
  <c r="K1447" i="48"/>
  <c r="I1447" i="48"/>
  <c r="L1447" i="48"/>
  <c r="M1447" i="48"/>
  <c r="G1447" i="48"/>
  <c r="J1446" i="48"/>
  <c r="K1446" i="48"/>
  <c r="I1446" i="48"/>
  <c r="L1446" i="48"/>
  <c r="M1446" i="48"/>
  <c r="G1446" i="48"/>
  <c r="K1445" i="48"/>
  <c r="I1445" i="48"/>
  <c r="L1445" i="48"/>
  <c r="M1445" i="48"/>
  <c r="G1445" i="48"/>
  <c r="J1444" i="48"/>
  <c r="K1444" i="48"/>
  <c r="I1444" i="48"/>
  <c r="L1444" i="48"/>
  <c r="M1444" i="48"/>
  <c r="G1444" i="48"/>
  <c r="D1444" i="48"/>
  <c r="D1453" i="48"/>
  <c r="D1467" i="48"/>
  <c r="J1443" i="48"/>
  <c r="K1443" i="48"/>
  <c r="I1443" i="48"/>
  <c r="L1443" i="48"/>
  <c r="M1443" i="48"/>
  <c r="G1443" i="48"/>
  <c r="E1443" i="48"/>
  <c r="J1442" i="48"/>
  <c r="K1442" i="48"/>
  <c r="I1442" i="48"/>
  <c r="L1442" i="48"/>
  <c r="M1442" i="48"/>
  <c r="G1442" i="48"/>
  <c r="E1442" i="48"/>
  <c r="J1441" i="48"/>
  <c r="K1441" i="48"/>
  <c r="I1441" i="48"/>
  <c r="L1441" i="48"/>
  <c r="M1441" i="48"/>
  <c r="G1441" i="48"/>
  <c r="J1440" i="48"/>
  <c r="K1440" i="48"/>
  <c r="I1440" i="48"/>
  <c r="L1440" i="48"/>
  <c r="G1440" i="48"/>
  <c r="K1439" i="48"/>
  <c r="K1438" i="48"/>
  <c r="K1437" i="48"/>
  <c r="F1435" i="48"/>
  <c r="E1435" i="48"/>
  <c r="K1434" i="48"/>
  <c r="G1433" i="48"/>
  <c r="G1435" i="48"/>
  <c r="F1433" i="48"/>
  <c r="E1433" i="48"/>
  <c r="D1433" i="48"/>
  <c r="D1435" i="48"/>
  <c r="C1433" i="48"/>
  <c r="C1435" i="48"/>
  <c r="C1477" i="48"/>
  <c r="J1432" i="48"/>
  <c r="K1432" i="48"/>
  <c r="I1432" i="48"/>
  <c r="G1432" i="48"/>
  <c r="M1431" i="48"/>
  <c r="K1431" i="48"/>
  <c r="G1431" i="48"/>
  <c r="K1430" i="48"/>
  <c r="K1429" i="48"/>
  <c r="K1428" i="48"/>
  <c r="K1427" i="48"/>
  <c r="K1426" i="48"/>
  <c r="K1425" i="48"/>
  <c r="K1424" i="48"/>
  <c r="K1422" i="48"/>
  <c r="K1420" i="48"/>
  <c r="C1419" i="48"/>
  <c r="C1421" i="48"/>
  <c r="F1417" i="48"/>
  <c r="E1417" i="48"/>
  <c r="D1417" i="48"/>
  <c r="D1419" i="48"/>
  <c r="D1421" i="48"/>
  <c r="C1417" i="48"/>
  <c r="M1416" i="48"/>
  <c r="L1416" i="48"/>
  <c r="J1416" i="48"/>
  <c r="K1416" i="48"/>
  <c r="I1416" i="48"/>
  <c r="G1416" i="48"/>
  <c r="G1417" i="48"/>
  <c r="M1415" i="48"/>
  <c r="L1415" i="48"/>
  <c r="K1415" i="48"/>
  <c r="I1415" i="48"/>
  <c r="G1415" i="48"/>
  <c r="J1414" i="48"/>
  <c r="I1414" i="48"/>
  <c r="G1414" i="48"/>
  <c r="K1413" i="48"/>
  <c r="K1412" i="48"/>
  <c r="K1411" i="48"/>
  <c r="I1411" i="48"/>
  <c r="G1411" i="48"/>
  <c r="F1411" i="48"/>
  <c r="F1419" i="48"/>
  <c r="F1421" i="48"/>
  <c r="F1402" i="48"/>
  <c r="D1411" i="48"/>
  <c r="C1411" i="48"/>
  <c r="L1410" i="48"/>
  <c r="K1410" i="48"/>
  <c r="G1410" i="48"/>
  <c r="G2334" i="48"/>
  <c r="E1410" i="48"/>
  <c r="K1409" i="48"/>
  <c r="K1408" i="48"/>
  <c r="K1407" i="48"/>
  <c r="C1405" i="48"/>
  <c r="K1404" i="48"/>
  <c r="C1403" i="48"/>
  <c r="J1402" i="48"/>
  <c r="J1403" i="48"/>
  <c r="J1405" i="48"/>
  <c r="K1405" i="48"/>
  <c r="G1402" i="48"/>
  <c r="E1402" i="48"/>
  <c r="D1402" i="48"/>
  <c r="K1401" i="48"/>
  <c r="K1400" i="48"/>
  <c r="K1399" i="48"/>
  <c r="K1398" i="48"/>
  <c r="K1397" i="48"/>
  <c r="K1396" i="48"/>
  <c r="K1395" i="48"/>
  <c r="K1393" i="48"/>
  <c r="C1392" i="48"/>
  <c r="F1390" i="48"/>
  <c r="E1390" i="48"/>
  <c r="D1390" i="48"/>
  <c r="C1390" i="48"/>
  <c r="L1389" i="48"/>
  <c r="M1389" i="48"/>
  <c r="J1389" i="48"/>
  <c r="I1389" i="48"/>
  <c r="G1389" i="48"/>
  <c r="M1388" i="48"/>
  <c r="L1388" i="48"/>
  <c r="K1388" i="48"/>
  <c r="G1388" i="48"/>
  <c r="G1390" i="48"/>
  <c r="J1387" i="48"/>
  <c r="K1387" i="48"/>
  <c r="I1387" i="48"/>
  <c r="G1387" i="48"/>
  <c r="K1386" i="48"/>
  <c r="K1385" i="48"/>
  <c r="C1384" i="48"/>
  <c r="F1382" i="48"/>
  <c r="E1382" i="48"/>
  <c r="D1382" i="48"/>
  <c r="C1382" i="48"/>
  <c r="L1381" i="48"/>
  <c r="M1381" i="48"/>
  <c r="J1381" i="48"/>
  <c r="K1381" i="48"/>
  <c r="I1381" i="48"/>
  <c r="G1381" i="48"/>
  <c r="M1380" i="48"/>
  <c r="L1380" i="48"/>
  <c r="K1380" i="48"/>
  <c r="G1380" i="48"/>
  <c r="J1379" i="48"/>
  <c r="K1379" i="48"/>
  <c r="I1379" i="48"/>
  <c r="L1379" i="48"/>
  <c r="M1379" i="48"/>
  <c r="G1379" i="48"/>
  <c r="J1378" i="48"/>
  <c r="K1378" i="48"/>
  <c r="I1378" i="48"/>
  <c r="L1378" i="48"/>
  <c r="M1378" i="48"/>
  <c r="G1378" i="48"/>
  <c r="L1377" i="48"/>
  <c r="M1377" i="48"/>
  <c r="J1377" i="48"/>
  <c r="K1377" i="48"/>
  <c r="I1377" i="48"/>
  <c r="G1377" i="48"/>
  <c r="M1376" i="48"/>
  <c r="L1376" i="48"/>
  <c r="J1376" i="48"/>
  <c r="K1376" i="48"/>
  <c r="I1376" i="48"/>
  <c r="G1376" i="48"/>
  <c r="M1375" i="48"/>
  <c r="L1375" i="48"/>
  <c r="J1375" i="48"/>
  <c r="K1375" i="48"/>
  <c r="G1375" i="48"/>
  <c r="M1374" i="48"/>
  <c r="J1374" i="48"/>
  <c r="K1374" i="48"/>
  <c r="I1374" i="48"/>
  <c r="L1374" i="48"/>
  <c r="G1374" i="48"/>
  <c r="J1373" i="48"/>
  <c r="K1373" i="48"/>
  <c r="I1373" i="48"/>
  <c r="G1373" i="48"/>
  <c r="J1372" i="48"/>
  <c r="K1372" i="48"/>
  <c r="I1372" i="48"/>
  <c r="L1372" i="48"/>
  <c r="M1372" i="48"/>
  <c r="G1372" i="48"/>
  <c r="L1371" i="48"/>
  <c r="M1371" i="48"/>
  <c r="J1371" i="48"/>
  <c r="K1371" i="48"/>
  <c r="I1371" i="48"/>
  <c r="G1371" i="48"/>
  <c r="M1370" i="48"/>
  <c r="J1370" i="48"/>
  <c r="K1370" i="48"/>
  <c r="I1370" i="48"/>
  <c r="L1370" i="48"/>
  <c r="G1370" i="48"/>
  <c r="J1369" i="48"/>
  <c r="K1369" i="48"/>
  <c r="I1369" i="48"/>
  <c r="L1369" i="48"/>
  <c r="M1369" i="48"/>
  <c r="G1369" i="48"/>
  <c r="G1382" i="48"/>
  <c r="L1368" i="48"/>
  <c r="J1368" i="48"/>
  <c r="K1368" i="48"/>
  <c r="I1368" i="48"/>
  <c r="G1368" i="48"/>
  <c r="K1367" i="48"/>
  <c r="K1366" i="48"/>
  <c r="K1365" i="48"/>
  <c r="I1365" i="48"/>
  <c r="F1365" i="48"/>
  <c r="E1365" i="48"/>
  <c r="D1365" i="48"/>
  <c r="C1365" i="48"/>
  <c r="M1364" i="48"/>
  <c r="L1364" i="48"/>
  <c r="K1364" i="48"/>
  <c r="G1364" i="48"/>
  <c r="G1365" i="48"/>
  <c r="E1364" i="48"/>
  <c r="E2333" i="48"/>
  <c r="L1363" i="48"/>
  <c r="K1363" i="48"/>
  <c r="G1363" i="48"/>
  <c r="K1362" i="48"/>
  <c r="F1360" i="48"/>
  <c r="C1360" i="48"/>
  <c r="J1359" i="48"/>
  <c r="K1359" i="48"/>
  <c r="I1359" i="48"/>
  <c r="L1359" i="48"/>
  <c r="M1359" i="48"/>
  <c r="G1359" i="48"/>
  <c r="E1359" i="48"/>
  <c r="J1358" i="48"/>
  <c r="K1358" i="48"/>
  <c r="I1358" i="48"/>
  <c r="L1358" i="48"/>
  <c r="M1358" i="48"/>
  <c r="G1358" i="48"/>
  <c r="E1358" i="48"/>
  <c r="J1357" i="48"/>
  <c r="K1357" i="48"/>
  <c r="I1357" i="48"/>
  <c r="L1357" i="48"/>
  <c r="M1357" i="48"/>
  <c r="G1357" i="48"/>
  <c r="E1357" i="48"/>
  <c r="J1356" i="48"/>
  <c r="K1356" i="48"/>
  <c r="I1356" i="48"/>
  <c r="L1356" i="48"/>
  <c r="M1356" i="48"/>
  <c r="G1356" i="48"/>
  <c r="F1356" i="48"/>
  <c r="E1356" i="48"/>
  <c r="J1355" i="48"/>
  <c r="K1355" i="48"/>
  <c r="I1355" i="48"/>
  <c r="L1355" i="48"/>
  <c r="M1355" i="48"/>
  <c r="G1355" i="48"/>
  <c r="E1355" i="48"/>
  <c r="J1354" i="48"/>
  <c r="K1354" i="48"/>
  <c r="I1354" i="48"/>
  <c r="L1354" i="48"/>
  <c r="M1354" i="48"/>
  <c r="G1354" i="48"/>
  <c r="K1353" i="48"/>
  <c r="I1353" i="48"/>
  <c r="L1353" i="48"/>
  <c r="M1353" i="48"/>
  <c r="G1353" i="48"/>
  <c r="J1352" i="48"/>
  <c r="K1352" i="48"/>
  <c r="I1352" i="48"/>
  <c r="L1352" i="48"/>
  <c r="M1352" i="48"/>
  <c r="G1352" i="48"/>
  <c r="E1352" i="48"/>
  <c r="J1351" i="48"/>
  <c r="K1351" i="48"/>
  <c r="I1351" i="48"/>
  <c r="L1351" i="48"/>
  <c r="M1351" i="48"/>
  <c r="G1351" i="48"/>
  <c r="D1351" i="48"/>
  <c r="D1360" i="48"/>
  <c r="D1384" i="48"/>
  <c r="D1392" i="48"/>
  <c r="D1394" i="48"/>
  <c r="J1350" i="48"/>
  <c r="K1350" i="48"/>
  <c r="I1350" i="48"/>
  <c r="L1350" i="48"/>
  <c r="M1350" i="48"/>
  <c r="G1350" i="48"/>
  <c r="E1350" i="48"/>
  <c r="J1349" i="48"/>
  <c r="K1349" i="48"/>
  <c r="I1349" i="48"/>
  <c r="L1349" i="48"/>
  <c r="M1349" i="48"/>
  <c r="G1349" i="48"/>
  <c r="E1349" i="48"/>
  <c r="J1348" i="48"/>
  <c r="K1348" i="48"/>
  <c r="I1348" i="48"/>
  <c r="L1348" i="48"/>
  <c r="M1348" i="48"/>
  <c r="G1348" i="48"/>
  <c r="E1348" i="48"/>
  <c r="J1347" i="48"/>
  <c r="K1347" i="48"/>
  <c r="I1347" i="48"/>
  <c r="L1347" i="48"/>
  <c r="M1347" i="48"/>
  <c r="G1347" i="48"/>
  <c r="K1346" i="48"/>
  <c r="K1345" i="48"/>
  <c r="K1344" i="48"/>
  <c r="I1342" i="48"/>
  <c r="K1341" i="48"/>
  <c r="I1340" i="48"/>
  <c r="F1340" i="48"/>
  <c r="F1342" i="48"/>
  <c r="E1340" i="48"/>
  <c r="E1342" i="48"/>
  <c r="D1340" i="48"/>
  <c r="D1342" i="48"/>
  <c r="C1340" i="48"/>
  <c r="C1342" i="48"/>
  <c r="L1339" i="48"/>
  <c r="J1339" i="48"/>
  <c r="J1340" i="48"/>
  <c r="J1342" i="48"/>
  <c r="K1342" i="48"/>
  <c r="G1339" i="48"/>
  <c r="G1340" i="48"/>
  <c r="G1342" i="48"/>
  <c r="K1338" i="48"/>
  <c r="K1337" i="48"/>
  <c r="K1336" i="48"/>
  <c r="K1335" i="48"/>
  <c r="K1334" i="48"/>
  <c r="K1333" i="48"/>
  <c r="K1332" i="48"/>
  <c r="K1331" i="48"/>
  <c r="K1329" i="48"/>
  <c r="I1326" i="48"/>
  <c r="F1326" i="48"/>
  <c r="E1326" i="48"/>
  <c r="D1326" i="48"/>
  <c r="C1326" i="48"/>
  <c r="L1325" i="48"/>
  <c r="M1325" i="48"/>
  <c r="J1325" i="48"/>
  <c r="K1325" i="48"/>
  <c r="I1325" i="48"/>
  <c r="G1325" i="48"/>
  <c r="K1324" i="48"/>
  <c r="I1324" i="48"/>
  <c r="L1324" i="48"/>
  <c r="M1324" i="48"/>
  <c r="G1324" i="48"/>
  <c r="K1323" i="48"/>
  <c r="I1323" i="48"/>
  <c r="L1323" i="48"/>
  <c r="M1323" i="48"/>
  <c r="M1326" i="48"/>
  <c r="G1323" i="48"/>
  <c r="L1322" i="48"/>
  <c r="M1322" i="48"/>
  <c r="J1322" i="48"/>
  <c r="I1322" i="48"/>
  <c r="F1322" i="48"/>
  <c r="G1322" i="48"/>
  <c r="K1321" i="48"/>
  <c r="K1320" i="48"/>
  <c r="I1317" i="48"/>
  <c r="G1317" i="48"/>
  <c r="F1317" i="48"/>
  <c r="E1317" i="48"/>
  <c r="D1317" i="48"/>
  <c r="C1317" i="48"/>
  <c r="M1316" i="48"/>
  <c r="L1316" i="48"/>
  <c r="J1316" i="48"/>
  <c r="K1316" i="48"/>
  <c r="I1316" i="48"/>
  <c r="G1316" i="48"/>
  <c r="L1315" i="48"/>
  <c r="M1315" i="48"/>
  <c r="J1315" i="48"/>
  <c r="K1315" i="48"/>
  <c r="G1315" i="48"/>
  <c r="E1315" i="48"/>
  <c r="I1315" i="48"/>
  <c r="J1314" i="48"/>
  <c r="K1314" i="48"/>
  <c r="I1314" i="48"/>
  <c r="L1314" i="48"/>
  <c r="M1314" i="48"/>
  <c r="G1314" i="48"/>
  <c r="L1313" i="48"/>
  <c r="M1313" i="48"/>
  <c r="K1313" i="48"/>
  <c r="G1313" i="48"/>
  <c r="L1312" i="48"/>
  <c r="M1312" i="48"/>
  <c r="J1312" i="48"/>
  <c r="K1312" i="48"/>
  <c r="I1312" i="48"/>
  <c r="G1312" i="48"/>
  <c r="K1311" i="48"/>
  <c r="I1311" i="48"/>
  <c r="L1311" i="48"/>
  <c r="M1311" i="48"/>
  <c r="G1311" i="48"/>
  <c r="E1311" i="48"/>
  <c r="M1310" i="48"/>
  <c r="L1310" i="48"/>
  <c r="K1310" i="48"/>
  <c r="I1310" i="48"/>
  <c r="G1310" i="48"/>
  <c r="M1309" i="48"/>
  <c r="L1309" i="48"/>
  <c r="J1309" i="48"/>
  <c r="K1309" i="48"/>
  <c r="I1309" i="48"/>
  <c r="G1309" i="48"/>
  <c r="E1309" i="48"/>
  <c r="K1308" i="48"/>
  <c r="K1307" i="48"/>
  <c r="K1306" i="48"/>
  <c r="I1306" i="48"/>
  <c r="G1306" i="48"/>
  <c r="F1306" i="48"/>
  <c r="E1306" i="48"/>
  <c r="D1306" i="48"/>
  <c r="C1306" i="48"/>
  <c r="L1305" i="48"/>
  <c r="L1306" i="48"/>
  <c r="K1305" i="48"/>
  <c r="G1305" i="48"/>
  <c r="K1304" i="48"/>
  <c r="F1302" i="48"/>
  <c r="F1319" i="48"/>
  <c r="F1328" i="48"/>
  <c r="C1302" i="48"/>
  <c r="J1301" i="48"/>
  <c r="K1301" i="48"/>
  <c r="I1301" i="48"/>
  <c r="L1301" i="48"/>
  <c r="M1301" i="48"/>
  <c r="G1301" i="48"/>
  <c r="E1301" i="48"/>
  <c r="J1300" i="48"/>
  <c r="K1300" i="48"/>
  <c r="I1300" i="48"/>
  <c r="L1300" i="48"/>
  <c r="M1300" i="48"/>
  <c r="G1300" i="48"/>
  <c r="E1300" i="48"/>
  <c r="J1299" i="48"/>
  <c r="K1299" i="48"/>
  <c r="I1299" i="48"/>
  <c r="L1299" i="48"/>
  <c r="M1299" i="48"/>
  <c r="G1299" i="48"/>
  <c r="E1299" i="48"/>
  <c r="J1298" i="48"/>
  <c r="K1298" i="48"/>
  <c r="I1298" i="48"/>
  <c r="L1298" i="48"/>
  <c r="M1298" i="48"/>
  <c r="G1298" i="48"/>
  <c r="K1297" i="48"/>
  <c r="I1297" i="48"/>
  <c r="L1297" i="48"/>
  <c r="M1297" i="48"/>
  <c r="G1297" i="48"/>
  <c r="K1296" i="48"/>
  <c r="I1296" i="48"/>
  <c r="L1296" i="48"/>
  <c r="M1296" i="48"/>
  <c r="G1296" i="48"/>
  <c r="K1295" i="48"/>
  <c r="I1295" i="48"/>
  <c r="L1295" i="48"/>
  <c r="M1295" i="48"/>
  <c r="G1295" i="48"/>
  <c r="J1294" i="48"/>
  <c r="K1294" i="48"/>
  <c r="I1294" i="48"/>
  <c r="G1294" i="48"/>
  <c r="E1294" i="48"/>
  <c r="J1293" i="48"/>
  <c r="K1293" i="48"/>
  <c r="I1293" i="48"/>
  <c r="L1293" i="48"/>
  <c r="M1293" i="48"/>
  <c r="G1293" i="48"/>
  <c r="D1293" i="48"/>
  <c r="J1292" i="48"/>
  <c r="K1292" i="48"/>
  <c r="I1292" i="48"/>
  <c r="L1292" i="48"/>
  <c r="M1292" i="48"/>
  <c r="G1292" i="48"/>
  <c r="E1292" i="48"/>
  <c r="J1291" i="48"/>
  <c r="K1291" i="48"/>
  <c r="I1291" i="48"/>
  <c r="L1291" i="48"/>
  <c r="M1291" i="48"/>
  <c r="G1291" i="48"/>
  <c r="E1291" i="48"/>
  <c r="J1290" i="48"/>
  <c r="I1290" i="48"/>
  <c r="L1290" i="48"/>
  <c r="M1290" i="48"/>
  <c r="G1290" i="48"/>
  <c r="E1290" i="48"/>
  <c r="J1289" i="48"/>
  <c r="K1289" i="48"/>
  <c r="I1289" i="48"/>
  <c r="L1289" i="48"/>
  <c r="G1289" i="48"/>
  <c r="G1302" i="48"/>
  <c r="K1288" i="48"/>
  <c r="K1287" i="48"/>
  <c r="K1286" i="48"/>
  <c r="F1284" i="48"/>
  <c r="E1284" i="48"/>
  <c r="K1283" i="48"/>
  <c r="F1282" i="48"/>
  <c r="E1282" i="48"/>
  <c r="D1282" i="48"/>
  <c r="C1282" i="48"/>
  <c r="M1281" i="48"/>
  <c r="L1281" i="48"/>
  <c r="J1281" i="48"/>
  <c r="K1281" i="48"/>
  <c r="I1281" i="48"/>
  <c r="G1281" i="48"/>
  <c r="J1280" i="48"/>
  <c r="K1280" i="48"/>
  <c r="G1280" i="48"/>
  <c r="G1282" i="48"/>
  <c r="K1279" i="48"/>
  <c r="K1278" i="48"/>
  <c r="M1277" i="48"/>
  <c r="I1277" i="48"/>
  <c r="G1277" i="48"/>
  <c r="F1277" i="48"/>
  <c r="E1277" i="48"/>
  <c r="C1277" i="48"/>
  <c r="C1284" i="48"/>
  <c r="M1276" i="48"/>
  <c r="L1276" i="48"/>
  <c r="L1277" i="48"/>
  <c r="J1276" i="48"/>
  <c r="J1277" i="48"/>
  <c r="K1277" i="48"/>
  <c r="I1276" i="48"/>
  <c r="G1276" i="48"/>
  <c r="D1276" i="48"/>
  <c r="D1277" i="48"/>
  <c r="D1284" i="48"/>
  <c r="K1275" i="48"/>
  <c r="K1274" i="48"/>
  <c r="K1273" i="48"/>
  <c r="K1272" i="48"/>
  <c r="K1271" i="48"/>
  <c r="K1270" i="48"/>
  <c r="K1269" i="48"/>
  <c r="K1268" i="48"/>
  <c r="K1266" i="48"/>
  <c r="K1264" i="48"/>
  <c r="M1263" i="48"/>
  <c r="L1263" i="48"/>
  <c r="K1263" i="48"/>
  <c r="I1263" i="48"/>
  <c r="G1263" i="48"/>
  <c r="F1263" i="48"/>
  <c r="E1263" i="48"/>
  <c r="D1263" i="48"/>
  <c r="C1263" i="48"/>
  <c r="K1262" i="48"/>
  <c r="K1261" i="48"/>
  <c r="K1258" i="48"/>
  <c r="G1257" i="48"/>
  <c r="F1257" i="48"/>
  <c r="E1257" i="48"/>
  <c r="D1257" i="48"/>
  <c r="C1257" i="48"/>
  <c r="C1259" i="48"/>
  <c r="C1265" i="48"/>
  <c r="J1256" i="48"/>
  <c r="G1256" i="48"/>
  <c r="I1256" i="48"/>
  <c r="F1256" i="48"/>
  <c r="K1255" i="48"/>
  <c r="K1254" i="48"/>
  <c r="K1253" i="48"/>
  <c r="I1253" i="48"/>
  <c r="F1253" i="48"/>
  <c r="E1253" i="48"/>
  <c r="D1253" i="48"/>
  <c r="C1253" i="48"/>
  <c r="L1252" i="48"/>
  <c r="M1252" i="48"/>
  <c r="K1252" i="48"/>
  <c r="G1252" i="48"/>
  <c r="E1252" i="48"/>
  <c r="M1251" i="48"/>
  <c r="L1251" i="48"/>
  <c r="K1251" i="48"/>
  <c r="G1251" i="48"/>
  <c r="E1251" i="48"/>
  <c r="E2332" i="48"/>
  <c r="K1250" i="48"/>
  <c r="K1249" i="48"/>
  <c r="K1248" i="48"/>
  <c r="F1248" i="48"/>
  <c r="F1259" i="48"/>
  <c r="F1265" i="48"/>
  <c r="E1248" i="48"/>
  <c r="D1248" i="48"/>
  <c r="C1248" i="48"/>
  <c r="K1247" i="48"/>
  <c r="G1247" i="48"/>
  <c r="M1246" i="48"/>
  <c r="L1246" i="48"/>
  <c r="K1246" i="48"/>
  <c r="G1246" i="48"/>
  <c r="G1248" i="48"/>
  <c r="K1245" i="48"/>
  <c r="K1244" i="48"/>
  <c r="K1243" i="48"/>
  <c r="F1241" i="48"/>
  <c r="E1241" i="48"/>
  <c r="D1241" i="48"/>
  <c r="K1240" i="48"/>
  <c r="G1239" i="48"/>
  <c r="G1241" i="48"/>
  <c r="F1239" i="48"/>
  <c r="E1239" i="48"/>
  <c r="D1239" i="48"/>
  <c r="C1239" i="48"/>
  <c r="C1241" i="48"/>
  <c r="C1267" i="48"/>
  <c r="J1238" i="48"/>
  <c r="K1238" i="48"/>
  <c r="G1238" i="48"/>
  <c r="I1238" i="48"/>
  <c r="K1237" i="48"/>
  <c r="K1236" i="48"/>
  <c r="K1235" i="48"/>
  <c r="K1234" i="48"/>
  <c r="K1233" i="48"/>
  <c r="K1232" i="48"/>
  <c r="K1231" i="48"/>
  <c r="C1230" i="48"/>
  <c r="K1229" i="48"/>
  <c r="K1227" i="48"/>
  <c r="F1224" i="48"/>
  <c r="E1224" i="48"/>
  <c r="D1224" i="48"/>
  <c r="C1224" i="48"/>
  <c r="L1223" i="48"/>
  <c r="M1223" i="48"/>
  <c r="J1223" i="48"/>
  <c r="K1223" i="48"/>
  <c r="I1223" i="48"/>
  <c r="G1223" i="48"/>
  <c r="K1222" i="48"/>
  <c r="I1222" i="48"/>
  <c r="L1222" i="48"/>
  <c r="M1222" i="48"/>
  <c r="G1222" i="48"/>
  <c r="J1221" i="48"/>
  <c r="I1221" i="48"/>
  <c r="G1221" i="48"/>
  <c r="K1220" i="48"/>
  <c r="K1219" i="48"/>
  <c r="C1218" i="48"/>
  <c r="C1226" i="48"/>
  <c r="C1228" i="48"/>
  <c r="F1216" i="48"/>
  <c r="D1216" i="48"/>
  <c r="C1216" i="48"/>
  <c r="J1215" i="48"/>
  <c r="K1215" i="48"/>
  <c r="I1215" i="48"/>
  <c r="L1215" i="48"/>
  <c r="M1215" i="48"/>
  <c r="G1215" i="48"/>
  <c r="G1216" i="48"/>
  <c r="E1215" i="48"/>
  <c r="M1214" i="48"/>
  <c r="L1214" i="48"/>
  <c r="J1214" i="48"/>
  <c r="K1214" i="48"/>
  <c r="I1214" i="48"/>
  <c r="G1214" i="48"/>
  <c r="M1213" i="48"/>
  <c r="J1213" i="48"/>
  <c r="K1213" i="48"/>
  <c r="I1213" i="48"/>
  <c r="L1213" i="48"/>
  <c r="G1213" i="48"/>
  <c r="L1212" i="48"/>
  <c r="M1212" i="48"/>
  <c r="J1212" i="48"/>
  <c r="K1212" i="48"/>
  <c r="I1212" i="48"/>
  <c r="G1212" i="48"/>
  <c r="J1211" i="48"/>
  <c r="I1211" i="48"/>
  <c r="L1211" i="48"/>
  <c r="M1211" i="48"/>
  <c r="G1211" i="48"/>
  <c r="J1210" i="48"/>
  <c r="K1210" i="48"/>
  <c r="I1210" i="48"/>
  <c r="G1210" i="48"/>
  <c r="E1210" i="48"/>
  <c r="E1216" i="48"/>
  <c r="K1209" i="48"/>
  <c r="K1208" i="48"/>
  <c r="K1207" i="48"/>
  <c r="I1207" i="48"/>
  <c r="F1207" i="48"/>
  <c r="E1207" i="48"/>
  <c r="D1207" i="48"/>
  <c r="C1207" i="48"/>
  <c r="M1206" i="48"/>
  <c r="L1206" i="48"/>
  <c r="K1206" i="48"/>
  <c r="G1206" i="48"/>
  <c r="L1205" i="48"/>
  <c r="K1205" i="48"/>
  <c r="G1205" i="48"/>
  <c r="M1204" i="48"/>
  <c r="L1204" i="48"/>
  <c r="K1204" i="48"/>
  <c r="J1204" i="48"/>
  <c r="J2331" i="48"/>
  <c r="K2331" i="48"/>
  <c r="G1204" i="48"/>
  <c r="K1203" i="48"/>
  <c r="F1201" i="48"/>
  <c r="D1201" i="48"/>
  <c r="D1218" i="48"/>
  <c r="C1201" i="48"/>
  <c r="J1200" i="48"/>
  <c r="K1200" i="48"/>
  <c r="I1200" i="48"/>
  <c r="L1200" i="48"/>
  <c r="M1200" i="48"/>
  <c r="G1200" i="48"/>
  <c r="E1200" i="48"/>
  <c r="J1199" i="48"/>
  <c r="K1199" i="48"/>
  <c r="I1199" i="48"/>
  <c r="L1199" i="48"/>
  <c r="M1199" i="48"/>
  <c r="G1199" i="48"/>
  <c r="E1199" i="48"/>
  <c r="K1198" i="48"/>
  <c r="I1198" i="48"/>
  <c r="L1198" i="48"/>
  <c r="M1198" i="48"/>
  <c r="G1198" i="48"/>
  <c r="J1197" i="48"/>
  <c r="K1197" i="48"/>
  <c r="I1197" i="48"/>
  <c r="L1197" i="48"/>
  <c r="M1197" i="48"/>
  <c r="G1197" i="48"/>
  <c r="K1196" i="48"/>
  <c r="I1196" i="48"/>
  <c r="L1196" i="48"/>
  <c r="M1196" i="48"/>
  <c r="G1196" i="48"/>
  <c r="E1196" i="48"/>
  <c r="K1195" i="48"/>
  <c r="I1195" i="48"/>
  <c r="L1195" i="48"/>
  <c r="M1195" i="48"/>
  <c r="G1195" i="48"/>
  <c r="J1194" i="48"/>
  <c r="K1194" i="48"/>
  <c r="I1194" i="48"/>
  <c r="L1194" i="48"/>
  <c r="M1194" i="48"/>
  <c r="G1194" i="48"/>
  <c r="E1194" i="48"/>
  <c r="J1193" i="48"/>
  <c r="K1193" i="48"/>
  <c r="I1193" i="48"/>
  <c r="L1193" i="48"/>
  <c r="M1193" i="48"/>
  <c r="G1193" i="48"/>
  <c r="E1193" i="48"/>
  <c r="J1192" i="48"/>
  <c r="K1192" i="48"/>
  <c r="I1192" i="48"/>
  <c r="L1192" i="48"/>
  <c r="M1192" i="48"/>
  <c r="G1192" i="48"/>
  <c r="E1192" i="48"/>
  <c r="J1191" i="48"/>
  <c r="K1191" i="48"/>
  <c r="I1191" i="48"/>
  <c r="L1191" i="48"/>
  <c r="M1191" i="48"/>
  <c r="G1191" i="48"/>
  <c r="E1191" i="48"/>
  <c r="J1190" i="48"/>
  <c r="I1190" i="48"/>
  <c r="L1190" i="48"/>
  <c r="M1190" i="48"/>
  <c r="G1190" i="48"/>
  <c r="E1190" i="48"/>
  <c r="J1189" i="48"/>
  <c r="K1189" i="48"/>
  <c r="I1189" i="48"/>
  <c r="L1189" i="48"/>
  <c r="G1189" i="48"/>
  <c r="K1188" i="48"/>
  <c r="K1187" i="48"/>
  <c r="K1186" i="48"/>
  <c r="F1184" i="48"/>
  <c r="K1183" i="48"/>
  <c r="L1182" i="48"/>
  <c r="L1184" i="48"/>
  <c r="G1182" i="48"/>
  <c r="G1184" i="48"/>
  <c r="F1182" i="48"/>
  <c r="E1182" i="48"/>
  <c r="E1184" i="48"/>
  <c r="D1182" i="48"/>
  <c r="D1184" i="48"/>
  <c r="C1182" i="48"/>
  <c r="C1184" i="48"/>
  <c r="L1181" i="48"/>
  <c r="M1181" i="48"/>
  <c r="J1181" i="48"/>
  <c r="K1181" i="48"/>
  <c r="I1181" i="48"/>
  <c r="G1181" i="48"/>
  <c r="M1180" i="48"/>
  <c r="M1182" i="48"/>
  <c r="M1184" i="48"/>
  <c r="J1180" i="48"/>
  <c r="I1180" i="48"/>
  <c r="L1180" i="48"/>
  <c r="G1180" i="48"/>
  <c r="K1179" i="48"/>
  <c r="K1178" i="48"/>
  <c r="K1177" i="48"/>
  <c r="K1176" i="48"/>
  <c r="K1175" i="48"/>
  <c r="K1174" i="48"/>
  <c r="K1173" i="48"/>
  <c r="K1171" i="48"/>
  <c r="F1170" i="48"/>
  <c r="F1168" i="48"/>
  <c r="E1168" i="48"/>
  <c r="D1168" i="48"/>
  <c r="C1168" i="48"/>
  <c r="L1167" i="48"/>
  <c r="M1167" i="48"/>
  <c r="J1167" i="48"/>
  <c r="K1167" i="48"/>
  <c r="I1167" i="48"/>
  <c r="G1167" i="48"/>
  <c r="M1166" i="48"/>
  <c r="L1166" i="48"/>
  <c r="J1166" i="48"/>
  <c r="K1166" i="48"/>
  <c r="I1166" i="48"/>
  <c r="G1166" i="48"/>
  <c r="L1165" i="48"/>
  <c r="J1165" i="48"/>
  <c r="K1165" i="48"/>
  <c r="I1165" i="48"/>
  <c r="I1168" i="48"/>
  <c r="G1165" i="48"/>
  <c r="G1168" i="48"/>
  <c r="K1164" i="48"/>
  <c r="K1163" i="48"/>
  <c r="F1162" i="48"/>
  <c r="F1160" i="48"/>
  <c r="E1160" i="48"/>
  <c r="D1160" i="48"/>
  <c r="C1160" i="48"/>
  <c r="J1159" i="48"/>
  <c r="K1159" i="48"/>
  <c r="I1159" i="48"/>
  <c r="L1159" i="48"/>
  <c r="M1159" i="48"/>
  <c r="G1159" i="48"/>
  <c r="K1158" i="48"/>
  <c r="I1158" i="48"/>
  <c r="L1158" i="48"/>
  <c r="M1158" i="48"/>
  <c r="G1158" i="48"/>
  <c r="L1157" i="48"/>
  <c r="M1157" i="48"/>
  <c r="J1157" i="48"/>
  <c r="K1157" i="48"/>
  <c r="I1157" i="48"/>
  <c r="G1157" i="48"/>
  <c r="M1156" i="48"/>
  <c r="J1156" i="48"/>
  <c r="K1156" i="48"/>
  <c r="I1156" i="48"/>
  <c r="L1156" i="48"/>
  <c r="G1156" i="48"/>
  <c r="M1155" i="48"/>
  <c r="L1155" i="48"/>
  <c r="J1155" i="48"/>
  <c r="K1155" i="48"/>
  <c r="I1155" i="48"/>
  <c r="G1155" i="48"/>
  <c r="M1154" i="48"/>
  <c r="L1154" i="48"/>
  <c r="K1154" i="48"/>
  <c r="G1154" i="48"/>
  <c r="J1153" i="48"/>
  <c r="K1153" i="48"/>
  <c r="I1153" i="48"/>
  <c r="L1153" i="48"/>
  <c r="M1153" i="48"/>
  <c r="G1153" i="48"/>
  <c r="G1160" i="48"/>
  <c r="J1152" i="48"/>
  <c r="K1152" i="48"/>
  <c r="I1152" i="48"/>
  <c r="L1152" i="48"/>
  <c r="G1152" i="48"/>
  <c r="K1151" i="48"/>
  <c r="K1150" i="48"/>
  <c r="L1149" i="48"/>
  <c r="K1149" i="48"/>
  <c r="I1149" i="48"/>
  <c r="F1149" i="48"/>
  <c r="E1149" i="48"/>
  <c r="D1149" i="48"/>
  <c r="C1149" i="48"/>
  <c r="M1148" i="48"/>
  <c r="L1148" i="48"/>
  <c r="L2330" i="48"/>
  <c r="K1148" i="48"/>
  <c r="G1148" i="48"/>
  <c r="G2330" i="48"/>
  <c r="K1147" i="48"/>
  <c r="F1145" i="48"/>
  <c r="D1145" i="48"/>
  <c r="C1145" i="48"/>
  <c r="C1162" i="48"/>
  <c r="C1170" i="48"/>
  <c r="J1144" i="48"/>
  <c r="K1144" i="48"/>
  <c r="I1144" i="48"/>
  <c r="L1144" i="48"/>
  <c r="M1144" i="48"/>
  <c r="G1144" i="48"/>
  <c r="E1144" i="48"/>
  <c r="K1143" i="48"/>
  <c r="I1143" i="48"/>
  <c r="L1143" i="48"/>
  <c r="M1143" i="48"/>
  <c r="G1143" i="48"/>
  <c r="J1142" i="48"/>
  <c r="K1142" i="48"/>
  <c r="I1142" i="48"/>
  <c r="L1142" i="48"/>
  <c r="M1142" i="48"/>
  <c r="G1142" i="48"/>
  <c r="E1142" i="48"/>
  <c r="J1141" i="48"/>
  <c r="K1141" i="48"/>
  <c r="I1141" i="48"/>
  <c r="L1141" i="48"/>
  <c r="M1141" i="48"/>
  <c r="G1141" i="48"/>
  <c r="K1140" i="48"/>
  <c r="I1140" i="48"/>
  <c r="L1140" i="48"/>
  <c r="M1140" i="48"/>
  <c r="G1140" i="48"/>
  <c r="K1139" i="48"/>
  <c r="I1139" i="48"/>
  <c r="L1139" i="48"/>
  <c r="M1139" i="48"/>
  <c r="G1139" i="48"/>
  <c r="J1138" i="48"/>
  <c r="K1138" i="48"/>
  <c r="I1138" i="48"/>
  <c r="L1138" i="48"/>
  <c r="M1138" i="48"/>
  <c r="G1138" i="48"/>
  <c r="E1138" i="48"/>
  <c r="J1137" i="48"/>
  <c r="K1137" i="48"/>
  <c r="I1137" i="48"/>
  <c r="L1137" i="48"/>
  <c r="M1137" i="48"/>
  <c r="G1137" i="48"/>
  <c r="E1137" i="48"/>
  <c r="J1136" i="48"/>
  <c r="K1136" i="48"/>
  <c r="I1136" i="48"/>
  <c r="L1136" i="48"/>
  <c r="M1136" i="48"/>
  <c r="G1136" i="48"/>
  <c r="E1136" i="48"/>
  <c r="J1135" i="48"/>
  <c r="K1135" i="48"/>
  <c r="I1135" i="48"/>
  <c r="L1135" i="48"/>
  <c r="M1135" i="48"/>
  <c r="G1135" i="48"/>
  <c r="E1135" i="48"/>
  <c r="J1134" i="48"/>
  <c r="K1134" i="48"/>
  <c r="I1134" i="48"/>
  <c r="L1134" i="48"/>
  <c r="M1134" i="48"/>
  <c r="G1134" i="48"/>
  <c r="E1134" i="48"/>
  <c r="E1145" i="48"/>
  <c r="E1162" i="48"/>
  <c r="E1170" i="48"/>
  <c r="J1133" i="48"/>
  <c r="K1133" i="48"/>
  <c r="I1133" i="48"/>
  <c r="G1133" i="48"/>
  <c r="K1132" i="48"/>
  <c r="K1131" i="48"/>
  <c r="K1130" i="48"/>
  <c r="K1129" i="48"/>
  <c r="E1126" i="48"/>
  <c r="D1126" i="48"/>
  <c r="C1126" i="48"/>
  <c r="J1125" i="48"/>
  <c r="K1124" i="48"/>
  <c r="C1122" i="48"/>
  <c r="C1128" i="48"/>
  <c r="C1172" i="48"/>
  <c r="K1121" i="48"/>
  <c r="F1120" i="48"/>
  <c r="F1122" i="48"/>
  <c r="E1120" i="48"/>
  <c r="D1120" i="48"/>
  <c r="C1120" i="48"/>
  <c r="K1119" i="48"/>
  <c r="G1119" i="48"/>
  <c r="L1118" i="48"/>
  <c r="J1118" i="48"/>
  <c r="J1120" i="48"/>
  <c r="I1118" i="48"/>
  <c r="G1118" i="48"/>
  <c r="K1117" i="48"/>
  <c r="K1116" i="48"/>
  <c r="K1115" i="48"/>
  <c r="I1115" i="48"/>
  <c r="I2159" i="48"/>
  <c r="G1115" i="48"/>
  <c r="F1115" i="48"/>
  <c r="E1115" i="48"/>
  <c r="D1115" i="48"/>
  <c r="C1115" i="48"/>
  <c r="L1114" i="48"/>
  <c r="J1114" i="48"/>
  <c r="K1114" i="48"/>
  <c r="G1114" i="48"/>
  <c r="K1113" i="48"/>
  <c r="K1112" i="48"/>
  <c r="K1111" i="48"/>
  <c r="K1110" i="48"/>
  <c r="K1109" i="48"/>
  <c r="K1108" i="48"/>
  <c r="K1107" i="48"/>
  <c r="K1105" i="48"/>
  <c r="F1104" i="48"/>
  <c r="F1106" i="48"/>
  <c r="F1102" i="48"/>
  <c r="E1102" i="48"/>
  <c r="D1102" i="48"/>
  <c r="C1102" i="48"/>
  <c r="J1101" i="48"/>
  <c r="K1101" i="48"/>
  <c r="I1101" i="48"/>
  <c r="L1101" i="48"/>
  <c r="M1101" i="48"/>
  <c r="G1101" i="48"/>
  <c r="J1100" i="48"/>
  <c r="K1100" i="48"/>
  <c r="I1100" i="48"/>
  <c r="I1102" i="48"/>
  <c r="G1100" i="48"/>
  <c r="G1102" i="48"/>
  <c r="K1099" i="48"/>
  <c r="K1098" i="48"/>
  <c r="F1097" i="48"/>
  <c r="F1095" i="48"/>
  <c r="E1095" i="48"/>
  <c r="D1095" i="48"/>
  <c r="C1095" i="48"/>
  <c r="L1094" i="48"/>
  <c r="M1094" i="48"/>
  <c r="J1094" i="48"/>
  <c r="K1094" i="48"/>
  <c r="I1094" i="48"/>
  <c r="G1094" i="48"/>
  <c r="J1093" i="48"/>
  <c r="K1093" i="48"/>
  <c r="I1093" i="48"/>
  <c r="L1093" i="48"/>
  <c r="M1093" i="48"/>
  <c r="G1093" i="48"/>
  <c r="M1092" i="48"/>
  <c r="L1092" i="48"/>
  <c r="J1092" i="48"/>
  <c r="K1092" i="48"/>
  <c r="I1092" i="48"/>
  <c r="G1092" i="48"/>
  <c r="M1091" i="48"/>
  <c r="L1091" i="48"/>
  <c r="K1091" i="48"/>
  <c r="G1091" i="48"/>
  <c r="J1090" i="48"/>
  <c r="K1090" i="48"/>
  <c r="I1090" i="48"/>
  <c r="L1090" i="48"/>
  <c r="M1090" i="48"/>
  <c r="G1090" i="48"/>
  <c r="M1089" i="48"/>
  <c r="L1089" i="48"/>
  <c r="J1089" i="48"/>
  <c r="K1089" i="48"/>
  <c r="I1089" i="48"/>
  <c r="G1089" i="48"/>
  <c r="M1088" i="48"/>
  <c r="L1088" i="48"/>
  <c r="J1088" i="48"/>
  <c r="K1088" i="48"/>
  <c r="G1088" i="48"/>
  <c r="L1087" i="48"/>
  <c r="M1087" i="48"/>
  <c r="M1095" i="48"/>
  <c r="J1087" i="48"/>
  <c r="I1087" i="48"/>
  <c r="G1087" i="48"/>
  <c r="K1086" i="48"/>
  <c r="K1085" i="48"/>
  <c r="K1084" i="48"/>
  <c r="I1084" i="48"/>
  <c r="F1084" i="48"/>
  <c r="E1084" i="48"/>
  <c r="D1084" i="48"/>
  <c r="C1084" i="48"/>
  <c r="L1083" i="48"/>
  <c r="M1083" i="48"/>
  <c r="M1084" i="48"/>
  <c r="K1083" i="48"/>
  <c r="G1083" i="48"/>
  <c r="G1084" i="48"/>
  <c r="K1082" i="48"/>
  <c r="F1080" i="48"/>
  <c r="C1080" i="48"/>
  <c r="C1097" i="48"/>
  <c r="C1104" i="48"/>
  <c r="C1106" i="48"/>
  <c r="J1079" i="48"/>
  <c r="K1079" i="48"/>
  <c r="I1079" i="48"/>
  <c r="L1079" i="48"/>
  <c r="M1079" i="48"/>
  <c r="G1079" i="48"/>
  <c r="E1079" i="48"/>
  <c r="J1078" i="48"/>
  <c r="K1078" i="48"/>
  <c r="I1078" i="48"/>
  <c r="L1078" i="48"/>
  <c r="M1078" i="48"/>
  <c r="G1078" i="48"/>
  <c r="E1078" i="48"/>
  <c r="J1077" i="48"/>
  <c r="K1077" i="48"/>
  <c r="I1077" i="48"/>
  <c r="L1077" i="48"/>
  <c r="M1077" i="48"/>
  <c r="G1077" i="48"/>
  <c r="J1076" i="48"/>
  <c r="K1076" i="48"/>
  <c r="I1076" i="48"/>
  <c r="L1076" i="48"/>
  <c r="M1076" i="48"/>
  <c r="G1076" i="48"/>
  <c r="K1075" i="48"/>
  <c r="I1075" i="48"/>
  <c r="L1075" i="48"/>
  <c r="M1075" i="48"/>
  <c r="G1075" i="48"/>
  <c r="K1074" i="48"/>
  <c r="I1074" i="48"/>
  <c r="L1074" i="48"/>
  <c r="M1074" i="48"/>
  <c r="G1074" i="48"/>
  <c r="J1073" i="48"/>
  <c r="K1073" i="48"/>
  <c r="I1073" i="48"/>
  <c r="L1073" i="48"/>
  <c r="M1073" i="48"/>
  <c r="G1073" i="48"/>
  <c r="J1072" i="48"/>
  <c r="K1072" i="48"/>
  <c r="I1072" i="48"/>
  <c r="L1072" i="48"/>
  <c r="M1072" i="48"/>
  <c r="G1072" i="48"/>
  <c r="E1072" i="48"/>
  <c r="J1071" i="48"/>
  <c r="K1071" i="48"/>
  <c r="I1071" i="48"/>
  <c r="L1071" i="48"/>
  <c r="M1071" i="48"/>
  <c r="G1071" i="48"/>
  <c r="D1071" i="48"/>
  <c r="E1071" i="48"/>
  <c r="J1070" i="48"/>
  <c r="K1070" i="48"/>
  <c r="I1070" i="48"/>
  <c r="L1070" i="48"/>
  <c r="M1070" i="48"/>
  <c r="G1070" i="48"/>
  <c r="E1070" i="48"/>
  <c r="J1069" i="48"/>
  <c r="K1069" i="48"/>
  <c r="I1069" i="48"/>
  <c r="L1069" i="48"/>
  <c r="M1069" i="48"/>
  <c r="G1069" i="48"/>
  <c r="E1069" i="48"/>
  <c r="J1068" i="48"/>
  <c r="K1068" i="48"/>
  <c r="I1068" i="48"/>
  <c r="L1068" i="48"/>
  <c r="M1068" i="48"/>
  <c r="G1068" i="48"/>
  <c r="E1068" i="48"/>
  <c r="J1067" i="48"/>
  <c r="I1067" i="48"/>
  <c r="L1067" i="48"/>
  <c r="G1067" i="48"/>
  <c r="K1066" i="48"/>
  <c r="K1065" i="48"/>
  <c r="K1064" i="48"/>
  <c r="K1063" i="48"/>
  <c r="K1062" i="48"/>
  <c r="K1061" i="48"/>
  <c r="K1060" i="48"/>
  <c r="K1059" i="48"/>
  <c r="K1058" i="48"/>
  <c r="K1057" i="48"/>
  <c r="K1055" i="48"/>
  <c r="F1052" i="48"/>
  <c r="E1052" i="48"/>
  <c r="D1052" i="48"/>
  <c r="D1054" i="48"/>
  <c r="D1056" i="48"/>
  <c r="C1052" i="48"/>
  <c r="C1054" i="48"/>
  <c r="C1056" i="48"/>
  <c r="K1051" i="48"/>
  <c r="G1051" i="48"/>
  <c r="G1050" i="48"/>
  <c r="K1049" i="48"/>
  <c r="F1047" i="48"/>
  <c r="F1054" i="48"/>
  <c r="F1056" i="48"/>
  <c r="D1047" i="48"/>
  <c r="C1047" i="48"/>
  <c r="I1046" i="48"/>
  <c r="L1046" i="48"/>
  <c r="M1046" i="48"/>
  <c r="G1046" i="48"/>
  <c r="E1046" i="48"/>
  <c r="K1045" i="48"/>
  <c r="I1045" i="48"/>
  <c r="L1045" i="48"/>
  <c r="M1045" i="48"/>
  <c r="G1045" i="48"/>
  <c r="E1045" i="48"/>
  <c r="I1044" i="48"/>
  <c r="L1044" i="48"/>
  <c r="M1044" i="48"/>
  <c r="G1044" i="48"/>
  <c r="E1044" i="48"/>
  <c r="K1043" i="48"/>
  <c r="I1043" i="48"/>
  <c r="L1043" i="48"/>
  <c r="M1043" i="48"/>
  <c r="G1043" i="48"/>
  <c r="E1043" i="48"/>
  <c r="K1042" i="48"/>
  <c r="I1042" i="48"/>
  <c r="L1042" i="48"/>
  <c r="M1042" i="48"/>
  <c r="G1042" i="48"/>
  <c r="E1042" i="48"/>
  <c r="K1041" i="48"/>
  <c r="I1041" i="48"/>
  <c r="L1041" i="48"/>
  <c r="M1041" i="48"/>
  <c r="G1041" i="48"/>
  <c r="K1040" i="48"/>
  <c r="I1040" i="48"/>
  <c r="L1040" i="48"/>
  <c r="M1040" i="48"/>
  <c r="G1040" i="48"/>
  <c r="E1040" i="48"/>
  <c r="I1039" i="48"/>
  <c r="G1039" i="48"/>
  <c r="E1039" i="48"/>
  <c r="I1038" i="48"/>
  <c r="L1038" i="48"/>
  <c r="M1038" i="48"/>
  <c r="G1038" i="48"/>
  <c r="E1038" i="48"/>
  <c r="I1037" i="48"/>
  <c r="G1037" i="48"/>
  <c r="E1037" i="48"/>
  <c r="K1036" i="48"/>
  <c r="I1036" i="48"/>
  <c r="L1036" i="48"/>
  <c r="M1036" i="48"/>
  <c r="G1036" i="48"/>
  <c r="E1036" i="48"/>
  <c r="K1035" i="48"/>
  <c r="I1035" i="48"/>
  <c r="L1035" i="48"/>
  <c r="M1035" i="48"/>
  <c r="G1035" i="48"/>
  <c r="I1034" i="48"/>
  <c r="J1034" i="48"/>
  <c r="K1034" i="48"/>
  <c r="G1034" i="48"/>
  <c r="G1047" i="48"/>
  <c r="K1033" i="48"/>
  <c r="K1032" i="48"/>
  <c r="K1031" i="48"/>
  <c r="F1029" i="48"/>
  <c r="E1029" i="48"/>
  <c r="K1028" i="48"/>
  <c r="F1027" i="48"/>
  <c r="F2163" i="48"/>
  <c r="E1027" i="48"/>
  <c r="D1027" i="48"/>
  <c r="C1027" i="48"/>
  <c r="C2163" i="48"/>
  <c r="G1026" i="48"/>
  <c r="G1027" i="48"/>
  <c r="G1029" i="48"/>
  <c r="K1025" i="48"/>
  <c r="K1024" i="48"/>
  <c r="K1023" i="48"/>
  <c r="K1022" i="48"/>
  <c r="K1021" i="48"/>
  <c r="K1020" i="48"/>
  <c r="K1019" i="48"/>
  <c r="K1018" i="48"/>
  <c r="K1016" i="48"/>
  <c r="K1014" i="48"/>
  <c r="K1013" i="48"/>
  <c r="I1013" i="48"/>
  <c r="F1013" i="48"/>
  <c r="F2211" i="48"/>
  <c r="E1013" i="48"/>
  <c r="E2211" i="48"/>
  <c r="D1013" i="48"/>
  <c r="D2211" i="48"/>
  <c r="C1013" i="48"/>
  <c r="C2211" i="48"/>
  <c r="L1012" i="48"/>
  <c r="K1012" i="48"/>
  <c r="G1012" i="48"/>
  <c r="G1013" i="48"/>
  <c r="K1011" i="48"/>
  <c r="K1010" i="48"/>
  <c r="L1007" i="48"/>
  <c r="F1007" i="48"/>
  <c r="E1007" i="48"/>
  <c r="D1007" i="48"/>
  <c r="C1007" i="48"/>
  <c r="L1006" i="48"/>
  <c r="M1006" i="48"/>
  <c r="J1006" i="48"/>
  <c r="K1006" i="48"/>
  <c r="I1006" i="48"/>
  <c r="G1006" i="48"/>
  <c r="M1005" i="48"/>
  <c r="L1005" i="48"/>
  <c r="J1005" i="48"/>
  <c r="I1005" i="48"/>
  <c r="I1007" i="48"/>
  <c r="G1005" i="48"/>
  <c r="G1007" i="48"/>
  <c r="K1004" i="48"/>
  <c r="K1003" i="48"/>
  <c r="F1000" i="48"/>
  <c r="E1000" i="48"/>
  <c r="D1000" i="48"/>
  <c r="C1000" i="48"/>
  <c r="J999" i="48"/>
  <c r="K999" i="48"/>
  <c r="I999" i="48"/>
  <c r="L999" i="48"/>
  <c r="M999" i="48"/>
  <c r="G999" i="48"/>
  <c r="J998" i="48"/>
  <c r="K998" i="48"/>
  <c r="I998" i="48"/>
  <c r="L998" i="48"/>
  <c r="M998" i="48"/>
  <c r="G998" i="48"/>
  <c r="L997" i="48"/>
  <c r="M997" i="48"/>
  <c r="J997" i="48"/>
  <c r="K997" i="48"/>
  <c r="I997" i="48"/>
  <c r="G997" i="48"/>
  <c r="J996" i="48"/>
  <c r="K996" i="48"/>
  <c r="G996" i="48"/>
  <c r="E996" i="48"/>
  <c r="I996" i="48"/>
  <c r="L996" i="48"/>
  <c r="M996" i="48"/>
  <c r="L995" i="48"/>
  <c r="M995" i="48"/>
  <c r="K995" i="48"/>
  <c r="G995" i="48"/>
  <c r="J994" i="48"/>
  <c r="K994" i="48"/>
  <c r="I994" i="48"/>
  <c r="L994" i="48"/>
  <c r="M994" i="48"/>
  <c r="G994" i="48"/>
  <c r="M993" i="48"/>
  <c r="L993" i="48"/>
  <c r="J993" i="48"/>
  <c r="K993" i="48"/>
  <c r="I993" i="48"/>
  <c r="G993" i="48"/>
  <c r="J992" i="48"/>
  <c r="K992" i="48"/>
  <c r="I992" i="48"/>
  <c r="L992" i="48"/>
  <c r="M992" i="48"/>
  <c r="G992" i="48"/>
  <c r="L991" i="48"/>
  <c r="M991" i="48"/>
  <c r="J991" i="48"/>
  <c r="K991" i="48"/>
  <c r="I991" i="48"/>
  <c r="G991" i="48"/>
  <c r="J990" i="48"/>
  <c r="K990" i="48"/>
  <c r="I990" i="48"/>
  <c r="L990" i="48"/>
  <c r="M990" i="48"/>
  <c r="G990" i="48"/>
  <c r="L989" i="48"/>
  <c r="M989" i="48"/>
  <c r="K989" i="48"/>
  <c r="I989" i="48"/>
  <c r="G989" i="48"/>
  <c r="L988" i="48"/>
  <c r="M988" i="48"/>
  <c r="K988" i="48"/>
  <c r="I988" i="48"/>
  <c r="G988" i="48"/>
  <c r="M987" i="48"/>
  <c r="K987" i="48"/>
  <c r="I987" i="48"/>
  <c r="L987" i="48"/>
  <c r="G987" i="48"/>
  <c r="M986" i="48"/>
  <c r="L986" i="48"/>
  <c r="J986" i="48"/>
  <c r="K986" i="48"/>
  <c r="I986" i="48"/>
  <c r="G986" i="48"/>
  <c r="L985" i="48"/>
  <c r="M985" i="48"/>
  <c r="M1000" i="48"/>
  <c r="J985" i="48"/>
  <c r="K985" i="48"/>
  <c r="I985" i="48"/>
  <c r="G985" i="48"/>
  <c r="J984" i="48"/>
  <c r="G984" i="48"/>
  <c r="K983" i="48"/>
  <c r="K982" i="48"/>
  <c r="M981" i="48"/>
  <c r="L981" i="48"/>
  <c r="K981" i="48"/>
  <c r="I981" i="48"/>
  <c r="F981" i="48"/>
  <c r="E981" i="48"/>
  <c r="D981" i="48"/>
  <c r="C981" i="48"/>
  <c r="C1002" i="48"/>
  <c r="C1009" i="48"/>
  <c r="C1015" i="48"/>
  <c r="M980" i="48"/>
  <c r="L980" i="48"/>
  <c r="K980" i="48"/>
  <c r="G980" i="48"/>
  <c r="G981" i="48"/>
  <c r="K979" i="48"/>
  <c r="F977" i="48"/>
  <c r="F1002" i="48"/>
  <c r="F1009" i="48"/>
  <c r="F1015" i="48"/>
  <c r="C977" i="48"/>
  <c r="J976" i="48"/>
  <c r="K976" i="48"/>
  <c r="I976" i="48"/>
  <c r="L976" i="48"/>
  <c r="M976" i="48"/>
  <c r="G976" i="48"/>
  <c r="E976" i="48"/>
  <c r="J975" i="48"/>
  <c r="K975" i="48"/>
  <c r="I975" i="48"/>
  <c r="L975" i="48"/>
  <c r="M975" i="48"/>
  <c r="G975" i="48"/>
  <c r="E975" i="48"/>
  <c r="J974" i="48"/>
  <c r="K974" i="48"/>
  <c r="I974" i="48"/>
  <c r="L974" i="48"/>
  <c r="M974" i="48"/>
  <c r="G974" i="48"/>
  <c r="E974" i="48"/>
  <c r="J973" i="48"/>
  <c r="K973" i="48"/>
  <c r="I973" i="48"/>
  <c r="L973" i="48"/>
  <c r="M973" i="48"/>
  <c r="G973" i="48"/>
  <c r="F973" i="48"/>
  <c r="E973" i="48"/>
  <c r="K972" i="48"/>
  <c r="I972" i="48"/>
  <c r="L972" i="48"/>
  <c r="M972" i="48"/>
  <c r="G972" i="48"/>
  <c r="E972" i="48"/>
  <c r="I971" i="48"/>
  <c r="L971" i="48"/>
  <c r="M971" i="48"/>
  <c r="J971" i="48"/>
  <c r="K971" i="48"/>
  <c r="G971" i="48"/>
  <c r="J970" i="48"/>
  <c r="K970" i="48"/>
  <c r="I970" i="48"/>
  <c r="L970" i="48"/>
  <c r="M970" i="48"/>
  <c r="G970" i="48"/>
  <c r="E970" i="48"/>
  <c r="E2260" i="48"/>
  <c r="J969" i="48"/>
  <c r="K969" i="48"/>
  <c r="I969" i="48"/>
  <c r="L969" i="48"/>
  <c r="M969" i="48"/>
  <c r="G969" i="48"/>
  <c r="E969" i="48"/>
  <c r="J968" i="48"/>
  <c r="K968" i="48"/>
  <c r="I968" i="48"/>
  <c r="L968" i="48"/>
  <c r="M968" i="48"/>
  <c r="G968" i="48"/>
  <c r="G977" i="48"/>
  <c r="D968" i="48"/>
  <c r="E968" i="48"/>
  <c r="J967" i="48"/>
  <c r="K967" i="48"/>
  <c r="I967" i="48"/>
  <c r="L967" i="48"/>
  <c r="M967" i="48"/>
  <c r="G967" i="48"/>
  <c r="E967" i="48"/>
  <c r="J966" i="48"/>
  <c r="K966" i="48"/>
  <c r="I966" i="48"/>
  <c r="L966" i="48"/>
  <c r="M966" i="48"/>
  <c r="G966" i="48"/>
  <c r="E966" i="48"/>
  <c r="J965" i="48"/>
  <c r="K965" i="48"/>
  <c r="I965" i="48"/>
  <c r="L965" i="48"/>
  <c r="M965" i="48"/>
  <c r="G965" i="48"/>
  <c r="E965" i="48"/>
  <c r="J964" i="48"/>
  <c r="K964" i="48"/>
  <c r="I964" i="48"/>
  <c r="L964" i="48"/>
  <c r="M964" i="48"/>
  <c r="G964" i="48"/>
  <c r="K963" i="48"/>
  <c r="K962" i="48"/>
  <c r="K961" i="48"/>
  <c r="K960" i="48"/>
  <c r="M959" i="48"/>
  <c r="L959" i="48"/>
  <c r="K959" i="48"/>
  <c r="C959" i="48"/>
  <c r="K958" i="48"/>
  <c r="M957" i="48"/>
  <c r="L957" i="48"/>
  <c r="K957" i="48"/>
  <c r="I957" i="48"/>
  <c r="I959" i="48"/>
  <c r="F957" i="48"/>
  <c r="F959" i="48"/>
  <c r="F1017" i="48"/>
  <c r="E957" i="48"/>
  <c r="E959" i="48"/>
  <c r="D957" i="48"/>
  <c r="D959" i="48"/>
  <c r="C957" i="48"/>
  <c r="M956" i="48"/>
  <c r="K956" i="48"/>
  <c r="G956" i="48"/>
  <c r="G957" i="48"/>
  <c r="G959" i="48"/>
  <c r="K955" i="48"/>
  <c r="K954" i="48"/>
  <c r="K953" i="48"/>
  <c r="K952" i="48"/>
  <c r="K951" i="48"/>
  <c r="K950" i="48"/>
  <c r="K949" i="48"/>
  <c r="K948" i="48"/>
  <c r="K947" i="48"/>
  <c r="K946" i="48"/>
  <c r="K944" i="48"/>
  <c r="G941" i="48"/>
  <c r="F941" i="48"/>
  <c r="E941" i="48"/>
  <c r="D941" i="48"/>
  <c r="C941" i="48"/>
  <c r="J940" i="48"/>
  <c r="I940" i="48"/>
  <c r="L940" i="48"/>
  <c r="M940" i="48"/>
  <c r="G940" i="48"/>
  <c r="L939" i="48"/>
  <c r="M939" i="48"/>
  <c r="J939" i="48"/>
  <c r="K939" i="48"/>
  <c r="I939" i="48"/>
  <c r="G939" i="48"/>
  <c r="L938" i="48"/>
  <c r="M938" i="48"/>
  <c r="K938" i="48"/>
  <c r="I938" i="48"/>
  <c r="J937" i="48"/>
  <c r="I937" i="48"/>
  <c r="K936" i="48"/>
  <c r="K935" i="48"/>
  <c r="K934" i="48"/>
  <c r="K933" i="48"/>
  <c r="K932" i="48"/>
  <c r="F929" i="48"/>
  <c r="D929" i="48"/>
  <c r="C929" i="48"/>
  <c r="L928" i="48"/>
  <c r="M928" i="48"/>
  <c r="J928" i="48"/>
  <c r="K928" i="48"/>
  <c r="I928" i="48"/>
  <c r="G928" i="48"/>
  <c r="M927" i="48"/>
  <c r="L927" i="48"/>
  <c r="J927" i="48"/>
  <c r="K927" i="48"/>
  <c r="I927" i="48"/>
  <c r="G927" i="48"/>
  <c r="M926" i="48"/>
  <c r="L926" i="48"/>
  <c r="J926" i="48"/>
  <c r="K926" i="48"/>
  <c r="I926" i="48"/>
  <c r="G926" i="48"/>
  <c r="E926" i="48"/>
  <c r="L925" i="48"/>
  <c r="M925" i="48"/>
  <c r="J925" i="48"/>
  <c r="K925" i="48"/>
  <c r="I925" i="48"/>
  <c r="G925" i="48"/>
  <c r="M924" i="48"/>
  <c r="L924" i="48"/>
  <c r="J924" i="48"/>
  <c r="K924" i="48"/>
  <c r="G924" i="48"/>
  <c r="F924" i="48"/>
  <c r="L923" i="48"/>
  <c r="M923" i="48"/>
  <c r="J923" i="48"/>
  <c r="K923" i="48"/>
  <c r="I923" i="48"/>
  <c r="G923" i="48"/>
  <c r="M922" i="48"/>
  <c r="J922" i="48"/>
  <c r="K922" i="48"/>
  <c r="I922" i="48"/>
  <c r="L922" i="48"/>
  <c r="G922" i="48"/>
  <c r="E922" i="48"/>
  <c r="J921" i="48"/>
  <c r="K921" i="48"/>
  <c r="I921" i="48"/>
  <c r="L921" i="48"/>
  <c r="M921" i="48"/>
  <c r="G921" i="48"/>
  <c r="E921" i="48"/>
  <c r="J920" i="48"/>
  <c r="K920" i="48"/>
  <c r="G920" i="48"/>
  <c r="E920" i="48"/>
  <c r="I920" i="48"/>
  <c r="L920" i="48"/>
  <c r="M920" i="48"/>
  <c r="L919" i="48"/>
  <c r="M919" i="48"/>
  <c r="J919" i="48"/>
  <c r="K919" i="48"/>
  <c r="G919" i="48"/>
  <c r="G929" i="48"/>
  <c r="F919" i="48"/>
  <c r="J918" i="48"/>
  <c r="K918" i="48"/>
  <c r="G918" i="48"/>
  <c r="E918" i="48"/>
  <c r="J917" i="48"/>
  <c r="K917" i="48"/>
  <c r="I917" i="48"/>
  <c r="L917" i="48"/>
  <c r="M917" i="48"/>
  <c r="G917" i="48"/>
  <c r="L916" i="48"/>
  <c r="M916" i="48"/>
  <c r="J916" i="48"/>
  <c r="K916" i="48"/>
  <c r="I916" i="48"/>
  <c r="G916" i="48"/>
  <c r="L915" i="48"/>
  <c r="M915" i="48"/>
  <c r="J915" i="48"/>
  <c r="I915" i="48"/>
  <c r="G915" i="48"/>
  <c r="K914" i="48"/>
  <c r="K913" i="48"/>
  <c r="M912" i="48"/>
  <c r="L912" i="48"/>
  <c r="K912" i="48"/>
  <c r="I912" i="48"/>
  <c r="F912" i="48"/>
  <c r="E912" i="48"/>
  <c r="D912" i="48"/>
  <c r="C912" i="48"/>
  <c r="M911" i="48"/>
  <c r="L911" i="48"/>
  <c r="K911" i="48"/>
  <c r="G911" i="48"/>
  <c r="M910" i="48"/>
  <c r="L910" i="48"/>
  <c r="K910" i="48"/>
  <c r="G910" i="48"/>
  <c r="G912" i="48"/>
  <c r="K909" i="48"/>
  <c r="F907" i="48"/>
  <c r="F931" i="48"/>
  <c r="C907" i="48"/>
  <c r="C931" i="48"/>
  <c r="C943" i="48"/>
  <c r="J906" i="48"/>
  <c r="K906" i="48"/>
  <c r="I906" i="48"/>
  <c r="L906" i="48"/>
  <c r="M906" i="48"/>
  <c r="G906" i="48"/>
  <c r="E906" i="48"/>
  <c r="J905" i="48"/>
  <c r="K905" i="48"/>
  <c r="I905" i="48"/>
  <c r="L905" i="48"/>
  <c r="M905" i="48"/>
  <c r="G905" i="48"/>
  <c r="E905" i="48"/>
  <c r="J904" i="48"/>
  <c r="J2265" i="48"/>
  <c r="K2265" i="48"/>
  <c r="I904" i="48"/>
  <c r="I2265" i="48"/>
  <c r="G904" i="48"/>
  <c r="G2265" i="48"/>
  <c r="E904" i="48"/>
  <c r="E2265" i="48"/>
  <c r="J903" i="48"/>
  <c r="K903" i="48"/>
  <c r="I903" i="48"/>
  <c r="L903" i="48"/>
  <c r="M903" i="48"/>
  <c r="G903" i="48"/>
  <c r="E903" i="48"/>
  <c r="K902" i="48"/>
  <c r="I902" i="48"/>
  <c r="L902" i="48"/>
  <c r="M902" i="48"/>
  <c r="G902" i="48"/>
  <c r="F902" i="48"/>
  <c r="E902" i="48"/>
  <c r="K901" i="48"/>
  <c r="I901" i="48"/>
  <c r="L901" i="48"/>
  <c r="M901" i="48"/>
  <c r="G901" i="48"/>
  <c r="D901" i="48"/>
  <c r="E901" i="48"/>
  <c r="J900" i="48"/>
  <c r="K900" i="48"/>
  <c r="I900" i="48"/>
  <c r="L900" i="48"/>
  <c r="M900" i="48"/>
  <c r="G900" i="48"/>
  <c r="D900" i="48"/>
  <c r="E900" i="48"/>
  <c r="J899" i="48"/>
  <c r="K899" i="48"/>
  <c r="I899" i="48"/>
  <c r="L899" i="48"/>
  <c r="M899" i="48"/>
  <c r="G899" i="48"/>
  <c r="J898" i="48"/>
  <c r="K898" i="48"/>
  <c r="I898" i="48"/>
  <c r="L898" i="48"/>
  <c r="M898" i="48"/>
  <c r="G898" i="48"/>
  <c r="E898" i="48"/>
  <c r="J897" i="48"/>
  <c r="K897" i="48"/>
  <c r="I897" i="48"/>
  <c r="L897" i="48"/>
  <c r="M897" i="48"/>
  <c r="G897" i="48"/>
  <c r="D897" i="48"/>
  <c r="J896" i="48"/>
  <c r="K896" i="48"/>
  <c r="I896" i="48"/>
  <c r="G896" i="48"/>
  <c r="E896" i="48"/>
  <c r="J895" i="48"/>
  <c r="K895" i="48"/>
  <c r="I895" i="48"/>
  <c r="L895" i="48"/>
  <c r="M895" i="48"/>
  <c r="G895" i="48"/>
  <c r="G907" i="48"/>
  <c r="G931" i="48"/>
  <c r="G943" i="48"/>
  <c r="E895" i="48"/>
  <c r="J894" i="48"/>
  <c r="K894" i="48"/>
  <c r="I894" i="48"/>
  <c r="L894" i="48"/>
  <c r="M894" i="48"/>
  <c r="G894" i="48"/>
  <c r="E894" i="48"/>
  <c r="J893" i="48"/>
  <c r="I893" i="48"/>
  <c r="L893" i="48"/>
  <c r="G893" i="48"/>
  <c r="K892" i="48"/>
  <c r="K891" i="48"/>
  <c r="K890" i="48"/>
  <c r="D888" i="48"/>
  <c r="K887" i="48"/>
  <c r="K886" i="48"/>
  <c r="I886" i="48"/>
  <c r="I888" i="48"/>
  <c r="F886" i="48"/>
  <c r="E886" i="48"/>
  <c r="E888" i="48"/>
  <c r="D886" i="48"/>
  <c r="C886" i="48"/>
  <c r="C888" i="48"/>
  <c r="C945" i="48"/>
  <c r="L885" i="48"/>
  <c r="K885" i="48"/>
  <c r="G885" i="48"/>
  <c r="G886" i="48"/>
  <c r="K884" i="48"/>
  <c r="G884" i="48"/>
  <c r="K883" i="48"/>
  <c r="K882" i="48"/>
  <c r="K881" i="48"/>
  <c r="M880" i="48"/>
  <c r="L880" i="48"/>
  <c r="I880" i="48"/>
  <c r="F880" i="48"/>
  <c r="F888" i="48"/>
  <c r="E880" i="48"/>
  <c r="D880" i="48"/>
  <c r="C880" i="48"/>
  <c r="K879" i="48"/>
  <c r="G879" i="48"/>
  <c r="J878" i="48"/>
  <c r="G878" i="48"/>
  <c r="K877" i="48"/>
  <c r="K876" i="48"/>
  <c r="K875" i="48"/>
  <c r="K874" i="48"/>
  <c r="K873" i="48"/>
  <c r="K872" i="48"/>
  <c r="K871" i="48"/>
  <c r="K869" i="48"/>
  <c r="I866" i="48"/>
  <c r="F866" i="48"/>
  <c r="E866" i="48"/>
  <c r="D866" i="48"/>
  <c r="C866" i="48"/>
  <c r="L865" i="48"/>
  <c r="M865" i="48"/>
  <c r="J865" i="48"/>
  <c r="I865" i="48"/>
  <c r="G865" i="48"/>
  <c r="J864" i="48"/>
  <c r="K864" i="48"/>
  <c r="I864" i="48"/>
  <c r="L864" i="48"/>
  <c r="M864" i="48"/>
  <c r="M866" i="48"/>
  <c r="G864" i="48"/>
  <c r="G866" i="48"/>
  <c r="K863" i="48"/>
  <c r="K862" i="48"/>
  <c r="C861" i="48"/>
  <c r="C868" i="48"/>
  <c r="C870" i="48"/>
  <c r="F859" i="48"/>
  <c r="D859" i="48"/>
  <c r="C859" i="48"/>
  <c r="L858" i="48"/>
  <c r="M858" i="48"/>
  <c r="K858" i="48"/>
  <c r="G858" i="48"/>
  <c r="E858" i="48"/>
  <c r="L857" i="48"/>
  <c r="M857" i="48"/>
  <c r="J857" i="48"/>
  <c r="K857" i="48"/>
  <c r="I857" i="48"/>
  <c r="G857" i="48"/>
  <c r="M856" i="48"/>
  <c r="J856" i="48"/>
  <c r="K856" i="48"/>
  <c r="I856" i="48"/>
  <c r="L856" i="48"/>
  <c r="G856" i="48"/>
  <c r="E856" i="48"/>
  <c r="J855" i="48"/>
  <c r="K855" i="48"/>
  <c r="I855" i="48"/>
  <c r="L855" i="48"/>
  <c r="M855" i="48"/>
  <c r="G855" i="48"/>
  <c r="L854" i="48"/>
  <c r="M854" i="48"/>
  <c r="K854" i="48"/>
  <c r="G854" i="48"/>
  <c r="E854" i="48"/>
  <c r="J853" i="48"/>
  <c r="K853" i="48"/>
  <c r="I853" i="48"/>
  <c r="L853" i="48"/>
  <c r="M853" i="48"/>
  <c r="G853" i="48"/>
  <c r="J852" i="48"/>
  <c r="K852" i="48"/>
  <c r="G852" i="48"/>
  <c r="E852" i="48"/>
  <c r="M851" i="48"/>
  <c r="J851" i="48"/>
  <c r="K851" i="48"/>
  <c r="I851" i="48"/>
  <c r="L851" i="48"/>
  <c r="G851" i="48"/>
  <c r="L850" i="48"/>
  <c r="J850" i="48"/>
  <c r="K850" i="48"/>
  <c r="G850" i="48"/>
  <c r="G859" i="48"/>
  <c r="E850" i="48"/>
  <c r="I850" i="48"/>
  <c r="K849" i="48"/>
  <c r="K848" i="48"/>
  <c r="L847" i="48"/>
  <c r="K847" i="48"/>
  <c r="I847" i="48"/>
  <c r="F847" i="48"/>
  <c r="E847" i="48"/>
  <c r="D847" i="48"/>
  <c r="C847" i="48"/>
  <c r="M846" i="48"/>
  <c r="M847" i="48"/>
  <c r="L846" i="48"/>
  <c r="K846" i="48"/>
  <c r="G846" i="48"/>
  <c r="G847" i="48"/>
  <c r="K845" i="48"/>
  <c r="F843" i="48"/>
  <c r="F861" i="48"/>
  <c r="F868" i="48"/>
  <c r="F870" i="48"/>
  <c r="C843" i="48"/>
  <c r="J842" i="48"/>
  <c r="K842" i="48"/>
  <c r="I842" i="48"/>
  <c r="L842" i="48"/>
  <c r="M842" i="48"/>
  <c r="G842" i="48"/>
  <c r="E842" i="48"/>
  <c r="J841" i="48"/>
  <c r="K841" i="48"/>
  <c r="I841" i="48"/>
  <c r="L841" i="48"/>
  <c r="M841" i="48"/>
  <c r="G841" i="48"/>
  <c r="D841" i="48"/>
  <c r="E841" i="48"/>
  <c r="J840" i="48"/>
  <c r="K840" i="48"/>
  <c r="I840" i="48"/>
  <c r="L840" i="48"/>
  <c r="M840" i="48"/>
  <c r="G840" i="48"/>
  <c r="E840" i="48"/>
  <c r="K839" i="48"/>
  <c r="I839" i="48"/>
  <c r="L839" i="48"/>
  <c r="M839" i="48"/>
  <c r="G839" i="48"/>
  <c r="K838" i="48"/>
  <c r="I838" i="48"/>
  <c r="L838" i="48"/>
  <c r="M838" i="48"/>
  <c r="G838" i="48"/>
  <c r="J837" i="48"/>
  <c r="K837" i="48"/>
  <c r="I837" i="48"/>
  <c r="L837" i="48"/>
  <c r="M837" i="48"/>
  <c r="G837" i="48"/>
  <c r="J836" i="48"/>
  <c r="K836" i="48"/>
  <c r="I836" i="48"/>
  <c r="L836" i="48"/>
  <c r="M836" i="48"/>
  <c r="G836" i="48"/>
  <c r="E836" i="48"/>
  <c r="J835" i="48"/>
  <c r="K835" i="48"/>
  <c r="I835" i="48"/>
  <c r="L835" i="48"/>
  <c r="M835" i="48"/>
  <c r="G835" i="48"/>
  <c r="D835" i="48"/>
  <c r="E835" i="48"/>
  <c r="J834" i="48"/>
  <c r="K834" i="48"/>
  <c r="I834" i="48"/>
  <c r="L834" i="48"/>
  <c r="M834" i="48"/>
  <c r="G834" i="48"/>
  <c r="E834" i="48"/>
  <c r="J833" i="48"/>
  <c r="K833" i="48"/>
  <c r="I833" i="48"/>
  <c r="L833" i="48"/>
  <c r="M833" i="48"/>
  <c r="G833" i="48"/>
  <c r="E833" i="48"/>
  <c r="J832" i="48"/>
  <c r="I832" i="48"/>
  <c r="L832" i="48"/>
  <c r="M832" i="48"/>
  <c r="G832" i="48"/>
  <c r="G843" i="48"/>
  <c r="E832" i="48"/>
  <c r="J831" i="48"/>
  <c r="K831" i="48"/>
  <c r="I831" i="48"/>
  <c r="L831" i="48"/>
  <c r="G831" i="48"/>
  <c r="K830" i="48"/>
  <c r="K829" i="48"/>
  <c r="K828" i="48"/>
  <c r="K827" i="48"/>
  <c r="K826" i="48"/>
  <c r="K825" i="48"/>
  <c r="K824" i="48"/>
  <c r="K823" i="48"/>
  <c r="C823" i="48"/>
  <c r="K822" i="48"/>
  <c r="K821" i="48"/>
  <c r="E821" i="48"/>
  <c r="E823" i="48"/>
  <c r="K820" i="48"/>
  <c r="L819" i="48"/>
  <c r="L821" i="48"/>
  <c r="L823" i="48"/>
  <c r="K819" i="48"/>
  <c r="I819" i="48"/>
  <c r="I821" i="48"/>
  <c r="I823" i="48"/>
  <c r="F819" i="48"/>
  <c r="F821" i="48"/>
  <c r="F823" i="48"/>
  <c r="E819" i="48"/>
  <c r="D819" i="48"/>
  <c r="D821" i="48"/>
  <c r="D823" i="48"/>
  <c r="C819" i="48"/>
  <c r="C821" i="48"/>
  <c r="M818" i="48"/>
  <c r="M819" i="48"/>
  <c r="M821" i="48"/>
  <c r="M823" i="48"/>
  <c r="L818" i="48"/>
  <c r="K818" i="48"/>
  <c r="G818" i="48"/>
  <c r="G819" i="48"/>
  <c r="G821" i="48"/>
  <c r="G823" i="48"/>
  <c r="K817" i="48"/>
  <c r="K816" i="48"/>
  <c r="K815" i="48"/>
  <c r="K814" i="48"/>
  <c r="K813" i="48"/>
  <c r="K812" i="48"/>
  <c r="K811" i="48"/>
  <c r="K810" i="48"/>
  <c r="K808" i="48"/>
  <c r="K806" i="48"/>
  <c r="D805" i="48"/>
  <c r="D807" i="48"/>
  <c r="F803" i="48"/>
  <c r="E803" i="48"/>
  <c r="D803" i="48"/>
  <c r="C803" i="48"/>
  <c r="J802" i="48"/>
  <c r="K802" i="48"/>
  <c r="I802" i="48"/>
  <c r="L802" i="48"/>
  <c r="M802" i="48"/>
  <c r="G802" i="48"/>
  <c r="M801" i="48"/>
  <c r="L801" i="48"/>
  <c r="K801" i="48"/>
  <c r="I801" i="48"/>
  <c r="G801" i="48"/>
  <c r="K800" i="48"/>
  <c r="I800" i="48"/>
  <c r="L800" i="48"/>
  <c r="M800" i="48"/>
  <c r="G800" i="48"/>
  <c r="G803" i="48"/>
  <c r="M799" i="48"/>
  <c r="M803" i="48"/>
  <c r="J799" i="48"/>
  <c r="I799" i="48"/>
  <c r="L799" i="48"/>
  <c r="G799" i="48"/>
  <c r="K798" i="48"/>
  <c r="E796" i="48"/>
  <c r="E805" i="48"/>
  <c r="E807" i="48"/>
  <c r="D796" i="48"/>
  <c r="C796" i="48"/>
  <c r="C805" i="48"/>
  <c r="C807" i="48"/>
  <c r="J795" i="48"/>
  <c r="K795" i="48"/>
  <c r="K794" i="48"/>
  <c r="J793" i="48"/>
  <c r="K793" i="48"/>
  <c r="J792" i="48"/>
  <c r="K792" i="48"/>
  <c r="J791" i="48"/>
  <c r="K791" i="48"/>
  <c r="J790" i="48"/>
  <c r="K790" i="48"/>
  <c r="K789" i="48"/>
  <c r="K788" i="48"/>
  <c r="J787" i="48"/>
  <c r="K787" i="48"/>
  <c r="K786" i="48"/>
  <c r="K785" i="48"/>
  <c r="J784" i="48"/>
  <c r="K784" i="48"/>
  <c r="K783" i="48"/>
  <c r="J782" i="48"/>
  <c r="K782" i="48"/>
  <c r="J781" i="48"/>
  <c r="K781" i="48"/>
  <c r="K780" i="48"/>
  <c r="J779" i="48"/>
  <c r="K779" i="48"/>
  <c r="J778" i="48"/>
  <c r="K778" i="48"/>
  <c r="K777" i="48"/>
  <c r="J776" i="48"/>
  <c r="K776" i="48"/>
  <c r="J775" i="48"/>
  <c r="K775" i="48"/>
  <c r="J774" i="48"/>
  <c r="K774" i="48"/>
  <c r="J773" i="48"/>
  <c r="K773" i="48"/>
  <c r="J772" i="48"/>
  <c r="K772" i="48"/>
  <c r="K771" i="48"/>
  <c r="J770" i="48"/>
  <c r="K770" i="48"/>
  <c r="J769" i="48"/>
  <c r="K769" i="48"/>
  <c r="J768" i="48"/>
  <c r="K768" i="48"/>
  <c r="J767" i="48"/>
  <c r="K767" i="48"/>
  <c r="K766" i="48"/>
  <c r="J765" i="48"/>
  <c r="K765" i="48"/>
  <c r="J764" i="48"/>
  <c r="K764" i="48"/>
  <c r="J763" i="48"/>
  <c r="K763" i="48"/>
  <c r="K762" i="48"/>
  <c r="J761" i="48"/>
  <c r="K761" i="48"/>
  <c r="J760" i="48"/>
  <c r="K760" i="48"/>
  <c r="J759" i="48"/>
  <c r="K759" i="48"/>
  <c r="J758" i="48"/>
  <c r="K758" i="48"/>
  <c r="K757" i="48"/>
  <c r="J756" i="48"/>
  <c r="K756" i="48"/>
  <c r="J755" i="48"/>
  <c r="K755" i="48"/>
  <c r="K754" i="48"/>
  <c r="J753" i="48"/>
  <c r="K753" i="48"/>
  <c r="K752" i="48"/>
  <c r="J751" i="48"/>
  <c r="K751" i="48"/>
  <c r="K750" i="48"/>
  <c r="J749" i="48"/>
  <c r="K749" i="48"/>
  <c r="J748" i="48"/>
  <c r="K747" i="48"/>
  <c r="J746" i="48"/>
  <c r="K746" i="48"/>
  <c r="J745" i="48"/>
  <c r="K745" i="48"/>
  <c r="J744" i="48"/>
  <c r="K744" i="48"/>
  <c r="K743" i="48"/>
  <c r="J742" i="48"/>
  <c r="K742" i="48"/>
  <c r="K741" i="48"/>
  <c r="J740" i="48"/>
  <c r="K740" i="48"/>
  <c r="I740" i="48"/>
  <c r="K739" i="48"/>
  <c r="J738" i="48"/>
  <c r="K738" i="48"/>
  <c r="K737" i="48"/>
  <c r="J736" i="48"/>
  <c r="K736" i="48"/>
  <c r="J735" i="48"/>
  <c r="K735" i="48"/>
  <c r="K734" i="48"/>
  <c r="J733" i="48"/>
  <c r="K733" i="48"/>
  <c r="K732" i="48"/>
  <c r="L731" i="48"/>
  <c r="J731" i="48"/>
  <c r="J2306" i="48"/>
  <c r="K2306" i="48"/>
  <c r="I731" i="48"/>
  <c r="I2306" i="48"/>
  <c r="F731" i="48"/>
  <c r="G731" i="48"/>
  <c r="K730" i="48"/>
  <c r="J729" i="48"/>
  <c r="K729" i="48"/>
  <c r="K728" i="48"/>
  <c r="J727" i="48"/>
  <c r="K727" i="48"/>
  <c r="I727" i="48"/>
  <c r="K726" i="48"/>
  <c r="J725" i="48"/>
  <c r="K725" i="48"/>
  <c r="K724" i="48"/>
  <c r="J723" i="48"/>
  <c r="K723" i="48"/>
  <c r="K722" i="48"/>
  <c r="J721" i="48"/>
  <c r="K721" i="48"/>
  <c r="J720" i="48"/>
  <c r="K720" i="48"/>
  <c r="K719" i="48"/>
  <c r="K718" i="48"/>
  <c r="K717" i="48"/>
  <c r="K716" i="48"/>
  <c r="C714" i="48"/>
  <c r="K713" i="48"/>
  <c r="F712" i="48"/>
  <c r="E712" i="48"/>
  <c r="E2153" i="48"/>
  <c r="D712" i="48"/>
  <c r="C712" i="48"/>
  <c r="L711" i="48"/>
  <c r="M711" i="48"/>
  <c r="J711" i="48"/>
  <c r="K711" i="48"/>
  <c r="G711" i="48"/>
  <c r="I711" i="48"/>
  <c r="M710" i="48"/>
  <c r="L710" i="48"/>
  <c r="J710" i="48"/>
  <c r="K710" i="48"/>
  <c r="G710" i="48"/>
  <c r="J709" i="48"/>
  <c r="K709" i="48"/>
  <c r="G709" i="48"/>
  <c r="K708" i="48"/>
  <c r="K707" i="48"/>
  <c r="K706" i="48"/>
  <c r="K705" i="48"/>
  <c r="K704" i="48"/>
  <c r="K703" i="48"/>
  <c r="K702" i="48"/>
  <c r="K701" i="48"/>
  <c r="K699" i="48"/>
  <c r="G696" i="48"/>
  <c r="F696" i="48"/>
  <c r="E696" i="48"/>
  <c r="D696" i="48"/>
  <c r="C696" i="48"/>
  <c r="M695" i="48"/>
  <c r="J695" i="48"/>
  <c r="K695" i="48"/>
  <c r="I695" i="48"/>
  <c r="L695" i="48"/>
  <c r="G695" i="48"/>
  <c r="J694" i="48"/>
  <c r="I694" i="48"/>
  <c r="L694" i="48"/>
  <c r="M694" i="48"/>
  <c r="G694" i="48"/>
  <c r="M693" i="48"/>
  <c r="K693" i="48"/>
  <c r="I693" i="48"/>
  <c r="L693" i="48"/>
  <c r="K692" i="48"/>
  <c r="I692" i="48"/>
  <c r="K691" i="48"/>
  <c r="K690" i="48"/>
  <c r="M689" i="48"/>
  <c r="L689" i="48"/>
  <c r="K689" i="48"/>
  <c r="G689" i="48"/>
  <c r="F689" i="48"/>
  <c r="E689" i="48"/>
  <c r="D689" i="48"/>
  <c r="C689" i="48"/>
  <c r="K688" i="48"/>
  <c r="I688" i="48"/>
  <c r="I689" i="48"/>
  <c r="G688" i="48"/>
  <c r="J685" i="48"/>
  <c r="K685" i="48"/>
  <c r="I685" i="48"/>
  <c r="J684" i="48"/>
  <c r="K684" i="48"/>
  <c r="I684" i="48"/>
  <c r="K683" i="48"/>
  <c r="I683" i="48"/>
  <c r="J682" i="48"/>
  <c r="K682" i="48"/>
  <c r="J681" i="48"/>
  <c r="K681" i="48"/>
  <c r="J680" i="48"/>
  <c r="K680" i="48"/>
  <c r="I680" i="48"/>
  <c r="J679" i="48"/>
  <c r="K679" i="48"/>
  <c r="I679" i="48"/>
  <c r="J678" i="48"/>
  <c r="K678" i="48"/>
  <c r="I678" i="48"/>
  <c r="B678" i="48"/>
  <c r="J677" i="48"/>
  <c r="K677" i="48"/>
  <c r="I677" i="48"/>
  <c r="J676" i="48"/>
  <c r="K676" i="48"/>
  <c r="K675" i="48"/>
  <c r="K674" i="48"/>
  <c r="K672" i="48"/>
  <c r="M670" i="48"/>
  <c r="M2196" i="48"/>
  <c r="L670" i="48"/>
  <c r="L2196" i="48"/>
  <c r="I670" i="48"/>
  <c r="I2196" i="48"/>
  <c r="G670" i="48"/>
  <c r="G2196" i="48"/>
  <c r="F670" i="48"/>
  <c r="F2196" i="48"/>
  <c r="E670" i="48"/>
  <c r="E2196" i="48"/>
  <c r="D670" i="48"/>
  <c r="D2196" i="48"/>
  <c r="C670" i="48"/>
  <c r="C2196" i="48"/>
  <c r="J669" i="48"/>
  <c r="J670" i="48"/>
  <c r="K668" i="48"/>
  <c r="K667" i="48"/>
  <c r="D666" i="48"/>
  <c r="C666" i="48"/>
  <c r="L665" i="48"/>
  <c r="M665" i="48"/>
  <c r="J665" i="48"/>
  <c r="K665" i="48"/>
  <c r="I665" i="48"/>
  <c r="G665" i="48"/>
  <c r="M664" i="48"/>
  <c r="L664" i="48"/>
  <c r="K664" i="48"/>
  <c r="G664" i="48"/>
  <c r="L663" i="48"/>
  <c r="M663" i="48"/>
  <c r="J663" i="48"/>
  <c r="K663" i="48"/>
  <c r="I663" i="48"/>
  <c r="G663" i="48"/>
  <c r="L662" i="48"/>
  <c r="M662" i="48"/>
  <c r="J662" i="48"/>
  <c r="K662" i="48"/>
  <c r="I662" i="48"/>
  <c r="G662" i="48"/>
  <c r="F662" i="48"/>
  <c r="C662" i="48"/>
  <c r="L661" i="48"/>
  <c r="M661" i="48"/>
  <c r="J661" i="48"/>
  <c r="K661" i="48"/>
  <c r="I661" i="48"/>
  <c r="G661" i="48"/>
  <c r="L660" i="48"/>
  <c r="M660" i="48"/>
  <c r="K660" i="48"/>
  <c r="G660" i="48"/>
  <c r="L659" i="48"/>
  <c r="M659" i="48"/>
  <c r="J659" i="48"/>
  <c r="K659" i="48"/>
  <c r="I659" i="48"/>
  <c r="G659" i="48"/>
  <c r="L658" i="48"/>
  <c r="M658" i="48"/>
  <c r="J658" i="48"/>
  <c r="K658" i="48"/>
  <c r="I658" i="48"/>
  <c r="G658" i="48"/>
  <c r="F658" i="48"/>
  <c r="J657" i="48"/>
  <c r="K657" i="48"/>
  <c r="I657" i="48"/>
  <c r="L657" i="48"/>
  <c r="M657" i="48"/>
  <c r="G657" i="48"/>
  <c r="L656" i="48"/>
  <c r="M656" i="48"/>
  <c r="J656" i="48"/>
  <c r="K656" i="48"/>
  <c r="I656" i="48"/>
  <c r="G656" i="48"/>
  <c r="M655" i="48"/>
  <c r="L655" i="48"/>
  <c r="K655" i="48"/>
  <c r="G655" i="48"/>
  <c r="J654" i="48"/>
  <c r="K654" i="48"/>
  <c r="I654" i="48"/>
  <c r="L654" i="48"/>
  <c r="M654" i="48"/>
  <c r="G654" i="48"/>
  <c r="E654" i="48"/>
  <c r="E666" i="48"/>
  <c r="L653" i="48"/>
  <c r="J653" i="48"/>
  <c r="K653" i="48"/>
  <c r="I653" i="48"/>
  <c r="G653" i="48"/>
  <c r="G666" i="48"/>
  <c r="K652" i="48"/>
  <c r="K651" i="48"/>
  <c r="L650" i="48"/>
  <c r="K650" i="48"/>
  <c r="I650" i="48"/>
  <c r="F650" i="48"/>
  <c r="E650" i="48"/>
  <c r="D650" i="48"/>
  <c r="C650" i="48"/>
  <c r="M649" i="48"/>
  <c r="L649" i="48"/>
  <c r="K649" i="48"/>
  <c r="G649" i="48"/>
  <c r="M648" i="48"/>
  <c r="M650" i="48"/>
  <c r="L648" i="48"/>
  <c r="K648" i="48"/>
  <c r="G648" i="48"/>
  <c r="G650" i="48"/>
  <c r="K647" i="48"/>
  <c r="G645" i="48"/>
  <c r="F645" i="48"/>
  <c r="C645" i="48"/>
  <c r="J644" i="48"/>
  <c r="K644" i="48"/>
  <c r="I644" i="48"/>
  <c r="L644" i="48"/>
  <c r="M644" i="48"/>
  <c r="G644" i="48"/>
  <c r="E644" i="48"/>
  <c r="J643" i="48"/>
  <c r="K643" i="48"/>
  <c r="I643" i="48"/>
  <c r="L643" i="48"/>
  <c r="M643" i="48"/>
  <c r="G643" i="48"/>
  <c r="E643" i="48"/>
  <c r="J642" i="48"/>
  <c r="K642" i="48"/>
  <c r="I642" i="48"/>
  <c r="L642" i="48"/>
  <c r="M642" i="48"/>
  <c r="G642" i="48"/>
  <c r="E642" i="48"/>
  <c r="J641" i="48"/>
  <c r="K641" i="48"/>
  <c r="I641" i="48"/>
  <c r="L641" i="48"/>
  <c r="M641" i="48"/>
  <c r="G641" i="48"/>
  <c r="E641" i="48"/>
  <c r="J640" i="48"/>
  <c r="K640" i="48"/>
  <c r="I640" i="48"/>
  <c r="L640" i="48"/>
  <c r="M640" i="48"/>
  <c r="G640" i="48"/>
  <c r="E640" i="48"/>
  <c r="J639" i="48"/>
  <c r="K639" i="48"/>
  <c r="I639" i="48"/>
  <c r="L639" i="48"/>
  <c r="M639" i="48"/>
  <c r="G639" i="48"/>
  <c r="D639" i="48"/>
  <c r="E639" i="48"/>
  <c r="J638" i="48"/>
  <c r="K638" i="48"/>
  <c r="I638" i="48"/>
  <c r="L638" i="48"/>
  <c r="M638" i="48"/>
  <c r="G638" i="48"/>
  <c r="J637" i="48"/>
  <c r="K637" i="48"/>
  <c r="I637" i="48"/>
  <c r="L637" i="48"/>
  <c r="M637" i="48"/>
  <c r="G637" i="48"/>
  <c r="E637" i="48"/>
  <c r="J636" i="48"/>
  <c r="K636" i="48"/>
  <c r="I636" i="48"/>
  <c r="L636" i="48"/>
  <c r="M636" i="48"/>
  <c r="G636" i="48"/>
  <c r="D636" i="48"/>
  <c r="E636" i="48"/>
  <c r="J635" i="48"/>
  <c r="K635" i="48"/>
  <c r="I635" i="48"/>
  <c r="L635" i="48"/>
  <c r="M635" i="48"/>
  <c r="G635" i="48"/>
  <c r="E635" i="48"/>
  <c r="J634" i="48"/>
  <c r="I634" i="48"/>
  <c r="L634" i="48"/>
  <c r="M634" i="48"/>
  <c r="G634" i="48"/>
  <c r="E634" i="48"/>
  <c r="J633" i="48"/>
  <c r="K633" i="48"/>
  <c r="I633" i="48"/>
  <c r="L633" i="48"/>
  <c r="M633" i="48"/>
  <c r="G633" i="48"/>
  <c r="E633" i="48"/>
  <c r="J632" i="48"/>
  <c r="K632" i="48"/>
  <c r="I632" i="48"/>
  <c r="L632" i="48"/>
  <c r="G632" i="48"/>
  <c r="K631" i="48"/>
  <c r="K630" i="48"/>
  <c r="K629" i="48"/>
  <c r="K628" i="48"/>
  <c r="K627" i="48"/>
  <c r="K626" i="48"/>
  <c r="K625" i="48"/>
  <c r="K623" i="48"/>
  <c r="K621" i="48"/>
  <c r="M620" i="48"/>
  <c r="L620" i="48"/>
  <c r="J620" i="48"/>
  <c r="K620" i="48"/>
  <c r="I620" i="48"/>
  <c r="G620" i="48"/>
  <c r="F620" i="48"/>
  <c r="E620" i="48"/>
  <c r="D620" i="48"/>
  <c r="C620" i="48"/>
  <c r="K619" i="48"/>
  <c r="K618" i="48"/>
  <c r="K617" i="48"/>
  <c r="E616" i="48"/>
  <c r="E622" i="48"/>
  <c r="G614" i="48"/>
  <c r="F614" i="48"/>
  <c r="D614" i="48"/>
  <c r="D616" i="48"/>
  <c r="D622" i="48"/>
  <c r="C614" i="48"/>
  <c r="M613" i="48"/>
  <c r="J613" i="48"/>
  <c r="K613" i="48"/>
  <c r="G613" i="48"/>
  <c r="E613" i="48"/>
  <c r="E614" i="48"/>
  <c r="K612" i="48"/>
  <c r="K611" i="48"/>
  <c r="K610" i="48"/>
  <c r="K609" i="48"/>
  <c r="K608" i="48"/>
  <c r="K607" i="48"/>
  <c r="K606" i="48"/>
  <c r="K605" i="48"/>
  <c r="J604" i="48"/>
  <c r="K604" i="48"/>
  <c r="I604" i="48"/>
  <c r="L604" i="48"/>
  <c r="K603" i="48"/>
  <c r="G601" i="48"/>
  <c r="F601" i="48"/>
  <c r="F2200" i="48"/>
  <c r="E601" i="48"/>
  <c r="E2200" i="48"/>
  <c r="D601" i="48"/>
  <c r="D2200" i="48"/>
  <c r="C601" i="48"/>
  <c r="C2200" i="48"/>
  <c r="J600" i="48"/>
  <c r="K600" i="48"/>
  <c r="G600" i="48"/>
  <c r="K599" i="48"/>
  <c r="K596" i="48"/>
  <c r="J595" i="48"/>
  <c r="K595" i="48"/>
  <c r="J594" i="48"/>
  <c r="K594" i="48"/>
  <c r="K593" i="48"/>
  <c r="J592" i="48"/>
  <c r="K592" i="48"/>
  <c r="J591" i="48"/>
  <c r="K591" i="48"/>
  <c r="K590" i="48"/>
  <c r="J589" i="48"/>
  <c r="K589" i="48"/>
  <c r="J588" i="48"/>
  <c r="K588" i="48"/>
  <c r="J587" i="48"/>
  <c r="K587" i="48"/>
  <c r="J586" i="48"/>
  <c r="K586" i="48"/>
  <c r="J585" i="48"/>
  <c r="K585" i="48"/>
  <c r="J584" i="48"/>
  <c r="K583" i="48"/>
  <c r="K582" i="48"/>
  <c r="K581" i="48"/>
  <c r="K580" i="48"/>
  <c r="E579" i="48"/>
  <c r="E577" i="48"/>
  <c r="D577" i="48"/>
  <c r="C577" i="48"/>
  <c r="M576" i="48"/>
  <c r="J576" i="48"/>
  <c r="F576" i="48"/>
  <c r="E576" i="48"/>
  <c r="E2167" i="48"/>
  <c r="D576" i="48"/>
  <c r="D2167" i="48"/>
  <c r="J575" i="48"/>
  <c r="K575" i="48"/>
  <c r="B575" i="48"/>
  <c r="K574" i="48"/>
  <c r="F572" i="48"/>
  <c r="F2149" i="48"/>
  <c r="E572" i="48"/>
  <c r="E2149" i="48"/>
  <c r="D572" i="48"/>
  <c r="D2149" i="48"/>
  <c r="C572" i="48"/>
  <c r="C2149" i="48"/>
  <c r="J571" i="48"/>
  <c r="J572" i="48"/>
  <c r="J2149" i="48"/>
  <c r="K2149" i="48"/>
  <c r="G571" i="48"/>
  <c r="G572" i="48"/>
  <c r="G2149" i="48"/>
  <c r="K570" i="48"/>
  <c r="E568" i="48"/>
  <c r="E2147" i="48"/>
  <c r="D568" i="48"/>
  <c r="D2147" i="48"/>
  <c r="C568" i="48"/>
  <c r="C2147" i="48"/>
  <c r="K567" i="48"/>
  <c r="I567" i="48"/>
  <c r="L567" i="48"/>
  <c r="M567" i="48"/>
  <c r="F567" i="48"/>
  <c r="G567" i="48"/>
  <c r="K566" i="48"/>
  <c r="I566" i="48"/>
  <c r="L566" i="48"/>
  <c r="M566" i="48"/>
  <c r="G566" i="48"/>
  <c r="G568" i="48"/>
  <c r="J565" i="48"/>
  <c r="K565" i="48"/>
  <c r="I565" i="48"/>
  <c r="L565" i="48"/>
  <c r="M565" i="48"/>
  <c r="F565" i="48"/>
  <c r="G565" i="48"/>
  <c r="J564" i="48"/>
  <c r="K564" i="48"/>
  <c r="I564" i="48"/>
  <c r="L564" i="48"/>
  <c r="M564" i="48"/>
  <c r="G564" i="48"/>
  <c r="F564" i="48"/>
  <c r="F568" i="48"/>
  <c r="F2147" i="48"/>
  <c r="J563" i="48"/>
  <c r="K563" i="48"/>
  <c r="I563" i="48"/>
  <c r="L563" i="48"/>
  <c r="M563" i="48"/>
  <c r="G563" i="48"/>
  <c r="J562" i="48"/>
  <c r="I562" i="48"/>
  <c r="L562" i="48"/>
  <c r="L576" i="48"/>
  <c r="K561" i="48"/>
  <c r="K560" i="48"/>
  <c r="K559" i="48"/>
  <c r="K558" i="48"/>
  <c r="K557" i="48"/>
  <c r="K556" i="48"/>
  <c r="K555" i="48"/>
  <c r="K554" i="48"/>
  <c r="K552" i="48"/>
  <c r="C551" i="48"/>
  <c r="C553" i="48"/>
  <c r="K550" i="48"/>
  <c r="K549" i="48"/>
  <c r="F549" i="48"/>
  <c r="E549" i="48"/>
  <c r="D549" i="48"/>
  <c r="C549" i="48"/>
  <c r="K548" i="48"/>
  <c r="G548" i="48"/>
  <c r="I548" i="48"/>
  <c r="L548" i="48"/>
  <c r="M548" i="48"/>
  <c r="J547" i="48"/>
  <c r="K547" i="48"/>
  <c r="G547" i="48"/>
  <c r="K546" i="48"/>
  <c r="K545" i="48"/>
  <c r="C544" i="48"/>
  <c r="F542" i="48"/>
  <c r="E542" i="48"/>
  <c r="D542" i="48"/>
  <c r="C542" i="48"/>
  <c r="J541" i="48"/>
  <c r="K541" i="48"/>
  <c r="I541" i="48"/>
  <c r="L541" i="48"/>
  <c r="M541" i="48"/>
  <c r="G541" i="48"/>
  <c r="L540" i="48"/>
  <c r="M540" i="48"/>
  <c r="K540" i="48"/>
  <c r="I540" i="48"/>
  <c r="G540" i="48"/>
  <c r="M539" i="48"/>
  <c r="L539" i="48"/>
  <c r="K539" i="48"/>
  <c r="I539" i="48"/>
  <c r="G539" i="48"/>
  <c r="J538" i="48"/>
  <c r="K538" i="48"/>
  <c r="I538" i="48"/>
  <c r="L538" i="48"/>
  <c r="M538" i="48"/>
  <c r="G538" i="48"/>
  <c r="M537" i="48"/>
  <c r="L537" i="48"/>
  <c r="K537" i="48"/>
  <c r="G537" i="48"/>
  <c r="K536" i="48"/>
  <c r="I536" i="48"/>
  <c r="L536" i="48"/>
  <c r="M536" i="48"/>
  <c r="G536" i="48"/>
  <c r="J535" i="48"/>
  <c r="K535" i="48"/>
  <c r="I535" i="48"/>
  <c r="L535" i="48"/>
  <c r="M535" i="48"/>
  <c r="G535" i="48"/>
  <c r="J534" i="48"/>
  <c r="K534" i="48"/>
  <c r="I534" i="48"/>
  <c r="G534" i="48"/>
  <c r="L533" i="48"/>
  <c r="M533" i="48"/>
  <c r="K533" i="48"/>
  <c r="G533" i="48"/>
  <c r="M532" i="48"/>
  <c r="J532" i="48"/>
  <c r="I532" i="48"/>
  <c r="L532" i="48"/>
  <c r="G532" i="48"/>
  <c r="K531" i="48"/>
  <c r="K530" i="48"/>
  <c r="K529" i="48"/>
  <c r="J529" i="48"/>
  <c r="I529" i="48"/>
  <c r="F529" i="48"/>
  <c r="E529" i="48"/>
  <c r="D529" i="48"/>
  <c r="C529" i="48"/>
  <c r="M528" i="48"/>
  <c r="M529" i="48"/>
  <c r="L528" i="48"/>
  <c r="L529" i="48"/>
  <c r="K528" i="48"/>
  <c r="G528" i="48"/>
  <c r="G529" i="48"/>
  <c r="K527" i="48"/>
  <c r="F525" i="48"/>
  <c r="C525" i="48"/>
  <c r="J524" i="48"/>
  <c r="K524" i="48"/>
  <c r="I524" i="48"/>
  <c r="L524" i="48"/>
  <c r="M524" i="48"/>
  <c r="G524" i="48"/>
  <c r="E524" i="48"/>
  <c r="J523" i="48"/>
  <c r="K523" i="48"/>
  <c r="I523" i="48"/>
  <c r="L523" i="48"/>
  <c r="M523" i="48"/>
  <c r="G523" i="48"/>
  <c r="D523" i="48"/>
  <c r="J522" i="48"/>
  <c r="K522" i="48"/>
  <c r="I522" i="48"/>
  <c r="L522" i="48"/>
  <c r="M522" i="48"/>
  <c r="G522" i="48"/>
  <c r="E522" i="48"/>
  <c r="K521" i="48"/>
  <c r="I521" i="48"/>
  <c r="L521" i="48"/>
  <c r="M521" i="48"/>
  <c r="G521" i="48"/>
  <c r="K520" i="48"/>
  <c r="I520" i="48"/>
  <c r="L520" i="48"/>
  <c r="M520" i="48"/>
  <c r="G520" i="48"/>
  <c r="J519" i="48"/>
  <c r="K519" i="48"/>
  <c r="I519" i="48"/>
  <c r="L519" i="48"/>
  <c r="M519" i="48"/>
  <c r="G519" i="48"/>
  <c r="K518" i="48"/>
  <c r="I518" i="48"/>
  <c r="L518" i="48"/>
  <c r="M518" i="48"/>
  <c r="G518" i="48"/>
  <c r="J517" i="48"/>
  <c r="K517" i="48"/>
  <c r="I517" i="48"/>
  <c r="L517" i="48"/>
  <c r="M517" i="48"/>
  <c r="G517" i="48"/>
  <c r="E517" i="48"/>
  <c r="J516" i="48"/>
  <c r="K516" i="48"/>
  <c r="I516" i="48"/>
  <c r="L516" i="48"/>
  <c r="M516" i="48"/>
  <c r="G516" i="48"/>
  <c r="D516" i="48"/>
  <c r="J515" i="48"/>
  <c r="K515" i="48"/>
  <c r="I515" i="48"/>
  <c r="L515" i="48"/>
  <c r="M515" i="48"/>
  <c r="G515" i="48"/>
  <c r="E515" i="48"/>
  <c r="J514" i="48"/>
  <c r="K514" i="48"/>
  <c r="I514" i="48"/>
  <c r="L514" i="48"/>
  <c r="M514" i="48"/>
  <c r="G514" i="48"/>
  <c r="E514" i="48"/>
  <c r="J513" i="48"/>
  <c r="K513" i="48"/>
  <c r="I513" i="48"/>
  <c r="G513" i="48"/>
  <c r="D513" i="48"/>
  <c r="E513" i="48"/>
  <c r="E525" i="48"/>
  <c r="E544" i="48"/>
  <c r="E551" i="48"/>
  <c r="E553" i="48"/>
  <c r="J512" i="48"/>
  <c r="K512" i="48"/>
  <c r="I512" i="48"/>
  <c r="L512" i="48"/>
  <c r="G512" i="48"/>
  <c r="G525" i="48"/>
  <c r="K511" i="48"/>
  <c r="K510" i="48"/>
  <c r="K509" i="48"/>
  <c r="K508" i="48"/>
  <c r="K507" i="48"/>
  <c r="K506" i="48"/>
  <c r="K505" i="48"/>
  <c r="K504" i="48"/>
  <c r="K502" i="48"/>
  <c r="J498" i="48"/>
  <c r="K498" i="48"/>
  <c r="G498" i="48"/>
  <c r="F498" i="48"/>
  <c r="E498" i="48"/>
  <c r="D498" i="48"/>
  <c r="C498" i="48"/>
  <c r="J497" i="48"/>
  <c r="K497" i="48"/>
  <c r="G497" i="48"/>
  <c r="F497" i="48"/>
  <c r="E497" i="48"/>
  <c r="D497" i="48"/>
  <c r="C497" i="48"/>
  <c r="K496" i="48"/>
  <c r="E496" i="48"/>
  <c r="D496" i="48"/>
  <c r="C496" i="48"/>
  <c r="J495" i="48"/>
  <c r="K495" i="48"/>
  <c r="D495" i="48"/>
  <c r="C495" i="48"/>
  <c r="M494" i="48"/>
  <c r="L494" i="48"/>
  <c r="J494" i="48"/>
  <c r="K494" i="48"/>
  <c r="I494" i="48"/>
  <c r="G494" i="48"/>
  <c r="F494" i="48"/>
  <c r="E494" i="48"/>
  <c r="D494" i="48"/>
  <c r="C494" i="48"/>
  <c r="M493" i="48"/>
  <c r="L493" i="48"/>
  <c r="K493" i="48"/>
  <c r="I493" i="48"/>
  <c r="F493" i="48"/>
  <c r="E493" i="48"/>
  <c r="D493" i="48"/>
  <c r="D499" i="48"/>
  <c r="C493" i="48"/>
  <c r="M492" i="48"/>
  <c r="L492" i="48"/>
  <c r="K492" i="48"/>
  <c r="I492" i="48"/>
  <c r="E492" i="48"/>
  <c r="D492" i="48"/>
  <c r="C492" i="48"/>
  <c r="M491" i="48"/>
  <c r="L491" i="48"/>
  <c r="J491" i="48"/>
  <c r="I491" i="48"/>
  <c r="G491" i="48"/>
  <c r="F491" i="48"/>
  <c r="D491" i="48"/>
  <c r="C491" i="48"/>
  <c r="L490" i="48"/>
  <c r="M490" i="48"/>
  <c r="J490" i="48"/>
  <c r="K490" i="48"/>
  <c r="M489" i="48"/>
  <c r="L489" i="48"/>
  <c r="J489" i="48"/>
  <c r="K489" i="48"/>
  <c r="I489" i="48"/>
  <c r="G489" i="48"/>
  <c r="F489" i="48"/>
  <c r="C489" i="48"/>
  <c r="M488" i="48"/>
  <c r="J488" i="48"/>
  <c r="K488" i="48"/>
  <c r="I488" i="48"/>
  <c r="L488" i="48"/>
  <c r="G488" i="48"/>
  <c r="F488" i="48"/>
  <c r="K487" i="48"/>
  <c r="K486" i="48"/>
  <c r="G483" i="48"/>
  <c r="F483" i="48"/>
  <c r="D483" i="48"/>
  <c r="C483" i="48"/>
  <c r="K482" i="48"/>
  <c r="I482" i="48"/>
  <c r="L482" i="48"/>
  <c r="M482" i="48"/>
  <c r="J481" i="48"/>
  <c r="K481" i="48"/>
  <c r="I481" i="48"/>
  <c r="L481" i="48"/>
  <c r="M481" i="48"/>
  <c r="G481" i="48"/>
  <c r="J480" i="48"/>
  <c r="K480" i="48"/>
  <c r="G480" i="48"/>
  <c r="E480" i="48"/>
  <c r="I480" i="48"/>
  <c r="L480" i="48"/>
  <c r="M480" i="48"/>
  <c r="J479" i="48"/>
  <c r="K479" i="48"/>
  <c r="G479" i="48"/>
  <c r="E479" i="48"/>
  <c r="I479" i="48"/>
  <c r="L479" i="48"/>
  <c r="M479" i="48"/>
  <c r="M478" i="48"/>
  <c r="L478" i="48"/>
  <c r="J478" i="48"/>
  <c r="K478" i="48"/>
  <c r="G478" i="48"/>
  <c r="E478" i="48"/>
  <c r="J477" i="48"/>
  <c r="K477" i="48"/>
  <c r="I477" i="48"/>
  <c r="L477" i="48"/>
  <c r="M477" i="48"/>
  <c r="G477" i="48"/>
  <c r="E477" i="48"/>
  <c r="J476" i="48"/>
  <c r="K476" i="48"/>
  <c r="I476" i="48"/>
  <c r="L476" i="48"/>
  <c r="M476" i="48"/>
  <c r="G476" i="48"/>
  <c r="M475" i="48"/>
  <c r="J475" i="48"/>
  <c r="K475" i="48"/>
  <c r="I475" i="48"/>
  <c r="L475" i="48"/>
  <c r="G475" i="48"/>
  <c r="M474" i="48"/>
  <c r="L474" i="48"/>
  <c r="K474" i="48"/>
  <c r="I474" i="48"/>
  <c r="G474" i="48"/>
  <c r="M473" i="48"/>
  <c r="K473" i="48"/>
  <c r="I473" i="48"/>
  <c r="L473" i="48"/>
  <c r="G473" i="48"/>
  <c r="M472" i="48"/>
  <c r="J472" i="48"/>
  <c r="K472" i="48"/>
  <c r="I472" i="48"/>
  <c r="L472" i="48"/>
  <c r="G472" i="48"/>
  <c r="J471" i="48"/>
  <c r="K471" i="48"/>
  <c r="G471" i="48"/>
  <c r="E471" i="48"/>
  <c r="L470" i="48"/>
  <c r="M470" i="48"/>
  <c r="K470" i="48"/>
  <c r="I470" i="48"/>
  <c r="G470" i="48"/>
  <c r="L469" i="48"/>
  <c r="M469" i="48"/>
  <c r="J469" i="48"/>
  <c r="K469" i="48"/>
  <c r="I469" i="48"/>
  <c r="G469" i="48"/>
  <c r="E469" i="48"/>
  <c r="J468" i="48"/>
  <c r="K468" i="48"/>
  <c r="I468" i="48"/>
  <c r="L468" i="48"/>
  <c r="M468" i="48"/>
  <c r="G468" i="48"/>
  <c r="J467" i="48"/>
  <c r="K467" i="48"/>
  <c r="I467" i="48"/>
  <c r="L467" i="48"/>
  <c r="M467" i="48"/>
  <c r="G467" i="48"/>
  <c r="L466" i="48"/>
  <c r="M466" i="48"/>
  <c r="J466" i="48"/>
  <c r="K466" i="48"/>
  <c r="I466" i="48"/>
  <c r="G466" i="48"/>
  <c r="J465" i="48"/>
  <c r="K465" i="48"/>
  <c r="G465" i="48"/>
  <c r="I465" i="48"/>
  <c r="L465" i="48"/>
  <c r="M465" i="48"/>
  <c r="L464" i="48"/>
  <c r="M464" i="48"/>
  <c r="J464" i="48"/>
  <c r="K463" i="48"/>
  <c r="K462" i="48"/>
  <c r="K461" i="48"/>
  <c r="K460" i="48"/>
  <c r="I458" i="48"/>
  <c r="I2190" i="48"/>
  <c r="G458" i="48"/>
  <c r="G2190" i="48"/>
  <c r="F458" i="48"/>
  <c r="F2190" i="48"/>
  <c r="E458" i="48"/>
  <c r="E2190" i="48"/>
  <c r="D458" i="48"/>
  <c r="D2190" i="48"/>
  <c r="C458" i="48"/>
  <c r="M457" i="48"/>
  <c r="M458" i="48"/>
  <c r="M2190" i="48"/>
  <c r="L457" i="48"/>
  <c r="L458" i="48"/>
  <c r="L2190" i="48"/>
  <c r="J457" i="48"/>
  <c r="J458" i="48"/>
  <c r="K458" i="48"/>
  <c r="G457" i="48"/>
  <c r="K456" i="48"/>
  <c r="K455" i="48"/>
  <c r="K454" i="48"/>
  <c r="G454" i="48"/>
  <c r="F454" i="48"/>
  <c r="E454" i="48"/>
  <c r="D454" i="48"/>
  <c r="C454" i="48"/>
  <c r="L453" i="48"/>
  <c r="K453" i="48"/>
  <c r="I453" i="48"/>
  <c r="I2304" i="48"/>
  <c r="G453" i="48"/>
  <c r="M452" i="48"/>
  <c r="L452" i="48"/>
  <c r="K452" i="48"/>
  <c r="G452" i="48"/>
  <c r="K451" i="48"/>
  <c r="C449" i="48"/>
  <c r="C485" i="48"/>
  <c r="J448" i="48"/>
  <c r="K448" i="48"/>
  <c r="I448" i="48"/>
  <c r="L448" i="48"/>
  <c r="M448" i="48"/>
  <c r="G448" i="48"/>
  <c r="E448" i="48"/>
  <c r="J447" i="48"/>
  <c r="K447" i="48"/>
  <c r="I447" i="48"/>
  <c r="L447" i="48"/>
  <c r="M447" i="48"/>
  <c r="G447" i="48"/>
  <c r="D447" i="48"/>
  <c r="E447" i="48"/>
  <c r="J446" i="48"/>
  <c r="J2264" i="48"/>
  <c r="K2264" i="48"/>
  <c r="I446" i="48"/>
  <c r="I2264" i="48"/>
  <c r="G446" i="48"/>
  <c r="G2264" i="48"/>
  <c r="E446" i="48"/>
  <c r="E2264" i="48"/>
  <c r="J445" i="48"/>
  <c r="K445" i="48"/>
  <c r="I445" i="48"/>
  <c r="L445" i="48"/>
  <c r="M445" i="48"/>
  <c r="G445" i="48"/>
  <c r="E445" i="48"/>
  <c r="J444" i="48"/>
  <c r="K444" i="48"/>
  <c r="I444" i="48"/>
  <c r="L444" i="48"/>
  <c r="M444" i="48"/>
  <c r="F444" i="48"/>
  <c r="G444" i="48"/>
  <c r="E444" i="48"/>
  <c r="J443" i="48"/>
  <c r="K443" i="48"/>
  <c r="I443" i="48"/>
  <c r="L443" i="48"/>
  <c r="M443" i="48"/>
  <c r="G443" i="48"/>
  <c r="D443" i="48"/>
  <c r="J442" i="48"/>
  <c r="K442" i="48"/>
  <c r="I442" i="48"/>
  <c r="L442" i="48"/>
  <c r="M442" i="48"/>
  <c r="G442" i="48"/>
  <c r="G449" i="48"/>
  <c r="G485" i="48"/>
  <c r="D442" i="48"/>
  <c r="J441" i="48"/>
  <c r="K441" i="48"/>
  <c r="I441" i="48"/>
  <c r="L441" i="48"/>
  <c r="M441" i="48"/>
  <c r="G441" i="48"/>
  <c r="J440" i="48"/>
  <c r="K440" i="48"/>
  <c r="I440" i="48"/>
  <c r="L440" i="48"/>
  <c r="M440" i="48"/>
  <c r="G440" i="48"/>
  <c r="E440" i="48"/>
  <c r="J439" i="48"/>
  <c r="K439" i="48"/>
  <c r="I439" i="48"/>
  <c r="L439" i="48"/>
  <c r="M439" i="48"/>
  <c r="G439" i="48"/>
  <c r="D439" i="48"/>
  <c r="E439" i="48"/>
  <c r="J438" i="48"/>
  <c r="K438" i="48"/>
  <c r="I438" i="48"/>
  <c r="L438" i="48"/>
  <c r="M438" i="48"/>
  <c r="G438" i="48"/>
  <c r="E438" i="48"/>
  <c r="J437" i="48"/>
  <c r="K437" i="48"/>
  <c r="I437" i="48"/>
  <c r="L437" i="48"/>
  <c r="M437" i="48"/>
  <c r="G437" i="48"/>
  <c r="E437" i="48"/>
  <c r="J436" i="48"/>
  <c r="K436" i="48"/>
  <c r="I436" i="48"/>
  <c r="L436" i="48"/>
  <c r="M436" i="48"/>
  <c r="G436" i="48"/>
  <c r="E436" i="48"/>
  <c r="J435" i="48"/>
  <c r="K435" i="48"/>
  <c r="I435" i="48"/>
  <c r="G435" i="48"/>
  <c r="K434" i="48"/>
  <c r="K433" i="48"/>
  <c r="K432" i="48"/>
  <c r="K431" i="48"/>
  <c r="I428" i="48"/>
  <c r="F428" i="48"/>
  <c r="E428" i="48"/>
  <c r="D428" i="48"/>
  <c r="C428" i="48"/>
  <c r="L427" i="48"/>
  <c r="M427" i="48"/>
  <c r="J427" i="48"/>
  <c r="K427" i="48"/>
  <c r="G427" i="48"/>
  <c r="G428" i="48"/>
  <c r="D427" i="48"/>
  <c r="L426" i="48"/>
  <c r="M426" i="48"/>
  <c r="K426" i="48"/>
  <c r="G426" i="48"/>
  <c r="M425" i="48"/>
  <c r="L425" i="48"/>
  <c r="J425" i="48"/>
  <c r="K425" i="48"/>
  <c r="G425" i="48"/>
  <c r="M424" i="48"/>
  <c r="L424" i="48"/>
  <c r="K424" i="48"/>
  <c r="G424" i="48"/>
  <c r="L423" i="48"/>
  <c r="J423" i="48"/>
  <c r="G423" i="48"/>
  <c r="K422" i="48"/>
  <c r="M420" i="48"/>
  <c r="L420" i="48"/>
  <c r="I420" i="48"/>
  <c r="I430" i="48"/>
  <c r="G420" i="48"/>
  <c r="F420" i="48"/>
  <c r="C420" i="48"/>
  <c r="J419" i="48"/>
  <c r="K419" i="48"/>
  <c r="E419" i="48"/>
  <c r="K418" i="48"/>
  <c r="J417" i="48"/>
  <c r="K417" i="48"/>
  <c r="I417" i="48"/>
  <c r="I2161" i="48"/>
  <c r="E417" i="48"/>
  <c r="E2161" i="48"/>
  <c r="D417" i="48"/>
  <c r="D2161" i="48"/>
  <c r="K416" i="48"/>
  <c r="M414" i="48"/>
  <c r="M2157" i="48"/>
  <c r="L414" i="48"/>
  <c r="L2157" i="48"/>
  <c r="I414" i="48"/>
  <c r="I2157" i="48"/>
  <c r="G414" i="48"/>
  <c r="G2157" i="48"/>
  <c r="F414" i="48"/>
  <c r="F2157" i="48"/>
  <c r="E414" i="48"/>
  <c r="E2157" i="48"/>
  <c r="D414" i="48"/>
  <c r="C414" i="48"/>
  <c r="C2157" i="48"/>
  <c r="J413" i="48"/>
  <c r="J414" i="48"/>
  <c r="K412" i="48"/>
  <c r="L410" i="48"/>
  <c r="I410" i="48"/>
  <c r="I2155" i="48"/>
  <c r="F410" i="48"/>
  <c r="E410" i="48"/>
  <c r="E2155" i="48"/>
  <c r="D410" i="48"/>
  <c r="D2155" i="48"/>
  <c r="C410" i="48"/>
  <c r="M409" i="48"/>
  <c r="L409" i="48"/>
  <c r="J409" i="48"/>
  <c r="K409" i="48"/>
  <c r="G409" i="48"/>
  <c r="J408" i="48"/>
  <c r="K408" i="48"/>
  <c r="G408" i="48"/>
  <c r="M407" i="48"/>
  <c r="M410" i="48"/>
  <c r="L407" i="48"/>
  <c r="J407" i="48"/>
  <c r="G407" i="48"/>
  <c r="G410" i="48"/>
  <c r="K406" i="48"/>
  <c r="K405" i="48"/>
  <c r="K404" i="48"/>
  <c r="K403" i="48"/>
  <c r="K402" i="48"/>
  <c r="K401" i="48"/>
  <c r="K400" i="48"/>
  <c r="K399" i="48"/>
  <c r="K397" i="48"/>
  <c r="K395" i="48"/>
  <c r="F394" i="48"/>
  <c r="F396" i="48"/>
  <c r="C394" i="48"/>
  <c r="C396" i="48"/>
  <c r="K393" i="48"/>
  <c r="I391" i="48"/>
  <c r="G391" i="48"/>
  <c r="F391" i="48"/>
  <c r="D391" i="48"/>
  <c r="C391" i="48"/>
  <c r="J390" i="48"/>
  <c r="K390" i="48"/>
  <c r="G390" i="48"/>
  <c r="E390" i="48"/>
  <c r="I390" i="48"/>
  <c r="L390" i="48"/>
  <c r="M390" i="48"/>
  <c r="J389" i="48"/>
  <c r="K389" i="48"/>
  <c r="J388" i="48"/>
  <c r="K388" i="48"/>
  <c r="K387" i="48"/>
  <c r="I387" i="48"/>
  <c r="L387" i="48"/>
  <c r="M387" i="48"/>
  <c r="G387" i="48"/>
  <c r="E387" i="48"/>
  <c r="M386" i="48"/>
  <c r="K386" i="48"/>
  <c r="G386" i="48"/>
  <c r="E386" i="48"/>
  <c r="I386" i="48"/>
  <c r="L386" i="48"/>
  <c r="L385" i="48"/>
  <c r="K385" i="48"/>
  <c r="G385" i="48"/>
  <c r="E385" i="48"/>
  <c r="J384" i="48"/>
  <c r="I384" i="48"/>
  <c r="L384" i="48"/>
  <c r="M384" i="48"/>
  <c r="G384" i="48"/>
  <c r="E384" i="48"/>
  <c r="K383" i="48"/>
  <c r="F381" i="48"/>
  <c r="C381" i="48"/>
  <c r="K380" i="48"/>
  <c r="I380" i="48"/>
  <c r="L380" i="48"/>
  <c r="M380" i="48"/>
  <c r="G380" i="48"/>
  <c r="K379" i="48"/>
  <c r="I379" i="48"/>
  <c r="L379" i="48"/>
  <c r="M379" i="48"/>
  <c r="G379" i="48"/>
  <c r="J378" i="48"/>
  <c r="K378" i="48"/>
  <c r="I378" i="48"/>
  <c r="L378" i="48"/>
  <c r="M378" i="48"/>
  <c r="G378" i="48"/>
  <c r="J377" i="48"/>
  <c r="K377" i="48"/>
  <c r="I377" i="48"/>
  <c r="L377" i="48"/>
  <c r="M377" i="48"/>
  <c r="G377" i="48"/>
  <c r="K376" i="48"/>
  <c r="I376" i="48"/>
  <c r="L376" i="48"/>
  <c r="M376" i="48"/>
  <c r="G376" i="48"/>
  <c r="K375" i="48"/>
  <c r="I375" i="48"/>
  <c r="L375" i="48"/>
  <c r="M375" i="48"/>
  <c r="G375" i="48"/>
  <c r="K374" i="48"/>
  <c r="I374" i="48"/>
  <c r="L374" i="48"/>
  <c r="M374" i="48"/>
  <c r="G374" i="48"/>
  <c r="K373" i="48"/>
  <c r="I373" i="48"/>
  <c r="L373" i="48"/>
  <c r="M373" i="48"/>
  <c r="G373" i="48"/>
  <c r="J372" i="48"/>
  <c r="K372" i="48"/>
  <c r="I372" i="48"/>
  <c r="L372" i="48"/>
  <c r="M372" i="48"/>
  <c r="G372" i="48"/>
  <c r="J371" i="48"/>
  <c r="K371" i="48"/>
  <c r="I371" i="48"/>
  <c r="L371" i="48"/>
  <c r="M371" i="48"/>
  <c r="G371" i="48"/>
  <c r="J370" i="48"/>
  <c r="K370" i="48"/>
  <c r="I370" i="48"/>
  <c r="L370" i="48"/>
  <c r="M370" i="48"/>
  <c r="G370" i="48"/>
  <c r="K369" i="48"/>
  <c r="I369" i="48"/>
  <c r="L369" i="48"/>
  <c r="M369" i="48"/>
  <c r="G369" i="48"/>
  <c r="K368" i="48"/>
  <c r="I368" i="48"/>
  <c r="L368" i="48"/>
  <c r="M368" i="48"/>
  <c r="G368" i="48"/>
  <c r="J367" i="48"/>
  <c r="K367" i="48"/>
  <c r="I367" i="48"/>
  <c r="L367" i="48"/>
  <c r="M367" i="48"/>
  <c r="G367" i="48"/>
  <c r="E367" i="48"/>
  <c r="E2275" i="48"/>
  <c r="J366" i="48"/>
  <c r="K366" i="48"/>
  <c r="I366" i="48"/>
  <c r="L366" i="48"/>
  <c r="M366" i="48"/>
  <c r="G366" i="48"/>
  <c r="E366" i="48"/>
  <c r="K365" i="48"/>
  <c r="I365" i="48"/>
  <c r="L365" i="48"/>
  <c r="M365" i="48"/>
  <c r="G365" i="48"/>
  <c r="J364" i="48"/>
  <c r="K364" i="48"/>
  <c r="I364" i="48"/>
  <c r="L364" i="48"/>
  <c r="M364" i="48"/>
  <c r="G364" i="48"/>
  <c r="E364" i="48"/>
  <c r="J363" i="48"/>
  <c r="K363" i="48"/>
  <c r="I363" i="48"/>
  <c r="L363" i="48"/>
  <c r="M363" i="48"/>
  <c r="G363" i="48"/>
  <c r="E363" i="48"/>
  <c r="J362" i="48"/>
  <c r="K362" i="48"/>
  <c r="I362" i="48"/>
  <c r="L362" i="48"/>
  <c r="M362" i="48"/>
  <c r="G362" i="48"/>
  <c r="J361" i="48"/>
  <c r="K361" i="48"/>
  <c r="I361" i="48"/>
  <c r="L361" i="48"/>
  <c r="M361" i="48"/>
  <c r="G361" i="48"/>
  <c r="E361" i="48"/>
  <c r="K360" i="48"/>
  <c r="I360" i="48"/>
  <c r="L360" i="48"/>
  <c r="M360" i="48"/>
  <c r="G360" i="48"/>
  <c r="K359" i="48"/>
  <c r="I359" i="48"/>
  <c r="L359" i="48"/>
  <c r="M359" i="48"/>
  <c r="G359" i="48"/>
  <c r="K358" i="48"/>
  <c r="I358" i="48"/>
  <c r="L358" i="48"/>
  <c r="M358" i="48"/>
  <c r="G358" i="48"/>
  <c r="K357" i="48"/>
  <c r="I357" i="48"/>
  <c r="L357" i="48"/>
  <c r="M357" i="48"/>
  <c r="G357" i="48"/>
  <c r="K356" i="48"/>
  <c r="I356" i="48"/>
  <c r="L356" i="48"/>
  <c r="M356" i="48"/>
  <c r="G356" i="48"/>
  <c r="J355" i="48"/>
  <c r="I355" i="48"/>
  <c r="G355" i="48"/>
  <c r="D355" i="48"/>
  <c r="K354" i="48"/>
  <c r="K353" i="48"/>
  <c r="K352" i="48"/>
  <c r="M350" i="48"/>
  <c r="G350" i="48"/>
  <c r="F350" i="48"/>
  <c r="F398" i="48"/>
  <c r="D350" i="48"/>
  <c r="K349" i="48"/>
  <c r="M348" i="48"/>
  <c r="L348" i="48"/>
  <c r="L350" i="48"/>
  <c r="I348" i="48"/>
  <c r="I350" i="48"/>
  <c r="G348" i="48"/>
  <c r="F348" i="48"/>
  <c r="E348" i="48"/>
  <c r="E350" i="48"/>
  <c r="D348" i="48"/>
  <c r="C348" i="48"/>
  <c r="C350" i="48"/>
  <c r="C398" i="48"/>
  <c r="J347" i="48"/>
  <c r="K347" i="48"/>
  <c r="K346" i="48"/>
  <c r="K345" i="48"/>
  <c r="K344" i="48"/>
  <c r="K343" i="48"/>
  <c r="K342" i="48"/>
  <c r="K341" i="48"/>
  <c r="K340" i="48"/>
  <c r="K339" i="48"/>
  <c r="K338" i="48"/>
  <c r="K337" i="48"/>
  <c r="K335" i="48"/>
  <c r="F334" i="48"/>
  <c r="K333" i="48"/>
  <c r="F332" i="48"/>
  <c r="C332" i="48"/>
  <c r="C334" i="48"/>
  <c r="C336" i="48"/>
  <c r="G330" i="48"/>
  <c r="F330" i="48"/>
  <c r="E330" i="48"/>
  <c r="D330" i="48"/>
  <c r="C330" i="48"/>
  <c r="J329" i="48"/>
  <c r="K329" i="48"/>
  <c r="G329" i="48"/>
  <c r="E329" i="48"/>
  <c r="I329" i="48"/>
  <c r="L329" i="48"/>
  <c r="M329" i="48"/>
  <c r="J328" i="48"/>
  <c r="K328" i="48"/>
  <c r="I328" i="48"/>
  <c r="L328" i="48"/>
  <c r="M328" i="48"/>
  <c r="G328" i="48"/>
  <c r="J327" i="48"/>
  <c r="I327" i="48"/>
  <c r="G327" i="48"/>
  <c r="E327" i="48"/>
  <c r="L326" i="48"/>
  <c r="M326" i="48"/>
  <c r="K326" i="48"/>
  <c r="G326" i="48"/>
  <c r="E326" i="48"/>
  <c r="M325" i="48"/>
  <c r="L325" i="48"/>
  <c r="J325" i="48"/>
  <c r="K325" i="48"/>
  <c r="I325" i="48"/>
  <c r="G325" i="48"/>
  <c r="E325" i="48"/>
  <c r="K324" i="48"/>
  <c r="F322" i="48"/>
  <c r="C322" i="48"/>
  <c r="K321" i="48"/>
  <c r="I321" i="48"/>
  <c r="L321" i="48"/>
  <c r="M321" i="48"/>
  <c r="G321" i="48"/>
  <c r="K320" i="48"/>
  <c r="I320" i="48"/>
  <c r="L320" i="48"/>
  <c r="M320" i="48"/>
  <c r="G320" i="48"/>
  <c r="K319" i="48"/>
  <c r="I319" i="48"/>
  <c r="L319" i="48"/>
  <c r="M319" i="48"/>
  <c r="G319" i="48"/>
  <c r="K318" i="48"/>
  <c r="I318" i="48"/>
  <c r="L318" i="48"/>
  <c r="M318" i="48"/>
  <c r="G318" i="48"/>
  <c r="K317" i="48"/>
  <c r="I317" i="48"/>
  <c r="L317" i="48"/>
  <c r="M317" i="48"/>
  <c r="G317" i="48"/>
  <c r="K316" i="48"/>
  <c r="I316" i="48"/>
  <c r="L316" i="48"/>
  <c r="M316" i="48"/>
  <c r="G316" i="48"/>
  <c r="K315" i="48"/>
  <c r="I315" i="48"/>
  <c r="L315" i="48"/>
  <c r="M315" i="48"/>
  <c r="G315" i="48"/>
  <c r="K314" i="48"/>
  <c r="I314" i="48"/>
  <c r="L314" i="48"/>
  <c r="M314" i="48"/>
  <c r="G314" i="48"/>
  <c r="I313" i="48"/>
  <c r="L313" i="48"/>
  <c r="M313" i="48"/>
  <c r="K313" i="48"/>
  <c r="G313" i="48"/>
  <c r="K312" i="48"/>
  <c r="I312" i="48"/>
  <c r="L312" i="48"/>
  <c r="M312" i="48"/>
  <c r="G312" i="48"/>
  <c r="K311" i="48"/>
  <c r="I311" i="48"/>
  <c r="L311" i="48"/>
  <c r="M311" i="48"/>
  <c r="G311" i="48"/>
  <c r="K310" i="48"/>
  <c r="I310" i="48"/>
  <c r="L310" i="48"/>
  <c r="M310" i="48"/>
  <c r="G310" i="48"/>
  <c r="K309" i="48"/>
  <c r="I309" i="48"/>
  <c r="L309" i="48"/>
  <c r="M309" i="48"/>
  <c r="G309" i="48"/>
  <c r="J308" i="48"/>
  <c r="K308" i="48"/>
  <c r="I308" i="48"/>
  <c r="L308" i="48"/>
  <c r="M308" i="48"/>
  <c r="G308" i="48"/>
  <c r="J307" i="48"/>
  <c r="K307" i="48"/>
  <c r="I307" i="48"/>
  <c r="L307" i="48"/>
  <c r="M307" i="48"/>
  <c r="G307" i="48"/>
  <c r="E307" i="48"/>
  <c r="J306" i="48"/>
  <c r="K306" i="48"/>
  <c r="I306" i="48"/>
  <c r="L306" i="48"/>
  <c r="M306" i="48"/>
  <c r="G306" i="48"/>
  <c r="K305" i="48"/>
  <c r="I305" i="48"/>
  <c r="L305" i="48"/>
  <c r="M305" i="48"/>
  <c r="G305" i="48"/>
  <c r="E305" i="48"/>
  <c r="J304" i="48"/>
  <c r="K304" i="48"/>
  <c r="I304" i="48"/>
  <c r="L304" i="48"/>
  <c r="M304" i="48"/>
  <c r="G304" i="48"/>
  <c r="E304" i="48"/>
  <c r="J303" i="48"/>
  <c r="K303" i="48"/>
  <c r="I303" i="48"/>
  <c r="L303" i="48"/>
  <c r="M303" i="48"/>
  <c r="G303" i="48"/>
  <c r="J302" i="48"/>
  <c r="K302" i="48"/>
  <c r="I302" i="48"/>
  <c r="L302" i="48"/>
  <c r="M302" i="48"/>
  <c r="G302" i="48"/>
  <c r="E302" i="48"/>
  <c r="K301" i="48"/>
  <c r="I301" i="48"/>
  <c r="L301" i="48"/>
  <c r="M301" i="48"/>
  <c r="G301" i="48"/>
  <c r="J300" i="48"/>
  <c r="K300" i="48"/>
  <c r="I300" i="48"/>
  <c r="L300" i="48"/>
  <c r="M300" i="48"/>
  <c r="G300" i="48"/>
  <c r="K299" i="48"/>
  <c r="I299" i="48"/>
  <c r="L299" i="48"/>
  <c r="M299" i="48"/>
  <c r="G299" i="48"/>
  <c r="K298" i="48"/>
  <c r="I298" i="48"/>
  <c r="L298" i="48"/>
  <c r="M298" i="48"/>
  <c r="G298" i="48"/>
  <c r="K297" i="48"/>
  <c r="I297" i="48"/>
  <c r="L297" i="48"/>
  <c r="M297" i="48"/>
  <c r="G297" i="48"/>
  <c r="J296" i="48"/>
  <c r="I296" i="48"/>
  <c r="G296" i="48"/>
  <c r="G322" i="48"/>
  <c r="G332" i="48"/>
  <c r="G334" i="48"/>
  <c r="G336" i="48"/>
  <c r="D296" i="48"/>
  <c r="D322" i="48"/>
  <c r="D332" i="48"/>
  <c r="D334" i="48"/>
  <c r="K295" i="48"/>
  <c r="K294" i="48"/>
  <c r="K293" i="48"/>
  <c r="M291" i="48"/>
  <c r="L291" i="48"/>
  <c r="E291" i="48"/>
  <c r="C291" i="48"/>
  <c r="K290" i="48"/>
  <c r="M289" i="48"/>
  <c r="L289" i="48"/>
  <c r="I289" i="48"/>
  <c r="I291" i="48"/>
  <c r="G289" i="48"/>
  <c r="G291" i="48"/>
  <c r="F289" i="48"/>
  <c r="F291" i="48"/>
  <c r="F336" i="48"/>
  <c r="E289" i="48"/>
  <c r="D289" i="48"/>
  <c r="D291" i="48"/>
  <c r="C289" i="48"/>
  <c r="J288" i="48"/>
  <c r="K288" i="48"/>
  <c r="K287" i="48"/>
  <c r="K286" i="48"/>
  <c r="K285" i="48"/>
  <c r="K284" i="48"/>
  <c r="K283" i="48"/>
  <c r="K282" i="48"/>
  <c r="K281" i="48"/>
  <c r="K280" i="48"/>
  <c r="C279" i="48"/>
  <c r="K278" i="48"/>
  <c r="G275" i="48"/>
  <c r="F275" i="48"/>
  <c r="E275" i="48"/>
  <c r="D275" i="48"/>
  <c r="C275" i="48"/>
  <c r="C2204" i="48"/>
  <c r="M274" i="48"/>
  <c r="L274" i="48"/>
  <c r="L275" i="48"/>
  <c r="J274" i="48"/>
  <c r="K274" i="48"/>
  <c r="I274" i="48"/>
  <c r="G274" i="48"/>
  <c r="L273" i="48"/>
  <c r="M273" i="48"/>
  <c r="M275" i="48"/>
  <c r="J273" i="48"/>
  <c r="I273" i="48"/>
  <c r="I275" i="48"/>
  <c r="G273" i="48"/>
  <c r="K272" i="48"/>
  <c r="K271" i="48"/>
  <c r="F268" i="48"/>
  <c r="D268" i="48"/>
  <c r="C268" i="48"/>
  <c r="J267" i="48"/>
  <c r="K267" i="48"/>
  <c r="I267" i="48"/>
  <c r="L267" i="48"/>
  <c r="M267" i="48"/>
  <c r="G267" i="48"/>
  <c r="E267" i="48"/>
  <c r="J266" i="48"/>
  <c r="K266" i="48"/>
  <c r="I266" i="48"/>
  <c r="L266" i="48"/>
  <c r="M266" i="48"/>
  <c r="G266" i="48"/>
  <c r="M265" i="48"/>
  <c r="J265" i="48"/>
  <c r="K265" i="48"/>
  <c r="G265" i="48"/>
  <c r="G268" i="48"/>
  <c r="E265" i="48"/>
  <c r="I265" i="48"/>
  <c r="L265" i="48"/>
  <c r="M264" i="48"/>
  <c r="L264" i="48"/>
  <c r="J264" i="48"/>
  <c r="K264" i="48"/>
  <c r="G264" i="48"/>
  <c r="E264" i="48"/>
  <c r="L263" i="48"/>
  <c r="L268" i="48"/>
  <c r="J263" i="48"/>
  <c r="G263" i="48"/>
  <c r="E263" i="48"/>
  <c r="I263" i="48"/>
  <c r="K262" i="48"/>
  <c r="F260" i="48"/>
  <c r="D260" i="48"/>
  <c r="D270" i="48"/>
  <c r="D277" i="48"/>
  <c r="C260" i="48"/>
  <c r="C270" i="48"/>
  <c r="C277" i="48"/>
  <c r="K259" i="48"/>
  <c r="I259" i="48"/>
  <c r="L259" i="48"/>
  <c r="M259" i="48"/>
  <c r="G259" i="48"/>
  <c r="K258" i="48"/>
  <c r="I258" i="48"/>
  <c r="L258" i="48"/>
  <c r="M258" i="48"/>
  <c r="G258" i="48"/>
  <c r="K257" i="48"/>
  <c r="I257" i="48"/>
  <c r="L257" i="48"/>
  <c r="M257" i="48"/>
  <c r="G257" i="48"/>
  <c r="K256" i="48"/>
  <c r="I256" i="48"/>
  <c r="L256" i="48"/>
  <c r="M256" i="48"/>
  <c r="G256" i="48"/>
  <c r="K255" i="48"/>
  <c r="I255" i="48"/>
  <c r="L255" i="48"/>
  <c r="M255" i="48"/>
  <c r="G255" i="48"/>
  <c r="K254" i="48"/>
  <c r="I254" i="48"/>
  <c r="L254" i="48"/>
  <c r="M254" i="48"/>
  <c r="G254" i="48"/>
  <c r="K253" i="48"/>
  <c r="I253" i="48"/>
  <c r="L253" i="48"/>
  <c r="M253" i="48"/>
  <c r="G253" i="48"/>
  <c r="K252" i="48"/>
  <c r="I252" i="48"/>
  <c r="L252" i="48"/>
  <c r="M252" i="48"/>
  <c r="G252" i="48"/>
  <c r="K251" i="48"/>
  <c r="I251" i="48"/>
  <c r="L251" i="48"/>
  <c r="M251" i="48"/>
  <c r="G251" i="48"/>
  <c r="K250" i="48"/>
  <c r="I250" i="48"/>
  <c r="L250" i="48"/>
  <c r="M250" i="48"/>
  <c r="G250" i="48"/>
  <c r="K249" i="48"/>
  <c r="I249" i="48"/>
  <c r="L249" i="48"/>
  <c r="M249" i="48"/>
  <c r="G249" i="48"/>
  <c r="K248" i="48"/>
  <c r="I248" i="48"/>
  <c r="L248" i="48"/>
  <c r="M248" i="48"/>
  <c r="G248" i="48"/>
  <c r="K247" i="48"/>
  <c r="I247" i="48"/>
  <c r="L247" i="48"/>
  <c r="M247" i="48"/>
  <c r="G247" i="48"/>
  <c r="J246" i="48"/>
  <c r="K246" i="48"/>
  <c r="I246" i="48"/>
  <c r="L246" i="48"/>
  <c r="M246" i="48"/>
  <c r="G246" i="48"/>
  <c r="J245" i="48"/>
  <c r="K245" i="48"/>
  <c r="I245" i="48"/>
  <c r="L245" i="48"/>
  <c r="M245" i="48"/>
  <c r="G245" i="48"/>
  <c r="E245" i="48"/>
  <c r="J244" i="48"/>
  <c r="K244" i="48"/>
  <c r="I244" i="48"/>
  <c r="L244" i="48"/>
  <c r="M244" i="48"/>
  <c r="G244" i="48"/>
  <c r="K243" i="48"/>
  <c r="I243" i="48"/>
  <c r="L243" i="48"/>
  <c r="M243" i="48"/>
  <c r="G243" i="48"/>
  <c r="E243" i="48"/>
  <c r="J242" i="48"/>
  <c r="K242" i="48"/>
  <c r="I242" i="48"/>
  <c r="L242" i="48"/>
  <c r="M242" i="48"/>
  <c r="G242" i="48"/>
  <c r="E242" i="48"/>
  <c r="J241" i="48"/>
  <c r="K241" i="48"/>
  <c r="I241" i="48"/>
  <c r="G241" i="48"/>
  <c r="K240" i="48"/>
  <c r="I240" i="48"/>
  <c r="L240" i="48"/>
  <c r="M240" i="48"/>
  <c r="G240" i="48"/>
  <c r="E240" i="48"/>
  <c r="J239" i="48"/>
  <c r="K239" i="48"/>
  <c r="I239" i="48"/>
  <c r="L239" i="48"/>
  <c r="M239" i="48"/>
  <c r="G239" i="48"/>
  <c r="J238" i="48"/>
  <c r="I238" i="48"/>
  <c r="L238" i="48"/>
  <c r="M238" i="48"/>
  <c r="G238" i="48"/>
  <c r="J237" i="48"/>
  <c r="K237" i="48"/>
  <c r="I237" i="48"/>
  <c r="L237" i="48"/>
  <c r="M237" i="48"/>
  <c r="G237" i="48"/>
  <c r="J236" i="48"/>
  <c r="K236" i="48"/>
  <c r="I236" i="48"/>
  <c r="L236" i="48"/>
  <c r="M236" i="48"/>
  <c r="G236" i="48"/>
  <c r="K235" i="48"/>
  <c r="I235" i="48"/>
  <c r="L235" i="48"/>
  <c r="M235" i="48"/>
  <c r="G235" i="48"/>
  <c r="J234" i="48"/>
  <c r="K234" i="48"/>
  <c r="I234" i="48"/>
  <c r="L234" i="48"/>
  <c r="G234" i="48"/>
  <c r="E234" i="48"/>
  <c r="E260" i="48"/>
  <c r="K233" i="48"/>
  <c r="K232" i="48"/>
  <c r="K231" i="48"/>
  <c r="M229" i="48"/>
  <c r="D229" i="48"/>
  <c r="M227" i="48"/>
  <c r="L227" i="48"/>
  <c r="L229" i="48"/>
  <c r="I227" i="48"/>
  <c r="I229" i="48"/>
  <c r="G227" i="48"/>
  <c r="G229" i="48"/>
  <c r="F227" i="48"/>
  <c r="F229" i="48"/>
  <c r="E227" i="48"/>
  <c r="E229" i="48"/>
  <c r="D227" i="48"/>
  <c r="C227" i="48"/>
  <c r="C229" i="48"/>
  <c r="J226" i="48"/>
  <c r="J227" i="48"/>
  <c r="K225" i="48"/>
  <c r="K224" i="48"/>
  <c r="K223" i="48"/>
  <c r="K222" i="48"/>
  <c r="K221" i="48"/>
  <c r="K220" i="48"/>
  <c r="K219" i="48"/>
  <c r="K218" i="48"/>
  <c r="K216" i="48"/>
  <c r="I213" i="48"/>
  <c r="F213" i="48"/>
  <c r="E213" i="48"/>
  <c r="D213" i="48"/>
  <c r="C213" i="48"/>
  <c r="L212" i="48"/>
  <c r="M212" i="48"/>
  <c r="J212" i="48"/>
  <c r="K212" i="48"/>
  <c r="I212" i="48"/>
  <c r="G212" i="48"/>
  <c r="J211" i="48"/>
  <c r="K211" i="48"/>
  <c r="I211" i="48"/>
  <c r="L211" i="48"/>
  <c r="M211" i="48"/>
  <c r="G211" i="48"/>
  <c r="M210" i="48"/>
  <c r="J210" i="48"/>
  <c r="K210" i="48"/>
  <c r="I210" i="48"/>
  <c r="L210" i="48"/>
  <c r="G210" i="48"/>
  <c r="M209" i="48"/>
  <c r="L209" i="48"/>
  <c r="K209" i="48"/>
  <c r="G209" i="48"/>
  <c r="L208" i="48"/>
  <c r="J208" i="48"/>
  <c r="I208" i="48"/>
  <c r="G208" i="48"/>
  <c r="K207" i="48"/>
  <c r="F205" i="48"/>
  <c r="F215" i="48"/>
  <c r="C205" i="48"/>
  <c r="C215" i="48"/>
  <c r="K204" i="48"/>
  <c r="I204" i="48"/>
  <c r="L204" i="48"/>
  <c r="M204" i="48"/>
  <c r="K203" i="48"/>
  <c r="I203" i="48"/>
  <c r="L203" i="48"/>
  <c r="M203" i="48"/>
  <c r="J202" i="48"/>
  <c r="K202" i="48"/>
  <c r="I202" i="48"/>
  <c r="L202" i="48"/>
  <c r="M202" i="48"/>
  <c r="J201" i="48"/>
  <c r="K201" i="48"/>
  <c r="I201" i="48"/>
  <c r="L201" i="48"/>
  <c r="M201" i="48"/>
  <c r="J200" i="48"/>
  <c r="K200" i="48"/>
  <c r="I200" i="48"/>
  <c r="L200" i="48"/>
  <c r="M200" i="48"/>
  <c r="K199" i="48"/>
  <c r="I199" i="48"/>
  <c r="L199" i="48"/>
  <c r="M199" i="48"/>
  <c r="K198" i="48"/>
  <c r="I198" i="48"/>
  <c r="L198" i="48"/>
  <c r="M198" i="48"/>
  <c r="K197" i="48"/>
  <c r="I197" i="48"/>
  <c r="L197" i="48"/>
  <c r="M197" i="48"/>
  <c r="J196" i="48"/>
  <c r="K196" i="48"/>
  <c r="I196" i="48"/>
  <c r="L196" i="48"/>
  <c r="M196" i="48"/>
  <c r="J195" i="48"/>
  <c r="K195" i="48"/>
  <c r="I195" i="48"/>
  <c r="L195" i="48"/>
  <c r="M195" i="48"/>
  <c r="J194" i="48"/>
  <c r="K194" i="48"/>
  <c r="I194" i="48"/>
  <c r="L194" i="48"/>
  <c r="M194" i="48"/>
  <c r="K193" i="48"/>
  <c r="I193" i="48"/>
  <c r="L193" i="48"/>
  <c r="M193" i="48"/>
  <c r="J192" i="48"/>
  <c r="K192" i="48"/>
  <c r="I192" i="48"/>
  <c r="L192" i="48"/>
  <c r="M192" i="48"/>
  <c r="G192" i="48"/>
  <c r="J191" i="48"/>
  <c r="K191" i="48"/>
  <c r="I191" i="48"/>
  <c r="L191" i="48"/>
  <c r="M191" i="48"/>
  <c r="J190" i="48"/>
  <c r="K190" i="48"/>
  <c r="I190" i="48"/>
  <c r="L190" i="48"/>
  <c r="M190" i="48"/>
  <c r="G190" i="48"/>
  <c r="E190" i="48"/>
  <c r="J189" i="48"/>
  <c r="K189" i="48"/>
  <c r="I189" i="48"/>
  <c r="L189" i="48"/>
  <c r="M189" i="48"/>
  <c r="K188" i="48"/>
  <c r="I188" i="48"/>
  <c r="L188" i="48"/>
  <c r="M188" i="48"/>
  <c r="G188" i="48"/>
  <c r="E188" i="48"/>
  <c r="J187" i="48"/>
  <c r="K187" i="48"/>
  <c r="I187" i="48"/>
  <c r="L187" i="48"/>
  <c r="M187" i="48"/>
  <c r="G187" i="48"/>
  <c r="G2278" i="48"/>
  <c r="E187" i="48"/>
  <c r="J186" i="48"/>
  <c r="K186" i="48"/>
  <c r="I186" i="48"/>
  <c r="L186" i="48"/>
  <c r="M186" i="48"/>
  <c r="G186" i="48"/>
  <c r="J185" i="48"/>
  <c r="K185" i="48"/>
  <c r="I185" i="48"/>
  <c r="L185" i="48"/>
  <c r="M185" i="48"/>
  <c r="G185" i="48"/>
  <c r="E185" i="48"/>
  <c r="I184" i="48"/>
  <c r="G184" i="48"/>
  <c r="D184" i="48"/>
  <c r="J183" i="48"/>
  <c r="K183" i="48"/>
  <c r="I183" i="48"/>
  <c r="L183" i="48"/>
  <c r="M183" i="48"/>
  <c r="G183" i="48"/>
  <c r="D183" i="48"/>
  <c r="K182" i="48"/>
  <c r="I182" i="48"/>
  <c r="L182" i="48"/>
  <c r="M182" i="48"/>
  <c r="G182" i="48"/>
  <c r="D182" i="48"/>
  <c r="K181" i="48"/>
  <c r="I181" i="48"/>
  <c r="L181" i="48"/>
  <c r="M181" i="48"/>
  <c r="G181" i="48"/>
  <c r="D181" i="48"/>
  <c r="J180" i="48"/>
  <c r="K180" i="48"/>
  <c r="I180" i="48"/>
  <c r="L180" i="48"/>
  <c r="M180" i="48"/>
  <c r="G180" i="48"/>
  <c r="J179" i="48"/>
  <c r="K179" i="48"/>
  <c r="I179" i="48"/>
  <c r="G179" i="48"/>
  <c r="D179" i="48"/>
  <c r="K178" i="48"/>
  <c r="K177" i="48"/>
  <c r="K176" i="48"/>
  <c r="M174" i="48"/>
  <c r="K173" i="48"/>
  <c r="M172" i="48"/>
  <c r="L172" i="48"/>
  <c r="L174" i="48"/>
  <c r="I172" i="48"/>
  <c r="I174" i="48"/>
  <c r="G172" i="48"/>
  <c r="G174" i="48"/>
  <c r="F172" i="48"/>
  <c r="F174" i="48"/>
  <c r="E172" i="48"/>
  <c r="E174" i="48"/>
  <c r="D172" i="48"/>
  <c r="D174" i="48"/>
  <c r="C172" i="48"/>
  <c r="C174" i="48"/>
  <c r="C217" i="48"/>
  <c r="J171" i="48"/>
  <c r="J172" i="48"/>
  <c r="J174" i="48"/>
  <c r="K174" i="48"/>
  <c r="K170" i="48"/>
  <c r="K169" i="48"/>
  <c r="K168" i="48"/>
  <c r="K167" i="48"/>
  <c r="K166" i="48"/>
  <c r="K165" i="48"/>
  <c r="K164" i="48"/>
  <c r="K163" i="48"/>
  <c r="K161" i="48"/>
  <c r="K159" i="48"/>
  <c r="J158" i="48"/>
  <c r="K158" i="48"/>
  <c r="I158" i="48"/>
  <c r="G158" i="48"/>
  <c r="F158" i="48"/>
  <c r="E158" i="48"/>
  <c r="D158" i="48"/>
  <c r="C158" i="48"/>
  <c r="L157" i="48"/>
  <c r="K157" i="48"/>
  <c r="G157" i="48"/>
  <c r="K156" i="48"/>
  <c r="J155" i="48"/>
  <c r="K155" i="48"/>
  <c r="K154" i="48"/>
  <c r="K153" i="48"/>
  <c r="F150" i="48"/>
  <c r="D150" i="48"/>
  <c r="C150" i="48"/>
  <c r="J149" i="48"/>
  <c r="K149" i="48"/>
  <c r="G149" i="48"/>
  <c r="E149" i="48"/>
  <c r="I149" i="48"/>
  <c r="L149" i="48"/>
  <c r="M148" i="48"/>
  <c r="L148" i="48"/>
  <c r="K148" i="48"/>
  <c r="G148" i="48"/>
  <c r="J147" i="48"/>
  <c r="K147" i="48"/>
  <c r="I147" i="48"/>
  <c r="L147" i="48"/>
  <c r="M147" i="48"/>
  <c r="G147" i="48"/>
  <c r="J146" i="48"/>
  <c r="K146" i="48"/>
  <c r="I146" i="48"/>
  <c r="G146" i="48"/>
  <c r="J145" i="48"/>
  <c r="K145" i="48"/>
  <c r="I145" i="48"/>
  <c r="L145" i="48"/>
  <c r="M145" i="48"/>
  <c r="G145" i="48"/>
  <c r="M144" i="48"/>
  <c r="L144" i="48"/>
  <c r="J144" i="48"/>
  <c r="K144" i="48"/>
  <c r="G144" i="48"/>
  <c r="L143" i="48"/>
  <c r="M143" i="48"/>
  <c r="J143" i="48"/>
  <c r="I143" i="48"/>
  <c r="G143" i="48"/>
  <c r="G150" i="48"/>
  <c r="E143" i="48"/>
  <c r="K142" i="48"/>
  <c r="F140" i="48"/>
  <c r="C140" i="48"/>
  <c r="K139" i="48"/>
  <c r="I139" i="48"/>
  <c r="L139" i="48"/>
  <c r="M139" i="48"/>
  <c r="K138" i="48"/>
  <c r="I138" i="48"/>
  <c r="L138" i="48"/>
  <c r="M138" i="48"/>
  <c r="G138" i="48"/>
  <c r="I137" i="48"/>
  <c r="K136" i="48"/>
  <c r="I136" i="48"/>
  <c r="L136" i="48"/>
  <c r="M136" i="48"/>
  <c r="G136" i="48"/>
  <c r="K135" i="48"/>
  <c r="I135" i="48"/>
  <c r="L135" i="48"/>
  <c r="M135" i="48"/>
  <c r="K134" i="48"/>
  <c r="I134" i="48"/>
  <c r="L134" i="48"/>
  <c r="M134" i="48"/>
  <c r="K133" i="48"/>
  <c r="I133" i="48"/>
  <c r="L133" i="48"/>
  <c r="M133" i="48"/>
  <c r="G133" i="48"/>
  <c r="K132" i="48"/>
  <c r="I132" i="48"/>
  <c r="L132" i="48"/>
  <c r="M132" i="48"/>
  <c r="G132" i="48"/>
  <c r="K131" i="48"/>
  <c r="I131" i="48"/>
  <c r="L131" i="48"/>
  <c r="M131" i="48"/>
  <c r="K130" i="48"/>
  <c r="I130" i="48"/>
  <c r="L130" i="48"/>
  <c r="M130" i="48"/>
  <c r="I129" i="48"/>
  <c r="K128" i="48"/>
  <c r="I128" i="48"/>
  <c r="L128" i="48"/>
  <c r="M128" i="48"/>
  <c r="I127" i="48"/>
  <c r="L127" i="48"/>
  <c r="M127" i="48"/>
  <c r="J126" i="48"/>
  <c r="I126" i="48"/>
  <c r="G126" i="48"/>
  <c r="G2275" i="48"/>
  <c r="J125" i="48"/>
  <c r="K125" i="48"/>
  <c r="I125" i="48"/>
  <c r="L125" i="48"/>
  <c r="G125" i="48"/>
  <c r="E125" i="48"/>
  <c r="I124" i="48"/>
  <c r="L124" i="48"/>
  <c r="M124" i="48"/>
  <c r="G124" i="48"/>
  <c r="J123" i="48"/>
  <c r="J2279" i="48"/>
  <c r="K2279" i="48"/>
  <c r="I123" i="48"/>
  <c r="G123" i="48"/>
  <c r="G2279" i="48"/>
  <c r="J122" i="48"/>
  <c r="I122" i="48"/>
  <c r="L122" i="48"/>
  <c r="G122" i="48"/>
  <c r="E122" i="48"/>
  <c r="E2278" i="48"/>
  <c r="J121" i="48"/>
  <c r="I121" i="48"/>
  <c r="G121" i="48"/>
  <c r="E121" i="48"/>
  <c r="E2280" i="48"/>
  <c r="J120" i="48"/>
  <c r="I120" i="48"/>
  <c r="G120" i="48"/>
  <c r="E120" i="48"/>
  <c r="J119" i="48"/>
  <c r="K119" i="48"/>
  <c r="I119" i="48"/>
  <c r="G119" i="48"/>
  <c r="G2274" i="48"/>
  <c r="D119" i="48"/>
  <c r="J118" i="48"/>
  <c r="K118" i="48"/>
  <c r="I118" i="48"/>
  <c r="L118" i="48"/>
  <c r="G118" i="48"/>
  <c r="G2272" i="48"/>
  <c r="D118" i="48"/>
  <c r="I117" i="48"/>
  <c r="L117" i="48"/>
  <c r="M117" i="48"/>
  <c r="G117" i="48"/>
  <c r="D117" i="48"/>
  <c r="J116" i="48"/>
  <c r="I116" i="48"/>
  <c r="G116" i="48"/>
  <c r="D116" i="48"/>
  <c r="J115" i="48"/>
  <c r="I115" i="48"/>
  <c r="L115" i="48"/>
  <c r="G115" i="48"/>
  <c r="I114" i="48"/>
  <c r="G114" i="48"/>
  <c r="E114" i="48"/>
  <c r="K113" i="48"/>
  <c r="K112" i="48"/>
  <c r="K111" i="48"/>
  <c r="K110" i="48"/>
  <c r="L109" i="48"/>
  <c r="I109" i="48"/>
  <c r="C109" i="48"/>
  <c r="K108" i="48"/>
  <c r="M107" i="48"/>
  <c r="M109" i="48"/>
  <c r="L107" i="48"/>
  <c r="J106" i="48"/>
  <c r="J107" i="48"/>
  <c r="K107" i="48"/>
  <c r="I107" i="48"/>
  <c r="G107" i="48"/>
  <c r="G109" i="48"/>
  <c r="F107" i="48"/>
  <c r="F109" i="48"/>
  <c r="E107" i="48"/>
  <c r="E109" i="48"/>
  <c r="D107" i="48"/>
  <c r="D109" i="48"/>
  <c r="C107" i="48"/>
  <c r="K105" i="48"/>
  <c r="K104" i="48"/>
  <c r="K103" i="48"/>
  <c r="K102" i="48"/>
  <c r="K101" i="48"/>
  <c r="K100" i="48"/>
  <c r="K99" i="48"/>
  <c r="K97" i="48"/>
  <c r="E94" i="48"/>
  <c r="D94" i="48"/>
  <c r="C94" i="48"/>
  <c r="K93" i="48"/>
  <c r="M92" i="48"/>
  <c r="L92" i="48"/>
  <c r="J92" i="48"/>
  <c r="K92" i="48"/>
  <c r="I92" i="48"/>
  <c r="F92" i="48"/>
  <c r="G92" i="48"/>
  <c r="G94" i="48"/>
  <c r="L91" i="48"/>
  <c r="M91" i="48"/>
  <c r="J91" i="48"/>
  <c r="K91" i="48"/>
  <c r="I91" i="48"/>
  <c r="G91" i="48"/>
  <c r="F91" i="48"/>
  <c r="K90" i="48"/>
  <c r="K89" i="48"/>
  <c r="K88" i="48"/>
  <c r="K87" i="48"/>
  <c r="K86" i="48"/>
  <c r="K85" i="48"/>
  <c r="F82" i="48"/>
  <c r="C82" i="48"/>
  <c r="M81" i="48"/>
  <c r="L81" i="48"/>
  <c r="K81" i="48"/>
  <c r="I81" i="48"/>
  <c r="J80" i="48"/>
  <c r="K80" i="48"/>
  <c r="I80" i="48"/>
  <c r="L80" i="48"/>
  <c r="M80" i="48"/>
  <c r="G80" i="48"/>
  <c r="E80" i="48"/>
  <c r="L79" i="48"/>
  <c r="K79" i="48"/>
  <c r="G79" i="48"/>
  <c r="G2327" i="48"/>
  <c r="D79" i="48"/>
  <c r="D2327" i="48"/>
  <c r="L78" i="48"/>
  <c r="M78" i="48"/>
  <c r="J78" i="48"/>
  <c r="K78" i="48"/>
  <c r="G78" i="48"/>
  <c r="E78" i="48"/>
  <c r="I78" i="48"/>
  <c r="J77" i="48"/>
  <c r="K77" i="48"/>
  <c r="I77" i="48"/>
  <c r="L77" i="48"/>
  <c r="M77" i="48"/>
  <c r="G77" i="48"/>
  <c r="E77" i="48"/>
  <c r="J76" i="48"/>
  <c r="K76" i="48"/>
  <c r="G76" i="48"/>
  <c r="E76" i="48"/>
  <c r="I76" i="48"/>
  <c r="L76" i="48"/>
  <c r="M76" i="48"/>
  <c r="L75" i="48"/>
  <c r="M75" i="48"/>
  <c r="J75" i="48"/>
  <c r="K75" i="48"/>
  <c r="G75" i="48"/>
  <c r="E75" i="48"/>
  <c r="L74" i="48"/>
  <c r="M74" i="48"/>
  <c r="J74" i="48"/>
  <c r="K74" i="48"/>
  <c r="G74" i="48"/>
  <c r="E74" i="48"/>
  <c r="I74" i="48"/>
  <c r="J73" i="48"/>
  <c r="G73" i="48"/>
  <c r="E73" i="48"/>
  <c r="I73" i="48"/>
  <c r="L73" i="48"/>
  <c r="M73" i="48"/>
  <c r="J72" i="48"/>
  <c r="K72" i="48"/>
  <c r="I72" i="48"/>
  <c r="L72" i="48"/>
  <c r="M72" i="48"/>
  <c r="G72" i="48"/>
  <c r="E72" i="48"/>
  <c r="J71" i="48"/>
  <c r="K71" i="48"/>
  <c r="G71" i="48"/>
  <c r="E71" i="48"/>
  <c r="I71" i="48"/>
  <c r="L71" i="48"/>
  <c r="M71" i="48"/>
  <c r="M70" i="48"/>
  <c r="J70" i="48"/>
  <c r="K70" i="48"/>
  <c r="G70" i="48"/>
  <c r="E70" i="48"/>
  <c r="I70" i="48"/>
  <c r="L70" i="48"/>
  <c r="L69" i="48"/>
  <c r="M69" i="48"/>
  <c r="J69" i="48"/>
  <c r="K69" i="48"/>
  <c r="G69" i="48"/>
  <c r="E69" i="48"/>
  <c r="I69" i="48"/>
  <c r="J68" i="48"/>
  <c r="K68" i="48"/>
  <c r="G68" i="48"/>
  <c r="E68" i="48"/>
  <c r="I68" i="48"/>
  <c r="L68" i="48"/>
  <c r="M68" i="48"/>
  <c r="J67" i="48"/>
  <c r="K67" i="48"/>
  <c r="I67" i="48"/>
  <c r="L67" i="48"/>
  <c r="M67" i="48"/>
  <c r="G67" i="48"/>
  <c r="E67" i="48"/>
  <c r="J66" i="48"/>
  <c r="K66" i="48"/>
  <c r="I66" i="48"/>
  <c r="L66" i="48"/>
  <c r="M66" i="48"/>
  <c r="G66" i="48"/>
  <c r="E66" i="48"/>
  <c r="J65" i="48"/>
  <c r="K65" i="48"/>
  <c r="G65" i="48"/>
  <c r="E65" i="48"/>
  <c r="I65" i="48"/>
  <c r="L65" i="48"/>
  <c r="M65" i="48"/>
  <c r="M64" i="48"/>
  <c r="J64" i="48"/>
  <c r="K64" i="48"/>
  <c r="G64" i="48"/>
  <c r="E64" i="48"/>
  <c r="I64" i="48"/>
  <c r="L64" i="48"/>
  <c r="J63" i="48"/>
  <c r="K63" i="48"/>
  <c r="G63" i="48"/>
  <c r="E63" i="48"/>
  <c r="I63" i="48"/>
  <c r="L63" i="48"/>
  <c r="M63" i="48"/>
  <c r="J62" i="48"/>
  <c r="K62" i="48"/>
  <c r="I62" i="48"/>
  <c r="G62" i="48"/>
  <c r="E62" i="48"/>
  <c r="K61" i="48"/>
  <c r="K60" i="48"/>
  <c r="L59" i="48"/>
  <c r="K59" i="48"/>
  <c r="I59" i="48"/>
  <c r="F59" i="48"/>
  <c r="D59" i="48"/>
  <c r="D2188" i="48"/>
  <c r="D2324" i="48"/>
  <c r="C59" i="48"/>
  <c r="M58" i="48"/>
  <c r="L58" i="48"/>
  <c r="K58" i="48"/>
  <c r="G58" i="48"/>
  <c r="E58" i="48"/>
  <c r="E2304" i="48"/>
  <c r="E2323" i="48"/>
  <c r="M57" i="48"/>
  <c r="L57" i="48"/>
  <c r="L2307" i="48"/>
  <c r="K57" i="48"/>
  <c r="G57" i="48"/>
  <c r="E57" i="48"/>
  <c r="E2307" i="48"/>
  <c r="K56" i="48"/>
  <c r="F54" i="48"/>
  <c r="F84" i="48"/>
  <c r="C54" i="48"/>
  <c r="J53" i="48"/>
  <c r="I53" i="48"/>
  <c r="G53" i="48"/>
  <c r="G2255" i="48"/>
  <c r="E53" i="48"/>
  <c r="J52" i="48"/>
  <c r="K52" i="48"/>
  <c r="I52" i="48"/>
  <c r="G52" i="48"/>
  <c r="G2261" i="48"/>
  <c r="E52" i="48"/>
  <c r="J51" i="48"/>
  <c r="K51" i="48"/>
  <c r="I51" i="48"/>
  <c r="L51" i="48"/>
  <c r="G51" i="48"/>
  <c r="G2253" i="48"/>
  <c r="E51" i="48"/>
  <c r="E2253" i="48"/>
  <c r="J50" i="48"/>
  <c r="K50" i="48"/>
  <c r="I50" i="48"/>
  <c r="L50" i="48"/>
  <c r="M50" i="48"/>
  <c r="F50" i="48"/>
  <c r="E50" i="48"/>
  <c r="E2259" i="48"/>
  <c r="D50" i="48"/>
  <c r="D2259" i="48"/>
  <c r="J49" i="48"/>
  <c r="K49" i="48"/>
  <c r="I49" i="48"/>
  <c r="L49" i="48"/>
  <c r="M49" i="48"/>
  <c r="G49" i="48"/>
  <c r="D49" i="48"/>
  <c r="J48" i="48"/>
  <c r="K48" i="48"/>
  <c r="I48" i="48"/>
  <c r="L48" i="48"/>
  <c r="M48" i="48"/>
  <c r="G48" i="48"/>
  <c r="J47" i="48"/>
  <c r="K47" i="48"/>
  <c r="I47" i="48"/>
  <c r="L47" i="48"/>
  <c r="G47" i="48"/>
  <c r="J46" i="48"/>
  <c r="I46" i="48"/>
  <c r="G46" i="48"/>
  <c r="E46" i="48"/>
  <c r="J45" i="48"/>
  <c r="K45" i="48"/>
  <c r="I45" i="48"/>
  <c r="G45" i="48"/>
  <c r="D45" i="48"/>
  <c r="E45" i="48"/>
  <c r="I44" i="48"/>
  <c r="J44" i="48"/>
  <c r="K44" i="48"/>
  <c r="G44" i="48"/>
  <c r="E44" i="48"/>
  <c r="E2252" i="48"/>
  <c r="J43" i="48"/>
  <c r="I43" i="48"/>
  <c r="L43" i="48"/>
  <c r="G43" i="48"/>
  <c r="D43" i="48"/>
  <c r="D2256" i="48"/>
  <c r="J42" i="48"/>
  <c r="K42" i="48"/>
  <c r="I42" i="48"/>
  <c r="L42" i="48"/>
  <c r="G42" i="48"/>
  <c r="F42" i="48"/>
  <c r="F2257" i="48"/>
  <c r="E42" i="48"/>
  <c r="J41" i="48"/>
  <c r="K41" i="48"/>
  <c r="I41" i="48"/>
  <c r="J40" i="48"/>
  <c r="I40" i="48"/>
  <c r="L40" i="48"/>
  <c r="G40" i="48"/>
  <c r="E40" i="48"/>
  <c r="E2250" i="48"/>
  <c r="K39" i="48"/>
  <c r="F37" i="48"/>
  <c r="F2186" i="48"/>
  <c r="F2298" i="48"/>
  <c r="C37" i="48"/>
  <c r="J36" i="48"/>
  <c r="K36" i="48"/>
  <c r="K35" i="48"/>
  <c r="I35" i="48"/>
  <c r="G35" i="48"/>
  <c r="G2295" i="48"/>
  <c r="J34" i="48"/>
  <c r="J2294" i="48"/>
  <c r="K2294" i="48"/>
  <c r="I34" i="48"/>
  <c r="I2294" i="48"/>
  <c r="H34" i="48"/>
  <c r="G34" i="48"/>
  <c r="G2294" i="48"/>
  <c r="D34" i="48"/>
  <c r="D2294" i="48"/>
  <c r="J33" i="48"/>
  <c r="J2293" i="48"/>
  <c r="K2293" i="48"/>
  <c r="I33" i="48"/>
  <c r="I2293" i="48"/>
  <c r="H33" i="48"/>
  <c r="G33" i="48"/>
  <c r="D33" i="48"/>
  <c r="D2293" i="48"/>
  <c r="J32" i="48"/>
  <c r="J2292" i="48"/>
  <c r="K2292" i="48"/>
  <c r="I32" i="48"/>
  <c r="H32" i="48"/>
  <c r="G32" i="48"/>
  <c r="G2292" i="48"/>
  <c r="D32" i="48"/>
  <c r="D2292" i="48"/>
  <c r="J31" i="48"/>
  <c r="I31" i="48"/>
  <c r="H31" i="48"/>
  <c r="G31" i="48"/>
  <c r="G2291" i="48"/>
  <c r="D31" i="48"/>
  <c r="D2291" i="48"/>
  <c r="K30" i="48"/>
  <c r="I30" i="48"/>
  <c r="H30" i="48"/>
  <c r="K29" i="48"/>
  <c r="I29" i="48"/>
  <c r="I2289" i="48"/>
  <c r="H29" i="48"/>
  <c r="K28" i="48"/>
  <c r="K27" i="48"/>
  <c r="K26" i="48"/>
  <c r="M24" i="48"/>
  <c r="G24" i="48"/>
  <c r="F24" i="48"/>
  <c r="K23" i="48"/>
  <c r="M22" i="48"/>
  <c r="L22" i="48"/>
  <c r="L24" i="48"/>
  <c r="I22" i="48"/>
  <c r="I24" i="48"/>
  <c r="G22" i="48"/>
  <c r="F22" i="48"/>
  <c r="D22" i="48"/>
  <c r="D24" i="48"/>
  <c r="C22" i="48"/>
  <c r="C24" i="48"/>
  <c r="K21" i="48"/>
  <c r="J20" i="48"/>
  <c r="J22" i="48"/>
  <c r="J24" i="48"/>
  <c r="H20" i="48"/>
  <c r="H21" i="48"/>
  <c r="E20" i="48"/>
  <c r="H19" i="48"/>
  <c r="J94" i="48"/>
  <c r="J289" i="48"/>
  <c r="K904" i="48"/>
  <c r="K2015" i="48"/>
  <c r="J2277" i="48"/>
  <c r="K2277" i="48"/>
  <c r="J1326" i="48"/>
  <c r="I614" i="48"/>
  <c r="D977" i="48"/>
  <c r="D1002" i="48"/>
  <c r="D1009" i="48"/>
  <c r="D1015" i="48"/>
  <c r="D1017" i="48"/>
  <c r="J1889" i="48"/>
  <c r="K1889" i="48"/>
  <c r="J866" i="48"/>
  <c r="J867" i="48"/>
  <c r="K867" i="48"/>
  <c r="J1609" i="48"/>
  <c r="K1609" i="48"/>
  <c r="K1830" i="48"/>
  <c r="J1046" i="48"/>
  <c r="K1046" i="48"/>
  <c r="K1322" i="48"/>
  <c r="I2277" i="48"/>
  <c r="J1044" i="48"/>
  <c r="K1044" i="48"/>
  <c r="J1406" i="48"/>
  <c r="K1406" i="48"/>
  <c r="K1931" i="48"/>
  <c r="K20" i="48"/>
  <c r="K457" i="48"/>
  <c r="J1987" i="48"/>
  <c r="K1987" i="48"/>
  <c r="E296" i="48"/>
  <c r="E322" i="48"/>
  <c r="K1707" i="48"/>
  <c r="K1771" i="48"/>
  <c r="K1971" i="48"/>
  <c r="D2276" i="48"/>
  <c r="J2012" i="48"/>
  <c r="K2012" i="48"/>
  <c r="K1339" i="48"/>
  <c r="D37" i="48"/>
  <c r="D2186" i="48"/>
  <c r="D2298" i="48"/>
  <c r="K171" i="48"/>
  <c r="D205" i="48"/>
  <c r="D215" i="48"/>
  <c r="D217" i="48"/>
  <c r="D1080" i="48"/>
  <c r="D1097" i="48"/>
  <c r="D1104" i="48"/>
  <c r="D1106" i="48"/>
  <c r="J1095" i="48"/>
  <c r="J1096" i="48"/>
  <c r="K1096" i="48"/>
  <c r="D1475" i="48"/>
  <c r="D1477" i="48"/>
  <c r="J1868" i="48"/>
  <c r="J1869" i="48"/>
  <c r="K1869" i="48"/>
  <c r="L2260" i="48"/>
  <c r="J2270" i="48"/>
  <c r="K2270" i="48"/>
  <c r="J1216" i="48"/>
  <c r="K1216" i="48"/>
  <c r="J1239" i="48"/>
  <c r="J1241" i="48"/>
  <c r="J1433" i="48"/>
  <c r="K1433" i="48"/>
  <c r="E34" i="48"/>
  <c r="E2294" i="48"/>
  <c r="J150" i="48"/>
  <c r="K150" i="48"/>
  <c r="J1529" i="48"/>
  <c r="E32" i="48"/>
  <c r="E2292" i="48"/>
  <c r="D2262" i="48"/>
  <c r="J696" i="48"/>
  <c r="J697" i="48"/>
  <c r="K697" i="48"/>
  <c r="I796" i="48"/>
  <c r="I2188" i="48"/>
  <c r="I2324" i="48"/>
  <c r="E1444" i="48"/>
  <c r="E1453" i="48"/>
  <c r="E1467" i="48"/>
  <c r="E1475" i="48"/>
  <c r="E1477" i="48"/>
  <c r="J1693" i="48"/>
  <c r="K1693" i="48"/>
  <c r="J2006" i="48"/>
  <c r="K2006" i="48"/>
  <c r="J54" i="48"/>
  <c r="K54" i="48"/>
  <c r="J137" i="48"/>
  <c r="K137" i="48"/>
  <c r="L137" i="48"/>
  <c r="M137" i="48"/>
  <c r="J124" i="48"/>
  <c r="K124" i="48"/>
  <c r="K227" i="48"/>
  <c r="J229" i="48"/>
  <c r="K229" i="48"/>
  <c r="K446" i="48"/>
  <c r="K1731" i="48"/>
  <c r="J1732" i="48"/>
  <c r="K226" i="48"/>
  <c r="L2167" i="48"/>
  <c r="L577" i="48"/>
  <c r="L116" i="48"/>
  <c r="L2277" i="48"/>
  <c r="K289" i="48"/>
  <c r="J291" i="48"/>
  <c r="K291" i="48"/>
  <c r="E31" i="48"/>
  <c r="E2291" i="48"/>
  <c r="L33" i="48"/>
  <c r="K1211" i="48"/>
  <c r="J1257" i="48"/>
  <c r="K1256" i="48"/>
  <c r="K1276" i="48"/>
  <c r="J1928" i="48"/>
  <c r="J1929" i="48"/>
  <c r="K1929" i="48"/>
  <c r="J184" i="48"/>
  <c r="K184" i="48"/>
  <c r="L184" i="48"/>
  <c r="M184" i="48"/>
  <c r="K208" i="48"/>
  <c r="J213" i="48"/>
  <c r="J214" i="48"/>
  <c r="K214" i="48"/>
  <c r="K2081" i="48"/>
  <c r="J2082" i="48"/>
  <c r="K2082" i="48"/>
  <c r="D2258" i="48"/>
  <c r="E442" i="48"/>
  <c r="K34" i="48"/>
  <c r="E1080" i="48"/>
  <c r="E1097" i="48"/>
  <c r="E1104" i="48"/>
  <c r="E1106" i="48"/>
  <c r="J275" i="48"/>
  <c r="J276" i="48"/>
  <c r="K276" i="48"/>
  <c r="K273" i="48"/>
  <c r="D1509" i="48"/>
  <c r="D1531" i="48"/>
  <c r="D1539" i="48"/>
  <c r="D1541" i="48"/>
  <c r="J82" i="48"/>
  <c r="K82" i="48"/>
  <c r="J95" i="48"/>
  <c r="K95" i="48"/>
  <c r="K94" i="48"/>
  <c r="K143" i="48"/>
  <c r="J2280" i="48"/>
  <c r="K2280" i="48"/>
  <c r="J1037" i="48"/>
  <c r="K1037" i="48"/>
  <c r="L1037" i="48"/>
  <c r="M1037" i="48"/>
  <c r="I1360" i="48"/>
  <c r="E1502" i="48"/>
  <c r="E1509" i="48"/>
  <c r="J1933" i="48"/>
  <c r="K1933" i="48"/>
  <c r="K1932" i="48"/>
  <c r="J410" i="48"/>
  <c r="K410" i="48"/>
  <c r="K407" i="48"/>
  <c r="K562" i="48"/>
  <c r="J568" i="48"/>
  <c r="J2147" i="48"/>
  <c r="J1488" i="48"/>
  <c r="K1488" i="48"/>
  <c r="D1928" i="48"/>
  <c r="D1974" i="48"/>
  <c r="D1993" i="48"/>
  <c r="D1995" i="48"/>
  <c r="E1919" i="48"/>
  <c r="E1928" i="48"/>
  <c r="E1974" i="48"/>
  <c r="E1993" i="48"/>
  <c r="E1995" i="48"/>
  <c r="K1983" i="48"/>
  <c r="H22" i="48"/>
  <c r="H24" i="48"/>
  <c r="K32" i="48"/>
  <c r="K115" i="48"/>
  <c r="K413" i="48"/>
  <c r="J796" i="48"/>
  <c r="J2188" i="48"/>
  <c r="B38" i="13"/>
  <c r="K865" i="48"/>
  <c r="J880" i="48"/>
  <c r="K878" i="48"/>
  <c r="J1038" i="48"/>
  <c r="K1038" i="48"/>
  <c r="K1118" i="48"/>
  <c r="E1293" i="48"/>
  <c r="D1302" i="48"/>
  <c r="D1319" i="48"/>
  <c r="D1328" i="48"/>
  <c r="D1330" i="48"/>
  <c r="I1453" i="48"/>
  <c r="I1467" i="48"/>
  <c r="I1475" i="48"/>
  <c r="K1917" i="48"/>
  <c r="J1360" i="48"/>
  <c r="J1361" i="48"/>
  <c r="K1361" i="48"/>
  <c r="J381" i="48"/>
  <c r="K694" i="48"/>
  <c r="K731" i="48"/>
  <c r="I843" i="48"/>
  <c r="K1190" i="48"/>
  <c r="J1201" i="48"/>
  <c r="J1202" i="48"/>
  <c r="K1202" i="48"/>
  <c r="J1343" i="48"/>
  <c r="K1343" i="48"/>
  <c r="J1390" i="48"/>
  <c r="J1391" i="48"/>
  <c r="K1391" i="48"/>
  <c r="K1519" i="48"/>
  <c r="K1633" i="48"/>
  <c r="J1634" i="48"/>
  <c r="J2259" i="48"/>
  <c r="K2259" i="48"/>
  <c r="D2274" i="48"/>
  <c r="J1898" i="48"/>
  <c r="K1898" i="48"/>
  <c r="K1897" i="48"/>
  <c r="J2177" i="48"/>
  <c r="J2261" i="48"/>
  <c r="K2261" i="48"/>
  <c r="D2272" i="48"/>
  <c r="J428" i="48"/>
  <c r="K428" i="48"/>
  <c r="K423" i="48"/>
  <c r="I686" i="48"/>
  <c r="K1495" i="48"/>
  <c r="J1509" i="48"/>
  <c r="K1509" i="48"/>
  <c r="J1549" i="48"/>
  <c r="K1549" i="48"/>
  <c r="K1548" i="48"/>
  <c r="D843" i="48"/>
  <c r="D861" i="48"/>
  <c r="D868" i="48"/>
  <c r="D870" i="48"/>
  <c r="M977" i="48"/>
  <c r="M1002" i="48"/>
  <c r="J1630" i="48"/>
  <c r="J1631" i="48"/>
  <c r="K1631" i="48"/>
  <c r="J1797" i="48"/>
  <c r="K1797" i="48"/>
  <c r="J2076" i="48"/>
  <c r="J2192" i="48"/>
  <c r="E332" i="48"/>
  <c r="E334" i="48"/>
  <c r="E336" i="48"/>
  <c r="K2009" i="48"/>
  <c r="J614" i="48"/>
  <c r="K614" i="48"/>
  <c r="I977" i="48"/>
  <c r="D1569" i="48"/>
  <c r="D1581" i="48"/>
  <c r="D1589" i="48"/>
  <c r="D1591" i="48"/>
  <c r="D1593" i="48"/>
  <c r="J2046" i="48"/>
  <c r="J2128" i="48"/>
  <c r="J2130" i="48"/>
  <c r="I2793" i="24"/>
  <c r="I147" i="47"/>
  <c r="F96" i="48"/>
  <c r="K866" i="48"/>
  <c r="M94" i="48"/>
  <c r="M149" i="48"/>
  <c r="M150" i="48"/>
  <c r="L150" i="48"/>
  <c r="K24" i="48"/>
  <c r="J25" i="48"/>
  <c r="K25" i="48"/>
  <c r="I2291" i="48"/>
  <c r="L31" i="48"/>
  <c r="I2295" i="48"/>
  <c r="L35" i="48"/>
  <c r="M42" i="48"/>
  <c r="M2259" i="48"/>
  <c r="I2274" i="48"/>
  <c r="L119" i="48"/>
  <c r="L158" i="48"/>
  <c r="M157" i="48"/>
  <c r="K327" i="48"/>
  <c r="J330" i="48"/>
  <c r="G2155" i="48"/>
  <c r="G430" i="48"/>
  <c r="F2155" i="48"/>
  <c r="F430" i="48"/>
  <c r="D2157" i="48"/>
  <c r="I454" i="48"/>
  <c r="G2200" i="48"/>
  <c r="G616" i="48"/>
  <c r="G622" i="48"/>
  <c r="L645" i="48"/>
  <c r="M632" i="48"/>
  <c r="M645" i="48"/>
  <c r="J645" i="48"/>
  <c r="K634" i="48"/>
  <c r="I2211" i="48"/>
  <c r="L692" i="48"/>
  <c r="I696" i="48"/>
  <c r="F943" i="48"/>
  <c r="F945" i="48"/>
  <c r="M1152" i="48"/>
  <c r="M1160" i="48"/>
  <c r="L1160" i="48"/>
  <c r="L1207" i="48"/>
  <c r="M1205" i="48"/>
  <c r="M1207" i="48"/>
  <c r="G1403" i="48"/>
  <c r="G1405" i="48"/>
  <c r="G495" i="48"/>
  <c r="K22" i="48"/>
  <c r="J2291" i="48"/>
  <c r="K31" i="48"/>
  <c r="J37" i="48"/>
  <c r="M2258" i="48"/>
  <c r="M2262" i="48"/>
  <c r="I2261" i="48"/>
  <c r="L52" i="48"/>
  <c r="L62" i="48"/>
  <c r="I82" i="48"/>
  <c r="L94" i="48"/>
  <c r="L2278" i="48"/>
  <c r="M122" i="48"/>
  <c r="M2278" i="48"/>
  <c r="M2273" i="48"/>
  <c r="K238" i="48"/>
  <c r="J260" i="48"/>
  <c r="I268" i="48"/>
  <c r="L355" i="48"/>
  <c r="I381" i="48"/>
  <c r="I394" i="48"/>
  <c r="I396" i="48"/>
  <c r="I398" i="48"/>
  <c r="L391" i="48"/>
  <c r="M512" i="48"/>
  <c r="J601" i="48"/>
  <c r="J712" i="48"/>
  <c r="G2306" i="48"/>
  <c r="G796" i="48"/>
  <c r="G805" i="48"/>
  <c r="G807" i="48"/>
  <c r="J803" i="48"/>
  <c r="K799" i="48"/>
  <c r="J1122" i="48"/>
  <c r="K1120" i="48"/>
  <c r="L2335" i="48"/>
  <c r="L1457" i="48"/>
  <c r="M1456" i="48"/>
  <c r="I2290" i="48"/>
  <c r="L30" i="48"/>
  <c r="I907" i="48"/>
  <c r="I931" i="48"/>
  <c r="I943" i="48"/>
  <c r="I945" i="48"/>
  <c r="L896" i="48"/>
  <c r="M896" i="48"/>
  <c r="M1118" i="48"/>
  <c r="K73" i="48"/>
  <c r="I2279" i="48"/>
  <c r="L123" i="48"/>
  <c r="I205" i="48"/>
  <c r="I215" i="48"/>
  <c r="I217" i="48"/>
  <c r="L179" i="48"/>
  <c r="K355" i="48"/>
  <c r="K576" i="48"/>
  <c r="J577" i="48"/>
  <c r="I941" i="48"/>
  <c r="L937" i="48"/>
  <c r="L2270" i="48"/>
  <c r="G2271" i="48"/>
  <c r="D140" i="48"/>
  <c r="J1894" i="48"/>
  <c r="K1894" i="48"/>
  <c r="K1892" i="48"/>
  <c r="K46" i="48"/>
  <c r="L2259" i="48"/>
  <c r="G2269" i="48"/>
  <c r="G2282" i="48"/>
  <c r="G140" i="48"/>
  <c r="M115" i="48"/>
  <c r="M2270" i="48"/>
  <c r="I2271" i="48"/>
  <c r="L120" i="48"/>
  <c r="J127" i="48"/>
  <c r="K127" i="48"/>
  <c r="I150" i="48"/>
  <c r="J175" i="48"/>
  <c r="K175" i="48"/>
  <c r="M208" i="48"/>
  <c r="M213" i="48"/>
  <c r="L213" i="48"/>
  <c r="E270" i="48"/>
  <c r="E277" i="48"/>
  <c r="E279" i="48"/>
  <c r="I449" i="48"/>
  <c r="L435" i="48"/>
  <c r="K464" i="48"/>
  <c r="J483" i="48"/>
  <c r="E483" i="48"/>
  <c r="K532" i="48"/>
  <c r="J542" i="48"/>
  <c r="M2167" i="48"/>
  <c r="M577" i="48"/>
  <c r="I645" i="48"/>
  <c r="J2328" i="48"/>
  <c r="K2328" i="48"/>
  <c r="K669" i="48"/>
  <c r="L2306" i="48"/>
  <c r="M731" i="48"/>
  <c r="K748" i="48"/>
  <c r="L796" i="48"/>
  <c r="G493" i="48"/>
  <c r="G888" i="48"/>
  <c r="G945" i="48"/>
  <c r="J1080" i="48"/>
  <c r="G1201" i="48"/>
  <c r="M2332" i="48"/>
  <c r="M1253" i="48"/>
  <c r="M2151" i="48"/>
  <c r="M1633" i="48"/>
  <c r="M1634" i="48"/>
  <c r="M1605" i="48"/>
  <c r="M2169" i="48"/>
  <c r="M2009" i="48"/>
  <c r="M2012" i="48"/>
  <c r="L2012" i="48"/>
  <c r="G2293" i="48"/>
  <c r="G37" i="48"/>
  <c r="L454" i="48"/>
  <c r="M453" i="48"/>
  <c r="G549" i="48"/>
  <c r="I547" i="48"/>
  <c r="L843" i="48"/>
  <c r="M831" i="48"/>
  <c r="M843" i="48"/>
  <c r="K1095" i="48"/>
  <c r="M47" i="48"/>
  <c r="M2260" i="48"/>
  <c r="C2184" i="48"/>
  <c r="C152" i="48"/>
  <c r="C160" i="48"/>
  <c r="C162" i="48"/>
  <c r="M263" i="48"/>
  <c r="M268" i="48"/>
  <c r="L534" i="48"/>
  <c r="M534" i="48"/>
  <c r="M542" i="48"/>
  <c r="I542" i="48"/>
  <c r="J1039" i="48"/>
  <c r="K1039" i="48"/>
  <c r="L1039" i="48"/>
  <c r="M1039" i="48"/>
  <c r="I2251" i="48"/>
  <c r="L46" i="48"/>
  <c r="M423" i="48"/>
  <c r="M428" i="48"/>
  <c r="L428" i="48"/>
  <c r="G673" i="48"/>
  <c r="G698" i="48"/>
  <c r="G700" i="48"/>
  <c r="E897" i="48"/>
  <c r="D907" i="48"/>
  <c r="D931" i="48"/>
  <c r="D943" i="48"/>
  <c r="D945" i="48"/>
  <c r="L977" i="48"/>
  <c r="L1002" i="48"/>
  <c r="L1009" i="48"/>
  <c r="L1015" i="48"/>
  <c r="L1017" i="48"/>
  <c r="I2292" i="48"/>
  <c r="L32" i="48"/>
  <c r="M43" i="48"/>
  <c r="G2254" i="48"/>
  <c r="I2255" i="48"/>
  <c r="L53" i="48"/>
  <c r="G2307" i="48"/>
  <c r="G59" i="48"/>
  <c r="M2304" i="48"/>
  <c r="M59" i="48"/>
  <c r="I2269" i="48"/>
  <c r="I140" i="48"/>
  <c r="L114" i="48"/>
  <c r="L2276" i="48"/>
  <c r="J2271" i="48"/>
  <c r="K2271" i="48"/>
  <c r="K120" i="48"/>
  <c r="G2211" i="48"/>
  <c r="G205" i="48"/>
  <c r="G215" i="48"/>
  <c r="G217" i="48"/>
  <c r="D279" i="48"/>
  <c r="G260" i="48"/>
  <c r="G270" i="48"/>
  <c r="G277" i="48"/>
  <c r="G279" i="48"/>
  <c r="G542" i="48"/>
  <c r="G544" i="48"/>
  <c r="G551" i="48"/>
  <c r="G553" i="48"/>
  <c r="M604" i="48"/>
  <c r="M614" i="48"/>
  <c r="L614" i="48"/>
  <c r="L129" i="48"/>
  <c r="M129" i="48"/>
  <c r="J117" i="48"/>
  <c r="J129" i="48"/>
  <c r="K129" i="48"/>
  <c r="I852" i="48"/>
  <c r="E859" i="48"/>
  <c r="C98" i="48"/>
  <c r="G2251" i="48"/>
  <c r="E49" i="48"/>
  <c r="E2262" i="48"/>
  <c r="K121" i="48"/>
  <c r="M893" i="48"/>
  <c r="D2254" i="48"/>
  <c r="D54" i="48"/>
  <c r="J2196" i="48"/>
  <c r="K2196" i="48"/>
  <c r="K670" i="48"/>
  <c r="G861" i="48"/>
  <c r="G868" i="48"/>
  <c r="G870" i="48"/>
  <c r="M40" i="48"/>
  <c r="E2261" i="48"/>
  <c r="K53" i="48"/>
  <c r="E82" i="48"/>
  <c r="F98" i="48"/>
  <c r="J114" i="48"/>
  <c r="M2276" i="48"/>
  <c r="J2273" i="48"/>
  <c r="K2273" i="48"/>
  <c r="L2281" i="48"/>
  <c r="M125" i="48"/>
  <c r="M2281" i="48"/>
  <c r="M234" i="48"/>
  <c r="M260" i="48"/>
  <c r="M270" i="48"/>
  <c r="M277" i="48"/>
  <c r="M279" i="48"/>
  <c r="L260" i="48"/>
  <c r="L270" i="48"/>
  <c r="L277" i="48"/>
  <c r="L279" i="48"/>
  <c r="D336" i="48"/>
  <c r="L330" i="48"/>
  <c r="L327" i="48"/>
  <c r="M327" i="48"/>
  <c r="M330" i="48"/>
  <c r="I330" i="48"/>
  <c r="E2163" i="48"/>
  <c r="E420" i="48"/>
  <c r="J459" i="48"/>
  <c r="K459" i="48"/>
  <c r="I471" i="48"/>
  <c r="L513" i="48"/>
  <c r="M513" i="48"/>
  <c r="I525" i="48"/>
  <c r="I544" i="48"/>
  <c r="G2147" i="48"/>
  <c r="L866" i="48"/>
  <c r="L886" i="48"/>
  <c r="L888" i="48"/>
  <c r="M885" i="48"/>
  <c r="M886" i="48"/>
  <c r="M888" i="48"/>
  <c r="G1058" i="48"/>
  <c r="K1201" i="48"/>
  <c r="I1216" i="48"/>
  <c r="L1210" i="48"/>
  <c r="L1294" i="48"/>
  <c r="M1294" i="48"/>
  <c r="I1302" i="48"/>
  <c r="I1319" i="48"/>
  <c r="I1328" i="48"/>
  <c r="F495" i="48"/>
  <c r="F1403" i="48"/>
  <c r="F1405" i="48"/>
  <c r="F1423" i="48"/>
  <c r="J1417" i="48"/>
  <c r="K1414" i="48"/>
  <c r="L34" i="48"/>
  <c r="G2257" i="48"/>
  <c r="I2256" i="48"/>
  <c r="I2260" i="48"/>
  <c r="F2188" i="48"/>
  <c r="F2324" i="48"/>
  <c r="I2270" i="48"/>
  <c r="L2272" i="48"/>
  <c r="G2280" i="48"/>
  <c r="J2278" i="48"/>
  <c r="K2278" i="48"/>
  <c r="G2281" i="48"/>
  <c r="J2275" i="48"/>
  <c r="K2275" i="48"/>
  <c r="D2269" i="48"/>
  <c r="E179" i="48"/>
  <c r="E205" i="48"/>
  <c r="E215" i="48"/>
  <c r="E217" i="48"/>
  <c r="J268" i="48"/>
  <c r="J348" i="48"/>
  <c r="D381" i="48"/>
  <c r="D394" i="48"/>
  <c r="D396" i="48"/>
  <c r="D398" i="48"/>
  <c r="E355" i="48"/>
  <c r="E381" i="48"/>
  <c r="J391" i="48"/>
  <c r="C2155" i="48"/>
  <c r="C430" i="48"/>
  <c r="C2235" i="48"/>
  <c r="M454" i="48"/>
  <c r="K572" i="48"/>
  <c r="F2167" i="48"/>
  <c r="F577" i="48"/>
  <c r="G576" i="48"/>
  <c r="I666" i="48"/>
  <c r="E977" i="48"/>
  <c r="E1002" i="48"/>
  <c r="E1009" i="48"/>
  <c r="E1015" i="48"/>
  <c r="E1017" i="48"/>
  <c r="E1047" i="48"/>
  <c r="E1054" i="48"/>
  <c r="E1056" i="48"/>
  <c r="E1058" i="48"/>
  <c r="F1230" i="48"/>
  <c r="M1289" i="48"/>
  <c r="F1477" i="48"/>
  <c r="L29" i="48"/>
  <c r="G2296" i="48"/>
  <c r="E33" i="48"/>
  <c r="C2186" i="48"/>
  <c r="C2298" i="48"/>
  <c r="C84" i="48"/>
  <c r="C96" i="48"/>
  <c r="K40" i="48"/>
  <c r="I2257" i="48"/>
  <c r="K43" i="48"/>
  <c r="E2251" i="48"/>
  <c r="J2260" i="48"/>
  <c r="K2260" i="48"/>
  <c r="L2258" i="48"/>
  <c r="L2262" i="48"/>
  <c r="M51" i="48"/>
  <c r="E2255" i="48"/>
  <c r="G2304" i="48"/>
  <c r="G82" i="48"/>
  <c r="L2327" i="48"/>
  <c r="M79" i="48"/>
  <c r="M2327" i="48"/>
  <c r="I94" i="48"/>
  <c r="K106" i="48"/>
  <c r="J109" i="48"/>
  <c r="K116" i="48"/>
  <c r="M118" i="48"/>
  <c r="M2272" i="48"/>
  <c r="E2271" i="48"/>
  <c r="I2280" i="48"/>
  <c r="L121" i="48"/>
  <c r="K122" i="48"/>
  <c r="G2273" i="48"/>
  <c r="I2281" i="48"/>
  <c r="K126" i="48"/>
  <c r="K172" i="48"/>
  <c r="K263" i="48"/>
  <c r="E268" i="48"/>
  <c r="G381" i="48"/>
  <c r="G394" i="48"/>
  <c r="G396" i="48"/>
  <c r="G398" i="48"/>
  <c r="K384" i="48"/>
  <c r="E391" i="48"/>
  <c r="J2157" i="48"/>
  <c r="J415" i="48"/>
  <c r="K415" i="48"/>
  <c r="K414" i="48"/>
  <c r="J2161" i="48"/>
  <c r="K2161" i="48"/>
  <c r="J420" i="48"/>
  <c r="J449" i="48"/>
  <c r="D2217" i="48"/>
  <c r="I568" i="48"/>
  <c r="K571" i="48"/>
  <c r="J573" i="48"/>
  <c r="K573" i="48"/>
  <c r="I576" i="48"/>
  <c r="I577" i="48"/>
  <c r="I2167" i="48"/>
  <c r="C616" i="48"/>
  <c r="C622" i="48"/>
  <c r="D645" i="48"/>
  <c r="D673" i="48"/>
  <c r="D698" i="48"/>
  <c r="D700" i="48"/>
  <c r="J666" i="48"/>
  <c r="K666" i="48"/>
  <c r="L803" i="48"/>
  <c r="J907" i="48"/>
  <c r="K893" i="48"/>
  <c r="M1007" i="48"/>
  <c r="K1087" i="48"/>
  <c r="I1095" i="48"/>
  <c r="E1403" i="48"/>
  <c r="E1405" i="48"/>
  <c r="E1423" i="48"/>
  <c r="E495" i="48"/>
  <c r="L1414" i="48"/>
  <c r="I1417" i="48"/>
  <c r="I1419" i="48"/>
  <c r="I1421" i="48"/>
  <c r="I1402" i="48"/>
  <c r="K1529" i="48"/>
  <c r="M1649" i="48"/>
  <c r="M1662" i="48"/>
  <c r="L1662" i="48"/>
  <c r="E2177" i="48"/>
  <c r="E491" i="48"/>
  <c r="E22" i="48"/>
  <c r="E24" i="48"/>
  <c r="K33" i="48"/>
  <c r="I37" i="48"/>
  <c r="G2250" i="48"/>
  <c r="E2257" i="48"/>
  <c r="I2252" i="48"/>
  <c r="L44" i="48"/>
  <c r="I2259" i="48"/>
  <c r="E79" i="48"/>
  <c r="E2327" i="48"/>
  <c r="E2348" i="48"/>
  <c r="D82" i="48"/>
  <c r="D2194" i="48"/>
  <c r="G2277" i="48"/>
  <c r="I2276" i="48"/>
  <c r="J2272" i="48"/>
  <c r="K2272" i="48"/>
  <c r="K123" i="48"/>
  <c r="F217" i="48"/>
  <c r="G213" i="48"/>
  <c r="J322" i="48"/>
  <c r="K296" i="48"/>
  <c r="M385" i="48"/>
  <c r="M391" i="48"/>
  <c r="C2165" i="48"/>
  <c r="F579" i="48"/>
  <c r="F624" i="48"/>
  <c r="K584" i="48"/>
  <c r="J597" i="48"/>
  <c r="E929" i="48"/>
  <c r="I918" i="48"/>
  <c r="L918" i="48"/>
  <c r="D2159" i="48"/>
  <c r="D1122" i="48"/>
  <c r="D1128" i="48"/>
  <c r="I1239" i="48"/>
  <c r="I1241" i="48"/>
  <c r="L1238" i="48"/>
  <c r="M1317" i="48"/>
  <c r="L1373" i="48"/>
  <c r="M1373" i="48"/>
  <c r="I1382" i="48"/>
  <c r="G1509" i="48"/>
  <c r="G1531" i="48"/>
  <c r="G1630" i="48"/>
  <c r="F1664" i="48"/>
  <c r="F1679" i="48"/>
  <c r="F1681" i="48"/>
  <c r="M1796" i="48"/>
  <c r="M1797" i="48"/>
  <c r="M1803" i="48"/>
  <c r="M1809" i="48"/>
  <c r="L1797" i="48"/>
  <c r="L1803" i="48"/>
  <c r="L1809" i="48"/>
  <c r="G1080" i="48"/>
  <c r="L1115" i="48"/>
  <c r="M1114" i="48"/>
  <c r="M1115" i="48"/>
  <c r="G2331" i="48"/>
  <c r="G1207" i="48"/>
  <c r="M1339" i="48"/>
  <c r="M1340" i="48"/>
  <c r="M1342" i="48"/>
  <c r="L1340" i="48"/>
  <c r="L1342" i="48"/>
  <c r="M1522" i="48"/>
  <c r="L1529" i="48"/>
  <c r="G2252" i="48"/>
  <c r="I2254" i="48"/>
  <c r="L45" i="48"/>
  <c r="G2258" i="48"/>
  <c r="G2262" i="48"/>
  <c r="F2259" i="48"/>
  <c r="G50" i="48"/>
  <c r="C2188" i="48"/>
  <c r="C2324" i="48"/>
  <c r="C2325" i="48"/>
  <c r="C2346" i="48"/>
  <c r="C2194" i="48"/>
  <c r="D2277" i="48"/>
  <c r="E116" i="48"/>
  <c r="L2273" i="48"/>
  <c r="E150" i="48"/>
  <c r="I260" i="48"/>
  <c r="D2204" i="48"/>
  <c r="L296" i="48"/>
  <c r="I322" i="48"/>
  <c r="I332" i="48"/>
  <c r="I334" i="48"/>
  <c r="I336" i="48"/>
  <c r="J2155" i="48"/>
  <c r="C499" i="48"/>
  <c r="C501" i="48"/>
  <c r="J2217" i="48"/>
  <c r="K2217" i="48"/>
  <c r="K491" i="48"/>
  <c r="J525" i="48"/>
  <c r="E624" i="48"/>
  <c r="E645" i="48"/>
  <c r="E673" i="48"/>
  <c r="E698" i="48"/>
  <c r="E700" i="48"/>
  <c r="L666" i="48"/>
  <c r="M653" i="48"/>
  <c r="M666" i="48"/>
  <c r="F2306" i="48"/>
  <c r="F796" i="48"/>
  <c r="F805" i="48"/>
  <c r="F807" i="48"/>
  <c r="J859" i="48"/>
  <c r="F1058" i="48"/>
  <c r="G1145" i="48"/>
  <c r="J1160" i="48"/>
  <c r="I1201" i="48"/>
  <c r="I1218" i="48"/>
  <c r="I1280" i="48"/>
  <c r="I2250" i="48"/>
  <c r="I54" i="48"/>
  <c r="G2256" i="48"/>
  <c r="G2260" i="48"/>
  <c r="J2258" i="48"/>
  <c r="K2258" i="48"/>
  <c r="J2262" i="48"/>
  <c r="K2262" i="48"/>
  <c r="M2307" i="48"/>
  <c r="E59" i="48"/>
  <c r="F94" i="48"/>
  <c r="G2270" i="48"/>
  <c r="I2278" i="48"/>
  <c r="E2281" i="48"/>
  <c r="I2275" i="48"/>
  <c r="L126" i="48"/>
  <c r="J228" i="48"/>
  <c r="K228" i="48"/>
  <c r="F270" i="48"/>
  <c r="F277" i="48"/>
  <c r="F279" i="48"/>
  <c r="M2155" i="48"/>
  <c r="M430" i="48"/>
  <c r="L2155" i="48"/>
  <c r="L430" i="48"/>
  <c r="D2165" i="48"/>
  <c r="F449" i="48"/>
  <c r="F485" i="48"/>
  <c r="D2257" i="48"/>
  <c r="D525" i="48"/>
  <c r="D544" i="48"/>
  <c r="D551" i="48"/>
  <c r="D553" i="48"/>
  <c r="M562" i="48"/>
  <c r="M568" i="48"/>
  <c r="L568" i="48"/>
  <c r="J686" i="48"/>
  <c r="E714" i="48"/>
  <c r="E809" i="48"/>
  <c r="J843" i="48"/>
  <c r="K832" i="48"/>
  <c r="M850" i="48"/>
  <c r="G2163" i="48"/>
  <c r="G880" i="48"/>
  <c r="L1000" i="48"/>
  <c r="K1067" i="48"/>
  <c r="M2330" i="48"/>
  <c r="M1149" i="48"/>
  <c r="J2257" i="48"/>
  <c r="K2257" i="48"/>
  <c r="I2258" i="48"/>
  <c r="I2262" i="48"/>
  <c r="I2253" i="48"/>
  <c r="L2304" i="48"/>
  <c r="F2204" i="48"/>
  <c r="G2276" i="48"/>
  <c r="I2272" i="48"/>
  <c r="J2274" i="48"/>
  <c r="K2274" i="48"/>
  <c r="I2273" i="48"/>
  <c r="J2281" i="48"/>
  <c r="K2281" i="48"/>
  <c r="F2184" i="48"/>
  <c r="F152" i="48"/>
  <c r="F160" i="48"/>
  <c r="F162" i="48"/>
  <c r="E2279" i="48"/>
  <c r="D420" i="48"/>
  <c r="D430" i="48"/>
  <c r="E430" i="48"/>
  <c r="L446" i="48"/>
  <c r="C579" i="48"/>
  <c r="C624" i="48"/>
  <c r="F2153" i="48"/>
  <c r="F714" i="48"/>
  <c r="F809" i="48"/>
  <c r="G1095" i="48"/>
  <c r="E2159" i="48"/>
  <c r="E1122" i="48"/>
  <c r="E1128" i="48"/>
  <c r="E1172" i="48"/>
  <c r="G1149" i="48"/>
  <c r="F1125" i="48"/>
  <c r="J1217" i="48"/>
  <c r="K1217" i="48"/>
  <c r="C1394" i="48"/>
  <c r="L1382" i="48"/>
  <c r="M1368" i="48"/>
  <c r="M1382" i="48"/>
  <c r="C1423" i="48"/>
  <c r="L1432" i="48"/>
  <c r="I1433" i="48"/>
  <c r="I1435" i="48"/>
  <c r="K1536" i="48"/>
  <c r="J1537" i="48"/>
  <c r="L1697" i="48"/>
  <c r="M1697" i="48"/>
  <c r="M1698" i="48"/>
  <c r="M1700" i="48"/>
  <c r="I1698" i="48"/>
  <c r="I1700" i="48"/>
  <c r="I1728" i="48"/>
  <c r="L1715" i="48"/>
  <c r="F1728" i="48"/>
  <c r="F1768" i="48"/>
  <c r="F1785" i="48"/>
  <c r="G1723" i="48"/>
  <c r="G1728" i="48"/>
  <c r="G1768" i="48"/>
  <c r="G1785" i="48"/>
  <c r="C1785" i="48"/>
  <c r="C1787" i="48"/>
  <c r="E2204" i="48"/>
  <c r="E2165" i="48"/>
  <c r="D449" i="48"/>
  <c r="D485" i="48"/>
  <c r="D501" i="48"/>
  <c r="C2190" i="48"/>
  <c r="F544" i="48"/>
  <c r="F551" i="48"/>
  <c r="F553" i="48"/>
  <c r="F616" i="48"/>
  <c r="F622" i="48"/>
  <c r="I929" i="48"/>
  <c r="K940" i="48"/>
  <c r="J941" i="48"/>
  <c r="C1017" i="48"/>
  <c r="K984" i="48"/>
  <c r="J1000" i="48"/>
  <c r="J1007" i="48"/>
  <c r="K1005" i="48"/>
  <c r="L1013" i="48"/>
  <c r="M1012" i="48"/>
  <c r="M1013" i="48"/>
  <c r="L1080" i="48"/>
  <c r="L1097" i="48"/>
  <c r="G1120" i="48"/>
  <c r="G1122" i="48"/>
  <c r="I1119" i="48"/>
  <c r="L1119" i="48"/>
  <c r="M1119" i="48"/>
  <c r="E1259" i="48"/>
  <c r="E1265" i="48"/>
  <c r="E1267" i="48"/>
  <c r="L1256" i="48"/>
  <c r="I1257" i="48"/>
  <c r="J1327" i="48"/>
  <c r="K1327" i="48"/>
  <c r="K1326" i="48"/>
  <c r="G1360" i="48"/>
  <c r="G1384" i="48"/>
  <c r="G1392" i="48"/>
  <c r="G1394" i="48"/>
  <c r="L1569" i="48"/>
  <c r="L1581" i="48"/>
  <c r="M1556" i="48"/>
  <c r="M1569" i="48"/>
  <c r="K1559" i="48"/>
  <c r="J1569" i="48"/>
  <c r="K1630" i="48"/>
  <c r="F2165" i="48"/>
  <c r="J499" i="48"/>
  <c r="C673" i="48"/>
  <c r="C698" i="48"/>
  <c r="C700" i="48"/>
  <c r="F666" i="48"/>
  <c r="F673" i="48"/>
  <c r="F698" i="48"/>
  <c r="F700" i="48"/>
  <c r="G712" i="48"/>
  <c r="I709" i="48"/>
  <c r="D2153" i="48"/>
  <c r="D714" i="48"/>
  <c r="D809" i="48"/>
  <c r="C809" i="48"/>
  <c r="I803" i="48"/>
  <c r="E843" i="48"/>
  <c r="E861" i="48"/>
  <c r="E868" i="48"/>
  <c r="E870" i="48"/>
  <c r="J929" i="48"/>
  <c r="K915" i="48"/>
  <c r="G1000" i="48"/>
  <c r="G1002" i="48"/>
  <c r="G1009" i="48"/>
  <c r="G1015" i="48"/>
  <c r="G1017" i="48"/>
  <c r="G1052" i="48"/>
  <c r="G1054" i="48"/>
  <c r="G1056" i="48"/>
  <c r="I1050" i="48"/>
  <c r="J1126" i="48"/>
  <c r="K1125" i="48"/>
  <c r="E1201" i="48"/>
  <c r="E1218" i="48"/>
  <c r="E1226" i="48"/>
  <c r="E1228" i="48"/>
  <c r="E1230" i="48"/>
  <c r="L2332" i="48"/>
  <c r="L1253" i="48"/>
  <c r="G1284" i="48"/>
  <c r="K1844" i="48"/>
  <c r="J1853" i="48"/>
  <c r="E2256" i="48"/>
  <c r="D2261" i="48"/>
  <c r="C2217" i="48"/>
  <c r="D579" i="48"/>
  <c r="D624" i="48"/>
  <c r="C2153" i="48"/>
  <c r="C2171" i="48"/>
  <c r="C2175" i="48"/>
  <c r="C2179" i="48"/>
  <c r="L904" i="48"/>
  <c r="J977" i="48"/>
  <c r="I1080" i="48"/>
  <c r="I1097" i="48"/>
  <c r="I1104" i="48"/>
  <c r="I1106" i="48"/>
  <c r="J1102" i="48"/>
  <c r="I1182" i="48"/>
  <c r="I1184" i="48"/>
  <c r="L1201" i="48"/>
  <c r="M1189" i="48"/>
  <c r="M1201" i="48"/>
  <c r="G2263" i="48"/>
  <c r="I1247" i="48"/>
  <c r="J1282" i="48"/>
  <c r="E1302" i="48"/>
  <c r="E1319" i="48"/>
  <c r="E1328" i="48"/>
  <c r="E1330" i="48"/>
  <c r="C1319" i="48"/>
  <c r="C1328" i="48"/>
  <c r="C1330" i="48"/>
  <c r="L1317" i="48"/>
  <c r="G1326" i="48"/>
  <c r="L1326" i="48"/>
  <c r="J1382" i="48"/>
  <c r="I1390" i="48"/>
  <c r="L1387" i="48"/>
  <c r="G1419" i="48"/>
  <c r="G1421" i="48"/>
  <c r="G1453" i="48"/>
  <c r="G1467" i="48"/>
  <c r="G1475" i="48"/>
  <c r="G1477" i="48"/>
  <c r="F1467" i="48"/>
  <c r="F1475" i="48"/>
  <c r="L1585" i="48"/>
  <c r="M1585" i="48"/>
  <c r="M1587" i="48"/>
  <c r="I1587" i="48"/>
  <c r="I1630" i="48"/>
  <c r="L1616" i="48"/>
  <c r="I1047" i="48"/>
  <c r="J1047" i="48"/>
  <c r="L1084" i="48"/>
  <c r="L1095" i="48"/>
  <c r="I1145" i="48"/>
  <c r="I1162" i="48"/>
  <c r="I1170" i="48"/>
  <c r="G1319" i="48"/>
  <c r="G1328" i="48"/>
  <c r="J1302" i="48"/>
  <c r="K1290" i="48"/>
  <c r="L1460" i="48"/>
  <c r="I1465" i="48"/>
  <c r="J1473" i="48"/>
  <c r="K1470" i="48"/>
  <c r="J1490" i="48"/>
  <c r="M1534" i="48"/>
  <c r="M1537" i="48"/>
  <c r="L1537" i="48"/>
  <c r="G1662" i="48"/>
  <c r="L1775" i="48"/>
  <c r="I1779" i="48"/>
  <c r="J1908" i="48"/>
  <c r="K1908" i="48"/>
  <c r="K1907" i="48"/>
  <c r="M1928" i="48"/>
  <c r="J2211" i="48"/>
  <c r="K2211" i="48"/>
  <c r="K937" i="48"/>
  <c r="I1000" i="48"/>
  <c r="D2163" i="48"/>
  <c r="D1029" i="48"/>
  <c r="D1058" i="48"/>
  <c r="M1067" i="48"/>
  <c r="M1080" i="48"/>
  <c r="M1097" i="48"/>
  <c r="G2159" i="48"/>
  <c r="J1145" i="48"/>
  <c r="M1165" i="48"/>
  <c r="M1168" i="48"/>
  <c r="L1168" i="48"/>
  <c r="D1226" i="48"/>
  <c r="D1228" i="48"/>
  <c r="D1230" i="48"/>
  <c r="I1224" i="48"/>
  <c r="L1221" i="48"/>
  <c r="D1259" i="48"/>
  <c r="D1265" i="48"/>
  <c r="D1267" i="48"/>
  <c r="G2332" i="48"/>
  <c r="G1253" i="48"/>
  <c r="G1259" i="48"/>
  <c r="G1265" i="48"/>
  <c r="G1267" i="48"/>
  <c r="J2159" i="48"/>
  <c r="K1340" i="48"/>
  <c r="E1351" i="48"/>
  <c r="E1360" i="48"/>
  <c r="E1384" i="48"/>
  <c r="E1392" i="48"/>
  <c r="E1394" i="48"/>
  <c r="L2333" i="48"/>
  <c r="M1363" i="48"/>
  <c r="L1365" i="48"/>
  <c r="L2334" i="48"/>
  <c r="L1411" i="48"/>
  <c r="M1410" i="48"/>
  <c r="L1473" i="48"/>
  <c r="M1470" i="48"/>
  <c r="M1473" i="48"/>
  <c r="L1488" i="48"/>
  <c r="L1490" i="48"/>
  <c r="M1487" i="48"/>
  <c r="M1488" i="48"/>
  <c r="M1490" i="48"/>
  <c r="M1549" i="48"/>
  <c r="M1551" i="48"/>
  <c r="G1549" i="48"/>
  <c r="G1551" i="48"/>
  <c r="K1584" i="48"/>
  <c r="J1587" i="48"/>
  <c r="C1683" i="48"/>
  <c r="L1827" i="48"/>
  <c r="M1814" i="48"/>
  <c r="M1827" i="48"/>
  <c r="C1029" i="48"/>
  <c r="C1058" i="48"/>
  <c r="L1034" i="48"/>
  <c r="D1162" i="48"/>
  <c r="D1170" i="48"/>
  <c r="I1160" i="48"/>
  <c r="J1168" i="48"/>
  <c r="K1180" i="48"/>
  <c r="J1182" i="48"/>
  <c r="F1218" i="48"/>
  <c r="F1226" i="48"/>
  <c r="F1228" i="48"/>
  <c r="J1224" i="48"/>
  <c r="K1221" i="48"/>
  <c r="L1360" i="48"/>
  <c r="L1384" i="48"/>
  <c r="I1549" i="48"/>
  <c r="I1551" i="48"/>
  <c r="G1646" i="48"/>
  <c r="J1662" i="48"/>
  <c r="K1649" i="48"/>
  <c r="E1728" i="48"/>
  <c r="E1768" i="48"/>
  <c r="E1785" i="48"/>
  <c r="F2202" i="48"/>
  <c r="L1801" i="48"/>
  <c r="M1800" i="48"/>
  <c r="M1801" i="48"/>
  <c r="L1100" i="48"/>
  <c r="F2159" i="48"/>
  <c r="L1133" i="48"/>
  <c r="G1224" i="48"/>
  <c r="G2204" i="48"/>
  <c r="F1267" i="48"/>
  <c r="F1384" i="48"/>
  <c r="F1392" i="48"/>
  <c r="F1394" i="48"/>
  <c r="G2333" i="48"/>
  <c r="G2345" i="48"/>
  <c r="D2177" i="48"/>
  <c r="D1403" i="48"/>
  <c r="D1405" i="48"/>
  <c r="D1423" i="48"/>
  <c r="J1453" i="48"/>
  <c r="L1495" i="48"/>
  <c r="I1509" i="48"/>
  <c r="I1531" i="48"/>
  <c r="I1539" i="48"/>
  <c r="I1541" i="48"/>
  <c r="M1516" i="48"/>
  <c r="L2336" i="48"/>
  <c r="L2345" i="48"/>
  <c r="M1514" i="48"/>
  <c r="M2336" i="48"/>
  <c r="M1529" i="48"/>
  <c r="G1575" i="48"/>
  <c r="G1581" i="48"/>
  <c r="G1589" i="48"/>
  <c r="G1591" i="48"/>
  <c r="L2151" i="48"/>
  <c r="L1633" i="48"/>
  <c r="L1634" i="48"/>
  <c r="I1662" i="48"/>
  <c r="L1674" i="48"/>
  <c r="I1677" i="48"/>
  <c r="M1731" i="48"/>
  <c r="M1732" i="48"/>
  <c r="J1728" i="48"/>
  <c r="K1715" i="48"/>
  <c r="M1739" i="48"/>
  <c r="M1744" i="48"/>
  <c r="L1744" i="48"/>
  <c r="M2331" i="48"/>
  <c r="F1330" i="48"/>
  <c r="J1317" i="48"/>
  <c r="M1360" i="48"/>
  <c r="E2334" i="48"/>
  <c r="E1411" i="48"/>
  <c r="E1419" i="48"/>
  <c r="E1421" i="48"/>
  <c r="L1453" i="48"/>
  <c r="M1440" i="48"/>
  <c r="M1453" i="48"/>
  <c r="J1465" i="48"/>
  <c r="K1460" i="48"/>
  <c r="G1537" i="48"/>
  <c r="F1593" i="48"/>
  <c r="E1569" i="48"/>
  <c r="E1581" i="48"/>
  <c r="E1589" i="48"/>
  <c r="E1591" i="48"/>
  <c r="E1593" i="48"/>
  <c r="E1787" i="48"/>
  <c r="J1698" i="48"/>
  <c r="K1698" i="48"/>
  <c r="K1696" i="48"/>
  <c r="G1766" i="48"/>
  <c r="G2202" i="48"/>
  <c r="C2169" i="48"/>
  <c r="C1900" i="48"/>
  <c r="C1910" i="48"/>
  <c r="C1995" i="48"/>
  <c r="M2046" i="48"/>
  <c r="M2078" i="48"/>
  <c r="M2093" i="48"/>
  <c r="K1403" i="48"/>
  <c r="L1516" i="48"/>
  <c r="D2151" i="48"/>
  <c r="D2171" i="48"/>
  <c r="D2175" i="48"/>
  <c r="D2179" i="48"/>
  <c r="D1605" i="48"/>
  <c r="D1611" i="48"/>
  <c r="D1683" i="48"/>
  <c r="C2202" i="48"/>
  <c r="I1731" i="48"/>
  <c r="I1732" i="48"/>
  <c r="G1700" i="48"/>
  <c r="G1710" i="48"/>
  <c r="G1787" i="48"/>
  <c r="F1700" i="48"/>
  <c r="F1710" i="48"/>
  <c r="F1787" i="48"/>
  <c r="M2202" i="48"/>
  <c r="L1868" i="48"/>
  <c r="M1865" i="48"/>
  <c r="M1868" i="48"/>
  <c r="G1968" i="48"/>
  <c r="M2124" i="48"/>
  <c r="C2159" i="48"/>
  <c r="M1305" i="48"/>
  <c r="M1306" i="48"/>
  <c r="K1389" i="48"/>
  <c r="K1402" i="48"/>
  <c r="M1513" i="48"/>
  <c r="M2305" i="48"/>
  <c r="E2151" i="48"/>
  <c r="E2171" i="48"/>
  <c r="E2175" i="48"/>
  <c r="E2179" i="48"/>
  <c r="E1605" i="48"/>
  <c r="E1611" i="48"/>
  <c r="E1683" i="48"/>
  <c r="I1827" i="48"/>
  <c r="I1855" i="48"/>
  <c r="I1870" i="48"/>
  <c r="I1876" i="48"/>
  <c r="I1878" i="48"/>
  <c r="G1928" i="48"/>
  <c r="L2331" i="48"/>
  <c r="M2338" i="48"/>
  <c r="L1698" i="48"/>
  <c r="L1700" i="48"/>
  <c r="E1827" i="48"/>
  <c r="E1855" i="48"/>
  <c r="E1870" i="48"/>
  <c r="E1876" i="48"/>
  <c r="M2173" i="48"/>
  <c r="J2083" i="48"/>
  <c r="K2083" i="48"/>
  <c r="J2105" i="48"/>
  <c r="K2104" i="48"/>
  <c r="C2282" i="48"/>
  <c r="C2284" i="48"/>
  <c r="C1531" i="48"/>
  <c r="C1539" i="48"/>
  <c r="C1541" i="48"/>
  <c r="E1516" i="48"/>
  <c r="I1579" i="48"/>
  <c r="F2151" i="48"/>
  <c r="F1605" i="48"/>
  <c r="F1611" i="48"/>
  <c r="E1630" i="48"/>
  <c r="E1664" i="48"/>
  <c r="E1679" i="48"/>
  <c r="E1681" i="48"/>
  <c r="D1803" i="48"/>
  <c r="D1809" i="48"/>
  <c r="D1878" i="48"/>
  <c r="G1827" i="48"/>
  <c r="I1853" i="48"/>
  <c r="L1841" i="48"/>
  <c r="K1861" i="48"/>
  <c r="J1862" i="48"/>
  <c r="K2202" i="48"/>
  <c r="G2305" i="48"/>
  <c r="L1549" i="48"/>
  <c r="L1551" i="48"/>
  <c r="I1569" i="48"/>
  <c r="I1581" i="48"/>
  <c r="L1579" i="48"/>
  <c r="M1578" i="48"/>
  <c r="M1579" i="48"/>
  <c r="I1605" i="48"/>
  <c r="G2151" i="48"/>
  <c r="G1605" i="48"/>
  <c r="G1611" i="48"/>
  <c r="I2202" i="48"/>
  <c r="F1878" i="48"/>
  <c r="G1910" i="48"/>
  <c r="K2128" i="48"/>
  <c r="J1603" i="48"/>
  <c r="G2338" i="48"/>
  <c r="K1735" i="48"/>
  <c r="J1736" i="48"/>
  <c r="J1766" i="48"/>
  <c r="J1773" i="48"/>
  <c r="K1773" i="48"/>
  <c r="K1772" i="48"/>
  <c r="C1855" i="48"/>
  <c r="C1870" i="48"/>
  <c r="C1876" i="48"/>
  <c r="C1878" i="48"/>
  <c r="I2305" i="48"/>
  <c r="I2323" i="48"/>
  <c r="L1835" i="48"/>
  <c r="M1835" i="48"/>
  <c r="M1838" i="48"/>
  <c r="I1838" i="48"/>
  <c r="K2046" i="48"/>
  <c r="J2047" i="48"/>
  <c r="K2047" i="48"/>
  <c r="M2075" i="48"/>
  <c r="M2076" i="48"/>
  <c r="M2192" i="48"/>
  <c r="M2112" i="48"/>
  <c r="M2120" i="48"/>
  <c r="L2120" i="48"/>
  <c r="J1677" i="48"/>
  <c r="K1676" i="48"/>
  <c r="G1698" i="48"/>
  <c r="E2173" i="48"/>
  <c r="L1766" i="48"/>
  <c r="M1750" i="48"/>
  <c r="M1766" i="48"/>
  <c r="D2202" i="48"/>
  <c r="E1803" i="48"/>
  <c r="E1809" i="48"/>
  <c r="E1878" i="48"/>
  <c r="M1931" i="48"/>
  <c r="M1932" i="48"/>
  <c r="G1924" i="48"/>
  <c r="F1928" i="48"/>
  <c r="C2095" i="48"/>
  <c r="I2046" i="48"/>
  <c r="I2078" i="48"/>
  <c r="I2093" i="48"/>
  <c r="K2330" i="48"/>
  <c r="J2345" i="48"/>
  <c r="K2345" i="48"/>
  <c r="M2072" i="48"/>
  <c r="D2138" i="48"/>
  <c r="J2050" i="48"/>
  <c r="K2049" i="48"/>
  <c r="L2136" i="48"/>
  <c r="L2104" i="48"/>
  <c r="L2105" i="48"/>
  <c r="L2107" i="48"/>
  <c r="L2138" i="48"/>
  <c r="L2016" i="48"/>
  <c r="L2169" i="48"/>
  <c r="M2015" i="48"/>
  <c r="M2016" i="48"/>
  <c r="D2095" i="48"/>
  <c r="M2127" i="48"/>
  <c r="M2128" i="48"/>
  <c r="L2338" i="48"/>
  <c r="D1768" i="48"/>
  <c r="D1785" i="48"/>
  <c r="D1787" i="48"/>
  <c r="I1766" i="48"/>
  <c r="J1827" i="48"/>
  <c r="K1814" i="48"/>
  <c r="K1831" i="48"/>
  <c r="I1894" i="48"/>
  <c r="I1900" i="48"/>
  <c r="I1910" i="48"/>
  <c r="L2173" i="48"/>
  <c r="F1968" i="48"/>
  <c r="F2194" i="48"/>
  <c r="L1987" i="48"/>
  <c r="M1981" i="48"/>
  <c r="M1987" i="48"/>
  <c r="L2006" i="48"/>
  <c r="L2046" i="48"/>
  <c r="L2078" i="48"/>
  <c r="L2093" i="48"/>
  <c r="G2192" i="48"/>
  <c r="E2138" i="48"/>
  <c r="D2325" i="48"/>
  <c r="D2348" i="48"/>
  <c r="J1779" i="48"/>
  <c r="F2304" i="48"/>
  <c r="F2323" i="48"/>
  <c r="G1837" i="48"/>
  <c r="L1931" i="48"/>
  <c r="L1932" i="48"/>
  <c r="I2169" i="48"/>
  <c r="J1968" i="48"/>
  <c r="L2213" i="48"/>
  <c r="I2006" i="48"/>
  <c r="I2151" i="48"/>
  <c r="M2058" i="48"/>
  <c r="D2296" i="48"/>
  <c r="M2339" i="48"/>
  <c r="G1838" i="48"/>
  <c r="M1945" i="48"/>
  <c r="M2213" i="48"/>
  <c r="I2018" i="48"/>
  <c r="I2028" i="48"/>
  <c r="D2136" i="48"/>
  <c r="F2266" i="48"/>
  <c r="F2299" i="48"/>
  <c r="L2202" i="48"/>
  <c r="J1801" i="48"/>
  <c r="K1801" i="48"/>
  <c r="D1855" i="48"/>
  <c r="D1870" i="48"/>
  <c r="D1876" i="48"/>
  <c r="L1928" i="48"/>
  <c r="L1974" i="48"/>
  <c r="L1993" i="48"/>
  <c r="I1928" i="48"/>
  <c r="I1974" i="48"/>
  <c r="I1993" i="48"/>
  <c r="L1968" i="48"/>
  <c r="M1950" i="48"/>
  <c r="M1968" i="48"/>
  <c r="D2213" i="48"/>
  <c r="G2018" i="48"/>
  <c r="G2130" i="48"/>
  <c r="G2136" i="48"/>
  <c r="G2138" i="48"/>
  <c r="G2339" i="48"/>
  <c r="E2202" i="48"/>
  <c r="L1892" i="48"/>
  <c r="I2173" i="48"/>
  <c r="G2344" i="48"/>
  <c r="I2192" i="48"/>
  <c r="D2173" i="48"/>
  <c r="D2192" i="48"/>
  <c r="F2169" i="48"/>
  <c r="F2171" i="48"/>
  <c r="F2175" i="48"/>
  <c r="F2016" i="48"/>
  <c r="F2018" i="48"/>
  <c r="G2046" i="48"/>
  <c r="G2078" i="48"/>
  <c r="G2093" i="48"/>
  <c r="E2192" i="48"/>
  <c r="E2130" i="48"/>
  <c r="E2136" i="48"/>
  <c r="G2341" i="48"/>
  <c r="J2072" i="48"/>
  <c r="K2061" i="48"/>
  <c r="F2130" i="48"/>
  <c r="F2136" i="48"/>
  <c r="F2138" i="48"/>
  <c r="G2124" i="48"/>
  <c r="C2296" i="48"/>
  <c r="C2299" i="48"/>
  <c r="J2323" i="48"/>
  <c r="C2348" i="48"/>
  <c r="F2282" i="48"/>
  <c r="D2345" i="48"/>
  <c r="E2345" i="48"/>
  <c r="F2345" i="48"/>
  <c r="K2304" i="48"/>
  <c r="D652" i="45"/>
  <c r="E182" i="43"/>
  <c r="D182" i="43"/>
  <c r="C181" i="43"/>
  <c r="C183" i="43"/>
  <c r="C184" i="43"/>
  <c r="AD650" i="45"/>
  <c r="E650" i="45"/>
  <c r="D136" i="43"/>
  <c r="C182" i="43"/>
  <c r="D650" i="45"/>
  <c r="C136" i="43"/>
  <c r="AD734" i="45"/>
  <c r="AC734" i="45"/>
  <c r="Q650" i="45"/>
  <c r="Q602" i="45"/>
  <c r="AB734" i="45"/>
  <c r="D571" i="45"/>
  <c r="C286" i="43"/>
  <c r="AA734" i="45"/>
  <c r="J2256" i="48"/>
  <c r="K2256" i="48"/>
  <c r="J797" i="48"/>
  <c r="K797" i="48"/>
  <c r="J1988" i="48"/>
  <c r="K1988" i="48"/>
  <c r="J2169" i="48"/>
  <c r="K2169" i="48"/>
  <c r="I1384" i="48"/>
  <c r="I1392" i="48"/>
  <c r="I1394" i="48"/>
  <c r="J151" i="48"/>
  <c r="K151" i="48"/>
  <c r="J205" i="48"/>
  <c r="J215" i="48"/>
  <c r="J292" i="48"/>
  <c r="K292" i="48"/>
  <c r="K1928" i="48"/>
  <c r="K696" i="48"/>
  <c r="J2255" i="48"/>
  <c r="K2255" i="48"/>
  <c r="J615" i="48"/>
  <c r="K615" i="48"/>
  <c r="I2296" i="48"/>
  <c r="K1360" i="48"/>
  <c r="J569" i="48"/>
  <c r="K569" i="48"/>
  <c r="J1551" i="48"/>
  <c r="K1551" i="48"/>
  <c r="K1390" i="48"/>
  <c r="J2252" i="48"/>
  <c r="K2252" i="48"/>
  <c r="E2254" i="48"/>
  <c r="J230" i="48"/>
  <c r="K230" i="48"/>
  <c r="J1531" i="48"/>
  <c r="J1539" i="48"/>
  <c r="K1539" i="48"/>
  <c r="J1510" i="48"/>
  <c r="K1510" i="48"/>
  <c r="J1435" i="48"/>
  <c r="J1384" i="48"/>
  <c r="J1392" i="48"/>
  <c r="L525" i="48"/>
  <c r="L544" i="48"/>
  <c r="J394" i="48"/>
  <c r="J396" i="48"/>
  <c r="K396" i="48"/>
  <c r="M1009" i="48"/>
  <c r="M1015" i="48"/>
  <c r="M1017" i="48"/>
  <c r="I1002" i="48"/>
  <c r="I1009" i="48"/>
  <c r="I1015" i="48"/>
  <c r="I1017" i="48"/>
  <c r="K1868" i="48"/>
  <c r="J1530" i="48"/>
  <c r="K1530" i="48"/>
  <c r="J1218" i="48"/>
  <c r="K1218" i="48"/>
  <c r="K796" i="48"/>
  <c r="J2018" i="48"/>
  <c r="K2018" i="48"/>
  <c r="J1803" i="48"/>
  <c r="K1803" i="48"/>
  <c r="M116" i="48"/>
  <c r="M2277" i="48"/>
  <c r="M2256" i="48"/>
  <c r="J805" i="48"/>
  <c r="K805" i="48"/>
  <c r="D2299" i="48"/>
  <c r="I805" i="48"/>
  <c r="I807" i="48"/>
  <c r="K213" i="48"/>
  <c r="E2258" i="48"/>
  <c r="J429" i="48"/>
  <c r="K429" i="48"/>
  <c r="J55" i="48"/>
  <c r="K55" i="48"/>
  <c r="K1239" i="48"/>
  <c r="L907" i="48"/>
  <c r="L931" i="48"/>
  <c r="L943" i="48"/>
  <c r="L945" i="48"/>
  <c r="J1664" i="48"/>
  <c r="J1679" i="48"/>
  <c r="J2250" i="48"/>
  <c r="K2250" i="48"/>
  <c r="K2155" i="48"/>
  <c r="B20" i="13"/>
  <c r="J2253" i="48"/>
  <c r="K2253" i="48"/>
  <c r="K2157" i="48"/>
  <c r="B22" i="13"/>
  <c r="E2269" i="48"/>
  <c r="K381" i="48"/>
  <c r="D2266" i="48"/>
  <c r="J2077" i="48"/>
  <c r="K2077" i="48"/>
  <c r="K2076" i="48"/>
  <c r="J2078" i="48"/>
  <c r="K2078" i="48"/>
  <c r="K2192" i="48"/>
  <c r="B40" i="13"/>
  <c r="M2253" i="48"/>
  <c r="I1995" i="48"/>
  <c r="J2254" i="48"/>
  <c r="K2254" i="48"/>
  <c r="L2253" i="48"/>
  <c r="K568" i="48"/>
  <c r="J382" i="48"/>
  <c r="K382" i="48"/>
  <c r="J2251" i="48"/>
  <c r="K2251" i="48"/>
  <c r="J83" i="48"/>
  <c r="K83" i="48"/>
  <c r="I2095" i="48"/>
  <c r="K2159" i="48"/>
  <c r="B11" i="13"/>
  <c r="J411" i="48"/>
  <c r="K411" i="48"/>
  <c r="J1635" i="48"/>
  <c r="K1635" i="48"/>
  <c r="K1634" i="48"/>
  <c r="E1531" i="48"/>
  <c r="E1539" i="48"/>
  <c r="E1541" i="48"/>
  <c r="J1259" i="48"/>
  <c r="K1257" i="48"/>
  <c r="K275" i="48"/>
  <c r="E449" i="48"/>
  <c r="E485" i="48"/>
  <c r="K2177" i="48"/>
  <c r="K880" i="48"/>
  <c r="J888" i="48"/>
  <c r="L2293" i="48"/>
  <c r="M33" i="48"/>
  <c r="M2293" i="48"/>
  <c r="K1732" i="48"/>
  <c r="J1733" i="48"/>
  <c r="K1733" i="48"/>
  <c r="D503" i="48"/>
  <c r="D2235" i="48"/>
  <c r="E2236" i="48"/>
  <c r="D2236" i="48"/>
  <c r="C2221" i="48"/>
  <c r="C2236" i="48"/>
  <c r="F2179" i="48"/>
  <c r="K1664" i="48"/>
  <c r="C2237" i="48"/>
  <c r="I2348" i="48"/>
  <c r="I2325" i="48"/>
  <c r="I2346" i="48"/>
  <c r="L2188" i="48"/>
  <c r="L2324" i="48"/>
  <c r="J1319" i="48"/>
  <c r="K1302" i="48"/>
  <c r="J1303" i="48"/>
  <c r="K1303" i="48"/>
  <c r="L2275" i="48"/>
  <c r="M126" i="48"/>
  <c r="M2275" i="48"/>
  <c r="D1172" i="48"/>
  <c r="L2252" i="48"/>
  <c r="M44" i="48"/>
  <c r="M2252" i="48"/>
  <c r="I2147" i="48"/>
  <c r="I600" i="48"/>
  <c r="I601" i="48"/>
  <c r="I571" i="48"/>
  <c r="I572" i="48"/>
  <c r="I2149" i="48"/>
  <c r="E2293" i="48"/>
  <c r="E2296" i="48"/>
  <c r="E37" i="48"/>
  <c r="K268" i="48"/>
  <c r="J269" i="48"/>
  <c r="K269" i="48"/>
  <c r="L2255" i="48"/>
  <c r="M53" i="48"/>
  <c r="M2255" i="48"/>
  <c r="D2346" i="48"/>
  <c r="J2151" i="48"/>
  <c r="K1603" i="48"/>
  <c r="J1605" i="48"/>
  <c r="J1700" i="48"/>
  <c r="K941" i="48"/>
  <c r="J942" i="48"/>
  <c r="K942" i="48"/>
  <c r="L2323" i="48"/>
  <c r="J206" i="48"/>
  <c r="K206" i="48"/>
  <c r="K205" i="48"/>
  <c r="K2072" i="48"/>
  <c r="J2073" i="48"/>
  <c r="K2073" i="48"/>
  <c r="K1224" i="48"/>
  <c r="J1225" i="48"/>
  <c r="K1225" i="48"/>
  <c r="F2285" i="48"/>
  <c r="F2198" i="48"/>
  <c r="F2206" i="48"/>
  <c r="F2215" i="48"/>
  <c r="L2147" i="48"/>
  <c r="L571" i="48"/>
  <c r="L572" i="48"/>
  <c r="L2149" i="48"/>
  <c r="L600" i="48"/>
  <c r="L601" i="48"/>
  <c r="M62" i="48"/>
  <c r="M82" i="48"/>
  <c r="L82" i="48"/>
  <c r="J2107" i="48"/>
  <c r="K2105" i="48"/>
  <c r="J1900" i="48"/>
  <c r="K1473" i="48"/>
  <c r="J1474" i="48"/>
  <c r="K1474" i="48"/>
  <c r="J978" i="48"/>
  <c r="K978" i="48"/>
  <c r="K977" i="48"/>
  <c r="J1002" i="48"/>
  <c r="J1538" i="48"/>
  <c r="K1538" i="48"/>
  <c r="K1537" i="48"/>
  <c r="L322" i="48"/>
  <c r="L332" i="48"/>
  <c r="L334" i="48"/>
  <c r="L336" i="48"/>
  <c r="M296" i="48"/>
  <c r="M322" i="48"/>
  <c r="M332" i="48"/>
  <c r="M334" i="48"/>
  <c r="M336" i="48"/>
  <c r="G1664" i="48"/>
  <c r="G1679" i="48"/>
  <c r="G1681" i="48"/>
  <c r="G1683" i="48"/>
  <c r="J485" i="48"/>
  <c r="K449" i="48"/>
  <c r="J450" i="48"/>
  <c r="K450" i="48"/>
  <c r="L2280" i="48"/>
  <c r="M121" i="48"/>
  <c r="M2280" i="48"/>
  <c r="E54" i="48"/>
  <c r="L2294" i="48"/>
  <c r="M34" i="48"/>
  <c r="M2294" i="48"/>
  <c r="M1210" i="48"/>
  <c r="M1216" i="48"/>
  <c r="L1216" i="48"/>
  <c r="L471" i="48"/>
  <c r="I483" i="48"/>
  <c r="I485" i="48"/>
  <c r="E907" i="48"/>
  <c r="E931" i="48"/>
  <c r="E943" i="48"/>
  <c r="E945" i="48"/>
  <c r="I673" i="48"/>
  <c r="I698" i="48"/>
  <c r="I700" i="48"/>
  <c r="K2147" i="48"/>
  <c r="L2261" i="48"/>
  <c r="M52" i="48"/>
  <c r="M2261" i="48"/>
  <c r="M692" i="48"/>
  <c r="M696" i="48"/>
  <c r="L696" i="48"/>
  <c r="L2257" i="48"/>
  <c r="G2165" i="48"/>
  <c r="L1838" i="48"/>
  <c r="M1384" i="48"/>
  <c r="M1392" i="48"/>
  <c r="M1394" i="48"/>
  <c r="M1495" i="48"/>
  <c r="M1509" i="48"/>
  <c r="M1531" i="48"/>
  <c r="M1539" i="48"/>
  <c r="M1541" i="48"/>
  <c r="L1509" i="48"/>
  <c r="L1531" i="48"/>
  <c r="L1539" i="48"/>
  <c r="L1541" i="48"/>
  <c r="K1182" i="48"/>
  <c r="J1184" i="48"/>
  <c r="M1775" i="48"/>
  <c r="M1779" i="48"/>
  <c r="L1779" i="48"/>
  <c r="I1120" i="48"/>
  <c r="L2265" i="48"/>
  <c r="M904" i="48"/>
  <c r="M2265" i="48"/>
  <c r="K1853" i="48"/>
  <c r="J1854" i="48"/>
  <c r="K1854" i="48"/>
  <c r="J500" i="48"/>
  <c r="K500" i="48"/>
  <c r="K499" i="48"/>
  <c r="M1581" i="48"/>
  <c r="M1589" i="48"/>
  <c r="M1591" i="48"/>
  <c r="M1593" i="48"/>
  <c r="M1256" i="48"/>
  <c r="M1257" i="48"/>
  <c r="L1257" i="48"/>
  <c r="L2264" i="48"/>
  <c r="M446" i="48"/>
  <c r="M2264" i="48"/>
  <c r="J844" i="48"/>
  <c r="K844" i="48"/>
  <c r="J861" i="48"/>
  <c r="K843" i="48"/>
  <c r="K859" i="48"/>
  <c r="J860" i="48"/>
  <c r="K860" i="48"/>
  <c r="J544" i="48"/>
  <c r="K525" i="48"/>
  <c r="J526" i="48"/>
  <c r="K526" i="48"/>
  <c r="G2259" i="48"/>
  <c r="G2266" i="48"/>
  <c r="G2284" i="48"/>
  <c r="G54" i="48"/>
  <c r="M2159" i="48"/>
  <c r="M1122" i="48"/>
  <c r="G1539" i="48"/>
  <c r="G1541" i="48"/>
  <c r="M918" i="48"/>
  <c r="M929" i="48"/>
  <c r="L929" i="48"/>
  <c r="J332" i="48"/>
  <c r="K322" i="48"/>
  <c r="J323" i="48"/>
  <c r="K323" i="48"/>
  <c r="I2186" i="48"/>
  <c r="I2298" i="48"/>
  <c r="I84" i="48"/>
  <c r="I96" i="48"/>
  <c r="K420" i="48"/>
  <c r="J421" i="48"/>
  <c r="K421" i="48"/>
  <c r="J430" i="48"/>
  <c r="G2167" i="48"/>
  <c r="G577" i="48"/>
  <c r="G579" i="48"/>
  <c r="G624" i="48"/>
  <c r="K391" i="48"/>
  <c r="J392" i="48"/>
  <c r="K392" i="48"/>
  <c r="J671" i="48"/>
  <c r="K671" i="48"/>
  <c r="L2292" i="48"/>
  <c r="M32" i="48"/>
  <c r="M2292" i="48"/>
  <c r="C2285" i="48"/>
  <c r="C2286" i="48"/>
  <c r="C2198" i="48"/>
  <c r="C2206" i="48"/>
  <c r="C2215" i="48"/>
  <c r="C2219" i="48"/>
  <c r="C2240" i="48"/>
  <c r="L547" i="48"/>
  <c r="I549" i="48"/>
  <c r="I2204" i="48"/>
  <c r="M435" i="48"/>
  <c r="L449" i="48"/>
  <c r="L2271" i="48"/>
  <c r="M120" i="48"/>
  <c r="M2271" i="48"/>
  <c r="L2256" i="48"/>
  <c r="L542" i="48"/>
  <c r="M179" i="48"/>
  <c r="M205" i="48"/>
  <c r="M215" i="48"/>
  <c r="M217" i="48"/>
  <c r="L205" i="48"/>
  <c r="L215" i="48"/>
  <c r="L217" i="48"/>
  <c r="L2290" i="48"/>
  <c r="M30" i="48"/>
  <c r="M2290" i="48"/>
  <c r="J804" i="48"/>
  <c r="K804" i="48"/>
  <c r="K803" i="48"/>
  <c r="G1423" i="48"/>
  <c r="M158" i="48"/>
  <c r="L2295" i="48"/>
  <c r="M35" i="48"/>
  <c r="M2295" i="48"/>
  <c r="K2188" i="48"/>
  <c r="J2324" i="48"/>
  <c r="K2324" i="48"/>
  <c r="L1392" i="48"/>
  <c r="L1394" i="48"/>
  <c r="K1282" i="48"/>
  <c r="J1284" i="48"/>
  <c r="L2254" i="48"/>
  <c r="M45" i="48"/>
  <c r="M2254" i="48"/>
  <c r="I152" i="48"/>
  <c r="I160" i="48"/>
  <c r="I162" i="48"/>
  <c r="J2167" i="48"/>
  <c r="K2167" i="48"/>
  <c r="J578" i="48"/>
  <c r="K578" i="48"/>
  <c r="K577" i="48"/>
  <c r="K1968" i="48"/>
  <c r="J1969" i="48"/>
  <c r="K1969" i="48"/>
  <c r="J2051" i="48"/>
  <c r="K2051" i="48"/>
  <c r="K2050" i="48"/>
  <c r="J1663" i="48"/>
  <c r="K1663" i="48"/>
  <c r="K1662" i="48"/>
  <c r="M2334" i="48"/>
  <c r="M1411" i="48"/>
  <c r="M1419" i="48"/>
  <c r="M1421" i="48"/>
  <c r="M1402" i="48"/>
  <c r="G2153" i="48"/>
  <c r="G2171" i="48"/>
  <c r="G2175" i="48"/>
  <c r="G714" i="48"/>
  <c r="G809" i="48"/>
  <c r="K1160" i="48"/>
  <c r="J1161" i="48"/>
  <c r="K1161" i="48"/>
  <c r="I2282" i="48"/>
  <c r="D2184" i="48"/>
  <c r="D152" i="48"/>
  <c r="D160" i="48"/>
  <c r="D162" i="48"/>
  <c r="G1162" i="48"/>
  <c r="G1170" i="48"/>
  <c r="G1125" i="48"/>
  <c r="G2323" i="48"/>
  <c r="L2289" i="48"/>
  <c r="L37" i="48"/>
  <c r="M29" i="48"/>
  <c r="C503" i="48"/>
  <c r="C2243" i="48"/>
  <c r="M525" i="48"/>
  <c r="M544" i="48"/>
  <c r="M2130" i="48"/>
  <c r="M2136" i="48"/>
  <c r="M2104" i="48"/>
  <c r="M2105" i="48"/>
  <c r="M2107" i="48"/>
  <c r="M2138" i="48"/>
  <c r="J2136" i="48"/>
  <c r="K2136" i="48"/>
  <c r="K2130" i="48"/>
  <c r="G1593" i="48"/>
  <c r="J1162" i="48"/>
  <c r="J1146" i="48"/>
  <c r="K1146" i="48"/>
  <c r="K1145" i="48"/>
  <c r="F2284" i="48"/>
  <c r="K1766" i="48"/>
  <c r="J1767" i="48"/>
  <c r="K1767" i="48"/>
  <c r="M1841" i="48"/>
  <c r="M1853" i="48"/>
  <c r="L1853" i="48"/>
  <c r="G1974" i="48"/>
  <c r="G1993" i="48"/>
  <c r="K1317" i="48"/>
  <c r="J1318" i="48"/>
  <c r="K1318" i="48"/>
  <c r="M2333" i="48"/>
  <c r="M1365" i="48"/>
  <c r="J1974" i="48"/>
  <c r="L1465" i="48"/>
  <c r="M1460" i="48"/>
  <c r="M1465" i="48"/>
  <c r="M1218" i="48"/>
  <c r="M1226" i="48"/>
  <c r="M1228" i="48"/>
  <c r="M1230" i="48"/>
  <c r="J1127" i="48"/>
  <c r="K1127" i="48"/>
  <c r="J1128" i="48"/>
  <c r="K1126" i="48"/>
  <c r="L1589" i="48"/>
  <c r="L1591" i="48"/>
  <c r="L1593" i="48"/>
  <c r="J1008" i="48"/>
  <c r="K1008" i="48"/>
  <c r="K1007" i="48"/>
  <c r="I1477" i="48"/>
  <c r="L1280" i="48"/>
  <c r="I1282" i="48"/>
  <c r="I1284" i="48"/>
  <c r="I1330" i="48"/>
  <c r="I270" i="48"/>
  <c r="I277" i="48"/>
  <c r="I279" i="48"/>
  <c r="L2159" i="48"/>
  <c r="K1241" i="48"/>
  <c r="J1242" i="48"/>
  <c r="K1242" i="48"/>
  <c r="M1302" i="48"/>
  <c r="M1319" i="48"/>
  <c r="M1328" i="48"/>
  <c r="E394" i="48"/>
  <c r="E396" i="48"/>
  <c r="E398" i="48"/>
  <c r="J2190" i="48"/>
  <c r="L54" i="48"/>
  <c r="J2276" i="48"/>
  <c r="K2276" i="48"/>
  <c r="K117" i="48"/>
  <c r="M2323" i="48"/>
  <c r="L805" i="48"/>
  <c r="L807" i="48"/>
  <c r="D84" i="48"/>
  <c r="D96" i="48"/>
  <c r="L1120" i="48"/>
  <c r="L1122" i="48"/>
  <c r="K330" i="48"/>
  <c r="J331" i="48"/>
  <c r="K331" i="48"/>
  <c r="L1467" i="48"/>
  <c r="L1475" i="48"/>
  <c r="L1630" i="48"/>
  <c r="L1664" i="48"/>
  <c r="M1616" i="48"/>
  <c r="M1630" i="48"/>
  <c r="M1664" i="48"/>
  <c r="M1679" i="48"/>
  <c r="M1681" i="48"/>
  <c r="M1608" i="48"/>
  <c r="I1768" i="48"/>
  <c r="I1785" i="48"/>
  <c r="I1707" i="48"/>
  <c r="J2200" i="48"/>
  <c r="J616" i="48"/>
  <c r="J602" i="48"/>
  <c r="K602" i="48"/>
  <c r="K601" i="48"/>
  <c r="J1588" i="48"/>
  <c r="K1588" i="48"/>
  <c r="K1587" i="48"/>
  <c r="J1491" i="48"/>
  <c r="K1491" i="48"/>
  <c r="K1490" i="48"/>
  <c r="M2345" i="48"/>
  <c r="G2194" i="48"/>
  <c r="E2194" i="48"/>
  <c r="J579" i="48"/>
  <c r="K2291" i="48"/>
  <c r="J2296" i="48"/>
  <c r="K1122" i="48"/>
  <c r="J1123" i="48"/>
  <c r="K1123" i="48"/>
  <c r="M2257" i="48"/>
  <c r="F1974" i="48"/>
  <c r="F1993" i="48"/>
  <c r="F1995" i="48"/>
  <c r="F1683" i="48"/>
  <c r="I2263" i="48"/>
  <c r="I2266" i="48"/>
  <c r="L1247" i="48"/>
  <c r="I1248" i="48"/>
  <c r="I1259" i="48"/>
  <c r="I1265" i="48"/>
  <c r="M2147" i="48"/>
  <c r="M571" i="48"/>
  <c r="M572" i="48"/>
  <c r="M2149" i="48"/>
  <c r="M600" i="48"/>
  <c r="M601" i="48"/>
  <c r="J2348" i="48"/>
  <c r="K2348" i="48"/>
  <c r="K2323" i="48"/>
  <c r="F2021" i="48"/>
  <c r="L1587" i="48"/>
  <c r="J1454" i="48"/>
  <c r="K1454" i="48"/>
  <c r="K1453" i="48"/>
  <c r="J1467" i="48"/>
  <c r="F2348" i="48"/>
  <c r="F2325" i="48"/>
  <c r="F2346" i="48"/>
  <c r="K1677" i="48"/>
  <c r="J1678" i="48"/>
  <c r="K1678" i="48"/>
  <c r="J1737" i="48"/>
  <c r="K1737" i="48"/>
  <c r="K1736" i="48"/>
  <c r="G1995" i="48"/>
  <c r="L2305" i="48"/>
  <c r="J1466" i="48"/>
  <c r="K1466" i="48"/>
  <c r="K1465" i="48"/>
  <c r="K1435" i="48"/>
  <c r="J1436" i="48"/>
  <c r="K1436" i="48"/>
  <c r="L1145" i="48"/>
  <c r="L1162" i="48"/>
  <c r="L1170" i="48"/>
  <c r="M1133" i="48"/>
  <c r="M1145" i="48"/>
  <c r="M1162" i="48"/>
  <c r="M1170" i="48"/>
  <c r="J1169" i="48"/>
  <c r="K1169" i="48"/>
  <c r="K1168" i="48"/>
  <c r="M1855" i="48"/>
  <c r="M1870" i="48"/>
  <c r="M1876" i="48"/>
  <c r="M1878" i="48"/>
  <c r="M1221" i="48"/>
  <c r="M1224" i="48"/>
  <c r="L1224" i="48"/>
  <c r="M1974" i="48"/>
  <c r="M1993" i="48"/>
  <c r="L1218" i="48"/>
  <c r="L1050" i="48"/>
  <c r="I1052" i="48"/>
  <c r="I1054" i="48"/>
  <c r="J1050" i="48"/>
  <c r="J1001" i="48"/>
  <c r="K1001" i="48"/>
  <c r="K1000" i="48"/>
  <c r="M1432" i="48"/>
  <c r="M1433" i="48"/>
  <c r="M1435" i="48"/>
  <c r="L1433" i="48"/>
  <c r="L1435" i="48"/>
  <c r="J687" i="48"/>
  <c r="K687" i="48"/>
  <c r="K686" i="48"/>
  <c r="G1097" i="48"/>
  <c r="G1104" i="48"/>
  <c r="G1106" i="48"/>
  <c r="L1239" i="48"/>
  <c r="L1241" i="48"/>
  <c r="M1238" i="48"/>
  <c r="M1239" i="48"/>
  <c r="M1241" i="48"/>
  <c r="K597" i="48"/>
  <c r="J598" i="48"/>
  <c r="K598" i="48"/>
  <c r="E2235" i="48"/>
  <c r="E2237" i="48"/>
  <c r="I1403" i="48"/>
  <c r="I1405" i="48"/>
  <c r="I1423" i="48"/>
  <c r="I495" i="48"/>
  <c r="J2204" i="48"/>
  <c r="K2204" i="48"/>
  <c r="C2239" i="48"/>
  <c r="C2241" i="48"/>
  <c r="L1302" i="48"/>
  <c r="L1319" i="48"/>
  <c r="L1328" i="48"/>
  <c r="J1419" i="48"/>
  <c r="J1418" i="48"/>
  <c r="K1418" i="48"/>
  <c r="K1417" i="48"/>
  <c r="L852" i="48"/>
  <c r="I859" i="48"/>
  <c r="I861" i="48"/>
  <c r="I868" i="48"/>
  <c r="I870" i="48"/>
  <c r="G2188" i="48"/>
  <c r="G2324" i="48"/>
  <c r="L2018" i="48"/>
  <c r="L2028" i="48"/>
  <c r="L2095" i="48"/>
  <c r="K542" i="48"/>
  <c r="J543" i="48"/>
  <c r="K543" i="48"/>
  <c r="L941" i="48"/>
  <c r="M937" i="48"/>
  <c r="M941" i="48"/>
  <c r="M1120" i="48"/>
  <c r="M2335" i="48"/>
  <c r="M1457" i="48"/>
  <c r="M355" i="48"/>
  <c r="M381" i="48"/>
  <c r="M394" i="48"/>
  <c r="M396" i="48"/>
  <c r="M398" i="48"/>
  <c r="L381" i="48"/>
  <c r="L394" i="48"/>
  <c r="L396" i="48"/>
  <c r="L398" i="48"/>
  <c r="K645" i="48"/>
  <c r="J646" i="48"/>
  <c r="K646" i="48"/>
  <c r="J673" i="48"/>
  <c r="L2211" i="48"/>
  <c r="L2291" i="48"/>
  <c r="M31" i="48"/>
  <c r="M2291" i="48"/>
  <c r="L1102" i="48"/>
  <c r="L1104" i="48"/>
  <c r="L1106" i="48"/>
  <c r="M1100" i="48"/>
  <c r="M1102" i="48"/>
  <c r="M1104" i="48"/>
  <c r="M1106" i="48"/>
  <c r="M1387" i="48"/>
  <c r="M1390" i="48"/>
  <c r="L1390" i="48"/>
  <c r="I712" i="48"/>
  <c r="L709" i="48"/>
  <c r="F2177" i="48"/>
  <c r="F1126" i="48"/>
  <c r="F1128" i="48"/>
  <c r="F1172" i="48"/>
  <c r="F496" i="48"/>
  <c r="E2277" i="48"/>
  <c r="E140" i="48"/>
  <c r="J1097" i="48"/>
  <c r="K1080" i="48"/>
  <c r="J1081" i="48"/>
  <c r="K1081" i="48"/>
  <c r="L673" i="48"/>
  <c r="L698" i="48"/>
  <c r="L700" i="48"/>
  <c r="M1034" i="48"/>
  <c r="M1047" i="48"/>
  <c r="L1047" i="48"/>
  <c r="I1664" i="48"/>
  <c r="I1679" i="48"/>
  <c r="I1681" i="48"/>
  <c r="I1608" i="48"/>
  <c r="J1103" i="48"/>
  <c r="K1103" i="48"/>
  <c r="K1102" i="48"/>
  <c r="K109" i="48"/>
  <c r="J1383" i="48"/>
  <c r="K1383" i="48"/>
  <c r="K1382" i="48"/>
  <c r="J930" i="48"/>
  <c r="K930" i="48"/>
  <c r="K929" i="48"/>
  <c r="K1569" i="48"/>
  <c r="J1581" i="48"/>
  <c r="J1570" i="48"/>
  <c r="K1570" i="48"/>
  <c r="D2282" i="48"/>
  <c r="L2251" i="48"/>
  <c r="M46" i="48"/>
  <c r="M2251" i="48"/>
  <c r="G2186" i="48"/>
  <c r="G2298" i="48"/>
  <c r="G2299" i="48"/>
  <c r="G84" i="48"/>
  <c r="G96" i="48"/>
  <c r="J484" i="48"/>
  <c r="K484" i="48"/>
  <c r="K483" i="48"/>
  <c r="K260" i="48"/>
  <c r="J270" i="48"/>
  <c r="J261" i="48"/>
  <c r="K261" i="48"/>
  <c r="K1862" i="48"/>
  <c r="J1863" i="48"/>
  <c r="K1863" i="48"/>
  <c r="K1728" i="48"/>
  <c r="J1768" i="48"/>
  <c r="J1729" i="48"/>
  <c r="K1729" i="48"/>
  <c r="L1894" i="48"/>
  <c r="L1900" i="48"/>
  <c r="L1910" i="48"/>
  <c r="L1995" i="48"/>
  <c r="M1892" i="48"/>
  <c r="M1894" i="48"/>
  <c r="M1900" i="48"/>
  <c r="M1910" i="48"/>
  <c r="K1779" i="48"/>
  <c r="J1780" i="48"/>
  <c r="K1780" i="48"/>
  <c r="J1828" i="48"/>
  <c r="K1828" i="48"/>
  <c r="J1855" i="48"/>
  <c r="K1827" i="48"/>
  <c r="I1589" i="48"/>
  <c r="I1591" i="48"/>
  <c r="I1593" i="48"/>
  <c r="G1855" i="48"/>
  <c r="G1870" i="48"/>
  <c r="G1876" i="48"/>
  <c r="G1878" i="48"/>
  <c r="M1467" i="48"/>
  <c r="M1475" i="48"/>
  <c r="L1677" i="48"/>
  <c r="M1674" i="48"/>
  <c r="M1677" i="48"/>
  <c r="L1855" i="48"/>
  <c r="L1870" i="48"/>
  <c r="L1876" i="48"/>
  <c r="L1878" i="48"/>
  <c r="K1047" i="48"/>
  <c r="J1048" i="48"/>
  <c r="K1048" i="48"/>
  <c r="G1330" i="48"/>
  <c r="M1715" i="48"/>
  <c r="M1728" i="48"/>
  <c r="M1768" i="48"/>
  <c r="M1785" i="48"/>
  <c r="M1707" i="48"/>
  <c r="L1728" i="48"/>
  <c r="L1768" i="48"/>
  <c r="E2188" i="48"/>
  <c r="E2324" i="48"/>
  <c r="E2325" i="48"/>
  <c r="E2346" i="48"/>
  <c r="I1226" i="48"/>
  <c r="I1228" i="48"/>
  <c r="I1230" i="48"/>
  <c r="I1267" i="48"/>
  <c r="E2217" i="48"/>
  <c r="E499" i="48"/>
  <c r="M1414" i="48"/>
  <c r="M1417" i="48"/>
  <c r="L1417" i="48"/>
  <c r="L1419" i="48"/>
  <c r="L1421" i="48"/>
  <c r="L1402" i="48"/>
  <c r="K907" i="48"/>
  <c r="J931" i="48"/>
  <c r="J908" i="48"/>
  <c r="K908" i="48"/>
  <c r="J350" i="48"/>
  <c r="K348" i="48"/>
  <c r="J2269" i="48"/>
  <c r="K114" i="48"/>
  <c r="J140" i="48"/>
  <c r="L2250" i="48"/>
  <c r="L2269" i="48"/>
  <c r="M114" i="48"/>
  <c r="L140" i="48"/>
  <c r="M2018" i="48"/>
  <c r="M2028" i="48"/>
  <c r="M2095" i="48"/>
  <c r="G1218" i="48"/>
  <c r="G1226" i="48"/>
  <c r="G1228" i="48"/>
  <c r="G1230" i="48"/>
  <c r="M2306" i="48"/>
  <c r="M796" i="48"/>
  <c r="M805" i="48"/>
  <c r="M807" i="48"/>
  <c r="G2184" i="48"/>
  <c r="G152" i="48"/>
  <c r="G160" i="48"/>
  <c r="G162" i="48"/>
  <c r="J2165" i="48"/>
  <c r="L2279" i="48"/>
  <c r="M123" i="48"/>
  <c r="M2279" i="48"/>
  <c r="J2153" i="48"/>
  <c r="J714" i="48"/>
  <c r="K712" i="48"/>
  <c r="J2186" i="48"/>
  <c r="B34" i="13"/>
  <c r="J84" i="48"/>
  <c r="K37" i="48"/>
  <c r="J38" i="48"/>
  <c r="K38" i="48"/>
  <c r="M673" i="48"/>
  <c r="M698" i="48"/>
  <c r="M700" i="48"/>
  <c r="L2274" i="48"/>
  <c r="M119" i="48"/>
  <c r="M2274" i="48"/>
  <c r="I62" i="45"/>
  <c r="D2284" i="48"/>
  <c r="J1226" i="48"/>
  <c r="K1384" i="48"/>
  <c r="J1552" i="48"/>
  <c r="K1552" i="48"/>
  <c r="E2266" i="48"/>
  <c r="I2299" i="48"/>
  <c r="K394" i="48"/>
  <c r="J1809" i="48"/>
  <c r="K1809" i="48"/>
  <c r="L1477" i="48"/>
  <c r="L579" i="48"/>
  <c r="K1531" i="48"/>
  <c r="J807" i="48"/>
  <c r="K807" i="48"/>
  <c r="F182" i="43"/>
  <c r="I73" i="51"/>
  <c r="K73" i="51"/>
  <c r="J2093" i="48"/>
  <c r="K2093" i="48"/>
  <c r="E2282" i="48"/>
  <c r="E2284" i="48"/>
  <c r="J2028" i="48"/>
  <c r="K2028" i="48"/>
  <c r="I579" i="48"/>
  <c r="J2266" i="48"/>
  <c r="E501" i="48"/>
  <c r="E503" i="48"/>
  <c r="K2200" i="48"/>
  <c r="B37" i="13"/>
  <c r="K2151" i="48"/>
  <c r="B18" i="13"/>
  <c r="M907" i="48"/>
  <c r="M931" i="48"/>
  <c r="K1259" i="48"/>
  <c r="J1260" i="48"/>
  <c r="K1260" i="48"/>
  <c r="J1265" i="48"/>
  <c r="K2165" i="48"/>
  <c r="B23" i="13"/>
  <c r="K2190" i="48"/>
  <c r="B39" i="13"/>
  <c r="K888" i="48"/>
  <c r="J889" i="48"/>
  <c r="K889" i="48"/>
  <c r="K2153" i="48"/>
  <c r="B19" i="13"/>
  <c r="M1995" i="48"/>
  <c r="I2284" i="48"/>
  <c r="J2325" i="48"/>
  <c r="J2346" i="48"/>
  <c r="K2346" i="48"/>
  <c r="B9" i="13"/>
  <c r="L1403" i="48"/>
  <c r="L1405" i="48"/>
  <c r="L1423" i="48"/>
  <c r="L495" i="48"/>
  <c r="I2153" i="48"/>
  <c r="I714" i="48"/>
  <c r="I809" i="48"/>
  <c r="M2200" i="48"/>
  <c r="M616" i="48"/>
  <c r="M622" i="48"/>
  <c r="I2194" i="48"/>
  <c r="J1810" i="48"/>
  <c r="K1810" i="48"/>
  <c r="M551" i="48"/>
  <c r="M553" i="48"/>
  <c r="I98" i="48"/>
  <c r="K215" i="48"/>
  <c r="J217" i="48"/>
  <c r="K217" i="48"/>
  <c r="K1605" i="48"/>
  <c r="J1611" i="48"/>
  <c r="K84" i="48"/>
  <c r="J96" i="48"/>
  <c r="F2235" i="48"/>
  <c r="F2237" i="48"/>
  <c r="M2269" i="48"/>
  <c r="M2282" i="48"/>
  <c r="M140" i="48"/>
  <c r="J277" i="48"/>
  <c r="K270" i="48"/>
  <c r="I1609" i="48"/>
  <c r="I1611" i="48"/>
  <c r="I1683" i="48"/>
  <c r="I497" i="48"/>
  <c r="E2184" i="48"/>
  <c r="E152" i="48"/>
  <c r="E160" i="48"/>
  <c r="E162" i="48"/>
  <c r="M852" i="48"/>
  <c r="M859" i="48"/>
  <c r="M861" i="48"/>
  <c r="M868" i="48"/>
  <c r="M870" i="48"/>
  <c r="L859" i="48"/>
  <c r="L861" i="48"/>
  <c r="L868" i="48"/>
  <c r="L870" i="48"/>
  <c r="M1477" i="48"/>
  <c r="K579" i="48"/>
  <c r="J1541" i="48"/>
  <c r="K1541" i="48"/>
  <c r="M2325" i="48"/>
  <c r="M2346" i="48"/>
  <c r="M2348" i="48"/>
  <c r="I2184" i="48"/>
  <c r="K1284" i="48"/>
  <c r="J1285" i="48"/>
  <c r="K1285" i="48"/>
  <c r="M547" i="48"/>
  <c r="M549" i="48"/>
  <c r="M2204" i="48"/>
  <c r="L549" i="48"/>
  <c r="L2204" i="48"/>
  <c r="M2194" i="48"/>
  <c r="F2236" i="48"/>
  <c r="J2298" i="48"/>
  <c r="K2298" i="48"/>
  <c r="K2186" i="48"/>
  <c r="L2282" i="48"/>
  <c r="K931" i="48"/>
  <c r="J943" i="48"/>
  <c r="M54" i="48"/>
  <c r="G2021" i="48"/>
  <c r="F2022" i="48"/>
  <c r="F2028" i="48"/>
  <c r="F2095" i="48"/>
  <c r="F492" i="48"/>
  <c r="M579" i="48"/>
  <c r="K1162" i="48"/>
  <c r="J1170" i="48"/>
  <c r="K1170" i="48"/>
  <c r="M2289" i="48"/>
  <c r="M2296" i="48"/>
  <c r="M37" i="48"/>
  <c r="D2285" i="48"/>
  <c r="D2286" i="48"/>
  <c r="D2198" i="48"/>
  <c r="D2206" i="48"/>
  <c r="D2215" i="48"/>
  <c r="D2219" i="48"/>
  <c r="M2211" i="48"/>
  <c r="K861" i="48"/>
  <c r="J868" i="48"/>
  <c r="K2266" i="48"/>
  <c r="E2186" i="48"/>
  <c r="E2298" i="48"/>
  <c r="E2299" i="48"/>
  <c r="E84" i="48"/>
  <c r="E96" i="48"/>
  <c r="K1392" i="48"/>
  <c r="J1394" i="48"/>
  <c r="K1394" i="48"/>
  <c r="D2237" i="48"/>
  <c r="L152" i="48"/>
  <c r="L160" i="48"/>
  <c r="L162" i="48"/>
  <c r="J698" i="48"/>
  <c r="K673" i="48"/>
  <c r="K1419" i="48"/>
  <c r="J1421" i="48"/>
  <c r="G2285" i="48"/>
  <c r="G2286" i="48"/>
  <c r="G2198" i="48"/>
  <c r="G2206" i="48"/>
  <c r="G2215" i="48"/>
  <c r="I1708" i="48"/>
  <c r="I1710" i="48"/>
  <c r="I1787" i="48"/>
  <c r="I498" i="48"/>
  <c r="J1910" i="48"/>
  <c r="K1900" i="48"/>
  <c r="J715" i="48"/>
  <c r="K715" i="48"/>
  <c r="K714" i="48"/>
  <c r="K1226" i="48"/>
  <c r="J1228" i="48"/>
  <c r="K1228" i="48"/>
  <c r="K1050" i="48"/>
  <c r="J1052" i="48"/>
  <c r="D2239" i="48"/>
  <c r="D98" i="48"/>
  <c r="D2243" i="48"/>
  <c r="L2296" i="48"/>
  <c r="M2177" i="48"/>
  <c r="M1403" i="48"/>
  <c r="M1405" i="48"/>
  <c r="M1423" i="48"/>
  <c r="M495" i="48"/>
  <c r="K332" i="48"/>
  <c r="J334" i="48"/>
  <c r="M471" i="48"/>
  <c r="M483" i="48"/>
  <c r="L483" i="48"/>
  <c r="L2325" i="48"/>
  <c r="L2346" i="48"/>
  <c r="L2348" i="48"/>
  <c r="L1785" i="48"/>
  <c r="L1707" i="48"/>
  <c r="G98" i="48"/>
  <c r="K1581" i="48"/>
  <c r="J1589" i="48"/>
  <c r="I1056" i="48"/>
  <c r="J1054" i="48"/>
  <c r="K1054" i="48"/>
  <c r="L2263" i="48"/>
  <c r="L2266" i="48"/>
  <c r="L1248" i="48"/>
  <c r="L1259" i="48"/>
  <c r="L1265" i="48"/>
  <c r="M1247" i="48"/>
  <c r="L1679" i="48"/>
  <c r="L1681" i="48"/>
  <c r="L1608" i="48"/>
  <c r="G2348" i="48"/>
  <c r="G2325" i="48"/>
  <c r="G2346" i="48"/>
  <c r="I551" i="48"/>
  <c r="I553" i="48"/>
  <c r="K430" i="48"/>
  <c r="J2138" i="48"/>
  <c r="K2138" i="48"/>
  <c r="J2108" i="48"/>
  <c r="K2108" i="48"/>
  <c r="K2107" i="48"/>
  <c r="L2200" i="48"/>
  <c r="L616" i="48"/>
  <c r="L622" i="48"/>
  <c r="L624" i="48"/>
  <c r="K350" i="48"/>
  <c r="J398" i="48"/>
  <c r="K398" i="48"/>
  <c r="J351" i="48"/>
  <c r="K351" i="48"/>
  <c r="M2250" i="48"/>
  <c r="K1974" i="48"/>
  <c r="J1993" i="48"/>
  <c r="K1993" i="48"/>
  <c r="L2186" i="48"/>
  <c r="L2298" i="48"/>
  <c r="L84" i="48"/>
  <c r="L96" i="48"/>
  <c r="J1185" i="48"/>
  <c r="K1185" i="48"/>
  <c r="K1184" i="48"/>
  <c r="C2244" i="48"/>
  <c r="C2245" i="48"/>
  <c r="C2232" i="48"/>
  <c r="M1609" i="48"/>
  <c r="M1611" i="48"/>
  <c r="M1683" i="48"/>
  <c r="M497" i="48"/>
  <c r="M943" i="48"/>
  <c r="M945" i="48"/>
  <c r="K2269" i="48"/>
  <c r="J2282" i="48"/>
  <c r="K2282" i="48"/>
  <c r="M1708" i="48"/>
  <c r="M1710" i="48"/>
  <c r="M1787" i="48"/>
  <c r="M498" i="48"/>
  <c r="I2177" i="48"/>
  <c r="L1052" i="48"/>
  <c r="L1054" i="48"/>
  <c r="L1056" i="48"/>
  <c r="L1026" i="48"/>
  <c r="L1027" i="48"/>
  <c r="L1029" i="48"/>
  <c r="L1058" i="48"/>
  <c r="M1050" i="48"/>
  <c r="M1052" i="48"/>
  <c r="M1054" i="48"/>
  <c r="M1056" i="48"/>
  <c r="M1026" i="48"/>
  <c r="M1027" i="48"/>
  <c r="M1029" i="48"/>
  <c r="M1058" i="48"/>
  <c r="J1475" i="48"/>
  <c r="K1467" i="48"/>
  <c r="K2296" i="48"/>
  <c r="K1128" i="48"/>
  <c r="G1126" i="48"/>
  <c r="G1128" i="48"/>
  <c r="G1172" i="48"/>
  <c r="G496" i="48"/>
  <c r="G2177" i="48"/>
  <c r="G2179" i="48"/>
  <c r="L485" i="48"/>
  <c r="M2188" i="48"/>
  <c r="M2324" i="48"/>
  <c r="K544" i="48"/>
  <c r="J551" i="48"/>
  <c r="K485" i="48"/>
  <c r="J501" i="48"/>
  <c r="K501" i="48"/>
  <c r="J1009" i="48"/>
  <c r="K1002" i="48"/>
  <c r="I2200" i="48"/>
  <c r="I616" i="48"/>
  <c r="I622" i="48"/>
  <c r="L1125" i="48"/>
  <c r="K140" i="48"/>
  <c r="J152" i="48"/>
  <c r="J141" i="48"/>
  <c r="K141" i="48"/>
  <c r="J2184" i="48"/>
  <c r="B33" i="13"/>
  <c r="K1855" i="48"/>
  <c r="J1870" i="48"/>
  <c r="J1785" i="48"/>
  <c r="K1785" i="48"/>
  <c r="K1768" i="48"/>
  <c r="L1267" i="48"/>
  <c r="K1097" i="48"/>
  <c r="J1104" i="48"/>
  <c r="M709" i="48"/>
  <c r="M712" i="48"/>
  <c r="L712" i="48"/>
  <c r="L1226" i="48"/>
  <c r="L1228" i="48"/>
  <c r="L1230" i="48"/>
  <c r="M1125" i="48"/>
  <c r="J622" i="48"/>
  <c r="K622" i="48"/>
  <c r="K616" i="48"/>
  <c r="L1282" i="48"/>
  <c r="M1280" i="48"/>
  <c r="M1282" i="48"/>
  <c r="M1284" i="48"/>
  <c r="M1330" i="48"/>
  <c r="F2286" i="48"/>
  <c r="M449" i="48"/>
  <c r="M485" i="48"/>
  <c r="I1122" i="48"/>
  <c r="I2165" i="48"/>
  <c r="K1700" i="48"/>
  <c r="J1710" i="48"/>
  <c r="J1328" i="48"/>
  <c r="K1328" i="48"/>
  <c r="K1319" i="48"/>
  <c r="J1681" i="48"/>
  <c r="K1681" i="48"/>
  <c r="K1679" i="48"/>
  <c r="J2029" i="48"/>
  <c r="K2029" i="48"/>
  <c r="I2217" i="48"/>
  <c r="J809" i="48"/>
  <c r="K809" i="48"/>
  <c r="J1230" i="48"/>
  <c r="K1230" i="48"/>
  <c r="J1172" i="48"/>
  <c r="K1172" i="48"/>
  <c r="I624" i="48"/>
  <c r="K2325" i="48"/>
  <c r="J2095" i="48"/>
  <c r="K2095" i="48"/>
  <c r="K1265" i="48"/>
  <c r="J1267" i="48"/>
  <c r="K1267" i="48"/>
  <c r="J503" i="48"/>
  <c r="K503" i="48"/>
  <c r="L2299" i="48"/>
  <c r="I499" i="48"/>
  <c r="I501" i="48"/>
  <c r="I503" i="48"/>
  <c r="L2284" i="48"/>
  <c r="J2299" i="48"/>
  <c r="K2299" i="48"/>
  <c r="J624" i="48"/>
  <c r="K624" i="48"/>
  <c r="L2177" i="48"/>
  <c r="G2236" i="48"/>
  <c r="K1710" i="48"/>
  <c r="J1711" i="48"/>
  <c r="K1711" i="48"/>
  <c r="J1787" i="48"/>
  <c r="K1787" i="48"/>
  <c r="M2186" i="48"/>
  <c r="M2298" i="48"/>
  <c r="M2299" i="48"/>
  <c r="M84" i="48"/>
  <c r="M96" i="48"/>
  <c r="K96" i="48"/>
  <c r="J98" i="48"/>
  <c r="K152" i="48"/>
  <c r="J160" i="48"/>
  <c r="K1910" i="48"/>
  <c r="J1911" i="48"/>
  <c r="K1911" i="48"/>
  <c r="J1995" i="48"/>
  <c r="K1995" i="48"/>
  <c r="K698" i="48"/>
  <c r="J700" i="48"/>
  <c r="K700" i="48"/>
  <c r="K943" i="48"/>
  <c r="J945" i="48"/>
  <c r="K945" i="48"/>
  <c r="K1589" i="48"/>
  <c r="J1591" i="48"/>
  <c r="J2284" i="48"/>
  <c r="J1612" i="48"/>
  <c r="K1612" i="48"/>
  <c r="J1683" i="48"/>
  <c r="K1683" i="48"/>
  <c r="K1611" i="48"/>
  <c r="K1475" i="48"/>
  <c r="J1477" i="48"/>
  <c r="K1477" i="48"/>
  <c r="L2184" i="48"/>
  <c r="J870" i="48"/>
  <c r="K870" i="48"/>
  <c r="K868" i="48"/>
  <c r="L551" i="48"/>
  <c r="L553" i="48"/>
  <c r="J1106" i="48"/>
  <c r="K1106" i="48"/>
  <c r="K1104" i="48"/>
  <c r="J1015" i="48"/>
  <c r="K1009" i="48"/>
  <c r="I1026" i="48"/>
  <c r="J1056" i="48"/>
  <c r="K1056" i="48"/>
  <c r="I1125" i="48"/>
  <c r="M624" i="48"/>
  <c r="K277" i="48"/>
  <c r="J279" i="48"/>
  <c r="K279" i="48"/>
  <c r="J1876" i="48"/>
  <c r="K1870" i="48"/>
  <c r="L2163" i="48"/>
  <c r="L1126" i="48"/>
  <c r="L1128" i="48"/>
  <c r="L1172" i="48"/>
  <c r="K551" i="48"/>
  <c r="J553" i="48"/>
  <c r="K553" i="48"/>
  <c r="L98" i="48"/>
  <c r="M2263" i="48"/>
  <c r="M2266" i="48"/>
  <c r="M2284" i="48"/>
  <c r="M1248" i="48"/>
  <c r="M1259" i="48"/>
  <c r="M1265" i="48"/>
  <c r="M1267" i="48"/>
  <c r="F2217" i="48"/>
  <c r="F2219" i="48"/>
  <c r="F499" i="48"/>
  <c r="F501" i="48"/>
  <c r="J1330" i="48"/>
  <c r="K1330" i="48"/>
  <c r="M2184" i="48"/>
  <c r="M152" i="48"/>
  <c r="M160" i="48"/>
  <c r="M162" i="48"/>
  <c r="L1609" i="48"/>
  <c r="L1611" i="48"/>
  <c r="L1683" i="48"/>
  <c r="L497" i="48"/>
  <c r="L2153" i="48"/>
  <c r="L714" i="48"/>
  <c r="L1708" i="48"/>
  <c r="L1710" i="48"/>
  <c r="L1787" i="48"/>
  <c r="L498" i="48"/>
  <c r="K1421" i="48"/>
  <c r="J1423" i="48"/>
  <c r="K1423" i="48"/>
  <c r="D2240" i="48"/>
  <c r="D2241" i="48"/>
  <c r="D2221" i="48"/>
  <c r="I2285" i="48"/>
  <c r="I2286" i="48"/>
  <c r="I2198" i="48"/>
  <c r="I2206" i="48"/>
  <c r="I2215" i="48"/>
  <c r="I2219" i="48"/>
  <c r="I2240" i="48"/>
  <c r="L1284" i="48"/>
  <c r="L1330" i="48"/>
  <c r="L2165" i="48"/>
  <c r="E2285" i="48"/>
  <c r="E2286" i="48"/>
  <c r="E2198" i="48"/>
  <c r="E2206" i="48"/>
  <c r="E2215" i="48"/>
  <c r="E2219" i="48"/>
  <c r="M2217" i="48"/>
  <c r="M499" i="48"/>
  <c r="M501" i="48"/>
  <c r="M503" i="48"/>
  <c r="M1126" i="48"/>
  <c r="M1128" i="48"/>
  <c r="M1172" i="48"/>
  <c r="M2163" i="48"/>
  <c r="M2153" i="48"/>
  <c r="M714" i="48"/>
  <c r="M809" i="48"/>
  <c r="J2285" i="48"/>
  <c r="K2285" i="48"/>
  <c r="K2184" i="48"/>
  <c r="K334" i="48"/>
  <c r="J336" i="48"/>
  <c r="K336" i="48"/>
  <c r="J1053" i="48"/>
  <c r="K1053" i="48"/>
  <c r="K1052" i="48"/>
  <c r="J2194" i="48"/>
  <c r="E2239" i="48"/>
  <c r="E98" i="48"/>
  <c r="E2243" i="48"/>
  <c r="G2022" i="48"/>
  <c r="G2028" i="48"/>
  <c r="G492" i="48"/>
  <c r="L2194" i="48"/>
  <c r="M2165" i="48"/>
  <c r="F652" i="45"/>
  <c r="F649" i="45"/>
  <c r="E533" i="45"/>
  <c r="I533" i="45"/>
  <c r="I874" i="51"/>
  <c r="K874" i="51"/>
  <c r="E452" i="45"/>
  <c r="E35" i="45"/>
  <c r="E32" i="45"/>
  <c r="F7" i="45"/>
  <c r="Z63" i="45"/>
  <c r="E63" i="45"/>
  <c r="I63" i="45"/>
  <c r="I74" i="51"/>
  <c r="K74" i="51"/>
  <c r="Z11" i="45"/>
  <c r="Z10" i="45"/>
  <c r="E10" i="45"/>
  <c r="Z14" i="45"/>
  <c r="E14" i="45"/>
  <c r="Z3" i="45"/>
  <c r="E3" i="45"/>
  <c r="L2217" i="48"/>
  <c r="K2194" i="48"/>
  <c r="B44" i="13"/>
  <c r="L2171" i="48"/>
  <c r="L2175" i="48"/>
  <c r="L2179" i="48"/>
  <c r="L2236" i="48"/>
  <c r="L499" i="48"/>
  <c r="L501" i="48"/>
  <c r="L503" i="48"/>
  <c r="L2243" i="48"/>
  <c r="I2239" i="48"/>
  <c r="J2198" i="48"/>
  <c r="K2198" i="48"/>
  <c r="E206" i="44"/>
  <c r="I10" i="45"/>
  <c r="I10" i="51"/>
  <c r="K10" i="51"/>
  <c r="E408" i="44"/>
  <c r="I14" i="45"/>
  <c r="I15" i="51"/>
  <c r="K15" i="51"/>
  <c r="Z734" i="45"/>
  <c r="E11" i="45"/>
  <c r="F266" i="44"/>
  <c r="I7" i="45"/>
  <c r="I7" i="51"/>
  <c r="K7" i="51"/>
  <c r="E535" i="44"/>
  <c r="I35" i="45"/>
  <c r="I42" i="51"/>
  <c r="K42" i="51"/>
  <c r="E696" i="44"/>
  <c r="I32" i="45"/>
  <c r="I37" i="51"/>
  <c r="K37" i="51"/>
  <c r="E320" i="44"/>
  <c r="I3" i="45"/>
  <c r="I2" i="51"/>
  <c r="K2" i="51"/>
  <c r="E113" i="44"/>
  <c r="I452" i="45"/>
  <c r="I740" i="51"/>
  <c r="K740" i="51"/>
  <c r="G2095" i="48"/>
  <c r="G2235" i="48"/>
  <c r="G2237" i="48"/>
  <c r="F2239" i="48"/>
  <c r="F2241" i="48"/>
  <c r="F503" i="48"/>
  <c r="F2243" i="48"/>
  <c r="M2235" i="48"/>
  <c r="E2240" i="48"/>
  <c r="E2221" i="48"/>
  <c r="F2240" i="48"/>
  <c r="F2221" i="48"/>
  <c r="K1015" i="48"/>
  <c r="J1017" i="48"/>
  <c r="K1017" i="48"/>
  <c r="K160" i="48"/>
  <c r="J162" i="48"/>
  <c r="K162" i="48"/>
  <c r="E2241" i="48"/>
  <c r="K98" i="48"/>
  <c r="M2171" i="48"/>
  <c r="M2175" i="48"/>
  <c r="M2179" i="48"/>
  <c r="K1876" i="48"/>
  <c r="J1878" i="48"/>
  <c r="K1878" i="48"/>
  <c r="I1126" i="48"/>
  <c r="I1128" i="48"/>
  <c r="G2217" i="48"/>
  <c r="G2219" i="48"/>
  <c r="G499" i="48"/>
  <c r="G501" i="48"/>
  <c r="K2284" i="48"/>
  <c r="J2286" i="48"/>
  <c r="K2286" i="48"/>
  <c r="J2239" i="48"/>
  <c r="I2241" i="48"/>
  <c r="M2198" i="48"/>
  <c r="M2206" i="48"/>
  <c r="M2215" i="48"/>
  <c r="M2219" i="48"/>
  <c r="M2240" i="48"/>
  <c r="M2285" i="48"/>
  <c r="M2286" i="48"/>
  <c r="K1591" i="48"/>
  <c r="J1593" i="48"/>
  <c r="K1593" i="48"/>
  <c r="M2239" i="48"/>
  <c r="M98" i="48"/>
  <c r="M2243" i="48"/>
  <c r="D2244" i="48"/>
  <c r="D2245" i="48"/>
  <c r="D2232" i="48"/>
  <c r="L809" i="48"/>
  <c r="L2235" i="48"/>
  <c r="J1026" i="48"/>
  <c r="I1027" i="48"/>
  <c r="I1029" i="48"/>
  <c r="I1058" i="48"/>
  <c r="L2198" i="48"/>
  <c r="L2206" i="48"/>
  <c r="L2215" i="48"/>
  <c r="L2285" i="48"/>
  <c r="L2286" i="48"/>
  <c r="E709" i="45"/>
  <c r="E708" i="45"/>
  <c r="Y734" i="45"/>
  <c r="F309" i="45"/>
  <c r="I309" i="45"/>
  <c r="I483" i="51"/>
  <c r="K483" i="51"/>
  <c r="C884" i="44"/>
  <c r="K12" i="13"/>
  <c r="D884" i="44"/>
  <c r="E446" i="44"/>
  <c r="E619" i="45"/>
  <c r="E595" i="45"/>
  <c r="F238" i="45"/>
  <c r="X734" i="45"/>
  <c r="C446" i="44"/>
  <c r="J1677" i="47"/>
  <c r="J1678" i="47"/>
  <c r="C449" i="44"/>
  <c r="J2074" i="47"/>
  <c r="J2075" i="47"/>
  <c r="B430" i="46"/>
  <c r="B720" i="46"/>
  <c r="I2163" i="48"/>
  <c r="I2171" i="48"/>
  <c r="I2175" i="48"/>
  <c r="I2179" i="48"/>
  <c r="I2236" i="48"/>
  <c r="F883" i="44"/>
  <c r="F884" i="44"/>
  <c r="L2219" i="48"/>
  <c r="L2240" i="48"/>
  <c r="M2241" i="48"/>
  <c r="J2206" i="48"/>
  <c r="J2215" i="48"/>
  <c r="L2239" i="48"/>
  <c r="L2241" i="48"/>
  <c r="L2237" i="48"/>
  <c r="E350" i="44"/>
  <c r="I11" i="45"/>
  <c r="I11" i="51"/>
  <c r="K11" i="51"/>
  <c r="I238" i="45"/>
  <c r="I361" i="51"/>
  <c r="K361" i="51"/>
  <c r="F570" i="44"/>
  <c r="I595" i="45"/>
  <c r="I960" i="51"/>
  <c r="K960" i="51"/>
  <c r="E449" i="44"/>
  <c r="C886" i="44"/>
  <c r="C888" i="44"/>
  <c r="J1027" i="48"/>
  <c r="K1026" i="48"/>
  <c r="M2221" i="48"/>
  <c r="M2236" i="48"/>
  <c r="M2237" i="48"/>
  <c r="F2232" i="48"/>
  <c r="F2244" i="48"/>
  <c r="F2245" i="48"/>
  <c r="G503" i="48"/>
  <c r="G2243" i="48"/>
  <c r="G2239" i="48"/>
  <c r="J2243" i="48"/>
  <c r="L2221" i="48"/>
  <c r="G2240" i="48"/>
  <c r="G2221" i="48"/>
  <c r="E2232" i="48"/>
  <c r="E2244" i="48"/>
  <c r="E2245" i="48"/>
  <c r="K2239" i="48"/>
  <c r="I1172" i="48"/>
  <c r="I2243" i="48"/>
  <c r="I2235" i="48"/>
  <c r="E884" i="44"/>
  <c r="D619" i="45"/>
  <c r="W734" i="45"/>
  <c r="E972" i="46"/>
  <c r="K2206" i="48"/>
  <c r="I2221" i="48"/>
  <c r="I2244" i="48"/>
  <c r="I2245" i="48"/>
  <c r="G883" i="44"/>
  <c r="G884" i="44"/>
  <c r="I12" i="13"/>
  <c r="G886" i="44"/>
  <c r="G888" i="44"/>
  <c r="I1025" i="47"/>
  <c r="I1026" i="47"/>
  <c r="G2244" i="48"/>
  <c r="G2245" i="48"/>
  <c r="G2232" i="48"/>
  <c r="J2219" i="48"/>
  <c r="K2215" i="48"/>
  <c r="I2237" i="48"/>
  <c r="L2244" i="48"/>
  <c r="L2245" i="48"/>
  <c r="L2232" i="48"/>
  <c r="K2243" i="48"/>
  <c r="M2244" i="48"/>
  <c r="M2245" i="48"/>
  <c r="M2232" i="48"/>
  <c r="G2241" i="48"/>
  <c r="J1029" i="48"/>
  <c r="K1027" i="48"/>
  <c r="J2163" i="48"/>
  <c r="B15" i="13"/>
  <c r="K3443" i="24"/>
  <c r="K3442" i="24"/>
  <c r="K3445" i="24"/>
  <c r="I2232" i="48"/>
  <c r="K2163" i="48"/>
  <c r="J2171" i="48"/>
  <c r="J1030" i="48"/>
  <c r="K1030" i="48"/>
  <c r="K1029" i="48"/>
  <c r="J2235" i="48"/>
  <c r="J2240" i="48"/>
  <c r="K2219" i="48"/>
  <c r="B232" i="6"/>
  <c r="K2171" i="48"/>
  <c r="J2175" i="48"/>
  <c r="K2240" i="48"/>
  <c r="J2241" i="48"/>
  <c r="K2241" i="48"/>
  <c r="K2235" i="48"/>
  <c r="D13" i="1"/>
  <c r="D12" i="1"/>
  <c r="D10" i="1"/>
  <c r="G287" i="43"/>
  <c r="G286" i="43"/>
  <c r="J2179" i="48"/>
  <c r="K2175" i="48"/>
  <c r="G2108" i="47"/>
  <c r="F2108" i="47"/>
  <c r="E2108" i="47"/>
  <c r="D2108" i="47"/>
  <c r="C2107" i="47"/>
  <c r="C2106" i="47"/>
  <c r="C2105" i="47"/>
  <c r="C2104" i="47"/>
  <c r="G2101" i="47"/>
  <c r="F2101" i="47"/>
  <c r="E2101" i="47"/>
  <c r="D2101" i="47"/>
  <c r="C2100" i="47"/>
  <c r="C2099" i="47"/>
  <c r="C2098" i="47"/>
  <c r="C2097" i="47"/>
  <c r="C2096" i="47"/>
  <c r="C2095" i="47"/>
  <c r="C2094" i="47"/>
  <c r="C2093" i="47"/>
  <c r="C2092" i="47"/>
  <c r="C2091" i="47"/>
  <c r="G2088" i="47"/>
  <c r="F2088" i="47"/>
  <c r="E2088" i="47"/>
  <c r="D2088" i="47"/>
  <c r="C2087" i="47"/>
  <c r="C2088" i="47"/>
  <c r="G2083" i="47"/>
  <c r="F2083" i="47"/>
  <c r="E2083" i="47"/>
  <c r="D2083" i="47"/>
  <c r="C2082" i="47"/>
  <c r="C2083" i="47"/>
  <c r="G2079" i="47"/>
  <c r="F2079" i="47"/>
  <c r="E2079" i="47"/>
  <c r="D2079" i="47"/>
  <c r="C2079" i="47"/>
  <c r="G2075" i="47"/>
  <c r="F2075" i="47"/>
  <c r="E2075" i="47"/>
  <c r="D2075" i="47"/>
  <c r="C2074" i="47"/>
  <c r="C2075" i="47"/>
  <c r="G2071" i="47"/>
  <c r="F2071" i="47"/>
  <c r="E2071" i="47"/>
  <c r="D2071" i="47"/>
  <c r="C2070" i="47"/>
  <c r="C2071" i="47"/>
  <c r="G2067" i="47"/>
  <c r="F2067" i="47"/>
  <c r="E2067" i="47"/>
  <c r="D2067" i="47"/>
  <c r="C2066" i="47"/>
  <c r="C2065" i="47"/>
  <c r="C2064" i="47"/>
  <c r="C2063" i="47"/>
  <c r="C2062" i="47"/>
  <c r="C2061" i="47"/>
  <c r="C2060" i="47"/>
  <c r="C2059" i="47"/>
  <c r="C2058" i="47"/>
  <c r="C2057" i="47"/>
  <c r="G2051" i="47"/>
  <c r="F2051" i="47"/>
  <c r="E2051" i="47"/>
  <c r="D2051" i="47"/>
  <c r="C2050" i="47"/>
  <c r="C2049" i="47"/>
  <c r="C2048" i="47"/>
  <c r="G2045" i="47"/>
  <c r="F2045" i="47"/>
  <c r="E2045" i="47"/>
  <c r="D2045" i="47"/>
  <c r="C2044" i="47"/>
  <c r="C2045" i="47"/>
  <c r="G2041" i="47"/>
  <c r="F2041" i="47"/>
  <c r="E2041" i="47"/>
  <c r="D2041" i="47"/>
  <c r="C2040" i="47"/>
  <c r="C2041" i="47"/>
  <c r="G2037" i="47"/>
  <c r="F2037" i="47"/>
  <c r="E2037" i="47"/>
  <c r="D2037" i="47"/>
  <c r="C2036" i="47"/>
  <c r="C2035" i="47"/>
  <c r="G2025" i="47"/>
  <c r="F2025" i="47"/>
  <c r="E2025" i="47"/>
  <c r="D2025" i="47"/>
  <c r="C2023" i="47"/>
  <c r="C2022" i="47"/>
  <c r="C2021" i="47"/>
  <c r="G2018" i="47"/>
  <c r="F2018" i="47"/>
  <c r="E2018" i="47"/>
  <c r="D2018" i="47"/>
  <c r="C2017" i="47"/>
  <c r="C2016" i="47"/>
  <c r="C2015" i="47"/>
  <c r="C2014" i="47"/>
  <c r="C2013" i="47"/>
  <c r="C2012" i="47"/>
  <c r="G2009" i="47"/>
  <c r="F2009" i="47"/>
  <c r="E2009" i="47"/>
  <c r="D2009" i="47"/>
  <c r="C2008" i="47"/>
  <c r="C2005" i="47"/>
  <c r="C2004" i="47"/>
  <c r="C2003" i="47"/>
  <c r="C2002" i="47"/>
  <c r="C2001" i="47"/>
  <c r="C2000" i="47"/>
  <c r="C1999" i="47"/>
  <c r="C1998" i="47"/>
  <c r="C1997" i="47"/>
  <c r="C1996" i="47"/>
  <c r="C1995" i="47"/>
  <c r="C1993" i="47"/>
  <c r="C1992" i="47"/>
  <c r="C1991" i="47"/>
  <c r="C1990" i="47"/>
  <c r="C1989" i="47"/>
  <c r="C1987" i="47"/>
  <c r="G1984" i="47"/>
  <c r="F1984" i="47"/>
  <c r="E1984" i="47"/>
  <c r="D1984" i="47"/>
  <c r="C1982" i="47"/>
  <c r="C1984" i="47"/>
  <c r="G1978" i="47"/>
  <c r="F1978" i="47"/>
  <c r="E1978" i="47"/>
  <c r="D1978" i="47"/>
  <c r="C1977" i="47"/>
  <c r="C1978" i="47"/>
  <c r="G1974" i="47"/>
  <c r="F1974" i="47"/>
  <c r="E1974" i="47"/>
  <c r="D1974" i="47"/>
  <c r="C1974" i="47"/>
  <c r="G1970" i="47"/>
  <c r="F1970" i="47"/>
  <c r="E1970" i="47"/>
  <c r="D1970" i="47"/>
  <c r="C1969" i="47"/>
  <c r="C1970" i="47"/>
  <c r="G1966" i="47"/>
  <c r="F1966" i="47"/>
  <c r="E1966" i="47"/>
  <c r="D1966" i="47"/>
  <c r="C1965" i="47"/>
  <c r="C1966" i="47"/>
  <c r="G1962" i="47"/>
  <c r="F1962" i="47"/>
  <c r="E1962" i="47"/>
  <c r="D1962" i="47"/>
  <c r="C1961" i="47"/>
  <c r="C1962" i="47"/>
  <c r="G1958" i="47"/>
  <c r="F1958" i="47"/>
  <c r="E1958" i="47"/>
  <c r="D1958" i="47"/>
  <c r="C1957" i="47"/>
  <c r="C1956" i="47"/>
  <c r="C1955" i="47"/>
  <c r="C1954" i="47"/>
  <c r="C1953" i="47"/>
  <c r="C1952" i="47"/>
  <c r="C1951" i="47"/>
  <c r="C1950" i="47"/>
  <c r="C1949" i="47"/>
  <c r="C1947" i="47"/>
  <c r="C1946" i="47"/>
  <c r="C1945" i="47"/>
  <c r="G1939" i="47"/>
  <c r="F1939" i="47"/>
  <c r="E1939" i="47"/>
  <c r="D1939" i="47"/>
  <c r="C1938" i="47"/>
  <c r="C1937" i="47"/>
  <c r="C1935" i="47"/>
  <c r="G1932" i="47"/>
  <c r="F1932" i="47"/>
  <c r="E1932" i="47"/>
  <c r="D1932" i="47"/>
  <c r="C1931" i="47"/>
  <c r="C1932" i="47"/>
  <c r="G1928" i="47"/>
  <c r="F1928" i="47"/>
  <c r="E1928" i="47"/>
  <c r="D1928" i="47"/>
  <c r="C1927" i="47"/>
  <c r="C1928" i="47"/>
  <c r="G1924" i="47"/>
  <c r="F1924" i="47"/>
  <c r="E1924" i="47"/>
  <c r="D1924" i="47"/>
  <c r="C1923" i="47"/>
  <c r="C1924" i="47"/>
  <c r="G1913" i="47"/>
  <c r="F1913" i="47"/>
  <c r="E1913" i="47"/>
  <c r="D1913" i="47"/>
  <c r="C1912" i="47"/>
  <c r="C1911" i="47"/>
  <c r="G1908" i="47"/>
  <c r="F1908" i="47"/>
  <c r="E1908" i="47"/>
  <c r="D1908" i="47"/>
  <c r="C1906" i="47"/>
  <c r="C1905" i="47"/>
  <c r="C1903" i="47"/>
  <c r="G1900" i="47"/>
  <c r="F1900" i="47"/>
  <c r="E1900" i="47"/>
  <c r="D1900" i="47"/>
  <c r="C1899" i="47"/>
  <c r="C1897" i="47"/>
  <c r="C1896" i="47"/>
  <c r="C1895" i="47"/>
  <c r="C1894" i="47"/>
  <c r="C1893" i="47"/>
  <c r="C1891" i="47"/>
  <c r="C1890" i="47"/>
  <c r="C1889" i="47"/>
  <c r="C1887" i="47"/>
  <c r="C1886" i="47"/>
  <c r="C1885" i="47"/>
  <c r="C1884" i="47"/>
  <c r="C1882" i="47"/>
  <c r="C1881" i="47"/>
  <c r="G1878" i="47"/>
  <c r="F1878" i="47"/>
  <c r="E1878" i="47"/>
  <c r="D1878" i="47"/>
  <c r="C1876" i="47"/>
  <c r="C1875" i="47"/>
  <c r="G1872" i="47"/>
  <c r="F1872" i="47"/>
  <c r="E1872" i="47"/>
  <c r="D1872" i="47"/>
  <c r="C1871" i="47"/>
  <c r="C1870" i="47"/>
  <c r="G1867" i="47"/>
  <c r="F1867" i="47"/>
  <c r="E1867" i="47"/>
  <c r="D1867" i="47"/>
  <c r="C1867" i="47"/>
  <c r="G1863" i="47"/>
  <c r="F1863" i="47"/>
  <c r="E1863" i="47"/>
  <c r="D1863" i="47"/>
  <c r="C1862" i="47"/>
  <c r="C1861" i="47"/>
  <c r="C1860" i="47"/>
  <c r="C1859" i="47"/>
  <c r="C1858" i="47"/>
  <c r="C1857" i="47"/>
  <c r="C1856" i="47"/>
  <c r="C1855" i="47"/>
  <c r="C1854" i="47"/>
  <c r="C1853" i="47"/>
  <c r="C1851" i="47"/>
  <c r="C1850" i="47"/>
  <c r="C1849" i="47"/>
  <c r="G1843" i="47"/>
  <c r="F1843" i="47"/>
  <c r="E1843" i="47"/>
  <c r="D1843" i="47"/>
  <c r="C1842" i="47"/>
  <c r="C1843" i="47"/>
  <c r="G1839" i="47"/>
  <c r="F1839" i="47"/>
  <c r="E1839" i="47"/>
  <c r="D1839" i="47"/>
  <c r="C1837" i="47"/>
  <c r="C1836" i="47"/>
  <c r="G1833" i="47"/>
  <c r="F1833" i="47"/>
  <c r="E1833" i="47"/>
  <c r="D1833" i="47"/>
  <c r="C1832" i="47"/>
  <c r="C1833" i="47"/>
  <c r="G1829" i="47"/>
  <c r="F1829" i="47"/>
  <c r="E1829" i="47"/>
  <c r="D1829" i="47"/>
  <c r="C1828" i="47"/>
  <c r="C1829" i="47"/>
  <c r="G1818" i="47"/>
  <c r="F1818" i="47"/>
  <c r="E1818" i="47"/>
  <c r="D1818" i="47"/>
  <c r="C1817" i="47"/>
  <c r="C1816" i="47"/>
  <c r="G1812" i="47"/>
  <c r="F1812" i="47"/>
  <c r="E1812" i="47"/>
  <c r="D1812" i="47"/>
  <c r="C1811" i="47"/>
  <c r="C1810" i="47"/>
  <c r="C1809" i="47"/>
  <c r="C1808" i="47"/>
  <c r="C1807" i="47"/>
  <c r="G1804" i="47"/>
  <c r="F1804" i="47"/>
  <c r="E1804" i="47"/>
  <c r="D1804" i="47"/>
  <c r="C1802" i="47"/>
  <c r="C1801" i="47"/>
  <c r="C1800" i="47"/>
  <c r="C1799" i="47"/>
  <c r="C1798" i="47"/>
  <c r="C1797" i="47"/>
  <c r="C1796" i="47"/>
  <c r="C1795" i="47"/>
  <c r="C1794" i="47"/>
  <c r="C1792" i="47"/>
  <c r="C1791" i="47"/>
  <c r="C1790" i="47"/>
  <c r="G1786" i="47"/>
  <c r="F1786" i="47"/>
  <c r="E1786" i="47"/>
  <c r="D1786" i="47"/>
  <c r="C1785" i="47"/>
  <c r="C1786" i="47"/>
  <c r="G1782" i="47"/>
  <c r="F1782" i="47"/>
  <c r="E1782" i="47"/>
  <c r="D1782" i="47"/>
  <c r="C1782" i="47"/>
  <c r="G1778" i="47"/>
  <c r="F1778" i="47"/>
  <c r="E1778" i="47"/>
  <c r="D1778" i="47"/>
  <c r="C1777" i="47"/>
  <c r="C1778" i="47"/>
  <c r="G1774" i="47"/>
  <c r="F1774" i="47"/>
  <c r="E1774" i="47"/>
  <c r="D1774" i="47"/>
  <c r="C1773" i="47"/>
  <c r="C1774" i="47"/>
  <c r="G1770" i="47"/>
  <c r="F1770" i="47"/>
  <c r="E1770" i="47"/>
  <c r="D1770" i="47"/>
  <c r="C1769" i="47"/>
  <c r="C1770" i="47"/>
  <c r="G1766" i="47"/>
  <c r="F1766" i="47"/>
  <c r="E1766" i="47"/>
  <c r="D1766" i="47"/>
  <c r="C1765" i="47"/>
  <c r="C1764" i="47"/>
  <c r="C1763" i="47"/>
  <c r="C1762" i="47"/>
  <c r="C1761" i="47"/>
  <c r="C1760" i="47"/>
  <c r="C1759" i="47"/>
  <c r="C1758" i="47"/>
  <c r="C1757" i="47"/>
  <c r="C1756" i="47"/>
  <c r="C1754" i="47"/>
  <c r="C1753" i="47"/>
  <c r="C1752" i="47"/>
  <c r="G1746" i="47"/>
  <c r="F1746" i="47"/>
  <c r="E1746" i="47"/>
  <c r="D1746" i="47"/>
  <c r="C1745" i="47"/>
  <c r="C1746" i="47"/>
  <c r="G1742" i="47"/>
  <c r="F1742" i="47"/>
  <c r="E1742" i="47"/>
  <c r="D1742" i="47"/>
  <c r="C1741" i="47"/>
  <c r="C1742" i="47"/>
  <c r="G1735" i="47"/>
  <c r="F1735" i="47"/>
  <c r="E1735" i="47"/>
  <c r="D1735" i="47"/>
  <c r="C1734" i="47"/>
  <c r="C1735" i="47"/>
  <c r="G1726" i="47"/>
  <c r="F1726" i="47"/>
  <c r="E1726" i="47"/>
  <c r="D1726" i="47"/>
  <c r="C1725" i="47"/>
  <c r="C1724" i="47"/>
  <c r="G1720" i="47"/>
  <c r="F1720" i="47"/>
  <c r="E1720" i="47"/>
  <c r="D1720" i="47"/>
  <c r="C1719" i="47"/>
  <c r="C1718" i="47"/>
  <c r="C1717" i="47"/>
  <c r="C1716" i="47"/>
  <c r="C1715" i="47"/>
  <c r="C1714" i="47"/>
  <c r="G1711" i="47"/>
  <c r="F1711" i="47"/>
  <c r="E1711" i="47"/>
  <c r="D1711" i="47"/>
  <c r="C1706" i="47"/>
  <c r="C1705" i="47"/>
  <c r="C1704" i="47"/>
  <c r="C1703" i="47"/>
  <c r="C1702" i="47"/>
  <c r="C1701" i="47"/>
  <c r="C1700" i="47"/>
  <c r="C1699" i="47"/>
  <c r="C1698" i="47"/>
  <c r="C1697" i="47"/>
  <c r="C1695" i="47"/>
  <c r="C1694" i="47"/>
  <c r="C1693" i="47"/>
  <c r="C1692" i="47"/>
  <c r="C1691" i="47"/>
  <c r="G1688" i="47"/>
  <c r="F1688" i="47"/>
  <c r="E1688" i="47"/>
  <c r="D1688" i="47"/>
  <c r="C1686" i="47"/>
  <c r="C1685" i="47"/>
  <c r="C1688" i="47"/>
  <c r="G1682" i="47"/>
  <c r="F1682" i="47"/>
  <c r="E1682" i="47"/>
  <c r="D1682" i="47"/>
  <c r="C1681" i="47"/>
  <c r="C1682" i="47"/>
  <c r="G1678" i="47"/>
  <c r="F1678" i="47"/>
  <c r="E1678" i="47"/>
  <c r="D1678" i="47"/>
  <c r="C1677" i="47"/>
  <c r="C1678" i="47"/>
  <c r="G1674" i="47"/>
  <c r="F1674" i="47"/>
  <c r="E1674" i="47"/>
  <c r="D1674" i="47"/>
  <c r="C1673" i="47"/>
  <c r="C1674" i="47"/>
  <c r="G1670" i="47"/>
  <c r="F1670" i="47"/>
  <c r="E1670" i="47"/>
  <c r="D1670" i="47"/>
  <c r="C1669" i="47"/>
  <c r="C1670" i="47"/>
  <c r="G1666" i="47"/>
  <c r="F1666" i="47"/>
  <c r="E1666" i="47"/>
  <c r="D1666" i="47"/>
  <c r="C1665" i="47"/>
  <c r="C1664" i="47"/>
  <c r="C1663" i="47"/>
  <c r="C1662" i="47"/>
  <c r="C1661" i="47"/>
  <c r="C1660" i="47"/>
  <c r="C1659" i="47"/>
  <c r="C1658" i="47"/>
  <c r="C1657" i="47"/>
  <c r="C1655" i="47"/>
  <c r="C1654" i="47"/>
  <c r="C1653" i="47"/>
  <c r="G1647" i="47"/>
  <c r="F1647" i="47"/>
  <c r="E1647" i="47"/>
  <c r="D1647" i="47"/>
  <c r="C1646" i="47"/>
  <c r="C1645" i="47"/>
  <c r="G1642" i="47"/>
  <c r="F1642" i="47"/>
  <c r="E1642" i="47"/>
  <c r="D1642" i="47"/>
  <c r="C1640" i="47"/>
  <c r="C1642" i="47"/>
  <c r="G1637" i="47"/>
  <c r="F1637" i="47"/>
  <c r="E1637" i="47"/>
  <c r="D1637" i="47"/>
  <c r="C1636" i="47"/>
  <c r="C1637" i="47"/>
  <c r="G1633" i="47"/>
  <c r="F1633" i="47"/>
  <c r="E1633" i="47"/>
  <c r="D1633" i="47"/>
  <c r="C1632" i="47"/>
  <c r="C1633" i="47"/>
  <c r="G1622" i="47"/>
  <c r="F1622" i="47"/>
  <c r="E1622" i="47"/>
  <c r="D1622" i="47"/>
  <c r="C1622" i="47"/>
  <c r="G1618" i="47"/>
  <c r="F1618" i="47"/>
  <c r="E1618" i="47"/>
  <c r="D1618" i="47"/>
  <c r="C1614" i="47"/>
  <c r="C1618" i="47"/>
  <c r="G1608" i="47"/>
  <c r="F1608" i="47"/>
  <c r="E1608" i="47"/>
  <c r="D1608" i="47"/>
  <c r="C1607" i="47"/>
  <c r="C1606" i="47"/>
  <c r="C1605" i="47"/>
  <c r="C1604" i="47"/>
  <c r="C1603" i="47"/>
  <c r="C1602" i="47"/>
  <c r="C1601" i="47"/>
  <c r="C1600" i="47"/>
  <c r="C1599" i="47"/>
  <c r="G1593" i="47"/>
  <c r="G1595" i="47"/>
  <c r="F1593" i="47"/>
  <c r="F1595" i="47"/>
  <c r="E1593" i="47"/>
  <c r="E1595" i="47"/>
  <c r="D1593" i="47"/>
  <c r="D1595" i="47"/>
  <c r="C1592" i="47"/>
  <c r="C1593" i="47"/>
  <c r="C1595" i="47"/>
  <c r="G1582" i="47"/>
  <c r="F1582" i="47"/>
  <c r="E1582" i="47"/>
  <c r="D1582" i="47"/>
  <c r="C1580" i="47"/>
  <c r="C1578" i="47"/>
  <c r="C1576" i="47"/>
  <c r="C1574" i="47"/>
  <c r="G1571" i="47"/>
  <c r="F1571" i="47"/>
  <c r="E1571" i="47"/>
  <c r="D1571" i="47"/>
  <c r="C1567" i="47"/>
  <c r="C1565" i="47"/>
  <c r="C1563" i="47"/>
  <c r="C1561" i="47"/>
  <c r="C1559" i="47"/>
  <c r="C1557" i="47"/>
  <c r="C1555" i="47"/>
  <c r="G1552" i="47"/>
  <c r="F1552" i="47"/>
  <c r="E1552" i="47"/>
  <c r="D1552" i="47"/>
  <c r="C1546" i="47"/>
  <c r="C1544" i="47"/>
  <c r="C1542" i="47"/>
  <c r="C1540" i="47"/>
  <c r="C1538" i="47"/>
  <c r="C1536" i="47"/>
  <c r="C1534" i="47"/>
  <c r="C1532" i="47"/>
  <c r="C1528" i="47"/>
  <c r="G1523" i="47"/>
  <c r="F1523" i="47"/>
  <c r="E1523" i="47"/>
  <c r="D1523" i="47"/>
  <c r="C1523" i="47"/>
  <c r="G1518" i="47"/>
  <c r="F1518" i="47"/>
  <c r="E1518" i="47"/>
  <c r="D1518" i="47"/>
  <c r="C1516" i="47"/>
  <c r="C1514" i="47"/>
  <c r="C1512" i="47"/>
  <c r="C1510" i="47"/>
  <c r="C1508" i="47"/>
  <c r="C1506" i="47"/>
  <c r="C1504" i="47"/>
  <c r="C1502" i="47"/>
  <c r="C1500" i="47"/>
  <c r="C1498" i="47"/>
  <c r="C1496" i="47"/>
  <c r="C1494" i="47"/>
  <c r="C1492" i="47"/>
  <c r="C1490" i="47"/>
  <c r="C1488" i="47"/>
  <c r="C1486" i="47"/>
  <c r="C1484" i="47"/>
  <c r="C1482" i="47"/>
  <c r="C1480" i="47"/>
  <c r="C1478" i="47"/>
  <c r="C1476" i="47"/>
  <c r="C1474" i="47"/>
  <c r="C1472" i="47"/>
  <c r="C1470" i="47"/>
  <c r="G1464" i="47"/>
  <c r="F1464" i="47"/>
  <c r="E1464" i="47"/>
  <c r="D1464" i="47"/>
  <c r="C1464" i="47"/>
  <c r="G1459" i="47"/>
  <c r="F1459" i="47"/>
  <c r="E1459" i="47"/>
  <c r="D1459" i="47"/>
  <c r="C1457" i="47"/>
  <c r="C1455" i="47"/>
  <c r="G1452" i="47"/>
  <c r="F1452" i="47"/>
  <c r="E1452" i="47"/>
  <c r="D1452" i="47"/>
  <c r="C1450" i="47"/>
  <c r="C1448" i="47"/>
  <c r="G1436" i="47"/>
  <c r="F1436" i="47"/>
  <c r="E1436" i="47"/>
  <c r="D1436" i="47"/>
  <c r="C1435" i="47"/>
  <c r="C1434" i="47"/>
  <c r="G1431" i="47"/>
  <c r="F1431" i="47"/>
  <c r="E1431" i="47"/>
  <c r="D1431" i="47"/>
  <c r="C1430" i="47"/>
  <c r="C1431" i="47"/>
  <c r="G1427" i="47"/>
  <c r="F1427" i="47"/>
  <c r="E1427" i="47"/>
  <c r="D1427" i="47"/>
  <c r="C1426" i="47"/>
  <c r="C1425" i="47"/>
  <c r="C1423" i="47"/>
  <c r="C1422" i="47"/>
  <c r="C1421" i="47"/>
  <c r="G1418" i="47"/>
  <c r="F1418" i="47"/>
  <c r="E1418" i="47"/>
  <c r="D1418" i="47"/>
  <c r="C1417" i="47"/>
  <c r="C1416" i="47"/>
  <c r="C1415" i="47"/>
  <c r="C1414" i="47"/>
  <c r="C1413" i="47"/>
  <c r="C1412" i="47"/>
  <c r="C1411" i="47"/>
  <c r="C1410" i="47"/>
  <c r="C1409" i="47"/>
  <c r="C1408" i="47"/>
  <c r="G1402" i="47"/>
  <c r="F1402" i="47"/>
  <c r="E1402" i="47"/>
  <c r="D1402" i="47"/>
  <c r="C1401" i="47"/>
  <c r="C1400" i="47"/>
  <c r="C1402" i="47"/>
  <c r="G1397" i="47"/>
  <c r="F1397" i="47"/>
  <c r="E1397" i="47"/>
  <c r="D1397" i="47"/>
  <c r="C1396" i="47"/>
  <c r="C1397" i="47"/>
  <c r="G1387" i="47"/>
  <c r="F1387" i="47"/>
  <c r="E1387" i="47"/>
  <c r="D1387" i="47"/>
  <c r="C1386" i="47"/>
  <c r="C1384" i="47"/>
  <c r="G1381" i="47"/>
  <c r="F1381" i="47"/>
  <c r="E1381" i="47"/>
  <c r="D1381" i="47"/>
  <c r="C1380" i="47"/>
  <c r="C1379" i="47"/>
  <c r="G1376" i="47"/>
  <c r="F1376" i="47"/>
  <c r="E1376" i="47"/>
  <c r="D1376" i="47"/>
  <c r="C1369" i="47"/>
  <c r="C1376" i="47"/>
  <c r="G1363" i="47"/>
  <c r="G1365" i="47"/>
  <c r="F1363" i="47"/>
  <c r="F1365" i="47"/>
  <c r="E1363" i="47"/>
  <c r="E1365" i="47"/>
  <c r="D1363" i="47"/>
  <c r="D1365" i="47"/>
  <c r="C1362" i="47"/>
  <c r="C1363" i="47"/>
  <c r="C1365" i="47"/>
  <c r="G1352" i="47"/>
  <c r="F1352" i="47"/>
  <c r="E1352" i="47"/>
  <c r="D1352" i="47"/>
  <c r="C1351" i="47"/>
  <c r="C1350" i="47"/>
  <c r="G1347" i="47"/>
  <c r="F1347" i="47"/>
  <c r="E1347" i="47"/>
  <c r="D1347" i="47"/>
  <c r="C1346" i="47"/>
  <c r="C1345" i="47"/>
  <c r="G1342" i="47"/>
  <c r="F1342" i="47"/>
  <c r="E1342" i="47"/>
  <c r="D1342" i="47"/>
  <c r="C1341" i="47"/>
  <c r="C1340" i="47"/>
  <c r="C1339" i="47"/>
  <c r="C1338" i="47"/>
  <c r="C1337" i="47"/>
  <c r="C1336" i="47"/>
  <c r="C1335" i="47"/>
  <c r="C1334" i="47"/>
  <c r="C1333" i="47"/>
  <c r="C1332" i="47"/>
  <c r="C1331" i="47"/>
  <c r="C1330" i="47"/>
  <c r="C1328" i="47"/>
  <c r="C1327" i="47"/>
  <c r="G1324" i="47"/>
  <c r="F1324" i="47"/>
  <c r="E1324" i="47"/>
  <c r="D1324" i="47"/>
  <c r="C1323" i="47"/>
  <c r="C1322" i="47"/>
  <c r="C1321" i="47"/>
  <c r="C1320" i="47"/>
  <c r="C1319" i="47"/>
  <c r="C1318" i="47"/>
  <c r="C1317" i="47"/>
  <c r="C1316" i="47"/>
  <c r="C1315" i="47"/>
  <c r="C1314" i="47"/>
  <c r="C1313" i="47"/>
  <c r="C1312" i="47"/>
  <c r="C1311" i="47"/>
  <c r="G1305" i="47"/>
  <c r="F1305" i="47"/>
  <c r="E1305" i="47"/>
  <c r="D1305" i="47"/>
  <c r="C1305" i="47"/>
  <c r="G1301" i="47"/>
  <c r="F1301" i="47"/>
  <c r="E1301" i="47"/>
  <c r="D1301" i="47"/>
  <c r="C1300" i="47"/>
  <c r="C1301" i="47"/>
  <c r="G1297" i="47"/>
  <c r="F1297" i="47"/>
  <c r="E1297" i="47"/>
  <c r="D1297" i="47"/>
  <c r="C1296" i="47"/>
  <c r="C1297" i="47"/>
  <c r="G1286" i="47"/>
  <c r="F1286" i="47"/>
  <c r="E1286" i="47"/>
  <c r="D1286" i="47"/>
  <c r="C1285" i="47"/>
  <c r="C1284" i="47"/>
  <c r="C1286" i="47"/>
  <c r="G1281" i="47"/>
  <c r="F1281" i="47"/>
  <c r="E1281" i="47"/>
  <c r="D1281" i="47"/>
  <c r="C1280" i="47"/>
  <c r="C1281" i="47"/>
  <c r="G1277" i="47"/>
  <c r="F1277" i="47"/>
  <c r="E1277" i="47"/>
  <c r="D1277" i="47"/>
  <c r="C1276" i="47"/>
  <c r="C1275" i="47"/>
  <c r="C1274" i="47"/>
  <c r="C1273" i="47"/>
  <c r="C1272" i="47"/>
  <c r="C1271" i="47"/>
  <c r="C1270" i="47"/>
  <c r="G1267" i="47"/>
  <c r="F1267" i="47"/>
  <c r="E1267" i="47"/>
  <c r="D1267" i="47"/>
  <c r="C1266" i="47"/>
  <c r="C1265" i="47"/>
  <c r="C1264" i="47"/>
  <c r="C1263" i="47"/>
  <c r="C1262" i="47"/>
  <c r="C1261" i="47"/>
  <c r="C1260" i="47"/>
  <c r="C1259" i="47"/>
  <c r="C1258" i="47"/>
  <c r="C1257" i="47"/>
  <c r="G1251" i="47"/>
  <c r="F1251" i="47"/>
  <c r="E1251" i="47"/>
  <c r="D1251" i="47"/>
  <c r="C1250" i="47"/>
  <c r="C1251" i="47"/>
  <c r="G1247" i="47"/>
  <c r="F1247" i="47"/>
  <c r="E1247" i="47"/>
  <c r="D1247" i="47"/>
  <c r="C1246" i="47"/>
  <c r="C1247" i="47"/>
  <c r="G1243" i="47"/>
  <c r="F1243" i="47"/>
  <c r="E1243" i="47"/>
  <c r="D1243" i="47"/>
  <c r="C1242" i="47"/>
  <c r="C1243" i="47"/>
  <c r="G1239" i="47"/>
  <c r="F1239" i="47"/>
  <c r="E1239" i="47"/>
  <c r="D1239" i="47"/>
  <c r="C1238" i="47"/>
  <c r="C1239" i="47"/>
  <c r="G1228" i="47"/>
  <c r="F1228" i="47"/>
  <c r="E1228" i="47"/>
  <c r="D1228" i="47"/>
  <c r="C1226" i="47"/>
  <c r="C1224" i="47"/>
  <c r="C1228" i="47"/>
  <c r="G1221" i="47"/>
  <c r="F1221" i="47"/>
  <c r="E1221" i="47"/>
  <c r="D1221" i="47"/>
  <c r="C1219" i="47"/>
  <c r="C1217" i="47"/>
  <c r="G1212" i="47"/>
  <c r="F1212" i="47"/>
  <c r="E1212" i="47"/>
  <c r="D1212" i="47"/>
  <c r="C1210" i="47"/>
  <c r="C1208" i="47"/>
  <c r="C1206" i="47"/>
  <c r="C1204" i="47"/>
  <c r="C1202" i="47"/>
  <c r="C1200" i="47"/>
  <c r="C1198" i="47"/>
  <c r="C1196" i="47"/>
  <c r="C1194" i="47"/>
  <c r="C1192" i="47"/>
  <c r="C1190" i="47"/>
  <c r="C1188" i="47"/>
  <c r="C1186" i="47"/>
  <c r="C1184" i="47"/>
  <c r="G1181" i="47"/>
  <c r="F1181" i="47"/>
  <c r="E1181" i="47"/>
  <c r="D1181" i="47"/>
  <c r="C1179" i="47"/>
  <c r="C1177" i="47"/>
  <c r="C1175" i="47"/>
  <c r="C1173" i="47"/>
  <c r="C1171" i="47"/>
  <c r="C1169" i="47"/>
  <c r="C1165" i="47"/>
  <c r="C1163" i="47"/>
  <c r="C1161" i="47"/>
  <c r="C1159" i="47"/>
  <c r="C1157" i="47"/>
  <c r="C1155" i="47"/>
  <c r="C1153" i="47"/>
  <c r="C1151" i="47"/>
  <c r="C1149" i="47"/>
  <c r="C1147" i="47"/>
  <c r="C1145" i="47"/>
  <c r="C1141" i="47"/>
  <c r="C1139" i="47"/>
  <c r="C1137" i="47"/>
  <c r="C1135" i="47"/>
  <c r="C1131" i="47"/>
  <c r="C1129" i="47"/>
  <c r="C1127" i="47"/>
  <c r="C1125" i="47"/>
  <c r="C1123" i="47"/>
  <c r="C1121" i="47"/>
  <c r="C1119" i="47"/>
  <c r="C1117" i="47"/>
  <c r="G1111" i="47"/>
  <c r="F1111" i="47"/>
  <c r="E1111" i="47"/>
  <c r="D1111" i="47"/>
  <c r="C1109" i="47"/>
  <c r="C1111" i="47"/>
  <c r="G1106" i="47"/>
  <c r="F1106" i="47"/>
  <c r="E1106" i="47"/>
  <c r="D1106" i="47"/>
  <c r="C1102" i="47"/>
  <c r="C1100" i="47"/>
  <c r="G1090" i="47"/>
  <c r="F1090" i="47"/>
  <c r="E1090" i="47"/>
  <c r="D1090" i="47"/>
  <c r="C1089" i="47"/>
  <c r="C1088" i="47"/>
  <c r="G1084" i="47"/>
  <c r="F1084" i="47"/>
  <c r="E1084" i="47"/>
  <c r="D1084" i="47"/>
  <c r="C1083" i="47"/>
  <c r="C1084" i="47"/>
  <c r="G1079" i="47"/>
  <c r="G1080" i="47"/>
  <c r="F1079" i="47"/>
  <c r="F1080" i="47"/>
  <c r="E1079" i="47"/>
  <c r="E1080" i="47"/>
  <c r="D1079" i="47"/>
  <c r="D1080" i="47"/>
  <c r="C1079" i="47"/>
  <c r="C1080" i="47"/>
  <c r="G1073" i="47"/>
  <c r="F1073" i="47"/>
  <c r="E1073" i="47"/>
  <c r="D1073" i="47"/>
  <c r="C1072" i="47"/>
  <c r="C1073" i="47"/>
  <c r="G1069" i="47"/>
  <c r="F1069" i="47"/>
  <c r="E1069" i="47"/>
  <c r="D1069" i="47"/>
  <c r="C1068" i="47"/>
  <c r="C1069" i="47"/>
  <c r="G1058" i="47"/>
  <c r="F1058" i="47"/>
  <c r="E1058" i="47"/>
  <c r="D1058" i="47"/>
  <c r="C1057" i="47"/>
  <c r="C1056" i="47"/>
  <c r="G1053" i="47"/>
  <c r="F1053" i="47"/>
  <c r="E1053" i="47"/>
  <c r="D1053" i="47"/>
  <c r="C1052" i="47"/>
  <c r="C1050" i="47"/>
  <c r="C1049" i="47"/>
  <c r="G1046" i="47"/>
  <c r="F1046" i="47"/>
  <c r="E1046" i="47"/>
  <c r="D1046" i="47"/>
  <c r="C1041" i="47"/>
  <c r="C1040" i="47"/>
  <c r="C1037" i="47"/>
  <c r="C1036" i="47"/>
  <c r="C1035" i="47"/>
  <c r="C1034" i="47"/>
  <c r="G1030" i="47"/>
  <c r="F1030" i="47"/>
  <c r="E1030" i="47"/>
  <c r="D1030" i="47"/>
  <c r="C1030" i="47"/>
  <c r="G1026" i="47"/>
  <c r="F1026" i="47"/>
  <c r="E1026" i="47"/>
  <c r="D1026" i="47"/>
  <c r="C1025" i="47"/>
  <c r="C1026" i="47"/>
  <c r="G1022" i="47"/>
  <c r="F1022" i="47"/>
  <c r="E1022" i="47"/>
  <c r="D1022" i="47"/>
  <c r="C1021" i="47"/>
  <c r="C1020" i="47"/>
  <c r="C1019" i="47"/>
  <c r="C1018" i="47"/>
  <c r="C1017" i="47"/>
  <c r="C1016" i="47"/>
  <c r="C1015" i="47"/>
  <c r="C1014" i="47"/>
  <c r="C1013" i="47"/>
  <c r="C1012" i="47"/>
  <c r="G1006" i="47"/>
  <c r="F1006" i="47"/>
  <c r="F1008" i="47"/>
  <c r="E1006" i="47"/>
  <c r="D1006" i="47"/>
  <c r="C1005" i="47"/>
  <c r="C1006" i="47"/>
  <c r="G1002" i="47"/>
  <c r="F1002" i="47"/>
  <c r="E1002" i="47"/>
  <c r="D1002" i="47"/>
  <c r="C1001" i="47"/>
  <c r="C1000" i="47"/>
  <c r="G990" i="47"/>
  <c r="F990" i="47"/>
  <c r="E990" i="47"/>
  <c r="D990" i="47"/>
  <c r="C989" i="47"/>
  <c r="C988" i="47"/>
  <c r="G985" i="47"/>
  <c r="F985" i="47"/>
  <c r="E985" i="47"/>
  <c r="D985" i="47"/>
  <c r="C984" i="47"/>
  <c r="C985" i="47"/>
  <c r="G981" i="47"/>
  <c r="F981" i="47"/>
  <c r="E981" i="47"/>
  <c r="D981" i="47"/>
  <c r="C980" i="47"/>
  <c r="C979" i="47"/>
  <c r="C978" i="47"/>
  <c r="C977" i="47"/>
  <c r="C976" i="47"/>
  <c r="C975" i="47"/>
  <c r="C974" i="47"/>
  <c r="C972" i="47"/>
  <c r="G969" i="47"/>
  <c r="F969" i="47"/>
  <c r="E969" i="47"/>
  <c r="D969" i="47"/>
  <c r="C968" i="47"/>
  <c r="C967" i="47"/>
  <c r="C966" i="47"/>
  <c r="C965" i="47"/>
  <c r="C964" i="47"/>
  <c r="C963" i="47"/>
  <c r="C962" i="47"/>
  <c r="C961" i="47"/>
  <c r="C960" i="47"/>
  <c r="G954" i="47"/>
  <c r="F954" i="47"/>
  <c r="E954" i="47"/>
  <c r="D954" i="47"/>
  <c r="C953" i="47"/>
  <c r="C952" i="47"/>
  <c r="G949" i="47"/>
  <c r="F949" i="47"/>
  <c r="E949" i="47"/>
  <c r="D949" i="47"/>
  <c r="C948" i="47"/>
  <c r="C949" i="47"/>
  <c r="G945" i="47"/>
  <c r="F945" i="47"/>
  <c r="E945" i="47"/>
  <c r="D945" i="47"/>
  <c r="C944" i="47"/>
  <c r="C945" i="47"/>
  <c r="G934" i="47"/>
  <c r="F934" i="47"/>
  <c r="E934" i="47"/>
  <c r="D934" i="47"/>
  <c r="C933" i="47"/>
  <c r="C932" i="47"/>
  <c r="G929" i="47"/>
  <c r="F929" i="47"/>
  <c r="E929" i="47"/>
  <c r="D929" i="47"/>
  <c r="C928" i="47"/>
  <c r="C929" i="47"/>
  <c r="G924" i="47"/>
  <c r="F924" i="47"/>
  <c r="E924" i="47"/>
  <c r="D924" i="47"/>
  <c r="C923" i="47"/>
  <c r="C921" i="47"/>
  <c r="C917" i="47"/>
  <c r="C916" i="47"/>
  <c r="C914" i="47"/>
  <c r="C913" i="47"/>
  <c r="C911" i="47"/>
  <c r="C910" i="47"/>
  <c r="C909" i="47"/>
  <c r="C908" i="47"/>
  <c r="C907" i="47"/>
  <c r="C906" i="47"/>
  <c r="C905" i="47"/>
  <c r="C904" i="47"/>
  <c r="C901" i="47"/>
  <c r="G898" i="47"/>
  <c r="F898" i="47"/>
  <c r="E898" i="47"/>
  <c r="D898" i="47"/>
  <c r="C897" i="47"/>
  <c r="C896" i="47"/>
  <c r="C895" i="47"/>
  <c r="C894" i="47"/>
  <c r="C893" i="47"/>
  <c r="C892" i="47"/>
  <c r="C891" i="47"/>
  <c r="C890" i="47"/>
  <c r="C889" i="47"/>
  <c r="C888" i="47"/>
  <c r="C887" i="47"/>
  <c r="C886" i="47"/>
  <c r="C885" i="47"/>
  <c r="G879" i="47"/>
  <c r="F879" i="47"/>
  <c r="E879" i="47"/>
  <c r="D879" i="47"/>
  <c r="C878" i="47"/>
  <c r="C879" i="47"/>
  <c r="G875" i="47"/>
  <c r="F875" i="47"/>
  <c r="E875" i="47"/>
  <c r="D875" i="47"/>
  <c r="C874" i="47"/>
  <c r="C875" i="47"/>
  <c r="G864" i="47"/>
  <c r="F864" i="47"/>
  <c r="E864" i="47"/>
  <c r="D864" i="47"/>
  <c r="C862" i="47"/>
  <c r="C860" i="47"/>
  <c r="C858" i="47"/>
  <c r="C856" i="47"/>
  <c r="G853" i="47"/>
  <c r="F853" i="47"/>
  <c r="E853" i="47"/>
  <c r="D853" i="47"/>
  <c r="C849" i="47"/>
  <c r="C847" i="47"/>
  <c r="C845" i="47"/>
  <c r="G842" i="47"/>
  <c r="F842" i="47"/>
  <c r="E842" i="47"/>
  <c r="D842" i="47"/>
  <c r="C838" i="47"/>
  <c r="C836" i="47"/>
  <c r="C834" i="47"/>
  <c r="C832" i="47"/>
  <c r="C830" i="47"/>
  <c r="C826" i="47"/>
  <c r="C824" i="47"/>
  <c r="C822" i="47"/>
  <c r="C816" i="47"/>
  <c r="C814" i="47"/>
  <c r="C812" i="47"/>
  <c r="C810" i="47"/>
  <c r="C808" i="47"/>
  <c r="C806" i="47"/>
  <c r="C804" i="47"/>
  <c r="C802" i="47"/>
  <c r="C800" i="47"/>
  <c r="C798" i="47"/>
  <c r="C796" i="47"/>
  <c r="C794" i="47"/>
  <c r="C792" i="47"/>
  <c r="C790" i="47"/>
  <c r="C788" i="47"/>
  <c r="C786" i="47"/>
  <c r="C784" i="47"/>
  <c r="C782" i="47"/>
  <c r="C780" i="47"/>
  <c r="C778" i="47"/>
  <c r="C776" i="47"/>
  <c r="C772" i="47"/>
  <c r="C770" i="47"/>
  <c r="C768" i="47"/>
  <c r="C766" i="47"/>
  <c r="C764" i="47"/>
  <c r="C762" i="47"/>
  <c r="C760" i="47"/>
  <c r="G757" i="47"/>
  <c r="F757" i="47"/>
  <c r="E757" i="47"/>
  <c r="D757" i="47"/>
  <c r="C753" i="47"/>
  <c r="C751" i="47"/>
  <c r="G748" i="47"/>
  <c r="F748" i="47"/>
  <c r="E748" i="47"/>
  <c r="D748" i="47"/>
  <c r="C746" i="47"/>
  <c r="C744" i="47"/>
  <c r="C742" i="47"/>
  <c r="C740" i="47"/>
  <c r="C738" i="47"/>
  <c r="C736" i="47"/>
  <c r="C734" i="47"/>
  <c r="C732" i="47"/>
  <c r="C730" i="47"/>
  <c r="C728" i="47"/>
  <c r="C726" i="47"/>
  <c r="C724" i="47"/>
  <c r="C722" i="47"/>
  <c r="C720" i="47"/>
  <c r="C718" i="47"/>
  <c r="C716" i="47"/>
  <c r="C714" i="47"/>
  <c r="C712" i="47"/>
  <c r="C710" i="47"/>
  <c r="C708" i="47"/>
  <c r="C706" i="47"/>
  <c r="C704" i="47"/>
  <c r="C702" i="47"/>
  <c r="C700" i="47"/>
  <c r="C698" i="47"/>
  <c r="C696" i="47"/>
  <c r="C694" i="47"/>
  <c r="C690" i="47"/>
  <c r="C688" i="47"/>
  <c r="C686" i="47"/>
  <c r="C684" i="47"/>
  <c r="C683" i="47"/>
  <c r="C680" i="47"/>
  <c r="C678" i="47"/>
  <c r="C676" i="47"/>
  <c r="C674" i="47"/>
  <c r="C672" i="47"/>
  <c r="C670" i="47"/>
  <c r="C668" i="47"/>
  <c r="C666" i="47"/>
  <c r="C664" i="47"/>
  <c r="C662" i="47"/>
  <c r="C660" i="47"/>
  <c r="C658" i="47"/>
  <c r="C656" i="47"/>
  <c r="C654" i="47"/>
  <c r="C652" i="47"/>
  <c r="G646" i="47"/>
  <c r="F646" i="47"/>
  <c r="E646" i="47"/>
  <c r="D646" i="47"/>
  <c r="C644" i="47"/>
  <c r="C642" i="47"/>
  <c r="G639" i="47"/>
  <c r="F639" i="47"/>
  <c r="E639" i="47"/>
  <c r="D639" i="47"/>
  <c r="C637" i="47"/>
  <c r="C635" i="47"/>
  <c r="G632" i="47"/>
  <c r="F632" i="47"/>
  <c r="E632" i="47"/>
  <c r="D632" i="47"/>
  <c r="C626" i="47"/>
  <c r="C624" i="47"/>
  <c r="C622" i="47"/>
  <c r="C620" i="47"/>
  <c r="C618" i="47"/>
  <c r="G608" i="47"/>
  <c r="F608" i="47"/>
  <c r="E608" i="47"/>
  <c r="D608" i="47"/>
  <c r="C606" i="47"/>
  <c r="C608" i="47"/>
  <c r="G603" i="47"/>
  <c r="F603" i="47"/>
  <c r="E603" i="47"/>
  <c r="D603" i="47"/>
  <c r="C601" i="47"/>
  <c r="C599" i="47"/>
  <c r="C597" i="47"/>
  <c r="G594" i="47"/>
  <c r="F594" i="47"/>
  <c r="E594" i="47"/>
  <c r="D594" i="47"/>
  <c r="C594" i="47"/>
  <c r="G578" i="47"/>
  <c r="F578" i="47"/>
  <c r="E578" i="47"/>
  <c r="D578" i="47"/>
  <c r="C576" i="47"/>
  <c r="C578" i="47"/>
  <c r="G573" i="47"/>
  <c r="F573" i="47"/>
  <c r="E573" i="47"/>
  <c r="D573" i="47"/>
  <c r="C571" i="47"/>
  <c r="C567" i="47"/>
  <c r="C565" i="47"/>
  <c r="G555" i="47"/>
  <c r="F555" i="47"/>
  <c r="E555" i="47"/>
  <c r="D555" i="47"/>
  <c r="C554" i="47"/>
  <c r="C553" i="47"/>
  <c r="G550" i="47"/>
  <c r="F550" i="47"/>
  <c r="E550" i="47"/>
  <c r="D550" i="47"/>
  <c r="C549" i="47"/>
  <c r="C548" i="47"/>
  <c r="G545" i="47"/>
  <c r="F545" i="47"/>
  <c r="E545" i="47"/>
  <c r="D545" i="47"/>
  <c r="C544" i="47"/>
  <c r="C543" i="47"/>
  <c r="C542" i="47"/>
  <c r="C541" i="47"/>
  <c r="C540" i="47"/>
  <c r="C539" i="47"/>
  <c r="C538" i="47"/>
  <c r="C537" i="47"/>
  <c r="C536" i="47"/>
  <c r="C535" i="47"/>
  <c r="C534" i="47"/>
  <c r="C533" i="47"/>
  <c r="C532" i="47"/>
  <c r="G529" i="47"/>
  <c r="F529" i="47"/>
  <c r="E529" i="47"/>
  <c r="D529" i="47"/>
  <c r="C528" i="47"/>
  <c r="C527" i="47"/>
  <c r="C526" i="47"/>
  <c r="C525" i="47"/>
  <c r="C524" i="47"/>
  <c r="C523" i="47"/>
  <c r="C522" i="47"/>
  <c r="C521" i="47"/>
  <c r="C520" i="47"/>
  <c r="C519" i="47"/>
  <c r="C518" i="47"/>
  <c r="C517" i="47"/>
  <c r="C516" i="47"/>
  <c r="G510" i="47"/>
  <c r="G512" i="47"/>
  <c r="F510" i="47"/>
  <c r="F512" i="47"/>
  <c r="E510" i="47"/>
  <c r="E512" i="47"/>
  <c r="D510" i="47"/>
  <c r="D512" i="47"/>
  <c r="C509" i="47"/>
  <c r="C510" i="47"/>
  <c r="C512" i="47"/>
  <c r="G499" i="47"/>
  <c r="F499" i="47"/>
  <c r="E499" i="47"/>
  <c r="D499" i="47"/>
  <c r="C498" i="47"/>
  <c r="C497" i="47"/>
  <c r="C499" i="47"/>
  <c r="G494" i="47"/>
  <c r="F494" i="47"/>
  <c r="E494" i="47"/>
  <c r="D494" i="47"/>
  <c r="C493" i="47"/>
  <c r="C494" i="47"/>
  <c r="G490" i="47"/>
  <c r="F490" i="47"/>
  <c r="E490" i="47"/>
  <c r="D490" i="47"/>
  <c r="C489" i="47"/>
  <c r="C488" i="47"/>
  <c r="C487" i="47"/>
  <c r="C486" i="47"/>
  <c r="C485" i="47"/>
  <c r="C484" i="47"/>
  <c r="C483" i="47"/>
  <c r="C482" i="47"/>
  <c r="C481" i="47"/>
  <c r="G478" i="47"/>
  <c r="F478" i="47"/>
  <c r="E478" i="47"/>
  <c r="D478" i="47"/>
  <c r="C477" i="47"/>
  <c r="C476" i="47"/>
  <c r="C475" i="47"/>
  <c r="C474" i="47"/>
  <c r="C473" i="47"/>
  <c r="C472" i="47"/>
  <c r="C471" i="47"/>
  <c r="C470" i="47"/>
  <c r="C469" i="47"/>
  <c r="C468" i="47"/>
  <c r="C467" i="47"/>
  <c r="G461" i="47"/>
  <c r="G463" i="47"/>
  <c r="F461" i="47"/>
  <c r="F463" i="47"/>
  <c r="E461" i="47"/>
  <c r="E463" i="47"/>
  <c r="D461" i="47"/>
  <c r="D463" i="47"/>
  <c r="C460" i="47"/>
  <c r="C461" i="47"/>
  <c r="C463" i="47"/>
  <c r="G450" i="47"/>
  <c r="F450" i="47"/>
  <c r="E450" i="47"/>
  <c r="D450" i="47"/>
  <c r="C448" i="47"/>
  <c r="C446" i="47"/>
  <c r="C444" i="47"/>
  <c r="C442" i="47"/>
  <c r="C440" i="47"/>
  <c r="C439" i="47"/>
  <c r="G433" i="47"/>
  <c r="F433" i="47"/>
  <c r="E433" i="47"/>
  <c r="D433" i="47"/>
  <c r="C431" i="47"/>
  <c r="C429" i="47"/>
  <c r="C427" i="47"/>
  <c r="C425" i="47"/>
  <c r="G420" i="47"/>
  <c r="E420" i="47"/>
  <c r="D420" i="47"/>
  <c r="C418" i="47"/>
  <c r="C416" i="47"/>
  <c r="C412" i="47"/>
  <c r="C410" i="47"/>
  <c r="C408" i="47"/>
  <c r="C406" i="47"/>
  <c r="C404" i="47"/>
  <c r="C402" i="47"/>
  <c r="C400" i="47"/>
  <c r="C398" i="47"/>
  <c r="C396" i="47"/>
  <c r="C394" i="47"/>
  <c r="C392" i="47"/>
  <c r="C390" i="47"/>
  <c r="C386" i="47"/>
  <c r="C384" i="47"/>
  <c r="C380" i="47"/>
  <c r="C378" i="47"/>
  <c r="C376" i="47"/>
  <c r="C374" i="47"/>
  <c r="C372" i="47"/>
  <c r="C370" i="47"/>
  <c r="C368" i="47"/>
  <c r="C366" i="47"/>
  <c r="C364" i="47"/>
  <c r="C362" i="47"/>
  <c r="C358" i="47"/>
  <c r="C356" i="47"/>
  <c r="C352" i="47"/>
  <c r="C350" i="47"/>
  <c r="C348" i="47"/>
  <c r="C344" i="47"/>
  <c r="C342" i="47"/>
  <c r="F340" i="47"/>
  <c r="C340" i="47"/>
  <c r="C338" i="47"/>
  <c r="C336" i="47"/>
  <c r="C332" i="47"/>
  <c r="F330" i="47"/>
  <c r="C330" i="47"/>
  <c r="G327" i="47"/>
  <c r="F327" i="47"/>
  <c r="E327" i="47"/>
  <c r="D327" i="47"/>
  <c r="C313" i="47"/>
  <c r="C327" i="47"/>
  <c r="G310" i="47"/>
  <c r="F310" i="47"/>
  <c r="E310" i="47"/>
  <c r="D310" i="47"/>
  <c r="C310" i="47"/>
  <c r="G305" i="47"/>
  <c r="F305" i="47"/>
  <c r="E305" i="47"/>
  <c r="D305" i="47"/>
  <c r="C305" i="47"/>
  <c r="G300" i="47"/>
  <c r="E300" i="47"/>
  <c r="D300" i="47"/>
  <c r="F298" i="47"/>
  <c r="C298" i="47"/>
  <c r="C300" i="47"/>
  <c r="G295" i="47"/>
  <c r="E295" i="47"/>
  <c r="D295" i="47"/>
  <c r="F293" i="47"/>
  <c r="C293" i="47"/>
  <c r="C291" i="47"/>
  <c r="C289" i="47"/>
  <c r="F287" i="47"/>
  <c r="C287" i="47"/>
  <c r="C285" i="47"/>
  <c r="C283" i="47"/>
  <c r="F281" i="47"/>
  <c r="C281" i="47"/>
  <c r="C279" i="47"/>
  <c r="C277" i="47"/>
  <c r="F275" i="47"/>
  <c r="C275" i="47"/>
  <c r="F273" i="47"/>
  <c r="C273" i="47"/>
  <c r="F271" i="47"/>
  <c r="C271" i="47"/>
  <c r="F269" i="47"/>
  <c r="C269" i="47"/>
  <c r="C267" i="47"/>
  <c r="C265" i="47"/>
  <c r="F263" i="47"/>
  <c r="C263" i="47"/>
  <c r="F261" i="47"/>
  <c r="C261" i="47"/>
  <c r="C259" i="47"/>
  <c r="F257" i="47"/>
  <c r="C257" i="47"/>
  <c r="C255" i="47"/>
  <c r="C253" i="47"/>
  <c r="C251" i="47"/>
  <c r="F249" i="47"/>
  <c r="C249" i="47"/>
  <c r="F247" i="47"/>
  <c r="C247" i="47"/>
  <c r="F245" i="47"/>
  <c r="C245" i="47"/>
  <c r="F243" i="47"/>
  <c r="C243" i="47"/>
  <c r="F241" i="47"/>
  <c r="C241" i="47"/>
  <c r="F239" i="47"/>
  <c r="C239" i="47"/>
  <c r="C237" i="47"/>
  <c r="F235" i="47"/>
  <c r="C235" i="47"/>
  <c r="F233" i="47"/>
  <c r="C233" i="47"/>
  <c r="F231" i="47"/>
  <c r="C231" i="47"/>
  <c r="C229" i="47"/>
  <c r="F227" i="47"/>
  <c r="C227" i="47"/>
  <c r="C225" i="47"/>
  <c r="C223" i="47"/>
  <c r="C221" i="47"/>
  <c r="F219" i="47"/>
  <c r="C219" i="47"/>
  <c r="F217" i="47"/>
  <c r="C217" i="47"/>
  <c r="C215" i="47"/>
  <c r="G209" i="47"/>
  <c r="F209" i="47"/>
  <c r="E209" i="47"/>
  <c r="D209" i="47"/>
  <c r="C205" i="47"/>
  <c r="C204" i="47"/>
  <c r="C201" i="47"/>
  <c r="C197" i="47"/>
  <c r="C195" i="47"/>
  <c r="G192" i="47"/>
  <c r="F192" i="47"/>
  <c r="E192" i="47"/>
  <c r="D192" i="47"/>
  <c r="C190" i="47"/>
  <c r="C186" i="47"/>
  <c r="C184" i="47"/>
  <c r="C177" i="47"/>
  <c r="C179" i="47"/>
  <c r="G172" i="47"/>
  <c r="F172" i="47"/>
  <c r="E172" i="47"/>
  <c r="D172" i="47"/>
  <c r="C170" i="47"/>
  <c r="C172" i="47"/>
  <c r="G167" i="47"/>
  <c r="F167" i="47"/>
  <c r="E167" i="47"/>
  <c r="D167" i="47"/>
  <c r="C165" i="47"/>
  <c r="C163" i="47"/>
  <c r="C160" i="47"/>
  <c r="G155" i="47"/>
  <c r="F155" i="47"/>
  <c r="E155" i="47"/>
  <c r="D155" i="47"/>
  <c r="C151" i="47"/>
  <c r="C149" i="47"/>
  <c r="C147" i="47"/>
  <c r="C145" i="47"/>
  <c r="C143" i="47"/>
  <c r="G133" i="47"/>
  <c r="E133" i="47"/>
  <c r="D133" i="47"/>
  <c r="F132" i="47"/>
  <c r="F131" i="47"/>
  <c r="C130" i="47"/>
  <c r="F129" i="47"/>
  <c r="C129" i="47"/>
  <c r="F128" i="47"/>
  <c r="C128" i="47"/>
  <c r="F127" i="47"/>
  <c r="C127" i="47"/>
  <c r="F126" i="47"/>
  <c r="C126" i="47"/>
  <c r="F125" i="47"/>
  <c r="F124" i="47"/>
  <c r="C124" i="47"/>
  <c r="F123" i="47"/>
  <c r="C123" i="47"/>
  <c r="C122" i="47"/>
  <c r="G119" i="47"/>
  <c r="E119" i="47"/>
  <c r="D119" i="47"/>
  <c r="C118" i="47"/>
  <c r="C117" i="47"/>
  <c r="C116" i="47"/>
  <c r="F115" i="47"/>
  <c r="C115" i="47"/>
  <c r="C114" i="47"/>
  <c r="C113" i="47"/>
  <c r="C112" i="47"/>
  <c r="F111" i="47"/>
  <c r="C111" i="47"/>
  <c r="C110" i="47"/>
  <c r="C109" i="47"/>
  <c r="C108" i="47"/>
  <c r="C107" i="47"/>
  <c r="C106" i="47"/>
  <c r="G100" i="47"/>
  <c r="G102" i="47"/>
  <c r="F100" i="47"/>
  <c r="F102" i="47"/>
  <c r="E100" i="47"/>
  <c r="E102" i="47"/>
  <c r="D100" i="47"/>
  <c r="D102" i="47"/>
  <c r="C100" i="47"/>
  <c r="C102" i="47"/>
  <c r="G87" i="47"/>
  <c r="E87" i="47"/>
  <c r="D87" i="47"/>
  <c r="F86" i="47"/>
  <c r="C86" i="47"/>
  <c r="F85" i="47"/>
  <c r="C85" i="47"/>
  <c r="G82" i="47"/>
  <c r="E82" i="47"/>
  <c r="D82" i="47"/>
  <c r="F81" i="47"/>
  <c r="C81" i="47"/>
  <c r="F80" i="47"/>
  <c r="C80" i="47"/>
  <c r="G77" i="47"/>
  <c r="E77" i="47"/>
  <c r="D77" i="47"/>
  <c r="C76" i="47"/>
  <c r="C75" i="47"/>
  <c r="C74" i="47"/>
  <c r="F73" i="47"/>
  <c r="F72" i="47"/>
  <c r="C71" i="47"/>
  <c r="C70" i="47"/>
  <c r="F69" i="47"/>
  <c r="C69" i="47"/>
  <c r="C68" i="47"/>
  <c r="F67" i="47"/>
  <c r="C67" i="47"/>
  <c r="F66" i="47"/>
  <c r="C66" i="47"/>
  <c r="F65" i="47"/>
  <c r="C65" i="47"/>
  <c r="F64" i="47"/>
  <c r="C64" i="47"/>
  <c r="F63" i="47"/>
  <c r="C63" i="47"/>
  <c r="F62" i="47"/>
  <c r="C62" i="47"/>
  <c r="C61" i="47"/>
  <c r="F60" i="47"/>
  <c r="C60" i="47"/>
  <c r="C59" i="47"/>
  <c r="F58" i="47"/>
  <c r="C58" i="47"/>
  <c r="C57" i="47"/>
  <c r="F56" i="47"/>
  <c r="C56" i="47"/>
  <c r="F55" i="47"/>
  <c r="G52" i="47"/>
  <c r="E52" i="47"/>
  <c r="D52" i="47"/>
  <c r="F51" i="47"/>
  <c r="F52" i="47"/>
  <c r="C51" i="47"/>
  <c r="C52" i="47"/>
  <c r="G48" i="47"/>
  <c r="F48" i="47"/>
  <c r="E48" i="47"/>
  <c r="D48" i="47"/>
  <c r="C46" i="47"/>
  <c r="C45" i="47"/>
  <c r="C44" i="47"/>
  <c r="C43" i="47"/>
  <c r="C42" i="47"/>
  <c r="G39" i="47"/>
  <c r="E39" i="47"/>
  <c r="D39" i="47"/>
  <c r="H38" i="47"/>
  <c r="C38" i="47"/>
  <c r="H37" i="47"/>
  <c r="C37" i="47"/>
  <c r="H36" i="47"/>
  <c r="C36" i="47"/>
  <c r="H35" i="47"/>
  <c r="F35" i="47"/>
  <c r="C35" i="47"/>
  <c r="H34" i="47"/>
  <c r="C34" i="47"/>
  <c r="H33" i="47"/>
  <c r="C33" i="47"/>
  <c r="H32" i="47"/>
  <c r="C32" i="47"/>
  <c r="H31" i="47"/>
  <c r="C31" i="47"/>
  <c r="H30" i="47"/>
  <c r="F30" i="47"/>
  <c r="C30" i="47"/>
  <c r="H29" i="47"/>
  <c r="C29" i="47"/>
  <c r="H28" i="47"/>
  <c r="C28" i="47"/>
  <c r="H27" i="47"/>
  <c r="F27" i="47"/>
  <c r="C27" i="47"/>
  <c r="H26" i="47"/>
  <c r="C26" i="47"/>
  <c r="G20" i="47"/>
  <c r="G22" i="47"/>
  <c r="F20" i="47"/>
  <c r="F22" i="47"/>
  <c r="E20" i="47"/>
  <c r="E22" i="47"/>
  <c r="D20" i="47"/>
  <c r="D22" i="47"/>
  <c r="C20" i="47"/>
  <c r="C22" i="47"/>
  <c r="C1221" i="47"/>
  <c r="C1459" i="47"/>
  <c r="C1387" i="47"/>
  <c r="H39" i="47"/>
  <c r="H89" i="47"/>
  <c r="H91" i="47"/>
  <c r="C757" i="47"/>
  <c r="C167" i="47"/>
  <c r="C1878" i="47"/>
  <c r="C1913" i="47"/>
  <c r="C2108" i="47"/>
  <c r="C48" i="47"/>
  <c r="C550" i="47"/>
  <c r="C1818" i="47"/>
  <c r="C1839" i="47"/>
  <c r="C2037" i="47"/>
  <c r="D40" i="13"/>
  <c r="G1075" i="47"/>
  <c r="G580" i="47"/>
  <c r="F1404" i="47"/>
  <c r="G2053" i="47"/>
  <c r="F1624" i="47"/>
  <c r="F1626" i="47"/>
  <c r="E1466" i="47"/>
  <c r="G1404" i="47"/>
  <c r="F1389" i="47"/>
  <c r="F1391" i="47"/>
  <c r="F1253" i="47"/>
  <c r="E1113" i="47"/>
  <c r="F1113" i="47"/>
  <c r="F1092" i="47"/>
  <c r="G1092" i="47"/>
  <c r="D1075" i="47"/>
  <c r="E1060" i="47"/>
  <c r="G1008" i="47"/>
  <c r="G610" i="47"/>
  <c r="F39" i="47"/>
  <c r="C555" i="47"/>
  <c r="F610" i="47"/>
  <c r="C842" i="47"/>
  <c r="C853" i="47"/>
  <c r="D881" i="47"/>
  <c r="C990" i="47"/>
  <c r="D1008" i="47"/>
  <c r="C1720" i="47"/>
  <c r="C1872" i="47"/>
  <c r="C2025" i="47"/>
  <c r="C632" i="47"/>
  <c r="C1804" i="47"/>
  <c r="F87" i="47"/>
  <c r="F119" i="47"/>
  <c r="C433" i="47"/>
  <c r="C450" i="47"/>
  <c r="C639" i="47"/>
  <c r="D866" i="47"/>
  <c r="C934" i="47"/>
  <c r="C1058" i="47"/>
  <c r="C1106" i="47"/>
  <c r="C1113" i="47"/>
  <c r="C1436" i="47"/>
  <c r="C1939" i="47"/>
  <c r="C1941" i="47"/>
  <c r="C1002" i="47"/>
  <c r="C1008" i="47"/>
  <c r="C2018" i="47"/>
  <c r="E580" i="47"/>
  <c r="E135" i="47"/>
  <c r="E137" i="47"/>
  <c r="C1090" i="47"/>
  <c r="C1092" i="47"/>
  <c r="C1212" i="47"/>
  <c r="F2053" i="47"/>
  <c r="F295" i="47"/>
  <c r="E881" i="47"/>
  <c r="G881" i="47"/>
  <c r="G936" i="47"/>
  <c r="E956" i="47"/>
  <c r="G1584" i="47"/>
  <c r="D1584" i="47"/>
  <c r="G1354" i="47"/>
  <c r="F881" i="47"/>
  <c r="F956" i="47"/>
  <c r="G1438" i="47"/>
  <c r="F82" i="47"/>
  <c r="E866" i="47"/>
  <c r="D1404" i="47"/>
  <c r="D1748" i="47"/>
  <c r="D936" i="47"/>
  <c r="G135" i="47"/>
  <c r="G137" i="47"/>
  <c r="F300" i="47"/>
  <c r="F648" i="47"/>
  <c r="C881" i="47"/>
  <c r="E1307" i="47"/>
  <c r="F1354" i="47"/>
  <c r="D1389" i="47"/>
  <c r="D1391" i="47"/>
  <c r="E1404" i="47"/>
  <c r="G1624" i="47"/>
  <c r="G1626" i="47"/>
  <c r="E1748" i="47"/>
  <c r="D1845" i="47"/>
  <c r="E1438" i="47"/>
  <c r="E610" i="47"/>
  <c r="E612" i="47"/>
  <c r="E648" i="47"/>
  <c r="G648" i="47"/>
  <c r="D1113" i="47"/>
  <c r="G1113" i="47"/>
  <c r="F1307" i="47"/>
  <c r="E1389" i="47"/>
  <c r="E1391" i="47"/>
  <c r="G2110" i="47"/>
  <c r="G2112" i="47"/>
  <c r="D2053" i="47"/>
  <c r="F2027" i="47"/>
  <c r="E2053" i="47"/>
  <c r="F2110" i="47"/>
  <c r="F2112" i="47"/>
  <c r="G2027" i="47"/>
  <c r="G1941" i="47"/>
  <c r="D1941" i="47"/>
  <c r="E1941" i="47"/>
  <c r="F1941" i="47"/>
  <c r="G1845" i="47"/>
  <c r="E1915" i="47"/>
  <c r="D1915" i="47"/>
  <c r="F1748" i="47"/>
  <c r="F1915" i="47"/>
  <c r="G1820" i="47"/>
  <c r="F1845" i="47"/>
  <c r="G1915" i="47"/>
  <c r="C1845" i="47"/>
  <c r="G1748" i="47"/>
  <c r="E1820" i="47"/>
  <c r="F1820" i="47"/>
  <c r="G1253" i="47"/>
  <c r="D1253" i="47"/>
  <c r="E1354" i="47"/>
  <c r="D1438" i="47"/>
  <c r="F1438" i="47"/>
  <c r="F1440" i="47"/>
  <c r="G1728" i="47"/>
  <c r="D1230" i="47"/>
  <c r="G1307" i="47"/>
  <c r="G1466" i="47"/>
  <c r="D1288" i="47"/>
  <c r="F1728" i="47"/>
  <c r="G1230" i="47"/>
  <c r="E1624" i="47"/>
  <c r="E1626" i="47"/>
  <c r="E1253" i="47"/>
  <c r="D1624" i="47"/>
  <c r="D1626" i="47"/>
  <c r="F1466" i="47"/>
  <c r="F1649" i="47"/>
  <c r="D1307" i="47"/>
  <c r="C1404" i="47"/>
  <c r="D1466" i="47"/>
  <c r="E1584" i="47"/>
  <c r="D1649" i="47"/>
  <c r="E936" i="47"/>
  <c r="F866" i="47"/>
  <c r="G1060" i="47"/>
  <c r="E501" i="47"/>
  <c r="E503" i="47"/>
  <c r="F557" i="47"/>
  <c r="F559" i="47"/>
  <c r="D580" i="47"/>
  <c r="G956" i="47"/>
  <c r="D956" i="47"/>
  <c r="E992" i="47"/>
  <c r="E1075" i="47"/>
  <c r="F936" i="47"/>
  <c r="D648" i="47"/>
  <c r="D868" i="47"/>
  <c r="D992" i="47"/>
  <c r="F992" i="47"/>
  <c r="F1075" i="47"/>
  <c r="E1008" i="47"/>
  <c r="G557" i="47"/>
  <c r="G559" i="47"/>
  <c r="F501" i="47"/>
  <c r="F503" i="47"/>
  <c r="G501" i="47"/>
  <c r="G503" i="47"/>
  <c r="F580" i="47"/>
  <c r="F612" i="47"/>
  <c r="G211" i="47"/>
  <c r="D89" i="47"/>
  <c r="D91" i="47"/>
  <c r="E211" i="47"/>
  <c r="G452" i="47"/>
  <c r="E452" i="47"/>
  <c r="F133" i="47"/>
  <c r="D211" i="47"/>
  <c r="C1452" i="47"/>
  <c r="C1466" i="47"/>
  <c r="C954" i="47"/>
  <c r="C956" i="47"/>
  <c r="C1347" i="47"/>
  <c r="C1552" i="47"/>
  <c r="C1582" i="47"/>
  <c r="C1748" i="47"/>
  <c r="C1075" i="47"/>
  <c r="C1267" i="47"/>
  <c r="C1352" i="47"/>
  <c r="C1518" i="47"/>
  <c r="C1766" i="47"/>
  <c r="C2009" i="47"/>
  <c r="C1277" i="47"/>
  <c r="C1324" i="47"/>
  <c r="C1863" i="47"/>
  <c r="C2051" i="47"/>
  <c r="C2067" i="47"/>
  <c r="C545" i="47"/>
  <c r="C1253" i="47"/>
  <c r="C1427" i="47"/>
  <c r="C1900" i="47"/>
  <c r="C155" i="47"/>
  <c r="C1022" i="47"/>
  <c r="C82" i="47"/>
  <c r="C77" i="47"/>
  <c r="C209" i="47"/>
  <c r="C529" i="47"/>
  <c r="C573" i="47"/>
  <c r="C580" i="47"/>
  <c r="C864" i="47"/>
  <c r="C981" i="47"/>
  <c r="C1053" i="47"/>
  <c r="D1092" i="47"/>
  <c r="C1381" i="47"/>
  <c r="C1418" i="47"/>
  <c r="C1647" i="47"/>
  <c r="C1649" i="47"/>
  <c r="C1726" i="47"/>
  <c r="C1812" i="47"/>
  <c r="J2236" i="48"/>
  <c r="J2221" i="48"/>
  <c r="K2179" i="48"/>
  <c r="D452" i="47"/>
  <c r="G866" i="47"/>
  <c r="C490" i="47"/>
  <c r="D1820" i="47"/>
  <c r="C39" i="47"/>
  <c r="C1181" i="47"/>
  <c r="E89" i="47"/>
  <c r="E91" i="47"/>
  <c r="C1307" i="47"/>
  <c r="C192" i="47"/>
  <c r="C898" i="47"/>
  <c r="G1288" i="47"/>
  <c r="E2027" i="47"/>
  <c r="E2110" i="47"/>
  <c r="C748" i="47"/>
  <c r="F1288" i="47"/>
  <c r="F1290" i="47"/>
  <c r="D2027" i="47"/>
  <c r="C924" i="47"/>
  <c r="G1389" i="47"/>
  <c r="G1391" i="47"/>
  <c r="G89" i="47"/>
  <c r="G91" i="47"/>
  <c r="C133" i="47"/>
  <c r="C420" i="47"/>
  <c r="C603" i="47"/>
  <c r="C610" i="47"/>
  <c r="C1046" i="47"/>
  <c r="E1092" i="47"/>
  <c r="C1342" i="47"/>
  <c r="D1728" i="47"/>
  <c r="E1845" i="47"/>
  <c r="C1958" i="47"/>
  <c r="D2110" i="47"/>
  <c r="C2101" i="47"/>
  <c r="C87" i="47"/>
  <c r="D135" i="47"/>
  <c r="D137" i="47"/>
  <c r="C295" i="47"/>
  <c r="F420" i="47"/>
  <c r="D501" i="47"/>
  <c r="D503" i="47"/>
  <c r="D557" i="47"/>
  <c r="D559" i="47"/>
  <c r="D610" i="47"/>
  <c r="C646" i="47"/>
  <c r="C969" i="47"/>
  <c r="F1584" i="47"/>
  <c r="C1608" i="47"/>
  <c r="C1624" i="47"/>
  <c r="C1626" i="47"/>
  <c r="E1649" i="47"/>
  <c r="G1649" i="47"/>
  <c r="C1711" i="47"/>
  <c r="E1728" i="47"/>
  <c r="C1908" i="47"/>
  <c r="E557" i="47"/>
  <c r="E559" i="47"/>
  <c r="E1230" i="47"/>
  <c r="E1232" i="47"/>
  <c r="C478" i="47"/>
  <c r="F1230" i="47"/>
  <c r="F1232" i="47"/>
  <c r="D1354" i="47"/>
  <c r="F77" i="47"/>
  <c r="C119" i="47"/>
  <c r="F211" i="47"/>
  <c r="G992" i="47"/>
  <c r="D1060" i="47"/>
  <c r="F1060" i="47"/>
  <c r="F1062" i="47"/>
  <c r="E1288" i="47"/>
  <c r="C1571" i="47"/>
  <c r="C1666" i="47"/>
  <c r="C1389" i="47"/>
  <c r="C1391" i="47"/>
  <c r="C557" i="47"/>
  <c r="C559" i="47"/>
  <c r="C2053" i="47"/>
  <c r="E1822" i="47"/>
  <c r="G1094" i="47"/>
  <c r="F868" i="47"/>
  <c r="E1094" i="47"/>
  <c r="G2029" i="47"/>
  <c r="G1586" i="47"/>
  <c r="D1062" i="47"/>
  <c r="F994" i="47"/>
  <c r="G612" i="47"/>
  <c r="G1917" i="47"/>
  <c r="D938" i="47"/>
  <c r="F1356" i="47"/>
  <c r="D454" i="47"/>
  <c r="C1288" i="47"/>
  <c r="C1290" i="47"/>
  <c r="E1290" i="47"/>
  <c r="G1062" i="47"/>
  <c r="G1356" i="47"/>
  <c r="D1917" i="47"/>
  <c r="G1440" i="47"/>
  <c r="D1822" i="47"/>
  <c r="E1586" i="47"/>
  <c r="D1232" i="47"/>
  <c r="F1094" i="47"/>
  <c r="D1094" i="47"/>
  <c r="E1062" i="47"/>
  <c r="C992" i="47"/>
  <c r="C994" i="47"/>
  <c r="C936" i="47"/>
  <c r="C938" i="47"/>
  <c r="E868" i="47"/>
  <c r="C648" i="47"/>
  <c r="F135" i="47"/>
  <c r="F137" i="47"/>
  <c r="G994" i="47"/>
  <c r="E2112" i="47"/>
  <c r="C1230" i="47"/>
  <c r="C1232" i="47"/>
  <c r="E1356" i="47"/>
  <c r="D1440" i="47"/>
  <c r="E938" i="47"/>
  <c r="D2029" i="47"/>
  <c r="F1822" i="47"/>
  <c r="E1917" i="47"/>
  <c r="G868" i="47"/>
  <c r="D612" i="47"/>
  <c r="C135" i="47"/>
  <c r="C137" i="47"/>
  <c r="C1094" i="47"/>
  <c r="C211" i="47"/>
  <c r="E454" i="47"/>
  <c r="F938" i="47"/>
  <c r="D1586" i="47"/>
  <c r="F1917" i="47"/>
  <c r="C866" i="47"/>
  <c r="G1290" i="47"/>
  <c r="F89" i="47"/>
  <c r="F91" i="47"/>
  <c r="G1232" i="47"/>
  <c r="F452" i="47"/>
  <c r="F454" i="47"/>
  <c r="D2112" i="47"/>
  <c r="C501" i="47"/>
  <c r="C503" i="47"/>
  <c r="G1822" i="47"/>
  <c r="G938" i="47"/>
  <c r="E994" i="47"/>
  <c r="E2029" i="47"/>
  <c r="C1915" i="47"/>
  <c r="C1917" i="47"/>
  <c r="D994" i="47"/>
  <c r="E1440" i="47"/>
  <c r="F2029" i="47"/>
  <c r="C2027" i="47"/>
  <c r="C2029" i="47"/>
  <c r="C1820" i="47"/>
  <c r="C1822" i="47"/>
  <c r="F1730" i="47"/>
  <c r="D1730" i="47"/>
  <c r="C1354" i="47"/>
  <c r="C1356" i="47"/>
  <c r="E1730" i="47"/>
  <c r="F1586" i="47"/>
  <c r="C1584" i="47"/>
  <c r="C1586" i="47"/>
  <c r="D1290" i="47"/>
  <c r="D1356" i="47"/>
  <c r="G1730" i="47"/>
  <c r="C1438" i="47"/>
  <c r="C1440" i="47"/>
  <c r="C1060" i="47"/>
  <c r="C1062" i="47"/>
  <c r="G454" i="47"/>
  <c r="C452" i="47"/>
  <c r="C1728" i="47"/>
  <c r="C1730" i="47"/>
  <c r="C2110" i="47"/>
  <c r="C2112" i="47"/>
  <c r="K2236" i="48"/>
  <c r="J2237" i="48"/>
  <c r="K2237" i="48"/>
  <c r="J2244" i="48"/>
  <c r="J2232" i="48"/>
  <c r="K2232" i="48"/>
  <c r="K2221" i="48"/>
  <c r="C612" i="47"/>
  <c r="C89" i="47"/>
  <c r="C91" i="47"/>
  <c r="C868" i="47"/>
  <c r="C454" i="47"/>
  <c r="K2244" i="48"/>
  <c r="J2245" i="48"/>
  <c r="K2245" i="48"/>
  <c r="G907" i="44"/>
  <c r="I203" i="47"/>
  <c r="C907" i="44"/>
  <c r="J203" i="47"/>
  <c r="F972" i="44"/>
  <c r="G972" i="44"/>
  <c r="I366" i="47"/>
  <c r="C972" i="44"/>
  <c r="J366" i="47"/>
  <c r="F901" i="44"/>
  <c r="E901" i="44"/>
  <c r="C901" i="44"/>
  <c r="J1089" i="47"/>
  <c r="N2986" i="24"/>
  <c r="N2987" i="24"/>
  <c r="N2988" i="24"/>
  <c r="N2989" i="24"/>
  <c r="N2990" i="24"/>
  <c r="N2991" i="24"/>
  <c r="N2992" i="24"/>
  <c r="N2993" i="24"/>
  <c r="N2994" i="24"/>
  <c r="N2995" i="24"/>
  <c r="N2960" i="24"/>
  <c r="N2961" i="24"/>
  <c r="N2975" i="24"/>
  <c r="E3260" i="24"/>
  <c r="I3255" i="24"/>
  <c r="G3260" i="24"/>
  <c r="B3184" i="24"/>
  <c r="K2189" i="24"/>
  <c r="I2175" i="24"/>
  <c r="I2089" i="24"/>
  <c r="K2178" i="24"/>
  <c r="V255" i="45"/>
  <c r="V651" i="45"/>
  <c r="F651" i="45"/>
  <c r="F648" i="45"/>
  <c r="D657" i="45"/>
  <c r="I543" i="45"/>
  <c r="I887" i="51"/>
  <c r="K887" i="51"/>
  <c r="I2066" i="24"/>
  <c r="V734" i="45"/>
  <c r="E255" i="45"/>
  <c r="I255" i="45"/>
  <c r="I384" i="51"/>
  <c r="K384" i="51"/>
  <c r="G901" i="44"/>
  <c r="I1089" i="47"/>
  <c r="F464" i="45"/>
  <c r="I464" i="45"/>
  <c r="I756" i="51"/>
  <c r="K756" i="51"/>
  <c r="U645" i="45"/>
  <c r="K2941" i="24"/>
  <c r="K2942" i="24"/>
  <c r="F911" i="44"/>
  <c r="E911" i="44"/>
  <c r="F603" i="45"/>
  <c r="I603" i="45"/>
  <c r="I984" i="51"/>
  <c r="K984" i="51"/>
  <c r="T356" i="45"/>
  <c r="E356" i="45"/>
  <c r="E357" i="45"/>
  <c r="D467" i="44"/>
  <c r="E409" i="45"/>
  <c r="T710" i="45"/>
  <c r="F710" i="45"/>
  <c r="E467" i="44"/>
  <c r="G467" i="44"/>
  <c r="I409" i="45"/>
  <c r="I655" i="51"/>
  <c r="K655" i="51"/>
  <c r="U641" i="45"/>
  <c r="F641" i="45"/>
  <c r="E645" i="45"/>
  <c r="E466" i="44"/>
  <c r="G466" i="44"/>
  <c r="I2942" i="24"/>
  <c r="I357" i="45"/>
  <c r="E465" i="44"/>
  <c r="G465" i="44"/>
  <c r="I2943" i="24"/>
  <c r="I356" i="45"/>
  <c r="U734" i="45"/>
  <c r="T734" i="45"/>
  <c r="I613" i="24"/>
  <c r="K613" i="24"/>
  <c r="G622" i="24"/>
  <c r="K622" i="24"/>
  <c r="G621" i="24"/>
  <c r="K621" i="24"/>
  <c r="G615" i="24"/>
  <c r="K615" i="24"/>
  <c r="K614" i="24"/>
  <c r="K617" i="24"/>
  <c r="K618" i="24"/>
  <c r="K619" i="24"/>
  <c r="K620" i="24"/>
  <c r="K612" i="24"/>
  <c r="I2941" i="24"/>
  <c r="I1425" i="47"/>
  <c r="G364" i="6"/>
  <c r="I364" i="6"/>
  <c r="G284" i="6"/>
  <c r="E284" i="6"/>
  <c r="N319" i="6"/>
  <c r="C315" i="6"/>
  <c r="E309" i="6"/>
  <c r="C309" i="6"/>
  <c r="F786" i="44"/>
  <c r="F787" i="44"/>
  <c r="F788" i="44"/>
  <c r="F789" i="44"/>
  <c r="F791" i="44"/>
  <c r="F792" i="44"/>
  <c r="F793" i="44"/>
  <c r="F794" i="44"/>
  <c r="F795" i="44"/>
  <c r="F796" i="44"/>
  <c r="F797" i="44"/>
  <c r="F798" i="44"/>
  <c r="F799" i="44"/>
  <c r="F800" i="44"/>
  <c r="F801" i="44"/>
  <c r="F802" i="44"/>
  <c r="F803" i="44"/>
  <c r="F804" i="44"/>
  <c r="F805" i="44"/>
  <c r="F806" i="44"/>
  <c r="F807" i="44"/>
  <c r="F809" i="44"/>
  <c r="F810" i="44"/>
  <c r="F811" i="44"/>
  <c r="F812" i="44"/>
  <c r="F813" i="44"/>
  <c r="F814" i="44"/>
  <c r="F815" i="44"/>
  <c r="F822" i="44"/>
  <c r="F823" i="44"/>
  <c r="F824" i="44"/>
  <c r="F832" i="44"/>
  <c r="F834" i="44"/>
  <c r="F835" i="44"/>
  <c r="F836" i="44"/>
  <c r="E286" i="43"/>
  <c r="F37" i="45"/>
  <c r="F485" i="44"/>
  <c r="F312" i="45"/>
  <c r="F514" i="44"/>
  <c r="F314" i="45"/>
  <c r="F493" i="44"/>
  <c r="F466" i="45"/>
  <c r="F521" i="44"/>
  <c r="F562" i="45"/>
  <c r="F524" i="44"/>
  <c r="S734" i="45"/>
  <c r="E571" i="45"/>
  <c r="D286" i="43"/>
  <c r="R734" i="45"/>
  <c r="E30" i="45"/>
  <c r="E37" i="45"/>
  <c r="E107" i="45"/>
  <c r="E117" i="45"/>
  <c r="E118" i="45"/>
  <c r="E158" i="45"/>
  <c r="E178" i="45"/>
  <c r="E182" i="45"/>
  <c r="E242" i="45"/>
  <c r="E254" i="45"/>
  <c r="E284" i="45"/>
  <c r="E312" i="45"/>
  <c r="E314" i="45"/>
  <c r="E350" i="45"/>
  <c r="E358" i="45"/>
  <c r="E466" i="45"/>
  <c r="E498" i="45"/>
  <c r="E528" i="45"/>
  <c r="E562" i="45"/>
  <c r="E569" i="45"/>
  <c r="E598" i="45"/>
  <c r="I3211" i="24"/>
  <c r="K3569" i="24"/>
  <c r="C509" i="44"/>
  <c r="J539" i="47"/>
  <c r="C510" i="44"/>
  <c r="J798" i="47"/>
  <c r="C512" i="44"/>
  <c r="J911" i="47"/>
  <c r="C514" i="44"/>
  <c r="J1035" i="47"/>
  <c r="C515" i="44"/>
  <c r="J1196" i="47"/>
  <c r="C516" i="44"/>
  <c r="J1272" i="47"/>
  <c r="C518" i="44"/>
  <c r="J1379" i="47"/>
  <c r="C521" i="44"/>
  <c r="J1697" i="47"/>
  <c r="C524" i="44"/>
  <c r="J1993" i="47"/>
  <c r="D972" i="46"/>
  <c r="B800" i="46"/>
  <c r="B797" i="46"/>
  <c r="C525" i="44"/>
  <c r="J2094" i="47"/>
  <c r="B768" i="46"/>
  <c r="B760" i="46"/>
  <c r="B731" i="46"/>
  <c r="B726" i="46"/>
  <c r="C523" i="44"/>
  <c r="J1889" i="47"/>
  <c r="B690" i="46"/>
  <c r="C522" i="44"/>
  <c r="J1794" i="47"/>
  <c r="B657" i="46"/>
  <c r="B650" i="46"/>
  <c r="B603" i="46"/>
  <c r="B570" i="46"/>
  <c r="B538" i="46"/>
  <c r="B514" i="46"/>
  <c r="B493" i="46"/>
  <c r="B487" i="46"/>
  <c r="B435" i="46"/>
  <c r="B432" i="46"/>
  <c r="B414" i="46"/>
  <c r="B392" i="46"/>
  <c r="B349" i="46"/>
  <c r="B333" i="46"/>
  <c r="C511" i="44"/>
  <c r="J800" i="47"/>
  <c r="B230" i="46"/>
  <c r="B201" i="46"/>
  <c r="B197" i="46"/>
  <c r="B151" i="46"/>
  <c r="B150" i="46"/>
  <c r="B136" i="46"/>
  <c r="B135" i="46"/>
  <c r="B42" i="46"/>
  <c r="B34" i="46"/>
  <c r="C734" i="45"/>
  <c r="H734" i="45"/>
  <c r="E287" i="43"/>
  <c r="D287" i="43"/>
  <c r="I955" i="6"/>
  <c r="K809" i="6"/>
  <c r="I837" i="6"/>
  <c r="I612" i="6"/>
  <c r="G612" i="6"/>
  <c r="E612" i="6"/>
  <c r="C612" i="6"/>
  <c r="C696" i="6"/>
  <c r="C698" i="6"/>
  <c r="E521" i="44"/>
  <c r="I466" i="45"/>
  <c r="I763" i="51"/>
  <c r="K763" i="51"/>
  <c r="E489" i="44"/>
  <c r="I182" i="45"/>
  <c r="I257" i="51"/>
  <c r="K257" i="51"/>
  <c r="E493" i="44"/>
  <c r="I314" i="45"/>
  <c r="I492" i="51"/>
  <c r="K492" i="51"/>
  <c r="E524" i="44"/>
  <c r="I562" i="45"/>
  <c r="I916" i="51"/>
  <c r="K916" i="51"/>
  <c r="E491" i="44"/>
  <c r="I284" i="45"/>
  <c r="I439" i="51"/>
  <c r="K439" i="51"/>
  <c r="E506" i="44"/>
  <c r="I107" i="45"/>
  <c r="I151" i="51"/>
  <c r="K151" i="51"/>
  <c r="E494" i="44"/>
  <c r="I358" i="45"/>
  <c r="I559" i="51"/>
  <c r="K559" i="51"/>
  <c r="E509" i="44"/>
  <c r="I178" i="45"/>
  <c r="I252" i="51"/>
  <c r="K252" i="51"/>
  <c r="E515" i="44"/>
  <c r="I350" i="45"/>
  <c r="I552" i="51"/>
  <c r="K552" i="51"/>
  <c r="E488" i="44"/>
  <c r="I158" i="45"/>
  <c r="I227" i="51"/>
  <c r="K227" i="51"/>
  <c r="E525" i="44"/>
  <c r="I598" i="45"/>
  <c r="I968" i="51"/>
  <c r="K968" i="51"/>
  <c r="E487" i="44"/>
  <c r="I118" i="45"/>
  <c r="I167" i="51"/>
  <c r="K167" i="51"/>
  <c r="E502" i="44"/>
  <c r="I569" i="45"/>
  <c r="I927" i="51"/>
  <c r="K927" i="51"/>
  <c r="E514" i="44"/>
  <c r="I312" i="45"/>
  <c r="I487" i="51"/>
  <c r="K487" i="51"/>
  <c r="E486" i="44"/>
  <c r="I117" i="45"/>
  <c r="I166" i="51"/>
  <c r="K166" i="51"/>
  <c r="E523" i="44"/>
  <c r="I528" i="45"/>
  <c r="I865" i="51"/>
  <c r="K865" i="51"/>
  <c r="E490" i="44"/>
  <c r="I254" i="45"/>
  <c r="I382" i="51"/>
  <c r="K382" i="51"/>
  <c r="E485" i="44"/>
  <c r="I37" i="45"/>
  <c r="I44" i="51"/>
  <c r="K44" i="51"/>
  <c r="E522" i="44"/>
  <c r="I498" i="45"/>
  <c r="I817" i="51"/>
  <c r="K817" i="51"/>
  <c r="E511" i="44"/>
  <c r="I242" i="45"/>
  <c r="I366" i="51"/>
  <c r="K366" i="51"/>
  <c r="E504" i="44"/>
  <c r="I30" i="45"/>
  <c r="I35" i="51"/>
  <c r="K35" i="51"/>
  <c r="C288" i="43"/>
  <c r="K17" i="6"/>
  <c r="E288" i="43"/>
  <c r="D288" i="43"/>
  <c r="I273" i="6"/>
  <c r="G273" i="6"/>
  <c r="E273" i="6"/>
  <c r="C273" i="6"/>
  <c r="I267" i="6"/>
  <c r="G267" i="6"/>
  <c r="E267" i="6"/>
  <c r="C267" i="6"/>
  <c r="I261" i="6"/>
  <c r="G261" i="6"/>
  <c r="E261" i="6"/>
  <c r="C261" i="6"/>
  <c r="I255" i="6"/>
  <c r="G255" i="6"/>
  <c r="E255" i="6"/>
  <c r="C255" i="6"/>
  <c r="C285" i="6"/>
  <c r="F140" i="45"/>
  <c r="I140" i="45"/>
  <c r="I198" i="51"/>
  <c r="K198" i="51"/>
  <c r="F142" i="45"/>
  <c r="I142" i="45"/>
  <c r="I203" i="51"/>
  <c r="K203" i="51"/>
  <c r="F267" i="45"/>
  <c r="F602" i="45"/>
  <c r="F650" i="45"/>
  <c r="E136" i="43"/>
  <c r="Q645" i="45"/>
  <c r="F645" i="45"/>
  <c r="F581" i="45"/>
  <c r="Q481" i="45"/>
  <c r="P653" i="45"/>
  <c r="P654" i="45"/>
  <c r="D654" i="45"/>
  <c r="P655" i="45"/>
  <c r="D655" i="45"/>
  <c r="P656" i="45"/>
  <c r="D656" i="45"/>
  <c r="P658" i="45"/>
  <c r="D658" i="45"/>
  <c r="P659" i="45"/>
  <c r="D659" i="45"/>
  <c r="O729" i="45"/>
  <c r="I3206" i="24"/>
  <c r="Q734" i="45"/>
  <c r="F816" i="44"/>
  <c r="I602" i="45"/>
  <c r="I982" i="51"/>
  <c r="K982" i="51"/>
  <c r="F828" i="44"/>
  <c r="I267" i="45"/>
  <c r="I399" i="51"/>
  <c r="K399" i="51"/>
  <c r="P608" i="45"/>
  <c r="I3210" i="24"/>
  <c r="K3575" i="24"/>
  <c r="F818" i="44"/>
  <c r="I581" i="45"/>
  <c r="I943" i="51"/>
  <c r="K943" i="51"/>
  <c r="D729" i="45"/>
  <c r="D653" i="45"/>
  <c r="F481" i="45"/>
  <c r="F817" i="44"/>
  <c r="F711" i="45"/>
  <c r="I711" i="45"/>
  <c r="I1142" i="51"/>
  <c r="K1142" i="51"/>
  <c r="N720" i="45"/>
  <c r="N719" i="45"/>
  <c r="N722" i="45"/>
  <c r="F722" i="45"/>
  <c r="N723" i="45"/>
  <c r="F723" i="45"/>
  <c r="N714" i="45"/>
  <c r="F714" i="45"/>
  <c r="N718" i="45"/>
  <c r="E718" i="45"/>
  <c r="I718" i="45"/>
  <c r="I1150" i="51"/>
  <c r="K1150" i="51"/>
  <c r="E495" i="45"/>
  <c r="M712" i="45"/>
  <c r="E723" i="45"/>
  <c r="E722" i="45"/>
  <c r="E716" i="45"/>
  <c r="I716" i="45"/>
  <c r="I1148" i="51"/>
  <c r="K1148" i="51"/>
  <c r="F630" i="45"/>
  <c r="I630" i="45"/>
  <c r="I1014" i="51"/>
  <c r="K1014" i="51"/>
  <c r="L734" i="45"/>
  <c r="I534" i="45"/>
  <c r="I571" i="45"/>
  <c r="I606" i="45"/>
  <c r="I986" i="51"/>
  <c r="K986" i="51"/>
  <c r="I607" i="45"/>
  <c r="I988" i="51"/>
  <c r="K988" i="51"/>
  <c r="I609" i="45"/>
  <c r="I990" i="51"/>
  <c r="K990" i="51"/>
  <c r="I610" i="45"/>
  <c r="I611" i="45"/>
  <c r="I992" i="51"/>
  <c r="K992" i="51"/>
  <c r="I612" i="45"/>
  <c r="I993" i="51"/>
  <c r="K993" i="51"/>
  <c r="I613" i="45"/>
  <c r="I994" i="51"/>
  <c r="K994" i="51"/>
  <c r="I615" i="45"/>
  <c r="I996" i="51"/>
  <c r="K996" i="51"/>
  <c r="I616" i="45"/>
  <c r="I997" i="51"/>
  <c r="K997" i="51"/>
  <c r="I617" i="45"/>
  <c r="I998" i="51"/>
  <c r="K998" i="51"/>
  <c r="I618" i="45"/>
  <c r="I999" i="51"/>
  <c r="K999" i="51"/>
  <c r="I619" i="45"/>
  <c r="I1000" i="51"/>
  <c r="K1000" i="51"/>
  <c r="I620" i="45"/>
  <c r="I1002" i="51"/>
  <c r="K1002" i="51"/>
  <c r="I621" i="45"/>
  <c r="I1003" i="51"/>
  <c r="K1003" i="51"/>
  <c r="I622" i="45"/>
  <c r="I1004" i="51"/>
  <c r="K1004" i="51"/>
  <c r="I623" i="45"/>
  <c r="I1005" i="51"/>
  <c r="K1005" i="51"/>
  <c r="I624" i="45"/>
  <c r="I1006" i="51"/>
  <c r="K1006" i="51"/>
  <c r="I625" i="45"/>
  <c r="I1008" i="51"/>
  <c r="K1008" i="51"/>
  <c r="I626" i="45"/>
  <c r="I1009" i="51"/>
  <c r="K1009" i="51"/>
  <c r="I627" i="45"/>
  <c r="I1011" i="51"/>
  <c r="K1011" i="51"/>
  <c r="I1012" i="51"/>
  <c r="K1012" i="51"/>
  <c r="I629" i="45"/>
  <c r="I1013" i="51"/>
  <c r="K1013" i="51"/>
  <c r="I631" i="45"/>
  <c r="I1016" i="51"/>
  <c r="K1016" i="51"/>
  <c r="I632" i="45"/>
  <c r="I1021" i="51"/>
  <c r="K1021" i="51"/>
  <c r="I633" i="45"/>
  <c r="I1022" i="51"/>
  <c r="K1022" i="51"/>
  <c r="I634" i="45"/>
  <c r="I1023" i="51"/>
  <c r="K1023" i="51"/>
  <c r="I635" i="45"/>
  <c r="I1024" i="51"/>
  <c r="K1024" i="51"/>
  <c r="I636" i="45"/>
  <c r="I637" i="45"/>
  <c r="I1026" i="51"/>
  <c r="K1026" i="51"/>
  <c r="I638" i="45"/>
  <c r="I1028" i="51"/>
  <c r="K1028" i="51"/>
  <c r="I639" i="45"/>
  <c r="I1029" i="51"/>
  <c r="K1029" i="51"/>
  <c r="I641" i="45"/>
  <c r="I1031" i="51"/>
  <c r="K1031" i="51"/>
  <c r="I642" i="45"/>
  <c r="I643" i="45"/>
  <c r="I1033" i="51"/>
  <c r="K1033" i="51"/>
  <c r="I644" i="45"/>
  <c r="I1034" i="51"/>
  <c r="K1034" i="51"/>
  <c r="I646" i="45"/>
  <c r="I1037" i="51"/>
  <c r="K1037" i="51"/>
  <c r="I647" i="45"/>
  <c r="I1038" i="51"/>
  <c r="K1038" i="51"/>
  <c r="I648" i="45"/>
  <c r="I1039" i="51"/>
  <c r="K1039" i="51"/>
  <c r="I649" i="45"/>
  <c r="I1040" i="51"/>
  <c r="K1040" i="51"/>
  <c r="I650" i="45"/>
  <c r="I651" i="45"/>
  <c r="I1042" i="51"/>
  <c r="K1042" i="51"/>
  <c r="I652" i="45"/>
  <c r="I1043" i="51"/>
  <c r="K1043" i="51"/>
  <c r="I654" i="45"/>
  <c r="I1045" i="51"/>
  <c r="K1045" i="51"/>
  <c r="I655" i="45"/>
  <c r="I1046" i="51"/>
  <c r="K1046" i="51"/>
  <c r="I656" i="45"/>
  <c r="I1047" i="51"/>
  <c r="K1047" i="51"/>
  <c r="I657" i="45"/>
  <c r="I1048" i="51"/>
  <c r="K1048" i="51"/>
  <c r="I658" i="45"/>
  <c r="I1049" i="51"/>
  <c r="K1049" i="51"/>
  <c r="I659" i="45"/>
  <c r="I1050" i="51"/>
  <c r="K1050" i="51"/>
  <c r="I660" i="45"/>
  <c r="I661" i="45"/>
  <c r="I662" i="45"/>
  <c r="I663" i="45"/>
  <c r="I664" i="45"/>
  <c r="I1055" i="51"/>
  <c r="K1055" i="51"/>
  <c r="I665" i="45"/>
  <c r="I667" i="45"/>
  <c r="I669" i="45"/>
  <c r="I1060" i="51"/>
  <c r="K1060" i="51"/>
  <c r="I670" i="45"/>
  <c r="I1062" i="51"/>
  <c r="K1062" i="51"/>
  <c r="I671" i="45"/>
  <c r="I1064" i="51"/>
  <c r="K1064" i="51"/>
  <c r="I672" i="45"/>
  <c r="I1066" i="51"/>
  <c r="K1066" i="51"/>
  <c r="I674" i="45"/>
  <c r="I675" i="45"/>
  <c r="I676" i="45"/>
  <c r="I695" i="45"/>
  <c r="I696" i="45"/>
  <c r="I697" i="45"/>
  <c r="I698" i="45"/>
  <c r="I702" i="45"/>
  <c r="I703" i="45"/>
  <c r="I704" i="45"/>
  <c r="I705" i="45"/>
  <c r="I706" i="45"/>
  <c r="I707" i="45"/>
  <c r="I708" i="45"/>
  <c r="I1136" i="51"/>
  <c r="K1136" i="51"/>
  <c r="I709" i="45"/>
  <c r="I1137" i="51"/>
  <c r="K1137" i="51"/>
  <c r="I710" i="45"/>
  <c r="I1138" i="51"/>
  <c r="K1138" i="51"/>
  <c r="I713" i="45"/>
  <c r="I1145" i="51"/>
  <c r="K1145" i="51"/>
  <c r="I715" i="45"/>
  <c r="I1147" i="51"/>
  <c r="K1147" i="51"/>
  <c r="I717" i="45"/>
  <c r="I1149" i="51"/>
  <c r="K1149" i="51"/>
  <c r="I721" i="45"/>
  <c r="I1153" i="51"/>
  <c r="K1153" i="51"/>
  <c r="I724" i="45"/>
  <c r="I1158" i="51"/>
  <c r="K1158" i="51"/>
  <c r="I725" i="45"/>
  <c r="I1162" i="51"/>
  <c r="K1162" i="51"/>
  <c r="I726" i="45"/>
  <c r="I1164" i="51"/>
  <c r="K1164" i="51"/>
  <c r="I728" i="45"/>
  <c r="I1166" i="51"/>
  <c r="K1166" i="51"/>
  <c r="I730" i="45"/>
  <c r="I1168" i="51"/>
  <c r="K1168" i="51"/>
  <c r="I731" i="45"/>
  <c r="I1169" i="51"/>
  <c r="K1169" i="51"/>
  <c r="I732" i="45"/>
  <c r="I1170" i="51"/>
  <c r="K1170" i="51"/>
  <c r="I733" i="45"/>
  <c r="I1171" i="51"/>
  <c r="K1171" i="51"/>
  <c r="G22" i="45"/>
  <c r="G23" i="45"/>
  <c r="G24" i="45"/>
  <c r="G25" i="45"/>
  <c r="G26" i="45"/>
  <c r="G27" i="45"/>
  <c r="G29" i="45"/>
  <c r="G30" i="45"/>
  <c r="G31" i="45"/>
  <c r="G32" i="45"/>
  <c r="G33" i="45"/>
  <c r="G34" i="45"/>
  <c r="G35" i="45"/>
  <c r="G36" i="45"/>
  <c r="G6" i="45"/>
  <c r="G7" i="45"/>
  <c r="G8" i="45"/>
  <c r="G9" i="45"/>
  <c r="G10" i="45"/>
  <c r="G11" i="45"/>
  <c r="G12" i="45"/>
  <c r="G13" i="45"/>
  <c r="G14" i="45"/>
  <c r="G15" i="45"/>
  <c r="G16" i="45"/>
  <c r="G17" i="45"/>
  <c r="G18" i="45"/>
  <c r="G19" i="45"/>
  <c r="G20" i="45"/>
  <c r="G21" i="45"/>
  <c r="G4" i="45"/>
  <c r="G5" i="45"/>
  <c r="G3" i="45"/>
  <c r="F20" i="43"/>
  <c r="I1131" i="51"/>
  <c r="K1131" i="51"/>
  <c r="F195" i="43"/>
  <c r="I1068" i="51"/>
  <c r="K1068" i="51"/>
  <c r="F19" i="43"/>
  <c r="I1130" i="51"/>
  <c r="K1130" i="51"/>
  <c r="E719" i="45"/>
  <c r="I719" i="45"/>
  <c r="I1151" i="51"/>
  <c r="K1151" i="51"/>
  <c r="F236" i="43"/>
  <c r="I1107" i="51"/>
  <c r="K1107" i="51"/>
  <c r="F234" i="43"/>
  <c r="I1105" i="51"/>
  <c r="K1105" i="51"/>
  <c r="M577" i="45"/>
  <c r="E577" i="45"/>
  <c r="I577" i="45"/>
  <c r="I938" i="51"/>
  <c r="K938" i="51"/>
  <c r="F712" i="45"/>
  <c r="I1144" i="51"/>
  <c r="K1144" i="51"/>
  <c r="F23" i="43"/>
  <c r="I5012" i="24"/>
  <c r="I1134" i="51"/>
  <c r="K1134" i="51"/>
  <c r="F230" i="43"/>
  <c r="I1101" i="51"/>
  <c r="K1101" i="51"/>
  <c r="F18" i="43"/>
  <c r="I1135" i="51"/>
  <c r="K1135" i="51"/>
  <c r="F232" i="43"/>
  <c r="I1103" i="51"/>
  <c r="K1103" i="51"/>
  <c r="F22" i="43"/>
  <c r="I1133" i="51"/>
  <c r="K1133" i="51"/>
  <c r="F203" i="43"/>
  <c r="I1076" i="51"/>
  <c r="K1076" i="51"/>
  <c r="E720" i="45"/>
  <c r="I720" i="45"/>
  <c r="I1152" i="51"/>
  <c r="K1152" i="51"/>
  <c r="F21" i="43"/>
  <c r="I1132" i="51"/>
  <c r="K1132" i="51"/>
  <c r="F201" i="43"/>
  <c r="I1074" i="51"/>
  <c r="K1074" i="51"/>
  <c r="I991" i="51"/>
  <c r="K991" i="51"/>
  <c r="F209" i="43"/>
  <c r="I1053" i="51"/>
  <c r="K1053" i="51"/>
  <c r="F210" i="43"/>
  <c r="I1052" i="51"/>
  <c r="K1052" i="51"/>
  <c r="F287" i="43"/>
  <c r="I875" i="51"/>
  <c r="K875" i="51"/>
  <c r="F170" i="43"/>
  <c r="I1056" i="51"/>
  <c r="K1056" i="51"/>
  <c r="F294" i="43"/>
  <c r="F295" i="43"/>
  <c r="I1032" i="51"/>
  <c r="K1032" i="51"/>
  <c r="F286" i="43"/>
  <c r="I930" i="51"/>
  <c r="K930" i="51"/>
  <c r="F208" i="43"/>
  <c r="I1051" i="51"/>
  <c r="K1051" i="51"/>
  <c r="F136" i="43"/>
  <c r="I1041" i="51"/>
  <c r="K1041" i="51"/>
  <c r="F172" i="43"/>
  <c r="I1058" i="51"/>
  <c r="K1058" i="51"/>
  <c r="F211" i="43"/>
  <c r="I1054" i="51"/>
  <c r="K1054" i="51"/>
  <c r="F124" i="43"/>
  <c r="I1025" i="51"/>
  <c r="K1025" i="51"/>
  <c r="E26" i="44"/>
  <c r="I495" i="45"/>
  <c r="I807" i="51"/>
  <c r="K807" i="51"/>
  <c r="F833" i="44"/>
  <c r="I481" i="45"/>
  <c r="I789" i="51"/>
  <c r="K789" i="51"/>
  <c r="I5013" i="24"/>
  <c r="J10" i="16"/>
  <c r="N734" i="45"/>
  <c r="I722" i="45"/>
  <c r="I1154" i="51"/>
  <c r="K1154" i="51"/>
  <c r="G734" i="45"/>
  <c r="I723" i="45"/>
  <c r="I1155" i="51"/>
  <c r="K1155" i="51"/>
  <c r="I645" i="45"/>
  <c r="I1036" i="51"/>
  <c r="K1036" i="51"/>
  <c r="I714" i="45"/>
  <c r="I1146" i="51"/>
  <c r="K1146" i="51"/>
  <c r="I4125" i="24"/>
  <c r="I4179" i="24"/>
  <c r="I4178" i="24"/>
  <c r="I4177" i="24"/>
  <c r="I4176" i="24"/>
  <c r="I4175" i="24"/>
  <c r="I4174" i="24"/>
  <c r="G4165" i="24"/>
  <c r="G4166" i="24"/>
  <c r="G4167" i="24"/>
  <c r="I5011" i="24"/>
  <c r="I893" i="6"/>
  <c r="I904" i="6"/>
  <c r="I922" i="6"/>
  <c r="M734" i="45"/>
  <c r="F288" i="43"/>
  <c r="I17" i="6"/>
  <c r="F734" i="45"/>
  <c r="E23" i="44"/>
  <c r="K4155" i="24"/>
  <c r="I4155" i="24"/>
  <c r="K4154" i="24"/>
  <c r="I4154" i="24"/>
  <c r="I4151" i="24"/>
  <c r="K4153" i="24"/>
  <c r="I4153" i="24"/>
  <c r="K4152" i="24"/>
  <c r="I4152" i="24"/>
  <c r="G4152" i="24"/>
  <c r="K4151" i="24"/>
  <c r="K4150" i="24"/>
  <c r="I4150" i="24"/>
  <c r="G4153" i="24"/>
  <c r="G4154" i="24"/>
  <c r="G4150" i="24"/>
  <c r="G4155" i="24"/>
  <c r="I4158" i="24"/>
  <c r="G4151" i="24"/>
  <c r="B3445" i="24"/>
  <c r="B3438" i="24"/>
  <c r="K3438" i="24"/>
  <c r="B3414" i="24"/>
  <c r="B3407" i="24"/>
  <c r="D855" i="44"/>
  <c r="K2298" i="24"/>
  <c r="K2296" i="24"/>
  <c r="K2070" i="24"/>
  <c r="G855" i="44"/>
  <c r="I1938" i="47"/>
  <c r="G577" i="44"/>
  <c r="I1870" i="47"/>
  <c r="C577" i="44"/>
  <c r="J1870" i="47"/>
  <c r="J1872" i="47"/>
  <c r="K374" i="6"/>
  <c r="G818" i="44"/>
  <c r="C818" i="44"/>
  <c r="J1927" i="47"/>
  <c r="J1928" i="47"/>
  <c r="I2156" i="24"/>
  <c r="I1927" i="47"/>
  <c r="I1928" i="47"/>
  <c r="K2156" i="24"/>
  <c r="K2096" i="24"/>
  <c r="D780" i="44"/>
  <c r="G779" i="44"/>
  <c r="I1883" i="47"/>
  <c r="G778" i="44"/>
  <c r="I1530" i="47"/>
  <c r="E777" i="44"/>
  <c r="G777" i="44"/>
  <c r="I1033" i="47"/>
  <c r="G776" i="44"/>
  <c r="I973" i="47"/>
  <c r="C776" i="44"/>
  <c r="J973" i="47"/>
  <c r="F775" i="44"/>
  <c r="E775" i="44"/>
  <c r="C775" i="44"/>
  <c r="J597" i="47"/>
  <c r="G774" i="44"/>
  <c r="I356" i="47"/>
  <c r="C774" i="44"/>
  <c r="J356" i="47"/>
  <c r="G773" i="44"/>
  <c r="I62" i="47"/>
  <c r="C469" i="44"/>
  <c r="J350" i="47"/>
  <c r="G468" i="44"/>
  <c r="I772" i="47"/>
  <c r="C468" i="44"/>
  <c r="J772" i="47"/>
  <c r="G772" i="44"/>
  <c r="I2008" i="47"/>
  <c r="C772" i="44"/>
  <c r="J2008" i="47"/>
  <c r="G771" i="44"/>
  <c r="I1710" i="47"/>
  <c r="F770" i="44"/>
  <c r="E770" i="44"/>
  <c r="C770" i="44"/>
  <c r="J1341" i="47"/>
  <c r="G769" i="44"/>
  <c r="I923" i="47"/>
  <c r="C769" i="44"/>
  <c r="J923" i="47"/>
  <c r="F768" i="44"/>
  <c r="E768" i="44"/>
  <c r="C768" i="44"/>
  <c r="J838" i="47"/>
  <c r="F767" i="44"/>
  <c r="E767" i="44"/>
  <c r="C767" i="44"/>
  <c r="J416" i="47"/>
  <c r="F766" i="44"/>
  <c r="E766" i="44"/>
  <c r="C766" i="44"/>
  <c r="J132" i="47"/>
  <c r="G765" i="44"/>
  <c r="I2100" i="47"/>
  <c r="G764" i="44"/>
  <c r="I834" i="47"/>
  <c r="F763" i="44"/>
  <c r="E763" i="44"/>
  <c r="C763" i="44"/>
  <c r="J412" i="47"/>
  <c r="K2868" i="24"/>
  <c r="G775" i="44"/>
  <c r="C780" i="44"/>
  <c r="K2936" i="24"/>
  <c r="F780" i="44"/>
  <c r="K2870" i="24"/>
  <c r="E780" i="44"/>
  <c r="G763" i="44"/>
  <c r="I412" i="47"/>
  <c r="G766" i="44"/>
  <c r="I132" i="47"/>
  <c r="K2867" i="24"/>
  <c r="G469" i="44"/>
  <c r="G768" i="44"/>
  <c r="I838" i="47"/>
  <c r="G767" i="44"/>
  <c r="I416" i="47"/>
  <c r="G770" i="44"/>
  <c r="I1341" i="47"/>
  <c r="F275" i="43"/>
  <c r="F281" i="43"/>
  <c r="F174" i="43"/>
  <c r="F183" i="43"/>
  <c r="F145" i="43"/>
  <c r="F117" i="43"/>
  <c r="I1166" i="24"/>
  <c r="F122" i="43"/>
  <c r="F93" i="43"/>
  <c r="F79" i="43"/>
  <c r="F49" i="43"/>
  <c r="F8" i="43"/>
  <c r="F184" i="43"/>
  <c r="F181" i="43"/>
  <c r="F9" i="43"/>
  <c r="F6" i="43"/>
  <c r="F274" i="43"/>
  <c r="I1423" i="24"/>
  <c r="F266" i="43"/>
  <c r="H266" i="43"/>
  <c r="F276" i="43"/>
  <c r="F278" i="43"/>
  <c r="F279" i="43"/>
  <c r="F280" i="43"/>
  <c r="F265" i="43"/>
  <c r="F69" i="43"/>
  <c r="F70" i="43"/>
  <c r="F105" i="43"/>
  <c r="F106" i="43"/>
  <c r="F107" i="43"/>
  <c r="F115" i="43"/>
  <c r="I1164" i="24"/>
  <c r="F267" i="43"/>
  <c r="F73" i="43"/>
  <c r="F118" i="43"/>
  <c r="F119" i="43"/>
  <c r="F78" i="43"/>
  <c r="I1167" i="24"/>
  <c r="F120" i="43"/>
  <c r="F81" i="43"/>
  <c r="F121" i="43"/>
  <c r="F16" i="43"/>
  <c r="F17" i="43"/>
  <c r="F123" i="43"/>
  <c r="F133" i="43"/>
  <c r="F134" i="43"/>
  <c r="F135" i="43"/>
  <c r="F137" i="43"/>
  <c r="F138" i="43"/>
  <c r="F140" i="43"/>
  <c r="F141" i="43"/>
  <c r="F142" i="43"/>
  <c r="F143" i="43"/>
  <c r="F144" i="43"/>
  <c r="F24" i="43"/>
  <c r="F176" i="43"/>
  <c r="F191" i="43"/>
  <c r="F193" i="43"/>
  <c r="F162" i="43"/>
  <c r="F35" i="43"/>
  <c r="F36" i="43"/>
  <c r="F152" i="43"/>
  <c r="F156" i="43"/>
  <c r="F43" i="43"/>
  <c r="F54" i="43"/>
  <c r="F44" i="43"/>
  <c r="F45" i="43"/>
  <c r="G101" i="6"/>
  <c r="I248" i="6"/>
  <c r="I284" i="6"/>
  <c r="F46" i="43"/>
  <c r="F47" i="43"/>
  <c r="F48" i="43"/>
  <c r="F61" i="43"/>
  <c r="F50" i="43"/>
  <c r="F51" i="43"/>
  <c r="F52" i="43"/>
  <c r="F53" i="43"/>
  <c r="F94" i="43"/>
  <c r="F83" i="43"/>
  <c r="F85" i="43"/>
  <c r="F98" i="43"/>
  <c r="I883" i="6"/>
  <c r="F25" i="43"/>
  <c r="F26" i="43"/>
  <c r="F27" i="43"/>
  <c r="F28" i="43"/>
  <c r="C236" i="43"/>
  <c r="C6" i="43"/>
  <c r="I1422" i="24"/>
  <c r="I2936" i="24"/>
  <c r="I350" i="47"/>
  <c r="I2868" i="24"/>
  <c r="I597" i="47"/>
  <c r="F29" i="43"/>
  <c r="I882" i="6"/>
  <c r="I884" i="6"/>
  <c r="J14" i="1"/>
  <c r="G37" i="43"/>
  <c r="F259" i="43"/>
  <c r="F99" i="43"/>
  <c r="F282" i="43"/>
  <c r="F109" i="43"/>
  <c r="F55" i="43"/>
  <c r="F37" i="43"/>
  <c r="F87" i="43"/>
  <c r="F127" i="43"/>
  <c r="F268" i="43"/>
  <c r="G780" i="44"/>
  <c r="I2870" i="24"/>
  <c r="I2867" i="24"/>
  <c r="G22" i="38"/>
  <c r="J15" i="1"/>
  <c r="I941" i="6"/>
  <c r="D912" i="44"/>
  <c r="D920" i="44"/>
  <c r="D928" i="44"/>
  <c r="E36" i="43"/>
  <c r="D36" i="43"/>
  <c r="C36" i="43"/>
  <c r="E35" i="43"/>
  <c r="D35" i="43"/>
  <c r="C35" i="43"/>
  <c r="K807" i="6"/>
  <c r="K806" i="6"/>
  <c r="K805" i="6"/>
  <c r="K803" i="6"/>
  <c r="K823" i="6"/>
  <c r="K822" i="6"/>
  <c r="K821" i="6"/>
  <c r="K819" i="6"/>
  <c r="F101" i="43"/>
  <c r="F103" i="43"/>
  <c r="M3885" i="24"/>
  <c r="K751" i="24"/>
  <c r="K769" i="24"/>
  <c r="D37" i="43"/>
  <c r="E37" i="43"/>
  <c r="C37" i="43"/>
  <c r="I751" i="24"/>
  <c r="I769" i="24"/>
  <c r="E266" i="43"/>
  <c r="D266" i="43"/>
  <c r="C266" i="43"/>
  <c r="E274" i="43"/>
  <c r="D274" i="43"/>
  <c r="C274" i="43"/>
  <c r="K1423" i="24"/>
  <c r="K643" i="24"/>
  <c r="K638" i="24"/>
  <c r="K377" i="24"/>
  <c r="I972" i="6"/>
  <c r="K971" i="6"/>
  <c r="K969" i="6"/>
  <c r="I969" i="6"/>
  <c r="I965" i="6"/>
  <c r="K964" i="6"/>
  <c r="K962" i="6"/>
  <c r="I962" i="6"/>
  <c r="I958" i="6"/>
  <c r="K957" i="6"/>
  <c r="K955" i="6"/>
  <c r="O348" i="6"/>
  <c r="O347" i="6"/>
  <c r="O346" i="6"/>
  <c r="O344" i="6"/>
  <c r="N344" i="6"/>
  <c r="I2710" i="24"/>
  <c r="I100" i="6"/>
  <c r="G100" i="6"/>
  <c r="K2621" i="24"/>
  <c r="I2621" i="24"/>
  <c r="I2632" i="24"/>
  <c r="K2632" i="24"/>
  <c r="I2652" i="24"/>
  <c r="K2652" i="24"/>
  <c r="I2611" i="24"/>
  <c r="K2611" i="24"/>
  <c r="I2600" i="24"/>
  <c r="K2600" i="24"/>
  <c r="C234" i="43"/>
  <c r="G63" i="43"/>
  <c r="H63" i="43"/>
  <c r="G87" i="43"/>
  <c r="D14" i="1"/>
  <c r="H87" i="43"/>
  <c r="G282" i="43"/>
  <c r="H282" i="43"/>
  <c r="G268" i="43"/>
  <c r="H268" i="43"/>
  <c r="G259" i="43"/>
  <c r="G164" i="43"/>
  <c r="G156" i="43"/>
  <c r="H156" i="43"/>
  <c r="G146" i="43"/>
  <c r="H146" i="43"/>
  <c r="G127" i="43"/>
  <c r="H127" i="43"/>
  <c r="G109" i="43"/>
  <c r="H109" i="43"/>
  <c r="G99" i="43"/>
  <c r="D15" i="1"/>
  <c r="H99" i="43"/>
  <c r="G55" i="43"/>
  <c r="H55" i="43"/>
  <c r="G29" i="43"/>
  <c r="D16" i="1"/>
  <c r="H29" i="43"/>
  <c r="G10" i="43"/>
  <c r="H10" i="43"/>
  <c r="G5" i="43"/>
  <c r="E184" i="43"/>
  <c r="D184" i="43"/>
  <c r="E183" i="43"/>
  <c r="D183" i="43"/>
  <c r="E181" i="43"/>
  <c r="D181" i="43"/>
  <c r="D867" i="44"/>
  <c r="D1081" i="44"/>
  <c r="D1068" i="44"/>
  <c r="D977" i="44"/>
  <c r="D958" i="44"/>
  <c r="D946" i="44"/>
  <c r="D939" i="44"/>
  <c r="D877" i="44"/>
  <c r="D857" i="44"/>
  <c r="F857" i="44"/>
  <c r="D837" i="44"/>
  <c r="D451" i="44"/>
  <c r="F451" i="44"/>
  <c r="F33" i="44"/>
  <c r="G825" i="44"/>
  <c r="I190" i="47"/>
  <c r="C7" i="44"/>
  <c r="J2082" i="47"/>
  <c r="J2083" i="47"/>
  <c r="C8" i="44"/>
  <c r="J1977" i="47"/>
  <c r="J1978" i="47"/>
  <c r="C9" i="44"/>
  <c r="J1041" i="47"/>
  <c r="C10" i="44"/>
  <c r="J1546" i="47"/>
  <c r="C11" i="44"/>
  <c r="J1706" i="47"/>
  <c r="C13" i="44"/>
  <c r="J2005" i="47"/>
  <c r="C39" i="44"/>
  <c r="J175" i="47"/>
  <c r="C40" i="44"/>
  <c r="J177" i="47"/>
  <c r="C47" i="44"/>
  <c r="J31" i="47"/>
  <c r="J111" i="47"/>
  <c r="J245" i="47"/>
  <c r="C50" i="44"/>
  <c r="J247" i="47"/>
  <c r="C51" i="44"/>
  <c r="J249" i="47"/>
  <c r="C52" i="44"/>
  <c r="J470" i="47"/>
  <c r="C53" i="44"/>
  <c r="J521" i="47"/>
  <c r="C54" i="44"/>
  <c r="J684" i="47"/>
  <c r="C55" i="44"/>
  <c r="J686" i="47"/>
  <c r="C56" i="44"/>
  <c r="J688" i="47"/>
  <c r="C57" i="44"/>
  <c r="J890" i="47"/>
  <c r="C58" i="44"/>
  <c r="J962" i="47"/>
  <c r="C59" i="44"/>
  <c r="J1015" i="47"/>
  <c r="C60" i="44"/>
  <c r="J1139" i="47"/>
  <c r="C61" i="44"/>
  <c r="J1141" i="47"/>
  <c r="C62" i="44"/>
  <c r="J1143" i="47"/>
  <c r="C63" i="44"/>
  <c r="J1259" i="47"/>
  <c r="C64" i="44"/>
  <c r="J1316" i="47"/>
  <c r="C65" i="44"/>
  <c r="J1371" i="47"/>
  <c r="C66" i="44"/>
  <c r="J1411" i="47"/>
  <c r="C67" i="44"/>
  <c r="J1488" i="47"/>
  <c r="C68" i="44"/>
  <c r="J1490" i="47"/>
  <c r="C69" i="44"/>
  <c r="J1658" i="47"/>
  <c r="C70" i="44"/>
  <c r="J1758" i="47"/>
  <c r="C71" i="44"/>
  <c r="J1855" i="47"/>
  <c r="C72" i="44"/>
  <c r="J1951" i="47"/>
  <c r="C73" i="44"/>
  <c r="J29" i="47"/>
  <c r="C74" i="44"/>
  <c r="J109" i="47"/>
  <c r="C75" i="44"/>
  <c r="J229" i="47"/>
  <c r="C76" i="44"/>
  <c r="J231" i="47"/>
  <c r="C77" i="44"/>
  <c r="J233" i="47"/>
  <c r="C78" i="44"/>
  <c r="J469" i="47"/>
  <c r="C79" i="44"/>
  <c r="J518" i="47"/>
  <c r="C80" i="44"/>
  <c r="J668" i="47"/>
  <c r="C81" i="44"/>
  <c r="J670" i="47"/>
  <c r="C82" i="44"/>
  <c r="J672" i="47"/>
  <c r="C83" i="44"/>
  <c r="J887" i="47"/>
  <c r="C84" i="44"/>
  <c r="J1129" i="47"/>
  <c r="C85" i="44"/>
  <c r="J1131" i="47"/>
  <c r="C86" i="44"/>
  <c r="J1133" i="47"/>
  <c r="C87" i="44"/>
  <c r="J1313" i="47"/>
  <c r="C88" i="44"/>
  <c r="J1370" i="47"/>
  <c r="C89" i="44"/>
  <c r="J1478" i="47"/>
  <c r="C90" i="44"/>
  <c r="J1601" i="47"/>
  <c r="C91" i="44"/>
  <c r="J1655" i="47"/>
  <c r="C92" i="44"/>
  <c r="J1754" i="47"/>
  <c r="C93" i="44"/>
  <c r="J1851" i="47"/>
  <c r="C94" i="44"/>
  <c r="J1947" i="47"/>
  <c r="C95" i="44"/>
  <c r="J2059" i="47"/>
  <c r="C96" i="44"/>
  <c r="J32" i="47"/>
  <c r="C97" i="44"/>
  <c r="J112" i="47"/>
  <c r="C98" i="44"/>
  <c r="J253" i="47"/>
  <c r="C99" i="44"/>
  <c r="J255" i="47"/>
  <c r="C100" i="44"/>
  <c r="J257" i="47"/>
  <c r="C101" i="44"/>
  <c r="J471" i="47"/>
  <c r="C102" i="44"/>
  <c r="J522" i="47"/>
  <c r="C103" i="44"/>
  <c r="J690" i="47"/>
  <c r="C104" i="44"/>
  <c r="J692" i="47"/>
  <c r="C105" i="44"/>
  <c r="J694" i="47"/>
  <c r="C106" i="44"/>
  <c r="J696" i="47"/>
  <c r="C107" i="44"/>
  <c r="J891" i="47"/>
  <c r="C108" i="44"/>
  <c r="J1145" i="47"/>
  <c r="C109" i="44"/>
  <c r="J1147" i="47"/>
  <c r="C110" i="44"/>
  <c r="J1260" i="47"/>
  <c r="C111" i="44"/>
  <c r="J1317" i="47"/>
  <c r="C112" i="44"/>
  <c r="J1856" i="47"/>
  <c r="C113" i="44"/>
  <c r="J1656" i="47"/>
  <c r="C114" i="44"/>
  <c r="J1755" i="47"/>
  <c r="C115" i="44"/>
  <c r="J1852" i="47"/>
  <c r="C116" i="44"/>
  <c r="J1948" i="47"/>
  <c r="C117" i="44"/>
  <c r="J28" i="47"/>
  <c r="C118" i="44"/>
  <c r="J108" i="47"/>
  <c r="C119" i="44"/>
  <c r="J223" i="47"/>
  <c r="C120" i="44"/>
  <c r="J225" i="47"/>
  <c r="C121" i="44"/>
  <c r="J227" i="47"/>
  <c r="C122" i="44"/>
  <c r="J468" i="47"/>
  <c r="C123" i="44"/>
  <c r="J517" i="47"/>
  <c r="C124" i="44"/>
  <c r="J660" i="47"/>
  <c r="C125" i="44"/>
  <c r="J662" i="47"/>
  <c r="C126" i="44"/>
  <c r="J664" i="47"/>
  <c r="C127" i="44"/>
  <c r="J666" i="47"/>
  <c r="C128" i="44"/>
  <c r="J886" i="47"/>
  <c r="C129" i="44"/>
  <c r="J961" i="47"/>
  <c r="C130" i="44"/>
  <c r="J1013" i="47"/>
  <c r="C131" i="44"/>
  <c r="J1123" i="47"/>
  <c r="C132" i="44"/>
  <c r="J1125" i="47"/>
  <c r="C133" i="44"/>
  <c r="J1127" i="47"/>
  <c r="C134" i="44"/>
  <c r="J1258" i="47"/>
  <c r="C135" i="44"/>
  <c r="J1312" i="47"/>
  <c r="C136" i="44"/>
  <c r="J1409" i="47"/>
  <c r="C137" i="44"/>
  <c r="J1474" i="47"/>
  <c r="C138" i="44"/>
  <c r="J1476" i="47"/>
  <c r="C139" i="44"/>
  <c r="J1600" i="47"/>
  <c r="C140" i="44"/>
  <c r="J1654" i="47"/>
  <c r="C141" i="44"/>
  <c r="J1753" i="47"/>
  <c r="C142" i="44"/>
  <c r="J1850" i="47"/>
  <c r="C143" i="44"/>
  <c r="J1946" i="47"/>
  <c r="C144" i="44"/>
  <c r="J2058" i="47"/>
  <c r="C289" i="44"/>
  <c r="J330" i="47"/>
  <c r="C145" i="44"/>
  <c r="J85" i="47"/>
  <c r="C146" i="44"/>
  <c r="J438" i="47"/>
  <c r="C148" i="44"/>
  <c r="J497" i="47"/>
  <c r="C149" i="44"/>
  <c r="J553" i="47"/>
  <c r="C150" i="44"/>
  <c r="J856" i="47"/>
  <c r="C151" i="44"/>
  <c r="J858" i="47"/>
  <c r="C152" i="44"/>
  <c r="J932" i="47"/>
  <c r="C153" i="44"/>
  <c r="J988" i="47"/>
  <c r="C154" i="44"/>
  <c r="J1056" i="47"/>
  <c r="C155" i="44"/>
  <c r="J1224" i="47"/>
  <c r="C156" i="44"/>
  <c r="J1284" i="47"/>
  <c r="C157" i="44"/>
  <c r="J1350" i="47"/>
  <c r="C158" i="44"/>
  <c r="J1434" i="47"/>
  <c r="C159" i="44"/>
  <c r="J1574" i="47"/>
  <c r="C160" i="44"/>
  <c r="J1576" i="47"/>
  <c r="C161" i="44"/>
  <c r="J1724" i="47"/>
  <c r="C162" i="44"/>
  <c r="J1816" i="47"/>
  <c r="C163" i="44"/>
  <c r="J1911" i="47"/>
  <c r="C164" i="44"/>
  <c r="J2022" i="47"/>
  <c r="C165" i="44"/>
  <c r="J86" i="47"/>
  <c r="C166" i="44"/>
  <c r="J442" i="47"/>
  <c r="C167" i="44"/>
  <c r="J444" i="47"/>
  <c r="C170" i="44"/>
  <c r="J498" i="47"/>
  <c r="C171" i="44"/>
  <c r="J554" i="47"/>
  <c r="C173" i="44"/>
  <c r="J862" i="47"/>
  <c r="C174" i="44"/>
  <c r="J933" i="47"/>
  <c r="C175" i="44"/>
  <c r="J989" i="47"/>
  <c r="C176" i="44"/>
  <c r="J1057" i="47"/>
  <c r="C177" i="44"/>
  <c r="J1226" i="47"/>
  <c r="C178" i="44"/>
  <c r="J1285" i="47"/>
  <c r="C179" i="44"/>
  <c r="J1351" i="47"/>
  <c r="C180" i="44"/>
  <c r="J1435" i="47"/>
  <c r="C181" i="44"/>
  <c r="J1578" i="47"/>
  <c r="C182" i="44"/>
  <c r="J1580" i="47"/>
  <c r="C183" i="44"/>
  <c r="J1725" i="47"/>
  <c r="C184" i="44"/>
  <c r="J1817" i="47"/>
  <c r="C185" i="44"/>
  <c r="J1912" i="47"/>
  <c r="C186" i="44"/>
  <c r="J2023" i="47"/>
  <c r="C188" i="44"/>
  <c r="C189" i="44"/>
  <c r="J110" i="47"/>
  <c r="C190" i="44"/>
  <c r="J235" i="47"/>
  <c r="C191" i="44"/>
  <c r="J237" i="47"/>
  <c r="C192" i="44"/>
  <c r="J239" i="47"/>
  <c r="C193" i="44"/>
  <c r="J519" i="47"/>
  <c r="C194" i="44"/>
  <c r="J674" i="47"/>
  <c r="C195" i="44"/>
  <c r="J676" i="47"/>
  <c r="C196" i="44"/>
  <c r="J678" i="47"/>
  <c r="C197" i="44"/>
  <c r="J680" i="47"/>
  <c r="C198" i="44"/>
  <c r="J888" i="47"/>
  <c r="C199" i="44"/>
  <c r="J1135" i="47"/>
  <c r="C200" i="44"/>
  <c r="J1314" i="47"/>
  <c r="C201" i="44"/>
  <c r="J1480" i="47"/>
  <c r="C202" i="44"/>
  <c r="J1482" i="47"/>
  <c r="C203" i="44"/>
  <c r="J1756" i="47"/>
  <c r="C204" i="44"/>
  <c r="J1853" i="47"/>
  <c r="C205" i="44"/>
  <c r="J1949" i="47"/>
  <c r="C206" i="44"/>
  <c r="J33" i="47"/>
  <c r="C207" i="44"/>
  <c r="J113" i="47"/>
  <c r="C208" i="44"/>
  <c r="J259" i="47"/>
  <c r="C209" i="44"/>
  <c r="J261" i="47"/>
  <c r="C210" i="44"/>
  <c r="J263" i="47"/>
  <c r="C211" i="44"/>
  <c r="J472" i="47"/>
  <c r="C212" i="44"/>
  <c r="J523" i="47"/>
  <c r="C213" i="44"/>
  <c r="J586" i="47"/>
  <c r="C214" i="44"/>
  <c r="J698" i="47"/>
  <c r="C215" i="44"/>
  <c r="J700" i="47"/>
  <c r="C216" i="44"/>
  <c r="J702" i="47"/>
  <c r="C217" i="44"/>
  <c r="J704" i="47"/>
  <c r="C218" i="44"/>
  <c r="J892" i="47"/>
  <c r="C219" i="44"/>
  <c r="J963" i="47"/>
  <c r="C220" i="44"/>
  <c r="J1016" i="47"/>
  <c r="C221" i="44"/>
  <c r="J1149" i="47"/>
  <c r="C222" i="44"/>
  <c r="J1151" i="47"/>
  <c r="C223" i="44"/>
  <c r="J1153" i="47"/>
  <c r="C224" i="44"/>
  <c r="J1261" i="47"/>
  <c r="C225" i="44"/>
  <c r="J1318" i="47"/>
  <c r="C226" i="44"/>
  <c r="J1372" i="47"/>
  <c r="C227" i="44"/>
  <c r="J1412" i="47"/>
  <c r="C228" i="44"/>
  <c r="J1494" i="47"/>
  <c r="C229" i="44"/>
  <c r="J1496" i="47"/>
  <c r="C230" i="44"/>
  <c r="J1602" i="47"/>
  <c r="C231" i="44"/>
  <c r="J1660" i="47"/>
  <c r="C232" i="44"/>
  <c r="J1760" i="47"/>
  <c r="C233" i="44"/>
  <c r="J1857" i="47"/>
  <c r="C234" i="44"/>
  <c r="J1952" i="47"/>
  <c r="C235" i="44"/>
  <c r="J2061" i="47"/>
  <c r="C236" i="44"/>
  <c r="J36" i="47"/>
  <c r="C237" i="44"/>
  <c r="J116" i="47"/>
  <c r="C238" i="44"/>
  <c r="J277" i="47"/>
  <c r="C239" i="44"/>
  <c r="J279" i="47"/>
  <c r="C240" i="44"/>
  <c r="J281" i="47"/>
  <c r="C241" i="44"/>
  <c r="J475" i="47"/>
  <c r="C242" i="44"/>
  <c r="J526" i="47"/>
  <c r="C243" i="44"/>
  <c r="J588" i="47"/>
  <c r="C244" i="44"/>
  <c r="J722" i="47"/>
  <c r="C245" i="44"/>
  <c r="J724" i="47"/>
  <c r="C246" i="44"/>
  <c r="J726" i="47"/>
  <c r="C247" i="44"/>
  <c r="J728" i="47"/>
  <c r="C248" i="44"/>
  <c r="J895" i="47"/>
  <c r="C249" i="44"/>
  <c r="J966" i="47"/>
  <c r="C250" i="44"/>
  <c r="J1019" i="47"/>
  <c r="C251" i="44"/>
  <c r="J1163" i="47"/>
  <c r="C252" i="44"/>
  <c r="J1165" i="47"/>
  <c r="C253" i="44"/>
  <c r="J1167" i="47"/>
  <c r="C254" i="44"/>
  <c r="J1264" i="47"/>
  <c r="C255" i="44"/>
  <c r="J1321" i="47"/>
  <c r="C256" i="44"/>
  <c r="J1373" i="47"/>
  <c r="C257" i="44"/>
  <c r="J1415" i="47"/>
  <c r="C258" i="44"/>
  <c r="J1506" i="47"/>
  <c r="C259" i="44"/>
  <c r="J1508" i="47"/>
  <c r="C260" i="44"/>
  <c r="J1605" i="47"/>
  <c r="C261" i="44"/>
  <c r="J1663" i="47"/>
  <c r="C262" i="44"/>
  <c r="J1763" i="47"/>
  <c r="C263" i="44"/>
  <c r="J1860" i="47"/>
  <c r="C264" i="44"/>
  <c r="J1955" i="47"/>
  <c r="C265" i="44"/>
  <c r="J2064" i="47"/>
  <c r="C266" i="44"/>
  <c r="J30" i="47"/>
  <c r="C267" i="44"/>
  <c r="J241" i="47"/>
  <c r="C268" i="44"/>
  <c r="J243" i="47"/>
  <c r="C269" i="44"/>
  <c r="J520" i="47"/>
  <c r="C270" i="44"/>
  <c r="J682" i="47"/>
  <c r="C271" i="44"/>
  <c r="J889" i="47"/>
  <c r="C272" i="44"/>
  <c r="J1014" i="47"/>
  <c r="C273" i="44"/>
  <c r="J1137" i="47"/>
  <c r="C274" i="44"/>
  <c r="J1315" i="47"/>
  <c r="C275" i="44"/>
  <c r="J1410" i="47"/>
  <c r="C276" i="44"/>
  <c r="J1484" i="47"/>
  <c r="C277" i="44"/>
  <c r="J1486" i="47"/>
  <c r="C278" i="44"/>
  <c r="J1657" i="47"/>
  <c r="C279" i="44"/>
  <c r="J1757" i="47"/>
  <c r="C280" i="44"/>
  <c r="J1854" i="47"/>
  <c r="C281" i="44"/>
  <c r="J1950" i="47"/>
  <c r="C282" i="44"/>
  <c r="J2060" i="47"/>
  <c r="C283" i="44"/>
  <c r="J37" i="47"/>
  <c r="C284" i="44"/>
  <c r="J117" i="47"/>
  <c r="C285" i="44"/>
  <c r="J283" i="47"/>
  <c r="C286" i="44"/>
  <c r="J285" i="47"/>
  <c r="C287" i="44"/>
  <c r="J287" i="47"/>
  <c r="C288" i="44"/>
  <c r="J476" i="47"/>
  <c r="C290" i="44"/>
  <c r="J527" i="47"/>
  <c r="C291" i="44"/>
  <c r="J590" i="47"/>
  <c r="C292" i="44"/>
  <c r="J730" i="47"/>
  <c r="C293" i="44"/>
  <c r="J732" i="47"/>
  <c r="C294" i="44"/>
  <c r="J734" i="47"/>
  <c r="C295" i="44"/>
  <c r="J736" i="47"/>
  <c r="C296" i="44"/>
  <c r="J896" i="47"/>
  <c r="C297" i="44"/>
  <c r="J967" i="47"/>
  <c r="C298" i="44"/>
  <c r="J1020" i="47"/>
  <c r="C299" i="44"/>
  <c r="J1169" i="47"/>
  <c r="C300" i="44"/>
  <c r="J1171" i="47"/>
  <c r="C301" i="44"/>
  <c r="J1173" i="47"/>
  <c r="C302" i="44"/>
  <c r="J1265" i="47"/>
  <c r="C303" i="44"/>
  <c r="J1322" i="47"/>
  <c r="C304" i="44"/>
  <c r="J1374" i="47"/>
  <c r="C305" i="44"/>
  <c r="J1416" i="47"/>
  <c r="C306" i="44"/>
  <c r="J1510" i="47"/>
  <c r="C307" i="44"/>
  <c r="J1512" i="47"/>
  <c r="C308" i="44"/>
  <c r="J1606" i="47"/>
  <c r="C309" i="44"/>
  <c r="J1664" i="47"/>
  <c r="C310" i="44"/>
  <c r="J1764" i="47"/>
  <c r="C311" i="44"/>
  <c r="J1861" i="47"/>
  <c r="C312" i="44"/>
  <c r="J1956" i="47"/>
  <c r="C313" i="44"/>
  <c r="J2065" i="47"/>
  <c r="C314" i="44"/>
  <c r="J27" i="47"/>
  <c r="C315" i="44"/>
  <c r="J107" i="47"/>
  <c r="C316" i="44"/>
  <c r="J221" i="47"/>
  <c r="C317" i="44"/>
  <c r="C318" i="44"/>
  <c r="C319" i="44"/>
  <c r="J1734" i="47"/>
  <c r="C320" i="44"/>
  <c r="J26" i="47"/>
  <c r="C321" i="44"/>
  <c r="J106" i="47"/>
  <c r="C322" i="44"/>
  <c r="J215" i="47"/>
  <c r="C323" i="44"/>
  <c r="J217" i="47"/>
  <c r="C324" i="44"/>
  <c r="J219" i="47"/>
  <c r="C325" i="44"/>
  <c r="J467" i="47"/>
  <c r="C326" i="44"/>
  <c r="J516" i="47"/>
  <c r="C327" i="44"/>
  <c r="J584" i="47"/>
  <c r="C328" i="44"/>
  <c r="J652" i="47"/>
  <c r="C329" i="44"/>
  <c r="J654" i="47"/>
  <c r="C330" i="44"/>
  <c r="J656" i="47"/>
  <c r="C331" i="44"/>
  <c r="J658" i="47"/>
  <c r="C332" i="44"/>
  <c r="J885" i="47"/>
  <c r="C333" i="44"/>
  <c r="J960" i="47"/>
  <c r="C334" i="44"/>
  <c r="J1012" i="47"/>
  <c r="C335" i="44"/>
  <c r="J1117" i="47"/>
  <c r="C336" i="44"/>
  <c r="J1119" i="47"/>
  <c r="C337" i="44"/>
  <c r="J1121" i="47"/>
  <c r="C338" i="44"/>
  <c r="J1257" i="47"/>
  <c r="C339" i="44"/>
  <c r="J1311" i="47"/>
  <c r="C340" i="44"/>
  <c r="J1369" i="47"/>
  <c r="C341" i="44"/>
  <c r="J1408" i="47"/>
  <c r="C342" i="44"/>
  <c r="J1470" i="47"/>
  <c r="C343" i="44"/>
  <c r="J1472" i="47"/>
  <c r="C344" i="44"/>
  <c r="J1599" i="47"/>
  <c r="C345" i="44"/>
  <c r="J1653" i="47"/>
  <c r="C346" i="44"/>
  <c r="J1752" i="47"/>
  <c r="C347" i="44"/>
  <c r="J1849" i="47"/>
  <c r="C348" i="44"/>
  <c r="J1945" i="47"/>
  <c r="C349" i="44"/>
  <c r="J2057" i="47"/>
  <c r="C350" i="44"/>
  <c r="J34" i="47"/>
  <c r="C351" i="44"/>
  <c r="J35" i="47"/>
  <c r="C352" i="44"/>
  <c r="J114" i="47"/>
  <c r="C353" i="44"/>
  <c r="J115" i="47"/>
  <c r="C354" i="44"/>
  <c r="J265" i="47"/>
  <c r="C355" i="44"/>
  <c r="J267" i="47"/>
  <c r="C356" i="44"/>
  <c r="J269" i="47"/>
  <c r="C357" i="44"/>
  <c r="J271" i="47"/>
  <c r="C358" i="44"/>
  <c r="J273" i="47"/>
  <c r="C359" i="44"/>
  <c r="J275" i="47"/>
  <c r="C360" i="44"/>
  <c r="J473" i="47"/>
  <c r="C361" i="44"/>
  <c r="J474" i="47"/>
  <c r="C362" i="44"/>
  <c r="J524" i="47"/>
  <c r="C363" i="44"/>
  <c r="J525" i="47"/>
  <c r="C364" i="44"/>
  <c r="J706" i="47"/>
  <c r="C365" i="44"/>
  <c r="J708" i="47"/>
  <c r="C366" i="44"/>
  <c r="J710" i="47"/>
  <c r="C367" i="44"/>
  <c r="J712" i="47"/>
  <c r="C368" i="44"/>
  <c r="J714" i="47"/>
  <c r="C369" i="44"/>
  <c r="J716" i="47"/>
  <c r="C370" i="44"/>
  <c r="J718" i="47"/>
  <c r="C371" i="44"/>
  <c r="J720" i="47"/>
  <c r="C372" i="44"/>
  <c r="J893" i="47"/>
  <c r="C373" i="44"/>
  <c r="J894" i="47"/>
  <c r="C374" i="44"/>
  <c r="J964" i="47"/>
  <c r="C375" i="44"/>
  <c r="J965" i="47"/>
  <c r="C376" i="44"/>
  <c r="J1017" i="47"/>
  <c r="C377" i="44"/>
  <c r="J1018" i="47"/>
  <c r="C378" i="44"/>
  <c r="J1155" i="47"/>
  <c r="C379" i="44"/>
  <c r="J1157" i="47"/>
  <c r="C380" i="44"/>
  <c r="J1159" i="47"/>
  <c r="C381" i="44"/>
  <c r="J1161" i="47"/>
  <c r="C382" i="44"/>
  <c r="J1262" i="47"/>
  <c r="C383" i="44"/>
  <c r="J1263" i="47"/>
  <c r="C384" i="44"/>
  <c r="J1319" i="47"/>
  <c r="C385" i="44"/>
  <c r="J1320" i="47"/>
  <c r="C386" i="44"/>
  <c r="J1413" i="47"/>
  <c r="C387" i="44"/>
  <c r="J1414" i="47"/>
  <c r="C388" i="44"/>
  <c r="J1498" i="47"/>
  <c r="C389" i="44"/>
  <c r="J1500" i="47"/>
  <c r="C390" i="44"/>
  <c r="J1502" i="47"/>
  <c r="C391" i="44"/>
  <c r="J1504" i="47"/>
  <c r="C392" i="44"/>
  <c r="J1603" i="47"/>
  <c r="C393" i="44"/>
  <c r="J1604" i="47"/>
  <c r="C394" i="44"/>
  <c r="J1661" i="47"/>
  <c r="C395" i="44"/>
  <c r="J1761" i="47"/>
  <c r="C396" i="44"/>
  <c r="J1762" i="47"/>
  <c r="C397" i="44"/>
  <c r="J1858" i="47"/>
  <c r="C398" i="44"/>
  <c r="J1859" i="47"/>
  <c r="C399" i="44"/>
  <c r="J1953" i="47"/>
  <c r="C400" i="44"/>
  <c r="J1954" i="47"/>
  <c r="C401" i="44"/>
  <c r="J2062" i="47"/>
  <c r="C402" i="44"/>
  <c r="J2063" i="47"/>
  <c r="C403" i="44"/>
  <c r="J251" i="47"/>
  <c r="C404" i="44"/>
  <c r="J1079" i="47"/>
  <c r="J1080" i="47"/>
  <c r="C405" i="44"/>
  <c r="J1492" i="47"/>
  <c r="C406" i="44"/>
  <c r="J1659" i="47"/>
  <c r="C407" i="44"/>
  <c r="J1759" i="47"/>
  <c r="C408" i="44"/>
  <c r="J38" i="47"/>
  <c r="C409" i="44"/>
  <c r="J118" i="47"/>
  <c r="C410" i="44"/>
  <c r="J289" i="47"/>
  <c r="C411" i="44"/>
  <c r="J291" i="47"/>
  <c r="C412" i="44"/>
  <c r="J293" i="47"/>
  <c r="C413" i="44"/>
  <c r="J477" i="47"/>
  <c r="C414" i="44"/>
  <c r="J528" i="47"/>
  <c r="C415" i="44"/>
  <c r="J592" i="47"/>
  <c r="C416" i="44"/>
  <c r="J738" i="47"/>
  <c r="C417" i="44"/>
  <c r="J740" i="47"/>
  <c r="C418" i="44"/>
  <c r="J742" i="47"/>
  <c r="C419" i="44"/>
  <c r="J744" i="47"/>
  <c r="C420" i="44"/>
  <c r="J746" i="47"/>
  <c r="C421" i="44"/>
  <c r="J897" i="47"/>
  <c r="C422" i="44"/>
  <c r="J968" i="47"/>
  <c r="C423" i="44"/>
  <c r="J1021" i="47"/>
  <c r="C424" i="44"/>
  <c r="J1175" i="47"/>
  <c r="C425" i="44"/>
  <c r="J1177" i="47"/>
  <c r="C426" i="44"/>
  <c r="J1179" i="47"/>
  <c r="C427" i="44"/>
  <c r="J1266" i="47"/>
  <c r="C428" i="44"/>
  <c r="J1323" i="47"/>
  <c r="C429" i="44"/>
  <c r="J1375" i="47"/>
  <c r="C430" i="44"/>
  <c r="J1417" i="47"/>
  <c r="C431" i="44"/>
  <c r="J1514" i="47"/>
  <c r="C432" i="44"/>
  <c r="J1516" i="47"/>
  <c r="C433" i="44"/>
  <c r="J1607" i="47"/>
  <c r="C434" i="44"/>
  <c r="J1665" i="47"/>
  <c r="C435" i="44"/>
  <c r="J1765" i="47"/>
  <c r="C436" i="44"/>
  <c r="J1862" i="47"/>
  <c r="C437" i="44"/>
  <c r="J1957" i="47"/>
  <c r="C438" i="44"/>
  <c r="J2066" i="47"/>
  <c r="K2819" i="24"/>
  <c r="K2821" i="24"/>
  <c r="C458" i="44"/>
  <c r="J482" i="47"/>
  <c r="C459" i="44"/>
  <c r="J762" i="47"/>
  <c r="C460" i="44"/>
  <c r="J908" i="47"/>
  <c r="C463" i="44"/>
  <c r="J1881" i="47"/>
  <c r="C464" i="44"/>
  <c r="C470" i="44"/>
  <c r="C471" i="44"/>
  <c r="C472" i="44"/>
  <c r="J820" i="47"/>
  <c r="C473" i="44"/>
  <c r="J915" i="47"/>
  <c r="C474" i="44"/>
  <c r="J1036" i="47"/>
  <c r="C476" i="44"/>
  <c r="J1700" i="47"/>
  <c r="C477" i="44"/>
  <c r="J1797" i="47"/>
  <c r="C479" i="44"/>
  <c r="J396" i="47"/>
  <c r="C480" i="44"/>
  <c r="J398" i="47"/>
  <c r="C481" i="44"/>
  <c r="J541" i="47"/>
  <c r="C482" i="44"/>
  <c r="J818" i="47"/>
  <c r="C485" i="44"/>
  <c r="J76" i="47"/>
  <c r="C486" i="44"/>
  <c r="J408" i="47"/>
  <c r="C487" i="44"/>
  <c r="J410" i="47"/>
  <c r="C488" i="44"/>
  <c r="J489" i="47"/>
  <c r="C489" i="44"/>
  <c r="J544" i="47"/>
  <c r="C490" i="44"/>
  <c r="J832" i="47"/>
  <c r="C491" i="44"/>
  <c r="J921" i="47"/>
  <c r="C492" i="44"/>
  <c r="J980" i="47"/>
  <c r="C493" i="44"/>
  <c r="J1040" i="47"/>
  <c r="C494" i="44"/>
  <c r="J1210" i="47"/>
  <c r="C495" i="44"/>
  <c r="J1276" i="47"/>
  <c r="C496" i="44"/>
  <c r="J1340" i="47"/>
  <c r="C497" i="44"/>
  <c r="J1426" i="47"/>
  <c r="C498" i="44"/>
  <c r="J1544" i="47"/>
  <c r="C499" i="44"/>
  <c r="J1705" i="47"/>
  <c r="C501" i="44"/>
  <c r="J1897" i="47"/>
  <c r="C502" i="44"/>
  <c r="J2004" i="47"/>
  <c r="C503" i="44"/>
  <c r="J2099" i="47"/>
  <c r="C504" i="44"/>
  <c r="J67" i="47"/>
  <c r="C506" i="44"/>
  <c r="J378" i="47"/>
  <c r="C507" i="44"/>
  <c r="J380" i="47"/>
  <c r="C508" i="44"/>
  <c r="J485" i="47"/>
  <c r="C526" i="44"/>
  <c r="J68" i="47"/>
  <c r="C527" i="44"/>
  <c r="J128" i="47"/>
  <c r="C528" i="44"/>
  <c r="J384" i="47"/>
  <c r="C529" i="44"/>
  <c r="J802" i="47"/>
  <c r="C530" i="44"/>
  <c r="J804" i="47"/>
  <c r="C531" i="44"/>
  <c r="J1198" i="47"/>
  <c r="C533" i="44"/>
  <c r="J1994" i="47"/>
  <c r="C534" i="44"/>
  <c r="J60" i="47"/>
  <c r="C535" i="44"/>
  <c r="J74" i="47"/>
  <c r="C536" i="44"/>
  <c r="C537" i="44"/>
  <c r="J75" i="47"/>
  <c r="C538" i="44"/>
  <c r="J406" i="47"/>
  <c r="C539" i="44"/>
  <c r="J543" i="47"/>
  <c r="C540" i="44"/>
  <c r="J828" i="47"/>
  <c r="C541" i="44"/>
  <c r="J920" i="47"/>
  <c r="C544" i="44"/>
  <c r="J1542" i="47"/>
  <c r="C545" i="44"/>
  <c r="J1704" i="47"/>
  <c r="C546" i="44"/>
  <c r="J1801" i="47"/>
  <c r="C547" i="44"/>
  <c r="J1896" i="47"/>
  <c r="C548" i="44"/>
  <c r="J2003" i="47"/>
  <c r="C549" i="44"/>
  <c r="J2098" i="47"/>
  <c r="C551" i="44"/>
  <c r="J404" i="47"/>
  <c r="C552" i="44"/>
  <c r="C553" i="44"/>
  <c r="J919" i="47"/>
  <c r="C554" i="44"/>
  <c r="J979" i="47"/>
  <c r="C563" i="44"/>
  <c r="J1034" i="47"/>
  <c r="C565" i="44"/>
  <c r="J1694" i="47"/>
  <c r="C567" i="44"/>
  <c r="J1791" i="47"/>
  <c r="C568" i="44"/>
  <c r="J1886" i="47"/>
  <c r="C570" i="44"/>
  <c r="J790" i="47"/>
  <c r="C572" i="44"/>
  <c r="J336" i="47"/>
  <c r="C573" i="44"/>
  <c r="J532" i="47"/>
  <c r="C576" i="44"/>
  <c r="J55" i="47"/>
  <c r="C578" i="44"/>
  <c r="J332" i="47"/>
  <c r="C579" i="44"/>
  <c r="J124" i="47"/>
  <c r="C580" i="44"/>
  <c r="J352" i="47"/>
  <c r="C581" i="44"/>
  <c r="J354" i="47"/>
  <c r="C582" i="44"/>
  <c r="J535" i="47"/>
  <c r="C583" i="44"/>
  <c r="J776" i="47"/>
  <c r="C584" i="44"/>
  <c r="J778" i="47"/>
  <c r="C585" i="44"/>
  <c r="J780" i="47"/>
  <c r="C586" i="44"/>
  <c r="J782" i="47"/>
  <c r="C589" i="44"/>
  <c r="J58" i="47"/>
  <c r="C590" i="44"/>
  <c r="J362" i="47"/>
  <c r="C591" i="44"/>
  <c r="J1422" i="47"/>
  <c r="C592" i="44"/>
  <c r="J1693" i="47"/>
  <c r="C593" i="44"/>
  <c r="J1885" i="47"/>
  <c r="C594" i="44"/>
  <c r="J1990" i="47"/>
  <c r="C595" i="44"/>
  <c r="J368" i="47"/>
  <c r="C596" i="44"/>
  <c r="J537" i="47"/>
  <c r="C598" i="44"/>
  <c r="J1695" i="47"/>
  <c r="C599" i="44"/>
  <c r="J1792" i="47"/>
  <c r="C600" i="44"/>
  <c r="J1887" i="47"/>
  <c r="C603" i="44"/>
  <c r="J61" i="47"/>
  <c r="C604" i="44"/>
  <c r="J1083" i="47"/>
  <c r="J1084" i="47"/>
  <c r="C605" i="44"/>
  <c r="J63" i="47"/>
  <c r="C606" i="44"/>
  <c r="J358" i="47"/>
  <c r="C607" i="44"/>
  <c r="J360" i="47"/>
  <c r="C608" i="44"/>
  <c r="J484" i="47"/>
  <c r="C609" i="44"/>
  <c r="J536" i="47"/>
  <c r="C610" i="44"/>
  <c r="J784" i="47"/>
  <c r="C611" i="44"/>
  <c r="J786" i="47"/>
  <c r="C612" i="44"/>
  <c r="J910" i="47"/>
  <c r="C613" i="44"/>
  <c r="J974" i="47"/>
  <c r="C614" i="44"/>
  <c r="J1192" i="47"/>
  <c r="C622" i="44"/>
  <c r="J123" i="47"/>
  <c r="C623" i="44"/>
  <c r="J342" i="47"/>
  <c r="C624" i="44"/>
  <c r="J344" i="47"/>
  <c r="C625" i="44"/>
  <c r="J346" i="47"/>
  <c r="C626" i="44"/>
  <c r="J483" i="47"/>
  <c r="C627" i="44"/>
  <c r="J533" i="47"/>
  <c r="C628" i="44"/>
  <c r="J766" i="47"/>
  <c r="C629" i="44"/>
  <c r="J768" i="47"/>
  <c r="C630" i="44"/>
  <c r="J770" i="47"/>
  <c r="C631" i="44"/>
  <c r="J909" i="47"/>
  <c r="C632" i="44"/>
  <c r="J972" i="47"/>
  <c r="C633" i="44"/>
  <c r="J1184" i="47"/>
  <c r="C634" i="44"/>
  <c r="J1186" i="47"/>
  <c r="C635" i="44"/>
  <c r="J1270" i="47"/>
  <c r="C636" i="44"/>
  <c r="J1327" i="47"/>
  <c r="C639" i="44"/>
  <c r="J1691" i="47"/>
  <c r="C640" i="44"/>
  <c r="J1882" i="47"/>
  <c r="C641" i="44"/>
  <c r="J1987" i="47"/>
  <c r="C643" i="44"/>
  <c r="J65" i="47"/>
  <c r="C644" i="44"/>
  <c r="J370" i="47"/>
  <c r="C645" i="44"/>
  <c r="J372" i="47"/>
  <c r="C646" i="44"/>
  <c r="J538" i="47"/>
  <c r="C650" i="44"/>
  <c r="J348" i="47"/>
  <c r="C651" i="44"/>
  <c r="J534" i="47"/>
  <c r="C653" i="44"/>
  <c r="J901" i="47"/>
  <c r="C656" i="44"/>
  <c r="J904" i="47"/>
  <c r="C659" i="44"/>
  <c r="J122" i="47"/>
  <c r="C660" i="44"/>
  <c r="J760" i="47"/>
  <c r="C661" i="44"/>
  <c r="J59" i="47"/>
  <c r="C662" i="44"/>
  <c r="J774" i="47"/>
  <c r="C670" i="44"/>
  <c r="J66" i="47"/>
  <c r="C671" i="44"/>
  <c r="J126" i="47"/>
  <c r="C672" i="44"/>
  <c r="J374" i="47"/>
  <c r="C673" i="44"/>
  <c r="J376" i="47"/>
  <c r="C674" i="44"/>
  <c r="J792" i="47"/>
  <c r="C675" i="44"/>
  <c r="J794" i="47"/>
  <c r="C676" i="44"/>
  <c r="J796" i="47"/>
  <c r="C677" i="44"/>
  <c r="J1194" i="47"/>
  <c r="C679" i="44"/>
  <c r="J71" i="47"/>
  <c r="C680" i="44"/>
  <c r="J400" i="47"/>
  <c r="C681" i="44"/>
  <c r="J402" i="47"/>
  <c r="C682" i="44"/>
  <c r="J488" i="47"/>
  <c r="C683" i="44"/>
  <c r="J542" i="47"/>
  <c r="C684" i="44"/>
  <c r="J822" i="47"/>
  <c r="C685" i="44"/>
  <c r="J824" i="47"/>
  <c r="C686" i="44"/>
  <c r="J916" i="47"/>
  <c r="C688" i="44"/>
  <c r="J977" i="47"/>
  <c r="C689" i="44"/>
  <c r="J1206" i="47"/>
  <c r="C690" i="44"/>
  <c r="J1275" i="47"/>
  <c r="C691" i="44"/>
  <c r="J1337" i="47"/>
  <c r="C692" i="44"/>
  <c r="J1701" i="47"/>
  <c r="C693" i="44"/>
  <c r="J1798" i="47"/>
  <c r="C694" i="44"/>
  <c r="J1893" i="47"/>
  <c r="C695" i="44"/>
  <c r="J1999" i="47"/>
  <c r="C696" i="44"/>
  <c r="J69" i="47"/>
  <c r="C697" i="44"/>
  <c r="J129" i="47"/>
  <c r="C698" i="44"/>
  <c r="J386" i="47"/>
  <c r="C699" i="44"/>
  <c r="J388" i="47"/>
  <c r="C700" i="44"/>
  <c r="J486" i="47"/>
  <c r="C701" i="44"/>
  <c r="J806" i="47"/>
  <c r="C702" i="44"/>
  <c r="J808" i="47"/>
  <c r="C703" i="44"/>
  <c r="J913" i="47"/>
  <c r="C704" i="44"/>
  <c r="J975" i="47"/>
  <c r="C714" i="44"/>
  <c r="J481" i="47"/>
  <c r="C715" i="44"/>
  <c r="J907" i="47"/>
  <c r="C716" i="44"/>
  <c r="J2002" i="47"/>
  <c r="C717" i="44"/>
  <c r="J70" i="47"/>
  <c r="C718" i="44"/>
  <c r="J130" i="47"/>
  <c r="C719" i="44"/>
  <c r="J390" i="47"/>
  <c r="C720" i="44"/>
  <c r="J392" i="47"/>
  <c r="C721" i="44"/>
  <c r="J394" i="47"/>
  <c r="C722" i="44"/>
  <c r="J487" i="47"/>
  <c r="C723" i="44"/>
  <c r="J540" i="47"/>
  <c r="C724" i="44"/>
  <c r="J599" i="47"/>
  <c r="C725" i="44"/>
  <c r="J810" i="47"/>
  <c r="C726" i="44"/>
  <c r="J812" i="47"/>
  <c r="C727" i="44"/>
  <c r="J814" i="47"/>
  <c r="C728" i="44"/>
  <c r="J816" i="47"/>
  <c r="C729" i="44"/>
  <c r="J914" i="47"/>
  <c r="C730" i="44"/>
  <c r="J976" i="47"/>
  <c r="C731" i="44"/>
  <c r="J1202" i="47"/>
  <c r="C732" i="44"/>
  <c r="J1204" i="47"/>
  <c r="C733" i="44"/>
  <c r="J1274" i="47"/>
  <c r="C734" i="44"/>
  <c r="J1335" i="47"/>
  <c r="C736" i="44"/>
  <c r="J1536" i="47"/>
  <c r="C737" i="44"/>
  <c r="J1614" i="47"/>
  <c r="J1618" i="47"/>
  <c r="C738" i="44"/>
  <c r="J1699" i="47"/>
  <c r="C739" i="44"/>
  <c r="J1796" i="47"/>
  <c r="C740" i="44"/>
  <c r="J1891" i="47"/>
  <c r="C741" i="44"/>
  <c r="J1997" i="47"/>
  <c r="C742" i="44"/>
  <c r="J2095" i="47"/>
  <c r="C743" i="44"/>
  <c r="J72" i="47"/>
  <c r="C744" i="44"/>
  <c r="J826" i="47"/>
  <c r="C745" i="44"/>
  <c r="J918" i="47"/>
  <c r="C747" i="44"/>
  <c r="J1037" i="47"/>
  <c r="C748" i="44"/>
  <c r="J1338" i="47"/>
  <c r="C749" i="44"/>
  <c r="J1380" i="47"/>
  <c r="J1381" i="47"/>
  <c r="C752" i="44"/>
  <c r="J1702" i="47"/>
  <c r="C753" i="44"/>
  <c r="J1799" i="47"/>
  <c r="C754" i="44"/>
  <c r="J1894" i="47"/>
  <c r="C755" i="44"/>
  <c r="J2000" i="47"/>
  <c r="C791" i="44"/>
  <c r="J182" i="47"/>
  <c r="C792" i="44"/>
  <c r="J184" i="47"/>
  <c r="C817" i="44"/>
  <c r="J186" i="47"/>
  <c r="C827" i="44"/>
  <c r="J188" i="47"/>
  <c r="C828" i="44"/>
  <c r="J626" i="47"/>
  <c r="C829" i="44"/>
  <c r="J628" i="47"/>
  <c r="C830" i="44"/>
  <c r="J630" i="47"/>
  <c r="C831" i="44"/>
  <c r="J1104" i="47"/>
  <c r="J1106" i="47"/>
  <c r="J1113" i="47"/>
  <c r="C832" i="44"/>
  <c r="J19" i="47"/>
  <c r="J20" i="47"/>
  <c r="J22" i="47"/>
  <c r="C843" i="44"/>
  <c r="J313" i="47"/>
  <c r="J327" i="47"/>
  <c r="C851" i="44"/>
  <c r="J1685" i="47"/>
  <c r="J1688" i="47"/>
  <c r="C852" i="44"/>
  <c r="J1785" i="47"/>
  <c r="J1786" i="47"/>
  <c r="C853" i="44"/>
  <c r="J1981" i="47"/>
  <c r="J1984" i="47"/>
  <c r="C854" i="44"/>
  <c r="J2086" i="47"/>
  <c r="J2088" i="47"/>
  <c r="C856" i="44"/>
  <c r="J2050" i="47"/>
  <c r="J2051" i="47"/>
  <c r="C863" i="44"/>
  <c r="J382" i="47"/>
  <c r="C864" i="44"/>
  <c r="C865" i="44"/>
  <c r="C876" i="44"/>
  <c r="J170" i="47"/>
  <c r="J172" i="47"/>
  <c r="C890" i="44"/>
  <c r="J1250" i="47"/>
  <c r="J1251" i="47"/>
  <c r="C891" i="44"/>
  <c r="C892" i="44"/>
  <c r="C918" i="44"/>
  <c r="C894" i="44"/>
  <c r="J952" i="47"/>
  <c r="J954" i="47"/>
  <c r="J956" i="47"/>
  <c r="C897" i="44"/>
  <c r="C899" i="44"/>
  <c r="J57" i="47"/>
  <c r="C900" i="44"/>
  <c r="J764" i="47"/>
  <c r="C902" i="44"/>
  <c r="J195" i="47"/>
  <c r="C903" i="44"/>
  <c r="J197" i="47"/>
  <c r="C905" i="44"/>
  <c r="C906" i="44"/>
  <c r="J201" i="47"/>
  <c r="C908" i="44"/>
  <c r="J642" i="47"/>
  <c r="J646" i="47"/>
  <c r="C927" i="44"/>
  <c r="C934" i="44"/>
  <c r="C935" i="44"/>
  <c r="C936" i="44"/>
  <c r="C937" i="44"/>
  <c r="C945" i="44"/>
  <c r="C952" i="44"/>
  <c r="J42" i="47"/>
  <c r="C953" i="44"/>
  <c r="J46" i="47"/>
  <c r="C954" i="44"/>
  <c r="J47" i="47"/>
  <c r="C955" i="44"/>
  <c r="J45" i="47"/>
  <c r="C956" i="44"/>
  <c r="J43" i="47"/>
  <c r="C957" i="44"/>
  <c r="J44" i="47"/>
  <c r="C964" i="44"/>
  <c r="C965" i="44"/>
  <c r="J1448" i="47"/>
  <c r="C966" i="44"/>
  <c r="J1450" i="47"/>
  <c r="C967" i="44"/>
  <c r="J1001" i="47"/>
  <c r="C968" i="44"/>
  <c r="J567" i="47"/>
  <c r="C969" i="44"/>
  <c r="J1000" i="47"/>
  <c r="C971" i="44"/>
  <c r="C974" i="44"/>
  <c r="J1828" i="47"/>
  <c r="J1829" i="47"/>
  <c r="C866" i="44"/>
  <c r="C976" i="44"/>
  <c r="J571" i="47"/>
  <c r="C983" i="44"/>
  <c r="J606" i="47"/>
  <c r="J608" i="47"/>
  <c r="C984" i="44"/>
  <c r="J845" i="47"/>
  <c r="C985" i="44"/>
  <c r="J1049" i="47"/>
  <c r="C986" i="44"/>
  <c r="J1087" i="47"/>
  <c r="C987" i="44"/>
  <c r="J1555" i="47"/>
  <c r="C988" i="44"/>
  <c r="J1557" i="47"/>
  <c r="C989" i="44"/>
  <c r="J1714" i="47"/>
  <c r="C990" i="44"/>
  <c r="J1903" i="47"/>
  <c r="C991" i="44"/>
  <c r="J2012" i="47"/>
  <c r="C992" i="44"/>
  <c r="C993" i="44"/>
  <c r="J1088" i="47"/>
  <c r="C994" i="44"/>
  <c r="J1219" i="47"/>
  <c r="C995" i="44"/>
  <c r="J1430" i="47"/>
  <c r="J1431" i="47"/>
  <c r="C996" i="44"/>
  <c r="J1563" i="47"/>
  <c r="C997" i="44"/>
  <c r="J1808" i="47"/>
  <c r="C998" i="44"/>
  <c r="J80" i="47"/>
  <c r="C999" i="44"/>
  <c r="J425" i="47"/>
  <c r="C1000" i="44"/>
  <c r="J427" i="47"/>
  <c r="C1001" i="44"/>
  <c r="J493" i="47"/>
  <c r="J494" i="47"/>
  <c r="C1002" i="44"/>
  <c r="J548" i="47"/>
  <c r="C1003" i="44"/>
  <c r="C1004" i="44"/>
  <c r="J847" i="47"/>
  <c r="C1005" i="44"/>
  <c r="J849" i="47"/>
  <c r="C1006" i="44"/>
  <c r="J928" i="47"/>
  <c r="C1007" i="44"/>
  <c r="J984" i="47"/>
  <c r="J985" i="47"/>
  <c r="C1008" i="44"/>
  <c r="J1217" i="47"/>
  <c r="C1009" i="44"/>
  <c r="J1280" i="47"/>
  <c r="J1281" i="47"/>
  <c r="C1010" i="44"/>
  <c r="J1385" i="47"/>
  <c r="C1011" i="44"/>
  <c r="C1012" i="44"/>
  <c r="J1052" i="47"/>
  <c r="C1013" i="44"/>
  <c r="J1569" i="47"/>
  <c r="C1014" i="44"/>
  <c r="J2104" i="47"/>
  <c r="C1016" i="44"/>
  <c r="C1017" i="44"/>
  <c r="J1719" i="47"/>
  <c r="C23" i="44"/>
  <c r="C1020" i="44"/>
  <c r="C1021" i="44"/>
  <c r="C1022" i="44"/>
  <c r="J2106" i="47"/>
  <c r="C1023" i="44"/>
  <c r="J2107" i="47"/>
  <c r="C1024" i="44"/>
  <c r="C1025" i="44"/>
  <c r="J1717" i="47"/>
  <c r="C1026" i="44"/>
  <c r="J1811" i="47"/>
  <c r="C1027" i="44"/>
  <c r="J1907" i="47"/>
  <c r="C1028" i="44"/>
  <c r="J2017" i="47"/>
  <c r="C1029" i="44"/>
  <c r="J2105" i="47"/>
  <c r="C1030" i="44"/>
  <c r="C1031" i="44"/>
  <c r="J1905" i="47"/>
  <c r="C1032" i="44"/>
  <c r="C1033" i="44"/>
  <c r="C1034" i="44"/>
  <c r="J1565" i="47"/>
  <c r="C1035" i="44"/>
  <c r="J2014" i="47"/>
  <c r="C1036" i="44"/>
  <c r="C1037" i="44"/>
  <c r="J927" i="47"/>
  <c r="C1038" i="44"/>
  <c r="J1050" i="47"/>
  <c r="C1039" i="44"/>
  <c r="J1345" i="47"/>
  <c r="C1040" i="44"/>
  <c r="J1384" i="47"/>
  <c r="C1041" i="44"/>
  <c r="J1559" i="47"/>
  <c r="C1042" i="44"/>
  <c r="J1561" i="47"/>
  <c r="C1043" i="44"/>
  <c r="J1621" i="47"/>
  <c r="J1622" i="47"/>
  <c r="C1044" i="44"/>
  <c r="J1715" i="47"/>
  <c r="C1045" i="44"/>
  <c r="J1807" i="47"/>
  <c r="C1046" i="44"/>
  <c r="J1904" i="47"/>
  <c r="C1047" i="44"/>
  <c r="J2013" i="47"/>
  <c r="C1048" i="44"/>
  <c r="C1049" i="44"/>
  <c r="J1346" i="47"/>
  <c r="C1050" i="44"/>
  <c r="C1051" i="44"/>
  <c r="J81" i="47"/>
  <c r="C1052" i="44"/>
  <c r="J429" i="47"/>
  <c r="C1053" i="44"/>
  <c r="J431" i="47"/>
  <c r="C1054" i="44"/>
  <c r="J549" i="47"/>
  <c r="C1055" i="44"/>
  <c r="C1056" i="44"/>
  <c r="J851" i="47"/>
  <c r="C1057" i="44"/>
  <c r="J1051" i="47"/>
  <c r="C1058" i="44"/>
  <c r="J1386" i="47"/>
  <c r="C1059" i="44"/>
  <c r="J1567" i="47"/>
  <c r="C1060" i="44"/>
  <c r="J1716" i="47"/>
  <c r="C1061" i="44"/>
  <c r="J1809" i="47"/>
  <c r="C1062" i="44"/>
  <c r="J1906" i="47"/>
  <c r="C1063" i="44"/>
  <c r="J2015" i="47"/>
  <c r="C1064" i="44"/>
  <c r="C1065" i="44"/>
  <c r="C1066" i="44"/>
  <c r="J1810" i="47"/>
  <c r="C1067" i="44"/>
  <c r="J2016" i="47"/>
  <c r="C1074" i="44"/>
  <c r="J1645" i="47"/>
  <c r="C1075" i="44"/>
  <c r="J1935" i="47"/>
  <c r="J1939" i="47"/>
  <c r="C1076" i="44"/>
  <c r="C1077" i="44"/>
  <c r="J1646" i="47"/>
  <c r="C1078" i="44"/>
  <c r="J1632" i="47"/>
  <c r="J1633" i="47"/>
  <c r="C1079" i="44"/>
  <c r="J1923" i="47"/>
  <c r="J1924" i="47"/>
  <c r="C1080" i="44"/>
  <c r="J2036" i="47"/>
  <c r="J2037" i="47"/>
  <c r="J2101" i="47"/>
  <c r="J1347" i="47"/>
  <c r="J1720" i="47"/>
  <c r="J1286" i="47"/>
  <c r="J499" i="47"/>
  <c r="J1090" i="47"/>
  <c r="J1092" i="47"/>
  <c r="C22" i="19"/>
  <c r="J1002" i="47"/>
  <c r="J1008" i="47"/>
  <c r="A21" i="19"/>
  <c r="J632" i="47"/>
  <c r="J648" i="47"/>
  <c r="J1913" i="47"/>
  <c r="J1228" i="47"/>
  <c r="J450" i="47"/>
  <c r="J1552" i="47"/>
  <c r="J1387" i="47"/>
  <c r="J82" i="47"/>
  <c r="J1452" i="47"/>
  <c r="J1466" i="47"/>
  <c r="A32" i="19"/>
  <c r="J209" i="47"/>
  <c r="J1046" i="47"/>
  <c r="K2958" i="24"/>
  <c r="J340" i="47"/>
  <c r="J1608" i="47"/>
  <c r="J1624" i="47"/>
  <c r="J748" i="47"/>
  <c r="J39" i="47"/>
  <c r="J1941" i="47"/>
  <c r="J1812" i="47"/>
  <c r="J929" i="47"/>
  <c r="J1571" i="47"/>
  <c r="K2438" i="24"/>
  <c r="J1238" i="47"/>
  <c r="J1239" i="47"/>
  <c r="K2016" i="24"/>
  <c r="J143" i="47"/>
  <c r="J490" i="47"/>
  <c r="J1711" i="47"/>
  <c r="J77" i="47"/>
  <c r="K2946" i="24"/>
  <c r="J1996" i="47"/>
  <c r="J2009" i="47"/>
  <c r="J1181" i="47"/>
  <c r="J594" i="47"/>
  <c r="J1735" i="47"/>
  <c r="C14" i="19"/>
  <c r="E14" i="19"/>
  <c r="J1818" i="47"/>
  <c r="J1058" i="47"/>
  <c r="J87" i="47"/>
  <c r="J550" i="47"/>
  <c r="K2013" i="24"/>
  <c r="J145" i="47"/>
  <c r="K2465" i="24"/>
  <c r="J165" i="47"/>
  <c r="J1342" i="47"/>
  <c r="J545" i="47"/>
  <c r="K2937" i="24"/>
  <c r="J338" i="47"/>
  <c r="J1518" i="47"/>
  <c r="J1022" i="47"/>
  <c r="J529" i="47"/>
  <c r="J1726" i="47"/>
  <c r="J990" i="47"/>
  <c r="K2017" i="24"/>
  <c r="J149" i="47"/>
  <c r="C928" i="44"/>
  <c r="K11" i="13"/>
  <c r="C930" i="44"/>
  <c r="C932" i="44"/>
  <c r="J1296" i="47"/>
  <c r="J1297" i="47"/>
  <c r="J1307" i="47"/>
  <c r="K2512" i="24"/>
  <c r="J1401" i="47"/>
  <c r="J1402" i="47"/>
  <c r="J1404" i="47"/>
  <c r="K2467" i="24"/>
  <c r="J308" i="47"/>
  <c r="J310" i="47"/>
  <c r="A10" i="19"/>
  <c r="J192" i="47"/>
  <c r="J1277" i="47"/>
  <c r="K2962" i="24"/>
  <c r="J601" i="47"/>
  <c r="J603" i="47"/>
  <c r="J610" i="47"/>
  <c r="C16" i="19"/>
  <c r="K2940" i="24"/>
  <c r="J1208" i="47"/>
  <c r="J1212" i="47"/>
  <c r="J2067" i="47"/>
  <c r="J1418" i="47"/>
  <c r="J969" i="47"/>
  <c r="J478" i="47"/>
  <c r="J934" i="47"/>
  <c r="K2416" i="24"/>
  <c r="J1741" i="47"/>
  <c r="J1742" i="47"/>
  <c r="J1748" i="47"/>
  <c r="A23" i="19"/>
  <c r="J1900" i="47"/>
  <c r="J1958" i="47"/>
  <c r="J1376" i="47"/>
  <c r="J898" i="47"/>
  <c r="J1582" i="47"/>
  <c r="K2466" i="24"/>
  <c r="J163" i="47"/>
  <c r="K2441" i="24"/>
  <c r="J565" i="47"/>
  <c r="J573" i="47"/>
  <c r="J580" i="47"/>
  <c r="K2012" i="24"/>
  <c r="J151" i="47"/>
  <c r="K2508" i="24"/>
  <c r="J1072" i="47"/>
  <c r="J1073" i="47"/>
  <c r="J1075" i="47"/>
  <c r="J924" i="47"/>
  <c r="J1647" i="47"/>
  <c r="J1649" i="47"/>
  <c r="C33" i="44"/>
  <c r="J2021" i="47"/>
  <c r="J2025" i="47"/>
  <c r="J1053" i="47"/>
  <c r="J1221" i="47"/>
  <c r="J853" i="47"/>
  <c r="A24" i="19"/>
  <c r="J433" i="47"/>
  <c r="J2018" i="47"/>
  <c r="J48" i="47"/>
  <c r="C920" i="44"/>
  <c r="K13" i="13"/>
  <c r="C922" i="44"/>
  <c r="C924" i="44"/>
  <c r="J1242" i="47"/>
  <c r="J1243" i="47"/>
  <c r="J2053" i="47"/>
  <c r="J842" i="47"/>
  <c r="J1427" i="47"/>
  <c r="J1863" i="47"/>
  <c r="J1324" i="47"/>
  <c r="J1436" i="47"/>
  <c r="J864" i="47"/>
  <c r="J119" i="47"/>
  <c r="J2108" i="47"/>
  <c r="J1908" i="47"/>
  <c r="C946" i="44"/>
  <c r="K2352" i="24"/>
  <c r="J51" i="47"/>
  <c r="J52" i="47"/>
  <c r="K2515" i="24"/>
  <c r="J1662" i="47"/>
  <c r="J1666" i="47"/>
  <c r="K2510" i="24"/>
  <c r="J1842" i="47"/>
  <c r="J1843" i="47"/>
  <c r="J1845" i="47"/>
  <c r="J133" i="47"/>
  <c r="J981" i="47"/>
  <c r="J1804" i="47"/>
  <c r="J1766" i="47"/>
  <c r="J1267" i="47"/>
  <c r="J295" i="47"/>
  <c r="J1352" i="47"/>
  <c r="J555" i="47"/>
  <c r="J179" i="47"/>
  <c r="K2971" i="24"/>
  <c r="K2979" i="24"/>
  <c r="K2563" i="24"/>
  <c r="K2113" i="24"/>
  <c r="C74" i="38"/>
  <c r="K2444" i="24"/>
  <c r="K2521" i="24"/>
  <c r="K2977" i="24"/>
  <c r="K2976" i="24"/>
  <c r="K2144" i="24"/>
  <c r="K2062" i="24"/>
  <c r="C837" i="44"/>
  <c r="K2166" i="24"/>
  <c r="C867" i="44"/>
  <c r="K2972" i="24"/>
  <c r="K2967" i="24"/>
  <c r="K2948" i="24"/>
  <c r="K2974" i="24"/>
  <c r="K2970" i="24"/>
  <c r="K2935" i="24"/>
  <c r="K2956" i="24"/>
  <c r="K2949" i="24"/>
  <c r="K2953" i="24"/>
  <c r="K2978" i="24"/>
  <c r="K2959" i="24"/>
  <c r="K2982" i="24"/>
  <c r="K2985" i="24"/>
  <c r="K2983" i="24"/>
  <c r="K2980" i="24"/>
  <c r="K2973" i="24"/>
  <c r="K2963" i="24"/>
  <c r="K2984" i="24"/>
  <c r="K2417" i="24"/>
  <c r="K2511" i="24"/>
  <c r="K2846" i="24"/>
  <c r="K2415" i="24"/>
  <c r="K2514" i="24"/>
  <c r="K2507" i="24"/>
  <c r="C912" i="44"/>
  <c r="C877" i="44"/>
  <c r="K2483" i="24"/>
  <c r="K21" i="13"/>
  <c r="C879" i="44"/>
  <c r="K2442" i="24"/>
  <c r="K2555" i="24"/>
  <c r="K2542" i="24"/>
  <c r="K2549" i="24"/>
  <c r="K2550" i="24"/>
  <c r="K2557" i="24"/>
  <c r="K2556" i="24"/>
  <c r="K2553" i="24"/>
  <c r="K2554" i="24"/>
  <c r="K2560" i="24"/>
  <c r="K2564" i="24"/>
  <c r="K2561" i="24"/>
  <c r="K2545" i="24"/>
  <c r="K2551" i="24"/>
  <c r="C1081" i="44"/>
  <c r="C1068" i="44"/>
  <c r="C977" i="44"/>
  <c r="C958" i="44"/>
  <c r="C939" i="44"/>
  <c r="C857" i="44"/>
  <c r="C451" i="44"/>
  <c r="C439" i="44"/>
  <c r="C41" i="44"/>
  <c r="C15" i="44"/>
  <c r="K2023" i="24"/>
  <c r="K9" i="13"/>
  <c r="J1389" i="47"/>
  <c r="C29" i="19"/>
  <c r="J1253" i="47"/>
  <c r="A26" i="19"/>
  <c r="J501" i="47"/>
  <c r="J503" i="47"/>
  <c r="J1354" i="47"/>
  <c r="C28" i="19"/>
  <c r="J1820" i="47"/>
  <c r="C36" i="19"/>
  <c r="J557" i="47"/>
  <c r="C15" i="19"/>
  <c r="J1915" i="47"/>
  <c r="C39" i="19"/>
  <c r="J2110" i="47"/>
  <c r="C43" i="19"/>
  <c r="J1288" i="47"/>
  <c r="C26" i="19"/>
  <c r="J420" i="47"/>
  <c r="J452" i="47"/>
  <c r="C45" i="19"/>
  <c r="J1230" i="47"/>
  <c r="C24" i="19"/>
  <c r="J89" i="47"/>
  <c r="A37" i="19"/>
  <c r="J167" i="47"/>
  <c r="J1060" i="47"/>
  <c r="A16" i="19"/>
  <c r="J612" i="47"/>
  <c r="J1728" i="47"/>
  <c r="C37" i="19"/>
  <c r="A43" i="19"/>
  <c r="C34" i="19"/>
  <c r="J1626" i="47"/>
  <c r="A22" i="19"/>
  <c r="J1094" i="47"/>
  <c r="J1584" i="47"/>
  <c r="A41" i="19"/>
  <c r="A28" i="19"/>
  <c r="J866" i="47"/>
  <c r="C17" i="19"/>
  <c r="A17" i="19"/>
  <c r="A36" i="19"/>
  <c r="J155" i="47"/>
  <c r="J2027" i="47"/>
  <c r="C41" i="19"/>
  <c r="J1438" i="47"/>
  <c r="C30" i="19"/>
  <c r="A30" i="19"/>
  <c r="A39" i="19"/>
  <c r="J135" i="47"/>
  <c r="J936" i="47"/>
  <c r="J992" i="47"/>
  <c r="K2095" i="24"/>
  <c r="M2113" i="24"/>
  <c r="K2090" i="24"/>
  <c r="K2055" i="24"/>
  <c r="K2891" i="24"/>
  <c r="C881" i="44"/>
  <c r="K38" i="13"/>
  <c r="K395" i="24"/>
  <c r="K33" i="13"/>
  <c r="K22" i="13"/>
  <c r="K2547" i="24"/>
  <c r="K2541" i="24"/>
  <c r="C941" i="44"/>
  <c r="C943" i="44"/>
  <c r="K580" i="38"/>
  <c r="J1391" i="47"/>
  <c r="C13" i="19"/>
  <c r="J559" i="47"/>
  <c r="J1356" i="47"/>
  <c r="J1822" i="47"/>
  <c r="J1917" i="47"/>
  <c r="J211" i="47"/>
  <c r="A45" i="19"/>
  <c r="J1290" i="47"/>
  <c r="J1730" i="47"/>
  <c r="J2112" i="47"/>
  <c r="J1232" i="47"/>
  <c r="C23" i="19"/>
  <c r="J994" i="47"/>
  <c r="C21" i="19"/>
  <c r="J1062" i="47"/>
  <c r="C19" i="19"/>
  <c r="J938" i="47"/>
  <c r="J2029" i="47"/>
  <c r="J1440" i="47"/>
  <c r="C32" i="19"/>
  <c r="J1586" i="47"/>
  <c r="C10" i="19"/>
  <c r="J91" i="47"/>
  <c r="J868" i="47"/>
  <c r="C11" i="19"/>
  <c r="J137" i="47"/>
  <c r="C43" i="44"/>
  <c r="C45" i="44"/>
  <c r="C441" i="44"/>
  <c r="C443" i="44"/>
  <c r="C1070" i="44"/>
  <c r="C1072" i="44"/>
  <c r="F7" i="44"/>
  <c r="F8" i="44"/>
  <c r="F39" i="44"/>
  <c r="F40" i="44"/>
  <c r="F47" i="44"/>
  <c r="F790" i="44"/>
  <c r="F863" i="44"/>
  <c r="F864" i="44"/>
  <c r="F865" i="44"/>
  <c r="F876" i="44"/>
  <c r="F877" i="44"/>
  <c r="F890" i="44"/>
  <c r="F891" i="44"/>
  <c r="F892" i="44"/>
  <c r="F918" i="44"/>
  <c r="F920" i="44"/>
  <c r="F894" i="44"/>
  <c r="F897" i="44"/>
  <c r="F899" i="44"/>
  <c r="F900" i="44"/>
  <c r="F902" i="44"/>
  <c r="F906" i="44"/>
  <c r="F927" i="44"/>
  <c r="F928" i="44"/>
  <c r="F934" i="44"/>
  <c r="F935" i="44"/>
  <c r="F936" i="44"/>
  <c r="F937" i="44"/>
  <c r="F945" i="44"/>
  <c r="F946" i="44"/>
  <c r="F952" i="44"/>
  <c r="F953" i="44"/>
  <c r="F954" i="44"/>
  <c r="F955" i="44"/>
  <c r="F956" i="44"/>
  <c r="F957" i="44"/>
  <c r="F964" i="44"/>
  <c r="F965" i="44"/>
  <c r="F966" i="44"/>
  <c r="F967" i="44"/>
  <c r="F968" i="44"/>
  <c r="F969" i="44"/>
  <c r="F971" i="44"/>
  <c r="F974" i="44"/>
  <c r="F976" i="44"/>
  <c r="F1074" i="44"/>
  <c r="F1075" i="44"/>
  <c r="F1076" i="44"/>
  <c r="F1077" i="44"/>
  <c r="F1078" i="44"/>
  <c r="F1079" i="44"/>
  <c r="F1120" i="44"/>
  <c r="F1121" i="44"/>
  <c r="F1122" i="44"/>
  <c r="F1123" i="44"/>
  <c r="F1125" i="44"/>
  <c r="F1126" i="44"/>
  <c r="E7" i="44"/>
  <c r="E8" i="44"/>
  <c r="E39" i="44"/>
  <c r="E40" i="44"/>
  <c r="E451" i="44"/>
  <c r="E786" i="44"/>
  <c r="E787" i="44"/>
  <c r="E788" i="44"/>
  <c r="E789" i="44"/>
  <c r="E790" i="44"/>
  <c r="E791" i="44"/>
  <c r="E792" i="44"/>
  <c r="E793" i="44"/>
  <c r="E794" i="44"/>
  <c r="E795" i="44"/>
  <c r="E796" i="44"/>
  <c r="E797" i="44"/>
  <c r="E798" i="44"/>
  <c r="E799" i="44"/>
  <c r="E800" i="44"/>
  <c r="E801" i="44"/>
  <c r="E802" i="44"/>
  <c r="E803" i="44"/>
  <c r="E804" i="44"/>
  <c r="E805" i="44"/>
  <c r="E806" i="44"/>
  <c r="E807" i="44"/>
  <c r="E857" i="44"/>
  <c r="E863" i="44"/>
  <c r="E864" i="44"/>
  <c r="E865" i="44"/>
  <c r="E876" i="44"/>
  <c r="E877" i="44"/>
  <c r="E890" i="44"/>
  <c r="E891" i="44"/>
  <c r="E892" i="44"/>
  <c r="E918" i="44"/>
  <c r="E920" i="44"/>
  <c r="E894" i="44"/>
  <c r="E897" i="44"/>
  <c r="E899" i="44"/>
  <c r="E900" i="44"/>
  <c r="E902" i="44"/>
  <c r="E906" i="44"/>
  <c r="E927" i="44"/>
  <c r="E928" i="44"/>
  <c r="E934" i="44"/>
  <c r="E935" i="44"/>
  <c r="E936" i="44"/>
  <c r="E937" i="44"/>
  <c r="E945" i="44"/>
  <c r="E946" i="44"/>
  <c r="E952" i="44"/>
  <c r="E953" i="44"/>
  <c r="E954" i="44"/>
  <c r="E955" i="44"/>
  <c r="E956" i="44"/>
  <c r="E957" i="44"/>
  <c r="E964" i="44"/>
  <c r="E965" i="44"/>
  <c r="E966" i="44"/>
  <c r="E967" i="44"/>
  <c r="E968" i="44"/>
  <c r="E969" i="44"/>
  <c r="E971" i="44"/>
  <c r="E974" i="44"/>
  <c r="E976" i="44"/>
  <c r="E1074" i="44"/>
  <c r="E1075" i="44"/>
  <c r="E1076" i="44"/>
  <c r="E1077" i="44"/>
  <c r="E1078" i="44"/>
  <c r="E1079" i="44"/>
  <c r="E1120" i="44"/>
  <c r="E1121" i="44"/>
  <c r="E1122" i="44"/>
  <c r="E1123" i="44"/>
  <c r="E1125" i="44"/>
  <c r="E1126" i="44"/>
  <c r="D7" i="44"/>
  <c r="D8" i="44"/>
  <c r="D9" i="44"/>
  <c r="D13" i="44"/>
  <c r="D21" i="44"/>
  <c r="D24" i="44"/>
  <c r="D26" i="44"/>
  <c r="D29" i="44"/>
  <c r="D39" i="44"/>
  <c r="D40" i="44"/>
  <c r="D47" i="44"/>
  <c r="D439" i="44"/>
  <c r="E7" i="43"/>
  <c r="E8" i="43"/>
  <c r="E16" i="43"/>
  <c r="E17" i="43"/>
  <c r="E24" i="43"/>
  <c r="E25" i="43"/>
  <c r="E26" i="43"/>
  <c r="E27" i="43"/>
  <c r="E28" i="43"/>
  <c r="E43" i="43"/>
  <c r="E44" i="43"/>
  <c r="E45" i="43"/>
  <c r="E46" i="43"/>
  <c r="E47" i="43"/>
  <c r="E48" i="43"/>
  <c r="E61" i="43"/>
  <c r="E49" i="43"/>
  <c r="E50" i="43"/>
  <c r="E51" i="43"/>
  <c r="E52" i="43"/>
  <c r="E53" i="43"/>
  <c r="E54" i="43"/>
  <c r="E62" i="43"/>
  <c r="E69" i="43"/>
  <c r="E70" i="43"/>
  <c r="E71" i="43"/>
  <c r="E73" i="43"/>
  <c r="E78" i="43"/>
  <c r="E83" i="43"/>
  <c r="E85" i="43"/>
  <c r="E93" i="43"/>
  <c r="E94" i="43"/>
  <c r="E98" i="43"/>
  <c r="E105" i="43"/>
  <c r="E106" i="43"/>
  <c r="E107" i="43"/>
  <c r="E115" i="43"/>
  <c r="E117" i="43"/>
  <c r="E118" i="43"/>
  <c r="E119" i="43"/>
  <c r="E120" i="43"/>
  <c r="E121" i="43"/>
  <c r="E122" i="43"/>
  <c r="E123" i="43"/>
  <c r="E125" i="43"/>
  <c r="E126" i="43"/>
  <c r="E133" i="43"/>
  <c r="E134" i="43"/>
  <c r="E135" i="43"/>
  <c r="E137" i="43"/>
  <c r="E138" i="43"/>
  <c r="E139" i="43"/>
  <c r="E140" i="43"/>
  <c r="E141" i="43"/>
  <c r="E142" i="43"/>
  <c r="E143" i="43"/>
  <c r="E144" i="43"/>
  <c r="E145" i="43"/>
  <c r="E152" i="43"/>
  <c r="E156" i="43"/>
  <c r="E162" i="43"/>
  <c r="E164" i="43"/>
  <c r="E170" i="43"/>
  <c r="E265" i="43"/>
  <c r="E275" i="43"/>
  <c r="E276" i="43"/>
  <c r="E278" i="43"/>
  <c r="E279" i="43"/>
  <c r="E280" i="43"/>
  <c r="E281" i="43"/>
  <c r="E267" i="43"/>
  <c r="E9" i="43"/>
  <c r="E6" i="43"/>
  <c r="D81" i="43"/>
  <c r="D8" i="43"/>
  <c r="D16" i="43"/>
  <c r="D17" i="43"/>
  <c r="D24" i="43"/>
  <c r="D25" i="43"/>
  <c r="D26" i="43"/>
  <c r="D27" i="43"/>
  <c r="D28" i="43"/>
  <c r="D43" i="43"/>
  <c r="D44" i="43"/>
  <c r="D45" i="43"/>
  <c r="D46" i="43"/>
  <c r="D47" i="43"/>
  <c r="D48" i="43"/>
  <c r="D61" i="43"/>
  <c r="D49" i="43"/>
  <c r="D50" i="43"/>
  <c r="D51" i="43"/>
  <c r="D52" i="43"/>
  <c r="D53" i="43"/>
  <c r="D54" i="43"/>
  <c r="D62" i="43"/>
  <c r="D69" i="43"/>
  <c r="D70" i="43"/>
  <c r="D71" i="43"/>
  <c r="D73" i="43"/>
  <c r="D78" i="43"/>
  <c r="D79" i="43"/>
  <c r="D83" i="43"/>
  <c r="D85" i="43"/>
  <c r="D93" i="43"/>
  <c r="D94" i="43"/>
  <c r="D98" i="43"/>
  <c r="D105" i="43"/>
  <c r="D106" i="43"/>
  <c r="D107" i="43"/>
  <c r="D115" i="43"/>
  <c r="D117" i="43"/>
  <c r="D118" i="43"/>
  <c r="D119" i="43"/>
  <c r="D120" i="43"/>
  <c r="D122" i="43"/>
  <c r="D123" i="43"/>
  <c r="D125" i="43"/>
  <c r="D126" i="43"/>
  <c r="D133" i="43"/>
  <c r="D134" i="43"/>
  <c r="D135" i="43"/>
  <c r="D137" i="43"/>
  <c r="D138" i="43"/>
  <c r="D139" i="43"/>
  <c r="D140" i="43"/>
  <c r="D141" i="43"/>
  <c r="D142" i="43"/>
  <c r="D143" i="43"/>
  <c r="D144" i="43"/>
  <c r="D145" i="43"/>
  <c r="D152" i="43"/>
  <c r="D156" i="43"/>
  <c r="D162" i="43"/>
  <c r="D164" i="43"/>
  <c r="D170" i="43"/>
  <c r="D265" i="43"/>
  <c r="D275" i="43"/>
  <c r="D276" i="43"/>
  <c r="D278" i="43"/>
  <c r="D279" i="43"/>
  <c r="D280" i="43"/>
  <c r="D281" i="43"/>
  <c r="D267" i="43"/>
  <c r="D9" i="43"/>
  <c r="D6" i="43"/>
  <c r="C8" i="43"/>
  <c r="C16" i="43"/>
  <c r="C17" i="43"/>
  <c r="C24" i="43"/>
  <c r="C25" i="43"/>
  <c r="C26" i="43"/>
  <c r="C27" i="43"/>
  <c r="K987" i="6"/>
  <c r="C28" i="43"/>
  <c r="C43" i="43"/>
  <c r="C44" i="43"/>
  <c r="C45" i="43"/>
  <c r="G118" i="6"/>
  <c r="I294" i="6"/>
  <c r="C46" i="43"/>
  <c r="C47" i="43"/>
  <c r="C48" i="43"/>
  <c r="C61" i="43"/>
  <c r="C49" i="43"/>
  <c r="C50" i="43"/>
  <c r="C51" i="43"/>
  <c r="C52" i="43"/>
  <c r="C53" i="43"/>
  <c r="C54" i="43"/>
  <c r="C69" i="43"/>
  <c r="C70" i="43"/>
  <c r="C71" i="43"/>
  <c r="C73" i="43"/>
  <c r="C78" i="43"/>
  <c r="C79" i="43"/>
  <c r="C81" i="43"/>
  <c r="C83" i="43"/>
  <c r="C85" i="43"/>
  <c r="C93" i="43"/>
  <c r="C94" i="43"/>
  <c r="C98" i="43"/>
  <c r="K883" i="6"/>
  <c r="C105" i="43"/>
  <c r="C106" i="43"/>
  <c r="C107" i="43"/>
  <c r="C115" i="43"/>
  <c r="K1164" i="24"/>
  <c r="C117" i="43"/>
  <c r="K1166" i="24"/>
  <c r="M3804" i="24"/>
  <c r="C133" i="43"/>
  <c r="C135" i="43"/>
  <c r="C137" i="43"/>
  <c r="C138" i="43"/>
  <c r="C140" i="43"/>
  <c r="C141" i="43"/>
  <c r="C142" i="43"/>
  <c r="C143" i="43"/>
  <c r="C144" i="43"/>
  <c r="C145" i="43"/>
  <c r="C152" i="43"/>
  <c r="C156" i="43"/>
  <c r="C162" i="43"/>
  <c r="C208" i="43"/>
  <c r="C210" i="43"/>
  <c r="C209" i="43"/>
  <c r="C211" i="43"/>
  <c r="C172" i="43"/>
  <c r="C174" i="43"/>
  <c r="C176" i="43"/>
  <c r="C191" i="43"/>
  <c r="C193" i="43"/>
  <c r="C195" i="43"/>
  <c r="C201" i="43"/>
  <c r="C203" i="43"/>
  <c r="C204" i="43"/>
  <c r="C206" i="43"/>
  <c r="C212" i="43"/>
  <c r="C214" i="43"/>
  <c r="C216" i="43"/>
  <c r="C218" i="43"/>
  <c r="C220" i="43"/>
  <c r="C226" i="43"/>
  <c r="C228" i="43"/>
  <c r="C230" i="43"/>
  <c r="C232" i="43"/>
  <c r="C265" i="43"/>
  <c r="C275" i="43"/>
  <c r="C276" i="43"/>
  <c r="C278" i="43"/>
  <c r="C279" i="43"/>
  <c r="C280" i="43"/>
  <c r="C281" i="43"/>
  <c r="C267" i="43"/>
  <c r="K1421" i="24"/>
  <c r="C9" i="43"/>
  <c r="K1422" i="24"/>
  <c r="J454" i="47"/>
  <c r="H259" i="43"/>
  <c r="H5" i="43"/>
  <c r="K882" i="6"/>
  <c r="K3211" i="24"/>
  <c r="G123" i="6"/>
  <c r="G125" i="6"/>
  <c r="C259" i="43"/>
  <c r="D259" i="43"/>
  <c r="E259" i="43"/>
  <c r="C164" i="43"/>
  <c r="K349" i="24"/>
  <c r="H164" i="43"/>
  <c r="E912" i="44"/>
  <c r="F912" i="44"/>
  <c r="D29" i="43"/>
  <c r="E29" i="43"/>
  <c r="C29" i="43"/>
  <c r="D63" i="43"/>
  <c r="E63" i="43"/>
  <c r="G451" i="6"/>
  <c r="E10" i="43"/>
  <c r="C282" i="43"/>
  <c r="C268" i="43"/>
  <c r="D282" i="43"/>
  <c r="D284" i="43"/>
  <c r="E268" i="43"/>
  <c r="E282" i="43"/>
  <c r="E284" i="43"/>
  <c r="D268" i="43"/>
  <c r="K1420" i="24"/>
  <c r="K601" i="24"/>
  <c r="K1302" i="24"/>
  <c r="K948" i="6"/>
  <c r="K5011" i="24"/>
  <c r="C87" i="43"/>
  <c r="D87" i="43"/>
  <c r="E87" i="43"/>
  <c r="E867" i="44"/>
  <c r="D99" i="43"/>
  <c r="E146" i="43"/>
  <c r="D146" i="43"/>
  <c r="C127" i="43"/>
  <c r="D127" i="43"/>
  <c r="E127" i="43"/>
  <c r="D109" i="43"/>
  <c r="E109" i="43"/>
  <c r="C109" i="43"/>
  <c r="E99" i="43"/>
  <c r="C99" i="43"/>
  <c r="E55" i="43"/>
  <c r="C55" i="43"/>
  <c r="D55" i="43"/>
  <c r="F867" i="44"/>
  <c r="E1081" i="44"/>
  <c r="F1081" i="44"/>
  <c r="E1068" i="44"/>
  <c r="F1068" i="44"/>
  <c r="E977" i="44"/>
  <c r="F977" i="44"/>
  <c r="E958" i="44"/>
  <c r="F958" i="44"/>
  <c r="E939" i="44"/>
  <c r="F939" i="44"/>
  <c r="E837" i="44"/>
  <c r="F837" i="44"/>
  <c r="E41" i="44"/>
  <c r="F439" i="44"/>
  <c r="E439" i="44"/>
  <c r="F41" i="44"/>
  <c r="D41" i="44"/>
  <c r="E33" i="44"/>
  <c r="D33" i="44"/>
  <c r="E15" i="44"/>
  <c r="D15" i="44"/>
  <c r="F15" i="44"/>
  <c r="G911" i="44"/>
  <c r="G904" i="44"/>
  <c r="I2048" i="47"/>
  <c r="G816" i="44"/>
  <c r="G815" i="44"/>
  <c r="I2040" i="47"/>
  <c r="I2041" i="47"/>
  <c r="G1080" i="44"/>
  <c r="I2036" i="47"/>
  <c r="I2037" i="47"/>
  <c r="G1023" i="44"/>
  <c r="I2107" i="47"/>
  <c r="I2106" i="47"/>
  <c r="G1029" i="44"/>
  <c r="I2105" i="47"/>
  <c r="G1014" i="44"/>
  <c r="I2104" i="47"/>
  <c r="G503" i="44"/>
  <c r="I2099" i="47"/>
  <c r="G549" i="44"/>
  <c r="I2098" i="47"/>
  <c r="G562" i="44"/>
  <c r="I2097" i="47"/>
  <c r="G756" i="44"/>
  <c r="I2096" i="47"/>
  <c r="G742" i="44"/>
  <c r="I2095" i="47"/>
  <c r="G602" i="44"/>
  <c r="I2093" i="47"/>
  <c r="G652" i="44"/>
  <c r="I2092" i="47"/>
  <c r="G642" i="44"/>
  <c r="I2091" i="47"/>
  <c r="G854" i="44"/>
  <c r="I2086" i="47"/>
  <c r="I2088" i="47"/>
  <c r="G7" i="44"/>
  <c r="G450" i="44"/>
  <c r="I2078" i="47"/>
  <c r="I2079" i="47"/>
  <c r="G449" i="44"/>
  <c r="G31" i="44"/>
  <c r="I2070" i="47"/>
  <c r="I2071" i="47"/>
  <c r="G438" i="44"/>
  <c r="I2066" i="47"/>
  <c r="G313" i="44"/>
  <c r="I2065" i="47"/>
  <c r="G265" i="44"/>
  <c r="I2064" i="47"/>
  <c r="G402" i="44"/>
  <c r="I2063" i="47"/>
  <c r="G401" i="44"/>
  <c r="I2062" i="47"/>
  <c r="G235" i="44"/>
  <c r="I2061" i="47"/>
  <c r="G282" i="44"/>
  <c r="I2060" i="47"/>
  <c r="G95" i="44"/>
  <c r="I2059" i="47"/>
  <c r="G144" i="44"/>
  <c r="I2058" i="47"/>
  <c r="G349" i="44"/>
  <c r="I2057" i="47"/>
  <c r="G898" i="44"/>
  <c r="I1937" i="47"/>
  <c r="G1075" i="44"/>
  <c r="I1935" i="47"/>
  <c r="G824" i="44"/>
  <c r="I1931" i="47"/>
  <c r="I1932" i="47"/>
  <c r="G1079" i="44"/>
  <c r="I1923" i="47"/>
  <c r="I1924" i="47"/>
  <c r="G187" i="44"/>
  <c r="I2024" i="47"/>
  <c r="G186" i="44"/>
  <c r="I2023" i="47"/>
  <c r="G164" i="44"/>
  <c r="I2022" i="47"/>
  <c r="G23" i="44"/>
  <c r="I2021" i="47"/>
  <c r="I2017" i="47"/>
  <c r="I2016" i="47"/>
  <c r="I2015" i="47"/>
  <c r="G1035" i="44"/>
  <c r="I2014" i="47"/>
  <c r="I2013" i="47"/>
  <c r="I2012" i="47"/>
  <c r="G14" i="44"/>
  <c r="I2006" i="47"/>
  <c r="G13" i="44"/>
  <c r="I2005" i="47"/>
  <c r="G502" i="44"/>
  <c r="I2004" i="47"/>
  <c r="G548" i="44"/>
  <c r="I2003" i="47"/>
  <c r="G716" i="44"/>
  <c r="I2002" i="47"/>
  <c r="G561" i="44"/>
  <c r="I2001" i="47"/>
  <c r="G755" i="44"/>
  <c r="I2000" i="47"/>
  <c r="G695" i="44"/>
  <c r="I1999" i="47"/>
  <c r="G478" i="44"/>
  <c r="I1998" i="47"/>
  <c r="G741" i="44"/>
  <c r="I1997" i="47"/>
  <c r="G471" i="44"/>
  <c r="G713" i="44"/>
  <c r="I1995" i="47"/>
  <c r="G533" i="44"/>
  <c r="I1994" i="47"/>
  <c r="G524" i="44"/>
  <c r="I1993" i="47"/>
  <c r="G601" i="44"/>
  <c r="I1992" i="47"/>
  <c r="G569" i="44"/>
  <c r="I1991" i="47"/>
  <c r="G594" i="44"/>
  <c r="I1990" i="47"/>
  <c r="G621" i="44"/>
  <c r="I1989" i="47"/>
  <c r="G620" i="44"/>
  <c r="I1988" i="47"/>
  <c r="G641" i="44"/>
  <c r="I1987" i="47"/>
  <c r="G654" i="44"/>
  <c r="G853" i="44"/>
  <c r="I1981" i="47"/>
  <c r="I1984" i="47"/>
  <c r="G8" i="44"/>
  <c r="G448" i="44"/>
  <c r="I1973" i="47"/>
  <c r="I1974" i="47"/>
  <c r="G875" i="44"/>
  <c r="I1969" i="47"/>
  <c r="I1970" i="47"/>
  <c r="G30" i="44"/>
  <c r="I1965" i="47"/>
  <c r="I1966" i="47"/>
  <c r="G29" i="44"/>
  <c r="I1961" i="47"/>
  <c r="I1962" i="47"/>
  <c r="G437" i="44"/>
  <c r="I1957" i="47"/>
  <c r="G312" i="44"/>
  <c r="I1956" i="47"/>
  <c r="G264" i="44"/>
  <c r="I1955" i="47"/>
  <c r="G400" i="44"/>
  <c r="I1954" i="47"/>
  <c r="G399" i="44"/>
  <c r="I1953" i="47"/>
  <c r="G234" i="44"/>
  <c r="I1952" i="47"/>
  <c r="G72" i="44"/>
  <c r="I1951" i="47"/>
  <c r="G281" i="44"/>
  <c r="I1950" i="47"/>
  <c r="G205" i="44"/>
  <c r="I1949" i="47"/>
  <c r="G116" i="44"/>
  <c r="I1948" i="47"/>
  <c r="G94" i="44"/>
  <c r="I1947" i="47"/>
  <c r="G143" i="44"/>
  <c r="I1946" i="47"/>
  <c r="G348" i="44"/>
  <c r="I1945" i="47"/>
  <c r="G892" i="44"/>
  <c r="G835" i="44"/>
  <c r="I2296" i="24"/>
  <c r="G788" i="44"/>
  <c r="I1837" i="47"/>
  <c r="G823" i="44"/>
  <c r="I1836" i="47"/>
  <c r="G814" i="44"/>
  <c r="I1832" i="47"/>
  <c r="I1833" i="47"/>
  <c r="G974" i="44"/>
  <c r="I1828" i="47"/>
  <c r="I1829" i="47"/>
  <c r="G185" i="44"/>
  <c r="I1912" i="47"/>
  <c r="G163" i="44"/>
  <c r="I1911" i="47"/>
  <c r="G1027" i="44"/>
  <c r="I1907" i="47"/>
  <c r="I1906" i="47"/>
  <c r="I1905" i="47"/>
  <c r="G1046" i="44"/>
  <c r="I1904" i="47"/>
  <c r="G990" i="44"/>
  <c r="I1903" i="47"/>
  <c r="G501" i="44"/>
  <c r="I1897" i="47"/>
  <c r="G547" i="44"/>
  <c r="I1896" i="47"/>
  <c r="G560" i="44"/>
  <c r="I1895" i="47"/>
  <c r="G754" i="44"/>
  <c r="I1894" i="47"/>
  <c r="G694" i="44"/>
  <c r="I1893" i="47"/>
  <c r="G484" i="44"/>
  <c r="I1892" i="47"/>
  <c r="G740" i="44"/>
  <c r="I1891" i="47"/>
  <c r="G712" i="44"/>
  <c r="I1890" i="47"/>
  <c r="G649" i="44"/>
  <c r="I1888" i="47"/>
  <c r="G600" i="44"/>
  <c r="I1887" i="47"/>
  <c r="G568" i="44"/>
  <c r="I1886" i="47"/>
  <c r="G593" i="44"/>
  <c r="I1885" i="47"/>
  <c r="G619" i="44"/>
  <c r="I1884" i="47"/>
  <c r="G640" i="44"/>
  <c r="I1882" i="47"/>
  <c r="G463" i="44"/>
  <c r="I1881" i="47"/>
  <c r="G836" i="44"/>
  <c r="G874" i="44"/>
  <c r="G28" i="44"/>
  <c r="I1866" i="47"/>
  <c r="I1867" i="47"/>
  <c r="G436" i="44"/>
  <c r="I1862" i="47"/>
  <c r="G311" i="44"/>
  <c r="I1861" i="47"/>
  <c r="G263" i="44"/>
  <c r="I1860" i="47"/>
  <c r="G398" i="44"/>
  <c r="I1859" i="47"/>
  <c r="G397" i="44"/>
  <c r="I1858" i="47"/>
  <c r="G233" i="44"/>
  <c r="I1857" i="47"/>
  <c r="G112" i="44"/>
  <c r="I1856" i="47"/>
  <c r="G71" i="44"/>
  <c r="I1855" i="47"/>
  <c r="G280" i="44"/>
  <c r="I1854" i="47"/>
  <c r="G204" i="44"/>
  <c r="I1853" i="47"/>
  <c r="G115" i="44"/>
  <c r="I1852" i="47"/>
  <c r="G93" i="44"/>
  <c r="I1851" i="47"/>
  <c r="G142" i="44"/>
  <c r="I1850" i="47"/>
  <c r="G347" i="44"/>
  <c r="I1849" i="47"/>
  <c r="G813" i="44"/>
  <c r="I1745" i="47"/>
  <c r="I1746" i="47"/>
  <c r="G1076" i="44"/>
  <c r="G184" i="44"/>
  <c r="I1817" i="47"/>
  <c r="G162" i="44"/>
  <c r="I1816" i="47"/>
  <c r="G1019" i="44"/>
  <c r="I1815" i="47"/>
  <c r="I1811" i="47"/>
  <c r="G1066" i="44"/>
  <c r="I1810" i="47"/>
  <c r="I1809" i="47"/>
  <c r="I1808" i="47"/>
  <c r="G1045" i="44"/>
  <c r="I1807" i="47"/>
  <c r="G500" i="44"/>
  <c r="I1802" i="47"/>
  <c r="G546" i="44"/>
  <c r="I1801" i="47"/>
  <c r="G559" i="44"/>
  <c r="I1800" i="47"/>
  <c r="G753" i="44"/>
  <c r="I1799" i="47"/>
  <c r="G693" i="44"/>
  <c r="I1798" i="47"/>
  <c r="G477" i="44"/>
  <c r="I1797" i="47"/>
  <c r="G739" i="44"/>
  <c r="I1796" i="47"/>
  <c r="G711" i="44"/>
  <c r="I1795" i="47"/>
  <c r="G522" i="44"/>
  <c r="I1794" i="47"/>
  <c r="G648" i="44"/>
  <c r="I1793" i="47"/>
  <c r="G599" i="44"/>
  <c r="I1792" i="47"/>
  <c r="G567" i="44"/>
  <c r="I1791" i="47"/>
  <c r="G566" i="44"/>
  <c r="I1790" i="47"/>
  <c r="G618" i="44"/>
  <c r="I1789" i="47"/>
  <c r="G852" i="44"/>
  <c r="I1785" i="47"/>
  <c r="I1786" i="47"/>
  <c r="G447" i="44"/>
  <c r="G873" i="44"/>
  <c r="I1777" i="47"/>
  <c r="I1778" i="47"/>
  <c r="G27" i="44"/>
  <c r="I1773" i="47"/>
  <c r="I1774" i="47"/>
  <c r="G26" i="44"/>
  <c r="I1769" i="47"/>
  <c r="I1770" i="47"/>
  <c r="G435" i="44"/>
  <c r="I1765" i="47"/>
  <c r="G310" i="44"/>
  <c r="I1764" i="47"/>
  <c r="G262" i="44"/>
  <c r="I1763" i="47"/>
  <c r="G396" i="44"/>
  <c r="I1762" i="47"/>
  <c r="G395" i="44"/>
  <c r="I1761" i="47"/>
  <c r="G232" i="44"/>
  <c r="I1760" i="47"/>
  <c r="G407" i="44"/>
  <c r="I1759" i="47"/>
  <c r="G70" i="44"/>
  <c r="I1758" i="47"/>
  <c r="G279" i="44"/>
  <c r="I1757" i="47"/>
  <c r="G203" i="44"/>
  <c r="I1756" i="47"/>
  <c r="G114" i="44"/>
  <c r="I1755" i="47"/>
  <c r="G92" i="44"/>
  <c r="I1754" i="47"/>
  <c r="G141" i="44"/>
  <c r="I1753" i="47"/>
  <c r="G346" i="44"/>
  <c r="I1752" i="47"/>
  <c r="G319" i="44"/>
  <c r="I1734" i="47"/>
  <c r="I1735" i="47"/>
  <c r="G1077" i="44"/>
  <c r="I1646" i="47"/>
  <c r="G1074" i="44"/>
  <c r="I1645" i="47"/>
  <c r="G833" i="44"/>
  <c r="I2178" i="24"/>
  <c r="G822" i="44"/>
  <c r="I1640" i="47"/>
  <c r="I1642" i="47"/>
  <c r="G812" i="44"/>
  <c r="I1636" i="47"/>
  <c r="I1637" i="47"/>
  <c r="G1078" i="44"/>
  <c r="I1632" i="47"/>
  <c r="I1633" i="47"/>
  <c r="G183" i="44"/>
  <c r="I1725" i="47"/>
  <c r="G161" i="44"/>
  <c r="I1724" i="47"/>
  <c r="G1018" i="44"/>
  <c r="I1723" i="47"/>
  <c r="G1017" i="44"/>
  <c r="I1719" i="47"/>
  <c r="I1717" i="47"/>
  <c r="G1050" i="44"/>
  <c r="I1716" i="47"/>
  <c r="I1715" i="47"/>
  <c r="I1714" i="47"/>
  <c r="G12" i="44"/>
  <c r="I1707" i="47"/>
  <c r="G11" i="44"/>
  <c r="I1706" i="47"/>
  <c r="G499" i="44"/>
  <c r="I1705" i="47"/>
  <c r="G545" i="44"/>
  <c r="I1704" i="47"/>
  <c r="G558" i="44"/>
  <c r="I1703" i="47"/>
  <c r="G752" i="44"/>
  <c r="I1702" i="47"/>
  <c r="G692" i="44"/>
  <c r="I1701" i="47"/>
  <c r="G476" i="44"/>
  <c r="I1700" i="47"/>
  <c r="G738" i="44"/>
  <c r="I1699" i="47"/>
  <c r="G710" i="44"/>
  <c r="I1698" i="47"/>
  <c r="G521" i="44"/>
  <c r="I1697" i="47"/>
  <c r="G647" i="44"/>
  <c r="I1696" i="47"/>
  <c r="G598" i="44"/>
  <c r="I1695" i="47"/>
  <c r="G565" i="44"/>
  <c r="I1694" i="47"/>
  <c r="G592" i="44"/>
  <c r="I1693" i="47"/>
  <c r="G617" i="44"/>
  <c r="I1692" i="47"/>
  <c r="G639" i="44"/>
  <c r="I1691" i="47"/>
  <c r="G834" i="44"/>
  <c r="G851" i="44"/>
  <c r="G1125" i="44"/>
  <c r="G446" i="44"/>
  <c r="G25" i="44"/>
  <c r="I1673" i="47"/>
  <c r="I1674" i="47"/>
  <c r="G24" i="44"/>
  <c r="I1669" i="47"/>
  <c r="I1670" i="47"/>
  <c r="G434" i="44"/>
  <c r="I1665" i="47"/>
  <c r="G309" i="44"/>
  <c r="I1664" i="47"/>
  <c r="G261" i="44"/>
  <c r="I1663" i="47"/>
  <c r="G905" i="44"/>
  <c r="I1662" i="47"/>
  <c r="G394" i="44"/>
  <c r="I1661" i="47"/>
  <c r="G231" i="44"/>
  <c r="I1660" i="47"/>
  <c r="G406" i="44"/>
  <c r="I1659" i="47"/>
  <c r="G69" i="44"/>
  <c r="I1658" i="47"/>
  <c r="G278" i="44"/>
  <c r="I1657" i="47"/>
  <c r="G113" i="44"/>
  <c r="I1656" i="47"/>
  <c r="G91" i="44"/>
  <c r="I1655" i="47"/>
  <c r="G140" i="44"/>
  <c r="I1654" i="47"/>
  <c r="G345" i="44"/>
  <c r="I1653" i="47"/>
  <c r="G919" i="44"/>
  <c r="G1043" i="44"/>
  <c r="I1621" i="47"/>
  <c r="I1622" i="47"/>
  <c r="G557" i="44"/>
  <c r="I1617" i="47"/>
  <c r="G751" i="44"/>
  <c r="I1616" i="47"/>
  <c r="G475" i="44"/>
  <c r="I1615" i="47"/>
  <c r="G737" i="44"/>
  <c r="I1614" i="47"/>
  <c r="G709" i="44"/>
  <c r="I1613" i="47"/>
  <c r="G520" i="44"/>
  <c r="I1612" i="47"/>
  <c r="G638" i="44"/>
  <c r="I1611" i="47"/>
  <c r="G433" i="44"/>
  <c r="I1607" i="47"/>
  <c r="G308" i="44"/>
  <c r="I1606" i="47"/>
  <c r="G260" i="44"/>
  <c r="I1605" i="47"/>
  <c r="G393" i="44"/>
  <c r="I1604" i="47"/>
  <c r="G392" i="44"/>
  <c r="I1603" i="47"/>
  <c r="G230" i="44"/>
  <c r="I1602" i="47"/>
  <c r="G90" i="44"/>
  <c r="I1601" i="47"/>
  <c r="G139" i="44"/>
  <c r="I1600" i="47"/>
  <c r="G344" i="44"/>
  <c r="I1599" i="47"/>
  <c r="G910" i="44"/>
  <c r="I1462" i="47"/>
  <c r="I1464" i="47"/>
  <c r="G811" i="44"/>
  <c r="G810" i="44"/>
  <c r="G966" i="44"/>
  <c r="I1450" i="47"/>
  <c r="G965" i="44"/>
  <c r="I1448" i="47"/>
  <c r="G970" i="44"/>
  <c r="I1446" i="47"/>
  <c r="G182" i="44"/>
  <c r="I1580" i="47"/>
  <c r="G181" i="44"/>
  <c r="I1578" i="47"/>
  <c r="G160" i="44"/>
  <c r="I1576" i="47"/>
  <c r="G159" i="44"/>
  <c r="I1574" i="47"/>
  <c r="G1013" i="44"/>
  <c r="I1569" i="47"/>
  <c r="I1567" i="47"/>
  <c r="I1565" i="47"/>
  <c r="I1563" i="47"/>
  <c r="G1042" i="44"/>
  <c r="I1561" i="47"/>
  <c r="I1559" i="47"/>
  <c r="I1557" i="47"/>
  <c r="G987" i="44"/>
  <c r="I1555" i="47"/>
  <c r="G10" i="44"/>
  <c r="I1546" i="47"/>
  <c r="G498" i="44"/>
  <c r="I1544" i="47"/>
  <c r="G544" i="44"/>
  <c r="I1542" i="47"/>
  <c r="G556" i="44"/>
  <c r="I1540" i="47"/>
  <c r="G750" i="44"/>
  <c r="I1538" i="47"/>
  <c r="G736" i="44"/>
  <c r="I1536" i="47"/>
  <c r="G708" i="44"/>
  <c r="I1534" i="47"/>
  <c r="G519" i="44"/>
  <c r="I1532" i="47"/>
  <c r="G637" i="44"/>
  <c r="I1528" i="47"/>
  <c r="G462" i="44"/>
  <c r="I1526" i="47"/>
  <c r="G445" i="44"/>
  <c r="G432" i="44"/>
  <c r="I1516" i="47"/>
  <c r="G431" i="44"/>
  <c r="I1514" i="47"/>
  <c r="G307" i="44"/>
  <c r="I1512" i="47"/>
  <c r="G306" i="44"/>
  <c r="I1510" i="47"/>
  <c r="G259" i="44"/>
  <c r="I1508" i="47"/>
  <c r="G258" i="44"/>
  <c r="I1506" i="47"/>
  <c r="G391" i="44"/>
  <c r="I1504" i="47"/>
  <c r="G390" i="44"/>
  <c r="I1502" i="47"/>
  <c r="G389" i="44"/>
  <c r="I1500" i="47"/>
  <c r="G388" i="44"/>
  <c r="I1498" i="47"/>
  <c r="G229" i="44"/>
  <c r="I1496" i="47"/>
  <c r="G228" i="44"/>
  <c r="I1494" i="47"/>
  <c r="G405" i="44"/>
  <c r="I1492" i="47"/>
  <c r="G68" i="44"/>
  <c r="I1490" i="47"/>
  <c r="G67" i="44"/>
  <c r="I1488" i="47"/>
  <c r="G277" i="44"/>
  <c r="I1486" i="47"/>
  <c r="G276" i="44"/>
  <c r="I1484" i="47"/>
  <c r="G202" i="44"/>
  <c r="I1482" i="47"/>
  <c r="G201" i="44"/>
  <c r="I1480" i="47"/>
  <c r="G89" i="44"/>
  <c r="I1478" i="47"/>
  <c r="G138" i="44"/>
  <c r="I1476" i="47"/>
  <c r="G137" i="44"/>
  <c r="I1474" i="47"/>
  <c r="G343" i="44"/>
  <c r="I1472" i="47"/>
  <c r="G342" i="44"/>
  <c r="I1470" i="47"/>
  <c r="G897" i="44"/>
  <c r="I1401" i="47"/>
  <c r="G895" i="44"/>
  <c r="I1400" i="47"/>
  <c r="G809" i="44"/>
  <c r="I1396" i="47"/>
  <c r="I1397" i="47"/>
  <c r="G180" i="44"/>
  <c r="I1435" i="47"/>
  <c r="G158" i="44"/>
  <c r="I1434" i="47"/>
  <c r="I1430" i="47"/>
  <c r="I1431" i="47"/>
  <c r="G497" i="44"/>
  <c r="I1426" i="47"/>
  <c r="G735" i="44"/>
  <c r="I1424" i="47"/>
  <c r="G564" i="44"/>
  <c r="I1423" i="47"/>
  <c r="G591" i="44"/>
  <c r="I1422" i="47"/>
  <c r="G461" i="44"/>
  <c r="I1421" i="47"/>
  <c r="G430" i="44"/>
  <c r="I1417" i="47"/>
  <c r="G305" i="44"/>
  <c r="I1416" i="47"/>
  <c r="G257" i="44"/>
  <c r="I1415" i="47"/>
  <c r="G387" i="44"/>
  <c r="I1414" i="47"/>
  <c r="G386" i="44"/>
  <c r="I1413" i="47"/>
  <c r="G227" i="44"/>
  <c r="I1412" i="47"/>
  <c r="G66" i="44"/>
  <c r="I1411" i="47"/>
  <c r="G275" i="44"/>
  <c r="I1410" i="47"/>
  <c r="G136" i="44"/>
  <c r="I1409" i="47"/>
  <c r="G341" i="44"/>
  <c r="I1408" i="47"/>
  <c r="G808" i="44"/>
  <c r="I1362" i="47"/>
  <c r="I1363" i="47"/>
  <c r="I1365" i="47"/>
  <c r="G1058" i="44"/>
  <c r="I1386" i="47"/>
  <c r="G1010" i="44"/>
  <c r="I1385" i="47"/>
  <c r="G1040" i="44"/>
  <c r="I1384" i="47"/>
  <c r="G749" i="44"/>
  <c r="I1380" i="47"/>
  <c r="G518" i="44"/>
  <c r="I1379" i="47"/>
  <c r="G429" i="44"/>
  <c r="I1375" i="47"/>
  <c r="G304" i="44"/>
  <c r="I1374" i="47"/>
  <c r="G256" i="44"/>
  <c r="I1373" i="47"/>
  <c r="G226" i="44"/>
  <c r="I1372" i="47"/>
  <c r="G65" i="44"/>
  <c r="I1371" i="47"/>
  <c r="G88" i="44"/>
  <c r="I1370" i="47"/>
  <c r="G340" i="44"/>
  <c r="I1369" i="47"/>
  <c r="G909" i="44"/>
  <c r="I1304" i="47"/>
  <c r="I1305" i="47"/>
  <c r="G807" i="44"/>
  <c r="I1300" i="47"/>
  <c r="I1301" i="47"/>
  <c r="G927" i="44"/>
  <c r="I1296" i="47"/>
  <c r="I1297" i="47"/>
  <c r="G179" i="44"/>
  <c r="I1351" i="47"/>
  <c r="G157" i="44"/>
  <c r="I1350" i="47"/>
  <c r="I1346" i="47"/>
  <c r="I1345" i="47"/>
  <c r="G496" i="44"/>
  <c r="I1340" i="47"/>
  <c r="G543" i="44"/>
  <c r="I1339" i="47"/>
  <c r="G748" i="44"/>
  <c r="I1338" i="47"/>
  <c r="G691" i="44"/>
  <c r="I1337" i="47"/>
  <c r="G483" i="44"/>
  <c r="I1336" i="47"/>
  <c r="G734" i="44"/>
  <c r="I1335" i="47"/>
  <c r="G707" i="44"/>
  <c r="I1334" i="47"/>
  <c r="G532" i="44"/>
  <c r="I1333" i="47"/>
  <c r="G517" i="44"/>
  <c r="I1332" i="47"/>
  <c r="G678" i="44"/>
  <c r="I1331" i="47"/>
  <c r="G597" i="44"/>
  <c r="I1330" i="47"/>
  <c r="G616" i="44"/>
  <c r="I1328" i="47"/>
  <c r="G636" i="44"/>
  <c r="I1327" i="47"/>
  <c r="G428" i="44"/>
  <c r="I1323" i="47"/>
  <c r="G303" i="44"/>
  <c r="I1322" i="47"/>
  <c r="G255" i="44"/>
  <c r="I1321" i="47"/>
  <c r="G385" i="44"/>
  <c r="I1320" i="47"/>
  <c r="G384" i="44"/>
  <c r="I1319" i="47"/>
  <c r="G225" i="44"/>
  <c r="I1318" i="47"/>
  <c r="G111" i="44"/>
  <c r="I1317" i="47"/>
  <c r="G64" i="44"/>
  <c r="I1316" i="47"/>
  <c r="G274" i="44"/>
  <c r="I1315" i="47"/>
  <c r="G200" i="44"/>
  <c r="I1314" i="47"/>
  <c r="G87" i="44"/>
  <c r="I1313" i="47"/>
  <c r="G135" i="44"/>
  <c r="I1312" i="47"/>
  <c r="G339" i="44"/>
  <c r="I1311" i="47"/>
  <c r="G890" i="44"/>
  <c r="I1250" i="47"/>
  <c r="I1251" i="47"/>
  <c r="G806" i="44"/>
  <c r="I1246" i="47"/>
  <c r="I1247" i="47"/>
  <c r="G918" i="44"/>
  <c r="I1242" i="47"/>
  <c r="I1243" i="47"/>
  <c r="G971" i="44"/>
  <c r="G178" i="44"/>
  <c r="I1285" i="47"/>
  <c r="G156" i="44"/>
  <c r="I1284" i="47"/>
  <c r="G1009" i="44"/>
  <c r="I1280" i="47"/>
  <c r="I1281" i="47"/>
  <c r="G495" i="44"/>
  <c r="I1276" i="47"/>
  <c r="G690" i="44"/>
  <c r="I1275" i="47"/>
  <c r="G733" i="44"/>
  <c r="I1274" i="47"/>
  <c r="G706" i="44"/>
  <c r="I1273" i="47"/>
  <c r="G516" i="44"/>
  <c r="I1272" i="47"/>
  <c r="G615" i="44"/>
  <c r="I1271" i="47"/>
  <c r="G635" i="44"/>
  <c r="I1270" i="47"/>
  <c r="G427" i="44"/>
  <c r="I1266" i="47"/>
  <c r="G302" i="44"/>
  <c r="I1265" i="47"/>
  <c r="G254" i="44"/>
  <c r="I1264" i="47"/>
  <c r="G383" i="44"/>
  <c r="I1263" i="47"/>
  <c r="G382" i="44"/>
  <c r="I1262" i="47"/>
  <c r="G224" i="44"/>
  <c r="I1261" i="47"/>
  <c r="G110" i="44"/>
  <c r="I1260" i="47"/>
  <c r="G63" i="44"/>
  <c r="I1259" i="47"/>
  <c r="G134" i="44"/>
  <c r="I1258" i="47"/>
  <c r="G338" i="44"/>
  <c r="I1257" i="47"/>
  <c r="G1126" i="44"/>
  <c r="G831" i="44"/>
  <c r="I1104" i="47"/>
  <c r="G805" i="44"/>
  <c r="I1102" i="47"/>
  <c r="G804" i="44"/>
  <c r="I1100" i="47"/>
  <c r="G177" i="44"/>
  <c r="I1226" i="47"/>
  <c r="G155" i="44"/>
  <c r="I1224" i="47"/>
  <c r="I1219" i="47"/>
  <c r="G1008" i="44"/>
  <c r="I1217" i="47"/>
  <c r="G494" i="44"/>
  <c r="I1210" i="47"/>
  <c r="G464" i="44"/>
  <c r="G689" i="44"/>
  <c r="I1206" i="47"/>
  <c r="G732" i="44"/>
  <c r="I1204" i="47"/>
  <c r="G731" i="44"/>
  <c r="I1202" i="47"/>
  <c r="G705" i="44"/>
  <c r="I1200" i="47"/>
  <c r="G531" i="44"/>
  <c r="I1198" i="47"/>
  <c r="G515" i="44"/>
  <c r="I1196" i="47"/>
  <c r="G677" i="44"/>
  <c r="I1194" i="47"/>
  <c r="G614" i="44"/>
  <c r="I1192" i="47"/>
  <c r="G588" i="44"/>
  <c r="I1190" i="47"/>
  <c r="G587" i="44"/>
  <c r="I1188" i="47"/>
  <c r="G634" i="44"/>
  <c r="I1186" i="47"/>
  <c r="G633" i="44"/>
  <c r="I1184" i="47"/>
  <c r="G426" i="44"/>
  <c r="I1179" i="47"/>
  <c r="G425" i="44"/>
  <c r="I1177" i="47"/>
  <c r="G424" i="44"/>
  <c r="I1175" i="47"/>
  <c r="G301" i="44"/>
  <c r="I1173" i="47"/>
  <c r="G300" i="44"/>
  <c r="I1171" i="47"/>
  <c r="G299" i="44"/>
  <c r="I1169" i="47"/>
  <c r="G253" i="44"/>
  <c r="I1167" i="47"/>
  <c r="G252" i="44"/>
  <c r="I1165" i="47"/>
  <c r="G251" i="44"/>
  <c r="I1163" i="47"/>
  <c r="G381" i="44"/>
  <c r="I1161" i="47"/>
  <c r="G380" i="44"/>
  <c r="I1159" i="47"/>
  <c r="G379" i="44"/>
  <c r="I1157" i="47"/>
  <c r="G378" i="44"/>
  <c r="I1155" i="47"/>
  <c r="G223" i="44"/>
  <c r="I1153" i="47"/>
  <c r="G222" i="44"/>
  <c r="I1151" i="47"/>
  <c r="G221" i="44"/>
  <c r="I1149" i="47"/>
  <c r="G109" i="44"/>
  <c r="I1147" i="47"/>
  <c r="G108" i="44"/>
  <c r="I1145" i="47"/>
  <c r="G62" i="44"/>
  <c r="I1143" i="47"/>
  <c r="G61" i="44"/>
  <c r="I1141" i="47"/>
  <c r="G60" i="44"/>
  <c r="I1139" i="47"/>
  <c r="G273" i="44"/>
  <c r="I1137" i="47"/>
  <c r="G199" i="44"/>
  <c r="I1135" i="47"/>
  <c r="G86" i="44"/>
  <c r="I1133" i="47"/>
  <c r="G85" i="44"/>
  <c r="I1131" i="47"/>
  <c r="G84" i="44"/>
  <c r="I1129" i="47"/>
  <c r="G133" i="44"/>
  <c r="I1127" i="47"/>
  <c r="G132" i="44"/>
  <c r="I1125" i="47"/>
  <c r="G131" i="44"/>
  <c r="I1123" i="47"/>
  <c r="G337" i="44"/>
  <c r="I1121" i="47"/>
  <c r="G336" i="44"/>
  <c r="I1119" i="47"/>
  <c r="G335" i="44"/>
  <c r="I1117" i="47"/>
  <c r="G891" i="44"/>
  <c r="G803" i="44"/>
  <c r="I1068" i="47"/>
  <c r="I1069" i="47"/>
  <c r="I1088" i="47"/>
  <c r="G986" i="44"/>
  <c r="I1087" i="47"/>
  <c r="G604" i="44"/>
  <c r="I1083" i="47"/>
  <c r="I1084" i="47"/>
  <c r="G404" i="44"/>
  <c r="I1079" i="47"/>
  <c r="I1080" i="47"/>
  <c r="G802" i="44"/>
  <c r="I1005" i="47"/>
  <c r="I1006" i="47"/>
  <c r="G967" i="44"/>
  <c r="I1001" i="47"/>
  <c r="G969" i="44"/>
  <c r="I1000" i="47"/>
  <c r="G176" i="44"/>
  <c r="I1057" i="47"/>
  <c r="G154" i="44"/>
  <c r="I1056" i="47"/>
  <c r="G1012" i="44"/>
  <c r="I1052" i="47"/>
  <c r="G1057" i="44"/>
  <c r="I1051" i="47"/>
  <c r="G1038" i="44"/>
  <c r="I1050" i="47"/>
  <c r="I1049" i="47"/>
  <c r="G9" i="44"/>
  <c r="I1041" i="47"/>
  <c r="G493" i="44"/>
  <c r="I1040" i="47"/>
  <c r="G542" i="44"/>
  <c r="I1039" i="47"/>
  <c r="G555" i="44"/>
  <c r="I1038" i="47"/>
  <c r="G747" i="44"/>
  <c r="I1037" i="47"/>
  <c r="G474" i="44"/>
  <c r="I1036" i="47"/>
  <c r="G514" i="44"/>
  <c r="I1035" i="47"/>
  <c r="G563" i="44"/>
  <c r="I1034" i="47"/>
  <c r="G423" i="44"/>
  <c r="I1021" i="47"/>
  <c r="G298" i="44"/>
  <c r="I1020" i="47"/>
  <c r="G250" i="44"/>
  <c r="I1019" i="47"/>
  <c r="G377" i="44"/>
  <c r="I1018" i="47"/>
  <c r="G376" i="44"/>
  <c r="I1017" i="47"/>
  <c r="G220" i="44"/>
  <c r="I1016" i="47"/>
  <c r="G59" i="44"/>
  <c r="I1015" i="47"/>
  <c r="G272" i="44"/>
  <c r="I1014" i="47"/>
  <c r="G130" i="44"/>
  <c r="I1013" i="47"/>
  <c r="G334" i="44"/>
  <c r="I1012" i="47"/>
  <c r="G896" i="44"/>
  <c r="I953" i="47"/>
  <c r="G894" i="44"/>
  <c r="I952" i="47"/>
  <c r="G801" i="44"/>
  <c r="I948" i="47"/>
  <c r="I949" i="47"/>
  <c r="G926" i="44"/>
  <c r="I944" i="47"/>
  <c r="I945" i="47"/>
  <c r="G175" i="44"/>
  <c r="I989" i="47"/>
  <c r="G153" i="44"/>
  <c r="I988" i="47"/>
  <c r="G1007" i="44"/>
  <c r="I984" i="47"/>
  <c r="I985" i="47"/>
  <c r="G492" i="44"/>
  <c r="I980" i="47"/>
  <c r="G554" i="44"/>
  <c r="I979" i="47"/>
  <c r="G746" i="44"/>
  <c r="I978" i="47"/>
  <c r="G688" i="44"/>
  <c r="I977" i="47"/>
  <c r="G730" i="44"/>
  <c r="I976" i="47"/>
  <c r="G704" i="44"/>
  <c r="I975" i="47"/>
  <c r="G613" i="44"/>
  <c r="I974" i="47"/>
  <c r="G632" i="44"/>
  <c r="I972" i="47"/>
  <c r="G422" i="44"/>
  <c r="I968" i="47"/>
  <c r="G297" i="44"/>
  <c r="I967" i="47"/>
  <c r="G249" i="44"/>
  <c r="I966" i="47"/>
  <c r="G375" i="44"/>
  <c r="I965" i="47"/>
  <c r="G374" i="44"/>
  <c r="I964" i="47"/>
  <c r="G219" i="44"/>
  <c r="I963" i="47"/>
  <c r="G58" i="44"/>
  <c r="I962" i="47"/>
  <c r="G129" i="44"/>
  <c r="I961" i="47"/>
  <c r="G333" i="44"/>
  <c r="I960" i="47"/>
  <c r="G821" i="44"/>
  <c r="I878" i="47"/>
  <c r="I879" i="47"/>
  <c r="G800" i="44"/>
  <c r="I874" i="47"/>
  <c r="I875" i="47"/>
  <c r="G174" i="44"/>
  <c r="I933" i="47"/>
  <c r="G152" i="44"/>
  <c r="I932" i="47"/>
  <c r="G1006" i="44"/>
  <c r="I928" i="47"/>
  <c r="G1037" i="44"/>
  <c r="I927" i="47"/>
  <c r="G491" i="44"/>
  <c r="I921" i="47"/>
  <c r="G541" i="44"/>
  <c r="I920" i="47"/>
  <c r="G553" i="44"/>
  <c r="I919" i="47"/>
  <c r="G745" i="44"/>
  <c r="I918" i="47"/>
  <c r="G687" i="44"/>
  <c r="I917" i="47"/>
  <c r="G686" i="44"/>
  <c r="I916" i="47"/>
  <c r="G473" i="44"/>
  <c r="I915" i="47"/>
  <c r="G729" i="44"/>
  <c r="I914" i="47"/>
  <c r="G703" i="44"/>
  <c r="I913" i="47"/>
  <c r="G513" i="44"/>
  <c r="I912" i="47"/>
  <c r="G512" i="44"/>
  <c r="I911" i="47"/>
  <c r="G612" i="44"/>
  <c r="I910" i="47"/>
  <c r="G631" i="44"/>
  <c r="I909" i="47"/>
  <c r="G460" i="44"/>
  <c r="I908" i="47"/>
  <c r="G715" i="44"/>
  <c r="I907" i="47"/>
  <c r="G658" i="44"/>
  <c r="I906" i="47"/>
  <c r="G657" i="44"/>
  <c r="I905" i="47"/>
  <c r="G656" i="44"/>
  <c r="I904" i="47"/>
  <c r="G575" i="44"/>
  <c r="I903" i="47"/>
  <c r="G574" i="44"/>
  <c r="I902" i="47"/>
  <c r="G653" i="44"/>
  <c r="I901" i="47"/>
  <c r="G421" i="44"/>
  <c r="I897" i="47"/>
  <c r="G296" i="44"/>
  <c r="I896" i="47"/>
  <c r="G248" i="44"/>
  <c r="I895" i="47"/>
  <c r="G373" i="44"/>
  <c r="I894" i="47"/>
  <c r="G372" i="44"/>
  <c r="I893" i="47"/>
  <c r="G218" i="44"/>
  <c r="I892" i="47"/>
  <c r="G107" i="44"/>
  <c r="I891" i="47"/>
  <c r="G57" i="44"/>
  <c r="I890" i="47"/>
  <c r="G271" i="44"/>
  <c r="I889" i="47"/>
  <c r="G198" i="44"/>
  <c r="I888" i="47"/>
  <c r="G83" i="44"/>
  <c r="I887" i="47"/>
  <c r="G128" i="44"/>
  <c r="I886" i="47"/>
  <c r="G332" i="44"/>
  <c r="I885" i="47"/>
  <c r="G908" i="44"/>
  <c r="I642" i="47"/>
  <c r="I646" i="47"/>
  <c r="G820" i="44"/>
  <c r="I637" i="47"/>
  <c r="G819" i="44"/>
  <c r="I635" i="47"/>
  <c r="G830" i="44"/>
  <c r="I630" i="47"/>
  <c r="G829" i="44"/>
  <c r="I628" i="47"/>
  <c r="G828" i="44"/>
  <c r="G799" i="44"/>
  <c r="I624" i="47"/>
  <c r="G798" i="44"/>
  <c r="I622" i="47"/>
  <c r="G797" i="44"/>
  <c r="I620" i="47"/>
  <c r="G796" i="44"/>
  <c r="I618" i="47"/>
  <c r="G173" i="44"/>
  <c r="I862" i="47"/>
  <c r="G172" i="44"/>
  <c r="I860" i="47"/>
  <c r="G151" i="44"/>
  <c r="I858" i="47"/>
  <c r="G150" i="44"/>
  <c r="I856" i="47"/>
  <c r="I851" i="47"/>
  <c r="I849" i="47"/>
  <c r="G1004" i="44"/>
  <c r="I847" i="47"/>
  <c r="G984" i="44"/>
  <c r="I845" i="47"/>
  <c r="G490" i="44"/>
  <c r="I832" i="47"/>
  <c r="G540" i="44"/>
  <c r="I828" i="47"/>
  <c r="G744" i="44"/>
  <c r="I826" i="47"/>
  <c r="G685" i="44"/>
  <c r="I824" i="47"/>
  <c r="G684" i="44"/>
  <c r="I822" i="47"/>
  <c r="G472" i="44"/>
  <c r="I820" i="47"/>
  <c r="G482" i="44"/>
  <c r="I818" i="47"/>
  <c r="G728" i="44"/>
  <c r="I816" i="47"/>
  <c r="G727" i="44"/>
  <c r="I814" i="47"/>
  <c r="G726" i="44"/>
  <c r="I812" i="47"/>
  <c r="G725" i="44"/>
  <c r="I810" i="47"/>
  <c r="G702" i="44"/>
  <c r="I808" i="47"/>
  <c r="G701" i="44"/>
  <c r="I806" i="47"/>
  <c r="G530" i="44"/>
  <c r="I804" i="47"/>
  <c r="G529" i="44"/>
  <c r="I802" i="47"/>
  <c r="G511" i="44"/>
  <c r="I800" i="47"/>
  <c r="G510" i="44"/>
  <c r="I798" i="47"/>
  <c r="G676" i="44"/>
  <c r="I796" i="47"/>
  <c r="G675" i="44"/>
  <c r="I794" i="47"/>
  <c r="G674" i="44"/>
  <c r="I792" i="47"/>
  <c r="G570" i="44"/>
  <c r="I790" i="47"/>
  <c r="G611" i="44"/>
  <c r="I786" i="47"/>
  <c r="G610" i="44"/>
  <c r="I784" i="47"/>
  <c r="G586" i="44"/>
  <c r="I782" i="47"/>
  <c r="G585" i="44"/>
  <c r="I780" i="47"/>
  <c r="G584" i="44"/>
  <c r="I778" i="47"/>
  <c r="G583" i="44"/>
  <c r="I776" i="47"/>
  <c r="G662" i="44"/>
  <c r="I774" i="47"/>
  <c r="G630" i="44"/>
  <c r="I770" i="47"/>
  <c r="G629" i="44"/>
  <c r="I768" i="47"/>
  <c r="G628" i="44"/>
  <c r="I766" i="47"/>
  <c r="G900" i="44"/>
  <c r="I764" i="47"/>
  <c r="G459" i="44"/>
  <c r="I762" i="47"/>
  <c r="G660" i="44"/>
  <c r="I760" i="47"/>
  <c r="G787" i="44"/>
  <c r="G850" i="44"/>
  <c r="I753" i="47"/>
  <c r="G849" i="44"/>
  <c r="I751" i="47"/>
  <c r="G420" i="44"/>
  <c r="I746" i="47"/>
  <c r="G419" i="44"/>
  <c r="I744" i="47"/>
  <c r="G418" i="44"/>
  <c r="I742" i="47"/>
  <c r="G417" i="44"/>
  <c r="I740" i="47"/>
  <c r="G416" i="44"/>
  <c r="I738" i="47"/>
  <c r="G295" i="44"/>
  <c r="I736" i="47"/>
  <c r="G294" i="44"/>
  <c r="I734" i="47"/>
  <c r="G293" i="44"/>
  <c r="I732" i="47"/>
  <c r="G292" i="44"/>
  <c r="I730" i="47"/>
  <c r="G247" i="44"/>
  <c r="I728" i="47"/>
  <c r="G246" i="44"/>
  <c r="I726" i="47"/>
  <c r="G245" i="44"/>
  <c r="I724" i="47"/>
  <c r="G244" i="44"/>
  <c r="I722" i="47"/>
  <c r="G371" i="44"/>
  <c r="I720" i="47"/>
  <c r="G370" i="44"/>
  <c r="I718" i="47"/>
  <c r="G369" i="44"/>
  <c r="I716" i="47"/>
  <c r="G368" i="44"/>
  <c r="I714" i="47"/>
  <c r="G367" i="44"/>
  <c r="I712" i="47"/>
  <c r="G366" i="44"/>
  <c r="I710" i="47"/>
  <c r="G365" i="44"/>
  <c r="I708" i="47"/>
  <c r="G364" i="44"/>
  <c r="I706" i="47"/>
  <c r="G217" i="44"/>
  <c r="I704" i="47"/>
  <c r="G216" i="44"/>
  <c r="I702" i="47"/>
  <c r="G215" i="44"/>
  <c r="I700" i="47"/>
  <c r="G214" i="44"/>
  <c r="I698" i="47"/>
  <c r="G106" i="44"/>
  <c r="I696" i="47"/>
  <c r="G105" i="44"/>
  <c r="I694" i="47"/>
  <c r="G104" i="44"/>
  <c r="I692" i="47"/>
  <c r="G103" i="44"/>
  <c r="I690" i="47"/>
  <c r="G56" i="44"/>
  <c r="I688" i="47"/>
  <c r="G55" i="44"/>
  <c r="I686" i="47"/>
  <c r="G54" i="44"/>
  <c r="I684" i="47"/>
  <c r="G270" i="44"/>
  <c r="I682" i="47"/>
  <c r="G197" i="44"/>
  <c r="I680" i="47"/>
  <c r="G196" i="44"/>
  <c r="I678" i="47"/>
  <c r="G195" i="44"/>
  <c r="I676" i="47"/>
  <c r="G194" i="44"/>
  <c r="I674" i="47"/>
  <c r="G82" i="44"/>
  <c r="I672" i="47"/>
  <c r="G81" i="44"/>
  <c r="I670" i="47"/>
  <c r="G80" i="44"/>
  <c r="I668" i="47"/>
  <c r="G127" i="44"/>
  <c r="I666" i="47"/>
  <c r="G126" i="44"/>
  <c r="I664" i="47"/>
  <c r="G125" i="44"/>
  <c r="I662" i="47"/>
  <c r="G124" i="44"/>
  <c r="I660" i="47"/>
  <c r="G318" i="44"/>
  <c r="G317" i="44"/>
  <c r="G331" i="44"/>
  <c r="I658" i="47"/>
  <c r="G330" i="44"/>
  <c r="I656" i="47"/>
  <c r="G329" i="44"/>
  <c r="I654" i="47"/>
  <c r="G328" i="44"/>
  <c r="I652" i="47"/>
  <c r="G795" i="44"/>
  <c r="I576" i="47"/>
  <c r="I578" i="47"/>
  <c r="G976" i="44"/>
  <c r="I571" i="47"/>
  <c r="G973" i="44"/>
  <c r="I569" i="47"/>
  <c r="G968" i="44"/>
  <c r="I567" i="47"/>
  <c r="G964" i="44"/>
  <c r="G1016" i="44"/>
  <c r="G1021" i="44"/>
  <c r="G1020" i="44"/>
  <c r="G1024" i="44"/>
  <c r="G1011" i="44"/>
  <c r="G1048" i="44"/>
  <c r="G1065" i="44"/>
  <c r="G1064" i="44"/>
  <c r="G1055" i="44"/>
  <c r="G1030" i="44"/>
  <c r="G1033" i="44"/>
  <c r="G1032" i="44"/>
  <c r="G992" i="44"/>
  <c r="G1003" i="44"/>
  <c r="G1036" i="44"/>
  <c r="I606" i="47"/>
  <c r="I608" i="47"/>
  <c r="G552" i="44"/>
  <c r="I601" i="47"/>
  <c r="G724" i="44"/>
  <c r="I599" i="47"/>
  <c r="G415" i="44"/>
  <c r="I592" i="47"/>
  <c r="G291" i="44"/>
  <c r="I590" i="47"/>
  <c r="G243" i="44"/>
  <c r="I588" i="47"/>
  <c r="G213" i="44"/>
  <c r="I586" i="47"/>
  <c r="G327" i="44"/>
  <c r="I584" i="47"/>
  <c r="G794" i="44"/>
  <c r="I509" i="47"/>
  <c r="I510" i="47"/>
  <c r="I512" i="47"/>
  <c r="H15" i="19"/>
  <c r="G171" i="44"/>
  <c r="I554" i="47"/>
  <c r="G149" i="44"/>
  <c r="I553" i="47"/>
  <c r="I549" i="47"/>
  <c r="I548" i="47"/>
  <c r="G489" i="44"/>
  <c r="I544" i="47"/>
  <c r="G539" i="44"/>
  <c r="I543" i="47"/>
  <c r="G683" i="44"/>
  <c r="I542" i="47"/>
  <c r="G481" i="44"/>
  <c r="I541" i="47"/>
  <c r="G723" i="44"/>
  <c r="I540" i="47"/>
  <c r="G509" i="44"/>
  <c r="I539" i="47"/>
  <c r="G646" i="44"/>
  <c r="I538" i="47"/>
  <c r="G596" i="44"/>
  <c r="I537" i="47"/>
  <c r="G609" i="44"/>
  <c r="I536" i="47"/>
  <c r="G582" i="44"/>
  <c r="I535" i="47"/>
  <c r="G651" i="44"/>
  <c r="I534" i="47"/>
  <c r="G627" i="44"/>
  <c r="I533" i="47"/>
  <c r="G573" i="44"/>
  <c r="I532" i="47"/>
  <c r="G414" i="44"/>
  <c r="I528" i="47"/>
  <c r="G290" i="44"/>
  <c r="I527" i="47"/>
  <c r="G242" i="44"/>
  <c r="I526" i="47"/>
  <c r="G363" i="44"/>
  <c r="I525" i="47"/>
  <c r="G362" i="44"/>
  <c r="I524" i="47"/>
  <c r="G212" i="44"/>
  <c r="I523" i="47"/>
  <c r="G102" i="44"/>
  <c r="I522" i="47"/>
  <c r="G53" i="44"/>
  <c r="I521" i="47"/>
  <c r="G269" i="44"/>
  <c r="I520" i="47"/>
  <c r="G193" i="44"/>
  <c r="I519" i="47"/>
  <c r="G79" i="44"/>
  <c r="I518" i="47"/>
  <c r="G123" i="44"/>
  <c r="I517" i="47"/>
  <c r="G326" i="44"/>
  <c r="I516" i="47"/>
  <c r="G793" i="44"/>
  <c r="I460" i="47"/>
  <c r="I461" i="47"/>
  <c r="I463" i="47"/>
  <c r="G170" i="44"/>
  <c r="I498" i="47"/>
  <c r="G148" i="44"/>
  <c r="I497" i="47"/>
  <c r="G1001" i="44"/>
  <c r="I493" i="47"/>
  <c r="I494" i="47"/>
  <c r="G488" i="44"/>
  <c r="I489" i="47"/>
  <c r="G682" i="44"/>
  <c r="I488" i="47"/>
  <c r="G722" i="44"/>
  <c r="I487" i="47"/>
  <c r="G700" i="44"/>
  <c r="I486" i="47"/>
  <c r="G508" i="44"/>
  <c r="I485" i="47"/>
  <c r="G608" i="44"/>
  <c r="I484" i="47"/>
  <c r="G626" i="44"/>
  <c r="I483" i="47"/>
  <c r="G458" i="44"/>
  <c r="I482" i="47"/>
  <c r="G714" i="44"/>
  <c r="I481" i="47"/>
  <c r="G413" i="44"/>
  <c r="I477" i="47"/>
  <c r="G288" i="44"/>
  <c r="I476" i="47"/>
  <c r="G241" i="44"/>
  <c r="I475" i="47"/>
  <c r="G361" i="44"/>
  <c r="I474" i="47"/>
  <c r="G360" i="44"/>
  <c r="I473" i="47"/>
  <c r="G211" i="44"/>
  <c r="I472" i="47"/>
  <c r="G101" i="44"/>
  <c r="I471" i="47"/>
  <c r="G52" i="44"/>
  <c r="I470" i="47"/>
  <c r="G78" i="44"/>
  <c r="I469" i="47"/>
  <c r="G122" i="44"/>
  <c r="I468" i="47"/>
  <c r="G325" i="44"/>
  <c r="I467" i="47"/>
  <c r="G906" i="44"/>
  <c r="I201" i="47"/>
  <c r="G893" i="44"/>
  <c r="I199" i="47"/>
  <c r="G903" i="44"/>
  <c r="I197" i="47"/>
  <c r="G902" i="44"/>
  <c r="I195" i="47"/>
  <c r="G827" i="44"/>
  <c r="I188" i="47"/>
  <c r="G817" i="44"/>
  <c r="G792" i="44"/>
  <c r="I184" i="47"/>
  <c r="G791" i="44"/>
  <c r="I182" i="47"/>
  <c r="G40" i="44"/>
  <c r="I177" i="47"/>
  <c r="G39" i="44"/>
  <c r="I175" i="47"/>
  <c r="G876" i="44"/>
  <c r="G865" i="44"/>
  <c r="I2465" i="24"/>
  <c r="G866" i="44"/>
  <c r="G975" i="44"/>
  <c r="I158" i="47"/>
  <c r="G938" i="44"/>
  <c r="I153" i="47"/>
  <c r="G937" i="44"/>
  <c r="G936" i="44"/>
  <c r="G934" i="44"/>
  <c r="G935" i="44"/>
  <c r="G169" i="44"/>
  <c r="I448" i="47"/>
  <c r="G168" i="44"/>
  <c r="I446" i="47"/>
  <c r="G167" i="44"/>
  <c r="I444" i="47"/>
  <c r="G166" i="44"/>
  <c r="I442" i="47"/>
  <c r="G147" i="44"/>
  <c r="I440" i="47"/>
  <c r="G146" i="44"/>
  <c r="I438" i="47"/>
  <c r="G1015" i="44"/>
  <c r="I436" i="47"/>
  <c r="I431" i="47"/>
  <c r="G1052" i="44"/>
  <c r="I429" i="47"/>
  <c r="G1000" i="44"/>
  <c r="I427" i="47"/>
  <c r="I425" i="47"/>
  <c r="G487" i="44"/>
  <c r="I410" i="47"/>
  <c r="G486" i="44"/>
  <c r="I408" i="47"/>
  <c r="G538" i="44"/>
  <c r="I406" i="47"/>
  <c r="G551" i="44"/>
  <c r="I404" i="47"/>
  <c r="G681" i="44"/>
  <c r="I402" i="47"/>
  <c r="G680" i="44"/>
  <c r="I400" i="47"/>
  <c r="G480" i="44"/>
  <c r="I398" i="47"/>
  <c r="G479" i="44"/>
  <c r="I396" i="47"/>
  <c r="G721" i="44"/>
  <c r="I394" i="47"/>
  <c r="G720" i="44"/>
  <c r="I392" i="47"/>
  <c r="G719" i="44"/>
  <c r="I390" i="47"/>
  <c r="G699" i="44"/>
  <c r="I388" i="47"/>
  <c r="G698" i="44"/>
  <c r="I386" i="47"/>
  <c r="G528" i="44"/>
  <c r="I384" i="47"/>
  <c r="G863" i="44"/>
  <c r="G507" i="44"/>
  <c r="I380" i="47"/>
  <c r="G506" i="44"/>
  <c r="I378" i="47"/>
  <c r="G673" i="44"/>
  <c r="I376" i="47"/>
  <c r="G672" i="44"/>
  <c r="I374" i="47"/>
  <c r="G645" i="44"/>
  <c r="I372" i="47"/>
  <c r="G644" i="44"/>
  <c r="I370" i="47"/>
  <c r="G595" i="44"/>
  <c r="I368" i="47"/>
  <c r="G590" i="44"/>
  <c r="I362" i="47"/>
  <c r="G607" i="44"/>
  <c r="I360" i="47"/>
  <c r="G606" i="44"/>
  <c r="I358" i="47"/>
  <c r="G581" i="44"/>
  <c r="I354" i="47"/>
  <c r="G580" i="44"/>
  <c r="I352" i="47"/>
  <c r="G650" i="44"/>
  <c r="I348" i="47"/>
  <c r="G625" i="44"/>
  <c r="I346" i="47"/>
  <c r="G624" i="44"/>
  <c r="I344" i="47"/>
  <c r="G623" i="44"/>
  <c r="I342" i="47"/>
  <c r="G536" i="44"/>
  <c r="G470" i="44"/>
  <c r="G572" i="44"/>
  <c r="I336" i="47"/>
  <c r="G571" i="44"/>
  <c r="I334" i="47"/>
  <c r="G786" i="44"/>
  <c r="G848" i="44"/>
  <c r="I323" i="47"/>
  <c r="G847" i="44"/>
  <c r="I321" i="47"/>
  <c r="G846" i="44"/>
  <c r="I319" i="47"/>
  <c r="G845" i="44"/>
  <c r="I317" i="47"/>
  <c r="G844" i="44"/>
  <c r="I315" i="47"/>
  <c r="G843" i="44"/>
  <c r="I313" i="47"/>
  <c r="G578" i="44"/>
  <c r="I332" i="47"/>
  <c r="G289" i="44"/>
  <c r="I330" i="47"/>
  <c r="G864" i="44"/>
  <c r="G22" i="44"/>
  <c r="I303" i="47"/>
  <c r="I305" i="47"/>
  <c r="G21" i="44"/>
  <c r="I298" i="47"/>
  <c r="I300" i="47"/>
  <c r="G412" i="44"/>
  <c r="I293" i="47"/>
  <c r="G411" i="44"/>
  <c r="I291" i="47"/>
  <c r="G410" i="44"/>
  <c r="I289" i="47"/>
  <c r="G287" i="44"/>
  <c r="I287" i="47"/>
  <c r="G286" i="44"/>
  <c r="I285" i="47"/>
  <c r="G285" i="44"/>
  <c r="I283" i="47"/>
  <c r="G240" i="44"/>
  <c r="I281" i="47"/>
  <c r="G239" i="44"/>
  <c r="I279" i="47"/>
  <c r="G238" i="44"/>
  <c r="I277" i="47"/>
  <c r="G359" i="44"/>
  <c r="I275" i="47"/>
  <c r="G358" i="44"/>
  <c r="I273" i="47"/>
  <c r="G357" i="44"/>
  <c r="I271" i="47"/>
  <c r="G356" i="44"/>
  <c r="I269" i="47"/>
  <c r="G355" i="44"/>
  <c r="I267" i="47"/>
  <c r="G354" i="44"/>
  <c r="I265" i="47"/>
  <c r="G210" i="44"/>
  <c r="I263" i="47"/>
  <c r="G209" i="44"/>
  <c r="I261" i="47"/>
  <c r="G208" i="44"/>
  <c r="I259" i="47"/>
  <c r="G100" i="44"/>
  <c r="I257" i="47"/>
  <c r="G99" i="44"/>
  <c r="I255" i="47"/>
  <c r="G98" i="44"/>
  <c r="I253" i="47"/>
  <c r="G403" i="44"/>
  <c r="I251" i="47"/>
  <c r="G51" i="44"/>
  <c r="I249" i="47"/>
  <c r="G50" i="44"/>
  <c r="I247" i="47"/>
  <c r="G49" i="44"/>
  <c r="I245" i="47"/>
  <c r="G268" i="44"/>
  <c r="I243" i="47"/>
  <c r="G267" i="44"/>
  <c r="I241" i="47"/>
  <c r="G192" i="44"/>
  <c r="I239" i="47"/>
  <c r="G191" i="44"/>
  <c r="I237" i="47"/>
  <c r="G190" i="44"/>
  <c r="I235" i="47"/>
  <c r="G77" i="44"/>
  <c r="I233" i="47"/>
  <c r="G76" i="44"/>
  <c r="I231" i="47"/>
  <c r="G75" i="44"/>
  <c r="I229" i="47"/>
  <c r="G121" i="44"/>
  <c r="I227" i="47"/>
  <c r="G120" i="44"/>
  <c r="I225" i="47"/>
  <c r="G119" i="44"/>
  <c r="I223" i="47"/>
  <c r="G316" i="44"/>
  <c r="I221" i="47"/>
  <c r="G324" i="44"/>
  <c r="I219" i="47"/>
  <c r="G323" i="44"/>
  <c r="I217" i="47"/>
  <c r="G322" i="44"/>
  <c r="I215" i="47"/>
  <c r="G826" i="44"/>
  <c r="I99" i="47"/>
  <c r="G790" i="44"/>
  <c r="I98" i="47"/>
  <c r="G718" i="44"/>
  <c r="I130" i="47"/>
  <c r="G697" i="44"/>
  <c r="I129" i="47"/>
  <c r="G527" i="44"/>
  <c r="I128" i="47"/>
  <c r="G505" i="44"/>
  <c r="I127" i="47"/>
  <c r="G671" i="44"/>
  <c r="I126" i="47"/>
  <c r="G579" i="44"/>
  <c r="I124" i="47"/>
  <c r="G622" i="44"/>
  <c r="I123" i="47"/>
  <c r="G659" i="44"/>
  <c r="I122" i="47"/>
  <c r="G409" i="44"/>
  <c r="I118" i="47"/>
  <c r="G284" i="44"/>
  <c r="I117" i="47"/>
  <c r="G237" i="44"/>
  <c r="I116" i="47"/>
  <c r="G353" i="44"/>
  <c r="I115" i="47"/>
  <c r="G352" i="44"/>
  <c r="I114" i="47"/>
  <c r="G207" i="44"/>
  <c r="I113" i="47"/>
  <c r="G97" i="44"/>
  <c r="I112" i="47"/>
  <c r="G48" i="44"/>
  <c r="G189" i="44"/>
  <c r="I110" i="47"/>
  <c r="G74" i="44"/>
  <c r="I109" i="47"/>
  <c r="G118" i="44"/>
  <c r="I108" i="47"/>
  <c r="G315" i="44"/>
  <c r="I107" i="47"/>
  <c r="G321" i="44"/>
  <c r="I106" i="47"/>
  <c r="G832" i="44"/>
  <c r="I19" i="47"/>
  <c r="G789" i="44"/>
  <c r="I18" i="47"/>
  <c r="G165" i="44"/>
  <c r="I86" i="47"/>
  <c r="G145" i="44"/>
  <c r="I85" i="47"/>
  <c r="I81" i="47"/>
  <c r="I80" i="47"/>
  <c r="G485" i="44"/>
  <c r="I76" i="47"/>
  <c r="G537" i="44"/>
  <c r="I75" i="47"/>
  <c r="G535" i="44"/>
  <c r="I74" i="47"/>
  <c r="G550" i="44"/>
  <c r="I73" i="47"/>
  <c r="G743" i="44"/>
  <c r="I72" i="47"/>
  <c r="G679" i="44"/>
  <c r="I71" i="47"/>
  <c r="G717" i="44"/>
  <c r="I70" i="47"/>
  <c r="G696" i="44"/>
  <c r="I69" i="47"/>
  <c r="G526" i="44"/>
  <c r="I68" i="47"/>
  <c r="G504" i="44"/>
  <c r="I67" i="47"/>
  <c r="G670" i="44"/>
  <c r="I66" i="47"/>
  <c r="G643" i="44"/>
  <c r="I65" i="47"/>
  <c r="G605" i="44"/>
  <c r="I63" i="47"/>
  <c r="G603" i="44"/>
  <c r="I61" i="47"/>
  <c r="G534" i="44"/>
  <c r="I60" i="47"/>
  <c r="G661" i="44"/>
  <c r="I59" i="47"/>
  <c r="G589" i="44"/>
  <c r="I58" i="47"/>
  <c r="G899" i="44"/>
  <c r="I57" i="47"/>
  <c r="G655" i="44"/>
  <c r="I56" i="47"/>
  <c r="G945" i="44"/>
  <c r="G576" i="44"/>
  <c r="I55" i="47"/>
  <c r="G954" i="44"/>
  <c r="I47" i="47"/>
  <c r="G953" i="44"/>
  <c r="I46" i="47"/>
  <c r="G955" i="44"/>
  <c r="I45" i="47"/>
  <c r="G957" i="44"/>
  <c r="I44" i="47"/>
  <c r="G956" i="44"/>
  <c r="I43" i="47"/>
  <c r="G952" i="44"/>
  <c r="I42" i="47"/>
  <c r="G408" i="44"/>
  <c r="I38" i="47"/>
  <c r="G283" i="44"/>
  <c r="I37" i="47"/>
  <c r="G236" i="44"/>
  <c r="I36" i="47"/>
  <c r="G351" i="44"/>
  <c r="I35" i="47"/>
  <c r="G350" i="44"/>
  <c r="I34" i="47"/>
  <c r="G206" i="44"/>
  <c r="I33" i="47"/>
  <c r="G96" i="44"/>
  <c r="I32" i="47"/>
  <c r="G47" i="44"/>
  <c r="G266" i="44"/>
  <c r="I30" i="47"/>
  <c r="G188" i="44"/>
  <c r="G73" i="44"/>
  <c r="I29" i="47"/>
  <c r="G117" i="44"/>
  <c r="I28" i="47"/>
  <c r="G314" i="44"/>
  <c r="I27" i="47"/>
  <c r="G320" i="44"/>
  <c r="I26" i="47"/>
  <c r="I31" i="47"/>
  <c r="I39" i="47"/>
  <c r="G439" i="44"/>
  <c r="I1871" i="47"/>
  <c r="I1872" i="47"/>
  <c r="I2468" i="24"/>
  <c r="I2070" i="24"/>
  <c r="I2298" i="24"/>
  <c r="I111" i="47"/>
  <c r="I119" i="47"/>
  <c r="I2557" i="24"/>
  <c r="I929" i="47"/>
  <c r="I2082" i="47"/>
  <c r="I2083" i="47"/>
  <c r="G15" i="44"/>
  <c r="I163" i="47"/>
  <c r="I881" i="47"/>
  <c r="H19" i="19"/>
  <c r="I954" i="47"/>
  <c r="I956" i="47"/>
  <c r="H23" i="19"/>
  <c r="I1939" i="47"/>
  <c r="I1941" i="47"/>
  <c r="H41" i="19"/>
  <c r="I639" i="47"/>
  <c r="I327" i="47"/>
  <c r="I594" i="47"/>
  <c r="I1053" i="47"/>
  <c r="I1387" i="47"/>
  <c r="I603" i="47"/>
  <c r="I179" i="47"/>
  <c r="I1221" i="47"/>
  <c r="I1376" i="47"/>
  <c r="I1618" i="47"/>
  <c r="I1402" i="47"/>
  <c r="I1404" i="47"/>
  <c r="H30" i="19"/>
  <c r="I2108" i="47"/>
  <c r="I100" i="47"/>
  <c r="I102" i="47"/>
  <c r="H11" i="19"/>
  <c r="I1342" i="47"/>
  <c r="H29" i="19"/>
  <c r="I1090" i="47"/>
  <c r="I1092" i="47"/>
  <c r="J22" i="19"/>
  <c r="I499" i="47"/>
  <c r="I757" i="47"/>
  <c r="I1381" i="47"/>
  <c r="I1427" i="47"/>
  <c r="I1552" i="47"/>
  <c r="I1608" i="47"/>
  <c r="I1839" i="47"/>
  <c r="I550" i="47"/>
  <c r="I1913" i="47"/>
  <c r="I20" i="47"/>
  <c r="I22" i="47"/>
  <c r="I934" i="47"/>
  <c r="I981" i="47"/>
  <c r="I1106" i="47"/>
  <c r="I1113" i="47"/>
  <c r="H24" i="19"/>
  <c r="I1046" i="47"/>
  <c r="I1518" i="47"/>
  <c r="I1452" i="47"/>
  <c r="I1466" i="47"/>
  <c r="H32" i="19"/>
  <c r="I1352" i="47"/>
  <c r="I1647" i="47"/>
  <c r="I1649" i="47"/>
  <c r="H37" i="19"/>
  <c r="I433" i="47"/>
  <c r="I209" i="47"/>
  <c r="I555" i="47"/>
  <c r="I1307" i="47"/>
  <c r="H28" i="19"/>
  <c r="I1181" i="47"/>
  <c r="I1812" i="47"/>
  <c r="I1958" i="47"/>
  <c r="I87" i="47"/>
  <c r="I450" i="47"/>
  <c r="I864" i="47"/>
  <c r="I990" i="47"/>
  <c r="I1228" i="47"/>
  <c r="I1286" i="47"/>
  <c r="I1347" i="47"/>
  <c r="I1666" i="47"/>
  <c r="I1863" i="47"/>
  <c r="I2018" i="47"/>
  <c r="I842" i="47"/>
  <c r="I48" i="47"/>
  <c r="I295" i="47"/>
  <c r="I1804" i="47"/>
  <c r="I478" i="47"/>
  <c r="I748" i="47"/>
  <c r="I1058" i="47"/>
  <c r="I1277" i="47"/>
  <c r="I1418" i="47"/>
  <c r="I1436" i="47"/>
  <c r="I1582" i="47"/>
  <c r="I1726" i="47"/>
  <c r="I1818" i="47"/>
  <c r="I1908" i="47"/>
  <c r="I133" i="47"/>
  <c r="I490" i="47"/>
  <c r="I1571" i="47"/>
  <c r="I1720" i="47"/>
  <c r="I1766" i="47"/>
  <c r="I77" i="47"/>
  <c r="I529" i="47"/>
  <c r="I82" i="47"/>
  <c r="I545" i="47"/>
  <c r="I853" i="47"/>
  <c r="I898" i="47"/>
  <c r="I924" i="47"/>
  <c r="I969" i="47"/>
  <c r="I1022" i="47"/>
  <c r="I1002" i="47"/>
  <c r="I1008" i="47"/>
  <c r="H21" i="19"/>
  <c r="I1267" i="47"/>
  <c r="I1324" i="47"/>
  <c r="I1711" i="47"/>
  <c r="I2025" i="47"/>
  <c r="I2067" i="47"/>
  <c r="I2013" i="24"/>
  <c r="I145" i="47"/>
  <c r="I2441" i="24"/>
  <c r="I565" i="47"/>
  <c r="I573" i="47"/>
  <c r="I580" i="47"/>
  <c r="I2819" i="24"/>
  <c r="I1677" i="47"/>
  <c r="I1678" i="47"/>
  <c r="I2017" i="24"/>
  <c r="I149" i="47"/>
  <c r="I2166" i="24"/>
  <c r="I626" i="47"/>
  <c r="I632" i="47"/>
  <c r="I2847" i="24"/>
  <c r="I1977" i="47"/>
  <c r="I1978" i="47"/>
  <c r="I2958" i="24"/>
  <c r="I340" i="47"/>
  <c r="I2438" i="24"/>
  <c r="I1238" i="47"/>
  <c r="I1239" i="47"/>
  <c r="I1253" i="47"/>
  <c r="H26" i="19"/>
  <c r="I2189" i="24"/>
  <c r="I2096" i="24"/>
  <c r="I2044" i="47"/>
  <c r="I2045" i="47"/>
  <c r="I2937" i="24"/>
  <c r="I338" i="47"/>
  <c r="I2822" i="24"/>
  <c r="I1521" i="47"/>
  <c r="I1523" i="47"/>
  <c r="I2821" i="24"/>
  <c r="I2074" i="47"/>
  <c r="I2075" i="47"/>
  <c r="I2144" i="24"/>
  <c r="I186" i="47"/>
  <c r="I192" i="47"/>
  <c r="I2940" i="24"/>
  <c r="I1208" i="47"/>
  <c r="I1212" i="47"/>
  <c r="I2823" i="24"/>
  <c r="I308" i="47"/>
  <c r="I310" i="47"/>
  <c r="I165" i="47"/>
  <c r="I2946" i="24"/>
  <c r="I1996" i="47"/>
  <c r="I2009" i="47"/>
  <c r="I2012" i="24"/>
  <c r="I151" i="47"/>
  <c r="G946" i="44"/>
  <c r="I51" i="47"/>
  <c r="I52" i="47"/>
  <c r="I2824" i="24"/>
  <c r="I382" i="47"/>
  <c r="I2016" i="24"/>
  <c r="I143" i="47"/>
  <c r="I2483" i="24"/>
  <c r="I170" i="47"/>
  <c r="I172" i="47"/>
  <c r="I2508" i="24"/>
  <c r="I1072" i="47"/>
  <c r="I1073" i="47"/>
  <c r="I1075" i="47"/>
  <c r="H22" i="19"/>
  <c r="I2820" i="24"/>
  <c r="I1781" i="47"/>
  <c r="I1782" i="47"/>
  <c r="I2416" i="24"/>
  <c r="I1741" i="47"/>
  <c r="I1742" i="47"/>
  <c r="I1748" i="47"/>
  <c r="H36" i="19"/>
  <c r="I2510" i="24"/>
  <c r="I1842" i="47"/>
  <c r="I1843" i="47"/>
  <c r="I2516" i="24"/>
  <c r="I2049" i="47"/>
  <c r="I2051" i="47"/>
  <c r="I2971" i="24"/>
  <c r="E5" i="43"/>
  <c r="I2561" i="24"/>
  <c r="I2979" i="24"/>
  <c r="I2967" i="24"/>
  <c r="I2563" i="24"/>
  <c r="G33" i="44"/>
  <c r="K894" i="6"/>
  <c r="I2444" i="24"/>
  <c r="I2521" i="24"/>
  <c r="I2976" i="24"/>
  <c r="I2977" i="24"/>
  <c r="I2113" i="24"/>
  <c r="I2090" i="24"/>
  <c r="I2092" i="24"/>
  <c r="G122" i="6"/>
  <c r="I2062" i="24"/>
  <c r="I2974" i="24"/>
  <c r="I2970" i="24"/>
  <c r="I2962" i="24"/>
  <c r="I2959" i="24"/>
  <c r="I2956" i="24"/>
  <c r="I2935" i="24"/>
  <c r="I2949" i="24"/>
  <c r="I2982" i="24"/>
  <c r="I2972" i="24"/>
  <c r="I2984" i="24"/>
  <c r="I2980" i="24"/>
  <c r="I2983" i="24"/>
  <c r="I2978" i="24"/>
  <c r="I2973" i="24"/>
  <c r="I2963" i="24"/>
  <c r="I2948" i="24"/>
  <c r="I2985" i="24"/>
  <c r="G928" i="44"/>
  <c r="I11" i="13"/>
  <c r="G930" i="44"/>
  <c r="I2514" i="24"/>
  <c r="I2417" i="24"/>
  <c r="I2442" i="24"/>
  <c r="I2415" i="24"/>
  <c r="I2512" i="24"/>
  <c r="I2511" i="24"/>
  <c r="I2507" i="24"/>
  <c r="G912" i="44"/>
  <c r="G920" i="44"/>
  <c r="K1083" i="24"/>
  <c r="L14" i="1"/>
  <c r="K939" i="6"/>
  <c r="K941" i="6"/>
  <c r="G867" i="44"/>
  <c r="G1081" i="44"/>
  <c r="I38" i="13"/>
  <c r="G977" i="44"/>
  <c r="G958" i="44"/>
  <c r="G939" i="44"/>
  <c r="G877" i="44"/>
  <c r="G857" i="44"/>
  <c r="G837" i="44"/>
  <c r="G451" i="44"/>
  <c r="G41" i="44"/>
  <c r="I2564" i="24"/>
  <c r="I2542" i="24"/>
  <c r="I2553" i="24"/>
  <c r="I2555" i="24"/>
  <c r="I2551" i="24"/>
  <c r="I2554" i="24"/>
  <c r="I2549" i="24"/>
  <c r="I2560" i="24"/>
  <c r="I2550" i="24"/>
  <c r="I2545" i="24"/>
  <c r="I964" i="6"/>
  <c r="I987" i="6"/>
  <c r="I971" i="6"/>
  <c r="F305" i="43"/>
  <c r="F304" i="43"/>
  <c r="F303" i="43"/>
  <c r="I1168" i="24"/>
  <c r="I1421" i="24"/>
  <c r="F302" i="43"/>
  <c r="F301" i="43"/>
  <c r="R14" i="1"/>
  <c r="Q14" i="1"/>
  <c r="I3944" i="24"/>
  <c r="I2095" i="24"/>
  <c r="I2098" i="24"/>
  <c r="I167" i="47"/>
  <c r="I648" i="47"/>
  <c r="H17" i="19"/>
  <c r="I1624" i="47"/>
  <c r="I1626" i="47"/>
  <c r="I610" i="47"/>
  <c r="J16" i="19"/>
  <c r="I1845" i="47"/>
  <c r="H39" i="19"/>
  <c r="I1389" i="47"/>
  <c r="I1391" i="47"/>
  <c r="H16" i="19"/>
  <c r="H9" i="19"/>
  <c r="H10" i="19"/>
  <c r="I501" i="47"/>
  <c r="I1094" i="47"/>
  <c r="I135" i="47"/>
  <c r="I1354" i="47"/>
  <c r="I2053" i="47"/>
  <c r="H43" i="19"/>
  <c r="I420" i="47"/>
  <c r="I452" i="47"/>
  <c r="J45" i="19"/>
  <c r="I1060" i="47"/>
  <c r="J21" i="19"/>
  <c r="I155" i="47"/>
  <c r="I936" i="47"/>
  <c r="I557" i="47"/>
  <c r="I89" i="47"/>
  <c r="I1288" i="47"/>
  <c r="I2027" i="47"/>
  <c r="I1820" i="47"/>
  <c r="I992" i="47"/>
  <c r="I1230" i="47"/>
  <c r="I1728" i="47"/>
  <c r="I866" i="47"/>
  <c r="J17" i="19"/>
  <c r="I1584" i="47"/>
  <c r="I1438" i="47"/>
  <c r="I2827" i="24"/>
  <c r="C89" i="43"/>
  <c r="C91" i="43"/>
  <c r="G303" i="38"/>
  <c r="I1427" i="24"/>
  <c r="I4477" i="24"/>
  <c r="I2891" i="24"/>
  <c r="I395" i="24"/>
  <c r="G932" i="44"/>
  <c r="I13" i="13"/>
  <c r="G922" i="44"/>
  <c r="G924" i="44"/>
  <c r="I22" i="13"/>
  <c r="G430" i="6"/>
  <c r="E34" i="42"/>
  <c r="J34" i="42"/>
  <c r="I1420" i="24"/>
  <c r="I1302" i="24"/>
  <c r="I601" i="24"/>
  <c r="I1169" i="24"/>
  <c r="I957" i="6"/>
  <c r="F164" i="43"/>
  <c r="I1083" i="24"/>
  <c r="I2541" i="24"/>
  <c r="G82" i="18"/>
  <c r="F82" i="18"/>
  <c r="E82" i="18"/>
  <c r="D82" i="18"/>
  <c r="C82" i="18"/>
  <c r="G74" i="18"/>
  <c r="F74" i="18"/>
  <c r="E74" i="18"/>
  <c r="C21" i="21"/>
  <c r="D74" i="18"/>
  <c r="C74" i="18"/>
  <c r="G68" i="18"/>
  <c r="F68" i="18"/>
  <c r="E68" i="18"/>
  <c r="D68" i="18"/>
  <c r="C68" i="18"/>
  <c r="G63" i="18"/>
  <c r="F63" i="18"/>
  <c r="E63" i="18"/>
  <c r="D63" i="18"/>
  <c r="C63" i="18"/>
  <c r="G58" i="18"/>
  <c r="F58" i="18"/>
  <c r="E58" i="18"/>
  <c r="D58" i="18"/>
  <c r="C58" i="18"/>
  <c r="G55" i="18"/>
  <c r="F55" i="18"/>
  <c r="E55" i="18"/>
  <c r="D55" i="18"/>
  <c r="C55" i="18"/>
  <c r="G51" i="18"/>
  <c r="F51" i="18"/>
  <c r="E51" i="18"/>
  <c r="D51" i="18"/>
  <c r="C51" i="18"/>
  <c r="G47" i="18"/>
  <c r="F47" i="18"/>
  <c r="E47" i="18"/>
  <c r="D47" i="18"/>
  <c r="C47" i="18"/>
  <c r="G40" i="18"/>
  <c r="F40" i="18"/>
  <c r="E40" i="18"/>
  <c r="D40" i="18"/>
  <c r="C40" i="18"/>
  <c r="G29" i="18"/>
  <c r="F29" i="18"/>
  <c r="E29" i="18"/>
  <c r="D29" i="18"/>
  <c r="C29" i="18"/>
  <c r="G25" i="18"/>
  <c r="F25" i="18"/>
  <c r="E25" i="18"/>
  <c r="D25" i="18"/>
  <c r="C25" i="18"/>
  <c r="G23" i="18"/>
  <c r="F23" i="18"/>
  <c r="E23" i="18"/>
  <c r="D23" i="18"/>
  <c r="C23" i="18"/>
  <c r="AO101" i="17"/>
  <c r="AP101" i="17"/>
  <c r="C18" i="21"/>
  <c r="AO83" i="17"/>
  <c r="AP83" i="17"/>
  <c r="AO61" i="17"/>
  <c r="AP61" i="17"/>
  <c r="I211" i="47"/>
  <c r="H45" i="19"/>
  <c r="C87" i="18"/>
  <c r="J29" i="19"/>
  <c r="I612" i="47"/>
  <c r="I2029" i="47"/>
  <c r="J41" i="19"/>
  <c r="I1440" i="47"/>
  <c r="J30" i="19"/>
  <c r="I1290" i="47"/>
  <c r="J26" i="19"/>
  <c r="I1356" i="47"/>
  <c r="J28" i="19"/>
  <c r="I1586" i="47"/>
  <c r="J32" i="19"/>
  <c r="I91" i="47"/>
  <c r="J10" i="19"/>
  <c r="I137" i="47"/>
  <c r="J11" i="19"/>
  <c r="I559" i="47"/>
  <c r="J15" i="19"/>
  <c r="I1730" i="47"/>
  <c r="J37" i="19"/>
  <c r="I938" i="47"/>
  <c r="J19" i="19"/>
  <c r="I503" i="47"/>
  <c r="J13" i="19"/>
  <c r="I1232" i="47"/>
  <c r="J24" i="19"/>
  <c r="I994" i="47"/>
  <c r="J23" i="19"/>
  <c r="I1822" i="47"/>
  <c r="J36" i="19"/>
  <c r="I1062" i="47"/>
  <c r="I868" i="47"/>
  <c r="G43" i="44"/>
  <c r="G45" i="44"/>
  <c r="G1070" i="44"/>
  <c r="G1072" i="44"/>
  <c r="I349" i="24"/>
  <c r="I356" i="24"/>
  <c r="I377" i="24"/>
  <c r="F89" i="43"/>
  <c r="F91" i="43"/>
  <c r="C472" i="24"/>
  <c r="C468" i="24"/>
  <c r="C464" i="24"/>
  <c r="C461" i="24"/>
  <c r="C460" i="24"/>
  <c r="C459" i="24"/>
  <c r="C455" i="24"/>
  <c r="C453" i="24"/>
  <c r="C449" i="24"/>
  <c r="M502" i="24"/>
  <c r="M501" i="24"/>
  <c r="M500" i="24"/>
  <c r="M497" i="24"/>
  <c r="M496" i="24"/>
  <c r="M494" i="24"/>
  <c r="M493" i="24"/>
  <c r="M490" i="24"/>
  <c r="M488" i="24"/>
  <c r="M487" i="24"/>
  <c r="M486" i="24"/>
  <c r="M456" i="24"/>
  <c r="M452" i="24"/>
  <c r="C447" i="24"/>
  <c r="C446" i="24"/>
  <c r="C445" i="24"/>
  <c r="C521" i="24"/>
  <c r="C520" i="24"/>
  <c r="C519" i="24"/>
  <c r="C504" i="24"/>
  <c r="C499" i="24"/>
  <c r="C485" i="24"/>
  <c r="A296" i="17"/>
  <c r="AM311" i="17"/>
  <c r="AD311" i="17"/>
  <c r="AC311" i="17"/>
  <c r="AB311" i="17"/>
  <c r="AA311" i="17"/>
  <c r="Y311" i="17"/>
  <c r="X311" i="17"/>
  <c r="W311" i="17"/>
  <c r="V311" i="17"/>
  <c r="Q311" i="17"/>
  <c r="P311" i="17"/>
  <c r="O311" i="17"/>
  <c r="K311" i="17"/>
  <c r="J311" i="17"/>
  <c r="I311" i="17"/>
  <c r="H311" i="17"/>
  <c r="F311" i="17"/>
  <c r="E311" i="17"/>
  <c r="D311" i="17"/>
  <c r="C311" i="17"/>
  <c r="I454" i="47"/>
  <c r="C458" i="24"/>
  <c r="C463" i="24"/>
  <c r="C480" i="24"/>
  <c r="C518" i="24"/>
  <c r="C479" i="24"/>
  <c r="C444" i="24"/>
  <c r="C478" i="24"/>
  <c r="C477" i="24"/>
  <c r="I3355" i="24"/>
  <c r="K3355" i="24"/>
  <c r="I4339" i="24"/>
  <c r="I4407" i="24"/>
  <c r="E4586" i="24"/>
  <c r="K4339" i="24"/>
  <c r="I3275" i="24"/>
  <c r="K3275" i="24"/>
  <c r="I4340" i="24"/>
  <c r="I4408" i="24"/>
  <c r="E4587" i="24"/>
  <c r="K4340" i="24"/>
  <c r="I3276" i="24"/>
  <c r="K3276" i="24"/>
  <c r="I4341" i="24"/>
  <c r="I4409" i="24"/>
  <c r="E4588" i="24"/>
  <c r="G4588" i="24"/>
  <c r="G4655" i="24"/>
  <c r="K4655" i="24"/>
  <c r="K4341" i="24"/>
  <c r="I4346" i="24"/>
  <c r="I4413" i="24"/>
  <c r="K4346" i="24"/>
  <c r="I3282" i="24"/>
  <c r="K3282" i="24"/>
  <c r="K4379" i="24"/>
  <c r="I4380" i="24"/>
  <c r="I4453" i="24"/>
  <c r="E4589" i="24"/>
  <c r="G4589" i="24"/>
  <c r="G4656" i="24"/>
  <c r="K4656" i="24"/>
  <c r="K4380" i="24"/>
  <c r="I3316" i="24"/>
  <c r="K3316" i="24"/>
  <c r="I4381" i="24"/>
  <c r="I4454" i="24"/>
  <c r="E4590" i="24"/>
  <c r="G4590" i="24"/>
  <c r="G4658" i="24"/>
  <c r="K4658" i="24"/>
  <c r="K4381" i="24"/>
  <c r="I3317" i="24"/>
  <c r="K3317" i="24"/>
  <c r="I4383" i="24"/>
  <c r="I4461" i="24"/>
  <c r="K4383" i="24"/>
  <c r="I4384" i="24"/>
  <c r="I4462" i="24"/>
  <c r="K4384" i="24"/>
  <c r="I3320" i="24"/>
  <c r="K3320" i="24"/>
  <c r="I4387" i="24"/>
  <c r="I4443" i="24"/>
  <c r="K4387" i="24"/>
  <c r="I3323" i="24"/>
  <c r="K3323" i="24"/>
  <c r="I4388" i="24"/>
  <c r="I4444" i="24"/>
  <c r="K4388" i="24"/>
  <c r="I3324" i="24"/>
  <c r="K3324" i="24"/>
  <c r="I4389" i="24"/>
  <c r="I4445" i="24"/>
  <c r="K4389" i="24"/>
  <c r="I3325" i="24"/>
  <c r="K3325" i="24"/>
  <c r="I4390" i="24"/>
  <c r="I4446" i="24"/>
  <c r="K4390" i="24"/>
  <c r="I3326" i="24"/>
  <c r="K3326" i="24"/>
  <c r="I4391" i="24"/>
  <c r="I4447" i="24"/>
  <c r="K4391" i="24"/>
  <c r="I3327" i="24"/>
  <c r="K3327" i="24"/>
  <c r="I4392" i="24"/>
  <c r="I4448" i="24"/>
  <c r="K4392" i="24"/>
  <c r="I3328" i="24"/>
  <c r="K3328" i="24"/>
  <c r="I4393" i="24"/>
  <c r="I4449" i="24"/>
  <c r="K4393" i="24"/>
  <c r="I3329" i="24"/>
  <c r="K3329" i="24"/>
  <c r="I4394" i="24"/>
  <c r="I4450" i="24"/>
  <c r="K4394" i="24"/>
  <c r="I3330" i="24"/>
  <c r="K3330" i="24"/>
  <c r="I4395" i="24"/>
  <c r="I4451" i="24"/>
  <c r="K4395" i="24"/>
  <c r="I3331" i="24"/>
  <c r="K3331" i="24"/>
  <c r="I4404" i="24"/>
  <c r="K4404" i="24"/>
  <c r="I4474" i="24"/>
  <c r="K4474" i="24"/>
  <c r="I3335" i="24"/>
  <c r="K3335" i="24"/>
  <c r="I4475" i="24"/>
  <c r="I4520" i="24"/>
  <c r="E4610" i="24"/>
  <c r="G4610" i="24"/>
  <c r="G4666" i="24"/>
  <c r="K4666" i="24"/>
  <c r="K4475" i="24"/>
  <c r="I3336" i="24"/>
  <c r="K3336" i="24"/>
  <c r="I4476" i="24"/>
  <c r="I4521" i="24"/>
  <c r="E4611" i="24"/>
  <c r="G4611" i="24"/>
  <c r="G4667" i="24"/>
  <c r="K4667" i="24"/>
  <c r="K4476" i="24"/>
  <c r="I3337" i="24"/>
  <c r="K3337" i="24"/>
  <c r="I4522" i="24"/>
  <c r="E4612" i="24"/>
  <c r="G4612" i="24"/>
  <c r="G4668" i="24"/>
  <c r="K4668" i="24"/>
  <c r="K4477" i="24"/>
  <c r="I3338" i="24"/>
  <c r="K3338" i="24"/>
  <c r="I4478" i="24"/>
  <c r="I4523" i="24"/>
  <c r="E4613" i="24"/>
  <c r="G4613" i="24"/>
  <c r="G4669" i="24"/>
  <c r="K4669" i="24"/>
  <c r="K4478" i="24"/>
  <c r="I3339" i="24"/>
  <c r="K3339" i="24"/>
  <c r="I4481" i="24"/>
  <c r="I4525" i="24"/>
  <c r="K4481" i="24"/>
  <c r="I4482" i="24"/>
  <c r="K4482" i="24"/>
  <c r="I3343" i="24"/>
  <c r="K3343" i="24"/>
  <c r="I4484" i="24"/>
  <c r="I4526" i="24"/>
  <c r="K4484" i="24"/>
  <c r="I3345" i="24"/>
  <c r="K3345" i="24"/>
  <c r="I3346" i="24"/>
  <c r="K3346" i="24"/>
  <c r="I3347" i="24"/>
  <c r="K3347" i="24"/>
  <c r="I3348" i="24"/>
  <c r="K3348" i="24"/>
  <c r="I4485" i="24"/>
  <c r="I4527" i="24"/>
  <c r="K4485" i="24"/>
  <c r="I3349" i="24"/>
  <c r="K3349" i="24"/>
  <c r="I4487" i="24"/>
  <c r="I4528" i="24"/>
  <c r="K4487" i="24"/>
  <c r="I3350" i="24"/>
  <c r="K3350" i="24"/>
  <c r="I4490" i="24"/>
  <c r="I4530" i="24"/>
  <c r="K4490" i="24"/>
  <c r="I3353" i="24"/>
  <c r="K3353" i="24"/>
  <c r="I4491" i="24"/>
  <c r="I4531" i="24"/>
  <c r="K4491" i="24"/>
  <c r="I3354" i="24"/>
  <c r="K3354" i="24"/>
  <c r="I4497" i="24"/>
  <c r="I4533" i="24"/>
  <c r="K4497" i="24"/>
  <c r="I4498" i="24"/>
  <c r="I4534" i="24"/>
  <c r="K4498" i="24"/>
  <c r="I3361" i="24"/>
  <c r="K3361" i="24"/>
  <c r="I4499" i="24"/>
  <c r="I4535" i="24"/>
  <c r="K4499" i="24"/>
  <c r="I4500" i="24"/>
  <c r="I4536" i="24"/>
  <c r="K4500" i="24"/>
  <c r="I4501" i="24"/>
  <c r="I4537" i="24"/>
  <c r="K4501" i="24"/>
  <c r="I4510" i="24"/>
  <c r="K4510" i="24"/>
  <c r="I4516" i="24"/>
  <c r="K4516" i="24"/>
  <c r="G4586" i="24"/>
  <c r="E4653" i="24"/>
  <c r="E4661" i="24"/>
  <c r="K4586" i="24"/>
  <c r="E4683" i="24"/>
  <c r="K4683" i="24"/>
  <c r="E4604" i="24"/>
  <c r="I4604" i="24"/>
  <c r="G4605" i="24"/>
  <c r="K4605" i="24"/>
  <c r="G4606" i="24"/>
  <c r="K4606" i="24"/>
  <c r="I4661" i="24"/>
  <c r="E4673" i="24"/>
  <c r="I4673" i="24"/>
  <c r="I4691" i="24"/>
  <c r="E4703" i="24"/>
  <c r="I4703" i="24"/>
  <c r="E4889" i="24"/>
  <c r="E4891" i="24"/>
  <c r="E4886" i="24"/>
  <c r="E4896" i="24"/>
  <c r="E4909" i="24"/>
  <c r="E4904" i="24"/>
  <c r="E4914" i="24"/>
  <c r="I5034" i="24"/>
  <c r="K5034" i="24"/>
  <c r="E201" i="42"/>
  <c r="K201" i="42"/>
  <c r="D201" i="42"/>
  <c r="A201" i="42"/>
  <c r="E200" i="42"/>
  <c r="K200" i="42"/>
  <c r="D200" i="42"/>
  <c r="A200" i="42"/>
  <c r="E196" i="42"/>
  <c r="K196" i="42"/>
  <c r="D196" i="42"/>
  <c r="A196" i="42"/>
  <c r="E195" i="42"/>
  <c r="D195" i="42"/>
  <c r="A195" i="42"/>
  <c r="D170" i="42"/>
  <c r="A170" i="42"/>
  <c r="D169" i="42"/>
  <c r="A169" i="42"/>
  <c r="D165" i="42"/>
  <c r="A165" i="42"/>
  <c r="D164" i="42"/>
  <c r="A164" i="42"/>
  <c r="F109" i="42"/>
  <c r="E109" i="42"/>
  <c r="F102" i="42"/>
  <c r="F87" i="42"/>
  <c r="E87" i="42"/>
  <c r="E191" i="42"/>
  <c r="K191" i="42"/>
  <c r="E160" i="42"/>
  <c r="E159" i="42"/>
  <c r="L116" i="42"/>
  <c r="K116" i="42"/>
  <c r="F107" i="42"/>
  <c r="E107" i="42"/>
  <c r="F85" i="42"/>
  <c r="E85" i="42"/>
  <c r="A1" i="42"/>
  <c r="J210" i="42"/>
  <c r="I210" i="42"/>
  <c r="H210" i="42"/>
  <c r="G210" i="42"/>
  <c r="J199" i="42"/>
  <c r="I199" i="42"/>
  <c r="H199" i="42"/>
  <c r="G199" i="42"/>
  <c r="F199" i="42"/>
  <c r="J194" i="42"/>
  <c r="I194" i="42"/>
  <c r="H194" i="42"/>
  <c r="G194" i="42"/>
  <c r="F194" i="42"/>
  <c r="J190" i="42"/>
  <c r="I190" i="42"/>
  <c r="H190" i="42"/>
  <c r="G190" i="42"/>
  <c r="F190" i="42"/>
  <c r="J179" i="42"/>
  <c r="I179" i="42"/>
  <c r="H179" i="42"/>
  <c r="G179" i="42"/>
  <c r="J168" i="42"/>
  <c r="I168" i="42"/>
  <c r="H168" i="42"/>
  <c r="G168" i="42"/>
  <c r="F168" i="42"/>
  <c r="J163" i="42"/>
  <c r="I163" i="42"/>
  <c r="H163" i="42"/>
  <c r="G163" i="42"/>
  <c r="F163" i="42"/>
  <c r="J159" i="42"/>
  <c r="I159" i="42"/>
  <c r="H159" i="42"/>
  <c r="G159" i="42"/>
  <c r="F159" i="42"/>
  <c r="J144" i="42"/>
  <c r="I144" i="42"/>
  <c r="H144" i="42"/>
  <c r="G144" i="42"/>
  <c r="F144" i="42"/>
  <c r="E144" i="42"/>
  <c r="K142" i="42"/>
  <c r="K141" i="42"/>
  <c r="K139" i="42"/>
  <c r="K138" i="42"/>
  <c r="J133" i="42"/>
  <c r="I133" i="42"/>
  <c r="H133" i="42"/>
  <c r="G133" i="42"/>
  <c r="F133" i="42"/>
  <c r="E133" i="42"/>
  <c r="K131" i="42"/>
  <c r="K130" i="42"/>
  <c r="K128" i="42"/>
  <c r="K127" i="42"/>
  <c r="E110" i="42"/>
  <c r="J106" i="42"/>
  <c r="I106" i="42"/>
  <c r="H106" i="42"/>
  <c r="G106" i="42"/>
  <c r="E104" i="42"/>
  <c r="J101" i="42"/>
  <c r="I101" i="42"/>
  <c r="H101" i="42"/>
  <c r="G101" i="42"/>
  <c r="E99" i="42"/>
  <c r="J94" i="42"/>
  <c r="I94" i="42"/>
  <c r="H94" i="42"/>
  <c r="G94" i="42"/>
  <c r="E88" i="42"/>
  <c r="J84" i="42"/>
  <c r="I84" i="42"/>
  <c r="H84" i="42"/>
  <c r="G84" i="42"/>
  <c r="E82" i="42"/>
  <c r="J79" i="42"/>
  <c r="I79" i="42"/>
  <c r="H79" i="42"/>
  <c r="G79" i="42"/>
  <c r="E77" i="42"/>
  <c r="J72" i="42"/>
  <c r="I72" i="42"/>
  <c r="H72" i="42"/>
  <c r="G72" i="42"/>
  <c r="E56" i="42"/>
  <c r="M52" i="42"/>
  <c r="G51" i="42"/>
  <c r="E49" i="42"/>
  <c r="J47" i="42"/>
  <c r="I47" i="42"/>
  <c r="H47" i="42"/>
  <c r="G47" i="42"/>
  <c r="J43" i="42"/>
  <c r="I43" i="42"/>
  <c r="H43" i="42"/>
  <c r="G43" i="42"/>
  <c r="E37" i="42"/>
  <c r="M33" i="42"/>
  <c r="E30" i="42"/>
  <c r="J28" i="42"/>
  <c r="I28" i="42"/>
  <c r="H28" i="42"/>
  <c r="G28" i="42"/>
  <c r="J24" i="42"/>
  <c r="I24" i="42"/>
  <c r="H24" i="42"/>
  <c r="H39" i="42"/>
  <c r="G24" i="42"/>
  <c r="G39" i="42"/>
  <c r="E4616" i="24"/>
  <c r="G4616" i="24"/>
  <c r="I4542" i="24"/>
  <c r="E4620" i="24"/>
  <c r="G4620" i="24"/>
  <c r="G4670" i="24"/>
  <c r="K4670" i="24"/>
  <c r="I4519" i="24"/>
  <c r="I3363" i="24"/>
  <c r="K3363" i="24"/>
  <c r="E4617" i="24"/>
  <c r="G4617" i="24"/>
  <c r="G4587" i="24"/>
  <c r="G4654" i="24"/>
  <c r="K4654" i="24"/>
  <c r="F73" i="42"/>
  <c r="E73" i="42"/>
  <c r="E190" i="42"/>
  <c r="K190" i="42"/>
  <c r="G112" i="42"/>
  <c r="G90" i="42"/>
  <c r="H90" i="42"/>
  <c r="E194" i="42"/>
  <c r="K194" i="42"/>
  <c r="F173" i="42"/>
  <c r="K4542" i="24"/>
  <c r="I4620" i="24"/>
  <c r="K4620" i="24"/>
  <c r="G4700" i="24"/>
  <c r="K4700" i="24"/>
  <c r="K4522" i="24"/>
  <c r="I4612" i="24"/>
  <c r="K4612" i="24"/>
  <c r="G4698" i="24"/>
  <c r="K4698" i="24"/>
  <c r="K4520" i="24"/>
  <c r="I4610" i="24"/>
  <c r="K4610" i="24"/>
  <c r="G4696" i="24"/>
  <c r="K4696" i="24"/>
  <c r="K4523" i="24"/>
  <c r="I4613" i="24"/>
  <c r="K4613" i="24"/>
  <c r="G4699" i="24"/>
  <c r="K4699" i="24"/>
  <c r="K4521" i="24"/>
  <c r="I4611" i="24"/>
  <c r="K4611" i="24"/>
  <c r="G4697" i="24"/>
  <c r="K4697" i="24"/>
  <c r="K4519" i="24"/>
  <c r="I4609" i="24"/>
  <c r="K4609" i="24"/>
  <c r="G4695" i="24"/>
  <c r="I4705" i="24"/>
  <c r="E4675" i="24"/>
  <c r="K4534" i="24"/>
  <c r="K4448" i="24"/>
  <c r="K4407" i="24"/>
  <c r="I4586" i="24"/>
  <c r="J112" i="42"/>
  <c r="H173" i="42"/>
  <c r="G204" i="42"/>
  <c r="I4675" i="24"/>
  <c r="K4536" i="24"/>
  <c r="K4528" i="24"/>
  <c r="K4462" i="24"/>
  <c r="H204" i="42"/>
  <c r="J173" i="42"/>
  <c r="K4531" i="24"/>
  <c r="K4450" i="24"/>
  <c r="K4446" i="24"/>
  <c r="K4454" i="24"/>
  <c r="I4590" i="24"/>
  <c r="K4590" i="24"/>
  <c r="G4688" i="24"/>
  <c r="K4688" i="24"/>
  <c r="K4444" i="24"/>
  <c r="K4461" i="24"/>
  <c r="I3319" i="24"/>
  <c r="K3319" i="24"/>
  <c r="K4537" i="24"/>
  <c r="I3364" i="24"/>
  <c r="K3364" i="24"/>
  <c r="K4535" i="24"/>
  <c r="I3362" i="24"/>
  <c r="K3362" i="24"/>
  <c r="K4533" i="24"/>
  <c r="I3360" i="24"/>
  <c r="K3360" i="24"/>
  <c r="K4525" i="24"/>
  <c r="I3342" i="24"/>
  <c r="K3342" i="24"/>
  <c r="K4453" i="24"/>
  <c r="I4589" i="24"/>
  <c r="K4589" i="24"/>
  <c r="G4686" i="24"/>
  <c r="K4686" i="24"/>
  <c r="K4530" i="24"/>
  <c r="K4527" i="24"/>
  <c r="K4526" i="24"/>
  <c r="K4451" i="24"/>
  <c r="K4449" i="24"/>
  <c r="K4447" i="24"/>
  <c r="K4445" i="24"/>
  <c r="K4443" i="24"/>
  <c r="K4459" i="24"/>
  <c r="I4598" i="24"/>
  <c r="K4598" i="24"/>
  <c r="G4687" i="24"/>
  <c r="K4687" i="24"/>
  <c r="I3315" i="24"/>
  <c r="K3315" i="24"/>
  <c r="K4409" i="24"/>
  <c r="I4588" i="24"/>
  <c r="K4588" i="24"/>
  <c r="G4685" i="24"/>
  <c r="K4685" i="24"/>
  <c r="I3277" i="24"/>
  <c r="K3277" i="24"/>
  <c r="K4413" i="24"/>
  <c r="E4595" i="24"/>
  <c r="G4595" i="24"/>
  <c r="K4408" i="24"/>
  <c r="I4587" i="24"/>
  <c r="G58" i="42"/>
  <c r="I51" i="42"/>
  <c r="I58" i="42"/>
  <c r="K144" i="42"/>
  <c r="G173" i="42"/>
  <c r="K160" i="42"/>
  <c r="J204" i="42"/>
  <c r="E199" i="42"/>
  <c r="K199" i="42"/>
  <c r="H51" i="42"/>
  <c r="H58" i="42"/>
  <c r="J90" i="42"/>
  <c r="I112" i="42"/>
  <c r="I204" i="42"/>
  <c r="G4604" i="24"/>
  <c r="F204" i="42"/>
  <c r="I90" i="42"/>
  <c r="K133" i="42"/>
  <c r="I173" i="42"/>
  <c r="K4604" i="24"/>
  <c r="K4909" i="24"/>
  <c r="K4908" i="24"/>
  <c r="K4915" i="24"/>
  <c r="K4917" i="24"/>
  <c r="I4909" i="24"/>
  <c r="I4908" i="24"/>
  <c r="I4915" i="24"/>
  <c r="I4917" i="24"/>
  <c r="G4909" i="24"/>
  <c r="G4908" i="24"/>
  <c r="G4915" i="24"/>
  <c r="G4917" i="24"/>
  <c r="K4891" i="24"/>
  <c r="K4890" i="24"/>
  <c r="K4897" i="24"/>
  <c r="K4899" i="24"/>
  <c r="I4891" i="24"/>
  <c r="I4890" i="24"/>
  <c r="I4897" i="24"/>
  <c r="I4899" i="24"/>
  <c r="G4891" i="24"/>
  <c r="G4890" i="24"/>
  <c r="G4897" i="24"/>
  <c r="G4899" i="24"/>
  <c r="E4691" i="24"/>
  <c r="E4705" i="24"/>
  <c r="K4653" i="24"/>
  <c r="K159" i="42"/>
  <c r="H112" i="42"/>
  <c r="E102" i="42"/>
  <c r="K195" i="42"/>
  <c r="E4609" i="24"/>
  <c r="G4609" i="24"/>
  <c r="G4665" i="24"/>
  <c r="K4665" i="24"/>
  <c r="K4587" i="24"/>
  <c r="G4684" i="24"/>
  <c r="K4684" i="24"/>
  <c r="F95" i="42"/>
  <c r="E32" i="42"/>
  <c r="E204" i="42"/>
  <c r="K204" i="42"/>
  <c r="I4617" i="24"/>
  <c r="K4617" i="24"/>
  <c r="J32" i="42"/>
  <c r="J39" i="42"/>
  <c r="I4616" i="24"/>
  <c r="K4616" i="24"/>
  <c r="I4595" i="24"/>
  <c r="K4595" i="24"/>
  <c r="J51" i="42"/>
  <c r="K4695" i="24"/>
  <c r="J58" i="42"/>
  <c r="N3921" i="24"/>
  <c r="M3921" i="24"/>
  <c r="C161" i="38"/>
  <c r="C160" i="38"/>
  <c r="C159" i="38"/>
  <c r="C156" i="38"/>
  <c r="C155" i="38"/>
  <c r="C154" i="38"/>
  <c r="C153" i="38"/>
  <c r="C152" i="38"/>
  <c r="C151" i="38"/>
  <c r="C150" i="38"/>
  <c r="C149" i="38"/>
  <c r="C148" i="38"/>
  <c r="C147" i="38"/>
  <c r="C144" i="38"/>
  <c r="C143" i="38"/>
  <c r="C142" i="38"/>
  <c r="C141" i="38"/>
  <c r="C140" i="38"/>
  <c r="C139" i="38"/>
  <c r="D53" i="5"/>
  <c r="D51" i="5"/>
  <c r="D43" i="5"/>
  <c r="D26" i="5"/>
  <c r="C115" i="38"/>
  <c r="C114" i="38"/>
  <c r="C105" i="38"/>
  <c r="C104" i="38"/>
  <c r="C103" i="38"/>
  <c r="C102" i="38"/>
  <c r="C101" i="38"/>
  <c r="C100" i="38"/>
  <c r="C99" i="38"/>
  <c r="C98" i="38"/>
  <c r="C97" i="38"/>
  <c r="C95" i="38"/>
  <c r="C94" i="38"/>
  <c r="C93" i="38"/>
  <c r="C92" i="38"/>
  <c r="C86" i="38"/>
  <c r="C85" i="38"/>
  <c r="C84" i="38"/>
  <c r="C82" i="38"/>
  <c r="C81" i="38"/>
  <c r="C80" i="38"/>
  <c r="C79" i="38"/>
  <c r="C78" i="38"/>
  <c r="C75" i="38"/>
  <c r="C73" i="38"/>
  <c r="C72" i="38"/>
  <c r="C71" i="38"/>
  <c r="C70" i="38"/>
  <c r="C69" i="38"/>
  <c r="C63" i="38"/>
  <c r="C62" i="38"/>
  <c r="C61" i="38"/>
  <c r="C54" i="38"/>
  <c r="C53" i="38"/>
  <c r="C52" i="38"/>
  <c r="C49" i="38"/>
  <c r="C48" i="38"/>
  <c r="C47" i="38"/>
  <c r="C46" i="38"/>
  <c r="C45" i="38"/>
  <c r="C44" i="38"/>
  <c r="C43" i="38"/>
  <c r="C42" i="38"/>
  <c r="C41" i="38"/>
  <c r="C40" i="38"/>
  <c r="C35" i="38"/>
  <c r="C34" i="38"/>
  <c r="C33" i="38"/>
  <c r="C32" i="38"/>
  <c r="C31" i="38"/>
  <c r="C30" i="38"/>
  <c r="C29" i="38"/>
  <c r="C28" i="38"/>
  <c r="C27" i="38"/>
  <c r="C24" i="38"/>
  <c r="C23" i="38"/>
  <c r="C22" i="38"/>
  <c r="C21" i="38"/>
  <c r="C20" i="38"/>
  <c r="C19" i="38"/>
  <c r="C18" i="38"/>
  <c r="C17" i="38"/>
  <c r="C16" i="38"/>
  <c r="D26" i="13"/>
  <c r="D30" i="13"/>
  <c r="D57" i="1"/>
  <c r="D62" i="1"/>
  <c r="D48" i="1"/>
  <c r="D36" i="1"/>
  <c r="D21" i="1"/>
  <c r="D9" i="1"/>
  <c r="D53" i="1"/>
  <c r="C37" i="38"/>
  <c r="C58" i="38" s="1"/>
  <c r="C56" i="38"/>
  <c r="D32" i="1"/>
  <c r="C65" i="38"/>
  <c r="C163" i="38"/>
  <c r="C164" i="38"/>
  <c r="D54" i="5"/>
  <c r="C87" i="38"/>
  <c r="C89" i="38"/>
  <c r="D55" i="1"/>
  <c r="D64" i="1"/>
  <c r="E41" i="19"/>
  <c r="L41" i="19"/>
  <c r="F26" i="5"/>
  <c r="B26" i="5"/>
  <c r="I268" i="29"/>
  <c r="I260" i="29"/>
  <c r="K268" i="29"/>
  <c r="K260" i="29"/>
  <c r="K241" i="29"/>
  <c r="I241" i="29"/>
  <c r="K156" i="29"/>
  <c r="I156" i="29"/>
  <c r="B4313" i="24"/>
  <c r="K4136" i="24"/>
  <c r="N4091" i="24"/>
  <c r="N4090" i="24"/>
  <c r="N4072" i="24"/>
  <c r="N4071" i="24"/>
  <c r="N4070" i="24"/>
  <c r="M4069" i="24"/>
  <c r="B4018" i="24"/>
  <c r="K4006" i="24"/>
  <c r="I4006" i="24"/>
  <c r="K4000" i="24"/>
  <c r="I4000" i="24"/>
  <c r="K3994" i="24"/>
  <c r="I3994" i="24"/>
  <c r="K3988" i="24"/>
  <c r="I3988" i="24"/>
  <c r="K3982" i="24"/>
  <c r="I3982" i="24"/>
  <c r="K3976" i="24"/>
  <c r="I3976" i="24"/>
  <c r="K3970" i="24"/>
  <c r="I3970" i="24"/>
  <c r="B3906" i="24"/>
  <c r="K3862" i="24"/>
  <c r="I3858" i="24"/>
  <c r="I3862" i="24"/>
  <c r="K3855" i="24"/>
  <c r="I3855" i="24"/>
  <c r="K3845" i="24"/>
  <c r="E3845" i="24"/>
  <c r="E3846" i="24"/>
  <c r="M3843" i="24"/>
  <c r="I3842" i="24"/>
  <c r="I3845" i="24"/>
  <c r="G3841" i="24"/>
  <c r="G3845" i="24"/>
  <c r="M3840" i="24"/>
  <c r="K3826" i="24"/>
  <c r="I3826" i="24"/>
  <c r="E3826" i="24"/>
  <c r="M3824" i="24"/>
  <c r="M3823" i="24"/>
  <c r="M3821" i="24"/>
  <c r="K3581" i="24"/>
  <c r="K3572" i="24"/>
  <c r="M3841" i="24"/>
  <c r="N4069" i="24"/>
  <c r="M3842" i="24"/>
  <c r="M3845" i="24"/>
  <c r="I2737" i="24"/>
  <c r="B2587" i="24"/>
  <c r="I2547" i="24"/>
  <c r="K2344" i="24"/>
  <c r="I2344" i="24"/>
  <c r="K2355" i="24"/>
  <c r="I2355" i="24"/>
  <c r="I2346" i="24"/>
  <c r="K2346" i="24"/>
  <c r="I2055" i="24"/>
  <c r="K2092" i="24"/>
  <c r="B1823" i="24"/>
  <c r="B1688" i="24"/>
  <c r="B1638" i="24"/>
  <c r="G1177" i="24"/>
  <c r="K1177" i="24"/>
  <c r="G1178" i="24"/>
  <c r="K1178" i="24"/>
  <c r="G1179" i="24"/>
  <c r="K1179" i="24"/>
  <c r="G1181" i="24"/>
  <c r="K1181" i="24"/>
  <c r="G1182" i="24"/>
  <c r="K1182" i="24"/>
  <c r="G1183" i="24"/>
  <c r="K1183" i="24"/>
  <c r="B1187" i="24"/>
  <c r="B1188" i="24"/>
  <c r="I1187" i="24"/>
  <c r="B1189" i="24"/>
  <c r="B1190" i="24"/>
  <c r="B1191" i="24"/>
  <c r="E1190" i="24"/>
  <c r="B1192" i="24"/>
  <c r="I1196" i="24"/>
  <c r="K1196" i="24"/>
  <c r="I1197" i="24"/>
  <c r="K1197" i="24"/>
  <c r="I1198" i="24"/>
  <c r="K1198" i="24"/>
  <c r="I1199" i="24"/>
  <c r="K1199" i="24"/>
  <c r="I1200" i="24"/>
  <c r="K1200" i="24"/>
  <c r="I1202" i="24"/>
  <c r="K1202" i="24"/>
  <c r="I1201" i="24"/>
  <c r="K1201" i="24"/>
  <c r="I1203" i="24"/>
  <c r="K1203" i="24"/>
  <c r="I1204" i="24"/>
  <c r="K1204" i="24"/>
  <c r="I1208" i="24"/>
  <c r="K1208" i="24"/>
  <c r="I1209" i="24"/>
  <c r="K1209" i="24"/>
  <c r="I1210" i="24"/>
  <c r="K1210" i="24"/>
  <c r="I1211" i="24"/>
  <c r="K1211" i="24"/>
  <c r="I1212" i="24"/>
  <c r="K1212" i="24"/>
  <c r="I1213" i="24"/>
  <c r="K1213" i="24"/>
  <c r="I1214" i="24"/>
  <c r="K1214" i="24"/>
  <c r="I1217" i="24"/>
  <c r="K1217" i="24"/>
  <c r="I1218" i="24"/>
  <c r="K1218" i="24"/>
  <c r="I1220" i="24"/>
  <c r="K1220" i="24"/>
  <c r="I1221" i="24"/>
  <c r="K1221" i="24"/>
  <c r="I1225" i="24"/>
  <c r="K1225" i="24"/>
  <c r="I1244" i="24"/>
  <c r="K1244" i="24"/>
  <c r="I1245" i="24"/>
  <c r="K1245" i="24"/>
  <c r="I1246" i="24"/>
  <c r="K1246" i="24"/>
  <c r="I1247" i="24"/>
  <c r="K1247" i="24"/>
  <c r="I1248" i="24"/>
  <c r="K1248" i="24"/>
  <c r="I1250" i="24"/>
  <c r="K1250" i="24"/>
  <c r="I1253" i="24"/>
  <c r="K1253" i="24"/>
  <c r="I1256" i="24"/>
  <c r="K1256" i="24"/>
  <c r="I1257" i="24"/>
  <c r="K1257" i="24"/>
  <c r="I1258" i="24"/>
  <c r="K1258" i="24"/>
  <c r="I1259" i="24"/>
  <c r="K1259" i="24"/>
  <c r="I1260" i="24"/>
  <c r="K1260" i="24"/>
  <c r="I1261" i="24"/>
  <c r="K1261" i="24"/>
  <c r="I1267" i="24"/>
  <c r="K1267" i="24"/>
  <c r="I1268" i="24"/>
  <c r="K1268" i="24"/>
  <c r="I1271" i="24"/>
  <c r="K1271" i="24"/>
  <c r="I1272" i="24"/>
  <c r="K1272" i="24"/>
  <c r="M4216" i="24"/>
  <c r="M4215" i="24"/>
  <c r="M4214" i="24"/>
  <c r="M4212" i="24"/>
  <c r="M4211" i="24"/>
  <c r="M4210" i="24"/>
  <c r="M4208" i="24"/>
  <c r="M4207" i="24"/>
  <c r="M4206" i="24"/>
  <c r="M4204" i="24"/>
  <c r="M4203" i="24"/>
  <c r="M4202" i="24"/>
  <c r="K513" i="24"/>
  <c r="M513" i="24"/>
  <c r="G504" i="24"/>
  <c r="K509" i="24"/>
  <c r="M509" i="24"/>
  <c r="K505" i="24"/>
  <c r="M505" i="24"/>
  <c r="I504" i="24"/>
  <c r="E504" i="24"/>
  <c r="K472" i="24"/>
  <c r="K468" i="24"/>
  <c r="K464" i="24"/>
  <c r="G1190" i="24"/>
  <c r="E1192" i="24"/>
  <c r="G1192" i="24"/>
  <c r="E1191" i="24"/>
  <c r="G1191" i="24"/>
  <c r="I1188" i="24"/>
  <c r="K1188" i="24"/>
  <c r="I1189" i="24"/>
  <c r="K1189" i="24"/>
  <c r="M4201" i="24"/>
  <c r="M4096" i="24"/>
  <c r="K463" i="24"/>
  <c r="K1187" i="24"/>
  <c r="I1205" i="24"/>
  <c r="K1205" i="24"/>
  <c r="K1180" i="24"/>
  <c r="K1184" i="24"/>
  <c r="K504" i="24"/>
  <c r="M504" i="24"/>
  <c r="M4090" i="24"/>
  <c r="I1193" i="24"/>
  <c r="K1193" i="24"/>
  <c r="G1193" i="24"/>
  <c r="E1193" i="24"/>
  <c r="I472" i="24"/>
  <c r="G472" i="24"/>
  <c r="E472" i="24"/>
  <c r="I468" i="24"/>
  <c r="G468" i="24"/>
  <c r="E468" i="24"/>
  <c r="I464" i="24"/>
  <c r="G464" i="24"/>
  <c r="E464" i="24"/>
  <c r="I461" i="24"/>
  <c r="G461" i="24"/>
  <c r="E461" i="24"/>
  <c r="I460" i="24"/>
  <c r="G460" i="24"/>
  <c r="E460" i="24"/>
  <c r="I459" i="24"/>
  <c r="G459" i="24"/>
  <c r="E459" i="24"/>
  <c r="I455" i="24"/>
  <c r="G455" i="24"/>
  <c r="E455" i="24"/>
  <c r="I453" i="24"/>
  <c r="G453" i="24"/>
  <c r="E453" i="24"/>
  <c r="I449" i="24"/>
  <c r="G449" i="24"/>
  <c r="E449" i="24"/>
  <c r="I447" i="24"/>
  <c r="G447" i="24"/>
  <c r="E447" i="24"/>
  <c r="I446" i="24"/>
  <c r="G446" i="24"/>
  <c r="E446" i="24"/>
  <c r="M468" i="24"/>
  <c r="M459" i="24"/>
  <c r="M453" i="24"/>
  <c r="M461" i="24"/>
  <c r="M449" i="24"/>
  <c r="M460" i="24"/>
  <c r="M472" i="24"/>
  <c r="M455" i="24"/>
  <c r="M464" i="24"/>
  <c r="K181" i="24"/>
  <c r="K176" i="24"/>
  <c r="I112" i="24"/>
  <c r="K112" i="24"/>
  <c r="N845" i="6"/>
  <c r="K845" i="6"/>
  <c r="I845" i="6"/>
  <c r="N842" i="6"/>
  <c r="K842" i="6"/>
  <c r="I842" i="6"/>
  <c r="N839" i="6"/>
  <c r="K839" i="6"/>
  <c r="I839" i="6"/>
  <c r="N836" i="6"/>
  <c r="K836" i="6"/>
  <c r="I836" i="6"/>
  <c r="N833" i="6"/>
  <c r="K833" i="6"/>
  <c r="I833" i="6"/>
  <c r="K3904" i="24"/>
  <c r="K3899" i="24"/>
  <c r="I3899" i="24"/>
  <c r="I3904" i="24"/>
  <c r="I849" i="6"/>
  <c r="K849" i="6"/>
  <c r="N849" i="6"/>
  <c r="C789" i="6"/>
  <c r="G471" i="6"/>
  <c r="K471" i="6"/>
  <c r="G472" i="6"/>
  <c r="K472" i="6"/>
  <c r="G473" i="6"/>
  <c r="K473" i="6"/>
  <c r="G475" i="6"/>
  <c r="K475" i="6"/>
  <c r="G476" i="6"/>
  <c r="K476" i="6"/>
  <c r="G477" i="6"/>
  <c r="K477" i="6"/>
  <c r="B481" i="6"/>
  <c r="B482" i="6"/>
  <c r="I481" i="6"/>
  <c r="B483" i="6"/>
  <c r="B484" i="6"/>
  <c r="B485" i="6"/>
  <c r="E484" i="6"/>
  <c r="B486" i="6"/>
  <c r="I490" i="6"/>
  <c r="K490" i="6"/>
  <c r="I491" i="6"/>
  <c r="K491" i="6"/>
  <c r="I492" i="6"/>
  <c r="K492" i="6"/>
  <c r="I493" i="6"/>
  <c r="K493" i="6"/>
  <c r="I494" i="6"/>
  <c r="K494" i="6"/>
  <c r="I495" i="6"/>
  <c r="K495" i="6"/>
  <c r="I496" i="6"/>
  <c r="K496" i="6"/>
  <c r="I497" i="6"/>
  <c r="K497" i="6"/>
  <c r="I498" i="6"/>
  <c r="K498" i="6"/>
  <c r="I499" i="6"/>
  <c r="K499" i="6"/>
  <c r="I500" i="6"/>
  <c r="K500" i="6"/>
  <c r="I501" i="6"/>
  <c r="K501" i="6"/>
  <c r="I502" i="6"/>
  <c r="K502" i="6"/>
  <c r="K506" i="6"/>
  <c r="I507" i="6"/>
  <c r="K507" i="6"/>
  <c r="I508" i="6"/>
  <c r="K508" i="6"/>
  <c r="I509" i="6"/>
  <c r="K509" i="6"/>
  <c r="I510" i="6"/>
  <c r="K510" i="6"/>
  <c r="I511" i="6"/>
  <c r="K511" i="6"/>
  <c r="I512" i="6"/>
  <c r="K512" i="6"/>
  <c r="I513" i="6"/>
  <c r="K513" i="6"/>
  <c r="I514" i="6"/>
  <c r="K514" i="6"/>
  <c r="I515" i="6"/>
  <c r="K515" i="6"/>
  <c r="I516" i="6"/>
  <c r="K516" i="6"/>
  <c r="I517" i="6"/>
  <c r="K517" i="6"/>
  <c r="I518" i="6"/>
  <c r="K518" i="6"/>
  <c r="I520" i="6"/>
  <c r="K520" i="6"/>
  <c r="I521" i="6"/>
  <c r="K521" i="6"/>
  <c r="I522" i="6"/>
  <c r="K522" i="6"/>
  <c r="I543" i="6"/>
  <c r="K543" i="6"/>
  <c r="I544" i="6"/>
  <c r="K544" i="6"/>
  <c r="I545" i="6"/>
  <c r="K545" i="6"/>
  <c r="I546" i="6"/>
  <c r="K546" i="6"/>
  <c r="I547" i="6"/>
  <c r="K547" i="6"/>
  <c r="I548" i="6"/>
  <c r="K548" i="6"/>
  <c r="I549" i="6"/>
  <c r="K549" i="6"/>
  <c r="I550" i="6"/>
  <c r="K550" i="6"/>
  <c r="I551" i="6"/>
  <c r="K551" i="6"/>
  <c r="I552" i="6"/>
  <c r="K552" i="6"/>
  <c r="I553" i="6"/>
  <c r="K553" i="6"/>
  <c r="I555" i="6"/>
  <c r="K555" i="6"/>
  <c r="I556" i="6"/>
  <c r="K556" i="6"/>
  <c r="I557" i="6"/>
  <c r="K557" i="6"/>
  <c r="I152" i="6"/>
  <c r="G133" i="6"/>
  <c r="K133" i="6"/>
  <c r="G134" i="6"/>
  <c r="K134" i="6"/>
  <c r="G135" i="6"/>
  <c r="K135" i="6"/>
  <c r="G137" i="6"/>
  <c r="K137" i="6"/>
  <c r="G138" i="6"/>
  <c r="K138" i="6"/>
  <c r="G139" i="6"/>
  <c r="K139" i="6"/>
  <c r="K140" i="6"/>
  <c r="B143" i="6"/>
  <c r="B144" i="6"/>
  <c r="I143" i="6"/>
  <c r="B145" i="6"/>
  <c r="I145" i="6"/>
  <c r="B146" i="6"/>
  <c r="B147" i="6"/>
  <c r="E146" i="6"/>
  <c r="B148" i="6"/>
  <c r="E148" i="6"/>
  <c r="I153" i="6"/>
  <c r="I154" i="6"/>
  <c r="I155" i="6"/>
  <c r="I160" i="6"/>
  <c r="K160" i="6"/>
  <c r="I161" i="6"/>
  <c r="K161" i="6"/>
  <c r="I162" i="6"/>
  <c r="K162" i="6"/>
  <c r="I163" i="6"/>
  <c r="K163" i="6"/>
  <c r="I164" i="6"/>
  <c r="K164" i="6"/>
  <c r="I165" i="6"/>
  <c r="K165" i="6"/>
  <c r="I166" i="6"/>
  <c r="K166" i="6"/>
  <c r="I169" i="6"/>
  <c r="K169" i="6"/>
  <c r="K170" i="6"/>
  <c r="I171" i="6"/>
  <c r="K171" i="6"/>
  <c r="I172" i="6"/>
  <c r="K172" i="6"/>
  <c r="I173" i="6"/>
  <c r="K173" i="6"/>
  <c r="I174" i="6"/>
  <c r="K174" i="6"/>
  <c r="I175" i="6"/>
  <c r="K175" i="6"/>
  <c r="I176" i="6"/>
  <c r="K176" i="6"/>
  <c r="I195" i="6"/>
  <c r="K195" i="6"/>
  <c r="I196" i="6"/>
  <c r="K196" i="6"/>
  <c r="I197" i="6"/>
  <c r="K197" i="6"/>
  <c r="I198" i="6"/>
  <c r="K198" i="6"/>
  <c r="I199" i="6"/>
  <c r="K199" i="6"/>
  <c r="I200" i="6"/>
  <c r="K200" i="6"/>
  <c r="I201" i="6"/>
  <c r="K201" i="6"/>
  <c r="I204" i="6"/>
  <c r="K204" i="6"/>
  <c r="I206" i="6"/>
  <c r="K206" i="6"/>
  <c r="I207" i="6"/>
  <c r="K207" i="6"/>
  <c r="I208" i="6"/>
  <c r="K208" i="6"/>
  <c r="I209" i="6"/>
  <c r="K209" i="6"/>
  <c r="I210" i="6"/>
  <c r="K210" i="6"/>
  <c r="I211" i="6"/>
  <c r="K211" i="6"/>
  <c r="G442" i="38"/>
  <c r="K442" i="38"/>
  <c r="M564" i="38"/>
  <c r="F442" i="38"/>
  <c r="F441" i="38"/>
  <c r="G440" i="38"/>
  <c r="F440" i="38"/>
  <c r="F437" i="38"/>
  <c r="D437" i="38"/>
  <c r="G436" i="38"/>
  <c r="K436" i="38"/>
  <c r="M556" i="38"/>
  <c r="F436" i="38"/>
  <c r="D436" i="38"/>
  <c r="F435" i="38"/>
  <c r="F434" i="38"/>
  <c r="F433" i="38"/>
  <c r="D433" i="38"/>
  <c r="F432" i="38"/>
  <c r="F431" i="38"/>
  <c r="F430" i="38"/>
  <c r="F429" i="38"/>
  <c r="F428" i="38"/>
  <c r="D428" i="38"/>
  <c r="F425" i="38"/>
  <c r="F424" i="38"/>
  <c r="G423" i="38"/>
  <c r="F423" i="38"/>
  <c r="D423" i="38"/>
  <c r="F422" i="38"/>
  <c r="F420" i="38"/>
  <c r="F414" i="38"/>
  <c r="D414" i="38"/>
  <c r="F413" i="38"/>
  <c r="F412" i="38"/>
  <c r="D412" i="38"/>
  <c r="F411" i="38"/>
  <c r="F409" i="38"/>
  <c r="F408" i="38"/>
  <c r="D408" i="38"/>
  <c r="F407" i="38"/>
  <c r="F406" i="38"/>
  <c r="D406" i="38"/>
  <c r="F405" i="38"/>
  <c r="F404" i="38"/>
  <c r="D404" i="38"/>
  <c r="F403" i="38"/>
  <c r="F402" i="38"/>
  <c r="D402" i="38"/>
  <c r="F401" i="38"/>
  <c r="F396" i="38"/>
  <c r="D396" i="38"/>
  <c r="F395" i="38"/>
  <c r="G386" i="38"/>
  <c r="K386" i="38"/>
  <c r="F386" i="38"/>
  <c r="C386" i="38"/>
  <c r="G385" i="38"/>
  <c r="F385" i="38"/>
  <c r="C385" i="38"/>
  <c r="F384" i="38"/>
  <c r="G383" i="38"/>
  <c r="F383" i="38"/>
  <c r="F382" i="38"/>
  <c r="F381" i="38"/>
  <c r="F380" i="38"/>
  <c r="C380" i="38"/>
  <c r="F379" i="38"/>
  <c r="G378" i="38"/>
  <c r="F378" i="38"/>
  <c r="F377" i="38"/>
  <c r="C377" i="38"/>
  <c r="F376" i="38"/>
  <c r="G375" i="38"/>
  <c r="F375" i="38"/>
  <c r="C375" i="38"/>
  <c r="F374" i="38"/>
  <c r="G373" i="38"/>
  <c r="F373" i="38"/>
  <c r="C373" i="38"/>
  <c r="F356" i="38"/>
  <c r="C356" i="38"/>
  <c r="F355" i="38"/>
  <c r="G367" i="38"/>
  <c r="F367" i="38"/>
  <c r="G366" i="38"/>
  <c r="F366" i="38"/>
  <c r="C366" i="38"/>
  <c r="F365" i="38"/>
  <c r="G364" i="38"/>
  <c r="G363" i="38"/>
  <c r="F363" i="38"/>
  <c r="G362" i="38"/>
  <c r="F362" i="38"/>
  <c r="C362" i="38"/>
  <c r="F361" i="38"/>
  <c r="F360" i="38"/>
  <c r="C360" i="38"/>
  <c r="F359" i="38"/>
  <c r="G354" i="38"/>
  <c r="F354" i="38"/>
  <c r="C354" i="38"/>
  <c r="G353" i="38"/>
  <c r="F353" i="38"/>
  <c r="G352" i="38"/>
  <c r="F352" i="38"/>
  <c r="C352" i="38"/>
  <c r="G351" i="38"/>
  <c r="K351" i="38"/>
  <c r="F351" i="38"/>
  <c r="C351" i="38"/>
  <c r="G350" i="38"/>
  <c r="F350" i="38"/>
  <c r="C350" i="38"/>
  <c r="F344" i="38"/>
  <c r="D344" i="38"/>
  <c r="F343" i="38"/>
  <c r="F342" i="38"/>
  <c r="F335" i="38"/>
  <c r="F334" i="38"/>
  <c r="F333" i="38"/>
  <c r="D333" i="38"/>
  <c r="F330" i="38"/>
  <c r="F329" i="38"/>
  <c r="D329" i="38"/>
  <c r="F328" i="38"/>
  <c r="F327" i="38"/>
  <c r="D327" i="38"/>
  <c r="F326" i="38"/>
  <c r="F325" i="38"/>
  <c r="D325" i="38"/>
  <c r="F324" i="38"/>
  <c r="F323" i="38"/>
  <c r="D323" i="38"/>
  <c r="F322" i="38"/>
  <c r="D322" i="38"/>
  <c r="F321" i="38"/>
  <c r="D321" i="38"/>
  <c r="F316" i="38"/>
  <c r="F315" i="38"/>
  <c r="F314" i="38"/>
  <c r="F313" i="38"/>
  <c r="D313" i="38"/>
  <c r="F312" i="38"/>
  <c r="F311" i="38"/>
  <c r="F310" i="38"/>
  <c r="F309" i="38"/>
  <c r="F308" i="38"/>
  <c r="F305" i="38"/>
  <c r="F304" i="38"/>
  <c r="F303" i="38"/>
  <c r="D303" i="38"/>
  <c r="F302" i="38"/>
  <c r="F301" i="38"/>
  <c r="F300" i="38"/>
  <c r="F299" i="38"/>
  <c r="D299" i="38"/>
  <c r="F298" i="38"/>
  <c r="F297" i="38"/>
  <c r="E444" i="38"/>
  <c r="C444" i="38"/>
  <c r="E416" i="38"/>
  <c r="C416" i="38"/>
  <c r="D392" i="38"/>
  <c r="D391" i="38"/>
  <c r="E388" i="38"/>
  <c r="H370" i="38"/>
  <c r="E370" i="38"/>
  <c r="H346" i="38"/>
  <c r="E346" i="38"/>
  <c r="C346" i="38"/>
  <c r="H337" i="38"/>
  <c r="E337" i="38"/>
  <c r="C337" i="38"/>
  <c r="H318" i="38"/>
  <c r="E318" i="38"/>
  <c r="C318" i="38"/>
  <c r="K40" i="16"/>
  <c r="L40" i="16"/>
  <c r="K39" i="16"/>
  <c r="L39" i="16"/>
  <c r="K38" i="16"/>
  <c r="L38" i="16"/>
  <c r="J37" i="16"/>
  <c r="K37" i="16"/>
  <c r="L37" i="16"/>
  <c r="J36" i="16"/>
  <c r="K36" i="16"/>
  <c r="L36" i="16"/>
  <c r="J35" i="16"/>
  <c r="K35" i="16"/>
  <c r="L35" i="16"/>
  <c r="K34" i="16"/>
  <c r="L34" i="16"/>
  <c r="K33" i="16"/>
  <c r="K32" i="16"/>
  <c r="L32" i="16"/>
  <c r="K31" i="16"/>
  <c r="L31" i="16"/>
  <c r="J20" i="16"/>
  <c r="C353" i="38"/>
  <c r="D353" i="38"/>
  <c r="C382" i="38"/>
  <c r="D382" i="38"/>
  <c r="C383" i="38"/>
  <c r="K383" i="38"/>
  <c r="K385" i="38"/>
  <c r="C381" i="38"/>
  <c r="D381" i="38"/>
  <c r="C367" i="38"/>
  <c r="D367" i="38"/>
  <c r="K353" i="38"/>
  <c r="C376" i="38"/>
  <c r="D376" i="38"/>
  <c r="C359" i="38"/>
  <c r="D359" i="38"/>
  <c r="C355" i="38"/>
  <c r="D355" i="38"/>
  <c r="C363" i="38"/>
  <c r="D363" i="38"/>
  <c r="C378" i="38"/>
  <c r="K378" i="38"/>
  <c r="C384" i="38"/>
  <c r="D384" i="38"/>
  <c r="C365" i="38"/>
  <c r="D365" i="38"/>
  <c r="K373" i="38"/>
  <c r="C379" i="38"/>
  <c r="D379" i="38"/>
  <c r="C361" i="38"/>
  <c r="D361" i="38"/>
  <c r="C374" i="38"/>
  <c r="H339" i="38"/>
  <c r="I482" i="6"/>
  <c r="K482" i="6"/>
  <c r="I483" i="6"/>
  <c r="K483" i="6"/>
  <c r="E339" i="38"/>
  <c r="E347" i="38"/>
  <c r="E485" i="6"/>
  <c r="G485" i="6"/>
  <c r="E486" i="6"/>
  <c r="G486" i="6"/>
  <c r="G484" i="6"/>
  <c r="J436" i="38"/>
  <c r="I440" i="38"/>
  <c r="L33" i="16"/>
  <c r="I3915" i="24"/>
  <c r="J363" i="38"/>
  <c r="I503" i="6"/>
  <c r="K503" i="6"/>
  <c r="K481" i="6"/>
  <c r="K474" i="6"/>
  <c r="K478" i="6"/>
  <c r="K145" i="6"/>
  <c r="I144" i="6"/>
  <c r="K144" i="6"/>
  <c r="G146" i="6"/>
  <c r="G148" i="6"/>
  <c r="E147" i="6"/>
  <c r="G147" i="6"/>
  <c r="K136" i="6"/>
  <c r="H440" i="38"/>
  <c r="H347" i="38"/>
  <c r="D335" i="38"/>
  <c r="I351" i="38"/>
  <c r="K440" i="38"/>
  <c r="M560" i="38"/>
  <c r="H373" i="38"/>
  <c r="H375" i="38"/>
  <c r="E390" i="38"/>
  <c r="E394" i="38"/>
  <c r="E398" i="38"/>
  <c r="J423" i="38"/>
  <c r="D441" i="38"/>
  <c r="F318" i="38"/>
  <c r="J351" i="38"/>
  <c r="J353" i="38"/>
  <c r="D425" i="38"/>
  <c r="D342" i="38"/>
  <c r="D351" i="38"/>
  <c r="J367" i="38"/>
  <c r="I373" i="38"/>
  <c r="K375" i="38"/>
  <c r="I363" i="38"/>
  <c r="I367" i="38"/>
  <c r="H436" i="38"/>
  <c r="J440" i="38"/>
  <c r="I442" i="38"/>
  <c r="D431" i="38"/>
  <c r="I353" i="38"/>
  <c r="H442" i="38"/>
  <c r="D435" i="38"/>
  <c r="D377" i="38"/>
  <c r="K363" i="38"/>
  <c r="F346" i="38"/>
  <c r="D309" i="38"/>
  <c r="D298" i="38"/>
  <c r="D302" i="38"/>
  <c r="D308" i="38"/>
  <c r="D316" i="38"/>
  <c r="D326" i="38"/>
  <c r="D328" i="38"/>
  <c r="D334" i="38"/>
  <c r="J350" i="38"/>
  <c r="D350" i="38"/>
  <c r="J352" i="38"/>
  <c r="D352" i="38"/>
  <c r="J354" i="38"/>
  <c r="D354" i="38"/>
  <c r="D360" i="38"/>
  <c r="J364" i="38"/>
  <c r="D401" i="38"/>
  <c r="D409" i="38"/>
  <c r="F337" i="38"/>
  <c r="C339" i="38"/>
  <c r="I350" i="38"/>
  <c r="I352" i="38"/>
  <c r="I354" i="38"/>
  <c r="I362" i="38"/>
  <c r="I364" i="38"/>
  <c r="I366" i="38"/>
  <c r="I378" i="38"/>
  <c r="D386" i="38"/>
  <c r="H386" i="38"/>
  <c r="D403" i="38"/>
  <c r="D411" i="38"/>
  <c r="D429" i="38"/>
  <c r="D297" i="38"/>
  <c r="D300" i="38"/>
  <c r="D301" i="38"/>
  <c r="D304" i="38"/>
  <c r="D305" i="38"/>
  <c r="D310" i="38"/>
  <c r="D311" i="38"/>
  <c r="D314" i="38"/>
  <c r="D315" i="38"/>
  <c r="K350" i="38"/>
  <c r="K352" i="38"/>
  <c r="K354" i="38"/>
  <c r="K362" i="38"/>
  <c r="K364" i="38"/>
  <c r="K366" i="38"/>
  <c r="J373" i="38"/>
  <c r="I375" i="38"/>
  <c r="H378" i="38"/>
  <c r="J383" i="38"/>
  <c r="J385" i="38"/>
  <c r="D385" i="38"/>
  <c r="D405" i="38"/>
  <c r="D413" i="38"/>
  <c r="D312" i="38"/>
  <c r="D330" i="38"/>
  <c r="D356" i="38"/>
  <c r="J362" i="38"/>
  <c r="D362" i="38"/>
  <c r="J366" i="38"/>
  <c r="D366" i="38"/>
  <c r="D324" i="38"/>
  <c r="D343" i="38"/>
  <c r="D375" i="38"/>
  <c r="J375" i="38"/>
  <c r="I383" i="38"/>
  <c r="H383" i="38"/>
  <c r="H385" i="38"/>
  <c r="I385" i="38"/>
  <c r="J386" i="38"/>
  <c r="F388" i="38"/>
  <c r="D407" i="38"/>
  <c r="I423" i="38"/>
  <c r="H423" i="38"/>
  <c r="K423" i="38"/>
  <c r="M534" i="38"/>
  <c r="D373" i="38"/>
  <c r="J378" i="38"/>
  <c r="D380" i="38"/>
  <c r="I386" i="38"/>
  <c r="D422" i="38"/>
  <c r="D432" i="38"/>
  <c r="D442" i="38"/>
  <c r="J442" i="38"/>
  <c r="I436" i="38"/>
  <c r="D395" i="38"/>
  <c r="D420" i="38"/>
  <c r="D424" i="38"/>
  <c r="D430" i="38"/>
  <c r="D434" i="38"/>
  <c r="D440" i="38"/>
  <c r="K367" i="38"/>
  <c r="D383" i="38"/>
  <c r="C388" i="38"/>
  <c r="D378" i="38"/>
  <c r="D374" i="38"/>
  <c r="E487" i="6"/>
  <c r="F339" i="38"/>
  <c r="F347" i="38"/>
  <c r="K487" i="6"/>
  <c r="G487" i="6"/>
  <c r="I487" i="6"/>
  <c r="E149" i="6"/>
  <c r="I149" i="6"/>
  <c r="G149" i="6"/>
  <c r="K143" i="6"/>
  <c r="K149" i="6"/>
  <c r="D346" i="38"/>
  <c r="D388" i="38"/>
  <c r="D337" i="38"/>
  <c r="C347" i="38"/>
  <c r="D318" i="38"/>
  <c r="D339" i="38"/>
  <c r="D347" i="38"/>
  <c r="C134" i="23"/>
  <c r="C133" i="23"/>
  <c r="C131" i="23"/>
  <c r="C130" i="23"/>
  <c r="C129" i="23"/>
  <c r="C127" i="23"/>
  <c r="C126" i="23"/>
  <c r="C125" i="23"/>
  <c r="C123" i="23"/>
  <c r="C122" i="23"/>
  <c r="C120" i="23"/>
  <c r="C119" i="23"/>
  <c r="C118" i="23"/>
  <c r="C115" i="23"/>
  <c r="C114" i="23"/>
  <c r="C112" i="23"/>
  <c r="C111" i="23"/>
  <c r="C110" i="23"/>
  <c r="C107" i="23"/>
  <c r="C106" i="23"/>
  <c r="C104" i="23"/>
  <c r="C103" i="23"/>
  <c r="C102" i="23"/>
  <c r="C101" i="23"/>
  <c r="C100" i="23"/>
  <c r="C97" i="23"/>
  <c r="C96" i="23"/>
  <c r="C94" i="23"/>
  <c r="C93" i="23"/>
  <c r="C91" i="23"/>
  <c r="C90" i="23"/>
  <c r="C89" i="23"/>
  <c r="C88" i="23"/>
  <c r="C87" i="23"/>
  <c r="C63" i="23"/>
  <c r="C62" i="23"/>
  <c r="C60" i="23"/>
  <c r="C59" i="23"/>
  <c r="C58" i="23"/>
  <c r="C56" i="23"/>
  <c r="C55" i="23"/>
  <c r="C54" i="23"/>
  <c r="C52" i="23"/>
  <c r="C51" i="23"/>
  <c r="C49" i="23"/>
  <c r="C48" i="23"/>
  <c r="C47" i="23"/>
  <c r="C44" i="23"/>
  <c r="C43" i="23"/>
  <c r="C41" i="23"/>
  <c r="C40" i="23"/>
  <c r="C39" i="23"/>
  <c r="C36" i="23"/>
  <c r="C35" i="23"/>
  <c r="C33" i="23"/>
  <c r="C32" i="23"/>
  <c r="C31" i="23"/>
  <c r="C30" i="23"/>
  <c r="C29" i="23"/>
  <c r="C26" i="23"/>
  <c r="C25" i="23"/>
  <c r="C18" i="23"/>
  <c r="D144" i="23"/>
  <c r="D23" i="23"/>
  <c r="D73" i="23"/>
  <c r="D143" i="23"/>
  <c r="D141" i="23"/>
  <c r="D20" i="23"/>
  <c r="D70" i="23"/>
  <c r="D140" i="23"/>
  <c r="D19" i="23"/>
  <c r="D69" i="23"/>
  <c r="D138" i="23"/>
  <c r="D16" i="23"/>
  <c r="D67" i="23"/>
  <c r="D132" i="23"/>
  <c r="D128" i="23"/>
  <c r="D121" i="23"/>
  <c r="D117" i="23"/>
  <c r="D113" i="23"/>
  <c r="D109" i="23"/>
  <c r="D105" i="23"/>
  <c r="D99" i="23"/>
  <c r="D98" i="23"/>
  <c r="D139" i="23"/>
  <c r="D92" i="23"/>
  <c r="D86" i="23"/>
  <c r="D61" i="23"/>
  <c r="D57" i="23"/>
  <c r="D50" i="23"/>
  <c r="D46" i="23"/>
  <c r="D42" i="23"/>
  <c r="D38" i="23"/>
  <c r="D34" i="23"/>
  <c r="D28" i="23"/>
  <c r="D27" i="23"/>
  <c r="B1" i="38"/>
  <c r="C88" i="20"/>
  <c r="B88" i="20"/>
  <c r="C87" i="20"/>
  <c r="B87" i="20"/>
  <c r="C86" i="20"/>
  <c r="C85" i="20"/>
  <c r="B85" i="20"/>
  <c r="C84" i="20"/>
  <c r="C83" i="20"/>
  <c r="C82" i="20"/>
  <c r="C81" i="20"/>
  <c r="C80" i="20"/>
  <c r="B80" i="20"/>
  <c r="C79" i="20"/>
  <c r="C78" i="20"/>
  <c r="C77" i="20"/>
  <c r="B77" i="20"/>
  <c r="C76" i="20"/>
  <c r="C75" i="20"/>
  <c r="B75" i="20"/>
  <c r="C69" i="20"/>
  <c r="B69" i="20"/>
  <c r="C68" i="20"/>
  <c r="B68" i="20"/>
  <c r="C67" i="20"/>
  <c r="B66" i="20"/>
  <c r="C65" i="20"/>
  <c r="B65" i="20"/>
  <c r="C64" i="20"/>
  <c r="B64" i="20"/>
  <c r="C63" i="20"/>
  <c r="C62" i="20"/>
  <c r="C61" i="20"/>
  <c r="C60" i="20"/>
  <c r="C59" i="20"/>
  <c r="C58" i="20"/>
  <c r="B58" i="20"/>
  <c r="C57" i="20"/>
  <c r="B57" i="20"/>
  <c r="C56" i="20"/>
  <c r="B56" i="20"/>
  <c r="C55" i="20"/>
  <c r="B55" i="20"/>
  <c r="C54" i="20"/>
  <c r="B54" i="20"/>
  <c r="D142" i="23"/>
  <c r="D85" i="20"/>
  <c r="E85" i="20"/>
  <c r="D22" i="23"/>
  <c r="D72" i="23"/>
  <c r="D71" i="23"/>
  <c r="D85" i="23"/>
  <c r="C92" i="23"/>
  <c r="C34" i="23"/>
  <c r="C141" i="23"/>
  <c r="C20" i="23"/>
  <c r="C70" i="23"/>
  <c r="C113" i="23"/>
  <c r="C109" i="23"/>
  <c r="C121" i="23"/>
  <c r="C117" i="23"/>
  <c r="C132" i="23"/>
  <c r="C128" i="23"/>
  <c r="C28" i="23"/>
  <c r="C27" i="23"/>
  <c r="C42" i="23"/>
  <c r="C38" i="23"/>
  <c r="C99" i="23"/>
  <c r="C98" i="23"/>
  <c r="C139" i="23"/>
  <c r="C17" i="23"/>
  <c r="D87" i="20"/>
  <c r="E87" i="20"/>
  <c r="C50" i="23"/>
  <c r="C46" i="23"/>
  <c r="C61" i="23"/>
  <c r="C57" i="23"/>
  <c r="C144" i="23"/>
  <c r="C23" i="23"/>
  <c r="C73" i="23"/>
  <c r="C138" i="23"/>
  <c r="C16" i="23"/>
  <c r="C140" i="23"/>
  <c r="C19" i="23"/>
  <c r="C69" i="23"/>
  <c r="C105" i="23"/>
  <c r="C143" i="23"/>
  <c r="C86" i="23"/>
  <c r="D137" i="23"/>
  <c r="D136" i="23"/>
  <c r="D17" i="23"/>
  <c r="D80" i="20"/>
  <c r="E80" i="20"/>
  <c r="D55" i="20"/>
  <c r="E55" i="20"/>
  <c r="D64" i="20"/>
  <c r="E64" i="20"/>
  <c r="D66" i="20"/>
  <c r="E66" i="20"/>
  <c r="D57" i="20"/>
  <c r="E57" i="20"/>
  <c r="D69" i="20"/>
  <c r="E69" i="20"/>
  <c r="D75" i="20"/>
  <c r="E75" i="20"/>
  <c r="D77" i="20"/>
  <c r="E77" i="20"/>
  <c r="D65" i="20"/>
  <c r="E65" i="20"/>
  <c r="D56" i="20"/>
  <c r="E56" i="20"/>
  <c r="D58" i="20"/>
  <c r="E58" i="20"/>
  <c r="D68" i="20"/>
  <c r="E68" i="20"/>
  <c r="D88" i="20"/>
  <c r="E88" i="20"/>
  <c r="C90" i="20"/>
  <c r="D54" i="20"/>
  <c r="E54" i="20"/>
  <c r="A46" i="21"/>
  <c r="A414" i="38"/>
  <c r="A45" i="21"/>
  <c r="A413" i="38"/>
  <c r="A44" i="21"/>
  <c r="A412" i="38"/>
  <c r="A43" i="21"/>
  <c r="A411" i="38"/>
  <c r="A42" i="21"/>
  <c r="A410" i="38"/>
  <c r="A41" i="21"/>
  <c r="A409" i="38"/>
  <c r="A40" i="21"/>
  <c r="A408" i="38"/>
  <c r="A39" i="21"/>
  <c r="A407" i="38"/>
  <c r="A38" i="21"/>
  <c r="A406" i="38"/>
  <c r="A37" i="21"/>
  <c r="A405" i="38"/>
  <c r="A36" i="21"/>
  <c r="A404" i="38"/>
  <c r="A35" i="21"/>
  <c r="A403" i="38"/>
  <c r="A34" i="21"/>
  <c r="A402" i="38"/>
  <c r="A33" i="21"/>
  <c r="A401" i="38"/>
  <c r="A10" i="21"/>
  <c r="A9" i="21"/>
  <c r="D46" i="21"/>
  <c r="D44" i="21"/>
  <c r="D40" i="21"/>
  <c r="D39" i="21"/>
  <c r="D38" i="21"/>
  <c r="D35" i="21"/>
  <c r="D34" i="21"/>
  <c r="D33" i="21"/>
  <c r="D111" i="38"/>
  <c r="D110" i="38"/>
  <c r="G161" i="38"/>
  <c r="K161" i="38"/>
  <c r="M283" i="38"/>
  <c r="F161" i="38"/>
  <c r="F160" i="38"/>
  <c r="G159" i="38"/>
  <c r="F159" i="38"/>
  <c r="D159" i="38"/>
  <c r="F156" i="38"/>
  <c r="G155" i="38"/>
  <c r="K155" i="38"/>
  <c r="M275" i="38"/>
  <c r="F155" i="38"/>
  <c r="F154" i="38"/>
  <c r="D154" i="38"/>
  <c r="F153" i="38"/>
  <c r="D153" i="38"/>
  <c r="F152" i="38"/>
  <c r="F151" i="38"/>
  <c r="F150" i="38"/>
  <c r="F149" i="38"/>
  <c r="D149" i="38"/>
  <c r="F148" i="38"/>
  <c r="F147" i="38"/>
  <c r="D147" i="38"/>
  <c r="G142" i="38"/>
  <c r="F144" i="38"/>
  <c r="F143" i="38"/>
  <c r="D143" i="38"/>
  <c r="F142" i="38"/>
  <c r="F141" i="38"/>
  <c r="D141" i="38"/>
  <c r="F139" i="38"/>
  <c r="D139" i="38"/>
  <c r="E163" i="38"/>
  <c r="D131" i="38"/>
  <c r="D130" i="38"/>
  <c r="D126" i="38"/>
  <c r="F123" i="38"/>
  <c r="D123" i="38"/>
  <c r="D122" i="38"/>
  <c r="D121" i="38"/>
  <c r="F75" i="38"/>
  <c r="F74" i="38"/>
  <c r="K2359" i="24"/>
  <c r="G392" i="38" s="1"/>
  <c r="K2358" i="24"/>
  <c r="K2361" i="24" s="1"/>
  <c r="I2359" i="24"/>
  <c r="G111" i="38" s="1"/>
  <c r="I2358" i="24"/>
  <c r="F115" i="38"/>
  <c r="D115" i="38"/>
  <c r="F114" i="38"/>
  <c r="D114" i="38"/>
  <c r="G391" i="38"/>
  <c r="K110" i="38"/>
  <c r="H65" i="38"/>
  <c r="E65" i="38"/>
  <c r="H56" i="38"/>
  <c r="E56" i="38"/>
  <c r="H37" i="38"/>
  <c r="H58" i="38" s="1"/>
  <c r="H66" i="38" s="1"/>
  <c r="E37" i="38"/>
  <c r="F63" i="38"/>
  <c r="F62" i="38"/>
  <c r="F61" i="38"/>
  <c r="F54" i="38"/>
  <c r="F53" i="38"/>
  <c r="F52" i="38"/>
  <c r="F49" i="38"/>
  <c r="F48" i="38"/>
  <c r="F47" i="38"/>
  <c r="F46" i="38"/>
  <c r="F45" i="38"/>
  <c r="F44" i="38"/>
  <c r="F43" i="38"/>
  <c r="F42" i="38"/>
  <c r="F41" i="38"/>
  <c r="F40" i="38"/>
  <c r="F35" i="38"/>
  <c r="F34" i="38"/>
  <c r="D34" i="38"/>
  <c r="F33" i="38"/>
  <c r="F32" i="38"/>
  <c r="F31" i="38"/>
  <c r="F30" i="38"/>
  <c r="F29" i="38"/>
  <c r="F28" i="38"/>
  <c r="F27" i="38"/>
  <c r="F24" i="38"/>
  <c r="D24" i="38"/>
  <c r="F23" i="38"/>
  <c r="D23" i="38"/>
  <c r="F22" i="38"/>
  <c r="D22" i="38"/>
  <c r="F21" i="38"/>
  <c r="D21" i="38"/>
  <c r="F20" i="38"/>
  <c r="D20" i="38"/>
  <c r="F19" i="38"/>
  <c r="D19" i="38"/>
  <c r="F18" i="38"/>
  <c r="D18" i="38"/>
  <c r="F17" i="38"/>
  <c r="F16" i="38"/>
  <c r="D16" i="38"/>
  <c r="F34" i="21"/>
  <c r="G34" i="21"/>
  <c r="G402" i="38"/>
  <c r="F40" i="21"/>
  <c r="G40" i="21"/>
  <c r="G408" i="38"/>
  <c r="F35" i="21"/>
  <c r="G35" i="21"/>
  <c r="G403" i="38"/>
  <c r="E48" i="21"/>
  <c r="F410" i="38"/>
  <c r="G401" i="38"/>
  <c r="F39" i="21"/>
  <c r="G39" i="21"/>
  <c r="G407" i="38"/>
  <c r="F46" i="21"/>
  <c r="G46" i="21"/>
  <c r="G414" i="38"/>
  <c r="F38" i="21"/>
  <c r="G38" i="21"/>
  <c r="G406" i="38"/>
  <c r="F44" i="21"/>
  <c r="G44" i="21"/>
  <c r="G412" i="38"/>
  <c r="A120" i="38"/>
  <c r="A121" i="38"/>
  <c r="I391" i="38"/>
  <c r="H391" i="38"/>
  <c r="K391" i="38"/>
  <c r="J391" i="38"/>
  <c r="C68" i="23"/>
  <c r="D21" i="23"/>
  <c r="C137" i="23"/>
  <c r="C15" i="23"/>
  <c r="C85" i="23"/>
  <c r="C67" i="23"/>
  <c r="C142" i="23"/>
  <c r="C22" i="23"/>
  <c r="D68" i="23"/>
  <c r="D66" i="23"/>
  <c r="D65" i="23"/>
  <c r="D15" i="23"/>
  <c r="D14" i="23"/>
  <c r="D45" i="21"/>
  <c r="D36" i="21"/>
  <c r="D41" i="21"/>
  <c r="B48" i="21"/>
  <c r="D37" i="21"/>
  <c r="D42" i="21"/>
  <c r="D43" i="21"/>
  <c r="C48" i="21"/>
  <c r="F33" i="21"/>
  <c r="G33" i="21"/>
  <c r="H110" i="38"/>
  <c r="I110" i="38"/>
  <c r="I159" i="38"/>
  <c r="J161" i="38"/>
  <c r="D150" i="38"/>
  <c r="D152" i="38"/>
  <c r="H161" i="38"/>
  <c r="J155" i="38"/>
  <c r="D161" i="38"/>
  <c r="I161" i="38"/>
  <c r="K159" i="38"/>
  <c r="M279" i="38"/>
  <c r="H159" i="38"/>
  <c r="D160" i="38"/>
  <c r="J159" i="38"/>
  <c r="D148" i="38"/>
  <c r="D156" i="38"/>
  <c r="H155" i="38"/>
  <c r="D151" i="38"/>
  <c r="D155" i="38"/>
  <c r="I155" i="38"/>
  <c r="J142" i="38"/>
  <c r="H142" i="38"/>
  <c r="D142" i="38"/>
  <c r="D144" i="38"/>
  <c r="K142" i="38"/>
  <c r="M253" i="38"/>
  <c r="D127" i="38"/>
  <c r="I142" i="38"/>
  <c r="D125" i="38"/>
  <c r="D133" i="38"/>
  <c r="D124" i="38"/>
  <c r="D128" i="38"/>
  <c r="D132" i="38"/>
  <c r="E58" i="38"/>
  <c r="E66" i="38" s="1"/>
  <c r="J110" i="38"/>
  <c r="K2098" i="24"/>
  <c r="K15" i="13"/>
  <c r="N2098" i="24"/>
  <c r="F56" i="38"/>
  <c r="D63" i="38"/>
  <c r="F65" i="38"/>
  <c r="D61" i="38"/>
  <c r="F37" i="38"/>
  <c r="D62" i="38"/>
  <c r="D49" i="38"/>
  <c r="D30" i="38"/>
  <c r="D41" i="38"/>
  <c r="D43" i="38"/>
  <c r="D45" i="38"/>
  <c r="D47" i="38"/>
  <c r="D52" i="38"/>
  <c r="D54" i="38"/>
  <c r="D40" i="38"/>
  <c r="D42" i="38"/>
  <c r="D44" i="38"/>
  <c r="D46" i="38"/>
  <c r="D48" i="38"/>
  <c r="D53" i="38"/>
  <c r="D17" i="38"/>
  <c r="D32" i="38"/>
  <c r="D28" i="38"/>
  <c r="D27" i="38"/>
  <c r="D29" i="38"/>
  <c r="D31" i="38"/>
  <c r="D33" i="38"/>
  <c r="D35" i="38"/>
  <c r="I15" i="13"/>
  <c r="B59" i="20"/>
  <c r="D59" i="20"/>
  <c r="E59" i="20"/>
  <c r="C839" i="44"/>
  <c r="C841" i="44"/>
  <c r="G355" i="38"/>
  <c r="F58" i="38"/>
  <c r="J58" i="38" s="1"/>
  <c r="F42" i="21"/>
  <c r="G42" i="21"/>
  <c r="G410" i="38"/>
  <c r="J410" i="38"/>
  <c r="F36" i="21"/>
  <c r="G36" i="21"/>
  <c r="G404" i="38"/>
  <c r="K406" i="38"/>
  <c r="I406" i="38"/>
  <c r="J406" i="38"/>
  <c r="H406" i="38"/>
  <c r="H408" i="38"/>
  <c r="K408" i="38"/>
  <c r="J408" i="38"/>
  <c r="I408" i="38"/>
  <c r="F43" i="21"/>
  <c r="G43" i="21"/>
  <c r="G411" i="38"/>
  <c r="F41" i="21"/>
  <c r="G41" i="21"/>
  <c r="G409" i="38"/>
  <c r="G416" i="38"/>
  <c r="K414" i="38"/>
  <c r="I414" i="38"/>
  <c r="H414" i="38"/>
  <c r="J414" i="38"/>
  <c r="K402" i="38"/>
  <c r="J402" i="38"/>
  <c r="H402" i="38"/>
  <c r="I402" i="38"/>
  <c r="K407" i="38"/>
  <c r="H407" i="38"/>
  <c r="J407" i="38"/>
  <c r="I407" i="38"/>
  <c r="D410" i="38"/>
  <c r="D416" i="38"/>
  <c r="F416" i="38"/>
  <c r="F37" i="21"/>
  <c r="G37" i="21"/>
  <c r="G405" i="38"/>
  <c r="F45" i="21"/>
  <c r="G45" i="21"/>
  <c r="G413" i="38"/>
  <c r="H412" i="38"/>
  <c r="J412" i="38"/>
  <c r="K412" i="38"/>
  <c r="I412" i="38"/>
  <c r="H401" i="38"/>
  <c r="I401" i="38"/>
  <c r="J401" i="38"/>
  <c r="K401" i="38"/>
  <c r="K403" i="38"/>
  <c r="H403" i="38"/>
  <c r="I403" i="38"/>
  <c r="J403" i="38"/>
  <c r="C136" i="23"/>
  <c r="C66" i="23"/>
  <c r="C21" i="23"/>
  <c r="C14" i="23"/>
  <c r="C72" i="23"/>
  <c r="C71" i="23"/>
  <c r="D48" i="21"/>
  <c r="D37" i="38"/>
  <c r="D58" i="38" s="1"/>
  <c r="D66" i="38" s="1"/>
  <c r="D65" i="38"/>
  <c r="D56" i="38"/>
  <c r="G74" i="38"/>
  <c r="G839" i="44"/>
  <c r="G841" i="44"/>
  <c r="J355" i="38"/>
  <c r="I355" i="38"/>
  <c r="K355" i="38"/>
  <c r="G417" i="38"/>
  <c r="K416" i="38"/>
  <c r="K405" i="38"/>
  <c r="I405" i="38"/>
  <c r="H405" i="38"/>
  <c r="J405" i="38"/>
  <c r="K404" i="38"/>
  <c r="I404" i="38"/>
  <c r="H404" i="38"/>
  <c r="J404" i="38"/>
  <c r="F48" i="21"/>
  <c r="G48" i="21"/>
  <c r="H410" i="38"/>
  <c r="K410" i="38"/>
  <c r="I410" i="38"/>
  <c r="F417" i="38"/>
  <c r="J416" i="38"/>
  <c r="K409" i="38"/>
  <c r="H409" i="38"/>
  <c r="I409" i="38"/>
  <c r="J409" i="38"/>
  <c r="K413" i="38"/>
  <c r="I413" i="38"/>
  <c r="J413" i="38"/>
  <c r="H413" i="38"/>
  <c r="K411" i="38"/>
  <c r="H411" i="38"/>
  <c r="J411" i="38"/>
  <c r="I411" i="38"/>
  <c r="C65" i="23"/>
  <c r="H416" i="38"/>
  <c r="I416" i="38"/>
  <c r="K614" i="38"/>
  <c r="I614" i="38"/>
  <c r="K613" i="38"/>
  <c r="I613" i="38"/>
  <c r="K611" i="38"/>
  <c r="I611" i="38"/>
  <c r="K606" i="38"/>
  <c r="I606" i="38"/>
  <c r="K603" i="38"/>
  <c r="I603" i="38"/>
  <c r="K601" i="38"/>
  <c r="K597" i="38"/>
  <c r="K596" i="38"/>
  <c r="K593" i="38"/>
  <c r="K592" i="38"/>
  <c r="K585" i="38"/>
  <c r="K584" i="38"/>
  <c r="K583" i="38"/>
  <c r="K582" i="38"/>
  <c r="K581" i="38"/>
  <c r="I597" i="38"/>
  <c r="I596" i="38"/>
  <c r="I593" i="38"/>
  <c r="I585" i="38"/>
  <c r="I584" i="38"/>
  <c r="I583" i="38"/>
  <c r="I582" i="38"/>
  <c r="I581" i="38"/>
  <c r="D120" i="38"/>
  <c r="G105" i="38"/>
  <c r="K105" i="38"/>
  <c r="G104" i="38"/>
  <c r="K104" i="38"/>
  <c r="G102" i="38"/>
  <c r="K102" i="38"/>
  <c r="G97" i="38"/>
  <c r="K97" i="38"/>
  <c r="G94" i="38"/>
  <c r="K94" i="38"/>
  <c r="F105" i="38"/>
  <c r="F104" i="38"/>
  <c r="D104" i="38"/>
  <c r="F103" i="38"/>
  <c r="F102" i="38"/>
  <c r="D102" i="38"/>
  <c r="F101" i="38"/>
  <c r="F100" i="38"/>
  <c r="F99" i="38"/>
  <c r="D99" i="38"/>
  <c r="F98" i="38"/>
  <c r="D98" i="38"/>
  <c r="F97" i="38"/>
  <c r="F95" i="38"/>
  <c r="D95" i="38"/>
  <c r="F94" i="38"/>
  <c r="D94" i="38"/>
  <c r="F93" i="38"/>
  <c r="F92" i="38"/>
  <c r="D92" i="38"/>
  <c r="G86" i="38"/>
  <c r="K86" i="38"/>
  <c r="G85" i="38"/>
  <c r="K85" i="38"/>
  <c r="G83" i="38"/>
  <c r="K83" i="38"/>
  <c r="G82" i="38"/>
  <c r="K82" i="38"/>
  <c r="K74" i="38"/>
  <c r="G73" i="38"/>
  <c r="K73" i="38"/>
  <c r="G72" i="38"/>
  <c r="K72" i="38"/>
  <c r="G71" i="38"/>
  <c r="K71" i="38"/>
  <c r="G70" i="38"/>
  <c r="K70" i="38"/>
  <c r="F86" i="38"/>
  <c r="D86" i="38"/>
  <c r="F85" i="38"/>
  <c r="F84" i="38"/>
  <c r="D84" i="38"/>
  <c r="F82" i="38"/>
  <c r="D82" i="38"/>
  <c r="D81" i="38"/>
  <c r="D80" i="38"/>
  <c r="F79" i="38"/>
  <c r="D79" i="38"/>
  <c r="F78" i="38"/>
  <c r="D78" i="38"/>
  <c r="D75" i="38"/>
  <c r="F73" i="38"/>
  <c r="D73" i="38"/>
  <c r="F72" i="38"/>
  <c r="D72" i="38"/>
  <c r="F71" i="38"/>
  <c r="D71" i="38"/>
  <c r="F70" i="38"/>
  <c r="D70" i="38"/>
  <c r="F69" i="38"/>
  <c r="E135" i="38"/>
  <c r="C135" i="38"/>
  <c r="E107" i="38"/>
  <c r="H89" i="38"/>
  <c r="E89" i="38"/>
  <c r="D69" i="38"/>
  <c r="J85" i="38"/>
  <c r="D100" i="38"/>
  <c r="J72" i="38"/>
  <c r="D103" i="38"/>
  <c r="J74" i="38"/>
  <c r="J104" i="38"/>
  <c r="J83" i="38"/>
  <c r="J97" i="38"/>
  <c r="J105" i="38"/>
  <c r="J70" i="38"/>
  <c r="J71" i="38"/>
  <c r="J86" i="38"/>
  <c r="J82" i="38"/>
  <c r="J94" i="38"/>
  <c r="J102" i="38"/>
  <c r="J73" i="38"/>
  <c r="I70" i="38"/>
  <c r="I97" i="38"/>
  <c r="E109" i="38"/>
  <c r="D97" i="38"/>
  <c r="D101" i="38"/>
  <c r="I86" i="38"/>
  <c r="I94" i="38"/>
  <c r="H97" i="38"/>
  <c r="H105" i="38"/>
  <c r="D105" i="38"/>
  <c r="I72" i="38"/>
  <c r="I105" i="38"/>
  <c r="I85" i="38"/>
  <c r="D85" i="38"/>
  <c r="I73" i="38"/>
  <c r="I83" i="38"/>
  <c r="D93" i="38"/>
  <c r="I82" i="38"/>
  <c r="D74" i="38"/>
  <c r="I74" i="38"/>
  <c r="I104" i="38"/>
  <c r="H104" i="38"/>
  <c r="H102" i="38"/>
  <c r="I102" i="38"/>
  <c r="I71" i="38"/>
  <c r="H94" i="38"/>
  <c r="K4266" i="24"/>
  <c r="K3021" i="24"/>
  <c r="K4264" i="24"/>
  <c r="I3021" i="24"/>
  <c r="E4250" i="24"/>
  <c r="E4240" i="24"/>
  <c r="K4229" i="24"/>
  <c r="K4234" i="24"/>
  <c r="K4228" i="24"/>
  <c r="I4229" i="24"/>
  <c r="I4228" i="24"/>
  <c r="I4234" i="24"/>
  <c r="E113" i="38"/>
  <c r="I4230" i="24"/>
  <c r="I4232" i="24"/>
  <c r="K4230" i="24"/>
  <c r="E117" i="38"/>
  <c r="G4254" i="24"/>
  <c r="K4254" i="24"/>
  <c r="G4251" i="24"/>
  <c r="G4245" i="24"/>
  <c r="K4245" i="24"/>
  <c r="G4241" i="24"/>
  <c r="G4256" i="24"/>
  <c r="K4256" i="24"/>
  <c r="G4253" i="24"/>
  <c r="K4253" i="24"/>
  <c r="G4244" i="24"/>
  <c r="K4244" i="24"/>
  <c r="G4255" i="24"/>
  <c r="K4255" i="24"/>
  <c r="G4243" i="24"/>
  <c r="K4243" i="24"/>
  <c r="G4252" i="24"/>
  <c r="K4252" i="24"/>
  <c r="G4246" i="24"/>
  <c r="K4246" i="24"/>
  <c r="G4242" i="24"/>
  <c r="K4242" i="24"/>
  <c r="G4250" i="24"/>
  <c r="K4251" i="24"/>
  <c r="K4250" i="24"/>
  <c r="K3020" i="24"/>
  <c r="K4241" i="24"/>
  <c r="K4240" i="24"/>
  <c r="I3020" i="24"/>
  <c r="G4240" i="24"/>
  <c r="G3541" i="24"/>
  <c r="M3541" i="24"/>
  <c r="G3542" i="24"/>
  <c r="M3542" i="24"/>
  <c r="M3543" i="24"/>
  <c r="I3545" i="24"/>
  <c r="I3553" i="24"/>
  <c r="K3545" i="24"/>
  <c r="K3553" i="24"/>
  <c r="G3549" i="24"/>
  <c r="M3549" i="24"/>
  <c r="G3550" i="24"/>
  <c r="M3550" i="24"/>
  <c r="M3551" i="24"/>
  <c r="K3590" i="24"/>
  <c r="M3553" i="24"/>
  <c r="G3545" i="24"/>
  <c r="G3553" i="24"/>
  <c r="M3545" i="24"/>
  <c r="N1171" i="24"/>
  <c r="I1171" i="24"/>
  <c r="K1171" i="24"/>
  <c r="F44" i="42"/>
  <c r="E44" i="42"/>
  <c r="F25" i="42"/>
  <c r="N946" i="24"/>
  <c r="K521" i="24"/>
  <c r="K520" i="24"/>
  <c r="K519" i="24"/>
  <c r="K499" i="24"/>
  <c r="E521" i="24"/>
  <c r="E520" i="24"/>
  <c r="E499" i="24"/>
  <c r="E519" i="24"/>
  <c r="E485" i="24"/>
  <c r="K593" i="24"/>
  <c r="I587" i="24"/>
  <c r="I593" i="24"/>
  <c r="K579" i="24"/>
  <c r="I577" i="24"/>
  <c r="I576" i="24"/>
  <c r="I575" i="24"/>
  <c r="K571" i="24"/>
  <c r="I569" i="24"/>
  <c r="I568" i="24"/>
  <c r="I567" i="24"/>
  <c r="K557" i="24"/>
  <c r="I555" i="24"/>
  <c r="I554" i="24"/>
  <c r="I553" i="24"/>
  <c r="I521" i="24"/>
  <c r="G521" i="24"/>
  <c r="I520" i="24"/>
  <c r="G520" i="24"/>
  <c r="I499" i="24"/>
  <c r="G499" i="24"/>
  <c r="I519" i="24"/>
  <c r="G519" i="24"/>
  <c r="I485" i="24"/>
  <c r="G485" i="24"/>
  <c r="I463" i="24"/>
  <c r="I458" i="24"/>
  <c r="M520" i="24"/>
  <c r="N3922" i="24"/>
  <c r="M499" i="24"/>
  <c r="M521" i="24"/>
  <c r="M519" i="24"/>
  <c r="E25" i="42"/>
  <c r="K518" i="24"/>
  <c r="E518" i="24"/>
  <c r="I579" i="24"/>
  <c r="G463" i="24"/>
  <c r="K445" i="24"/>
  <c r="G478" i="24"/>
  <c r="I480" i="24"/>
  <c r="E463" i="24"/>
  <c r="K485" i="24"/>
  <c r="M485" i="24"/>
  <c r="E480" i="24"/>
  <c r="G458" i="24"/>
  <c r="I571" i="24"/>
  <c r="E458" i="24"/>
  <c r="K458" i="24"/>
  <c r="I557" i="24"/>
  <c r="E479" i="24"/>
  <c r="G479" i="24"/>
  <c r="G480" i="24"/>
  <c r="I479" i="24"/>
  <c r="I518" i="24"/>
  <c r="G518" i="24"/>
  <c r="G444" i="24"/>
  <c r="I696" i="6"/>
  <c r="G696" i="6"/>
  <c r="E696" i="6"/>
  <c r="G695" i="6"/>
  <c r="E695" i="6"/>
  <c r="I790" i="6"/>
  <c r="I809" i="6"/>
  <c r="G790" i="6"/>
  <c r="G789" i="6"/>
  <c r="E790" i="6"/>
  <c r="E789" i="6"/>
  <c r="C790" i="6"/>
  <c r="I774" i="6"/>
  <c r="G774" i="6"/>
  <c r="E774" i="6"/>
  <c r="C774" i="6"/>
  <c r="K772" i="6"/>
  <c r="M772" i="6"/>
  <c r="K771" i="6"/>
  <c r="M771" i="6"/>
  <c r="I756" i="6"/>
  <c r="G756" i="6"/>
  <c r="E756" i="6"/>
  <c r="C756" i="6"/>
  <c r="K754" i="6"/>
  <c r="M754" i="6"/>
  <c r="K753" i="6"/>
  <c r="M463" i="24"/>
  <c r="K478" i="24"/>
  <c r="M3922" i="24"/>
  <c r="M458" i="24"/>
  <c r="M518" i="24"/>
  <c r="K756" i="6"/>
  <c r="K446" i="24"/>
  <c r="M446" i="24"/>
  <c r="K447" i="24"/>
  <c r="M447" i="24"/>
  <c r="E444" i="24"/>
  <c r="E478" i="24"/>
  <c r="E477" i="24"/>
  <c r="G477" i="24"/>
  <c r="I444" i="24"/>
  <c r="I478" i="24"/>
  <c r="K774" i="6"/>
  <c r="M753" i="6"/>
  <c r="M478" i="24"/>
  <c r="K480" i="24"/>
  <c r="M480" i="24"/>
  <c r="K479" i="24"/>
  <c r="M479" i="24"/>
  <c r="K444" i="24"/>
  <c r="I477" i="24"/>
  <c r="L25" i="1"/>
  <c r="K477" i="24"/>
  <c r="J25" i="1"/>
  <c r="G30" i="38"/>
  <c r="K30" i="38"/>
  <c r="M193" i="38"/>
  <c r="M477" i="24"/>
  <c r="G311" i="38"/>
  <c r="I311" i="38"/>
  <c r="R25" i="1"/>
  <c r="K439" i="24"/>
  <c r="I439" i="24"/>
  <c r="I30" i="38"/>
  <c r="J30" i="38"/>
  <c r="J311" i="38"/>
  <c r="K311" i="38"/>
  <c r="M474" i="38"/>
  <c r="I668" i="6"/>
  <c r="G668" i="6"/>
  <c r="E668" i="6"/>
  <c r="C668" i="6"/>
  <c r="K666" i="6"/>
  <c r="M666" i="6"/>
  <c r="K665" i="6"/>
  <c r="M665" i="6"/>
  <c r="I662" i="6"/>
  <c r="G662" i="6"/>
  <c r="E662" i="6"/>
  <c r="C662" i="6"/>
  <c r="K660" i="6"/>
  <c r="M660" i="6"/>
  <c r="K659" i="6"/>
  <c r="M659" i="6"/>
  <c r="Q24" i="14"/>
  <c r="P24" i="14"/>
  <c r="O24" i="14"/>
  <c r="N24" i="14"/>
  <c r="M24" i="14"/>
  <c r="L24" i="14"/>
  <c r="H24" i="14"/>
  <c r="G24" i="14"/>
  <c r="E24" i="14"/>
  <c r="D24" i="14"/>
  <c r="C24" i="14"/>
  <c r="I24" i="14"/>
  <c r="A2" i="14"/>
  <c r="A22" i="21"/>
  <c r="A21" i="21"/>
  <c r="A20" i="21"/>
  <c r="A19" i="21"/>
  <c r="A18" i="21"/>
  <c r="A17" i="21"/>
  <c r="A16" i="21"/>
  <c r="A15" i="21"/>
  <c r="A14" i="21"/>
  <c r="A13" i="21"/>
  <c r="A12" i="21"/>
  <c r="A11" i="21"/>
  <c r="A2" i="21"/>
  <c r="C42" i="20"/>
  <c r="B42" i="20"/>
  <c r="C41" i="20"/>
  <c r="B41" i="20"/>
  <c r="C40" i="20"/>
  <c r="C39" i="20"/>
  <c r="B39" i="20"/>
  <c r="C38" i="20"/>
  <c r="C37" i="20"/>
  <c r="C36" i="20"/>
  <c r="C35" i="20"/>
  <c r="C34" i="20"/>
  <c r="B34" i="20"/>
  <c r="C32" i="20"/>
  <c r="C31" i="20"/>
  <c r="B31" i="20"/>
  <c r="C30" i="20"/>
  <c r="C29" i="20"/>
  <c r="C23" i="20"/>
  <c r="B23" i="20"/>
  <c r="C22" i="20"/>
  <c r="B22" i="20"/>
  <c r="C14" i="20"/>
  <c r="C21" i="20"/>
  <c r="C13" i="20"/>
  <c r="B13" i="20"/>
  <c r="C12" i="20"/>
  <c r="B12" i="20"/>
  <c r="C11" i="20"/>
  <c r="B11" i="20"/>
  <c r="C10" i="20"/>
  <c r="B10" i="20"/>
  <c r="B20" i="20"/>
  <c r="C19" i="20"/>
  <c r="B19" i="20"/>
  <c r="C16" i="20"/>
  <c r="C15" i="20"/>
  <c r="C9" i="20"/>
  <c r="B9" i="20"/>
  <c r="C8" i="20"/>
  <c r="A2" i="20"/>
  <c r="L45" i="19"/>
  <c r="E45" i="19"/>
  <c r="K44" i="19"/>
  <c r="J44" i="19"/>
  <c r="I44" i="19"/>
  <c r="H44" i="19"/>
  <c r="D44" i="19"/>
  <c r="C44" i="19"/>
  <c r="B44" i="19"/>
  <c r="A44" i="19"/>
  <c r="E43" i="19"/>
  <c r="K42" i="19"/>
  <c r="I42" i="19"/>
  <c r="H42" i="19"/>
  <c r="D42" i="19"/>
  <c r="C42" i="19"/>
  <c r="B42" i="19"/>
  <c r="A42" i="19"/>
  <c r="K40" i="19"/>
  <c r="J40" i="19"/>
  <c r="I40" i="19"/>
  <c r="H40" i="19"/>
  <c r="D40" i="19"/>
  <c r="C40" i="19"/>
  <c r="B40" i="19"/>
  <c r="A40" i="19"/>
  <c r="E39" i="19"/>
  <c r="K38" i="19"/>
  <c r="I38" i="19"/>
  <c r="H38" i="19"/>
  <c r="D38" i="19"/>
  <c r="C38" i="19"/>
  <c r="B38" i="19"/>
  <c r="A38" i="19"/>
  <c r="L37" i="19"/>
  <c r="E37" i="19"/>
  <c r="L36" i="19"/>
  <c r="E36" i="19"/>
  <c r="K35" i="19"/>
  <c r="J35" i="19"/>
  <c r="I35" i="19"/>
  <c r="H35" i="19"/>
  <c r="D35" i="19"/>
  <c r="C35" i="19"/>
  <c r="B35" i="19"/>
  <c r="A35" i="19"/>
  <c r="L34" i="19"/>
  <c r="E34" i="19"/>
  <c r="K33" i="19"/>
  <c r="J33" i="19"/>
  <c r="I33" i="19"/>
  <c r="H33" i="19"/>
  <c r="D33" i="19"/>
  <c r="C33" i="19"/>
  <c r="B33" i="19"/>
  <c r="A33" i="19"/>
  <c r="L32" i="19"/>
  <c r="E32" i="19"/>
  <c r="K31" i="19"/>
  <c r="J31" i="19"/>
  <c r="I31" i="19"/>
  <c r="H31" i="19"/>
  <c r="D31" i="19"/>
  <c r="C31" i="19"/>
  <c r="B31" i="19"/>
  <c r="A31" i="19"/>
  <c r="L30" i="19"/>
  <c r="E30" i="19"/>
  <c r="L29" i="19"/>
  <c r="E29" i="19"/>
  <c r="L28" i="19"/>
  <c r="E28" i="19"/>
  <c r="K27" i="19"/>
  <c r="J27" i="19"/>
  <c r="I27" i="19"/>
  <c r="H27" i="19"/>
  <c r="D27" i="19"/>
  <c r="C27" i="19"/>
  <c r="B27" i="19"/>
  <c r="A27" i="19"/>
  <c r="L26" i="19"/>
  <c r="E26" i="19"/>
  <c r="K25" i="19"/>
  <c r="J25" i="19"/>
  <c r="I25" i="19"/>
  <c r="H25" i="19"/>
  <c r="D25" i="19"/>
  <c r="C25" i="19"/>
  <c r="B25" i="19"/>
  <c r="A25" i="19"/>
  <c r="L24" i="19"/>
  <c r="E24" i="19"/>
  <c r="L23" i="19"/>
  <c r="E23" i="19"/>
  <c r="L22" i="19"/>
  <c r="E22" i="19"/>
  <c r="L21" i="19"/>
  <c r="E21" i="19"/>
  <c r="K20" i="19"/>
  <c r="J20" i="19"/>
  <c r="I20" i="19"/>
  <c r="H20" i="19"/>
  <c r="D20" i="19"/>
  <c r="C20" i="19"/>
  <c r="B20" i="19"/>
  <c r="A20" i="19"/>
  <c r="L19" i="19"/>
  <c r="E19" i="19"/>
  <c r="K18" i="19"/>
  <c r="J18" i="19"/>
  <c r="I18" i="19"/>
  <c r="H18" i="19"/>
  <c r="D18" i="19"/>
  <c r="C18" i="19"/>
  <c r="B18" i="19"/>
  <c r="A18" i="19"/>
  <c r="L17" i="19"/>
  <c r="E17" i="19"/>
  <c r="L16" i="19"/>
  <c r="E16" i="19"/>
  <c r="L15" i="19"/>
  <c r="E15" i="19"/>
  <c r="L13" i="19"/>
  <c r="E13" i="19"/>
  <c r="K12" i="19"/>
  <c r="J12" i="19"/>
  <c r="I12" i="19"/>
  <c r="H12" i="19"/>
  <c r="D12" i="19"/>
  <c r="C12" i="19"/>
  <c r="B12" i="19"/>
  <c r="A12" i="19"/>
  <c r="L11" i="19"/>
  <c r="E11" i="19"/>
  <c r="L10" i="19"/>
  <c r="E10" i="19"/>
  <c r="K9" i="19"/>
  <c r="J9" i="19"/>
  <c r="I9" i="19"/>
  <c r="D9" i="19"/>
  <c r="C9" i="19"/>
  <c r="B9" i="19"/>
  <c r="B47" i="19"/>
  <c r="A9" i="19"/>
  <c r="A2" i="19"/>
  <c r="V85" i="18"/>
  <c r="U85" i="18"/>
  <c r="T85" i="18"/>
  <c r="S85" i="18"/>
  <c r="R85" i="18"/>
  <c r="M85" i="18"/>
  <c r="H85" i="18"/>
  <c r="V84" i="18"/>
  <c r="U84" i="18"/>
  <c r="T84" i="18"/>
  <c r="R84" i="18"/>
  <c r="M84" i="18"/>
  <c r="H84" i="18"/>
  <c r="V83" i="18"/>
  <c r="U83" i="18"/>
  <c r="T83" i="18"/>
  <c r="R83" i="18"/>
  <c r="M83" i="18"/>
  <c r="H83" i="18"/>
  <c r="Q82" i="18"/>
  <c r="P82" i="18"/>
  <c r="O82" i="18"/>
  <c r="N82" i="18"/>
  <c r="L82" i="18"/>
  <c r="K82" i="18"/>
  <c r="J82" i="18"/>
  <c r="I82" i="18"/>
  <c r="V81" i="18"/>
  <c r="U81" i="18"/>
  <c r="T81" i="18"/>
  <c r="S81" i="18"/>
  <c r="R81" i="18"/>
  <c r="M81" i="18"/>
  <c r="H81" i="18"/>
  <c r="V80" i="18"/>
  <c r="U80" i="18"/>
  <c r="T80" i="18"/>
  <c r="S80" i="18"/>
  <c r="R80" i="18"/>
  <c r="M80" i="18"/>
  <c r="H80" i="18"/>
  <c r="V79" i="18"/>
  <c r="U79" i="18"/>
  <c r="T79" i="18"/>
  <c r="R79" i="18"/>
  <c r="M79" i="18"/>
  <c r="H79" i="18"/>
  <c r="V78" i="18"/>
  <c r="U78" i="18"/>
  <c r="R78" i="18"/>
  <c r="M78" i="18"/>
  <c r="H78" i="18"/>
  <c r="V77" i="18"/>
  <c r="U77" i="18"/>
  <c r="T77" i="18"/>
  <c r="R77" i="18"/>
  <c r="M77" i="18"/>
  <c r="H77" i="18"/>
  <c r="V76" i="18"/>
  <c r="U76" i="18"/>
  <c r="T76" i="18"/>
  <c r="R76" i="18"/>
  <c r="M76" i="18"/>
  <c r="H76" i="18"/>
  <c r="V75" i="18"/>
  <c r="U75" i="18"/>
  <c r="T75" i="18"/>
  <c r="R75" i="18"/>
  <c r="M75" i="18"/>
  <c r="H75" i="18"/>
  <c r="Q74" i="18"/>
  <c r="P74" i="18"/>
  <c r="O74" i="18"/>
  <c r="N74" i="18"/>
  <c r="L74" i="18"/>
  <c r="K74" i="18"/>
  <c r="J74" i="18"/>
  <c r="I74" i="18"/>
  <c r="V73" i="18"/>
  <c r="U73" i="18"/>
  <c r="T73" i="18"/>
  <c r="S73" i="18"/>
  <c r="R73" i="18"/>
  <c r="M73" i="18"/>
  <c r="H73" i="18"/>
  <c r="V72" i="18"/>
  <c r="U72" i="18"/>
  <c r="T72" i="18"/>
  <c r="S72" i="18"/>
  <c r="R72" i="18"/>
  <c r="M72" i="18"/>
  <c r="H72" i="18"/>
  <c r="V71" i="18"/>
  <c r="U71" i="18"/>
  <c r="T71" i="18"/>
  <c r="R71" i="18"/>
  <c r="M71" i="18"/>
  <c r="H71" i="18"/>
  <c r="V70" i="18"/>
  <c r="U70" i="18"/>
  <c r="R70" i="18"/>
  <c r="M70" i="18"/>
  <c r="H70" i="18"/>
  <c r="V69" i="18"/>
  <c r="U69" i="18"/>
  <c r="T69" i="18"/>
  <c r="S69" i="18"/>
  <c r="R69" i="18"/>
  <c r="M69" i="18"/>
  <c r="H69" i="18"/>
  <c r="Q68" i="18"/>
  <c r="P68" i="18"/>
  <c r="O68" i="18"/>
  <c r="N68" i="18"/>
  <c r="L68" i="18"/>
  <c r="K68" i="18"/>
  <c r="I68" i="18"/>
  <c r="V67" i="18"/>
  <c r="U67" i="18"/>
  <c r="T67" i="18"/>
  <c r="S67" i="18"/>
  <c r="R67" i="18"/>
  <c r="M67" i="18"/>
  <c r="H67" i="18"/>
  <c r="V66" i="18"/>
  <c r="U66" i="18"/>
  <c r="T66" i="18"/>
  <c r="S66" i="18"/>
  <c r="R66" i="18"/>
  <c r="M66" i="18"/>
  <c r="H66" i="18"/>
  <c r="V65" i="18"/>
  <c r="U65" i="18"/>
  <c r="T65" i="18"/>
  <c r="R65" i="18"/>
  <c r="M65" i="18"/>
  <c r="H65" i="18"/>
  <c r="V64" i="18"/>
  <c r="U64" i="18"/>
  <c r="T64" i="18"/>
  <c r="R64" i="18"/>
  <c r="M64" i="18"/>
  <c r="H64" i="18"/>
  <c r="Q63" i="18"/>
  <c r="P63" i="18"/>
  <c r="O63" i="18"/>
  <c r="N63" i="18"/>
  <c r="L63" i="18"/>
  <c r="K63" i="18"/>
  <c r="J63" i="18"/>
  <c r="I63" i="18"/>
  <c r="V62" i="18"/>
  <c r="U62" i="18"/>
  <c r="T62" i="18"/>
  <c r="S62" i="18"/>
  <c r="R62" i="18"/>
  <c r="M62" i="18"/>
  <c r="H62" i="18"/>
  <c r="V61" i="18"/>
  <c r="U61" i="18"/>
  <c r="T61" i="18"/>
  <c r="R61" i="18"/>
  <c r="M61" i="18"/>
  <c r="H61" i="18"/>
  <c r="V60" i="18"/>
  <c r="U60" i="18"/>
  <c r="T60" i="18"/>
  <c r="S60" i="18"/>
  <c r="R60" i="18"/>
  <c r="M60" i="18"/>
  <c r="H60" i="18"/>
  <c r="V59" i="18"/>
  <c r="U59" i="18"/>
  <c r="T59" i="18"/>
  <c r="R59" i="18"/>
  <c r="M59" i="18"/>
  <c r="H59" i="18"/>
  <c r="Q58" i="18"/>
  <c r="P58" i="18"/>
  <c r="O58" i="18"/>
  <c r="N58" i="18"/>
  <c r="L58" i="18"/>
  <c r="K58" i="18"/>
  <c r="I58" i="18"/>
  <c r="V57" i="18"/>
  <c r="U57" i="18"/>
  <c r="T57" i="18"/>
  <c r="S57" i="18"/>
  <c r="R57" i="18"/>
  <c r="M57" i="18"/>
  <c r="H57" i="18"/>
  <c r="V56" i="18"/>
  <c r="U56" i="18"/>
  <c r="T56" i="18"/>
  <c r="S56" i="18"/>
  <c r="R56" i="18"/>
  <c r="M56" i="18"/>
  <c r="H56" i="18"/>
  <c r="Q55" i="18"/>
  <c r="P55" i="18"/>
  <c r="O55" i="18"/>
  <c r="N55" i="18"/>
  <c r="L55" i="18"/>
  <c r="K55" i="18"/>
  <c r="J55" i="18"/>
  <c r="I55" i="18"/>
  <c r="V54" i="18"/>
  <c r="U54" i="18"/>
  <c r="T54" i="18"/>
  <c r="S54" i="18"/>
  <c r="R54" i="18"/>
  <c r="M54" i="18"/>
  <c r="H54" i="18"/>
  <c r="V53" i="18"/>
  <c r="U53" i="18"/>
  <c r="T53" i="18"/>
  <c r="S53" i="18"/>
  <c r="R53" i="18"/>
  <c r="M53" i="18"/>
  <c r="H53" i="18"/>
  <c r="V52" i="18"/>
  <c r="U52" i="18"/>
  <c r="T52" i="18"/>
  <c r="R52" i="18"/>
  <c r="M52" i="18"/>
  <c r="H52" i="18"/>
  <c r="Q51" i="18"/>
  <c r="P51" i="18"/>
  <c r="O51" i="18"/>
  <c r="N51" i="18"/>
  <c r="L51" i="18"/>
  <c r="K51" i="18"/>
  <c r="J51" i="18"/>
  <c r="I51" i="18"/>
  <c r="V50" i="18"/>
  <c r="U50" i="18"/>
  <c r="T50" i="18"/>
  <c r="S50" i="18"/>
  <c r="R50" i="18"/>
  <c r="M50" i="18"/>
  <c r="H50" i="18"/>
  <c r="V49" i="18"/>
  <c r="U49" i="18"/>
  <c r="T49" i="18"/>
  <c r="S49" i="18"/>
  <c r="R49" i="18"/>
  <c r="M49" i="18"/>
  <c r="H49" i="18"/>
  <c r="V48" i="18"/>
  <c r="U48" i="18"/>
  <c r="T48" i="18"/>
  <c r="R48" i="18"/>
  <c r="M48" i="18"/>
  <c r="H48" i="18"/>
  <c r="Q47" i="18"/>
  <c r="P47" i="18"/>
  <c r="O47" i="18"/>
  <c r="N47" i="18"/>
  <c r="L47" i="18"/>
  <c r="K47" i="18"/>
  <c r="J47" i="18"/>
  <c r="I47" i="18"/>
  <c r="V46" i="18"/>
  <c r="U46" i="18"/>
  <c r="T46" i="18"/>
  <c r="S46" i="18"/>
  <c r="R46" i="18"/>
  <c r="M46" i="18"/>
  <c r="H46" i="18"/>
  <c r="V45" i="18"/>
  <c r="U45" i="18"/>
  <c r="T45" i="18"/>
  <c r="S45" i="18"/>
  <c r="R45" i="18"/>
  <c r="M45" i="18"/>
  <c r="H45" i="18"/>
  <c r="V44" i="18"/>
  <c r="U44" i="18"/>
  <c r="T44" i="18"/>
  <c r="S44" i="18"/>
  <c r="R44" i="18"/>
  <c r="M44" i="18"/>
  <c r="H44" i="18"/>
  <c r="V43" i="18"/>
  <c r="U43" i="18"/>
  <c r="T43" i="18"/>
  <c r="S43" i="18"/>
  <c r="R43" i="18"/>
  <c r="M43" i="18"/>
  <c r="H43" i="18"/>
  <c r="V42" i="18"/>
  <c r="U42" i="18"/>
  <c r="T42" i="18"/>
  <c r="S42" i="18"/>
  <c r="R42" i="18"/>
  <c r="M42" i="18"/>
  <c r="H42" i="18"/>
  <c r="V41" i="18"/>
  <c r="U41" i="18"/>
  <c r="T41" i="18"/>
  <c r="R41" i="18"/>
  <c r="M41" i="18"/>
  <c r="H41" i="18"/>
  <c r="Q40" i="18"/>
  <c r="P40" i="18"/>
  <c r="O40" i="18"/>
  <c r="N40" i="18"/>
  <c r="L40" i="18"/>
  <c r="K40" i="18"/>
  <c r="I40" i="18"/>
  <c r="V39" i="18"/>
  <c r="U39" i="18"/>
  <c r="T39" i="18"/>
  <c r="S39" i="18"/>
  <c r="R39" i="18"/>
  <c r="M39" i="18"/>
  <c r="H39" i="18"/>
  <c r="V38" i="18"/>
  <c r="U38" i="18"/>
  <c r="T38" i="18"/>
  <c r="S38" i="18"/>
  <c r="R38" i="18"/>
  <c r="M38" i="18"/>
  <c r="H38" i="18"/>
  <c r="V37" i="18"/>
  <c r="U37" i="18"/>
  <c r="T37" i="18"/>
  <c r="S37" i="18"/>
  <c r="R37" i="18"/>
  <c r="M37" i="18"/>
  <c r="H37" i="18"/>
  <c r="V36" i="18"/>
  <c r="U36" i="18"/>
  <c r="T36" i="18"/>
  <c r="S36" i="18"/>
  <c r="R36" i="18"/>
  <c r="M36" i="18"/>
  <c r="H36" i="18"/>
  <c r="V35" i="18"/>
  <c r="U35" i="18"/>
  <c r="T35" i="18"/>
  <c r="S35" i="18"/>
  <c r="R35" i="18"/>
  <c r="M35" i="18"/>
  <c r="H35" i="18"/>
  <c r="V34" i="18"/>
  <c r="U34" i="18"/>
  <c r="T34" i="18"/>
  <c r="S34" i="18"/>
  <c r="R34" i="18"/>
  <c r="M34" i="18"/>
  <c r="H34" i="18"/>
  <c r="U33" i="18"/>
  <c r="T33" i="18"/>
  <c r="M33" i="18"/>
  <c r="H33" i="18"/>
  <c r="V32" i="18"/>
  <c r="U32" i="18"/>
  <c r="T32" i="18"/>
  <c r="M32" i="18"/>
  <c r="H32" i="18"/>
  <c r="V30" i="18"/>
  <c r="U30" i="18"/>
  <c r="T30" i="18"/>
  <c r="R30" i="18"/>
  <c r="M30" i="18"/>
  <c r="H30" i="18"/>
  <c r="Q29" i="18"/>
  <c r="P29" i="18"/>
  <c r="O29" i="18"/>
  <c r="N29" i="18"/>
  <c r="L29" i="18"/>
  <c r="K29" i="18"/>
  <c r="I29" i="18"/>
  <c r="V28" i="18"/>
  <c r="U28" i="18"/>
  <c r="T28" i="18"/>
  <c r="S28" i="18"/>
  <c r="R28" i="18"/>
  <c r="M28" i="18"/>
  <c r="H28" i="18"/>
  <c r="V27" i="18"/>
  <c r="U27" i="18"/>
  <c r="T27" i="18"/>
  <c r="S27" i="18"/>
  <c r="R27" i="18"/>
  <c r="M27" i="18"/>
  <c r="H27" i="18"/>
  <c r="V26" i="18"/>
  <c r="U26" i="18"/>
  <c r="T26" i="18"/>
  <c r="R26" i="18"/>
  <c r="M26" i="18"/>
  <c r="H26" i="18"/>
  <c r="Q25" i="18"/>
  <c r="P25" i="18"/>
  <c r="O25" i="18"/>
  <c r="N25" i="18"/>
  <c r="L25" i="18"/>
  <c r="K25" i="18"/>
  <c r="J25" i="18"/>
  <c r="I25" i="18"/>
  <c r="V24" i="18"/>
  <c r="U24" i="18"/>
  <c r="T24" i="18"/>
  <c r="R24" i="18"/>
  <c r="M24" i="18"/>
  <c r="H24" i="18"/>
  <c r="Q23" i="18"/>
  <c r="P23" i="18"/>
  <c r="O23" i="18"/>
  <c r="N23" i="18"/>
  <c r="L23" i="18"/>
  <c r="K23" i="18"/>
  <c r="I23" i="18"/>
  <c r="V21" i="18"/>
  <c r="U21" i="18"/>
  <c r="T21" i="18"/>
  <c r="R21" i="18"/>
  <c r="M21" i="18"/>
  <c r="H21" i="18"/>
  <c r="V20" i="18"/>
  <c r="U20" i="18"/>
  <c r="T20" i="18"/>
  <c r="R20" i="18"/>
  <c r="M20" i="18"/>
  <c r="H20" i="18"/>
  <c r="V19" i="18"/>
  <c r="U19" i="18"/>
  <c r="T19" i="18"/>
  <c r="R19" i="18"/>
  <c r="M19" i="18"/>
  <c r="H19" i="18"/>
  <c r="V18" i="18"/>
  <c r="U18" i="18"/>
  <c r="T18" i="18"/>
  <c r="R18" i="18"/>
  <c r="M18" i="18"/>
  <c r="H18" i="18"/>
  <c r="V17" i="18"/>
  <c r="U17" i="18"/>
  <c r="T17" i="18"/>
  <c r="R17" i="18"/>
  <c r="M17" i="18"/>
  <c r="H17" i="18"/>
  <c r="V16" i="18"/>
  <c r="U16" i="18"/>
  <c r="T16" i="18"/>
  <c r="R16" i="18"/>
  <c r="M16" i="18"/>
  <c r="H16" i="18"/>
  <c r="V15" i="18"/>
  <c r="U15" i="18"/>
  <c r="T15" i="18"/>
  <c r="R15" i="18"/>
  <c r="M15" i="18"/>
  <c r="H15" i="18"/>
  <c r="V14" i="18"/>
  <c r="U14" i="18"/>
  <c r="T14" i="18"/>
  <c r="R14" i="18"/>
  <c r="M14" i="18"/>
  <c r="H14" i="18"/>
  <c r="V12" i="18"/>
  <c r="U12" i="18"/>
  <c r="R12" i="18"/>
  <c r="M12" i="18"/>
  <c r="H12" i="18"/>
  <c r="V11" i="18"/>
  <c r="R11" i="18"/>
  <c r="M11" i="18"/>
  <c r="H11" i="18"/>
  <c r="V10" i="18"/>
  <c r="U10" i="18"/>
  <c r="R10" i="18"/>
  <c r="M10" i="18"/>
  <c r="H10" i="18"/>
  <c r="Q9" i="18"/>
  <c r="P9" i="18"/>
  <c r="O9" i="18"/>
  <c r="N9" i="18"/>
  <c r="L9" i="18"/>
  <c r="K9" i="18"/>
  <c r="I9" i="18"/>
  <c r="G9" i="18"/>
  <c r="F9" i="18"/>
  <c r="E9" i="18"/>
  <c r="D9" i="18"/>
  <c r="A2" i="18"/>
  <c r="AM293" i="17"/>
  <c r="AD293" i="17"/>
  <c r="AC293" i="17"/>
  <c r="AB293" i="17"/>
  <c r="AA293" i="17"/>
  <c r="Y293" i="17"/>
  <c r="X293" i="17"/>
  <c r="W293" i="17"/>
  <c r="V293" i="17"/>
  <c r="Q293" i="17"/>
  <c r="P293" i="17"/>
  <c r="O293" i="17"/>
  <c r="K293" i="17"/>
  <c r="J293" i="17"/>
  <c r="I293" i="17"/>
  <c r="H293" i="17"/>
  <c r="F293" i="17"/>
  <c r="E293" i="17"/>
  <c r="D293" i="17"/>
  <c r="C293" i="17"/>
  <c r="AI291" i="17"/>
  <c r="AH291" i="17"/>
  <c r="AG291" i="17"/>
  <c r="AF291" i="17"/>
  <c r="AE291" i="17"/>
  <c r="Z291" i="17"/>
  <c r="T291" i="17"/>
  <c r="S291" i="17"/>
  <c r="R291" i="17"/>
  <c r="N291" i="17"/>
  <c r="M291" i="17"/>
  <c r="L291" i="17"/>
  <c r="G291" i="17"/>
  <c r="AI290" i="17"/>
  <c r="AH290" i="17"/>
  <c r="AG290" i="17"/>
  <c r="AF290" i="17"/>
  <c r="AE290" i="17"/>
  <c r="Z290" i="17"/>
  <c r="T290" i="17"/>
  <c r="S290" i="17"/>
  <c r="R290" i="17"/>
  <c r="N290" i="17"/>
  <c r="M290" i="17"/>
  <c r="L290" i="17"/>
  <c r="G290" i="17"/>
  <c r="AI289" i="17"/>
  <c r="AH289" i="17"/>
  <c r="AG289" i="17"/>
  <c r="AF289" i="17"/>
  <c r="AE289" i="17"/>
  <c r="Z289" i="17"/>
  <c r="T289" i="17"/>
  <c r="S289" i="17"/>
  <c r="R289" i="17"/>
  <c r="N289" i="17"/>
  <c r="L289" i="17"/>
  <c r="G289" i="17"/>
  <c r="AI288" i="17"/>
  <c r="AH288" i="17"/>
  <c r="AG288" i="17"/>
  <c r="AF288" i="17"/>
  <c r="AE288" i="17"/>
  <c r="Z288" i="17"/>
  <c r="T288" i="17"/>
  <c r="S288" i="17"/>
  <c r="R288" i="17"/>
  <c r="N288" i="17"/>
  <c r="M288" i="17"/>
  <c r="L288" i="17"/>
  <c r="G288" i="17"/>
  <c r="A281" i="17"/>
  <c r="AM278" i="17"/>
  <c r="AD278" i="17"/>
  <c r="AC278" i="17"/>
  <c r="AB278" i="17"/>
  <c r="AA278" i="17"/>
  <c r="Y278" i="17"/>
  <c r="X278" i="17"/>
  <c r="W278" i="17"/>
  <c r="V278" i="17"/>
  <c r="Q278" i="17"/>
  <c r="P278" i="17"/>
  <c r="O278" i="17"/>
  <c r="K278" i="17"/>
  <c r="J278" i="17"/>
  <c r="I278" i="17"/>
  <c r="H278" i="17"/>
  <c r="F278" i="17"/>
  <c r="E278" i="17"/>
  <c r="D278" i="17"/>
  <c r="AI276" i="17"/>
  <c r="AH276" i="17"/>
  <c r="AG276" i="17"/>
  <c r="AF276" i="17"/>
  <c r="AE276" i="17"/>
  <c r="Z276" i="17"/>
  <c r="T276" i="17"/>
  <c r="S276" i="17"/>
  <c r="R276" i="17"/>
  <c r="N276" i="17"/>
  <c r="M276" i="17"/>
  <c r="L276" i="17"/>
  <c r="G276" i="17"/>
  <c r="AI275" i="17"/>
  <c r="AH275" i="17"/>
  <c r="AG275" i="17"/>
  <c r="AF275" i="17"/>
  <c r="AE275" i="17"/>
  <c r="Z275" i="17"/>
  <c r="T275" i="17"/>
  <c r="S275" i="17"/>
  <c r="R275" i="17"/>
  <c r="N275" i="17"/>
  <c r="M275" i="17"/>
  <c r="L275" i="17"/>
  <c r="G275" i="17"/>
  <c r="AI274" i="17"/>
  <c r="AH274" i="17"/>
  <c r="AG274" i="17"/>
  <c r="AF274" i="17"/>
  <c r="AE274" i="17"/>
  <c r="Z274" i="17"/>
  <c r="T274" i="17"/>
  <c r="S274" i="17"/>
  <c r="R274" i="17"/>
  <c r="N274" i="17"/>
  <c r="L274" i="17"/>
  <c r="C278" i="17"/>
  <c r="A267" i="17"/>
  <c r="AM262" i="17"/>
  <c r="AD262" i="17"/>
  <c r="AC262" i="17"/>
  <c r="AB262" i="17"/>
  <c r="AA262" i="17"/>
  <c r="Y262" i="17"/>
  <c r="X262" i="17"/>
  <c r="V262" i="17"/>
  <c r="Q262" i="17"/>
  <c r="P262" i="17"/>
  <c r="O262" i="17"/>
  <c r="K262" i="17"/>
  <c r="J262" i="17"/>
  <c r="I262" i="17"/>
  <c r="H262" i="17"/>
  <c r="F262" i="17"/>
  <c r="E262" i="17"/>
  <c r="D262" i="17"/>
  <c r="AI260" i="17"/>
  <c r="AH260" i="17"/>
  <c r="AG260" i="17"/>
  <c r="AF260" i="17"/>
  <c r="AE260" i="17"/>
  <c r="Z260" i="17"/>
  <c r="T260" i="17"/>
  <c r="S260" i="17"/>
  <c r="R260" i="17"/>
  <c r="N260" i="17"/>
  <c r="M260" i="17"/>
  <c r="L260" i="17"/>
  <c r="G260" i="17"/>
  <c r="AI259" i="17"/>
  <c r="AH259" i="17"/>
  <c r="AG259" i="17"/>
  <c r="AF259" i="17"/>
  <c r="AE259" i="17"/>
  <c r="Z259" i="17"/>
  <c r="T259" i="17"/>
  <c r="S259" i="17"/>
  <c r="R259" i="17"/>
  <c r="N259" i="17"/>
  <c r="M259" i="17"/>
  <c r="L259" i="17"/>
  <c r="G259" i="17"/>
  <c r="AI258" i="17"/>
  <c r="AH258" i="17"/>
  <c r="AG258" i="17"/>
  <c r="AF258" i="17"/>
  <c r="AE258" i="17"/>
  <c r="Z258" i="17"/>
  <c r="T258" i="17"/>
  <c r="S258" i="17"/>
  <c r="R258" i="17"/>
  <c r="N258" i="17"/>
  <c r="M258" i="17"/>
  <c r="L258" i="17"/>
  <c r="G258" i="17"/>
  <c r="AI257" i="17"/>
  <c r="AH257" i="17"/>
  <c r="AG257" i="17"/>
  <c r="AF257" i="17"/>
  <c r="AE257" i="17"/>
  <c r="Z257" i="17"/>
  <c r="T257" i="17"/>
  <c r="S257" i="17"/>
  <c r="R257" i="17"/>
  <c r="N257" i="17"/>
  <c r="M257" i="17"/>
  <c r="L257" i="17"/>
  <c r="G257" i="17"/>
  <c r="AI254" i="17"/>
  <c r="AH254" i="17"/>
  <c r="AG254" i="17"/>
  <c r="AF254" i="17"/>
  <c r="AE254" i="17"/>
  <c r="Z254" i="17"/>
  <c r="T254" i="17"/>
  <c r="S254" i="17"/>
  <c r="R254" i="17"/>
  <c r="N254" i="17"/>
  <c r="M254" i="17"/>
  <c r="L254" i="17"/>
  <c r="G254" i="17"/>
  <c r="AI251" i="17"/>
  <c r="AH251" i="17"/>
  <c r="AG251" i="17"/>
  <c r="AF251" i="17"/>
  <c r="AE251" i="17"/>
  <c r="Z251" i="17"/>
  <c r="T251" i="17"/>
  <c r="S251" i="17"/>
  <c r="R251" i="17"/>
  <c r="N251" i="17"/>
  <c r="M251" i="17"/>
  <c r="L251" i="17"/>
  <c r="G251" i="17"/>
  <c r="AI250" i="17"/>
  <c r="AH250" i="17"/>
  <c r="AG250" i="17"/>
  <c r="AF250" i="17"/>
  <c r="AE250" i="17"/>
  <c r="Z250" i="17"/>
  <c r="T250" i="17"/>
  <c r="S250" i="17"/>
  <c r="R250" i="17"/>
  <c r="N250" i="17"/>
  <c r="M250" i="17"/>
  <c r="L250" i="17"/>
  <c r="G250" i="17"/>
  <c r="AI249" i="17"/>
  <c r="AH249" i="17"/>
  <c r="AG249" i="17"/>
  <c r="AF249" i="17"/>
  <c r="AE249" i="17"/>
  <c r="Z249" i="17"/>
  <c r="T249" i="17"/>
  <c r="S249" i="17"/>
  <c r="R249" i="17"/>
  <c r="N249" i="17"/>
  <c r="M249" i="17"/>
  <c r="L249" i="17"/>
  <c r="G249" i="17"/>
  <c r="AI248" i="17"/>
  <c r="AH248" i="17"/>
  <c r="AG248" i="17"/>
  <c r="AF248" i="17"/>
  <c r="AE248" i="17"/>
  <c r="Z248" i="17"/>
  <c r="T248" i="17"/>
  <c r="S248" i="17"/>
  <c r="R248" i="17"/>
  <c r="N248" i="17"/>
  <c r="M248" i="17"/>
  <c r="L248" i="17"/>
  <c r="G248" i="17"/>
  <c r="AI247" i="17"/>
  <c r="AH247" i="17"/>
  <c r="AG247" i="17"/>
  <c r="AF247" i="17"/>
  <c r="AE247" i="17"/>
  <c r="Z247" i="17"/>
  <c r="T247" i="17"/>
  <c r="S247" i="17"/>
  <c r="R247" i="17"/>
  <c r="N247" i="17"/>
  <c r="M247" i="17"/>
  <c r="L247" i="17"/>
  <c r="G247" i="17"/>
  <c r="AI244" i="17"/>
  <c r="AH244" i="17"/>
  <c r="AG244" i="17"/>
  <c r="AF244" i="17"/>
  <c r="AE244" i="17"/>
  <c r="Z244" i="17"/>
  <c r="T244" i="17"/>
  <c r="S244" i="17"/>
  <c r="R244" i="17"/>
  <c r="N244" i="17"/>
  <c r="M244" i="17"/>
  <c r="L244" i="17"/>
  <c r="G244" i="17"/>
  <c r="AI243" i="17"/>
  <c r="AH243" i="17"/>
  <c r="AG243" i="17"/>
  <c r="AF243" i="17"/>
  <c r="AE243" i="17"/>
  <c r="Z243" i="17"/>
  <c r="T243" i="17"/>
  <c r="S243" i="17"/>
  <c r="R243" i="17"/>
  <c r="N243" i="17"/>
  <c r="M243" i="17"/>
  <c r="L243" i="17"/>
  <c r="G243" i="17"/>
  <c r="AI242" i="17"/>
  <c r="AH242" i="17"/>
  <c r="AG242" i="17"/>
  <c r="AF242" i="17"/>
  <c r="AE242" i="17"/>
  <c r="Z242" i="17"/>
  <c r="T242" i="17"/>
  <c r="S242" i="17"/>
  <c r="R242" i="17"/>
  <c r="N242" i="17"/>
  <c r="M242" i="17"/>
  <c r="L242" i="17"/>
  <c r="G242" i="17"/>
  <c r="AI241" i="17"/>
  <c r="AH241" i="17"/>
  <c r="AG241" i="17"/>
  <c r="AF241" i="17"/>
  <c r="AE241" i="17"/>
  <c r="Z241" i="17"/>
  <c r="T241" i="17"/>
  <c r="S241" i="17"/>
  <c r="R241" i="17"/>
  <c r="N241" i="17"/>
  <c r="M241" i="17"/>
  <c r="L241" i="17"/>
  <c r="G241" i="17"/>
  <c r="AI240" i="17"/>
  <c r="AH240" i="17"/>
  <c r="AG240" i="17"/>
  <c r="AF240" i="17"/>
  <c r="AE240" i="17"/>
  <c r="Z240" i="17"/>
  <c r="T240" i="17"/>
  <c r="S240" i="17"/>
  <c r="R240" i="17"/>
  <c r="N240" i="17"/>
  <c r="M240" i="17"/>
  <c r="L240" i="17"/>
  <c r="G240" i="17"/>
  <c r="AI239" i="17"/>
  <c r="AH239" i="17"/>
  <c r="AG239" i="17"/>
  <c r="AF239" i="17"/>
  <c r="AE239" i="17"/>
  <c r="Z239" i="17"/>
  <c r="T239" i="17"/>
  <c r="S239" i="17"/>
  <c r="R239" i="17"/>
  <c r="N239" i="17"/>
  <c r="M239" i="17"/>
  <c r="L239" i="17"/>
  <c r="G239" i="17"/>
  <c r="AI238" i="17"/>
  <c r="AH238" i="17"/>
  <c r="AG238" i="17"/>
  <c r="AF238" i="17"/>
  <c r="AE238" i="17"/>
  <c r="Z238" i="17"/>
  <c r="T238" i="17"/>
  <c r="S238" i="17"/>
  <c r="R238" i="17"/>
  <c r="N238" i="17"/>
  <c r="M238" i="17"/>
  <c r="L238" i="17"/>
  <c r="G238" i="17"/>
  <c r="H13" i="18"/>
  <c r="U13" i="18"/>
  <c r="M13" i="18"/>
  <c r="R13" i="18"/>
  <c r="S13" i="18"/>
  <c r="T13" i="18"/>
  <c r="I47" i="19"/>
  <c r="H47" i="19"/>
  <c r="A47" i="19"/>
  <c r="C47" i="19"/>
  <c r="D129" i="38"/>
  <c r="D135" i="38"/>
  <c r="U274" i="17"/>
  <c r="J24" i="14"/>
  <c r="A125" i="38"/>
  <c r="A124" i="38"/>
  <c r="A131" i="38"/>
  <c r="A123" i="38"/>
  <c r="A127" i="38"/>
  <c r="A130" i="38"/>
  <c r="A129" i="38"/>
  <c r="A132" i="38"/>
  <c r="A128" i="38"/>
  <c r="A122" i="38"/>
  <c r="A126" i="38"/>
  <c r="A133" i="38"/>
  <c r="K24" i="14"/>
  <c r="F24" i="14"/>
  <c r="N4043" i="24"/>
  <c r="N4045" i="24"/>
  <c r="N4048" i="24"/>
  <c r="N4050" i="24"/>
  <c r="N4051" i="24"/>
  <c r="N4052" i="24"/>
  <c r="U82" i="18"/>
  <c r="D12" i="20"/>
  <c r="E12" i="20"/>
  <c r="D41" i="20"/>
  <c r="E41" i="20"/>
  <c r="N4041" i="24"/>
  <c r="N4042" i="24"/>
  <c r="N4044" i="24"/>
  <c r="N4046" i="24"/>
  <c r="N4047" i="24"/>
  <c r="N4049" i="24"/>
  <c r="N4053" i="24"/>
  <c r="N4054" i="24"/>
  <c r="R9" i="18"/>
  <c r="V9" i="18"/>
  <c r="W11" i="18"/>
  <c r="U9" i="18"/>
  <c r="R23" i="18"/>
  <c r="M47" i="18"/>
  <c r="U47" i="18"/>
  <c r="H58" i="18"/>
  <c r="H68" i="18"/>
  <c r="D20" i="20"/>
  <c r="E20" i="20"/>
  <c r="K668" i="6"/>
  <c r="K662" i="6"/>
  <c r="R74" i="18"/>
  <c r="S82" i="18"/>
  <c r="H82" i="18"/>
  <c r="T82" i="18"/>
  <c r="M82" i="18"/>
  <c r="S278" i="17"/>
  <c r="AI278" i="17"/>
  <c r="L293" i="17"/>
  <c r="S293" i="17"/>
  <c r="AF293" i="17"/>
  <c r="U291" i="17"/>
  <c r="R55" i="18"/>
  <c r="V55" i="18"/>
  <c r="H25" i="18"/>
  <c r="T25" i="18"/>
  <c r="H40" i="18"/>
  <c r="Q25" i="1"/>
  <c r="M25" i="18"/>
  <c r="H51" i="18"/>
  <c r="AG293" i="17"/>
  <c r="U25" i="18"/>
  <c r="W28" i="18"/>
  <c r="W56" i="18"/>
  <c r="X56" i="18"/>
  <c r="J68" i="18"/>
  <c r="U68" i="18"/>
  <c r="W72" i="18"/>
  <c r="X72" i="18"/>
  <c r="AE278" i="17"/>
  <c r="M29" i="18"/>
  <c r="U29" i="18"/>
  <c r="R29" i="18"/>
  <c r="V29" i="18"/>
  <c r="W34" i="18"/>
  <c r="W38" i="18"/>
  <c r="R47" i="18"/>
  <c r="V47" i="18"/>
  <c r="W49" i="18"/>
  <c r="H47" i="18"/>
  <c r="T47" i="18"/>
  <c r="S51" i="18"/>
  <c r="T58" i="18"/>
  <c r="M58" i="18"/>
  <c r="U58" i="18"/>
  <c r="W62" i="18"/>
  <c r="X62" i="18"/>
  <c r="T70" i="18"/>
  <c r="W70" i="18"/>
  <c r="X70" i="18"/>
  <c r="T278" i="17"/>
  <c r="W18" i="18"/>
  <c r="S23" i="18"/>
  <c r="R25" i="18"/>
  <c r="V25" i="18"/>
  <c r="R68" i="18"/>
  <c r="V68" i="18"/>
  <c r="G274" i="17"/>
  <c r="G278" i="17"/>
  <c r="M9" i="18"/>
  <c r="V23" i="18"/>
  <c r="T40" i="18"/>
  <c r="M40" i="18"/>
  <c r="U40" i="18"/>
  <c r="W44" i="18"/>
  <c r="T51" i="18"/>
  <c r="M51" i="18"/>
  <c r="U51" i="18"/>
  <c r="M55" i="18"/>
  <c r="U55" i="18"/>
  <c r="M63" i="18"/>
  <c r="U63" i="18"/>
  <c r="R63" i="18"/>
  <c r="V63" i="18"/>
  <c r="W67" i="18"/>
  <c r="X67" i="18"/>
  <c r="V74" i="18"/>
  <c r="W77" i="18"/>
  <c r="X77" i="18"/>
  <c r="W81" i="18"/>
  <c r="X81" i="18"/>
  <c r="R82" i="18"/>
  <c r="V82" i="18"/>
  <c r="L9" i="19"/>
  <c r="E12" i="19"/>
  <c r="L12" i="19"/>
  <c r="E25" i="19"/>
  <c r="L25" i="19"/>
  <c r="E27" i="19"/>
  <c r="L27" i="19"/>
  <c r="E42" i="19"/>
  <c r="D19" i="20"/>
  <c r="E19" i="20"/>
  <c r="D13" i="20"/>
  <c r="E13" i="20"/>
  <c r="T293" i="17"/>
  <c r="AJ289" i="17"/>
  <c r="G87" i="18"/>
  <c r="G89" i="18"/>
  <c r="S9" i="18"/>
  <c r="W17" i="18"/>
  <c r="W21" i="18"/>
  <c r="W27" i="18"/>
  <c r="W33" i="18"/>
  <c r="W37" i="18"/>
  <c r="R40" i="18"/>
  <c r="V40" i="18"/>
  <c r="W43" i="18"/>
  <c r="W48" i="18"/>
  <c r="W54" i="18"/>
  <c r="H55" i="18"/>
  <c r="T55" i="18"/>
  <c r="W61" i="18"/>
  <c r="X61" i="18"/>
  <c r="W66" i="18"/>
  <c r="X66" i="18"/>
  <c r="W71" i="18"/>
  <c r="X71" i="18"/>
  <c r="W76" i="18"/>
  <c r="X76" i="18"/>
  <c r="W80" i="18"/>
  <c r="X80" i="18"/>
  <c r="E18" i="19"/>
  <c r="L18" i="19"/>
  <c r="E20" i="19"/>
  <c r="L20" i="19"/>
  <c r="E31" i="19"/>
  <c r="L31" i="19"/>
  <c r="E35" i="19"/>
  <c r="L35" i="19"/>
  <c r="E38" i="19"/>
  <c r="E40" i="19"/>
  <c r="L40" i="19"/>
  <c r="M74" i="18"/>
  <c r="U74" i="18"/>
  <c r="U240" i="17"/>
  <c r="AJ241" i="17"/>
  <c r="U244" i="17"/>
  <c r="AJ247" i="17"/>
  <c r="U250" i="17"/>
  <c r="AJ251" i="17"/>
  <c r="U258" i="17"/>
  <c r="AJ259" i="17"/>
  <c r="AG278" i="17"/>
  <c r="AJ275" i="17"/>
  <c r="G293" i="17"/>
  <c r="R293" i="17"/>
  <c r="AE293" i="17"/>
  <c r="AI293" i="17"/>
  <c r="U290" i="17"/>
  <c r="AJ291" i="17"/>
  <c r="E87" i="18"/>
  <c r="N87" i="18"/>
  <c r="W12" i="18"/>
  <c r="W15" i="18"/>
  <c r="W19" i="18"/>
  <c r="M23" i="18"/>
  <c r="U23" i="18"/>
  <c r="L87" i="18"/>
  <c r="P87" i="18"/>
  <c r="W30" i="18"/>
  <c r="H29" i="18"/>
  <c r="T29" i="18"/>
  <c r="W35" i="18"/>
  <c r="W39" i="18"/>
  <c r="W41" i="18"/>
  <c r="W45" i="18"/>
  <c r="W50" i="18"/>
  <c r="S55" i="18"/>
  <c r="W57" i="18"/>
  <c r="X57" i="18"/>
  <c r="W59" i="18"/>
  <c r="X59" i="18"/>
  <c r="W64" i="18"/>
  <c r="X64" i="18"/>
  <c r="H63" i="18"/>
  <c r="T63" i="18"/>
  <c r="W73" i="18"/>
  <c r="X73" i="18"/>
  <c r="W78" i="18"/>
  <c r="X78" i="18"/>
  <c r="H74" i="18"/>
  <c r="T74" i="18"/>
  <c r="W84" i="18"/>
  <c r="X84" i="18"/>
  <c r="E33" i="19"/>
  <c r="D22" i="20"/>
  <c r="E22" i="20"/>
  <c r="U239" i="17"/>
  <c r="AJ240" i="17"/>
  <c r="U243" i="17"/>
  <c r="AJ244" i="17"/>
  <c r="U249" i="17"/>
  <c r="AJ250" i="17"/>
  <c r="U257" i="17"/>
  <c r="AJ258" i="17"/>
  <c r="AJ274" i="17"/>
  <c r="AF278" i="17"/>
  <c r="N293" i="17"/>
  <c r="Z293" i="17"/>
  <c r="AH293" i="17"/>
  <c r="U289" i="17"/>
  <c r="AJ290" i="17"/>
  <c r="I87" i="18"/>
  <c r="Q87" i="18"/>
  <c r="T9" i="18"/>
  <c r="W16" i="18"/>
  <c r="W20" i="18"/>
  <c r="F87" i="18"/>
  <c r="W24" i="18"/>
  <c r="H23" i="18"/>
  <c r="T23" i="18"/>
  <c r="K87" i="18"/>
  <c r="O87" i="18"/>
  <c r="O89" i="18"/>
  <c r="W26" i="18"/>
  <c r="S29" i="18"/>
  <c r="W32" i="18"/>
  <c r="W36" i="18"/>
  <c r="W42" i="18"/>
  <c r="W46" i="18"/>
  <c r="S47" i="18"/>
  <c r="R51" i="18"/>
  <c r="V51" i="18"/>
  <c r="W53" i="18"/>
  <c r="R58" i="18"/>
  <c r="V58" i="18"/>
  <c r="W60" i="18"/>
  <c r="X60" i="18"/>
  <c r="S63" i="18"/>
  <c r="W65" i="18"/>
  <c r="X65" i="18"/>
  <c r="W69" i="18"/>
  <c r="X69" i="18"/>
  <c r="S68" i="18"/>
  <c r="W75" i="18"/>
  <c r="X75" i="18"/>
  <c r="W79" i="18"/>
  <c r="X79" i="18"/>
  <c r="W85" i="18"/>
  <c r="X85" i="18"/>
  <c r="D9" i="20"/>
  <c r="E9" i="20"/>
  <c r="U276" i="17"/>
  <c r="U238" i="17"/>
  <c r="AJ239" i="17"/>
  <c r="U242" i="17"/>
  <c r="AJ243" i="17"/>
  <c r="U248" i="17"/>
  <c r="AJ249" i="17"/>
  <c r="U254" i="17"/>
  <c r="AJ257" i="17"/>
  <c r="U260" i="17"/>
  <c r="R278" i="17"/>
  <c r="U275" i="17"/>
  <c r="U288" i="17"/>
  <c r="M293" i="17"/>
  <c r="AJ238" i="17"/>
  <c r="U241" i="17"/>
  <c r="AJ242" i="17"/>
  <c r="U247" i="17"/>
  <c r="AJ248" i="17"/>
  <c r="U251" i="17"/>
  <c r="AJ254" i="17"/>
  <c r="U259" i="17"/>
  <c r="AJ260" i="17"/>
  <c r="Z278" i="17"/>
  <c r="AH278" i="17"/>
  <c r="AJ276" i="17"/>
  <c r="AJ288" i="17"/>
  <c r="W14" i="18"/>
  <c r="W52" i="18"/>
  <c r="E44" i="19"/>
  <c r="L44" i="19"/>
  <c r="H9" i="18"/>
  <c r="W10" i="18"/>
  <c r="S25" i="18"/>
  <c r="S40" i="18"/>
  <c r="S58" i="18"/>
  <c r="L33" i="19"/>
  <c r="D11" i="20"/>
  <c r="E11" i="20"/>
  <c r="N278" i="17"/>
  <c r="W83" i="18"/>
  <c r="E9" i="19"/>
  <c r="L278" i="17"/>
  <c r="M68" i="18"/>
  <c r="D10" i="20"/>
  <c r="E10" i="20"/>
  <c r="AI237" i="17"/>
  <c r="AH237" i="17"/>
  <c r="AG237" i="17"/>
  <c r="AF237" i="17"/>
  <c r="AE237" i="17"/>
  <c r="Z237" i="17"/>
  <c r="T237" i="17"/>
  <c r="S237" i="17"/>
  <c r="R237" i="17"/>
  <c r="N237" i="17"/>
  <c r="L237" i="17"/>
  <c r="C262" i="17"/>
  <c r="AI236" i="17"/>
  <c r="AH236" i="17"/>
  <c r="AG236" i="17"/>
  <c r="AF236" i="17"/>
  <c r="AE236" i="17"/>
  <c r="Z236" i="17"/>
  <c r="T236" i="17"/>
  <c r="S236" i="17"/>
  <c r="R236" i="17"/>
  <c r="N236" i="17"/>
  <c r="M236" i="17"/>
  <c r="L236" i="17"/>
  <c r="G236" i="17"/>
  <c r="AI235" i="17"/>
  <c r="AH235" i="17"/>
  <c r="AG235" i="17"/>
  <c r="AF235" i="17"/>
  <c r="AE235" i="17"/>
  <c r="Z235" i="17"/>
  <c r="T235" i="17"/>
  <c r="S235" i="17"/>
  <c r="R235" i="17"/>
  <c r="N235" i="17"/>
  <c r="M235" i="17"/>
  <c r="L235" i="17"/>
  <c r="G235" i="17"/>
  <c r="AI234" i="17"/>
  <c r="AH234" i="17"/>
  <c r="AG234" i="17"/>
  <c r="AF234" i="17"/>
  <c r="AE234" i="17"/>
  <c r="Z234" i="17"/>
  <c r="T234" i="17"/>
  <c r="S234" i="17"/>
  <c r="R234" i="17"/>
  <c r="N234" i="17"/>
  <c r="M234" i="17"/>
  <c r="L234" i="17"/>
  <c r="G234" i="17"/>
  <c r="AI233" i="17"/>
  <c r="AH233" i="17"/>
  <c r="AG233" i="17"/>
  <c r="AF233" i="17"/>
  <c r="AE233" i="17"/>
  <c r="Z233" i="17"/>
  <c r="T233" i="17"/>
  <c r="S233" i="17"/>
  <c r="R233" i="17"/>
  <c r="N233" i="17"/>
  <c r="M233" i="17"/>
  <c r="L233" i="17"/>
  <c r="G233" i="17"/>
  <c r="AI232" i="17"/>
  <c r="AH232" i="17"/>
  <c r="AG232" i="17"/>
  <c r="AF232" i="17"/>
  <c r="AE232" i="17"/>
  <c r="Z232" i="17"/>
  <c r="T232" i="17"/>
  <c r="S232" i="17"/>
  <c r="R232" i="17"/>
  <c r="N232" i="17"/>
  <c r="M232" i="17"/>
  <c r="L232" i="17"/>
  <c r="G232" i="17"/>
  <c r="AI231" i="17"/>
  <c r="AH231" i="17"/>
  <c r="AG231" i="17"/>
  <c r="AF231" i="17"/>
  <c r="AE231" i="17"/>
  <c r="Z231" i="17"/>
  <c r="T231" i="17"/>
  <c r="S231" i="17"/>
  <c r="R231" i="17"/>
  <c r="N231" i="17"/>
  <c r="M231" i="17"/>
  <c r="L231" i="17"/>
  <c r="G231" i="17"/>
  <c r="AI230" i="17"/>
  <c r="AH230" i="17"/>
  <c r="AG230" i="17"/>
  <c r="AF230" i="17"/>
  <c r="AE230" i="17"/>
  <c r="Z230" i="17"/>
  <c r="T230" i="17"/>
  <c r="S230" i="17"/>
  <c r="R230" i="17"/>
  <c r="N230" i="17"/>
  <c r="M230" i="17"/>
  <c r="L230" i="17"/>
  <c r="G230" i="17"/>
  <c r="AI229" i="17"/>
  <c r="AH229" i="17"/>
  <c r="AG229" i="17"/>
  <c r="AF229" i="17"/>
  <c r="AE229" i="17"/>
  <c r="Z229" i="17"/>
  <c r="T229" i="17"/>
  <c r="S229" i="17"/>
  <c r="R229" i="17"/>
  <c r="N229" i="17"/>
  <c r="M229" i="17"/>
  <c r="L229" i="17"/>
  <c r="G229" i="17"/>
  <c r="AI228" i="17"/>
  <c r="AH228" i="17"/>
  <c r="AG228" i="17"/>
  <c r="AF228" i="17"/>
  <c r="AE228" i="17"/>
  <c r="Z228" i="17"/>
  <c r="T228" i="17"/>
  <c r="S228" i="17"/>
  <c r="R228" i="17"/>
  <c r="N228" i="17"/>
  <c r="M228" i="17"/>
  <c r="L228" i="17"/>
  <c r="G228" i="17"/>
  <c r="AI227" i="17"/>
  <c r="AH227" i="17"/>
  <c r="AG227" i="17"/>
  <c r="AF227" i="17"/>
  <c r="AE227" i="17"/>
  <c r="Z227" i="17"/>
  <c r="T227" i="17"/>
  <c r="S227" i="17"/>
  <c r="R227" i="17"/>
  <c r="N227" i="17"/>
  <c r="M227" i="17"/>
  <c r="L227" i="17"/>
  <c r="G227" i="17"/>
  <c r="AI226" i="17"/>
  <c r="AH226" i="17"/>
  <c r="AG226" i="17"/>
  <c r="AF226" i="17"/>
  <c r="AE226" i="17"/>
  <c r="Z226" i="17"/>
  <c r="T226" i="17"/>
  <c r="S226" i="17"/>
  <c r="R226" i="17"/>
  <c r="N226" i="17"/>
  <c r="M226" i="17"/>
  <c r="L226" i="17"/>
  <c r="G226" i="17"/>
  <c r="AI225" i="17"/>
  <c r="AH225" i="17"/>
  <c r="AG225" i="17"/>
  <c r="AF225" i="17"/>
  <c r="AE225" i="17"/>
  <c r="Z225" i="17"/>
  <c r="T225" i="17"/>
  <c r="S225" i="17"/>
  <c r="R225" i="17"/>
  <c r="N225" i="17"/>
  <c r="M225" i="17"/>
  <c r="L225" i="17"/>
  <c r="G225" i="17"/>
  <c r="AI224" i="17"/>
  <c r="AH224" i="17"/>
  <c r="AG224" i="17"/>
  <c r="AF224" i="17"/>
  <c r="AE224" i="17"/>
  <c r="Z224" i="17"/>
  <c r="T224" i="17"/>
  <c r="S224" i="17"/>
  <c r="R224" i="17"/>
  <c r="N224" i="17"/>
  <c r="M224" i="17"/>
  <c r="L224" i="17"/>
  <c r="G224" i="17"/>
  <c r="AI223" i="17"/>
  <c r="AH223" i="17"/>
  <c r="AE223" i="17"/>
  <c r="Z223" i="17"/>
  <c r="T223" i="17"/>
  <c r="S223" i="17"/>
  <c r="R223" i="17"/>
  <c r="N223" i="17"/>
  <c r="L223" i="17"/>
  <c r="G223" i="17"/>
  <c r="AI222" i="17"/>
  <c r="AH222" i="17"/>
  <c r="AE222" i="17"/>
  <c r="Z222" i="17"/>
  <c r="T222" i="17"/>
  <c r="S222" i="17"/>
  <c r="R222" i="17"/>
  <c r="N222" i="17"/>
  <c r="L222" i="17"/>
  <c r="G222" i="17"/>
  <c r="AI221" i="17"/>
  <c r="AH221" i="17"/>
  <c r="AE221" i="17"/>
  <c r="Z221" i="17"/>
  <c r="T221" i="17"/>
  <c r="S221" i="17"/>
  <c r="R221" i="17"/>
  <c r="N221" i="17"/>
  <c r="L221" i="17"/>
  <c r="G221" i="17"/>
  <c r="AI220" i="17"/>
  <c r="AH220" i="17"/>
  <c r="AE220" i="17"/>
  <c r="Z220" i="17"/>
  <c r="T220" i="17"/>
  <c r="S220" i="17"/>
  <c r="R220" i="17"/>
  <c r="N220" i="17"/>
  <c r="L220" i="17"/>
  <c r="G220" i="17"/>
  <c r="AI219" i="17"/>
  <c r="AH219" i="17"/>
  <c r="AE219" i="17"/>
  <c r="Z219" i="17"/>
  <c r="T219" i="17"/>
  <c r="S219" i="17"/>
  <c r="R219" i="17"/>
  <c r="N219" i="17"/>
  <c r="L219" i="17"/>
  <c r="G219" i="17"/>
  <c r="AI218" i="17"/>
  <c r="AH218" i="17"/>
  <c r="AE218" i="17"/>
  <c r="Z218" i="17"/>
  <c r="T218" i="17"/>
  <c r="S218" i="17"/>
  <c r="R218" i="17"/>
  <c r="N218" i="17"/>
  <c r="L218" i="17"/>
  <c r="G218" i="17"/>
  <c r="AI215" i="17"/>
  <c r="AH215" i="17"/>
  <c r="AE215" i="17"/>
  <c r="Z215" i="17"/>
  <c r="T215" i="17"/>
  <c r="S215" i="17"/>
  <c r="R215" i="17"/>
  <c r="N215" i="17"/>
  <c r="L215" i="17"/>
  <c r="G215" i="17"/>
  <c r="AI214" i="17"/>
  <c r="AH214" i="17"/>
  <c r="AE214" i="17"/>
  <c r="Z214" i="17"/>
  <c r="T214" i="17"/>
  <c r="S214" i="17"/>
  <c r="R214" i="17"/>
  <c r="N214" i="17"/>
  <c r="L214" i="17"/>
  <c r="G214" i="17"/>
  <c r="AI213" i="17"/>
  <c r="AH213" i="17"/>
  <c r="AE213" i="17"/>
  <c r="Z213" i="17"/>
  <c r="T213" i="17"/>
  <c r="S213" i="17"/>
  <c r="R213" i="17"/>
  <c r="N213" i="17"/>
  <c r="L213" i="17"/>
  <c r="G213" i="17"/>
  <c r="AI212" i="17"/>
  <c r="AH212" i="17"/>
  <c r="AE212" i="17"/>
  <c r="Z212" i="17"/>
  <c r="T212" i="17"/>
  <c r="S212" i="17"/>
  <c r="R212" i="17"/>
  <c r="N212" i="17"/>
  <c r="L212" i="17"/>
  <c r="G212" i="17"/>
  <c r="AI211" i="17"/>
  <c r="AH211" i="17"/>
  <c r="AE211" i="17"/>
  <c r="Z211" i="17"/>
  <c r="T211" i="17"/>
  <c r="S211" i="17"/>
  <c r="R211" i="17"/>
  <c r="N211" i="17"/>
  <c r="L211" i="17"/>
  <c r="G211" i="17"/>
  <c r="AI210" i="17"/>
  <c r="AH210" i="17"/>
  <c r="AE210" i="17"/>
  <c r="Z210" i="17"/>
  <c r="T210" i="17"/>
  <c r="S210" i="17"/>
  <c r="R210" i="17"/>
  <c r="N210" i="17"/>
  <c r="L210" i="17"/>
  <c r="G210" i="17"/>
  <c r="AI209" i="17"/>
  <c r="AH209" i="17"/>
  <c r="AE209" i="17"/>
  <c r="Z209" i="17"/>
  <c r="T209" i="17"/>
  <c r="S209" i="17"/>
  <c r="R209" i="17"/>
  <c r="N209" i="17"/>
  <c r="L209" i="17"/>
  <c r="G209" i="17"/>
  <c r="AI206" i="17"/>
  <c r="AH206" i="17"/>
  <c r="AG206" i="17"/>
  <c r="AF206" i="17"/>
  <c r="AE206" i="17"/>
  <c r="W262" i="17"/>
  <c r="T206" i="17"/>
  <c r="S206" i="17"/>
  <c r="R206" i="17"/>
  <c r="N206" i="17"/>
  <c r="M206" i="17"/>
  <c r="L206" i="17"/>
  <c r="G206" i="17"/>
  <c r="AI205" i="17"/>
  <c r="AH205" i="17"/>
  <c r="AG205" i="17"/>
  <c r="AF205" i="17"/>
  <c r="AE205" i="17"/>
  <c r="Z205" i="17"/>
  <c r="T205" i="17"/>
  <c r="S205" i="17"/>
  <c r="R205" i="17"/>
  <c r="N205" i="17"/>
  <c r="M205" i="17"/>
  <c r="L205" i="17"/>
  <c r="G205" i="17"/>
  <c r="AI204" i="17"/>
  <c r="AH204" i="17"/>
  <c r="AE204" i="17"/>
  <c r="Z204" i="17"/>
  <c r="T204" i="17"/>
  <c r="S204" i="17"/>
  <c r="R204" i="17"/>
  <c r="N204" i="17"/>
  <c r="L204" i="17"/>
  <c r="G204" i="17"/>
  <c r="AI203" i="17"/>
  <c r="AH203" i="17"/>
  <c r="AE203" i="17"/>
  <c r="Z203" i="17"/>
  <c r="T203" i="17"/>
  <c r="S203" i="17"/>
  <c r="R203" i="17"/>
  <c r="N203" i="17"/>
  <c r="L203" i="17"/>
  <c r="G203" i="17"/>
  <c r="AI202" i="17"/>
  <c r="AH202" i="17"/>
  <c r="AE202" i="17"/>
  <c r="Z202" i="17"/>
  <c r="T202" i="17"/>
  <c r="S202" i="17"/>
  <c r="R202" i="17"/>
  <c r="N202" i="17"/>
  <c r="L202" i="17"/>
  <c r="G202" i="17"/>
  <c r="AI201" i="17"/>
  <c r="AH201" i="17"/>
  <c r="AE201" i="17"/>
  <c r="Z201" i="17"/>
  <c r="T201" i="17"/>
  <c r="S201" i="17"/>
  <c r="R201" i="17"/>
  <c r="N201" i="17"/>
  <c r="L201" i="17"/>
  <c r="G201" i="17"/>
  <c r="AI198" i="17"/>
  <c r="AH198" i="17"/>
  <c r="AE198" i="17"/>
  <c r="Z198" i="17"/>
  <c r="T198" i="17"/>
  <c r="S198" i="17"/>
  <c r="R198" i="17"/>
  <c r="L198" i="17"/>
  <c r="G198" i="17"/>
  <c r="AI197" i="17"/>
  <c r="AH197" i="17"/>
  <c r="AE197" i="17"/>
  <c r="Z197" i="17"/>
  <c r="T197" i="17"/>
  <c r="S197" i="17"/>
  <c r="R197" i="17"/>
  <c r="L197" i="17"/>
  <c r="G197" i="17"/>
  <c r="AI196" i="17"/>
  <c r="AH196" i="17"/>
  <c r="AE196" i="17"/>
  <c r="Z196" i="17"/>
  <c r="T196" i="17"/>
  <c r="S196" i="17"/>
  <c r="R196" i="17"/>
  <c r="L196" i="17"/>
  <c r="G196" i="17"/>
  <c r="AI195" i="17"/>
  <c r="AH195" i="17"/>
  <c r="AE195" i="17"/>
  <c r="Z195" i="17"/>
  <c r="T195" i="17"/>
  <c r="S195" i="17"/>
  <c r="R195" i="17"/>
  <c r="L195" i="17"/>
  <c r="G195" i="17"/>
  <c r="AI194" i="17"/>
  <c r="AH194" i="17"/>
  <c r="AE194" i="17"/>
  <c r="Z194" i="17"/>
  <c r="T194" i="17"/>
  <c r="S194" i="17"/>
  <c r="R194" i="17"/>
  <c r="L194" i="17"/>
  <c r="G194" i="17"/>
  <c r="AI193" i="17"/>
  <c r="AH193" i="17"/>
  <c r="AE193" i="17"/>
  <c r="Z193" i="17"/>
  <c r="T193" i="17"/>
  <c r="S193" i="17"/>
  <c r="R193" i="17"/>
  <c r="L193" i="17"/>
  <c r="G193" i="17"/>
  <c r="AI190" i="17"/>
  <c r="AH190" i="17"/>
  <c r="AG190" i="17"/>
  <c r="AF190" i="17"/>
  <c r="AE190" i="17"/>
  <c r="Z190" i="17"/>
  <c r="T190" i="17"/>
  <c r="S190" i="17"/>
  <c r="R190" i="17"/>
  <c r="N190" i="17"/>
  <c r="M190" i="17"/>
  <c r="L190" i="17"/>
  <c r="G190" i="17"/>
  <c r="AI189" i="17"/>
  <c r="AH189" i="17"/>
  <c r="AG189" i="17"/>
  <c r="AF189" i="17"/>
  <c r="AE189" i="17"/>
  <c r="Z189" i="17"/>
  <c r="T189" i="17"/>
  <c r="S189" i="17"/>
  <c r="R189" i="17"/>
  <c r="N189" i="17"/>
  <c r="M189" i="17"/>
  <c r="L189" i="17"/>
  <c r="G189" i="17"/>
  <c r="AI188" i="17"/>
  <c r="AH188" i="17"/>
  <c r="AG188" i="17"/>
  <c r="AF188" i="17"/>
  <c r="AE188" i="17"/>
  <c r="Z188" i="17"/>
  <c r="T188" i="17"/>
  <c r="S188" i="17"/>
  <c r="R188" i="17"/>
  <c r="N188" i="17"/>
  <c r="M188" i="17"/>
  <c r="L188" i="17"/>
  <c r="G188" i="17"/>
  <c r="AI187" i="17"/>
  <c r="AH187" i="17"/>
  <c r="AG187" i="17"/>
  <c r="AF187" i="17"/>
  <c r="AE187" i="17"/>
  <c r="Z187" i="17"/>
  <c r="T187" i="17"/>
  <c r="S187" i="17"/>
  <c r="R187" i="17"/>
  <c r="N187" i="17"/>
  <c r="M187" i="17"/>
  <c r="L187" i="17"/>
  <c r="G187" i="17"/>
  <c r="AI186" i="17"/>
  <c r="AH186" i="17"/>
  <c r="AG186" i="17"/>
  <c r="AF186" i="17"/>
  <c r="AE186" i="17"/>
  <c r="Z186" i="17"/>
  <c r="T186" i="17"/>
  <c r="S186" i="17"/>
  <c r="R186" i="17"/>
  <c r="N186" i="17"/>
  <c r="M186" i="17"/>
  <c r="L186" i="17"/>
  <c r="G186" i="17"/>
  <c r="AI183" i="17"/>
  <c r="AH183" i="17"/>
  <c r="AG183" i="17"/>
  <c r="AF183" i="17"/>
  <c r="AE183" i="17"/>
  <c r="Z183" i="17"/>
  <c r="T183" i="17"/>
  <c r="S183" i="17"/>
  <c r="R183" i="17"/>
  <c r="N183" i="17"/>
  <c r="M183" i="17"/>
  <c r="L183" i="17"/>
  <c r="G183" i="17"/>
  <c r="AI182" i="17"/>
  <c r="AH182" i="17"/>
  <c r="AE182" i="17"/>
  <c r="Z182" i="17"/>
  <c r="L182" i="17"/>
  <c r="G182" i="17"/>
  <c r="AI181" i="17"/>
  <c r="AH181" i="17"/>
  <c r="AE181" i="17"/>
  <c r="Z181" i="17"/>
  <c r="L181" i="17"/>
  <c r="G181" i="17"/>
  <c r="AI178" i="17"/>
  <c r="AH178" i="17"/>
  <c r="AG178" i="17"/>
  <c r="AF178" i="17"/>
  <c r="AE178" i="17"/>
  <c r="Z178" i="17"/>
  <c r="T178" i="17"/>
  <c r="S178" i="17"/>
  <c r="R178" i="17"/>
  <c r="N178" i="17"/>
  <c r="M178" i="17"/>
  <c r="L178" i="17"/>
  <c r="G178" i="17"/>
  <c r="AM174" i="17"/>
  <c r="AD174" i="17"/>
  <c r="AC174" i="17"/>
  <c r="AB174" i="17"/>
  <c r="AA174" i="17"/>
  <c r="Y174" i="17"/>
  <c r="X174" i="17"/>
  <c r="W174" i="17"/>
  <c r="V174" i="17"/>
  <c r="Q174" i="17"/>
  <c r="P174" i="17"/>
  <c r="O174" i="17"/>
  <c r="K174" i="17"/>
  <c r="J174" i="17"/>
  <c r="I174" i="17"/>
  <c r="H174" i="17"/>
  <c r="F174" i="17"/>
  <c r="E174" i="17"/>
  <c r="D174" i="17"/>
  <c r="C174" i="17"/>
  <c r="AI172" i="17"/>
  <c r="AH172" i="17"/>
  <c r="AG172" i="17"/>
  <c r="AF172" i="17"/>
  <c r="AE172" i="17"/>
  <c r="Z172" i="17"/>
  <c r="T172" i="17"/>
  <c r="S172" i="17"/>
  <c r="R172" i="17"/>
  <c r="N172" i="17"/>
  <c r="M172" i="17"/>
  <c r="L172" i="17"/>
  <c r="G172" i="17"/>
  <c r="AM169" i="17"/>
  <c r="AD169" i="17"/>
  <c r="AC169" i="17"/>
  <c r="AB169" i="17"/>
  <c r="AA169" i="17"/>
  <c r="Y169" i="17"/>
  <c r="X169" i="17"/>
  <c r="W169" i="17"/>
  <c r="V169" i="17"/>
  <c r="Q169" i="17"/>
  <c r="P169" i="17"/>
  <c r="O169" i="17"/>
  <c r="K169" i="17"/>
  <c r="J169" i="17"/>
  <c r="I169" i="17"/>
  <c r="H169" i="17"/>
  <c r="F169" i="17"/>
  <c r="E169" i="17"/>
  <c r="D169" i="17"/>
  <c r="C169" i="17"/>
  <c r="AI167" i="17"/>
  <c r="AH167" i="17"/>
  <c r="AG167" i="17"/>
  <c r="AF167" i="17"/>
  <c r="AF169" i="17"/>
  <c r="AE167" i="17"/>
  <c r="Z167" i="17"/>
  <c r="T167" i="17"/>
  <c r="S167" i="17"/>
  <c r="R167" i="17"/>
  <c r="N167" i="17"/>
  <c r="M167" i="17"/>
  <c r="L167" i="17"/>
  <c r="G167" i="17"/>
  <c r="AI309" i="17"/>
  <c r="AH309" i="17"/>
  <c r="AG309" i="17"/>
  <c r="AF309" i="17"/>
  <c r="AE309" i="17"/>
  <c r="Z309" i="17"/>
  <c r="T309" i="17"/>
  <c r="S309" i="17"/>
  <c r="R309" i="17"/>
  <c r="N309" i="17"/>
  <c r="M309" i="17"/>
  <c r="L309" i="17"/>
  <c r="G309" i="17"/>
  <c r="AI308" i="17"/>
  <c r="AH308" i="17"/>
  <c r="AG308" i="17"/>
  <c r="AF308" i="17"/>
  <c r="AE308" i="17"/>
  <c r="Z308" i="17"/>
  <c r="T308" i="17"/>
  <c r="S308" i="17"/>
  <c r="R308" i="17"/>
  <c r="N308" i="17"/>
  <c r="M308" i="17"/>
  <c r="L308" i="17"/>
  <c r="G308" i="17"/>
  <c r="AI307" i="17"/>
  <c r="AH307" i="17"/>
  <c r="AG307" i="17"/>
  <c r="AF307" i="17"/>
  <c r="AE307" i="17"/>
  <c r="Z307" i="17"/>
  <c r="T307" i="17"/>
  <c r="S307" i="17"/>
  <c r="R307" i="17"/>
  <c r="N307" i="17"/>
  <c r="M307" i="17"/>
  <c r="L307" i="17"/>
  <c r="G307" i="17"/>
  <c r="AI306" i="17"/>
  <c r="AH306" i="17"/>
  <c r="AG306" i="17"/>
  <c r="AF306" i="17"/>
  <c r="AE306" i="17"/>
  <c r="Z306" i="17"/>
  <c r="T306" i="17"/>
  <c r="S306" i="17"/>
  <c r="R306" i="17"/>
  <c r="C451" i="24"/>
  <c r="N306" i="17"/>
  <c r="M306" i="17"/>
  <c r="L306" i="17"/>
  <c r="G306" i="17"/>
  <c r="AI305" i="17"/>
  <c r="AH305" i="17"/>
  <c r="AG305" i="17"/>
  <c r="AF305" i="17"/>
  <c r="AE305" i="17"/>
  <c r="Z305" i="17"/>
  <c r="T305" i="17"/>
  <c r="S305" i="17"/>
  <c r="R305" i="17"/>
  <c r="I451" i="24"/>
  <c r="N305" i="17"/>
  <c r="M305" i="17"/>
  <c r="L305" i="17"/>
  <c r="G305" i="17"/>
  <c r="AI304" i="17"/>
  <c r="AH304" i="17"/>
  <c r="AG304" i="17"/>
  <c r="AF304" i="17"/>
  <c r="AE304" i="17"/>
  <c r="Z304" i="17"/>
  <c r="T304" i="17"/>
  <c r="S304" i="17"/>
  <c r="R304" i="17"/>
  <c r="G451" i="24"/>
  <c r="N304" i="17"/>
  <c r="M304" i="17"/>
  <c r="L304" i="17"/>
  <c r="G304" i="17"/>
  <c r="AI303" i="17"/>
  <c r="AH303" i="17"/>
  <c r="AG303" i="17"/>
  <c r="AF303" i="17"/>
  <c r="AE303" i="17"/>
  <c r="Z303" i="17"/>
  <c r="T303" i="17"/>
  <c r="S303" i="17"/>
  <c r="R303" i="17"/>
  <c r="N303" i="17"/>
  <c r="M303" i="17"/>
  <c r="L303" i="17"/>
  <c r="G303" i="17"/>
  <c r="AM164" i="17"/>
  <c r="AD164" i="17"/>
  <c r="AC164" i="17"/>
  <c r="AB164" i="17"/>
  <c r="AA164" i="17"/>
  <c r="Y164" i="17"/>
  <c r="X164" i="17"/>
  <c r="V164" i="17"/>
  <c r="Q164" i="17"/>
  <c r="P164" i="17"/>
  <c r="O164" i="17"/>
  <c r="K164" i="17"/>
  <c r="J164" i="17"/>
  <c r="I164" i="17"/>
  <c r="H164" i="17"/>
  <c r="F164" i="17"/>
  <c r="E164" i="17"/>
  <c r="D164" i="17"/>
  <c r="AI162" i="17"/>
  <c r="AH162" i="17"/>
  <c r="AG162" i="17"/>
  <c r="AF162" i="17"/>
  <c r="AE162" i="17"/>
  <c r="Z162" i="17"/>
  <c r="T162" i="17"/>
  <c r="S162" i="17"/>
  <c r="R162" i="17"/>
  <c r="N162" i="17"/>
  <c r="M162" i="17"/>
  <c r="L162" i="17"/>
  <c r="G162" i="17"/>
  <c r="AI161" i="17"/>
  <c r="AH161" i="17"/>
  <c r="AG161" i="17"/>
  <c r="AF161" i="17"/>
  <c r="AE161" i="17"/>
  <c r="Z161" i="17"/>
  <c r="T161" i="17"/>
  <c r="S161" i="17"/>
  <c r="R161" i="17"/>
  <c r="N161" i="17"/>
  <c r="L161" i="17"/>
  <c r="M161" i="17"/>
  <c r="AI160" i="17"/>
  <c r="AH160" i="17"/>
  <c r="AG160" i="17"/>
  <c r="AF160" i="17"/>
  <c r="AE160" i="17"/>
  <c r="Z160" i="17"/>
  <c r="T160" i="17"/>
  <c r="S160" i="17"/>
  <c r="R160" i="17"/>
  <c r="N160" i="17"/>
  <c r="M160" i="17"/>
  <c r="L160" i="17"/>
  <c r="G160" i="17"/>
  <c r="AI159" i="17"/>
  <c r="AH159" i="17"/>
  <c r="AG159" i="17"/>
  <c r="AF159" i="17"/>
  <c r="AE159" i="17"/>
  <c r="Z159" i="17"/>
  <c r="T159" i="17"/>
  <c r="S159" i="17"/>
  <c r="R159" i="17"/>
  <c r="N159" i="17"/>
  <c r="M159" i="17"/>
  <c r="L159" i="17"/>
  <c r="G159" i="17"/>
  <c r="AI158" i="17"/>
  <c r="AH158" i="17"/>
  <c r="AG158" i="17"/>
  <c r="AF158" i="17"/>
  <c r="AE158" i="17"/>
  <c r="Z158" i="17"/>
  <c r="T158" i="17"/>
  <c r="S158" i="17"/>
  <c r="R158" i="17"/>
  <c r="N158" i="17"/>
  <c r="M158" i="17"/>
  <c r="L158" i="17"/>
  <c r="G158" i="17"/>
  <c r="AI157" i="17"/>
  <c r="AH157" i="17"/>
  <c r="AG157" i="17"/>
  <c r="AF157" i="17"/>
  <c r="AE157" i="17"/>
  <c r="Z157" i="17"/>
  <c r="T157" i="17"/>
  <c r="S157" i="17"/>
  <c r="R157" i="17"/>
  <c r="N157" i="17"/>
  <c r="M157" i="17"/>
  <c r="L157" i="17"/>
  <c r="G157" i="17"/>
  <c r="AI156" i="17"/>
  <c r="AH156" i="17"/>
  <c r="AG156" i="17"/>
  <c r="AF156" i="17"/>
  <c r="AE156" i="17"/>
  <c r="Z156" i="17"/>
  <c r="T156" i="17"/>
  <c r="S156" i="17"/>
  <c r="R156" i="17"/>
  <c r="N156" i="17"/>
  <c r="M156" i="17"/>
  <c r="L156" i="17"/>
  <c r="G156" i="17"/>
  <c r="AI155" i="17"/>
  <c r="AH155" i="17"/>
  <c r="AG155" i="17"/>
  <c r="AF155" i="17"/>
  <c r="AE155" i="17"/>
  <c r="Z155" i="17"/>
  <c r="T155" i="17"/>
  <c r="S155" i="17"/>
  <c r="R155" i="17"/>
  <c r="N155" i="17"/>
  <c r="M155" i="17"/>
  <c r="L155" i="17"/>
  <c r="G155" i="17"/>
  <c r="AI154" i="17"/>
  <c r="AH154" i="17"/>
  <c r="AG154" i="17"/>
  <c r="AF154" i="17"/>
  <c r="AE154" i="17"/>
  <c r="Z154" i="17"/>
  <c r="T154" i="17"/>
  <c r="S154" i="17"/>
  <c r="R154" i="17"/>
  <c r="N154" i="17"/>
  <c r="M154" i="17"/>
  <c r="L154" i="17"/>
  <c r="G154" i="17"/>
  <c r="AI153" i="17"/>
  <c r="AH153" i="17"/>
  <c r="AG153" i="17"/>
  <c r="AF153" i="17"/>
  <c r="AE153" i="17"/>
  <c r="Z153" i="17"/>
  <c r="T153" i="17"/>
  <c r="S153" i="17"/>
  <c r="R153" i="17"/>
  <c r="N153" i="17"/>
  <c r="M153" i="17"/>
  <c r="L153" i="17"/>
  <c r="G153" i="17"/>
  <c r="AI152" i="17"/>
  <c r="AH152" i="17"/>
  <c r="AG152" i="17"/>
  <c r="AF152" i="17"/>
  <c r="AE152" i="17"/>
  <c r="Z152" i="17"/>
  <c r="T152" i="17"/>
  <c r="S152" i="17"/>
  <c r="R152" i="17"/>
  <c r="N152" i="17"/>
  <c r="M152" i="17"/>
  <c r="L152" i="17"/>
  <c r="G152" i="17"/>
  <c r="AI151" i="17"/>
  <c r="AH151" i="17"/>
  <c r="AG151" i="17"/>
  <c r="AF151" i="17"/>
  <c r="AE151" i="17"/>
  <c r="Z151" i="17"/>
  <c r="T151" i="17"/>
  <c r="S151" i="17"/>
  <c r="R151" i="17"/>
  <c r="N151" i="17"/>
  <c r="M151" i="17"/>
  <c r="L151" i="17"/>
  <c r="G151" i="17"/>
  <c r="AI150" i="17"/>
  <c r="AH150" i="17"/>
  <c r="AG150" i="17"/>
  <c r="AF150" i="17"/>
  <c r="AE150" i="17"/>
  <c r="Z150" i="17"/>
  <c r="T150" i="17"/>
  <c r="S150" i="17"/>
  <c r="R150" i="17"/>
  <c r="N150" i="17"/>
  <c r="M150" i="17"/>
  <c r="L150" i="17"/>
  <c r="G150" i="17"/>
  <c r="AI149" i="17"/>
  <c r="AH149" i="17"/>
  <c r="AG149" i="17"/>
  <c r="AF149" i="17"/>
  <c r="AE149" i="17"/>
  <c r="Z149" i="17"/>
  <c r="T149" i="17"/>
  <c r="S149" i="17"/>
  <c r="R149" i="17"/>
  <c r="N149" i="17"/>
  <c r="M149" i="17"/>
  <c r="L149" i="17"/>
  <c r="G149" i="17"/>
  <c r="AI148" i="17"/>
  <c r="AH148" i="17"/>
  <c r="AG148" i="17"/>
  <c r="AF148" i="17"/>
  <c r="AE148" i="17"/>
  <c r="Z148" i="17"/>
  <c r="T148" i="17"/>
  <c r="S148" i="17"/>
  <c r="R148" i="17"/>
  <c r="N148" i="17"/>
  <c r="M148" i="17"/>
  <c r="L148" i="17"/>
  <c r="G148" i="17"/>
  <c r="AI147" i="17"/>
  <c r="AH147" i="17"/>
  <c r="AG147" i="17"/>
  <c r="AF147" i="17"/>
  <c r="AE147" i="17"/>
  <c r="Z147" i="17"/>
  <c r="T147" i="17"/>
  <c r="S147" i="17"/>
  <c r="R147" i="17"/>
  <c r="N147" i="17"/>
  <c r="M147" i="17"/>
  <c r="L147" i="17"/>
  <c r="G147" i="17"/>
  <c r="AI146" i="17"/>
  <c r="AH146" i="17"/>
  <c r="AG146" i="17"/>
  <c r="AF146" i="17"/>
  <c r="AE146" i="17"/>
  <c r="Z146" i="17"/>
  <c r="T146" i="17"/>
  <c r="S146" i="17"/>
  <c r="R146" i="17"/>
  <c r="N146" i="17"/>
  <c r="M146" i="17"/>
  <c r="L146" i="17"/>
  <c r="G146" i="17"/>
  <c r="AI143" i="17"/>
  <c r="AH143" i="17"/>
  <c r="AG143" i="17"/>
  <c r="AF143" i="17"/>
  <c r="AE143" i="17"/>
  <c r="Z143" i="17"/>
  <c r="T143" i="17"/>
  <c r="S143" i="17"/>
  <c r="R143" i="17"/>
  <c r="N143" i="17"/>
  <c r="M143" i="17"/>
  <c r="L143" i="17"/>
  <c r="G143" i="17"/>
  <c r="AI142" i="17"/>
  <c r="AH142" i="17"/>
  <c r="AG142" i="17"/>
  <c r="AF142" i="17"/>
  <c r="AE142" i="17"/>
  <c r="Z142" i="17"/>
  <c r="T142" i="17"/>
  <c r="S142" i="17"/>
  <c r="R142" i="17"/>
  <c r="N142" i="17"/>
  <c r="M142" i="17"/>
  <c r="L142" i="17"/>
  <c r="G142" i="17"/>
  <c r="AI141" i="17"/>
  <c r="AH141" i="17"/>
  <c r="AG141" i="17"/>
  <c r="AF141" i="17"/>
  <c r="AE141" i="17"/>
  <c r="Z141" i="17"/>
  <c r="T141" i="17"/>
  <c r="S141" i="17"/>
  <c r="R141" i="17"/>
  <c r="N141" i="17"/>
  <c r="M141" i="17"/>
  <c r="L141" i="17"/>
  <c r="G141" i="17"/>
  <c r="AI140" i="17"/>
  <c r="AH140" i="17"/>
  <c r="AG140" i="17"/>
  <c r="AF140" i="17"/>
  <c r="AE140" i="17"/>
  <c r="Z140" i="17"/>
  <c r="T140" i="17"/>
  <c r="S140" i="17"/>
  <c r="R140" i="17"/>
  <c r="N140" i="17"/>
  <c r="M140" i="17"/>
  <c r="L140" i="17"/>
  <c r="G140" i="17"/>
  <c r="AI139" i="17"/>
  <c r="AH139" i="17"/>
  <c r="AE139" i="17"/>
  <c r="W164" i="17"/>
  <c r="T139" i="17"/>
  <c r="S139" i="17"/>
  <c r="R139" i="17"/>
  <c r="L139" i="17"/>
  <c r="C164" i="17"/>
  <c r="AI138" i="17"/>
  <c r="AH138" i="17"/>
  <c r="AG138" i="17"/>
  <c r="AF138" i="17"/>
  <c r="AE138" i="17"/>
  <c r="Z138" i="17"/>
  <c r="T138" i="17"/>
  <c r="S138" i="17"/>
  <c r="R138" i="17"/>
  <c r="N138" i="17"/>
  <c r="M138" i="17"/>
  <c r="L138" i="17"/>
  <c r="G138" i="17"/>
  <c r="AI137" i="17"/>
  <c r="AH137" i="17"/>
  <c r="AG137" i="17"/>
  <c r="AF137" i="17"/>
  <c r="AE137" i="17"/>
  <c r="Z137" i="17"/>
  <c r="T137" i="17"/>
  <c r="S137" i="17"/>
  <c r="R137" i="17"/>
  <c r="N137" i="17"/>
  <c r="M137" i="17"/>
  <c r="L137" i="17"/>
  <c r="G137" i="17"/>
  <c r="AI136" i="17"/>
  <c r="AH136" i="17"/>
  <c r="AG136" i="17"/>
  <c r="AF136" i="17"/>
  <c r="AE136" i="17"/>
  <c r="Z136" i="17"/>
  <c r="T136" i="17"/>
  <c r="S136" i="17"/>
  <c r="R136" i="17"/>
  <c r="N136" i="17"/>
  <c r="M136" i="17"/>
  <c r="L136" i="17"/>
  <c r="G136" i="17"/>
  <c r="AI135" i="17"/>
  <c r="AH135" i="17"/>
  <c r="AG135" i="17"/>
  <c r="AF135" i="17"/>
  <c r="AE135" i="17"/>
  <c r="Z135" i="17"/>
  <c r="T135" i="17"/>
  <c r="S135" i="17"/>
  <c r="R135" i="17"/>
  <c r="N135" i="17"/>
  <c r="M135" i="17"/>
  <c r="L135" i="17"/>
  <c r="G135" i="17"/>
  <c r="AI134" i="17"/>
  <c r="AH134" i="17"/>
  <c r="AG134" i="17"/>
  <c r="AF134" i="17"/>
  <c r="AE134" i="17"/>
  <c r="Z134" i="17"/>
  <c r="T134" i="17"/>
  <c r="S134" i="17"/>
  <c r="R134" i="17"/>
  <c r="N134" i="17"/>
  <c r="M134" i="17"/>
  <c r="L134" i="17"/>
  <c r="G134" i="17"/>
  <c r="AI133" i="17"/>
  <c r="AH133" i="17"/>
  <c r="AG133" i="17"/>
  <c r="AF133" i="17"/>
  <c r="AE133" i="17"/>
  <c r="Z133" i="17"/>
  <c r="T133" i="17"/>
  <c r="S133" i="17"/>
  <c r="R133" i="17"/>
  <c r="N133" i="17"/>
  <c r="M133" i="17"/>
  <c r="L133" i="17"/>
  <c r="G133" i="17"/>
  <c r="AI132" i="17"/>
  <c r="AH132" i="17"/>
  <c r="AG132" i="17"/>
  <c r="AF132" i="17"/>
  <c r="AE132" i="17"/>
  <c r="Z132" i="17"/>
  <c r="T132" i="17"/>
  <c r="S132" i="17"/>
  <c r="R132" i="17"/>
  <c r="N132" i="17"/>
  <c r="M132" i="17"/>
  <c r="L132" i="17"/>
  <c r="G132" i="17"/>
  <c r="AI131" i="17"/>
  <c r="AH131" i="17"/>
  <c r="AG131" i="17"/>
  <c r="AF131" i="17"/>
  <c r="AE131" i="17"/>
  <c r="Z131" i="17"/>
  <c r="T131" i="17"/>
  <c r="S131" i="17"/>
  <c r="R131" i="17"/>
  <c r="N131" i="17"/>
  <c r="M131" i="17"/>
  <c r="L131" i="17"/>
  <c r="G131" i="17"/>
  <c r="AI130" i="17"/>
  <c r="AH130" i="17"/>
  <c r="AG130" i="17"/>
  <c r="AF130" i="17"/>
  <c r="AE130" i="17"/>
  <c r="Z130" i="17"/>
  <c r="T130" i="17"/>
  <c r="S130" i="17"/>
  <c r="R130" i="17"/>
  <c r="N130" i="17"/>
  <c r="M130" i="17"/>
  <c r="L130" i="17"/>
  <c r="G130" i="17"/>
  <c r="AI129" i="17"/>
  <c r="AH129" i="17"/>
  <c r="AG129" i="17"/>
  <c r="AF129" i="17"/>
  <c r="AE129" i="17"/>
  <c r="Z129" i="17"/>
  <c r="T129" i="17"/>
  <c r="S129" i="17"/>
  <c r="R129" i="17"/>
  <c r="N129" i="17"/>
  <c r="M129" i="17"/>
  <c r="L129" i="17"/>
  <c r="G129" i="17"/>
  <c r="AI128" i="17"/>
  <c r="AH128" i="17"/>
  <c r="AG128" i="17"/>
  <c r="AF128" i="17"/>
  <c r="AE128" i="17"/>
  <c r="Z128" i="17"/>
  <c r="T128" i="17"/>
  <c r="S128" i="17"/>
  <c r="R128" i="17"/>
  <c r="N128" i="17"/>
  <c r="M128" i="17"/>
  <c r="L128" i="17"/>
  <c r="G128" i="17"/>
  <c r="AI127" i="17"/>
  <c r="AH127" i="17"/>
  <c r="AG127" i="17"/>
  <c r="AF127" i="17"/>
  <c r="AE127" i="17"/>
  <c r="Z127" i="17"/>
  <c r="T127" i="17"/>
  <c r="S127" i="17"/>
  <c r="R127" i="17"/>
  <c r="N127" i="17"/>
  <c r="M127" i="17"/>
  <c r="L127" i="17"/>
  <c r="G127" i="17"/>
  <c r="AI126" i="17"/>
  <c r="AH126" i="17"/>
  <c r="AG126" i="17"/>
  <c r="AF126" i="17"/>
  <c r="AE126" i="17"/>
  <c r="Z126" i="17"/>
  <c r="T126" i="17"/>
  <c r="S126" i="17"/>
  <c r="R126" i="17"/>
  <c r="N126" i="17"/>
  <c r="M126" i="17"/>
  <c r="L126" i="17"/>
  <c r="G126" i="17"/>
  <c r="AI125" i="17"/>
  <c r="AH125" i="17"/>
  <c r="AG125" i="17"/>
  <c r="AF125" i="17"/>
  <c r="AE125" i="17"/>
  <c r="Z125" i="17"/>
  <c r="T125" i="17"/>
  <c r="S125" i="17"/>
  <c r="R125" i="17"/>
  <c r="N125" i="17"/>
  <c r="M125" i="17"/>
  <c r="L125" i="17"/>
  <c r="G125" i="17"/>
  <c r="AI124" i="17"/>
  <c r="AH124" i="17"/>
  <c r="AG124" i="17"/>
  <c r="AF124" i="17"/>
  <c r="AE124" i="17"/>
  <c r="Z124" i="17"/>
  <c r="T124" i="17"/>
  <c r="S124" i="17"/>
  <c r="R124" i="17"/>
  <c r="N124" i="17"/>
  <c r="M124" i="17"/>
  <c r="L124" i="17"/>
  <c r="G124" i="17"/>
  <c r="AI123" i="17"/>
  <c r="AH123" i="17"/>
  <c r="AE123" i="17"/>
  <c r="Z123" i="17"/>
  <c r="T123" i="17"/>
  <c r="S123" i="17"/>
  <c r="R123" i="17"/>
  <c r="N123" i="17"/>
  <c r="L123" i="17"/>
  <c r="G123" i="17"/>
  <c r="AI122" i="17"/>
  <c r="AH122" i="17"/>
  <c r="AG122" i="17"/>
  <c r="AF122" i="17"/>
  <c r="AE122" i="17"/>
  <c r="Z122" i="17"/>
  <c r="T122" i="17"/>
  <c r="S122" i="17"/>
  <c r="R122" i="17"/>
  <c r="N122" i="17"/>
  <c r="M122" i="17"/>
  <c r="L122" i="17"/>
  <c r="G122" i="17"/>
  <c r="AI121" i="17"/>
  <c r="AH121" i="17"/>
  <c r="AG121" i="17"/>
  <c r="AF121" i="17"/>
  <c r="AE121" i="17"/>
  <c r="Z121" i="17"/>
  <c r="T121" i="17"/>
  <c r="S121" i="17"/>
  <c r="R121" i="17"/>
  <c r="N121" i="17"/>
  <c r="M121" i="17"/>
  <c r="L121" i="17"/>
  <c r="G121" i="17"/>
  <c r="AI120" i="17"/>
  <c r="AH120" i="17"/>
  <c r="AG120" i="17"/>
  <c r="AF120" i="17"/>
  <c r="AE120" i="17"/>
  <c r="Z120" i="17"/>
  <c r="T120" i="17"/>
  <c r="S120" i="17"/>
  <c r="R120" i="17"/>
  <c r="N120" i="17"/>
  <c r="M120" i="17"/>
  <c r="L120" i="17"/>
  <c r="G120" i="17"/>
  <c r="AI119" i="17"/>
  <c r="AH119" i="17"/>
  <c r="AG119" i="17"/>
  <c r="AF119" i="17"/>
  <c r="AE119" i="17"/>
  <c r="Z119" i="17"/>
  <c r="T119" i="17"/>
  <c r="S119" i="17"/>
  <c r="R119" i="17"/>
  <c r="N119" i="17"/>
  <c r="M119" i="17"/>
  <c r="L119" i="17"/>
  <c r="G119" i="17"/>
  <c r="AI118" i="17"/>
  <c r="AH118" i="17"/>
  <c r="AG118" i="17"/>
  <c r="AF118" i="17"/>
  <c r="AE118" i="17"/>
  <c r="Z118" i="17"/>
  <c r="T118" i="17"/>
  <c r="S118" i="17"/>
  <c r="R118" i="17"/>
  <c r="N118" i="17"/>
  <c r="M118" i="17"/>
  <c r="L118" i="17"/>
  <c r="G118" i="17"/>
  <c r="AD114" i="17"/>
  <c r="AC114" i="17"/>
  <c r="AB114" i="17"/>
  <c r="AA114" i="17"/>
  <c r="Y114" i="17"/>
  <c r="X114" i="17"/>
  <c r="W114" i="17"/>
  <c r="V114" i="17"/>
  <c r="Q114" i="17"/>
  <c r="P114" i="17"/>
  <c r="O114" i="17"/>
  <c r="K114" i="17"/>
  <c r="J114" i="17"/>
  <c r="I114" i="17"/>
  <c r="H114" i="17"/>
  <c r="F114" i="17"/>
  <c r="AI112" i="17"/>
  <c r="AH112" i="17"/>
  <c r="AG112" i="17"/>
  <c r="AF112" i="17"/>
  <c r="AE112" i="17"/>
  <c r="Z112" i="17"/>
  <c r="T112" i="17"/>
  <c r="S112" i="17"/>
  <c r="R112" i="17"/>
  <c r="N112" i="17"/>
  <c r="M112" i="17"/>
  <c r="L112" i="17"/>
  <c r="G112" i="17"/>
  <c r="AI111" i="17"/>
  <c r="AH111" i="17"/>
  <c r="AG111" i="17"/>
  <c r="AF111" i="17"/>
  <c r="AE111" i="17"/>
  <c r="Z111" i="17"/>
  <c r="T111" i="17"/>
  <c r="R111" i="17"/>
  <c r="M111" i="17"/>
  <c r="L111" i="17"/>
  <c r="S111" i="17"/>
  <c r="AI110" i="17"/>
  <c r="AH110" i="17"/>
  <c r="AG110" i="17"/>
  <c r="AF110" i="17"/>
  <c r="AE110" i="17"/>
  <c r="Z110" i="17"/>
  <c r="T110" i="17"/>
  <c r="S110" i="17"/>
  <c r="R110" i="17"/>
  <c r="N110" i="17"/>
  <c r="M110" i="17"/>
  <c r="L110" i="17"/>
  <c r="G110" i="17"/>
  <c r="AI109" i="17"/>
  <c r="AH109" i="17"/>
  <c r="AG109" i="17"/>
  <c r="AF109" i="17"/>
  <c r="AE109" i="17"/>
  <c r="Z109" i="17"/>
  <c r="T109" i="17"/>
  <c r="S109" i="17"/>
  <c r="R109" i="17"/>
  <c r="N109" i="17"/>
  <c r="M109" i="17"/>
  <c r="L109" i="17"/>
  <c r="G109" i="17"/>
  <c r="AI108" i="17"/>
  <c r="AH108" i="17"/>
  <c r="AG108" i="17"/>
  <c r="AF108" i="17"/>
  <c r="AE108" i="17"/>
  <c r="Z108" i="17"/>
  <c r="T108" i="17"/>
  <c r="S108" i="17"/>
  <c r="R108" i="17"/>
  <c r="N108" i="17"/>
  <c r="M108" i="17"/>
  <c r="L108" i="17"/>
  <c r="G108" i="17"/>
  <c r="AI107" i="17"/>
  <c r="AH107" i="17"/>
  <c r="AG107" i="17"/>
  <c r="AF107" i="17"/>
  <c r="AE107" i="17"/>
  <c r="Z107" i="17"/>
  <c r="T107" i="17"/>
  <c r="S107" i="17"/>
  <c r="R107" i="17"/>
  <c r="N107" i="17"/>
  <c r="M107" i="17"/>
  <c r="L107" i="17"/>
  <c r="G107" i="17"/>
  <c r="AI106" i="17"/>
  <c r="AH106" i="17"/>
  <c r="AG106" i="17"/>
  <c r="AF106" i="17"/>
  <c r="AE106" i="17"/>
  <c r="Z106" i="17"/>
  <c r="T106" i="17"/>
  <c r="S106" i="17"/>
  <c r="R106" i="17"/>
  <c r="N106" i="17"/>
  <c r="M106" i="17"/>
  <c r="L106" i="17"/>
  <c r="G106" i="17"/>
  <c r="AI105" i="17"/>
  <c r="AH105" i="17"/>
  <c r="AG105" i="17"/>
  <c r="AF105" i="17"/>
  <c r="AE105" i="17"/>
  <c r="Z105" i="17"/>
  <c r="T105" i="17"/>
  <c r="S105" i="17"/>
  <c r="R105" i="17"/>
  <c r="N105" i="17"/>
  <c r="M105" i="17"/>
  <c r="L105" i="17"/>
  <c r="G105" i="17"/>
  <c r="AI104" i="17"/>
  <c r="AH104" i="17"/>
  <c r="AG104" i="17"/>
  <c r="AF104" i="17"/>
  <c r="AE104" i="17"/>
  <c r="Z104" i="17"/>
  <c r="T104" i="17"/>
  <c r="S104" i="17"/>
  <c r="R104" i="17"/>
  <c r="N104" i="17"/>
  <c r="M104" i="17"/>
  <c r="L104" i="17"/>
  <c r="G104" i="17"/>
  <c r="AI103" i="17"/>
  <c r="AH103" i="17"/>
  <c r="AG103" i="17"/>
  <c r="AF103" i="17"/>
  <c r="AE103" i="17"/>
  <c r="Z103" i="17"/>
  <c r="T103" i="17"/>
  <c r="S103" i="17"/>
  <c r="R103" i="17"/>
  <c r="N103" i="17"/>
  <c r="M103" i="17"/>
  <c r="L103" i="17"/>
  <c r="G103" i="17"/>
  <c r="AI102" i="17"/>
  <c r="AH102" i="17"/>
  <c r="AG102" i="17"/>
  <c r="AF102" i="17"/>
  <c r="AE102" i="17"/>
  <c r="Z102" i="17"/>
  <c r="T102" i="17"/>
  <c r="S102" i="17"/>
  <c r="R102" i="17"/>
  <c r="N102" i="17"/>
  <c r="M102" i="17"/>
  <c r="L102" i="17"/>
  <c r="G102" i="17"/>
  <c r="AI101" i="17"/>
  <c r="AH101" i="17"/>
  <c r="AE101" i="17"/>
  <c r="Z101" i="17"/>
  <c r="T101" i="17"/>
  <c r="S101" i="17"/>
  <c r="L101" i="17"/>
  <c r="G101" i="17"/>
  <c r="AI98" i="17"/>
  <c r="AH98" i="17"/>
  <c r="AG98" i="17"/>
  <c r="AF98" i="17"/>
  <c r="AE98" i="17"/>
  <c r="Z98" i="17"/>
  <c r="T98" i="17"/>
  <c r="S98" i="17"/>
  <c r="R98" i="17"/>
  <c r="N98" i="17"/>
  <c r="M98" i="17"/>
  <c r="L98" i="17"/>
  <c r="G98" i="17"/>
  <c r="AI97" i="17"/>
  <c r="AH97" i="17"/>
  <c r="AG97" i="17"/>
  <c r="AF97" i="17"/>
  <c r="AE97" i="17"/>
  <c r="Z97" i="17"/>
  <c r="T97" i="17"/>
  <c r="S97" i="17"/>
  <c r="R97" i="17"/>
  <c r="N97" i="17"/>
  <c r="M97" i="17"/>
  <c r="L97" i="17"/>
  <c r="G97" i="17"/>
  <c r="AM114" i="17"/>
  <c r="AI96" i="17"/>
  <c r="AH96" i="17"/>
  <c r="AG96" i="17"/>
  <c r="AF96" i="17"/>
  <c r="AE96" i="17"/>
  <c r="Z96" i="17"/>
  <c r="T96" i="17"/>
  <c r="S96" i="17"/>
  <c r="R96" i="17"/>
  <c r="N96" i="17"/>
  <c r="M96" i="17"/>
  <c r="L96" i="17"/>
  <c r="G96" i="17"/>
  <c r="AI95" i="17"/>
  <c r="AH95" i="17"/>
  <c r="AG95" i="17"/>
  <c r="AF95" i="17"/>
  <c r="AE95" i="17"/>
  <c r="Z95" i="17"/>
  <c r="T95" i="17"/>
  <c r="S95" i="17"/>
  <c r="R95" i="17"/>
  <c r="N95" i="17"/>
  <c r="M95" i="17"/>
  <c r="L95" i="17"/>
  <c r="G95" i="17"/>
  <c r="AI94" i="17"/>
  <c r="AH94" i="17"/>
  <c r="AG94" i="17"/>
  <c r="AF94" i="17"/>
  <c r="AE94" i="17"/>
  <c r="Z94" i="17"/>
  <c r="T94" i="17"/>
  <c r="S94" i="17"/>
  <c r="R94" i="17"/>
  <c r="N94" i="17"/>
  <c r="M94" i="17"/>
  <c r="L94" i="17"/>
  <c r="G94" i="17"/>
  <c r="AI93" i="17"/>
  <c r="AH93" i="17"/>
  <c r="AG93" i="17"/>
  <c r="AF93" i="17"/>
  <c r="AE93" i="17"/>
  <c r="Z93" i="17"/>
  <c r="T93" i="17"/>
  <c r="S93" i="17"/>
  <c r="R93" i="17"/>
  <c r="N93" i="17"/>
  <c r="M93" i="17"/>
  <c r="L93" i="17"/>
  <c r="G93" i="17"/>
  <c r="AI92" i="17"/>
  <c r="AH92" i="17"/>
  <c r="AG92" i="17"/>
  <c r="AF92" i="17"/>
  <c r="AE92" i="17"/>
  <c r="Z92" i="17"/>
  <c r="T92" i="17"/>
  <c r="R92" i="17"/>
  <c r="M92" i="17"/>
  <c r="L92" i="17"/>
  <c r="AI89" i="17"/>
  <c r="AH89" i="17"/>
  <c r="AG89" i="17"/>
  <c r="AF89" i="17"/>
  <c r="AE89" i="17"/>
  <c r="Z89" i="17"/>
  <c r="T89" i="17"/>
  <c r="S89" i="17"/>
  <c r="R89" i="17"/>
  <c r="N89" i="17"/>
  <c r="M89" i="17"/>
  <c r="L89" i="17"/>
  <c r="G89" i="17"/>
  <c r="AI88" i="17"/>
  <c r="AH88" i="17"/>
  <c r="AG88" i="17"/>
  <c r="AF88" i="17"/>
  <c r="AE88" i="17"/>
  <c r="Z88" i="17"/>
  <c r="T88" i="17"/>
  <c r="S88" i="17"/>
  <c r="R88" i="17"/>
  <c r="N88" i="17"/>
  <c r="M88" i="17"/>
  <c r="L88" i="17"/>
  <c r="G88" i="17"/>
  <c r="AI87" i="17"/>
  <c r="AH87" i="17"/>
  <c r="AG87" i="17"/>
  <c r="AF87" i="17"/>
  <c r="AE87" i="17"/>
  <c r="Z87" i="17"/>
  <c r="T87" i="17"/>
  <c r="S87" i="17"/>
  <c r="R87" i="17"/>
  <c r="N87" i="17"/>
  <c r="M87" i="17"/>
  <c r="L87" i="17"/>
  <c r="G87" i="17"/>
  <c r="AI84" i="17"/>
  <c r="AH84" i="17"/>
  <c r="AG84" i="17"/>
  <c r="AF84" i="17"/>
  <c r="AE84" i="17"/>
  <c r="Z84" i="17"/>
  <c r="T84" i="17"/>
  <c r="S84" i="17"/>
  <c r="R84" i="17"/>
  <c r="N84" i="17"/>
  <c r="M84" i="17"/>
  <c r="L84" i="17"/>
  <c r="G84" i="17"/>
  <c r="AI83" i="17"/>
  <c r="AH83" i="17"/>
  <c r="AE83" i="17"/>
  <c r="Z83" i="17"/>
  <c r="T83" i="17"/>
  <c r="S83" i="17"/>
  <c r="L83" i="17"/>
  <c r="G83" i="17"/>
  <c r="AI80" i="17"/>
  <c r="AH80" i="17"/>
  <c r="AG80" i="17"/>
  <c r="AF80" i="17"/>
  <c r="AE80" i="17"/>
  <c r="Z80" i="17"/>
  <c r="T80" i="17"/>
  <c r="S80" i="17"/>
  <c r="R80" i="17"/>
  <c r="N80" i="17"/>
  <c r="M80" i="17"/>
  <c r="L80" i="17"/>
  <c r="G80" i="17"/>
  <c r="AI79" i="17"/>
  <c r="AH79" i="17"/>
  <c r="AG79" i="17"/>
  <c r="AF79" i="17"/>
  <c r="AE79" i="17"/>
  <c r="Z79" i="17"/>
  <c r="T79" i="17"/>
  <c r="S79" i="17"/>
  <c r="R79" i="17"/>
  <c r="N79" i="17"/>
  <c r="M79" i="17"/>
  <c r="L79" i="17"/>
  <c r="G79" i="17"/>
  <c r="AI78" i="17"/>
  <c r="AH78" i="17"/>
  <c r="AG78" i="17"/>
  <c r="AF78" i="17"/>
  <c r="AE78" i="17"/>
  <c r="Z78" i="17"/>
  <c r="T78" i="17"/>
  <c r="S78" i="17"/>
  <c r="R78" i="17"/>
  <c r="N78" i="17"/>
  <c r="M78" i="17"/>
  <c r="L78" i="17"/>
  <c r="G78" i="17"/>
  <c r="AI77" i="17"/>
  <c r="AH77" i="17"/>
  <c r="AG77" i="17"/>
  <c r="AF77" i="17"/>
  <c r="AE77" i="17"/>
  <c r="Z77" i="17"/>
  <c r="T77" i="17"/>
  <c r="S77" i="17"/>
  <c r="R77" i="17"/>
  <c r="N77" i="17"/>
  <c r="M77" i="17"/>
  <c r="L77" i="17"/>
  <c r="G77" i="17"/>
  <c r="AI76" i="17"/>
  <c r="AH76" i="17"/>
  <c r="AG76" i="17"/>
  <c r="AF76" i="17"/>
  <c r="AE76" i="17"/>
  <c r="Z76" i="17"/>
  <c r="T76" i="17"/>
  <c r="S76" i="17"/>
  <c r="R76" i="17"/>
  <c r="N76" i="17"/>
  <c r="M76" i="17"/>
  <c r="L76" i="17"/>
  <c r="G76" i="17"/>
  <c r="AI75" i="17"/>
  <c r="AH75" i="17"/>
  <c r="AG75" i="17"/>
  <c r="AF75" i="17"/>
  <c r="AE75" i="17"/>
  <c r="Z75" i="17"/>
  <c r="T75" i="17"/>
  <c r="S75" i="17"/>
  <c r="R75" i="17"/>
  <c r="N75" i="17"/>
  <c r="M75" i="17"/>
  <c r="L75" i="17"/>
  <c r="G75" i="17"/>
  <c r="AI74" i="17"/>
  <c r="AH74" i="17"/>
  <c r="AG74" i="17"/>
  <c r="AF74" i="17"/>
  <c r="AE74" i="17"/>
  <c r="Z74" i="17"/>
  <c r="T74" i="17"/>
  <c r="S74" i="17"/>
  <c r="R74" i="17"/>
  <c r="N74" i="17"/>
  <c r="M74" i="17"/>
  <c r="L74" i="17"/>
  <c r="G74" i="17"/>
  <c r="AI73" i="17"/>
  <c r="AH73" i="17"/>
  <c r="AG73" i="17"/>
  <c r="AF73" i="17"/>
  <c r="AE73" i="17"/>
  <c r="Z73" i="17"/>
  <c r="T73" i="17"/>
  <c r="S73" i="17"/>
  <c r="R73" i="17"/>
  <c r="N73" i="17"/>
  <c r="M73" i="17"/>
  <c r="L73" i="17"/>
  <c r="G73" i="17"/>
  <c r="AI72" i="17"/>
  <c r="AH72" i="17"/>
  <c r="AG72" i="17"/>
  <c r="AF72" i="17"/>
  <c r="AE72" i="17"/>
  <c r="Z72" i="17"/>
  <c r="T72" i="17"/>
  <c r="R72" i="17"/>
  <c r="M72" i="17"/>
  <c r="L72" i="17"/>
  <c r="AI71" i="17"/>
  <c r="AH71" i="17"/>
  <c r="AG71" i="17"/>
  <c r="AF71" i="17"/>
  <c r="AE71" i="17"/>
  <c r="Z71" i="17"/>
  <c r="T71" i="17"/>
  <c r="S71" i="17"/>
  <c r="R71" i="17"/>
  <c r="N71" i="17"/>
  <c r="M71" i="17"/>
  <c r="L71" i="17"/>
  <c r="G71" i="17"/>
  <c r="AI70" i="17"/>
  <c r="AH70" i="17"/>
  <c r="AG70" i="17"/>
  <c r="AF70" i="17"/>
  <c r="AE70" i="17"/>
  <c r="Z70" i="17"/>
  <c r="T70" i="17"/>
  <c r="S70" i="17"/>
  <c r="R70" i="17"/>
  <c r="N70" i="17"/>
  <c r="M70" i="17"/>
  <c r="L70" i="17"/>
  <c r="G70" i="17"/>
  <c r="AI69" i="17"/>
  <c r="AH69" i="17"/>
  <c r="AG69" i="17"/>
  <c r="AF69" i="17"/>
  <c r="AE69" i="17"/>
  <c r="Z69" i="17"/>
  <c r="T69" i="17"/>
  <c r="S69" i="17"/>
  <c r="R69" i="17"/>
  <c r="N69" i="17"/>
  <c r="M69" i="17"/>
  <c r="L69" i="17"/>
  <c r="G69" i="17"/>
  <c r="AI68" i="17"/>
  <c r="AH68" i="17"/>
  <c r="AG68" i="17"/>
  <c r="AF68" i="17"/>
  <c r="AE68" i="17"/>
  <c r="Z68" i="17"/>
  <c r="T68" i="17"/>
  <c r="S68" i="17"/>
  <c r="R68" i="17"/>
  <c r="N68" i="17"/>
  <c r="M68" i="17"/>
  <c r="L68" i="17"/>
  <c r="G68" i="17"/>
  <c r="AI67" i="17"/>
  <c r="AH67" i="17"/>
  <c r="AG67" i="17"/>
  <c r="AF67" i="17"/>
  <c r="AE67" i="17"/>
  <c r="Z67" i="17"/>
  <c r="T67" i="17"/>
  <c r="R67" i="17"/>
  <c r="M67" i="17"/>
  <c r="L67" i="17"/>
  <c r="N67" i="17"/>
  <c r="AI66" i="17"/>
  <c r="AH66" i="17"/>
  <c r="AG66" i="17"/>
  <c r="AF66" i="17"/>
  <c r="AE66" i="17"/>
  <c r="Z66" i="17"/>
  <c r="T66" i="17"/>
  <c r="S66" i="17"/>
  <c r="R66" i="17"/>
  <c r="N66" i="17"/>
  <c r="M66" i="17"/>
  <c r="L66" i="17"/>
  <c r="G66" i="17"/>
  <c r="AI65" i="17"/>
  <c r="AH65" i="17"/>
  <c r="AG65" i="17"/>
  <c r="AF65" i="17"/>
  <c r="AE65" i="17"/>
  <c r="Z65" i="17"/>
  <c r="T65" i="17"/>
  <c r="S65" i="17"/>
  <c r="R65" i="17"/>
  <c r="N65" i="17"/>
  <c r="M65" i="17"/>
  <c r="L65" i="17"/>
  <c r="G65" i="17"/>
  <c r="AI64" i="17"/>
  <c r="AH64" i="17"/>
  <c r="AG64" i="17"/>
  <c r="AF64" i="17"/>
  <c r="AE64" i="17"/>
  <c r="Z64" i="17"/>
  <c r="T64" i="17"/>
  <c r="S64" i="17"/>
  <c r="R64" i="17"/>
  <c r="N64" i="17"/>
  <c r="M64" i="17"/>
  <c r="L64" i="17"/>
  <c r="G64" i="17"/>
  <c r="AI63" i="17"/>
  <c r="AH63" i="17"/>
  <c r="AG63" i="17"/>
  <c r="AF63" i="17"/>
  <c r="AE63" i="17"/>
  <c r="Z63" i="17"/>
  <c r="T63" i="17"/>
  <c r="S63" i="17"/>
  <c r="R63" i="17"/>
  <c r="N63" i="17"/>
  <c r="M63" i="17"/>
  <c r="L63" i="17"/>
  <c r="G63" i="17"/>
  <c r="AI62" i="17"/>
  <c r="AH62" i="17"/>
  <c r="AG62" i="17"/>
  <c r="AF62" i="17"/>
  <c r="AE62" i="17"/>
  <c r="Z62" i="17"/>
  <c r="T62" i="17"/>
  <c r="S62" i="17"/>
  <c r="R62" i="17"/>
  <c r="N62" i="17"/>
  <c r="M62" i="17"/>
  <c r="L62" i="17"/>
  <c r="G62" i="17"/>
  <c r="AI61" i="17"/>
  <c r="AH61" i="17"/>
  <c r="AE61" i="17"/>
  <c r="Z61" i="17"/>
  <c r="T61" i="17"/>
  <c r="S61" i="17"/>
  <c r="L61" i="17"/>
  <c r="G61" i="17"/>
  <c r="AI58" i="17"/>
  <c r="AH58" i="17"/>
  <c r="AG58" i="17"/>
  <c r="AF58" i="17"/>
  <c r="AE58" i="17"/>
  <c r="Z58" i="17"/>
  <c r="T58" i="17"/>
  <c r="S58" i="17"/>
  <c r="R58" i="17"/>
  <c r="N58" i="17"/>
  <c r="M58" i="17"/>
  <c r="L58" i="17"/>
  <c r="G58" i="17"/>
  <c r="AI57" i="17"/>
  <c r="AH57" i="17"/>
  <c r="AG57" i="17"/>
  <c r="AF57" i="17"/>
  <c r="AE57" i="17"/>
  <c r="Z57" i="17"/>
  <c r="T57" i="17"/>
  <c r="S57" i="17"/>
  <c r="R57" i="17"/>
  <c r="N57" i="17"/>
  <c r="M57" i="17"/>
  <c r="L57" i="17"/>
  <c r="G57" i="17"/>
  <c r="AI56" i="17"/>
  <c r="AH56" i="17"/>
  <c r="AG56" i="17"/>
  <c r="AF56" i="17"/>
  <c r="AE56" i="17"/>
  <c r="Z56" i="17"/>
  <c r="T56" i="17"/>
  <c r="S56" i="17"/>
  <c r="R56" i="17"/>
  <c r="N56" i="17"/>
  <c r="M56" i="17"/>
  <c r="L56" i="17"/>
  <c r="G56" i="17"/>
  <c r="AI53" i="17"/>
  <c r="AH53" i="17"/>
  <c r="AG53" i="17"/>
  <c r="AF53" i="17"/>
  <c r="AE53" i="17"/>
  <c r="Z53" i="17"/>
  <c r="T53" i="17"/>
  <c r="S53" i="17"/>
  <c r="R53" i="17"/>
  <c r="N53" i="17"/>
  <c r="M53" i="17"/>
  <c r="L53" i="17"/>
  <c r="G53" i="17"/>
  <c r="AI52" i="17"/>
  <c r="AH52" i="17"/>
  <c r="AG52" i="17"/>
  <c r="AF52" i="17"/>
  <c r="AE52" i="17"/>
  <c r="Z52" i="17"/>
  <c r="T52" i="17"/>
  <c r="S52" i="17"/>
  <c r="R52" i="17"/>
  <c r="N52" i="17"/>
  <c r="M52" i="17"/>
  <c r="L52" i="17"/>
  <c r="G52" i="17"/>
  <c r="AI51" i="17"/>
  <c r="AH51" i="17"/>
  <c r="AG51" i="17"/>
  <c r="AF51" i="17"/>
  <c r="AE51" i="17"/>
  <c r="Z51" i="17"/>
  <c r="T51" i="17"/>
  <c r="S51" i="17"/>
  <c r="R51" i="17"/>
  <c r="N51" i="17"/>
  <c r="M51" i="17"/>
  <c r="L51" i="17"/>
  <c r="G51" i="17"/>
  <c r="AI50" i="17"/>
  <c r="AH50" i="17"/>
  <c r="AG50" i="17"/>
  <c r="AF50" i="17"/>
  <c r="AE50" i="17"/>
  <c r="Z50" i="17"/>
  <c r="T50" i="17"/>
  <c r="S50" i="17"/>
  <c r="R50" i="17"/>
  <c r="N50" i="17"/>
  <c r="M50" i="17"/>
  <c r="L50" i="17"/>
  <c r="G50" i="17"/>
  <c r="AI47" i="17"/>
  <c r="AH47" i="17"/>
  <c r="AG47" i="17"/>
  <c r="AF47" i="17"/>
  <c r="AE47" i="17"/>
  <c r="Z47" i="17"/>
  <c r="T47" i="17"/>
  <c r="S47" i="17"/>
  <c r="R47" i="17"/>
  <c r="N47" i="17"/>
  <c r="M47" i="17"/>
  <c r="L47" i="17"/>
  <c r="G47" i="17"/>
  <c r="AI46" i="17"/>
  <c r="AH46" i="17"/>
  <c r="AG46" i="17"/>
  <c r="AF46" i="17"/>
  <c r="AE46" i="17"/>
  <c r="Z46" i="17"/>
  <c r="T46" i="17"/>
  <c r="S46" i="17"/>
  <c r="R46" i="17"/>
  <c r="N46" i="17"/>
  <c r="M46" i="17"/>
  <c r="L46" i="17"/>
  <c r="G46" i="17"/>
  <c r="AI45" i="17"/>
  <c r="AH45" i="17"/>
  <c r="AG45" i="17"/>
  <c r="AF45" i="17"/>
  <c r="AE45" i="17"/>
  <c r="Z45" i="17"/>
  <c r="T45" i="17"/>
  <c r="S45" i="17"/>
  <c r="R45" i="17"/>
  <c r="N45" i="17"/>
  <c r="M45" i="17"/>
  <c r="L45" i="17"/>
  <c r="G45" i="17"/>
  <c r="AI44" i="17"/>
  <c r="AH44" i="17"/>
  <c r="AG44" i="17"/>
  <c r="AF44" i="17"/>
  <c r="AE44" i="17"/>
  <c r="Z44" i="17"/>
  <c r="T44" i="17"/>
  <c r="S44" i="17"/>
  <c r="R44" i="17"/>
  <c r="N44" i="17"/>
  <c r="M44" i="17"/>
  <c r="L44" i="17"/>
  <c r="G44" i="17"/>
  <c r="AI43" i="17"/>
  <c r="AH43" i="17"/>
  <c r="AG43" i="17"/>
  <c r="AF43" i="17"/>
  <c r="AE43" i="17"/>
  <c r="Z43" i="17"/>
  <c r="T43" i="17"/>
  <c r="S43" i="17"/>
  <c r="R43" i="17"/>
  <c r="N43" i="17"/>
  <c r="M43" i="17"/>
  <c r="L43" i="17"/>
  <c r="G43" i="17"/>
  <c r="AI42" i="17"/>
  <c r="AH42" i="17"/>
  <c r="AG42" i="17"/>
  <c r="AF42" i="17"/>
  <c r="AE42" i="17"/>
  <c r="Z42" i="17"/>
  <c r="T42" i="17"/>
  <c r="S42" i="17"/>
  <c r="R42" i="17"/>
  <c r="N42" i="17"/>
  <c r="M42" i="17"/>
  <c r="L42" i="17"/>
  <c r="G42" i="17"/>
  <c r="AI41" i="17"/>
  <c r="AH41" i="17"/>
  <c r="AG41" i="17"/>
  <c r="AF41" i="17"/>
  <c r="AE41" i="17"/>
  <c r="Z41" i="17"/>
  <c r="T41" i="17"/>
  <c r="S41" i="17"/>
  <c r="R41" i="17"/>
  <c r="N41" i="17"/>
  <c r="M41" i="17"/>
  <c r="L41" i="17"/>
  <c r="G41" i="17"/>
  <c r="AI40" i="17"/>
  <c r="AH40" i="17"/>
  <c r="AG40" i="17"/>
  <c r="AF40" i="17"/>
  <c r="AE40" i="17"/>
  <c r="Z40" i="17"/>
  <c r="T40" i="17"/>
  <c r="S40" i="17"/>
  <c r="R40" i="17"/>
  <c r="N40" i="17"/>
  <c r="M40" i="17"/>
  <c r="L40" i="17"/>
  <c r="G40" i="17"/>
  <c r="AI39" i="17"/>
  <c r="AH39" i="17"/>
  <c r="AG39" i="17"/>
  <c r="AF39" i="17"/>
  <c r="AE39" i="17"/>
  <c r="Z39" i="17"/>
  <c r="T39" i="17"/>
  <c r="S87" i="18"/>
  <c r="S89" i="18"/>
  <c r="R87" i="18"/>
  <c r="M278" i="17"/>
  <c r="Y13" i="18"/>
  <c r="E47" i="19"/>
  <c r="G522" i="24"/>
  <c r="C522" i="24"/>
  <c r="AK291" i="17"/>
  <c r="E522" i="24"/>
  <c r="F135" i="38"/>
  <c r="I522" i="24"/>
  <c r="M311" i="17"/>
  <c r="T311" i="17"/>
  <c r="AG311" i="17"/>
  <c r="Z311" i="17"/>
  <c r="L311" i="17"/>
  <c r="S311" i="17"/>
  <c r="AF311" i="17"/>
  <c r="N311" i="17"/>
  <c r="AH311" i="17"/>
  <c r="G311" i="17"/>
  <c r="E451" i="24"/>
  <c r="M451" i="24"/>
  <c r="R311" i="17"/>
  <c r="AE311" i="17"/>
  <c r="AI311" i="17"/>
  <c r="J87" i="18"/>
  <c r="J89" i="18"/>
  <c r="N4039" i="24"/>
  <c r="Z206" i="17"/>
  <c r="Z262" i="17"/>
  <c r="G237" i="17"/>
  <c r="G262" i="17"/>
  <c r="AK241" i="17"/>
  <c r="AK251" i="17"/>
  <c r="T68" i="18"/>
  <c r="T87" i="18"/>
  <c r="T89" i="18"/>
  <c r="AK250" i="17"/>
  <c r="AK240" i="17"/>
  <c r="G72" i="17"/>
  <c r="AJ293" i="17"/>
  <c r="G92" i="17"/>
  <c r="AJ278" i="17"/>
  <c r="U87" i="18"/>
  <c r="M87" i="18"/>
  <c r="D87" i="18"/>
  <c r="W51" i="18"/>
  <c r="W47" i="18"/>
  <c r="AJ40" i="17"/>
  <c r="AJ44" i="17"/>
  <c r="AJ50" i="17"/>
  <c r="AJ56" i="17"/>
  <c r="AJ62" i="17"/>
  <c r="AJ66" i="17"/>
  <c r="S72" i="17"/>
  <c r="N169" i="17"/>
  <c r="AK289" i="17"/>
  <c r="H87" i="18"/>
  <c r="V87" i="18"/>
  <c r="AK257" i="17"/>
  <c r="AK290" i="17"/>
  <c r="W25" i="18"/>
  <c r="N92" i="17"/>
  <c r="AJ95" i="17"/>
  <c r="U97" i="17"/>
  <c r="AJ98" i="17"/>
  <c r="U103" i="17"/>
  <c r="AJ104" i="17"/>
  <c r="U107" i="17"/>
  <c r="AJ108" i="17"/>
  <c r="U112" i="17"/>
  <c r="U123" i="17"/>
  <c r="AJ124" i="17"/>
  <c r="U127" i="17"/>
  <c r="AJ128" i="17"/>
  <c r="U131" i="17"/>
  <c r="AJ132" i="17"/>
  <c r="U135" i="17"/>
  <c r="AJ136" i="17"/>
  <c r="G139" i="17"/>
  <c r="U141" i="17"/>
  <c r="AJ142" i="17"/>
  <c r="U147" i="17"/>
  <c r="AJ148" i="17"/>
  <c r="U151" i="17"/>
  <c r="AJ152" i="17"/>
  <c r="U155" i="17"/>
  <c r="AJ156" i="17"/>
  <c r="U159" i="17"/>
  <c r="AJ160" i="17"/>
  <c r="N174" i="17"/>
  <c r="R262" i="17"/>
  <c r="AE262" i="17"/>
  <c r="AI262" i="17"/>
  <c r="AJ183" i="17"/>
  <c r="U187" i="17"/>
  <c r="AJ189" i="17"/>
  <c r="U193" i="17"/>
  <c r="AJ195" i="17"/>
  <c r="U197" i="17"/>
  <c r="AJ201" i="17"/>
  <c r="U203" i="17"/>
  <c r="AJ205" i="17"/>
  <c r="U209" i="17"/>
  <c r="AJ211" i="17"/>
  <c r="U213" i="17"/>
  <c r="AJ215" i="17"/>
  <c r="U219" i="17"/>
  <c r="AJ221" i="17"/>
  <c r="U223" i="17"/>
  <c r="AJ225" i="17"/>
  <c r="U227" i="17"/>
  <c r="AJ229" i="17"/>
  <c r="U231" i="17"/>
  <c r="AJ233" i="17"/>
  <c r="U235" i="17"/>
  <c r="AJ237" i="17"/>
  <c r="W82" i="18"/>
  <c r="W58" i="18"/>
  <c r="X58" i="18"/>
  <c r="Y58" i="18"/>
  <c r="W29" i="18"/>
  <c r="AJ70" i="17"/>
  <c r="AJ74" i="17"/>
  <c r="AJ78" i="17"/>
  <c r="AJ84" i="17"/>
  <c r="G161" i="17"/>
  <c r="M237" i="17"/>
  <c r="M262" i="17"/>
  <c r="W9" i="18"/>
  <c r="AK274" i="17"/>
  <c r="AK243" i="17"/>
  <c r="R89" i="18"/>
  <c r="M164" i="17"/>
  <c r="AG139" i="17"/>
  <c r="AJ139" i="17"/>
  <c r="N139" i="17"/>
  <c r="N164" i="17"/>
  <c r="Z139" i="17"/>
  <c r="Z164" i="17"/>
  <c r="U305" i="17"/>
  <c r="AJ306" i="17"/>
  <c r="U309" i="17"/>
  <c r="AE169" i="17"/>
  <c r="W74" i="18"/>
  <c r="W23" i="18"/>
  <c r="W55" i="18"/>
  <c r="X55" i="18"/>
  <c r="Y55" i="18"/>
  <c r="W40" i="18"/>
  <c r="AJ43" i="17"/>
  <c r="U46" i="17"/>
  <c r="U58" i="17"/>
  <c r="AJ61" i="17"/>
  <c r="U64" i="17"/>
  <c r="AJ65" i="17"/>
  <c r="U68" i="17"/>
  <c r="U76" i="17"/>
  <c r="AJ77" i="17"/>
  <c r="U80" i="17"/>
  <c r="AJ83" i="17"/>
  <c r="AJ94" i="17"/>
  <c r="AJ97" i="17"/>
  <c r="AJ103" i="17"/>
  <c r="U106" i="17"/>
  <c r="AJ107" i="17"/>
  <c r="U110" i="17"/>
  <c r="AJ112" i="17"/>
  <c r="AJ135" i="17"/>
  <c r="AJ147" i="17"/>
  <c r="AJ151" i="17"/>
  <c r="AJ155" i="17"/>
  <c r="AJ159" i="17"/>
  <c r="AJ305" i="17"/>
  <c r="AJ309" i="17"/>
  <c r="AH262" i="17"/>
  <c r="U186" i="17"/>
  <c r="U190" i="17"/>
  <c r="U206" i="17"/>
  <c r="U212" i="17"/>
  <c r="U218" i="17"/>
  <c r="U222" i="17"/>
  <c r="U226" i="17"/>
  <c r="U230" i="17"/>
  <c r="U234" i="17"/>
  <c r="W63" i="18"/>
  <c r="X63" i="18"/>
  <c r="AJ42" i="17"/>
  <c r="AJ46" i="17"/>
  <c r="AJ52" i="17"/>
  <c r="AJ58" i="17"/>
  <c r="AJ64" i="17"/>
  <c r="AJ68" i="17"/>
  <c r="N72" i="17"/>
  <c r="AJ72" i="17"/>
  <c r="AJ76" i="17"/>
  <c r="AJ80" i="17"/>
  <c r="AJ88" i="17"/>
  <c r="AJ93" i="17"/>
  <c r="L164" i="17"/>
  <c r="S164" i="17"/>
  <c r="AJ118" i="17"/>
  <c r="U121" i="17"/>
  <c r="T164" i="17"/>
  <c r="AF164" i="17"/>
  <c r="U125" i="17"/>
  <c r="AJ126" i="17"/>
  <c r="U129" i="17"/>
  <c r="AJ130" i="17"/>
  <c r="U133" i="17"/>
  <c r="AJ134" i="17"/>
  <c r="U137" i="17"/>
  <c r="AJ138" i="17"/>
  <c r="AJ140" i="17"/>
  <c r="U143" i="17"/>
  <c r="AJ146" i="17"/>
  <c r="U149" i="17"/>
  <c r="AJ150" i="17"/>
  <c r="U153" i="17"/>
  <c r="AJ154" i="17"/>
  <c r="U157" i="17"/>
  <c r="AJ158" i="17"/>
  <c r="AJ161" i="17"/>
  <c r="U303" i="17"/>
  <c r="AJ304" i="17"/>
  <c r="U307" i="17"/>
  <c r="AJ308" i="17"/>
  <c r="U172" i="17"/>
  <c r="U174" i="17"/>
  <c r="T174" i="17"/>
  <c r="S174" i="17"/>
  <c r="R174" i="17"/>
  <c r="T262" i="17"/>
  <c r="U183" i="17"/>
  <c r="U189" i="17"/>
  <c r="U195" i="17"/>
  <c r="U201" i="17"/>
  <c r="U205" i="17"/>
  <c r="U211" i="17"/>
  <c r="U215" i="17"/>
  <c r="U221" i="17"/>
  <c r="U225" i="17"/>
  <c r="U229" i="17"/>
  <c r="U233" i="17"/>
  <c r="AK259" i="17"/>
  <c r="AK247" i="17"/>
  <c r="AK249" i="17"/>
  <c r="AK239" i="17"/>
  <c r="L174" i="17"/>
  <c r="AJ39" i="17"/>
  <c r="U42" i="17"/>
  <c r="AJ47" i="17"/>
  <c r="U52" i="17"/>
  <c r="AJ53" i="17"/>
  <c r="AJ69" i="17"/>
  <c r="AJ73" i="17"/>
  <c r="U88" i="17"/>
  <c r="AJ89" i="17"/>
  <c r="U93" i="17"/>
  <c r="U102" i="17"/>
  <c r="AJ119" i="17"/>
  <c r="AJ123" i="17"/>
  <c r="AJ127" i="17"/>
  <c r="AJ131" i="17"/>
  <c r="AJ141" i="17"/>
  <c r="U196" i="17"/>
  <c r="U202" i="17"/>
  <c r="U40" i="17"/>
  <c r="AJ41" i="17"/>
  <c r="U44" i="17"/>
  <c r="AJ45" i="17"/>
  <c r="U50" i="17"/>
  <c r="AJ51" i="17"/>
  <c r="U56" i="17"/>
  <c r="AK56" i="17"/>
  <c r="AJ57" i="17"/>
  <c r="U62" i="17"/>
  <c r="AJ63" i="17"/>
  <c r="U66" i="17"/>
  <c r="G67" i="17"/>
  <c r="U70" i="17"/>
  <c r="AJ71" i="17"/>
  <c r="U74" i="17"/>
  <c r="AJ75" i="17"/>
  <c r="U78" i="17"/>
  <c r="AJ79" i="17"/>
  <c r="U84" i="17"/>
  <c r="AJ87" i="17"/>
  <c r="AJ92" i="17"/>
  <c r="U95" i="17"/>
  <c r="AJ96" i="17"/>
  <c r="AJ121" i="17"/>
  <c r="AJ125" i="17"/>
  <c r="AJ129" i="17"/>
  <c r="AJ133" i="17"/>
  <c r="AJ137" i="17"/>
  <c r="AJ143" i="17"/>
  <c r="AJ149" i="17"/>
  <c r="AJ153" i="17"/>
  <c r="AJ157" i="17"/>
  <c r="AJ307" i="17"/>
  <c r="L262" i="17"/>
  <c r="S262" i="17"/>
  <c r="AF262" i="17"/>
  <c r="AJ186" i="17"/>
  <c r="U188" i="17"/>
  <c r="AJ190" i="17"/>
  <c r="U194" i="17"/>
  <c r="AJ196" i="17"/>
  <c r="U198" i="17"/>
  <c r="AJ202" i="17"/>
  <c r="U204" i="17"/>
  <c r="AJ206" i="17"/>
  <c r="U210" i="17"/>
  <c r="AJ212" i="17"/>
  <c r="U214" i="17"/>
  <c r="AJ218" i="17"/>
  <c r="U220" i="17"/>
  <c r="AJ222" i="17"/>
  <c r="U224" i="17"/>
  <c r="AJ226" i="17"/>
  <c r="U228" i="17"/>
  <c r="AJ230" i="17"/>
  <c r="U232" i="17"/>
  <c r="AJ234" i="17"/>
  <c r="U236" i="17"/>
  <c r="X83" i="18"/>
  <c r="X82" i="18"/>
  <c r="Y82" i="18"/>
  <c r="Y51" i="18"/>
  <c r="AK254" i="17"/>
  <c r="AK242" i="17"/>
  <c r="AK258" i="17"/>
  <c r="AK244" i="17"/>
  <c r="AK275" i="17"/>
  <c r="U278" i="17"/>
  <c r="AJ167" i="17"/>
  <c r="AJ181" i="17"/>
  <c r="AJ187" i="17"/>
  <c r="AJ193" i="17"/>
  <c r="AJ197" i="17"/>
  <c r="AJ203" i="17"/>
  <c r="AJ209" i="17"/>
  <c r="AJ213" i="17"/>
  <c r="AJ219" i="17"/>
  <c r="AJ223" i="17"/>
  <c r="AJ227" i="17"/>
  <c r="AJ231" i="17"/>
  <c r="AJ235" i="17"/>
  <c r="U41" i="17"/>
  <c r="U43" i="17"/>
  <c r="U45" i="17"/>
  <c r="U47" i="17"/>
  <c r="U51" i="17"/>
  <c r="U53" i="17"/>
  <c r="U57" i="17"/>
  <c r="U61" i="17"/>
  <c r="U63" i="17"/>
  <c r="U65" i="17"/>
  <c r="AJ67" i="17"/>
  <c r="U69" i="17"/>
  <c r="U71" i="17"/>
  <c r="U73" i="17"/>
  <c r="U75" i="17"/>
  <c r="U77" i="17"/>
  <c r="U79" i="17"/>
  <c r="U83" i="17"/>
  <c r="U87" i="17"/>
  <c r="U89" i="17"/>
  <c r="U101" i="17"/>
  <c r="AJ102" i="17"/>
  <c r="U105" i="17"/>
  <c r="AJ106" i="17"/>
  <c r="U109" i="17"/>
  <c r="AJ110" i="17"/>
  <c r="G111" i="17"/>
  <c r="N111" i="17"/>
  <c r="U111" i="17"/>
  <c r="AJ111" i="17"/>
  <c r="R164" i="17"/>
  <c r="AE164" i="17"/>
  <c r="AI164" i="17"/>
  <c r="U120" i="17"/>
  <c r="U140" i="17"/>
  <c r="U142" i="17"/>
  <c r="U146" i="17"/>
  <c r="U148" i="17"/>
  <c r="U150" i="17"/>
  <c r="U152" i="17"/>
  <c r="U154" i="17"/>
  <c r="U156" i="17"/>
  <c r="U158" i="17"/>
  <c r="U160" i="17"/>
  <c r="U162" i="17"/>
  <c r="AJ303" i="17"/>
  <c r="AJ172" i="17"/>
  <c r="G174" i="17"/>
  <c r="AJ182" i="17"/>
  <c r="AJ188" i="17"/>
  <c r="AJ194" i="17"/>
  <c r="AJ198" i="17"/>
  <c r="AJ204" i="17"/>
  <c r="AJ210" i="17"/>
  <c r="AJ214" i="17"/>
  <c r="AJ220" i="17"/>
  <c r="AJ224" i="17"/>
  <c r="AJ228" i="17"/>
  <c r="AJ232" i="17"/>
  <c r="AJ236" i="17"/>
  <c r="U167" i="17"/>
  <c r="M169" i="17"/>
  <c r="L169" i="17"/>
  <c r="AJ122" i="17"/>
  <c r="U94" i="17"/>
  <c r="U96" i="17"/>
  <c r="U98" i="17"/>
  <c r="AJ101" i="17"/>
  <c r="U104" i="17"/>
  <c r="AJ105" i="17"/>
  <c r="U108" i="17"/>
  <c r="AJ109" i="17"/>
  <c r="AH164" i="17"/>
  <c r="U119" i="17"/>
  <c r="AJ120" i="17"/>
  <c r="U122" i="17"/>
  <c r="U124" i="17"/>
  <c r="U126" i="17"/>
  <c r="U128" i="17"/>
  <c r="U130" i="17"/>
  <c r="U132" i="17"/>
  <c r="U134" i="17"/>
  <c r="U136" i="17"/>
  <c r="U138" i="17"/>
  <c r="U161" i="17"/>
  <c r="AJ162" i="17"/>
  <c r="U304" i="17"/>
  <c r="U306" i="17"/>
  <c r="U308" i="17"/>
  <c r="Z174" i="17"/>
  <c r="N262" i="17"/>
  <c r="U178" i="17"/>
  <c r="AG262" i="17"/>
  <c r="AK276" i="17"/>
  <c r="AJ178" i="17"/>
  <c r="U118" i="17"/>
  <c r="G169" i="17"/>
  <c r="Z169" i="17"/>
  <c r="W68" i="18"/>
  <c r="X68" i="18"/>
  <c r="AK260" i="17"/>
  <c r="AK248" i="17"/>
  <c r="AK238" i="17"/>
  <c r="AK288" i="17"/>
  <c r="U293" i="17"/>
  <c r="S67" i="17"/>
  <c r="U67" i="17"/>
  <c r="S92" i="17"/>
  <c r="R39" i="17"/>
  <c r="L39" i="17"/>
  <c r="S39" i="17"/>
  <c r="C114" i="17"/>
  <c r="AI38" i="17"/>
  <c r="AH38" i="17"/>
  <c r="AE38" i="17"/>
  <c r="Z38" i="17"/>
  <c r="T38" i="17"/>
  <c r="S38" i="17"/>
  <c r="L38" i="17"/>
  <c r="G38" i="17"/>
  <c r="AI35" i="17"/>
  <c r="AH35" i="17"/>
  <c r="AG35" i="17"/>
  <c r="AF35" i="17"/>
  <c r="AE35" i="17"/>
  <c r="Z35" i="17"/>
  <c r="T35" i="17"/>
  <c r="S35" i="17"/>
  <c r="R35" i="17"/>
  <c r="N35" i="17"/>
  <c r="M35" i="17"/>
  <c r="L35" i="17"/>
  <c r="G35" i="17"/>
  <c r="AI34" i="17"/>
  <c r="AH34" i="17"/>
  <c r="AG34" i="17"/>
  <c r="AF34" i="17"/>
  <c r="AE34" i="17"/>
  <c r="Z34" i="17"/>
  <c r="T34" i="17"/>
  <c r="S34" i="17"/>
  <c r="R34" i="17"/>
  <c r="N34" i="17"/>
  <c r="M34" i="17"/>
  <c r="L34" i="17"/>
  <c r="G34" i="17"/>
  <c r="AI33" i="17"/>
  <c r="AH33" i="17"/>
  <c r="AG33" i="17"/>
  <c r="AF33" i="17"/>
  <c r="AE33" i="17"/>
  <c r="Z33" i="17"/>
  <c r="T33" i="17"/>
  <c r="S33" i="17"/>
  <c r="R33" i="17"/>
  <c r="N33" i="17"/>
  <c r="M33" i="17"/>
  <c r="L33" i="17"/>
  <c r="G33" i="17"/>
  <c r="AI32" i="17"/>
  <c r="AH32" i="17"/>
  <c r="AG32" i="17"/>
  <c r="AF32" i="17"/>
  <c r="AE32" i="17"/>
  <c r="Z32" i="17"/>
  <c r="T32" i="17"/>
  <c r="S32" i="17"/>
  <c r="R32" i="17"/>
  <c r="N32" i="17"/>
  <c r="M32" i="17"/>
  <c r="L32" i="17"/>
  <c r="G32" i="17"/>
  <c r="AM28" i="17"/>
  <c r="AM264" i="17"/>
  <c r="AD28" i="17"/>
  <c r="AD264" i="17"/>
  <c r="AC28" i="17"/>
  <c r="AC264" i="17"/>
  <c r="AB28" i="17"/>
  <c r="AB264" i="17"/>
  <c r="AA28" i="17"/>
  <c r="AA264" i="17"/>
  <c r="Y28" i="17"/>
  <c r="Y264" i="17"/>
  <c r="X28" i="17"/>
  <c r="X264" i="17"/>
  <c r="W28" i="17"/>
  <c r="W264" i="17"/>
  <c r="V28" i="17"/>
  <c r="V264" i="17"/>
  <c r="Q28" i="17"/>
  <c r="Q264" i="17"/>
  <c r="P28" i="17"/>
  <c r="O28" i="17"/>
  <c r="O264" i="17"/>
  <c r="K28" i="17"/>
  <c r="K264" i="17"/>
  <c r="J28" i="17"/>
  <c r="J264" i="17"/>
  <c r="I28" i="17"/>
  <c r="H28" i="17"/>
  <c r="H264" i="17"/>
  <c r="F28" i="17"/>
  <c r="F264" i="17"/>
  <c r="E28" i="17"/>
  <c r="D28" i="17"/>
  <c r="AI26" i="17"/>
  <c r="AH26" i="17"/>
  <c r="AG26" i="17"/>
  <c r="AF26" i="17"/>
  <c r="AE26" i="17"/>
  <c r="Z26" i="17"/>
  <c r="T26" i="17"/>
  <c r="S26" i="17"/>
  <c r="R26" i="17"/>
  <c r="N26" i="17"/>
  <c r="M26" i="17"/>
  <c r="L26" i="17"/>
  <c r="G26" i="17"/>
  <c r="AI25" i="17"/>
  <c r="AH25" i="17"/>
  <c r="AG25" i="17"/>
  <c r="AF25" i="17"/>
  <c r="AE25" i="17"/>
  <c r="Z25" i="17"/>
  <c r="T25" i="17"/>
  <c r="S25" i="17"/>
  <c r="R25" i="17"/>
  <c r="N25" i="17"/>
  <c r="M25" i="17"/>
  <c r="L25" i="17"/>
  <c r="G25" i="17"/>
  <c r="AI24" i="17"/>
  <c r="AH24" i="17"/>
  <c r="AG24" i="17"/>
  <c r="AF24" i="17"/>
  <c r="AE24" i="17"/>
  <c r="Z24" i="17"/>
  <c r="T24" i="17"/>
  <c r="S24" i="17"/>
  <c r="R24" i="17"/>
  <c r="N24" i="17"/>
  <c r="M24" i="17"/>
  <c r="L24" i="17"/>
  <c r="G24" i="17"/>
  <c r="AI23" i="17"/>
  <c r="AH23" i="17"/>
  <c r="AG23" i="17"/>
  <c r="AF23" i="17"/>
  <c r="AE23" i="17"/>
  <c r="Z23" i="17"/>
  <c r="T23" i="17"/>
  <c r="S23" i="17"/>
  <c r="R23" i="17"/>
  <c r="N23" i="17"/>
  <c r="L23" i="17"/>
  <c r="G23" i="17"/>
  <c r="AI22" i="17"/>
  <c r="AH22" i="17"/>
  <c r="AG22" i="17"/>
  <c r="AF22" i="17"/>
  <c r="AE22" i="17"/>
  <c r="Z22" i="17"/>
  <c r="T22" i="17"/>
  <c r="S22" i="17"/>
  <c r="R22" i="17"/>
  <c r="N22" i="17"/>
  <c r="M22" i="17"/>
  <c r="L22" i="17"/>
  <c r="G22" i="17"/>
  <c r="AI21" i="17"/>
  <c r="AH21" i="17"/>
  <c r="AG21" i="17"/>
  <c r="AF21" i="17"/>
  <c r="AE21" i="17"/>
  <c r="Z21" i="17"/>
  <c r="T21" i="17"/>
  <c r="S21" i="17"/>
  <c r="R21" i="17"/>
  <c r="N21" i="17"/>
  <c r="M21" i="17"/>
  <c r="L21" i="17"/>
  <c r="G21" i="17"/>
  <c r="AI20" i="17"/>
  <c r="AH20" i="17"/>
  <c r="AG20" i="17"/>
  <c r="AF20" i="17"/>
  <c r="AE20" i="17"/>
  <c r="Z20" i="17"/>
  <c r="T20" i="17"/>
  <c r="S20" i="17"/>
  <c r="R20" i="17"/>
  <c r="N20" i="17"/>
  <c r="M20" i="17"/>
  <c r="L20" i="17"/>
  <c r="G20" i="17"/>
  <c r="AI19" i="17"/>
  <c r="AH19" i="17"/>
  <c r="AG19" i="17"/>
  <c r="AF19" i="17"/>
  <c r="AE19" i="17"/>
  <c r="Z19" i="17"/>
  <c r="T19" i="17"/>
  <c r="S19" i="17"/>
  <c r="R19" i="17"/>
  <c r="N19" i="17"/>
  <c r="M19" i="17"/>
  <c r="L19" i="17"/>
  <c r="G19" i="17"/>
  <c r="AI18" i="17"/>
  <c r="AH18" i="17"/>
  <c r="AG18" i="17"/>
  <c r="AF18" i="17"/>
  <c r="AE18" i="17"/>
  <c r="Z18" i="17"/>
  <c r="T18" i="17"/>
  <c r="S18" i="17"/>
  <c r="R18" i="17"/>
  <c r="N18" i="17"/>
  <c r="M18" i="17"/>
  <c r="L18" i="17"/>
  <c r="G18" i="17"/>
  <c r="AI17" i="17"/>
  <c r="AH17" i="17"/>
  <c r="AG17" i="17"/>
  <c r="AF17" i="17"/>
  <c r="AE17" i="17"/>
  <c r="Z17" i="17"/>
  <c r="T17" i="17"/>
  <c r="S17" i="17"/>
  <c r="R17" i="17"/>
  <c r="N17" i="17"/>
  <c r="L17" i="17"/>
  <c r="G17" i="17"/>
  <c r="AE16" i="17"/>
  <c r="Z16" i="17"/>
  <c r="R16" i="17"/>
  <c r="N16" i="17"/>
  <c r="L16" i="17"/>
  <c r="G16" i="17"/>
  <c r="AI15" i="17"/>
  <c r="AH15" i="17"/>
  <c r="AE15" i="17"/>
  <c r="Z15" i="17"/>
  <c r="T15" i="17"/>
  <c r="S15" i="17"/>
  <c r="R15" i="17"/>
  <c r="N15" i="17"/>
  <c r="L15" i="17"/>
  <c r="G15" i="17"/>
  <c r="AI14" i="17"/>
  <c r="AH14" i="17"/>
  <c r="AG14" i="17"/>
  <c r="AF14" i="17"/>
  <c r="AE14" i="17"/>
  <c r="Z14" i="17"/>
  <c r="T14" i="17"/>
  <c r="S14" i="17"/>
  <c r="R14" i="17"/>
  <c r="N14" i="17"/>
  <c r="M14" i="17"/>
  <c r="L14" i="17"/>
  <c r="G14" i="17"/>
  <c r="AI13" i="17"/>
  <c r="AH13" i="17"/>
  <c r="AG13" i="17"/>
  <c r="AF13" i="17"/>
  <c r="AE13" i="17"/>
  <c r="Z13" i="17"/>
  <c r="T13" i="17"/>
  <c r="S13" i="17"/>
  <c r="R13" i="17"/>
  <c r="N13" i="17"/>
  <c r="M13" i="17"/>
  <c r="L13" i="17"/>
  <c r="G13" i="17"/>
  <c r="AI12" i="17"/>
  <c r="AH12" i="17"/>
  <c r="AG12" i="17"/>
  <c r="AF12" i="17"/>
  <c r="AE12" i="17"/>
  <c r="Z12" i="17"/>
  <c r="T12" i="17"/>
  <c r="S12" i="17"/>
  <c r="R12" i="17"/>
  <c r="N12" i="17"/>
  <c r="M12" i="17"/>
  <c r="L12" i="17"/>
  <c r="G12" i="17"/>
  <c r="AI11" i="17"/>
  <c r="AH11" i="17"/>
  <c r="AG11" i="17"/>
  <c r="AF11" i="17"/>
  <c r="AE11" i="17"/>
  <c r="Z11" i="17"/>
  <c r="T11" i="17"/>
  <c r="S11" i="17"/>
  <c r="R11" i="17"/>
  <c r="N11" i="17"/>
  <c r="M11" i="17"/>
  <c r="L11" i="17"/>
  <c r="G11" i="17"/>
  <c r="AI10" i="17"/>
  <c r="AH10" i="17"/>
  <c r="AG10" i="17"/>
  <c r="AF10" i="17"/>
  <c r="AE10" i="17"/>
  <c r="Z10" i="17"/>
  <c r="T10" i="17"/>
  <c r="S10" i="17"/>
  <c r="R10" i="17"/>
  <c r="N10" i="17"/>
  <c r="L10" i="17"/>
  <c r="M10" i="17"/>
  <c r="AI9" i="17"/>
  <c r="AH9" i="17"/>
  <c r="AG9" i="17"/>
  <c r="AF9" i="17"/>
  <c r="AE9" i="17"/>
  <c r="Z9" i="17"/>
  <c r="T9" i="17"/>
  <c r="S9" i="17"/>
  <c r="R9" i="17"/>
  <c r="N9" i="17"/>
  <c r="M9" i="17"/>
  <c r="L9" i="17"/>
  <c r="G9" i="17"/>
  <c r="A2" i="17"/>
  <c r="N33" i="8"/>
  <c r="L33" i="8"/>
  <c r="K33" i="8"/>
  <c r="G33" i="8"/>
  <c r="F33" i="8"/>
  <c r="B33" i="8"/>
  <c r="I31" i="8"/>
  <c r="I30" i="8"/>
  <c r="N27" i="8"/>
  <c r="L27" i="8"/>
  <c r="K27" i="8"/>
  <c r="H27" i="8"/>
  <c r="G27" i="8"/>
  <c r="F27" i="8"/>
  <c r="B27" i="8"/>
  <c r="I25" i="8"/>
  <c r="M25" i="8"/>
  <c r="N22" i="8"/>
  <c r="L22" i="8"/>
  <c r="K22" i="8"/>
  <c r="G22" i="8"/>
  <c r="F22" i="8"/>
  <c r="B22" i="8"/>
  <c r="N17" i="8"/>
  <c r="L17" i="8"/>
  <c r="K17" i="8"/>
  <c r="H17" i="8"/>
  <c r="G17" i="8"/>
  <c r="F17" i="8"/>
  <c r="B17" i="8"/>
  <c r="I15" i="8"/>
  <c r="I14" i="8"/>
  <c r="E169" i="42"/>
  <c r="N11" i="8"/>
  <c r="L11" i="8"/>
  <c r="K11" i="8"/>
  <c r="H11" i="8"/>
  <c r="G11" i="8"/>
  <c r="F11" i="8"/>
  <c r="B11" i="8"/>
  <c r="I9" i="8"/>
  <c r="O9" i="8"/>
  <c r="A2" i="8"/>
  <c r="K164" i="29"/>
  <c r="I164" i="29"/>
  <c r="K139" i="29"/>
  <c r="K106" i="29"/>
  <c r="I106" i="29"/>
  <c r="G106" i="29"/>
  <c r="E106" i="29"/>
  <c r="K98" i="29"/>
  <c r="I98" i="29"/>
  <c r="G98" i="29"/>
  <c r="E98" i="29"/>
  <c r="O30" i="29"/>
  <c r="N30" i="29"/>
  <c r="A1" i="29"/>
  <c r="I27" i="8"/>
  <c r="M35" i="8"/>
  <c r="K522" i="24"/>
  <c r="P264" i="17"/>
  <c r="P314" i="17"/>
  <c r="I264" i="17"/>
  <c r="I314" i="17"/>
  <c r="AK47" i="17"/>
  <c r="AK136" i="17"/>
  <c r="AK128" i="17"/>
  <c r="AJ311" i="17"/>
  <c r="AK88" i="17"/>
  <c r="AK52" i="17"/>
  <c r="AK160" i="17"/>
  <c r="AK152" i="17"/>
  <c r="AK142" i="17"/>
  <c r="AK46" i="17"/>
  <c r="U311" i="17"/>
  <c r="AK135" i="17"/>
  <c r="AK305" i="17"/>
  <c r="I481" i="24"/>
  <c r="O15" i="8"/>
  <c r="E170" i="42"/>
  <c r="K170" i="42"/>
  <c r="O30" i="8"/>
  <c r="E164" i="42"/>
  <c r="AK87" i="17"/>
  <c r="AK57" i="17"/>
  <c r="O31" i="8"/>
  <c r="E165" i="42"/>
  <c r="K165" i="42"/>
  <c r="K169" i="42"/>
  <c r="E168" i="42"/>
  <c r="K168" i="42"/>
  <c r="AK75" i="17"/>
  <c r="AK62" i="17"/>
  <c r="AK74" i="17"/>
  <c r="AK66" i="17"/>
  <c r="AK44" i="17"/>
  <c r="AK155" i="17"/>
  <c r="AK112" i="17"/>
  <c r="AK103" i="17"/>
  <c r="AK84" i="17"/>
  <c r="AK45" i="17"/>
  <c r="AK40" i="17"/>
  <c r="U72" i="17"/>
  <c r="AK72" i="17"/>
  <c r="AK172" i="17"/>
  <c r="AK174" i="17"/>
  <c r="AJ174" i="17"/>
  <c r="AI174" i="17"/>
  <c r="AH174" i="17"/>
  <c r="AG174" i="17"/>
  <c r="AF174" i="17"/>
  <c r="AE174" i="17"/>
  <c r="AK141" i="17"/>
  <c r="M39" i="17"/>
  <c r="M114" i="17"/>
  <c r="AK306" i="17"/>
  <c r="C481" i="24"/>
  <c r="AK221" i="17"/>
  <c r="AK201" i="17"/>
  <c r="AK156" i="17"/>
  <c r="AK148" i="17"/>
  <c r="AK223" i="17"/>
  <c r="AK203" i="17"/>
  <c r="AK181" i="17"/>
  <c r="U237" i="17"/>
  <c r="AK237" i="17"/>
  <c r="AK64" i="17"/>
  <c r="AK154" i="17"/>
  <c r="AK146" i="17"/>
  <c r="AK89" i="17"/>
  <c r="AK61" i="17"/>
  <c r="AK235" i="17"/>
  <c r="AK219" i="17"/>
  <c r="AK197" i="17"/>
  <c r="AK127" i="17"/>
  <c r="AK80" i="17"/>
  <c r="AK76" i="17"/>
  <c r="AK159" i="17"/>
  <c r="AK132" i="17"/>
  <c r="AK124" i="17"/>
  <c r="AK94" i="17"/>
  <c r="AK149" i="17"/>
  <c r="AK224" i="17"/>
  <c r="AK79" i="17"/>
  <c r="AK71" i="17"/>
  <c r="AK63" i="17"/>
  <c r="AK51" i="17"/>
  <c r="AK41" i="17"/>
  <c r="AK137" i="17"/>
  <c r="AK157" i="17"/>
  <c r="U139" i="17"/>
  <c r="AK139" i="17"/>
  <c r="AK308" i="17"/>
  <c r="AK108" i="17"/>
  <c r="AK98" i="17"/>
  <c r="AK78" i="17"/>
  <c r="AK42" i="17"/>
  <c r="AK125" i="17"/>
  <c r="AK147" i="17"/>
  <c r="AK129" i="17"/>
  <c r="AK143" i="17"/>
  <c r="AK58" i="17"/>
  <c r="AK131" i="17"/>
  <c r="AK107" i="17"/>
  <c r="AK97" i="17"/>
  <c r="AK309" i="17"/>
  <c r="G164" i="17"/>
  <c r="AK95" i="17"/>
  <c r="AK293" i="17"/>
  <c r="AK304" i="17"/>
  <c r="G481" i="24"/>
  <c r="AK161" i="17"/>
  <c r="AK104" i="17"/>
  <c r="AK232" i="17"/>
  <c r="AK214" i="17"/>
  <c r="AK194" i="17"/>
  <c r="AK105" i="17"/>
  <c r="AK231" i="17"/>
  <c r="AK213" i="17"/>
  <c r="AK193" i="17"/>
  <c r="AK70" i="17"/>
  <c r="AK50" i="17"/>
  <c r="AK229" i="17"/>
  <c r="AK211" i="17"/>
  <c r="AK189" i="17"/>
  <c r="I11" i="8"/>
  <c r="U92" i="17"/>
  <c r="AK92" i="17"/>
  <c r="AK122" i="17"/>
  <c r="AK167" i="17"/>
  <c r="AK169" i="17"/>
  <c r="AJ169" i="17"/>
  <c r="AI169" i="17"/>
  <c r="AH169" i="17"/>
  <c r="AG169" i="17"/>
  <c r="AK102" i="17"/>
  <c r="AK73" i="17"/>
  <c r="AK227" i="17"/>
  <c r="AK209" i="17"/>
  <c r="AK187" i="17"/>
  <c r="AK123" i="17"/>
  <c r="AK196" i="17"/>
  <c r="AK153" i="17"/>
  <c r="AK204" i="17"/>
  <c r="AK182" i="17"/>
  <c r="AK307" i="17"/>
  <c r="AK121" i="17"/>
  <c r="AK93" i="17"/>
  <c r="AK68" i="17"/>
  <c r="AG164" i="17"/>
  <c r="AG28" i="17"/>
  <c r="G10" i="17"/>
  <c r="G28" i="17"/>
  <c r="AE28" i="17"/>
  <c r="AI28" i="17"/>
  <c r="U11" i="17"/>
  <c r="AJ13" i="17"/>
  <c r="U15" i="17"/>
  <c r="AJ17" i="17"/>
  <c r="U19" i="17"/>
  <c r="AJ21" i="17"/>
  <c r="M23" i="17"/>
  <c r="U23" i="17"/>
  <c r="AJ25" i="17"/>
  <c r="Z114" i="17"/>
  <c r="AH114" i="17"/>
  <c r="AJ34" i="17"/>
  <c r="AK138" i="17"/>
  <c r="AK130" i="17"/>
  <c r="AK236" i="17"/>
  <c r="AK220" i="17"/>
  <c r="AK198" i="17"/>
  <c r="AK106" i="17"/>
  <c r="AK77" i="17"/>
  <c r="AK69" i="17"/>
  <c r="AK233" i="17"/>
  <c r="AK215" i="17"/>
  <c r="AK195" i="17"/>
  <c r="AK133" i="17"/>
  <c r="AK222" i="17"/>
  <c r="AK190" i="17"/>
  <c r="AK151" i="17"/>
  <c r="C28" i="17"/>
  <c r="AK111" i="17"/>
  <c r="B35" i="8"/>
  <c r="O14" i="8"/>
  <c r="O17" i="8"/>
  <c r="N35" i="8"/>
  <c r="M17" i="17"/>
  <c r="U17" i="17"/>
  <c r="AK134" i="17"/>
  <c r="AK126" i="17"/>
  <c r="AK228" i="17"/>
  <c r="AK210" i="17"/>
  <c r="AK188" i="17"/>
  <c r="AK110" i="17"/>
  <c r="AK43" i="17"/>
  <c r="AK202" i="17"/>
  <c r="AK225" i="17"/>
  <c r="AK205" i="17"/>
  <c r="AK183" i="17"/>
  <c r="AK278" i="17"/>
  <c r="L28" i="17"/>
  <c r="AJ12" i="17"/>
  <c r="U18" i="17"/>
  <c r="AJ20" i="17"/>
  <c r="U26" i="17"/>
  <c r="T114" i="17"/>
  <c r="U35" i="17"/>
  <c r="AK119" i="17"/>
  <c r="F35" i="8"/>
  <c r="L35" i="8"/>
  <c r="N28" i="17"/>
  <c r="Z28" i="17"/>
  <c r="AH28" i="17"/>
  <c r="S28" i="17"/>
  <c r="AJ10" i="17"/>
  <c r="U12" i="17"/>
  <c r="AJ14" i="17"/>
  <c r="U16" i="17"/>
  <c r="AJ18" i="17"/>
  <c r="U20" i="17"/>
  <c r="AK20" i="17"/>
  <c r="AJ22" i="17"/>
  <c r="U24" i="17"/>
  <c r="AJ26" i="17"/>
  <c r="AE114" i="17"/>
  <c r="AI114" i="17"/>
  <c r="U33" i="17"/>
  <c r="AJ35" i="17"/>
  <c r="AK67" i="17"/>
  <c r="AK158" i="17"/>
  <c r="AK150" i="17"/>
  <c r="AK140" i="17"/>
  <c r="AK83" i="17"/>
  <c r="AK65" i="17"/>
  <c r="AK53" i="17"/>
  <c r="AK234" i="17"/>
  <c r="AK218" i="17"/>
  <c r="AK186" i="17"/>
  <c r="AJ9" i="17"/>
  <c r="U14" i="17"/>
  <c r="AJ16" i="17"/>
  <c r="U22" i="17"/>
  <c r="AJ24" i="17"/>
  <c r="AG114" i="17"/>
  <c r="AJ33" i="17"/>
  <c r="AK96" i="17"/>
  <c r="AK226" i="17"/>
  <c r="AK206" i="17"/>
  <c r="G35" i="8"/>
  <c r="R28" i="17"/>
  <c r="U10" i="17"/>
  <c r="T28" i="17"/>
  <c r="AJ11" i="17"/>
  <c r="U13" i="17"/>
  <c r="AJ15" i="17"/>
  <c r="AJ19" i="17"/>
  <c r="U21" i="17"/>
  <c r="AJ23" i="17"/>
  <c r="U25" i="17"/>
  <c r="L114" i="17"/>
  <c r="AF114" i="17"/>
  <c r="U34" i="17"/>
  <c r="AJ38" i="17"/>
  <c r="AJ164" i="17"/>
  <c r="AK230" i="17"/>
  <c r="AK212" i="17"/>
  <c r="O314" i="17"/>
  <c r="AA314" i="17"/>
  <c r="H314" i="17"/>
  <c r="AF28" i="17"/>
  <c r="S114" i="17"/>
  <c r="I17" i="8"/>
  <c r="I33" i="8"/>
  <c r="R114" i="17"/>
  <c r="K35" i="8"/>
  <c r="AJ32" i="17"/>
  <c r="U169" i="17"/>
  <c r="T169" i="17"/>
  <c r="S169" i="17"/>
  <c r="R169" i="17"/>
  <c r="AK120" i="17"/>
  <c r="AK109" i="17"/>
  <c r="AK101" i="17"/>
  <c r="F314" i="17"/>
  <c r="X314" i="17"/>
  <c r="K89" i="18"/>
  <c r="E114" i="17"/>
  <c r="Y9" i="18"/>
  <c r="AK178" i="17"/>
  <c r="V314" i="17"/>
  <c r="AK118" i="17"/>
  <c r="U9" i="17"/>
  <c r="AK303" i="17"/>
  <c r="O11" i="8"/>
  <c r="O25" i="8"/>
  <c r="O27" i="8"/>
  <c r="U32" i="17"/>
  <c r="AJ262" i="17"/>
  <c r="AK162" i="17"/>
  <c r="Z264" i="17"/>
  <c r="S264" i="17"/>
  <c r="T264" i="17"/>
  <c r="O33" i="8"/>
  <c r="R264" i="17"/>
  <c r="R314" i="17"/>
  <c r="AE264" i="17"/>
  <c r="AE314" i="17"/>
  <c r="AI264" i="17"/>
  <c r="AG264" i="17"/>
  <c r="L264" i="17"/>
  <c r="L314" i="17"/>
  <c r="K314" i="17"/>
  <c r="J314" i="17"/>
  <c r="AF264" i="17"/>
  <c r="AF314" i="17"/>
  <c r="C264" i="17"/>
  <c r="C314" i="17"/>
  <c r="AH264" i="17"/>
  <c r="E264" i="17"/>
  <c r="E314" i="17"/>
  <c r="E481" i="24"/>
  <c r="AK311" i="17"/>
  <c r="K481" i="24"/>
  <c r="AK21" i="17"/>
  <c r="AK13" i="17"/>
  <c r="K164" i="42"/>
  <c r="E163" i="42"/>
  <c r="U262" i="17"/>
  <c r="AK14" i="17"/>
  <c r="AK17" i="17"/>
  <c r="AK23" i="17"/>
  <c r="AK10" i="17"/>
  <c r="U164" i="17"/>
  <c r="C74" i="23"/>
  <c r="AK35" i="17"/>
  <c r="AK18" i="17"/>
  <c r="AK33" i="17"/>
  <c r="AK15" i="17"/>
  <c r="AK38" i="17"/>
  <c r="AK25" i="17"/>
  <c r="AJ114" i="17"/>
  <c r="AK16" i="17"/>
  <c r="AK26" i="17"/>
  <c r="AK34" i="17"/>
  <c r="M28" i="17"/>
  <c r="M264" i="17"/>
  <c r="AK262" i="17"/>
  <c r="AK19" i="17"/>
  <c r="AK11" i="17"/>
  <c r="AJ28" i="17"/>
  <c r="AK22" i="17"/>
  <c r="AK24" i="17"/>
  <c r="AK164" i="17"/>
  <c r="AK12" i="17"/>
  <c r="AK32" i="17"/>
  <c r="AK9" i="17"/>
  <c r="U28" i="17"/>
  <c r="D114" i="17"/>
  <c r="G39" i="17"/>
  <c r="G114" i="17"/>
  <c r="W314" i="17"/>
  <c r="N39" i="17"/>
  <c r="K4286" i="24"/>
  <c r="I4286" i="24"/>
  <c r="K4278" i="24"/>
  <c r="I4278" i="24"/>
  <c r="K4169" i="24"/>
  <c r="I4169" i="24"/>
  <c r="G4164" i="24"/>
  <c r="G4163" i="24"/>
  <c r="K4158" i="24"/>
  <c r="K4088" i="24"/>
  <c r="M4054" i="24"/>
  <c r="M4052" i="24"/>
  <c r="M4050" i="24"/>
  <c r="M4049" i="24"/>
  <c r="M4048" i="24"/>
  <c r="M4047" i="24"/>
  <c r="M4046" i="24"/>
  <c r="M4045" i="24"/>
  <c r="M4044" i="24"/>
  <c r="M4043" i="24"/>
  <c r="M4042" i="24"/>
  <c r="M4041" i="24"/>
  <c r="D74" i="23"/>
  <c r="AJ264" i="17"/>
  <c r="Q314" i="17"/>
  <c r="AD314" i="17"/>
  <c r="D264" i="17"/>
  <c r="D314" i="17"/>
  <c r="G264" i="17"/>
  <c r="G314" i="17"/>
  <c r="K163" i="42"/>
  <c r="E173" i="42"/>
  <c r="K173" i="42"/>
  <c r="Z314" i="17"/>
  <c r="AK28" i="17"/>
  <c r="K4116" i="24"/>
  <c r="K4107" i="24"/>
  <c r="K4294" i="24"/>
  <c r="U39" i="17"/>
  <c r="N114" i="17"/>
  <c r="N264" i="17"/>
  <c r="K4129" i="24"/>
  <c r="I4294" i="24"/>
  <c r="I4299" i="24"/>
  <c r="I4304" i="24"/>
  <c r="K4139" i="24"/>
  <c r="I4134" i="24"/>
  <c r="G4158" i="24"/>
  <c r="G4169" i="24"/>
  <c r="K4067" i="24"/>
  <c r="I4062" i="24"/>
  <c r="I4083" i="24"/>
  <c r="I4088" i="24"/>
  <c r="K3929" i="24"/>
  <c r="I3929" i="24"/>
  <c r="K3928" i="24"/>
  <c r="I3928" i="24"/>
  <c r="N3923" i="24"/>
  <c r="M3923" i="24"/>
  <c r="K3923" i="24"/>
  <c r="M3805" i="24"/>
  <c r="M3803" i="24"/>
  <c r="M3802" i="24"/>
  <c r="I3799" i="24"/>
  <c r="M3797" i="24"/>
  <c r="M3796" i="24"/>
  <c r="M3795" i="24"/>
  <c r="M3794" i="24"/>
  <c r="M3793" i="24"/>
  <c r="M3792" i="24"/>
  <c r="K3799" i="24"/>
  <c r="I3768" i="24"/>
  <c r="M3767" i="24"/>
  <c r="M3766" i="24"/>
  <c r="I3765" i="24"/>
  <c r="G3765" i="24"/>
  <c r="G3770" i="24"/>
  <c r="K3763" i="24"/>
  <c r="M3761" i="24"/>
  <c r="I3747" i="24"/>
  <c r="G3747" i="24"/>
  <c r="K3745" i="24"/>
  <c r="K3744" i="24"/>
  <c r="K3743" i="24"/>
  <c r="K3742" i="24"/>
  <c r="K3741" i="24"/>
  <c r="K3740" i="24"/>
  <c r="K3739" i="24"/>
  <c r="K3738" i="24"/>
  <c r="K3737" i="24"/>
  <c r="K3736" i="24"/>
  <c r="K3735" i="24"/>
  <c r="I3723" i="24"/>
  <c r="G3723" i="24"/>
  <c r="K3721" i="24"/>
  <c r="K3720" i="24"/>
  <c r="K3719" i="24"/>
  <c r="K3718" i="24"/>
  <c r="K3717" i="24"/>
  <c r="K3716" i="24"/>
  <c r="K3715" i="24"/>
  <c r="K3714" i="24"/>
  <c r="K3713" i="24"/>
  <c r="K3712" i="24"/>
  <c r="K3711" i="24"/>
  <c r="K3710" i="24"/>
  <c r="K3709" i="24"/>
  <c r="I3697" i="24"/>
  <c r="K3695" i="24"/>
  <c r="K3694" i="24"/>
  <c r="K3683" i="24"/>
  <c r="I3683" i="24"/>
  <c r="G3683" i="24"/>
  <c r="M3681" i="24"/>
  <c r="M3680" i="24"/>
  <c r="K4299" i="24"/>
  <c r="K4304" i="24"/>
  <c r="K4305" i="24"/>
  <c r="Y314" i="17"/>
  <c r="AC314" i="17"/>
  <c r="Q89" i="18"/>
  <c r="K3697" i="24"/>
  <c r="M3807" i="24"/>
  <c r="K3807" i="24"/>
  <c r="I3807" i="24"/>
  <c r="N3808" i="24"/>
  <c r="I4305" i="24"/>
  <c r="AK39" i="17"/>
  <c r="AK114" i="17"/>
  <c r="U114" i="17"/>
  <c r="U264" i="17"/>
  <c r="M3799" i="24"/>
  <c r="I3770" i="24"/>
  <c r="S314" i="17"/>
  <c r="N314" i="17"/>
  <c r="M3770" i="24"/>
  <c r="I4067" i="24"/>
  <c r="M3694" i="24"/>
  <c r="I4124" i="24"/>
  <c r="I4129" i="24"/>
  <c r="I4102" i="24"/>
  <c r="I4107" i="24"/>
  <c r="I4139" i="24"/>
  <c r="I4110" i="24"/>
  <c r="M3679" i="24"/>
  <c r="M3678" i="24"/>
  <c r="M3677" i="24"/>
  <c r="K3671" i="24"/>
  <c r="I3669" i="24"/>
  <c r="M3668" i="24"/>
  <c r="M3667" i="24"/>
  <c r="M3666" i="24"/>
  <c r="I3662" i="24"/>
  <c r="M3660" i="24"/>
  <c r="M3659" i="24"/>
  <c r="M3658" i="24"/>
  <c r="M3657" i="24"/>
  <c r="I3624" i="24"/>
  <c r="M3621" i="24"/>
  <c r="I3592" i="24"/>
  <c r="I3380" i="24"/>
  <c r="M3520" i="24"/>
  <c r="M3519" i="24"/>
  <c r="M3517" i="24"/>
  <c r="M3516" i="24"/>
  <c r="K3513" i="24"/>
  <c r="J3513" i="24"/>
  <c r="I3513" i="24"/>
  <c r="G3513" i="24"/>
  <c r="M3511" i="24"/>
  <c r="M3510" i="24"/>
  <c r="G3489" i="24"/>
  <c r="M3487" i="24"/>
  <c r="I3477" i="24"/>
  <c r="E3477" i="24"/>
  <c r="E3491" i="24"/>
  <c r="M3473" i="24"/>
  <c r="M3472" i="24"/>
  <c r="K3477" i="24"/>
  <c r="M3468" i="24"/>
  <c r="M3467" i="24"/>
  <c r="M3449" i="24"/>
  <c r="M3448" i="24"/>
  <c r="M3440" i="24"/>
  <c r="M3439" i="24"/>
  <c r="M3419" i="24"/>
  <c r="K3418" i="24"/>
  <c r="I3414" i="24"/>
  <c r="K3408" i="24"/>
  <c r="G3377" i="24"/>
  <c r="K3374" i="24"/>
  <c r="K3261" i="24"/>
  <c r="I3261" i="24"/>
  <c r="G3257" i="24"/>
  <c r="E3257" i="24"/>
  <c r="E3263" i="24"/>
  <c r="K3255" i="24"/>
  <c r="K3257" i="24"/>
  <c r="J3202" i="24"/>
  <c r="K3191" i="24"/>
  <c r="I3133" i="24"/>
  <c r="G3133" i="24"/>
  <c r="K3131" i="24"/>
  <c r="K3130" i="24"/>
  <c r="K3129" i="24"/>
  <c r="K3128" i="24"/>
  <c r="K3123" i="24"/>
  <c r="K3122" i="24"/>
  <c r="K3117" i="24"/>
  <c r="K3116" i="24"/>
  <c r="K3115" i="24"/>
  <c r="K3114" i="24"/>
  <c r="I3113" i="24"/>
  <c r="G3113" i="24"/>
  <c r="I3111" i="24"/>
  <c r="G3111" i="24"/>
  <c r="K3109" i="24"/>
  <c r="K3108" i="24"/>
  <c r="K3107" i="24"/>
  <c r="I3102" i="24"/>
  <c r="G3102" i="24"/>
  <c r="K3100" i="24"/>
  <c r="K3099" i="24"/>
  <c r="K3098" i="24"/>
  <c r="K3097" i="24"/>
  <c r="K3092" i="24"/>
  <c r="K3091" i="24"/>
  <c r="K3086" i="24"/>
  <c r="K3085" i="24"/>
  <c r="K3084" i="24"/>
  <c r="K3083" i="24"/>
  <c r="I3082" i="24"/>
  <c r="G3082" i="24"/>
  <c r="I3080" i="24"/>
  <c r="G3080" i="24"/>
  <c r="K3078" i="24"/>
  <c r="K3077" i="24"/>
  <c r="K3076" i="24"/>
  <c r="K3048" i="24"/>
  <c r="I3048" i="24"/>
  <c r="K3007" i="24"/>
  <c r="I3007" i="24"/>
  <c r="K2997" i="24"/>
  <c r="K44" i="13"/>
  <c r="K2926" i="24"/>
  <c r="K2927" i="24"/>
  <c r="I2926" i="24"/>
  <c r="I2927" i="24"/>
  <c r="K2899" i="24"/>
  <c r="K42" i="13"/>
  <c r="I2899" i="24"/>
  <c r="I42" i="13"/>
  <c r="K2874" i="24"/>
  <c r="I2874" i="24"/>
  <c r="I41" i="13"/>
  <c r="G782" i="44"/>
  <c r="G784" i="44"/>
  <c r="K2849" i="24"/>
  <c r="K40" i="13"/>
  <c r="I2849" i="24"/>
  <c r="I40" i="13"/>
  <c r="K2827" i="24"/>
  <c r="K2792" i="24"/>
  <c r="I2792" i="24"/>
  <c r="K2784" i="24"/>
  <c r="I2784" i="24"/>
  <c r="K2782" i="24"/>
  <c r="I2782" i="24"/>
  <c r="K2777" i="24"/>
  <c r="I2777" i="24"/>
  <c r="K2775" i="24"/>
  <c r="I2775" i="24"/>
  <c r="K2768" i="24"/>
  <c r="I2768" i="24"/>
  <c r="K2763" i="24"/>
  <c r="I2763" i="24"/>
  <c r="C17" i="44"/>
  <c r="C19" i="44"/>
  <c r="G17" i="44"/>
  <c r="G19" i="44"/>
  <c r="C759" i="44"/>
  <c r="G859" i="44"/>
  <c r="G861" i="44"/>
  <c r="G101" i="38"/>
  <c r="I610" i="38"/>
  <c r="B38" i="20"/>
  <c r="D38" i="20"/>
  <c r="E38" i="20"/>
  <c r="C859" i="44"/>
  <c r="C861" i="44"/>
  <c r="G382" i="38"/>
  <c r="B84" i="20"/>
  <c r="D84" i="20"/>
  <c r="E84" i="20"/>
  <c r="K610" i="38"/>
  <c r="K3827" i="24"/>
  <c r="K3846" i="24"/>
  <c r="K1219" i="24"/>
  <c r="G384" i="38"/>
  <c r="B86" i="20"/>
  <c r="D86" i="20"/>
  <c r="E86" i="20"/>
  <c r="K612" i="38"/>
  <c r="I1216" i="24"/>
  <c r="G100" i="38"/>
  <c r="I609" i="38"/>
  <c r="B37" i="20"/>
  <c r="D37" i="20"/>
  <c r="E37" i="20"/>
  <c r="K2877" i="24"/>
  <c r="K41" i="13"/>
  <c r="K3409" i="24"/>
  <c r="I1215" i="24"/>
  <c r="G99" i="38"/>
  <c r="I608" i="38"/>
  <c r="B36" i="20"/>
  <c r="K1215" i="24"/>
  <c r="G380" i="38"/>
  <c r="B82" i="20"/>
  <c r="D82" i="20"/>
  <c r="E82" i="20"/>
  <c r="K608" i="38"/>
  <c r="AB314" i="17"/>
  <c r="P89" i="18"/>
  <c r="AK264" i="17"/>
  <c r="K3770" i="24"/>
  <c r="G3822" i="24"/>
  <c r="M3469" i="24"/>
  <c r="M3474" i="24"/>
  <c r="M3418" i="24"/>
  <c r="M3470" i="24"/>
  <c r="K2850" i="24"/>
  <c r="I2877" i="24"/>
  <c r="G3089" i="24"/>
  <c r="I3257" i="24"/>
  <c r="K3113" i="24"/>
  <c r="M3522" i="24"/>
  <c r="I2875" i="24"/>
  <c r="I3089" i="24"/>
  <c r="U314" i="17"/>
  <c r="K3111" i="24"/>
  <c r="I3120" i="24"/>
  <c r="K3133" i="24"/>
  <c r="M3408" i="24"/>
  <c r="M3513" i="24"/>
  <c r="M314" i="17"/>
  <c r="K3080" i="24"/>
  <c r="K3082" i="24"/>
  <c r="G3120" i="24"/>
  <c r="K3522" i="24"/>
  <c r="I3522" i="24"/>
  <c r="G3522" i="24"/>
  <c r="K2900" i="24"/>
  <c r="I2900" i="24"/>
  <c r="K2998" i="24"/>
  <c r="I3593" i="24"/>
  <c r="I3633" i="24"/>
  <c r="M3445" i="24"/>
  <c r="I2850" i="24"/>
  <c r="K3102" i="24"/>
  <c r="K3377" i="24"/>
  <c r="M3451" i="24"/>
  <c r="I3491" i="24"/>
  <c r="K2716" i="24"/>
  <c r="I2716" i="24"/>
  <c r="K2710" i="24"/>
  <c r="K2699" i="24"/>
  <c r="I2699" i="24"/>
  <c r="K2688" i="24"/>
  <c r="I2688" i="24"/>
  <c r="K2677" i="24"/>
  <c r="I2677" i="24"/>
  <c r="K2661" i="24"/>
  <c r="K2641" i="24"/>
  <c r="AK314" i="17"/>
  <c r="AJ314" i="17"/>
  <c r="AI314" i="17"/>
  <c r="P44" i="13"/>
  <c r="K3414" i="24"/>
  <c r="O3414" i="24"/>
  <c r="H382" i="38"/>
  <c r="K382" i="38"/>
  <c r="J382" i="38"/>
  <c r="I382" i="38"/>
  <c r="K101" i="38"/>
  <c r="J101" i="38"/>
  <c r="H101" i="38"/>
  <c r="I101" i="38"/>
  <c r="K2875" i="24"/>
  <c r="C782" i="44"/>
  <c r="C784" i="44"/>
  <c r="K384" i="38"/>
  <c r="I384" i="38"/>
  <c r="H384" i="38"/>
  <c r="J384" i="38"/>
  <c r="K100" i="38"/>
  <c r="I100" i="38"/>
  <c r="H100" i="38"/>
  <c r="J100" i="38"/>
  <c r="K1216" i="24"/>
  <c r="G381" i="38"/>
  <c r="B83" i="20"/>
  <c r="D83" i="20"/>
  <c r="E83" i="20"/>
  <c r="K609" i="38"/>
  <c r="K380" i="38"/>
  <c r="I380" i="38"/>
  <c r="H380" i="38"/>
  <c r="J380" i="38"/>
  <c r="K99" i="38"/>
  <c r="J99" i="38"/>
  <c r="I99" i="38"/>
  <c r="H99" i="38"/>
  <c r="AH314" i="17"/>
  <c r="V89" i="18"/>
  <c r="T314" i="17"/>
  <c r="K3570" i="24"/>
  <c r="G3826" i="24"/>
  <c r="G3827" i="24"/>
  <c r="M3822" i="24"/>
  <c r="M3826" i="24"/>
  <c r="I3379" i="24"/>
  <c r="K3379" i="24"/>
  <c r="K3588" i="24"/>
  <c r="K2721" i="24"/>
  <c r="I2721" i="24"/>
  <c r="K3120" i="24"/>
  <c r="K3125" i="24"/>
  <c r="I3125" i="24"/>
  <c r="G3125" i="24"/>
  <c r="I2661" i="24"/>
  <c r="I2641" i="24"/>
  <c r="K3089" i="24"/>
  <c r="K3094" i="24"/>
  <c r="I3094" i="24"/>
  <c r="G3094" i="24"/>
  <c r="K2565" i="24"/>
  <c r="K2575" i="24"/>
  <c r="I2565" i="24"/>
  <c r="I2556" i="24"/>
  <c r="I2575" i="24"/>
  <c r="K34" i="13"/>
  <c r="M3409" i="24"/>
  <c r="M3414" i="24"/>
  <c r="I34" i="13"/>
  <c r="K381" i="38"/>
  <c r="H381" i="38"/>
  <c r="I381" i="38"/>
  <c r="J381" i="38"/>
  <c r="I33" i="13"/>
  <c r="AG314" i="17"/>
  <c r="U89" i="18"/>
  <c r="K2578" i="24"/>
  <c r="K2525" i="24"/>
  <c r="I2525" i="24"/>
  <c r="K2485" i="24"/>
  <c r="I2485" i="24"/>
  <c r="I21" i="13"/>
  <c r="K2470" i="24"/>
  <c r="I2470" i="24"/>
  <c r="K2462" i="24"/>
  <c r="I2462" i="24"/>
  <c r="I2463" i="24"/>
  <c r="K2446" i="24"/>
  <c r="I2446" i="24"/>
  <c r="K2420" i="24"/>
  <c r="I2420" i="24"/>
  <c r="K2407" i="24"/>
  <c r="I2401" i="24"/>
  <c r="K2395" i="24"/>
  <c r="I2389" i="24"/>
  <c r="K2383" i="24"/>
  <c r="K2348" i="24"/>
  <c r="I2348" i="24"/>
  <c r="K2333" i="24"/>
  <c r="I2328" i="24"/>
  <c r="K2322" i="24"/>
  <c r="K2311" i="24"/>
  <c r="K2300" i="24"/>
  <c r="K2289" i="24"/>
  <c r="K2278" i="24"/>
  <c r="K2267" i="24"/>
  <c r="K2256" i="24"/>
  <c r="I2251" i="24"/>
  <c r="I2256" i="24"/>
  <c r="K2245" i="24"/>
  <c r="I2240" i="24"/>
  <c r="I2245" i="24"/>
  <c r="K2234" i="24"/>
  <c r="I2229" i="24"/>
  <c r="K2223" i="24"/>
  <c r="I2218" i="24"/>
  <c r="K2212" i="24"/>
  <c r="I2207" i="24"/>
  <c r="K2201" i="24"/>
  <c r="K2190" i="24"/>
  <c r="K2179" i="24"/>
  <c r="G879" i="44"/>
  <c r="G881" i="44"/>
  <c r="I592" i="38"/>
  <c r="C960" i="44"/>
  <c r="C962" i="44"/>
  <c r="G374" i="38"/>
  <c r="B76" i="20"/>
  <c r="D76" i="20"/>
  <c r="E76" i="20"/>
  <c r="K602" i="38"/>
  <c r="K2722" i="24"/>
  <c r="I2364" i="24"/>
  <c r="I2367" i="24"/>
  <c r="I2368" i="24"/>
  <c r="I16" i="13"/>
  <c r="I2262" i="24"/>
  <c r="I2267" i="24"/>
  <c r="G960" i="44"/>
  <c r="G962" i="44"/>
  <c r="G93" i="38"/>
  <c r="I602" i="38"/>
  <c r="B30" i="20"/>
  <c r="I2722" i="24"/>
  <c r="G92" i="38"/>
  <c r="K92" i="38"/>
  <c r="G441" i="44"/>
  <c r="G443" i="44"/>
  <c r="I170" i="6"/>
  <c r="G81" i="38"/>
  <c r="B18" i="20"/>
  <c r="D18" i="20"/>
  <c r="E18" i="20"/>
  <c r="K18" i="13"/>
  <c r="I2528" i="24"/>
  <c r="I23" i="13"/>
  <c r="G914" i="44"/>
  <c r="G916" i="44"/>
  <c r="I18" i="13"/>
  <c r="K2364" i="24"/>
  <c r="K2367" i="24"/>
  <c r="K2368" i="24"/>
  <c r="K16" i="13"/>
  <c r="I20" i="13"/>
  <c r="I591" i="38"/>
  <c r="I2494" i="24"/>
  <c r="K2528" i="24"/>
  <c r="K23" i="13"/>
  <c r="C914" i="44"/>
  <c r="C916" i="44"/>
  <c r="K20" i="13"/>
  <c r="K2494" i="24"/>
  <c r="I2449" i="24"/>
  <c r="I19" i="13"/>
  <c r="K19" i="13"/>
  <c r="C979" i="44"/>
  <c r="C981" i="44"/>
  <c r="B29" i="20"/>
  <c r="I601" i="38"/>
  <c r="K2576" i="24"/>
  <c r="K2487" i="24"/>
  <c r="I2576" i="24"/>
  <c r="I2578" i="24"/>
  <c r="I2174" i="24"/>
  <c r="I2179" i="24"/>
  <c r="I2333" i="24"/>
  <c r="K2463" i="24"/>
  <c r="I2487" i="24"/>
  <c r="K2486" i="24"/>
  <c r="I2486" i="24"/>
  <c r="K2495" i="24"/>
  <c r="I2185" i="24"/>
  <c r="I2190" i="24"/>
  <c r="M2190" i="24"/>
  <c r="I2212" i="24"/>
  <c r="I2234" i="24"/>
  <c r="I2284" i="24"/>
  <c r="I2289" i="24"/>
  <c r="I2306" i="24"/>
  <c r="I2311" i="24"/>
  <c r="I2407" i="24"/>
  <c r="I2223" i="24"/>
  <c r="I2273" i="24"/>
  <c r="I2278" i="24"/>
  <c r="I2295" i="24"/>
  <c r="I2300" i="24"/>
  <c r="I2317" i="24"/>
  <c r="I2322" i="24"/>
  <c r="I2395" i="24"/>
  <c r="I2472" i="24"/>
  <c r="I2495" i="24"/>
  <c r="K2168" i="24"/>
  <c r="I2163" i="24"/>
  <c r="K2157" i="24"/>
  <c r="K2146" i="24"/>
  <c r="K2135" i="24"/>
  <c r="K2121" i="24"/>
  <c r="K2081" i="24"/>
  <c r="I2081" i="24"/>
  <c r="K2080" i="24"/>
  <c r="I2080" i="24"/>
  <c r="K2079" i="24"/>
  <c r="I2079" i="24"/>
  <c r="K2077" i="24"/>
  <c r="I2077" i="24"/>
  <c r="K2076" i="24"/>
  <c r="I2076" i="24"/>
  <c r="K2075" i="24"/>
  <c r="I2075" i="24"/>
  <c r="K2074" i="24"/>
  <c r="I2074" i="24"/>
  <c r="K2073" i="24"/>
  <c r="I2073" i="24"/>
  <c r="K2072" i="24"/>
  <c r="I2072" i="24"/>
  <c r="K2071" i="24"/>
  <c r="I2071" i="24"/>
  <c r="K2069" i="24"/>
  <c r="I2069" i="24"/>
  <c r="K2068" i="24"/>
  <c r="I2068" i="24"/>
  <c r="K2067" i="24"/>
  <c r="N2023" i="24"/>
  <c r="I2023" i="24"/>
  <c r="G2021" i="24"/>
  <c r="E2021" i="24"/>
  <c r="N1965" i="24"/>
  <c r="K1949" i="24"/>
  <c r="I1943" i="24"/>
  <c r="N1925" i="24"/>
  <c r="K1925" i="24"/>
  <c r="I1925" i="24"/>
  <c r="I2061" i="24"/>
  <c r="K374" i="38"/>
  <c r="J374" i="38"/>
  <c r="I374" i="38"/>
  <c r="H374" i="38"/>
  <c r="C948" i="44"/>
  <c r="C950" i="44"/>
  <c r="G1083" i="44"/>
  <c r="G1085" i="44"/>
  <c r="H92" i="38"/>
  <c r="J92" i="38"/>
  <c r="I92" i="38"/>
  <c r="K93" i="38"/>
  <c r="I93" i="38"/>
  <c r="H93" i="38"/>
  <c r="J93" i="38"/>
  <c r="G948" i="44"/>
  <c r="G950" i="44"/>
  <c r="I586" i="38"/>
  <c r="B14" i="20"/>
  <c r="D14" i="20"/>
  <c r="E14" i="20"/>
  <c r="I2471" i="24"/>
  <c r="G869" i="44"/>
  <c r="G871" i="44"/>
  <c r="I2447" i="24"/>
  <c r="G979" i="44"/>
  <c r="G981" i="44"/>
  <c r="K2421" i="24"/>
  <c r="C1083" i="44"/>
  <c r="C1085" i="44"/>
  <c r="K2471" i="24"/>
  <c r="C869" i="44"/>
  <c r="C871" i="44"/>
  <c r="I2421" i="24"/>
  <c r="K519" i="6"/>
  <c r="K523" i="6"/>
  <c r="G365" i="38"/>
  <c r="B67" i="20"/>
  <c r="D67" i="20"/>
  <c r="E67" i="20"/>
  <c r="K595" i="38"/>
  <c r="I519" i="6"/>
  <c r="G84" i="38"/>
  <c r="I595" i="38"/>
  <c r="B21" i="20"/>
  <c r="I2526" i="24"/>
  <c r="K2526" i="24"/>
  <c r="G80" i="38"/>
  <c r="B17" i="20"/>
  <c r="G359" i="38"/>
  <c r="K167" i="6"/>
  <c r="B61" i="20"/>
  <c r="D61" i="20"/>
  <c r="E61" i="20"/>
  <c r="K589" i="38"/>
  <c r="I167" i="6"/>
  <c r="I589" i="38"/>
  <c r="G78" i="38"/>
  <c r="B15" i="20"/>
  <c r="K81" i="38"/>
  <c r="I81" i="38"/>
  <c r="J81" i="38"/>
  <c r="B60" i="20"/>
  <c r="D60" i="20"/>
  <c r="E60" i="20"/>
  <c r="K586" i="38"/>
  <c r="G361" i="38"/>
  <c r="B63" i="20"/>
  <c r="D63" i="20"/>
  <c r="E63" i="20"/>
  <c r="K591" i="38"/>
  <c r="I168" i="6"/>
  <c r="I590" i="38"/>
  <c r="G79" i="38"/>
  <c r="B16" i="20"/>
  <c r="D16" i="20"/>
  <c r="E16" i="20"/>
  <c r="E3827" i="24"/>
  <c r="K168" i="6"/>
  <c r="G360" i="38"/>
  <c r="B62" i="20"/>
  <c r="D62" i="20"/>
  <c r="E62" i="20"/>
  <c r="K590" i="38"/>
  <c r="K2447" i="24"/>
  <c r="I9" i="13"/>
  <c r="D29" i="20"/>
  <c r="E29" i="20"/>
  <c r="G2023" i="24"/>
  <c r="N2039" i="24"/>
  <c r="K2061" i="24"/>
  <c r="K2058" i="24"/>
  <c r="E2023" i="24"/>
  <c r="M2038" i="24"/>
  <c r="I2121" i="24"/>
  <c r="K2122" i="24"/>
  <c r="I2119" i="24"/>
  <c r="K2024" i="24"/>
  <c r="I2141" i="24"/>
  <c r="I2146" i="24"/>
  <c r="I1949" i="24"/>
  <c r="K1950" i="24"/>
  <c r="I2130" i="24"/>
  <c r="I2135" i="24"/>
  <c r="I2152" i="24"/>
  <c r="I2157" i="24"/>
  <c r="M2157" i="24"/>
  <c r="I2168" i="24"/>
  <c r="K1911" i="24"/>
  <c r="I1911" i="24"/>
  <c r="K1903" i="24"/>
  <c r="I1903" i="24"/>
  <c r="K1898" i="24"/>
  <c r="I1898" i="24"/>
  <c r="K1849" i="24"/>
  <c r="I1849" i="24"/>
  <c r="G1846" i="24"/>
  <c r="K1834" i="24"/>
  <c r="G1834" i="24"/>
  <c r="E1834" i="24"/>
  <c r="K1818" i="24"/>
  <c r="I1818" i="24"/>
  <c r="K1815" i="24"/>
  <c r="I1815" i="24"/>
  <c r="K1814" i="24"/>
  <c r="I1814" i="24"/>
  <c r="K1796" i="24"/>
  <c r="I1796" i="24"/>
  <c r="K1780" i="24"/>
  <c r="K1730" i="24"/>
  <c r="G1730" i="24"/>
  <c r="E1730" i="24"/>
  <c r="M1727" i="24"/>
  <c r="M1725" i="24"/>
  <c r="M1711" i="24"/>
  <c r="M1709" i="24"/>
  <c r="N1698" i="24"/>
  <c r="K1664" i="24"/>
  <c r="I1664" i="24"/>
  <c r="G1661" i="24"/>
  <c r="K1649" i="24"/>
  <c r="G1649" i="24"/>
  <c r="E1649" i="24"/>
  <c r="K1633" i="24"/>
  <c r="I1633" i="24"/>
  <c r="K1630" i="24"/>
  <c r="I1630" i="24"/>
  <c r="K1629" i="24"/>
  <c r="I1629" i="24"/>
  <c r="I2059" i="24"/>
  <c r="I177" i="6"/>
  <c r="K80" i="38"/>
  <c r="J80" i="38"/>
  <c r="I80" i="38"/>
  <c r="J361" i="38"/>
  <c r="I361" i="38"/>
  <c r="K361" i="38"/>
  <c r="K84" i="38"/>
  <c r="I84" i="38"/>
  <c r="J84" i="38"/>
  <c r="K177" i="6"/>
  <c r="K78" i="38"/>
  <c r="J78" i="38"/>
  <c r="I78" i="38"/>
  <c r="K365" i="38"/>
  <c r="J365" i="38"/>
  <c r="I365" i="38"/>
  <c r="K359" i="38"/>
  <c r="I359" i="38"/>
  <c r="J359" i="38"/>
  <c r="K528" i="6"/>
  <c r="K79" i="38"/>
  <c r="I79" i="38"/>
  <c r="J79" i="38"/>
  <c r="I360" i="38"/>
  <c r="K360" i="38"/>
  <c r="J360" i="38"/>
  <c r="G941" i="44"/>
  <c r="G943" i="44"/>
  <c r="I506" i="6"/>
  <c r="I523" i="6"/>
  <c r="G69" i="38"/>
  <c r="I580" i="38"/>
  <c r="B8" i="20"/>
  <c r="D8" i="20"/>
  <c r="E8" i="20"/>
  <c r="I2024" i="24"/>
  <c r="N2038" i="24"/>
  <c r="M2039" i="24"/>
  <c r="K1907" i="24"/>
  <c r="I1644" i="24"/>
  <c r="I1649" i="24"/>
  <c r="I1823" i="24"/>
  <c r="G1664" i="24"/>
  <c r="K1638" i="24"/>
  <c r="K1639" i="24"/>
  <c r="I1950" i="24"/>
  <c r="I1638" i="24"/>
  <c r="K1823" i="24"/>
  <c r="K1824" i="24"/>
  <c r="I1907" i="24"/>
  <c r="G1849" i="24"/>
  <c r="I1829" i="24"/>
  <c r="I1834" i="24"/>
  <c r="I2122" i="24"/>
  <c r="K1622" i="24"/>
  <c r="I1622" i="24"/>
  <c r="K1611" i="24"/>
  <c r="I1611" i="24"/>
  <c r="K1595" i="24"/>
  <c r="K1614" i="24"/>
  <c r="K1563" i="24"/>
  <c r="I1563" i="24"/>
  <c r="K1556" i="24"/>
  <c r="I1556" i="24"/>
  <c r="K531" i="6"/>
  <c r="K533" i="6"/>
  <c r="K535" i="6"/>
  <c r="K537" i="6"/>
  <c r="K69" i="38"/>
  <c r="J69" i="38"/>
  <c r="I69" i="38"/>
  <c r="I528" i="6"/>
  <c r="I1639" i="24"/>
  <c r="I1824" i="24"/>
  <c r="E1661" i="24"/>
  <c r="I1585" i="24"/>
  <c r="I1595" i="24"/>
  <c r="N1538" i="24"/>
  <c r="K562" i="6"/>
  <c r="K572" i="6"/>
  <c r="K569" i="6"/>
  <c r="K564" i="6"/>
  <c r="K571" i="6"/>
  <c r="K567" i="6"/>
  <c r="K568" i="6"/>
  <c r="K570" i="6"/>
  <c r="K565" i="6"/>
  <c r="K563" i="6"/>
  <c r="K566" i="6"/>
  <c r="K561" i="6"/>
  <c r="K573" i="6"/>
  <c r="K554" i="6"/>
  <c r="K542" i="6"/>
  <c r="K541" i="6"/>
  <c r="I535" i="6"/>
  <c r="I537" i="6"/>
  <c r="I531" i="6"/>
  <c r="I533" i="6"/>
  <c r="C1661" i="24"/>
  <c r="E1664" i="24"/>
  <c r="I1614" i="24"/>
  <c r="K1612" i="24"/>
  <c r="I1612" i="24"/>
  <c r="I1599" i="24"/>
  <c r="N1542" i="24"/>
  <c r="K1532" i="24"/>
  <c r="K1538" i="24"/>
  <c r="K1483" i="24"/>
  <c r="I1483" i="24"/>
  <c r="E1481" i="24"/>
  <c r="I1480" i="24"/>
  <c r="G1480" i="24"/>
  <c r="K1480" i="24"/>
  <c r="K1479" i="24"/>
  <c r="I1479" i="24"/>
  <c r="K1478" i="24"/>
  <c r="I1478" i="24"/>
  <c r="K558" i="6"/>
  <c r="K540" i="6"/>
  <c r="K574" i="6"/>
  <c r="K560" i="6"/>
  <c r="I541" i="6"/>
  <c r="I554" i="6"/>
  <c r="I542" i="6"/>
  <c r="I561" i="6"/>
  <c r="I565" i="6"/>
  <c r="I564" i="6"/>
  <c r="I562" i="6"/>
  <c r="I570" i="6"/>
  <c r="I563" i="6"/>
  <c r="I569" i="6"/>
  <c r="I568" i="6"/>
  <c r="I567" i="6"/>
  <c r="I571" i="6"/>
  <c r="I566" i="6"/>
  <c r="I572" i="6"/>
  <c r="I573" i="6"/>
  <c r="I1481" i="24"/>
  <c r="G1481" i="24"/>
  <c r="K1481" i="24"/>
  <c r="K1542" i="24"/>
  <c r="C1664" i="24"/>
  <c r="N1427" i="24"/>
  <c r="K1427" i="24"/>
  <c r="N1425" i="24"/>
  <c r="K1425" i="24"/>
  <c r="I1425" i="24"/>
  <c r="K1401" i="24"/>
  <c r="I1401" i="24"/>
  <c r="K1385" i="24"/>
  <c r="I1385" i="24"/>
  <c r="K1376" i="24"/>
  <c r="I1376" i="24"/>
  <c r="K1371" i="24"/>
  <c r="I1371" i="24"/>
  <c r="N1358" i="24"/>
  <c r="K1358" i="24"/>
  <c r="I1358" i="24"/>
  <c r="K1344" i="24"/>
  <c r="I1344" i="24"/>
  <c r="K1332" i="24"/>
  <c r="K3951" i="24"/>
  <c r="I1332" i="24"/>
  <c r="I574" i="6"/>
  <c r="I560" i="6"/>
  <c r="I558" i="6"/>
  <c r="I540" i="6"/>
  <c r="F32" i="42"/>
  <c r="K3952" i="24"/>
  <c r="K1381" i="24"/>
  <c r="K1435" i="24"/>
  <c r="K1389" i="24"/>
  <c r="I1389" i="24"/>
  <c r="N1435" i="24"/>
  <c r="I1435" i="24"/>
  <c r="I1381" i="24"/>
  <c r="I3951" i="24"/>
  <c r="I1532" i="24"/>
  <c r="I3952" i="24"/>
  <c r="N1308" i="24"/>
  <c r="K1308" i="24"/>
  <c r="I1308" i="24"/>
  <c r="N1301" i="24"/>
  <c r="K1153" i="24"/>
  <c r="K1104" i="24"/>
  <c r="I1153" i="24"/>
  <c r="G1153" i="24"/>
  <c r="E1153" i="24"/>
  <c r="C1153" i="24"/>
  <c r="M1150" i="24"/>
  <c r="K3932" i="24"/>
  <c r="M1149" i="24"/>
  <c r="K3930" i="24"/>
  <c r="K1143" i="24"/>
  <c r="I1143" i="24"/>
  <c r="G1143" i="24"/>
  <c r="E1143" i="24"/>
  <c r="C1143" i="24"/>
  <c r="I1106" i="24"/>
  <c r="M1140" i="24"/>
  <c r="I3932" i="24"/>
  <c r="M1139" i="24"/>
  <c r="I3930" i="24"/>
  <c r="K1102" i="24"/>
  <c r="N1085" i="24"/>
  <c r="K1085" i="24"/>
  <c r="I1085" i="24"/>
  <c r="K1067" i="24"/>
  <c r="K1073" i="24"/>
  <c r="K1061" i="24"/>
  <c r="I1061" i="24"/>
  <c r="K1059" i="24"/>
  <c r="I1059" i="24"/>
  <c r="K1052" i="24"/>
  <c r="I1052" i="24"/>
  <c r="K1049" i="24"/>
  <c r="I1049" i="24"/>
  <c r="K998" i="24"/>
  <c r="N997" i="24"/>
  <c r="I997" i="24"/>
  <c r="G997" i="24"/>
  <c r="K4989" i="24"/>
  <c r="K995" i="24"/>
  <c r="K4354" i="24"/>
  <c r="K994" i="24"/>
  <c r="K4353" i="24"/>
  <c r="K993" i="24"/>
  <c r="K992" i="24"/>
  <c r="K4351" i="24"/>
  <c r="K991" i="24"/>
  <c r="K990" i="24"/>
  <c r="K1108" i="24"/>
  <c r="K4420" i="24"/>
  <c r="I3290" i="24"/>
  <c r="K3290" i="24"/>
  <c r="K4417" i="24"/>
  <c r="I3287" i="24"/>
  <c r="K3287" i="24"/>
  <c r="K4419" i="24"/>
  <c r="I3289" i="24"/>
  <c r="K3289" i="24"/>
  <c r="K4350" i="24"/>
  <c r="K5024" i="24"/>
  <c r="K4349" i="24"/>
  <c r="K5025" i="24"/>
  <c r="K4352" i="24"/>
  <c r="K5023" i="24"/>
  <c r="F24" i="42"/>
  <c r="F43" i="42"/>
  <c r="F51" i="42"/>
  <c r="E51" i="42"/>
  <c r="N1313" i="24"/>
  <c r="I1108" i="24"/>
  <c r="K1107" i="24"/>
  <c r="I1107" i="24"/>
  <c r="K1106" i="24"/>
  <c r="K1105" i="24"/>
  <c r="I1104" i="24"/>
  <c r="I3948" i="24"/>
  <c r="K3949" i="24"/>
  <c r="K997" i="24"/>
  <c r="K1060" i="24"/>
  <c r="I1060" i="24"/>
  <c r="I1538" i="24"/>
  <c r="K1054" i="24"/>
  <c r="I1067" i="24"/>
  <c r="K974" i="24"/>
  <c r="I973" i="24"/>
  <c r="G973" i="24"/>
  <c r="I4989" i="24"/>
  <c r="K971" i="24"/>
  <c r="I4354" i="24"/>
  <c r="I4420" i="24"/>
  <c r="K970" i="24"/>
  <c r="I4353" i="24"/>
  <c r="I4419" i="24"/>
  <c r="K969" i="24"/>
  <c r="K968" i="24"/>
  <c r="I4351" i="24"/>
  <c r="I4417" i="24"/>
  <c r="K967" i="24"/>
  <c r="K966" i="24"/>
  <c r="K946" i="24"/>
  <c r="I946" i="24"/>
  <c r="K933" i="24"/>
  <c r="I933" i="24"/>
  <c r="K929" i="24"/>
  <c r="I929" i="24"/>
  <c r="G929" i="24"/>
  <c r="E929" i="24"/>
  <c r="K906" i="24"/>
  <c r="N905" i="24"/>
  <c r="I905" i="24"/>
  <c r="G905" i="24"/>
  <c r="K902" i="24"/>
  <c r="K4345" i="24"/>
  <c r="K901" i="24"/>
  <c r="K4344" i="24"/>
  <c r="I3280" i="24"/>
  <c r="K3280" i="24"/>
  <c r="K889" i="24"/>
  <c r="I888" i="24"/>
  <c r="G888" i="24"/>
  <c r="K885" i="24"/>
  <c r="I4345" i="24"/>
  <c r="I4412" i="24"/>
  <c r="K884" i="24"/>
  <c r="I4344" i="24"/>
  <c r="K855" i="24"/>
  <c r="I855" i="24"/>
  <c r="K848" i="24"/>
  <c r="I848" i="24"/>
  <c r="K770" i="24"/>
  <c r="I770" i="24"/>
  <c r="N761" i="24"/>
  <c r="K752" i="24"/>
  <c r="I752" i="24"/>
  <c r="K732" i="24"/>
  <c r="I732" i="24"/>
  <c r="K707" i="24"/>
  <c r="I707" i="24"/>
  <c r="K697" i="24"/>
  <c r="I697" i="24"/>
  <c r="K662" i="24"/>
  <c r="I662" i="24"/>
  <c r="G662" i="24"/>
  <c r="K661" i="24"/>
  <c r="I661" i="24"/>
  <c r="G661" i="24"/>
  <c r="M657" i="24"/>
  <c r="M656" i="24"/>
  <c r="M655" i="24"/>
  <c r="K654" i="24"/>
  <c r="I654" i="24"/>
  <c r="G654" i="24"/>
  <c r="M653" i="24"/>
  <c r="M652" i="24"/>
  <c r="M651" i="24"/>
  <c r="M649" i="24"/>
  <c r="M648" i="24"/>
  <c r="M647" i="24"/>
  <c r="K646" i="24"/>
  <c r="I646" i="24"/>
  <c r="G646" i="24"/>
  <c r="M645" i="24"/>
  <c r="M644" i="24"/>
  <c r="M643" i="24"/>
  <c r="M642" i="24"/>
  <c r="M640" i="24"/>
  <c r="M639" i="24"/>
  <c r="M638" i="24"/>
  <c r="K637" i="24"/>
  <c r="I637" i="24"/>
  <c r="G637" i="24"/>
  <c r="M627" i="24"/>
  <c r="M626" i="24"/>
  <c r="M625" i="24"/>
  <c r="K624" i="24"/>
  <c r="I624" i="24"/>
  <c r="G624" i="24"/>
  <c r="M623" i="24"/>
  <c r="M622" i="24"/>
  <c r="M621" i="24"/>
  <c r="M619" i="24"/>
  <c r="M618" i="24"/>
  <c r="M617" i="24"/>
  <c r="I616" i="24"/>
  <c r="G616" i="24"/>
  <c r="M615" i="24"/>
  <c r="M614" i="24"/>
  <c r="M613" i="24"/>
  <c r="M612" i="24"/>
  <c r="K431" i="24"/>
  <c r="I429" i="24"/>
  <c r="I428" i="24"/>
  <c r="K379" i="24"/>
  <c r="K378" i="24"/>
  <c r="K376" i="24"/>
  <c r="K370" i="24"/>
  <c r="K3927" i="24"/>
  <c r="I370" i="24"/>
  <c r="K364" i="24"/>
  <c r="I364" i="24"/>
  <c r="K354" i="24"/>
  <c r="K338" i="24"/>
  <c r="I332" i="24"/>
  <c r="K324" i="24"/>
  <c r="I322" i="24"/>
  <c r="I321" i="24"/>
  <c r="K317" i="24"/>
  <c r="I315" i="24"/>
  <c r="I314" i="24"/>
  <c r="K306" i="24"/>
  <c r="I304" i="24"/>
  <c r="I303" i="24"/>
  <c r="G240" i="24"/>
  <c r="G238" i="24"/>
  <c r="K616" i="24"/>
  <c r="I660" i="24"/>
  <c r="I608" i="24"/>
  <c r="I630" i="24"/>
  <c r="K660" i="24"/>
  <c r="K608" i="24"/>
  <c r="K630" i="24"/>
  <c r="G660" i="24"/>
  <c r="G608" i="24"/>
  <c r="G630" i="24"/>
  <c r="K375" i="24"/>
  <c r="K381" i="24"/>
  <c r="K4418" i="24"/>
  <c r="I3288" i="24"/>
  <c r="K3288" i="24"/>
  <c r="K4416" i="24"/>
  <c r="I3286" i="24"/>
  <c r="K3286" i="24"/>
  <c r="K4412" i="24"/>
  <c r="I3281" i="24"/>
  <c r="K3281" i="24"/>
  <c r="K4415" i="24"/>
  <c r="I3285" i="24"/>
  <c r="K3285" i="24"/>
  <c r="K5027" i="24"/>
  <c r="K5028" i="24"/>
  <c r="I4349" i="24"/>
  <c r="I4415" i="24"/>
  <c r="I5025" i="24"/>
  <c r="I4411" i="24"/>
  <c r="I4350" i="24"/>
  <c r="I4416" i="24"/>
  <c r="I5024" i="24"/>
  <c r="I4352" i="24"/>
  <c r="I4418" i="24"/>
  <c r="I5023" i="24"/>
  <c r="K4411" i="24"/>
  <c r="E43" i="42"/>
  <c r="E95" i="42"/>
  <c r="E24" i="42"/>
  <c r="I317" i="24"/>
  <c r="I324" i="24"/>
  <c r="I431" i="24"/>
  <c r="I3927" i="24"/>
  <c r="K1112" i="24"/>
  <c r="M624" i="24"/>
  <c r="I306" i="24"/>
  <c r="M616" i="24"/>
  <c r="M637" i="24"/>
  <c r="M654" i="24"/>
  <c r="M661" i="24"/>
  <c r="I1105" i="24"/>
  <c r="I1112" i="24"/>
  <c r="M662" i="24"/>
  <c r="I358" i="24"/>
  <c r="I357" i="24"/>
  <c r="I355" i="24"/>
  <c r="I354" i="24"/>
  <c r="M646" i="24"/>
  <c r="I1600" i="24"/>
  <c r="K1599" i="24"/>
  <c r="K1600" i="24"/>
  <c r="I1542" i="24"/>
  <c r="K973" i="24"/>
  <c r="K888" i="24"/>
  <c r="F86" i="42"/>
  <c r="I1054" i="24"/>
  <c r="I1055" i="24"/>
  <c r="K1055" i="24"/>
  <c r="K1056" i="24"/>
  <c r="K1062" i="24"/>
  <c r="K1007" i="24"/>
  <c r="I338" i="24"/>
  <c r="K905" i="24"/>
  <c r="F108" i="42"/>
  <c r="K932" i="24"/>
  <c r="I932" i="24"/>
  <c r="I1073" i="24"/>
  <c r="M234" i="24"/>
  <c r="M233" i="24"/>
  <c r="M232" i="24"/>
  <c r="M231" i="24"/>
  <c r="G230" i="24"/>
  <c r="M228" i="24"/>
  <c r="M227" i="24"/>
  <c r="M226" i="24"/>
  <c r="G224" i="24"/>
  <c r="M222" i="24"/>
  <c r="K2762" i="24"/>
  <c r="M220" i="24"/>
  <c r="G218" i="24"/>
  <c r="M216" i="24"/>
  <c r="K2767" i="24"/>
  <c r="M213" i="24"/>
  <c r="M212" i="24"/>
  <c r="G211" i="24"/>
  <c r="M209" i="24"/>
  <c r="M208" i="24"/>
  <c r="M207" i="24"/>
  <c r="G205" i="24"/>
  <c r="G194" i="24"/>
  <c r="G193" i="24"/>
  <c r="G192" i="24"/>
  <c r="G191" i="24"/>
  <c r="G188" i="24"/>
  <c r="G187" i="24"/>
  <c r="G186" i="24"/>
  <c r="G185" i="24"/>
  <c r="M182" i="24"/>
  <c r="G181" i="24"/>
  <c r="G179" i="24"/>
  <c r="G176" i="24"/>
  <c r="I2767" i="24"/>
  <c r="G174" i="24"/>
  <c r="M174" i="24"/>
  <c r="K173" i="24"/>
  <c r="M173" i="24"/>
  <c r="G172" i="24"/>
  <c r="K659" i="24"/>
  <c r="G659" i="24"/>
  <c r="I659" i="24"/>
  <c r="M660" i="24"/>
  <c r="I4592" i="24"/>
  <c r="K4592" i="24"/>
  <c r="E4592" i="24"/>
  <c r="G4592" i="24"/>
  <c r="I4591" i="24"/>
  <c r="E4591" i="24"/>
  <c r="I5027" i="24"/>
  <c r="I5028" i="24"/>
  <c r="E86" i="42"/>
  <c r="F84" i="42"/>
  <c r="E84" i="42"/>
  <c r="K84" i="42"/>
  <c r="E108" i="42"/>
  <c r="F106" i="42"/>
  <c r="E106" i="42"/>
  <c r="K106" i="42"/>
  <c r="K351" i="24"/>
  <c r="G184" i="24"/>
  <c r="G178" i="24"/>
  <c r="K218" i="24"/>
  <c r="M179" i="24"/>
  <c r="M186" i="24"/>
  <c r="M185" i="24"/>
  <c r="M187" i="24"/>
  <c r="M215" i="24"/>
  <c r="M193" i="24"/>
  <c r="M191" i="24"/>
  <c r="M194" i="24"/>
  <c r="M221" i="24"/>
  <c r="K224" i="24"/>
  <c r="M224" i="24"/>
  <c r="K171" i="24"/>
  <c r="I1224" i="24"/>
  <c r="K178" i="24"/>
  <c r="I2736" i="24"/>
  <c r="I1062" i="24"/>
  <c r="K230" i="24"/>
  <c r="K3926" i="24"/>
  <c r="M188" i="24"/>
  <c r="K211" i="24"/>
  <c r="K1224" i="24"/>
  <c r="M219" i="24"/>
  <c r="M192" i="24"/>
  <c r="K205" i="24"/>
  <c r="M205" i="24"/>
  <c r="G171" i="24"/>
  <c r="M172" i="24"/>
  <c r="G190" i="24"/>
  <c r="M225" i="24"/>
  <c r="I378" i="24"/>
  <c r="I1056" i="24"/>
  <c r="I376" i="24"/>
  <c r="I379" i="24"/>
  <c r="G932" i="24"/>
  <c r="I935" i="24"/>
  <c r="K894" i="24"/>
  <c r="K238" i="24"/>
  <c r="K167" i="24"/>
  <c r="K198" i="24"/>
  <c r="K240" i="24"/>
  <c r="M180" i="24"/>
  <c r="K184" i="24"/>
  <c r="K190" i="24"/>
  <c r="K983" i="24"/>
  <c r="M608" i="24"/>
  <c r="K911" i="24"/>
  <c r="M175" i="24"/>
  <c r="M206" i="24"/>
  <c r="K154" i="24"/>
  <c r="K145" i="24"/>
  <c r="I145" i="24"/>
  <c r="K133" i="24"/>
  <c r="I133" i="24"/>
  <c r="K86" i="24"/>
  <c r="I84" i="24"/>
  <c r="I83" i="24"/>
  <c r="I82" i="24"/>
  <c r="I80" i="24"/>
  <c r="I79" i="24"/>
  <c r="I78" i="24"/>
  <c r="I77" i="24"/>
  <c r="I76" i="24"/>
  <c r="I75" i="24"/>
  <c r="I74" i="24"/>
  <c r="I72" i="24"/>
  <c r="I71" i="24"/>
  <c r="I70" i="24"/>
  <c r="I69" i="24"/>
  <c r="I68" i="24"/>
  <c r="I67" i="24"/>
  <c r="I66" i="24"/>
  <c r="I65" i="24"/>
  <c r="I64" i="24"/>
  <c r="I63" i="24"/>
  <c r="I62" i="24"/>
  <c r="K40" i="24"/>
  <c r="K24" i="24"/>
  <c r="I24" i="24"/>
  <c r="A1" i="24"/>
  <c r="J144" i="23"/>
  <c r="I144" i="23"/>
  <c r="H144" i="23"/>
  <c r="G144" i="23"/>
  <c r="F144" i="23"/>
  <c r="E144" i="23"/>
  <c r="J143" i="23"/>
  <c r="I143" i="23"/>
  <c r="H143" i="23"/>
  <c r="G143" i="23"/>
  <c r="F143" i="23"/>
  <c r="E143" i="23"/>
  <c r="J141" i="23"/>
  <c r="I141" i="23"/>
  <c r="H141" i="23"/>
  <c r="G141" i="23"/>
  <c r="F141" i="23"/>
  <c r="E141" i="23"/>
  <c r="J140" i="23"/>
  <c r="I140" i="23"/>
  <c r="H140" i="23"/>
  <c r="G140" i="23"/>
  <c r="F140" i="23"/>
  <c r="E140" i="23"/>
  <c r="J138" i="23"/>
  <c r="I138" i="23"/>
  <c r="H138" i="23"/>
  <c r="G138" i="23"/>
  <c r="K134" i="23"/>
  <c r="K133" i="23"/>
  <c r="J132" i="23"/>
  <c r="I132" i="23"/>
  <c r="H132" i="23"/>
  <c r="G132" i="23"/>
  <c r="F132" i="23"/>
  <c r="E132" i="23"/>
  <c r="K131" i="23"/>
  <c r="K130" i="23"/>
  <c r="K129" i="23"/>
  <c r="K127" i="23"/>
  <c r="K126" i="23"/>
  <c r="K2761" i="24"/>
  <c r="K125" i="23"/>
  <c r="K123" i="23"/>
  <c r="K122" i="23"/>
  <c r="J121" i="23"/>
  <c r="I121" i="23"/>
  <c r="H121" i="23"/>
  <c r="G121" i="23"/>
  <c r="F121" i="23"/>
  <c r="E121" i="23"/>
  <c r="K120" i="23"/>
  <c r="K119" i="23"/>
  <c r="K118" i="23"/>
  <c r="K115" i="23"/>
  <c r="K114" i="23"/>
  <c r="J113" i="23"/>
  <c r="I113" i="23"/>
  <c r="H113" i="23"/>
  <c r="G113" i="23"/>
  <c r="F113" i="23"/>
  <c r="E113" i="23"/>
  <c r="K112" i="23"/>
  <c r="K111" i="23"/>
  <c r="K110" i="23"/>
  <c r="K107" i="23"/>
  <c r="K106" i="23"/>
  <c r="J105" i="23"/>
  <c r="I105" i="23"/>
  <c r="H105" i="23"/>
  <c r="G105" i="23"/>
  <c r="F105" i="23"/>
  <c r="E105" i="23"/>
  <c r="K104" i="23"/>
  <c r="K103" i="23"/>
  <c r="K102" i="23"/>
  <c r="K101" i="23"/>
  <c r="K100" i="23"/>
  <c r="J99" i="23"/>
  <c r="I99" i="23"/>
  <c r="H99" i="23"/>
  <c r="G99" i="23"/>
  <c r="F99" i="23"/>
  <c r="E99" i="23"/>
  <c r="M659" i="24"/>
  <c r="K4591" i="24"/>
  <c r="G4591" i="24"/>
  <c r="M218" i="24"/>
  <c r="M240" i="24"/>
  <c r="K169" i="24"/>
  <c r="K200" i="24"/>
  <c r="M184" i="24"/>
  <c r="M178" i="24"/>
  <c r="E142" i="23"/>
  <c r="H142" i="23"/>
  <c r="G142" i="23"/>
  <c r="J142" i="23"/>
  <c r="N3920" i="24"/>
  <c r="I154" i="24"/>
  <c r="M171" i="24"/>
  <c r="F142" i="23"/>
  <c r="I142" i="23"/>
  <c r="K113" i="23"/>
  <c r="K109" i="23"/>
  <c r="J109" i="23"/>
  <c r="I109" i="23"/>
  <c r="H109" i="23"/>
  <c r="G109" i="23"/>
  <c r="F109" i="23"/>
  <c r="E109" i="23"/>
  <c r="K121" i="23"/>
  <c r="K117" i="23"/>
  <c r="J117" i="23"/>
  <c r="I117" i="23"/>
  <c r="H117" i="23"/>
  <c r="G117" i="23"/>
  <c r="F117" i="23"/>
  <c r="E117" i="23"/>
  <c r="K140" i="23"/>
  <c r="M230" i="24"/>
  <c r="I375" i="24"/>
  <c r="K99" i="23"/>
  <c r="K1223" i="24"/>
  <c r="K105" i="23"/>
  <c r="K144" i="23"/>
  <c r="M211" i="24"/>
  <c r="K237" i="24"/>
  <c r="K132" i="23"/>
  <c r="K128" i="23"/>
  <c r="J128" i="23"/>
  <c r="I128" i="23"/>
  <c r="H128" i="23"/>
  <c r="G128" i="23"/>
  <c r="F128" i="23"/>
  <c r="E128" i="23"/>
  <c r="M190" i="24"/>
  <c r="I86" i="24"/>
  <c r="K141" i="23"/>
  <c r="K138" i="23"/>
  <c r="K143" i="23"/>
  <c r="M3920" i="24"/>
  <c r="E932" i="24"/>
  <c r="E935" i="24"/>
  <c r="I937" i="24"/>
  <c r="K935" i="24"/>
  <c r="G935" i="24"/>
  <c r="K2766" i="24"/>
  <c r="I3926" i="24"/>
  <c r="M630" i="24"/>
  <c r="J98" i="23"/>
  <c r="G98" i="23"/>
  <c r="G139" i="23"/>
  <c r="G137" i="23"/>
  <c r="F98" i="23"/>
  <c r="K97" i="23"/>
  <c r="K96" i="23"/>
  <c r="K1222" i="24"/>
  <c r="K94" i="23"/>
  <c r="K93" i="23"/>
  <c r="J92" i="23"/>
  <c r="I92" i="23"/>
  <c r="H92" i="23"/>
  <c r="G92" i="23"/>
  <c r="F92" i="23"/>
  <c r="E92" i="23"/>
  <c r="K91" i="23"/>
  <c r="K90" i="23"/>
  <c r="K89" i="23"/>
  <c r="K88" i="23"/>
  <c r="K87" i="23"/>
  <c r="J86" i="23"/>
  <c r="I86" i="23"/>
  <c r="H86" i="23"/>
  <c r="G86" i="23"/>
  <c r="F86" i="23"/>
  <c r="E86" i="23"/>
  <c r="K63" i="23"/>
  <c r="K62" i="23"/>
  <c r="J61" i="23"/>
  <c r="I61" i="23"/>
  <c r="H61" i="23"/>
  <c r="G61" i="23"/>
  <c r="F61" i="23"/>
  <c r="E61" i="23"/>
  <c r="K60" i="23"/>
  <c r="K59" i="23"/>
  <c r="K58" i="23"/>
  <c r="K56" i="23"/>
  <c r="K55" i="23"/>
  <c r="I2761" i="24"/>
  <c r="K2760" i="24"/>
  <c r="K54" i="23"/>
  <c r="K52" i="23"/>
  <c r="K51" i="23"/>
  <c r="J50" i="23"/>
  <c r="I50" i="23"/>
  <c r="H50" i="23"/>
  <c r="H46" i="23"/>
  <c r="G50" i="23"/>
  <c r="F50" i="23"/>
  <c r="E46" i="23"/>
  <c r="K49" i="23"/>
  <c r="K48" i="23"/>
  <c r="K47" i="23"/>
  <c r="F89" i="18"/>
  <c r="K44" i="23"/>
  <c r="K43" i="23"/>
  <c r="J42" i="23"/>
  <c r="I42" i="23"/>
  <c r="I38" i="23"/>
  <c r="H42" i="23"/>
  <c r="G42" i="23"/>
  <c r="F42" i="23"/>
  <c r="F38" i="23"/>
  <c r="K41" i="23"/>
  <c r="K40" i="23"/>
  <c r="K39" i="23"/>
  <c r="K2735" i="24"/>
  <c r="I3234" i="24"/>
  <c r="I3233" i="24"/>
  <c r="K36" i="13"/>
  <c r="K3916" i="24"/>
  <c r="K166" i="24"/>
  <c r="K197" i="24"/>
  <c r="I351" i="24"/>
  <c r="I381" i="24"/>
  <c r="F85" i="23"/>
  <c r="E85" i="23"/>
  <c r="I85" i="23"/>
  <c r="K1226" i="24"/>
  <c r="K1231" i="24"/>
  <c r="K1238" i="24"/>
  <c r="K1240" i="24"/>
  <c r="E38" i="23"/>
  <c r="G136" i="23"/>
  <c r="G85" i="23"/>
  <c r="K98" i="23"/>
  <c r="K142" i="23"/>
  <c r="K61" i="23"/>
  <c r="K57" i="23"/>
  <c r="G46" i="23"/>
  <c r="F46" i="23"/>
  <c r="K92" i="23"/>
  <c r="G3622" i="24"/>
  <c r="M3622" i="24"/>
  <c r="K937" i="24"/>
  <c r="K42" i="23"/>
  <c r="K38" i="23"/>
  <c r="J38" i="23"/>
  <c r="J85" i="23"/>
  <c r="N3919" i="24"/>
  <c r="H85" i="23"/>
  <c r="K50" i="23"/>
  <c r="K3925" i="24"/>
  <c r="E98" i="23"/>
  <c r="E139" i="23"/>
  <c r="F139" i="23"/>
  <c r="K2765" i="24"/>
  <c r="K2770" i="24"/>
  <c r="I98" i="23"/>
  <c r="J139" i="23"/>
  <c r="J137" i="23"/>
  <c r="J136" i="23"/>
  <c r="G237" i="24"/>
  <c r="M237" i="24"/>
  <c r="K86" i="23"/>
  <c r="M86" i="23"/>
  <c r="G3620" i="24"/>
  <c r="H38" i="23"/>
  <c r="G38" i="23"/>
  <c r="K36" i="23"/>
  <c r="F137" i="23"/>
  <c r="F136" i="23"/>
  <c r="K46" i="23"/>
  <c r="J46" i="23"/>
  <c r="I46" i="23"/>
  <c r="L89" i="18"/>
  <c r="G3631" i="24"/>
  <c r="K2739" i="24"/>
  <c r="K3906" i="24"/>
  <c r="K3903" i="24"/>
  <c r="K3901" i="24"/>
  <c r="K3896" i="24"/>
  <c r="K2743" i="24"/>
  <c r="K2745" i="24"/>
  <c r="I3378" i="24"/>
  <c r="C1090" i="44"/>
  <c r="C1092" i="44"/>
  <c r="G3846" i="24"/>
  <c r="G376" i="38"/>
  <c r="B78" i="20"/>
  <c r="D78" i="20"/>
  <c r="E78" i="20"/>
  <c r="K604" i="38"/>
  <c r="M3620" i="24"/>
  <c r="M3624" i="24"/>
  <c r="G3624" i="24"/>
  <c r="K1270" i="24"/>
  <c r="K1269" i="24"/>
  <c r="K1266" i="24"/>
  <c r="K1234" i="24"/>
  <c r="K1236" i="24"/>
  <c r="K1254" i="24"/>
  <c r="K1265" i="24"/>
  <c r="K1273" i="24"/>
  <c r="J57" i="23"/>
  <c r="I57" i="23"/>
  <c r="H57" i="23"/>
  <c r="G57" i="23"/>
  <c r="F57" i="23"/>
  <c r="E57" i="23"/>
  <c r="I3925" i="24"/>
  <c r="K3924" i="24"/>
  <c r="K85" i="23"/>
  <c r="M3919" i="24"/>
  <c r="H98" i="23"/>
  <c r="H139" i="23"/>
  <c r="H137" i="23"/>
  <c r="H136" i="23"/>
  <c r="I139" i="23"/>
  <c r="I137" i="23"/>
  <c r="I136" i="23"/>
  <c r="E137" i="23"/>
  <c r="E136" i="23"/>
  <c r="K35" i="23"/>
  <c r="J34" i="23"/>
  <c r="I34" i="23"/>
  <c r="H34" i="23"/>
  <c r="G34" i="23"/>
  <c r="F34" i="23"/>
  <c r="E34" i="23"/>
  <c r="K33" i="23"/>
  <c r="K32" i="23"/>
  <c r="K31" i="23"/>
  <c r="K30" i="23"/>
  <c r="K29" i="23"/>
  <c r="J28" i="23"/>
  <c r="J27" i="23"/>
  <c r="I28" i="23"/>
  <c r="I27" i="23"/>
  <c r="H28" i="23"/>
  <c r="H27" i="23"/>
  <c r="G28" i="23"/>
  <c r="G27" i="23"/>
  <c r="F27" i="23"/>
  <c r="E28" i="23"/>
  <c r="E27" i="23"/>
  <c r="K26" i="23"/>
  <c r="K25" i="23"/>
  <c r="K18" i="23"/>
  <c r="A1" i="23"/>
  <c r="I1222" i="24"/>
  <c r="D89" i="18"/>
  <c r="K2746" i="24"/>
  <c r="K3236" i="24"/>
  <c r="J11" i="16"/>
  <c r="G3628" i="24"/>
  <c r="G3633" i="24"/>
  <c r="K2740" i="24"/>
  <c r="K2748" i="24"/>
  <c r="K3631" i="24"/>
  <c r="K3633" i="24"/>
  <c r="K376" i="38"/>
  <c r="J376" i="38"/>
  <c r="H376" i="38"/>
  <c r="I376" i="38"/>
  <c r="K1249" i="24"/>
  <c r="K1252" i="24"/>
  <c r="K1255" i="24"/>
  <c r="K1251" i="24"/>
  <c r="K1274" i="24"/>
  <c r="K1264" i="24"/>
  <c r="K139" i="23"/>
  <c r="K137" i="23"/>
  <c r="K136" i="23"/>
  <c r="K28" i="23"/>
  <c r="I1223" i="24"/>
  <c r="I2766" i="24"/>
  <c r="I2765" i="24"/>
  <c r="G17" i="23"/>
  <c r="F17" i="23"/>
  <c r="E17" i="23"/>
  <c r="K34" i="23"/>
  <c r="N1059" i="6"/>
  <c r="N3628" i="24"/>
  <c r="M3631" i="24"/>
  <c r="L22" i="1"/>
  <c r="I2735" i="24"/>
  <c r="I2739" i="24"/>
  <c r="I3906" i="24"/>
  <c r="I3903" i="24"/>
  <c r="I3901" i="24"/>
  <c r="I3896" i="24"/>
  <c r="I36" i="13"/>
  <c r="K1262" i="24"/>
  <c r="K1243" i="24"/>
  <c r="K27" i="23"/>
  <c r="G68" i="23"/>
  <c r="F68" i="23"/>
  <c r="E68" i="23"/>
  <c r="K1059" i="6"/>
  <c r="K3947" i="24"/>
  <c r="I1059" i="6"/>
  <c r="K1033" i="6"/>
  <c r="I1033" i="6"/>
  <c r="N1013" i="6"/>
  <c r="K1013" i="6"/>
  <c r="I1013" i="6"/>
  <c r="N990" i="6"/>
  <c r="K990" i="6"/>
  <c r="I990" i="6"/>
  <c r="I950" i="6"/>
  <c r="N949" i="6"/>
  <c r="K949" i="6"/>
  <c r="I949" i="6"/>
  <c r="K947" i="6"/>
  <c r="I947" i="6"/>
  <c r="N941" i="6"/>
  <c r="N908" i="6"/>
  <c r="K908" i="6"/>
  <c r="N884" i="6"/>
  <c r="K884" i="6"/>
  <c r="L15" i="1"/>
  <c r="K876" i="6"/>
  <c r="K877" i="6"/>
  <c r="I876" i="6"/>
  <c r="I877" i="6"/>
  <c r="G824" i="6"/>
  <c r="K824" i="6"/>
  <c r="K826" i="6"/>
  <c r="O823" i="6"/>
  <c r="O822" i="6"/>
  <c r="N822" i="6"/>
  <c r="O821" i="6"/>
  <c r="N821" i="6"/>
  <c r="O819" i="6"/>
  <c r="N819" i="6"/>
  <c r="O806" i="6"/>
  <c r="N806" i="6"/>
  <c r="O805" i="6"/>
  <c r="N805" i="6"/>
  <c r="O803" i="6"/>
  <c r="N803" i="6"/>
  <c r="I780" i="6"/>
  <c r="G780" i="6"/>
  <c r="E780" i="6"/>
  <c r="C780" i="6"/>
  <c r="K778" i="6"/>
  <c r="K777" i="6"/>
  <c r="M777" i="6"/>
  <c r="I768" i="6"/>
  <c r="G768" i="6"/>
  <c r="E768" i="6"/>
  <c r="C768" i="6"/>
  <c r="K766" i="6"/>
  <c r="K765" i="6"/>
  <c r="M765" i="6"/>
  <c r="I762" i="6"/>
  <c r="G762" i="6"/>
  <c r="E762" i="6"/>
  <c r="C762" i="6"/>
  <c r="K760" i="6"/>
  <c r="M760" i="6"/>
  <c r="K759" i="6"/>
  <c r="M759" i="6"/>
  <c r="I738" i="6"/>
  <c r="G738" i="6"/>
  <c r="E738" i="6"/>
  <c r="C738" i="6"/>
  <c r="K736" i="6"/>
  <c r="K735" i="6"/>
  <c r="I732" i="6"/>
  <c r="G732" i="6"/>
  <c r="E732" i="6"/>
  <c r="C732" i="6"/>
  <c r="K730" i="6"/>
  <c r="K729" i="6"/>
  <c r="I750" i="6"/>
  <c r="G750" i="6"/>
  <c r="E750" i="6"/>
  <c r="C750" i="6"/>
  <c r="K748" i="6"/>
  <c r="M748" i="6"/>
  <c r="K747" i="6"/>
  <c r="M747" i="6"/>
  <c r="I744" i="6"/>
  <c r="G744" i="6"/>
  <c r="E744" i="6"/>
  <c r="C744" i="6"/>
  <c r="K742" i="6"/>
  <c r="M742" i="6"/>
  <c r="K741" i="6"/>
  <c r="M741" i="6"/>
  <c r="I726" i="6"/>
  <c r="G726" i="6"/>
  <c r="E726" i="6"/>
  <c r="C726" i="6"/>
  <c r="K724" i="6"/>
  <c r="K723" i="6"/>
  <c r="M723" i="6"/>
  <c r="G720" i="6"/>
  <c r="E720" i="6"/>
  <c r="C720" i="6"/>
  <c r="K718" i="6"/>
  <c r="I714" i="6"/>
  <c r="G714" i="6"/>
  <c r="E714" i="6"/>
  <c r="C714" i="6"/>
  <c r="K712" i="6"/>
  <c r="K711" i="6"/>
  <c r="M711" i="6"/>
  <c r="G708" i="6"/>
  <c r="E708" i="6"/>
  <c r="C708" i="6"/>
  <c r="K706" i="6"/>
  <c r="N825" i="6"/>
  <c r="I686" i="6"/>
  <c r="G686" i="6"/>
  <c r="E686" i="6"/>
  <c r="C686" i="6"/>
  <c r="K684" i="6"/>
  <c r="M684" i="6"/>
  <c r="K683" i="6"/>
  <c r="M683" i="6"/>
  <c r="I680" i="6"/>
  <c r="G680" i="6"/>
  <c r="E680" i="6"/>
  <c r="C680" i="6"/>
  <c r="K678" i="6"/>
  <c r="M678" i="6"/>
  <c r="K677" i="6"/>
  <c r="M677" i="6"/>
  <c r="I674" i="6"/>
  <c r="G674" i="6"/>
  <c r="E674" i="6"/>
  <c r="C674" i="6"/>
  <c r="K672" i="6"/>
  <c r="M672" i="6"/>
  <c r="K671" i="6"/>
  <c r="M671" i="6"/>
  <c r="I644" i="6"/>
  <c r="G644" i="6"/>
  <c r="E644" i="6"/>
  <c r="C644" i="6"/>
  <c r="K642" i="6"/>
  <c r="K641" i="6"/>
  <c r="M641" i="6"/>
  <c r="I638" i="6"/>
  <c r="G638" i="6"/>
  <c r="E638" i="6"/>
  <c r="C638" i="6"/>
  <c r="K636" i="6"/>
  <c r="K635" i="6"/>
  <c r="M635" i="6"/>
  <c r="I632" i="6"/>
  <c r="G632" i="6"/>
  <c r="E632" i="6"/>
  <c r="C632" i="6"/>
  <c r="K630" i="6"/>
  <c r="M630" i="6"/>
  <c r="K629" i="6"/>
  <c r="M629" i="6"/>
  <c r="I656" i="6"/>
  <c r="G656" i="6"/>
  <c r="E656" i="6"/>
  <c r="C656" i="6"/>
  <c r="K654" i="6"/>
  <c r="M654" i="6"/>
  <c r="K653" i="6"/>
  <c r="M653" i="6"/>
  <c r="I650" i="6"/>
  <c r="G650" i="6"/>
  <c r="E650" i="6"/>
  <c r="C650" i="6"/>
  <c r="K648" i="6"/>
  <c r="M648" i="6"/>
  <c r="K647" i="6"/>
  <c r="M647" i="6"/>
  <c r="G626" i="6"/>
  <c r="E626" i="6"/>
  <c r="C626" i="6"/>
  <c r="K624" i="6"/>
  <c r="I620" i="6"/>
  <c r="G620" i="6"/>
  <c r="E620" i="6"/>
  <c r="C620" i="6"/>
  <c r="K618" i="6"/>
  <c r="K617" i="6"/>
  <c r="I465" i="6"/>
  <c r="K463" i="6"/>
  <c r="K4376" i="24"/>
  <c r="K462" i="6"/>
  <c r="K4375" i="24"/>
  <c r="K461" i="6"/>
  <c r="K4374" i="24"/>
  <c r="K460" i="6"/>
  <c r="K4373" i="24"/>
  <c r="K459" i="6"/>
  <c r="K4372" i="24"/>
  <c r="K458" i="6"/>
  <c r="K4371" i="24"/>
  <c r="K457" i="6"/>
  <c r="K4370" i="24"/>
  <c r="K456" i="6"/>
  <c r="K4369" i="24"/>
  <c r="K455" i="6"/>
  <c r="K4368" i="24"/>
  <c r="K454" i="6"/>
  <c r="K4367" i="24"/>
  <c r="K452" i="6"/>
  <c r="K4365" i="24"/>
  <c r="K451" i="6"/>
  <c r="K4364" i="24"/>
  <c r="I444" i="6"/>
  <c r="K442" i="6"/>
  <c r="I4376" i="24"/>
  <c r="I4441" i="24"/>
  <c r="K441" i="6"/>
  <c r="I4375" i="24"/>
  <c r="I4440" i="24"/>
  <c r="K440" i="6"/>
  <c r="I4374" i="24"/>
  <c r="I4439" i="24"/>
  <c r="K439" i="6"/>
  <c r="I4373" i="24"/>
  <c r="I4438" i="24"/>
  <c r="K438" i="6"/>
  <c r="I4372" i="24"/>
  <c r="I4437" i="24"/>
  <c r="K437" i="6"/>
  <c r="I4371" i="24"/>
  <c r="I4436" i="24"/>
  <c r="K436" i="6"/>
  <c r="I4370" i="24"/>
  <c r="I4435" i="24"/>
  <c r="K435" i="6"/>
  <c r="I4369" i="24"/>
  <c r="I4434" i="24"/>
  <c r="K434" i="6"/>
  <c r="I4368" i="24"/>
  <c r="I4433" i="24"/>
  <c r="K433" i="6"/>
  <c r="I4367" i="24"/>
  <c r="I4432" i="24"/>
  <c r="K431" i="6"/>
  <c r="I4365" i="24"/>
  <c r="I4430" i="24"/>
  <c r="K430" i="6"/>
  <c r="I4364" i="24"/>
  <c r="I4429" i="24"/>
  <c r="N386" i="6"/>
  <c r="K386" i="6"/>
  <c r="I386" i="6"/>
  <c r="N383" i="6"/>
  <c r="K383" i="6"/>
  <c r="I383" i="6"/>
  <c r="N380" i="6"/>
  <c r="K380" i="6"/>
  <c r="K2783" i="24"/>
  <c r="K2781" i="24"/>
  <c r="I380" i="6"/>
  <c r="I2783" i="24"/>
  <c r="I2781" i="24"/>
  <c r="K377" i="6"/>
  <c r="K365" i="6"/>
  <c r="K349" i="6"/>
  <c r="G297" i="6"/>
  <c r="E297" i="6"/>
  <c r="C297" i="6"/>
  <c r="K294" i="6"/>
  <c r="K152" i="6"/>
  <c r="K273" i="6"/>
  <c r="K266" i="6"/>
  <c r="K260" i="6"/>
  <c r="K254" i="6"/>
  <c r="I251" i="6"/>
  <c r="G251" i="6"/>
  <c r="E251" i="6"/>
  <c r="C251" i="6"/>
  <c r="K249" i="6"/>
  <c r="M249" i="6"/>
  <c r="K248" i="6"/>
  <c r="M248" i="6"/>
  <c r="K124" i="6"/>
  <c r="K123" i="6"/>
  <c r="N122" i="6"/>
  <c r="K156" i="6"/>
  <c r="N117" i="6"/>
  <c r="K108" i="6"/>
  <c r="K107" i="6"/>
  <c r="K106" i="6"/>
  <c r="I105" i="6"/>
  <c r="G105" i="6"/>
  <c r="I156" i="6"/>
  <c r="K104" i="6"/>
  <c r="I4360" i="24"/>
  <c r="I4425" i="24"/>
  <c r="K103" i="6"/>
  <c r="I4359" i="24"/>
  <c r="I4424" i="24"/>
  <c r="K102" i="6"/>
  <c r="I4358" i="24"/>
  <c r="I4423" i="24"/>
  <c r="K101" i="6"/>
  <c r="K88" i="6"/>
  <c r="I88" i="6"/>
  <c r="K83" i="6"/>
  <c r="I83" i="6"/>
  <c r="N59" i="6"/>
  <c r="K59" i="6"/>
  <c r="K63" i="6"/>
  <c r="I59" i="6"/>
  <c r="I63" i="6"/>
  <c r="K22" i="6"/>
  <c r="I22" i="6"/>
  <c r="A1" i="6"/>
  <c r="F53" i="5"/>
  <c r="B53" i="5"/>
  <c r="F51" i="5"/>
  <c r="B51" i="5"/>
  <c r="G441" i="38"/>
  <c r="G160" i="38"/>
  <c r="F43" i="5"/>
  <c r="B43" i="5"/>
  <c r="G437" i="38"/>
  <c r="G156" i="38"/>
  <c r="G430" i="38"/>
  <c r="G149" i="38"/>
  <c r="G429" i="38"/>
  <c r="G148" i="38"/>
  <c r="G428" i="38"/>
  <c r="G147" i="38"/>
  <c r="G424" i="38"/>
  <c r="G143" i="38"/>
  <c r="G422" i="38"/>
  <c r="F140" i="38"/>
  <c r="F421" i="38"/>
  <c r="B1" i="5"/>
  <c r="K27" i="16"/>
  <c r="I3913" i="24"/>
  <c r="K23" i="16"/>
  <c r="K22" i="16"/>
  <c r="K21" i="16"/>
  <c r="K20" i="16"/>
  <c r="K19" i="16"/>
  <c r="K18" i="16"/>
  <c r="K17" i="16"/>
  <c r="K16" i="16"/>
  <c r="K15" i="16"/>
  <c r="L15" i="16"/>
  <c r="K14" i="16"/>
  <c r="L14" i="16"/>
  <c r="I12" i="16"/>
  <c r="D12" i="16"/>
  <c r="C12" i="16"/>
  <c r="C24" i="16"/>
  <c r="K11" i="16"/>
  <c r="K10" i="16"/>
  <c r="N127" i="6"/>
  <c r="I2743" i="24"/>
  <c r="I2745" i="24"/>
  <c r="I2746" i="24"/>
  <c r="I2748" i="24"/>
  <c r="G1090" i="44"/>
  <c r="G1092" i="44"/>
  <c r="G95" i="38"/>
  <c r="I604" i="38"/>
  <c r="B32" i="20"/>
  <c r="I3916" i="24"/>
  <c r="I2740" i="24"/>
  <c r="G312" i="6"/>
  <c r="E312" i="6"/>
  <c r="C312" i="6"/>
  <c r="I312" i="6"/>
  <c r="G306" i="6"/>
  <c r="C306" i="6"/>
  <c r="C307" i="6"/>
  <c r="I306" i="6"/>
  <c r="E306" i="6"/>
  <c r="E307" i="6"/>
  <c r="E207" i="42"/>
  <c r="M260" i="6"/>
  <c r="M254" i="6"/>
  <c r="E300" i="6"/>
  <c r="C300" i="6"/>
  <c r="I300" i="6"/>
  <c r="G300" i="6"/>
  <c r="I4357" i="24"/>
  <c r="I4422" i="24"/>
  <c r="K100" i="6"/>
  <c r="K4439" i="24"/>
  <c r="I3310" i="24"/>
  <c r="K3310" i="24"/>
  <c r="K4430" i="24"/>
  <c r="I3301" i="24"/>
  <c r="K3301" i="24"/>
  <c r="K4429" i="24"/>
  <c r="I3300" i="24"/>
  <c r="K3300" i="24"/>
  <c r="K4433" i="24"/>
  <c r="I3304" i="24"/>
  <c r="K3304" i="24"/>
  <c r="K4437" i="24"/>
  <c r="I3308" i="24"/>
  <c r="K3308" i="24"/>
  <c r="K4441" i="24"/>
  <c r="I3312" i="24"/>
  <c r="K3312" i="24"/>
  <c r="K4435" i="24"/>
  <c r="I3306" i="24"/>
  <c r="K3306" i="24"/>
  <c r="K4434" i="24"/>
  <c r="I3305" i="24"/>
  <c r="K3305" i="24"/>
  <c r="K4438" i="24"/>
  <c r="I3309" i="24"/>
  <c r="K3309" i="24"/>
  <c r="K4432" i="24"/>
  <c r="I3303" i="24"/>
  <c r="K3303" i="24"/>
  <c r="K4436" i="24"/>
  <c r="I3307" i="24"/>
  <c r="K3307" i="24"/>
  <c r="K4440" i="24"/>
  <c r="I3311" i="24"/>
  <c r="K3311" i="24"/>
  <c r="K896" i="6"/>
  <c r="F98" i="42"/>
  <c r="E98" i="42"/>
  <c r="K5015" i="24"/>
  <c r="K5017" i="24"/>
  <c r="I5015" i="24"/>
  <c r="I5017" i="24"/>
  <c r="F76" i="42"/>
  <c r="E76" i="42"/>
  <c r="G141" i="38"/>
  <c r="I141" i="38"/>
  <c r="D421" i="38"/>
  <c r="D444" i="38"/>
  <c r="F444" i="38"/>
  <c r="F445" i="38"/>
  <c r="L11" i="16"/>
  <c r="I896" i="6"/>
  <c r="H422" i="38"/>
  <c r="J422" i="38"/>
  <c r="K422" i="38"/>
  <c r="M532" i="38"/>
  <c r="I422" i="38"/>
  <c r="K429" i="38"/>
  <c r="M542" i="38"/>
  <c r="I429" i="38"/>
  <c r="H429" i="38"/>
  <c r="J429" i="38"/>
  <c r="G153" i="38"/>
  <c r="G434" i="38"/>
  <c r="K437" i="38"/>
  <c r="M558" i="38"/>
  <c r="I437" i="38"/>
  <c r="J437" i="38"/>
  <c r="H437" i="38"/>
  <c r="K850" i="6"/>
  <c r="H424" i="38"/>
  <c r="I424" i="38"/>
  <c r="K424" i="38"/>
  <c r="M536" i="38"/>
  <c r="J424" i="38"/>
  <c r="J428" i="38"/>
  <c r="H428" i="38"/>
  <c r="K428" i="38"/>
  <c r="M540" i="38"/>
  <c r="I428" i="38"/>
  <c r="I850" i="6"/>
  <c r="K441" i="38"/>
  <c r="M562" i="38"/>
  <c r="I441" i="38"/>
  <c r="J441" i="38"/>
  <c r="H441" i="38"/>
  <c r="K430" i="38"/>
  <c r="M544" i="38"/>
  <c r="J430" i="38"/>
  <c r="H430" i="38"/>
  <c r="I430" i="38"/>
  <c r="I157" i="6"/>
  <c r="F163" i="38"/>
  <c r="F164" i="38"/>
  <c r="D140" i="38"/>
  <c r="D163" i="38"/>
  <c r="K143" i="38"/>
  <c r="M255" i="38"/>
  <c r="H143" i="38"/>
  <c r="I143" i="38"/>
  <c r="J143" i="38"/>
  <c r="K147" i="38"/>
  <c r="M259" i="38"/>
  <c r="I147" i="38"/>
  <c r="H147" i="38"/>
  <c r="J147" i="38"/>
  <c r="J160" i="38"/>
  <c r="H160" i="38"/>
  <c r="K160" i="38"/>
  <c r="M281" i="38"/>
  <c r="I160" i="38"/>
  <c r="K148" i="38"/>
  <c r="M261" i="38"/>
  <c r="H148" i="38"/>
  <c r="J148" i="38"/>
  <c r="I148" i="38"/>
  <c r="K156" i="38"/>
  <c r="M277" i="38"/>
  <c r="H156" i="38"/>
  <c r="J156" i="38"/>
  <c r="I156" i="38"/>
  <c r="K149" i="38"/>
  <c r="M263" i="38"/>
  <c r="J149" i="38"/>
  <c r="H149" i="38"/>
  <c r="I149" i="38"/>
  <c r="G110" i="6"/>
  <c r="I110" i="6"/>
  <c r="K620" i="6"/>
  <c r="M620" i="6"/>
  <c r="M774" i="6"/>
  <c r="K351" i="6"/>
  <c r="K367" i="6"/>
  <c r="K272" i="6"/>
  <c r="M272" i="6"/>
  <c r="M756" i="6"/>
  <c r="M668" i="6"/>
  <c r="M662" i="6"/>
  <c r="K732" i="6"/>
  <c r="M732" i="6"/>
  <c r="E698" i="6"/>
  <c r="O807" i="6"/>
  <c r="N346" i="6"/>
  <c r="G698" i="6"/>
  <c r="O364" i="6"/>
  <c r="C792" i="6"/>
  <c r="K5046" i="24"/>
  <c r="K5050" i="24"/>
  <c r="K5051" i="24"/>
  <c r="K790" i="6"/>
  <c r="M790" i="6"/>
  <c r="G349" i="6"/>
  <c r="I349" i="6"/>
  <c r="G365" i="6"/>
  <c r="I365" i="6"/>
  <c r="O362" i="6"/>
  <c r="K705" i="6"/>
  <c r="M705" i="6"/>
  <c r="E792" i="6"/>
  <c r="G792" i="6"/>
  <c r="E349" i="6"/>
  <c r="E365" i="6"/>
  <c r="N909" i="6"/>
  <c r="K909" i="6"/>
  <c r="M636" i="6"/>
  <c r="M706" i="6"/>
  <c r="I708" i="6"/>
  <c r="G808" i="6"/>
  <c r="K808" i="6"/>
  <c r="K810" i="6"/>
  <c r="O360" i="6"/>
  <c r="G826" i="6"/>
  <c r="O363" i="6"/>
  <c r="M273" i="6"/>
  <c r="M617" i="6"/>
  <c r="K90" i="6"/>
  <c r="M778" i="6"/>
  <c r="K780" i="6"/>
  <c r="M780" i="6"/>
  <c r="K632" i="6"/>
  <c r="M632" i="6"/>
  <c r="M642" i="6"/>
  <c r="K644" i="6"/>
  <c r="M644" i="6"/>
  <c r="M724" i="6"/>
  <c r="K105" i="6"/>
  <c r="K638" i="6"/>
  <c r="M638" i="6"/>
  <c r="K726" i="6"/>
  <c r="M726" i="6"/>
  <c r="M729" i="6"/>
  <c r="O824" i="6"/>
  <c r="L16" i="16"/>
  <c r="L20" i="16"/>
  <c r="F54" i="5"/>
  <c r="B54" i="5"/>
  <c r="M266" i="6"/>
  <c r="K390" i="6"/>
  <c r="K680" i="6"/>
  <c r="M680" i="6"/>
  <c r="K696" i="6"/>
  <c r="K714" i="6"/>
  <c r="M714" i="6"/>
  <c r="M730" i="6"/>
  <c r="M766" i="6"/>
  <c r="I3947" i="24"/>
  <c r="K3940" i="24"/>
  <c r="L17" i="16"/>
  <c r="L21" i="16"/>
  <c r="K674" i="6"/>
  <c r="M674" i="6"/>
  <c r="K744" i="6"/>
  <c r="M744" i="6"/>
  <c r="L19" i="16"/>
  <c r="I3940" i="24"/>
  <c r="N63" i="6"/>
  <c r="K3941" i="24"/>
  <c r="I90" i="6"/>
  <c r="M294" i="6"/>
  <c r="N347" i="6"/>
  <c r="M736" i="6"/>
  <c r="K738" i="6"/>
  <c r="M738" i="6"/>
  <c r="K991" i="6"/>
  <c r="K251" i="6"/>
  <c r="M251" i="6"/>
  <c r="K750" i="6"/>
  <c r="M750" i="6"/>
  <c r="L10" i="16"/>
  <c r="L18" i="16"/>
  <c r="L22" i="16"/>
  <c r="L51" i="5"/>
  <c r="M618" i="6"/>
  <c r="M624" i="6"/>
  <c r="K650" i="6"/>
  <c r="M650" i="6"/>
  <c r="K656" i="6"/>
  <c r="M656" i="6"/>
  <c r="K686" i="6"/>
  <c r="M686" i="6"/>
  <c r="M712" i="6"/>
  <c r="M718" i="6"/>
  <c r="M735" i="6"/>
  <c r="I991" i="6"/>
  <c r="K2776" i="24"/>
  <c r="K2774" i="24"/>
  <c r="I3946" i="24"/>
  <c r="K3946" i="24"/>
  <c r="K762" i="6"/>
  <c r="M762" i="6"/>
  <c r="K768" i="6"/>
  <c r="M768" i="6"/>
  <c r="J12" i="16"/>
  <c r="H9" i="16"/>
  <c r="H12" i="16"/>
  <c r="G9" i="16"/>
  <c r="G12" i="16"/>
  <c r="F9" i="16"/>
  <c r="F12" i="16"/>
  <c r="B1" i="16"/>
  <c r="K55" i="13"/>
  <c r="H55" i="13"/>
  <c r="K52" i="13"/>
  <c r="H52" i="13"/>
  <c r="B48" i="13"/>
  <c r="H45" i="13"/>
  <c r="H43" i="13"/>
  <c r="K26" i="13"/>
  <c r="G368" i="38"/>
  <c r="I26" i="13"/>
  <c r="F26" i="13"/>
  <c r="B26" i="13"/>
  <c r="F368" i="38"/>
  <c r="C368" i="38"/>
  <c r="C370" i="38"/>
  <c r="C390" i="38"/>
  <c r="C394" i="38"/>
  <c r="C398" i="38"/>
  <c r="H24" i="13"/>
  <c r="F207" i="42"/>
  <c r="K207" i="42"/>
  <c r="M349" i="6"/>
  <c r="E366" i="6"/>
  <c r="I4361" i="24"/>
  <c r="I4427" i="24"/>
  <c r="E4593" i="24"/>
  <c r="K95" i="38"/>
  <c r="J95" i="38"/>
  <c r="I95" i="38"/>
  <c r="H95" i="38"/>
  <c r="G366" i="6"/>
  <c r="C301" i="6"/>
  <c r="C313" i="6"/>
  <c r="K312" i="6"/>
  <c r="G121" i="6"/>
  <c r="I301" i="6"/>
  <c r="K300" i="6"/>
  <c r="G119" i="6"/>
  <c r="G307" i="6"/>
  <c r="O349" i="6"/>
  <c r="I313" i="6"/>
  <c r="I375" i="6"/>
  <c r="E313" i="6"/>
  <c r="K306" i="6"/>
  <c r="G120" i="6"/>
  <c r="I307" i="6"/>
  <c r="G301" i="6"/>
  <c r="E301" i="6"/>
  <c r="O365" i="6"/>
  <c r="G313" i="6"/>
  <c r="I4990" i="24"/>
  <c r="H141" i="38"/>
  <c r="K141" i="38"/>
  <c r="M251" i="38"/>
  <c r="J141" i="38"/>
  <c r="I52" i="13"/>
  <c r="G114" i="38"/>
  <c r="H114" i="38"/>
  <c r="G395" i="38"/>
  <c r="I55" i="13"/>
  <c r="G115" i="38"/>
  <c r="I115" i="38"/>
  <c r="G396" i="38"/>
  <c r="K368" i="38"/>
  <c r="I368" i="38"/>
  <c r="G152" i="38"/>
  <c r="G433" i="38"/>
  <c r="I434" i="38"/>
  <c r="K434" i="38"/>
  <c r="M552" i="38"/>
  <c r="J434" i="38"/>
  <c r="H434" i="38"/>
  <c r="C91" i="20"/>
  <c r="F389" i="38"/>
  <c r="J368" i="38"/>
  <c r="D368" i="38"/>
  <c r="D370" i="38"/>
  <c r="D390" i="38"/>
  <c r="D394" i="38"/>
  <c r="D398" i="38"/>
  <c r="F370" i="38"/>
  <c r="I182" i="6"/>
  <c r="B24" i="20"/>
  <c r="B26" i="20"/>
  <c r="G87" i="38"/>
  <c r="F30" i="13"/>
  <c r="I598" i="38"/>
  <c r="F87" i="38"/>
  <c r="F89" i="38"/>
  <c r="K30" i="13"/>
  <c r="B70" i="20"/>
  <c r="C70" i="20"/>
  <c r="K598" i="38"/>
  <c r="K110" i="6"/>
  <c r="J12" i="1"/>
  <c r="K153" i="38"/>
  <c r="M271" i="38"/>
  <c r="I153" i="38"/>
  <c r="J153" i="38"/>
  <c r="H153" i="38"/>
  <c r="I351" i="6"/>
  <c r="I367" i="6"/>
  <c r="K708" i="6"/>
  <c r="M708" i="6"/>
  <c r="B30" i="13"/>
  <c r="B57" i="13"/>
  <c r="O808" i="6"/>
  <c r="G810" i="6"/>
  <c r="N991" i="6"/>
  <c r="E12" i="16"/>
  <c r="K9" i="16"/>
  <c r="K2788" i="24"/>
  <c r="I30" i="13"/>
  <c r="B1" i="13"/>
  <c r="L59" i="1"/>
  <c r="O58" i="1"/>
  <c r="F57" i="1"/>
  <c r="B57" i="1"/>
  <c r="I374" i="6"/>
  <c r="I378" i="6"/>
  <c r="I377" i="6"/>
  <c r="I309" i="6"/>
  <c r="K153" i="6"/>
  <c r="K155" i="6"/>
  <c r="G117" i="6"/>
  <c r="N106" i="6"/>
  <c r="K154" i="6"/>
  <c r="E303" i="6"/>
  <c r="G309" i="6"/>
  <c r="I303" i="6"/>
  <c r="E315" i="6"/>
  <c r="E285" i="6"/>
  <c r="G367" i="6"/>
  <c r="G351" i="6"/>
  <c r="G315" i="6"/>
  <c r="I315" i="6"/>
  <c r="G303" i="6"/>
  <c r="M300" i="6"/>
  <c r="K301" i="6"/>
  <c r="E367" i="6"/>
  <c r="M306" i="6"/>
  <c r="K313" i="6"/>
  <c r="E331" i="6"/>
  <c r="K307" i="6"/>
  <c r="M312" i="6"/>
  <c r="F74" i="42"/>
  <c r="C72" i="20"/>
  <c r="C92" i="20"/>
  <c r="E4868" i="24"/>
  <c r="E4912" i="24"/>
  <c r="E4894" i="24"/>
  <c r="E4850" i="24"/>
  <c r="G4593" i="24"/>
  <c r="I114" i="38"/>
  <c r="J114" i="38"/>
  <c r="K114" i="38"/>
  <c r="H115" i="38"/>
  <c r="J115" i="38"/>
  <c r="J396" i="38"/>
  <c r="I396" i="38"/>
  <c r="H396" i="38"/>
  <c r="K396" i="38"/>
  <c r="K115" i="38"/>
  <c r="H395" i="38"/>
  <c r="I395" i="38"/>
  <c r="K395" i="38"/>
  <c r="J395" i="38"/>
  <c r="J59" i="1"/>
  <c r="G62" i="38"/>
  <c r="G343" i="38"/>
  <c r="F390" i="38"/>
  <c r="G151" i="38"/>
  <c r="G432" i="38"/>
  <c r="I433" i="38"/>
  <c r="J433" i="38"/>
  <c r="H433" i="38"/>
  <c r="K433" i="38"/>
  <c r="M550" i="38"/>
  <c r="I189" i="6"/>
  <c r="I191" i="6"/>
  <c r="I185" i="6"/>
  <c r="I187" i="6"/>
  <c r="D87" i="38"/>
  <c r="D89" i="38"/>
  <c r="J87" i="38"/>
  <c r="D70" i="20"/>
  <c r="E70" i="20"/>
  <c r="B72" i="20"/>
  <c r="K87" i="38"/>
  <c r="I87" i="38"/>
  <c r="K152" i="38"/>
  <c r="M269" i="38"/>
  <c r="J152" i="38"/>
  <c r="H152" i="38"/>
  <c r="I152" i="38"/>
  <c r="N349" i="6"/>
  <c r="B27" i="20"/>
  <c r="K12" i="16"/>
  <c r="L9" i="16"/>
  <c r="O50" i="1"/>
  <c r="L50" i="1"/>
  <c r="L49" i="1"/>
  <c r="F48" i="1"/>
  <c r="B48" i="1"/>
  <c r="L46" i="1"/>
  <c r="O44" i="1"/>
  <c r="L44" i="1"/>
  <c r="G328" i="38"/>
  <c r="J44" i="1"/>
  <c r="G47" i="38"/>
  <c r="O43" i="1"/>
  <c r="L43" i="1"/>
  <c r="G327" i="38"/>
  <c r="J43" i="1"/>
  <c r="G46" i="38"/>
  <c r="O42" i="1"/>
  <c r="L42" i="1"/>
  <c r="G326" i="38"/>
  <c r="J42" i="1"/>
  <c r="G45" i="38"/>
  <c r="O41" i="1"/>
  <c r="L41" i="1"/>
  <c r="G325" i="38"/>
  <c r="G44" i="38"/>
  <c r="L39" i="1"/>
  <c r="J39" i="1"/>
  <c r="F129" i="43"/>
  <c r="F131" i="43"/>
  <c r="L37" i="1"/>
  <c r="K4543" i="24"/>
  <c r="J37" i="1"/>
  <c r="I4543" i="24"/>
  <c r="F36" i="1"/>
  <c r="B36" i="1"/>
  <c r="C129" i="43"/>
  <c r="C131" i="43"/>
  <c r="I3808" i="24"/>
  <c r="K4486" i="24"/>
  <c r="I4621" i="24"/>
  <c r="K4621" i="24"/>
  <c r="I4486" i="24"/>
  <c r="E4621" i="24"/>
  <c r="G4621" i="24"/>
  <c r="F111" i="43"/>
  <c r="F113" i="43"/>
  <c r="C111" i="43"/>
  <c r="C113" i="43"/>
  <c r="I3344" i="24"/>
  <c r="K3344" i="24"/>
  <c r="G127" i="6"/>
  <c r="N365" i="6"/>
  <c r="G331" i="6"/>
  <c r="K411" i="6"/>
  <c r="I2776" i="24"/>
  <c r="I2774" i="24"/>
  <c r="I2788" i="24"/>
  <c r="K3933" i="24"/>
  <c r="I3933" i="24"/>
  <c r="I119" i="6"/>
  <c r="K119" i="6"/>
  <c r="K4358" i="24"/>
  <c r="C73" i="20"/>
  <c r="K157" i="6"/>
  <c r="K182" i="6"/>
  <c r="K185" i="6"/>
  <c r="K187" i="6"/>
  <c r="K202" i="6"/>
  <c r="I121" i="6"/>
  <c r="K121" i="6"/>
  <c r="K4360" i="24"/>
  <c r="K4425" i="24"/>
  <c r="I120" i="6"/>
  <c r="G285" i="6"/>
  <c r="I285" i="6"/>
  <c r="E287" i="6"/>
  <c r="E351" i="6"/>
  <c r="M351" i="6"/>
  <c r="N350" i="6"/>
  <c r="K261" i="6"/>
  <c r="K267" i="6"/>
  <c r="C270" i="43"/>
  <c r="C272" i="43"/>
  <c r="C284" i="43"/>
  <c r="K309" i="6"/>
  <c r="K315" i="6"/>
  <c r="E74" i="42"/>
  <c r="K303" i="6"/>
  <c r="K410" i="6"/>
  <c r="I410" i="6"/>
  <c r="K4850" i="24"/>
  <c r="I4850" i="24"/>
  <c r="G4850" i="24"/>
  <c r="C93" i="20"/>
  <c r="G4868" i="24"/>
  <c r="I4868" i="24"/>
  <c r="K4868" i="24"/>
  <c r="G420" i="38"/>
  <c r="J420" i="38"/>
  <c r="G139" i="38"/>
  <c r="I139" i="38"/>
  <c r="Q59" i="1"/>
  <c r="O59" i="1"/>
  <c r="R59" i="1"/>
  <c r="G321" i="38"/>
  <c r="J50" i="1"/>
  <c r="G53" i="38"/>
  <c r="K53" i="38"/>
  <c r="M227" i="38"/>
  <c r="G334" i="38"/>
  <c r="F394" i="38"/>
  <c r="K325" i="38"/>
  <c r="M494" i="38"/>
  <c r="I325" i="38"/>
  <c r="J325" i="38"/>
  <c r="I326" i="38"/>
  <c r="J326" i="38"/>
  <c r="K326" i="38"/>
  <c r="M496" i="38"/>
  <c r="K327" i="38"/>
  <c r="M498" i="38"/>
  <c r="I327" i="38"/>
  <c r="J327" i="38"/>
  <c r="J46" i="1"/>
  <c r="Q46" i="1"/>
  <c r="G330" i="38"/>
  <c r="J49" i="1"/>
  <c r="G333" i="38"/>
  <c r="G150" i="38"/>
  <c r="H150" i="38"/>
  <c r="G431" i="38"/>
  <c r="K432" i="38"/>
  <c r="M548" i="38"/>
  <c r="H432" i="38"/>
  <c r="I432" i="38"/>
  <c r="J432" i="38"/>
  <c r="I343" i="38"/>
  <c r="K343" i="38"/>
  <c r="M514" i="38"/>
  <c r="J343" i="38"/>
  <c r="G322" i="38"/>
  <c r="G323" i="38"/>
  <c r="I219" i="6"/>
  <c r="I215" i="6"/>
  <c r="I216" i="6"/>
  <c r="I217" i="6"/>
  <c r="I218" i="6"/>
  <c r="I203" i="6"/>
  <c r="I205" i="6"/>
  <c r="I202" i="6"/>
  <c r="J328" i="38"/>
  <c r="I328" i="38"/>
  <c r="K328" i="38"/>
  <c r="M500" i="38"/>
  <c r="B73" i="20"/>
  <c r="D72" i="20"/>
  <c r="E72" i="20"/>
  <c r="H151" i="38"/>
  <c r="K151" i="38"/>
  <c r="M267" i="38"/>
  <c r="J151" i="38"/>
  <c r="I151" i="38"/>
  <c r="K44" i="38"/>
  <c r="M213" i="38"/>
  <c r="J44" i="38"/>
  <c r="I44" i="38"/>
  <c r="K45" i="38"/>
  <c r="M215" i="38"/>
  <c r="I45" i="38"/>
  <c r="J45" i="38"/>
  <c r="K46" i="38"/>
  <c r="M217" i="38"/>
  <c r="J46" i="38"/>
  <c r="I46" i="38"/>
  <c r="K47" i="38"/>
  <c r="M219" i="38"/>
  <c r="I47" i="38"/>
  <c r="J47" i="38"/>
  <c r="G42" i="38"/>
  <c r="G40" i="38"/>
  <c r="G41" i="38"/>
  <c r="K62" i="38"/>
  <c r="M233" i="38"/>
  <c r="I62" i="38"/>
  <c r="J62" i="38"/>
  <c r="F53" i="1"/>
  <c r="R42" i="1"/>
  <c r="R43" i="1"/>
  <c r="R46" i="1"/>
  <c r="Q41" i="1"/>
  <c r="Q42" i="1"/>
  <c r="Q44" i="1"/>
  <c r="Q37" i="1"/>
  <c r="Q43" i="1"/>
  <c r="R44" i="1"/>
  <c r="R37" i="1"/>
  <c r="Q38" i="1"/>
  <c r="R41" i="1"/>
  <c r="R49" i="1"/>
  <c r="B53" i="1"/>
  <c r="R38" i="1"/>
  <c r="Q39" i="1"/>
  <c r="R50" i="1"/>
  <c r="L30" i="1"/>
  <c r="G316" i="38"/>
  <c r="J30" i="1"/>
  <c r="G35" i="38"/>
  <c r="O29" i="1"/>
  <c r="L29" i="1"/>
  <c r="O28" i="1"/>
  <c r="L28" i="1"/>
  <c r="G314" i="38"/>
  <c r="J28" i="1"/>
  <c r="G33" i="38"/>
  <c r="L26" i="1"/>
  <c r="J26" i="1"/>
  <c r="L24" i="1"/>
  <c r="J24" i="1"/>
  <c r="F21" i="1"/>
  <c r="B21" i="1"/>
  <c r="L19" i="1"/>
  <c r="G305" i="38"/>
  <c r="J19" i="1"/>
  <c r="G24" i="38"/>
  <c r="O18" i="1"/>
  <c r="L18" i="1"/>
  <c r="G304" i="38"/>
  <c r="L17" i="1"/>
  <c r="J17" i="1"/>
  <c r="O11" i="1"/>
  <c r="L11" i="1"/>
  <c r="G298" i="38"/>
  <c r="J11" i="1"/>
  <c r="O10" i="1"/>
  <c r="L10" i="1"/>
  <c r="K3866" i="24"/>
  <c r="K3868" i="24"/>
  <c r="I3865" i="24"/>
  <c r="J10" i="1"/>
  <c r="F9" i="1"/>
  <c r="B9" i="1"/>
  <c r="B1" i="1"/>
  <c r="E4615" i="24"/>
  <c r="I4539" i="24"/>
  <c r="K4539" i="24"/>
  <c r="I4615" i="24"/>
  <c r="N3885" i="24"/>
  <c r="K3885" i="24"/>
  <c r="R39" i="1"/>
  <c r="I3949" i="24"/>
  <c r="I3866" i="24"/>
  <c r="I3868" i="24"/>
  <c r="G17" i="38"/>
  <c r="I17" i="38"/>
  <c r="I40" i="24"/>
  <c r="K4990" i="24"/>
  <c r="M303" i="6"/>
  <c r="C331" i="6"/>
  <c r="K408" i="6"/>
  <c r="G297" i="38"/>
  <c r="J297" i="38"/>
  <c r="C290" i="43"/>
  <c r="C292" i="43"/>
  <c r="G16" i="38"/>
  <c r="I16" i="38"/>
  <c r="I37" i="38" s="1"/>
  <c r="I58" i="38" s="1"/>
  <c r="I66" i="38" s="1"/>
  <c r="F290" i="43"/>
  <c r="F292" i="43"/>
  <c r="M315" i="6"/>
  <c r="I3294" i="24"/>
  <c r="K3294" i="24"/>
  <c r="K4423" i="24"/>
  <c r="M301" i="6"/>
  <c r="K205" i="6"/>
  <c r="K203" i="6"/>
  <c r="I3296" i="24"/>
  <c r="K3296" i="24"/>
  <c r="G310" i="38"/>
  <c r="J310" i="38"/>
  <c r="C166" i="43"/>
  <c r="C168" i="43"/>
  <c r="K189" i="6"/>
  <c r="K191" i="6"/>
  <c r="M313" i="6"/>
  <c r="K120" i="6"/>
  <c r="M307" i="6"/>
  <c r="M267" i="6"/>
  <c r="K269" i="6"/>
  <c r="M269" i="6"/>
  <c r="M261" i="6"/>
  <c r="K263" i="6"/>
  <c r="M263" i="6"/>
  <c r="I411" i="6"/>
  <c r="G287" i="6"/>
  <c r="K285" i="6"/>
  <c r="G308" i="38"/>
  <c r="J308" i="38"/>
  <c r="Q49" i="1"/>
  <c r="F270" i="43"/>
  <c r="F272" i="43"/>
  <c r="F284" i="43"/>
  <c r="G29" i="38"/>
  <c r="J29" i="38"/>
  <c r="F166" i="43"/>
  <c r="F168" i="43"/>
  <c r="G31" i="38"/>
  <c r="J31" i="38"/>
  <c r="F158" i="43"/>
  <c r="F160" i="43"/>
  <c r="G312" i="38"/>
  <c r="J312" i="38"/>
  <c r="C158" i="43"/>
  <c r="C160" i="43"/>
  <c r="G20" i="38"/>
  <c r="J20" i="38"/>
  <c r="G301" i="38"/>
  <c r="K301" i="38"/>
  <c r="M458" i="38"/>
  <c r="C101" i="43"/>
  <c r="C103" i="43"/>
  <c r="G18" i="38"/>
  <c r="K18" i="38"/>
  <c r="M173" i="38" s="1"/>
  <c r="F57" i="43"/>
  <c r="F59" i="43"/>
  <c r="H420" i="38"/>
  <c r="K420" i="38"/>
  <c r="M528" i="38"/>
  <c r="I420" i="38"/>
  <c r="K139" i="38"/>
  <c r="M247" i="38"/>
  <c r="H139" i="38"/>
  <c r="J139" i="38"/>
  <c r="G49" i="38"/>
  <c r="J49" i="38"/>
  <c r="K150" i="38"/>
  <c r="M265" i="38"/>
  <c r="I53" i="38"/>
  <c r="I150" i="38"/>
  <c r="J150" i="38"/>
  <c r="K334" i="38"/>
  <c r="M508" i="38"/>
  <c r="J334" i="38"/>
  <c r="I334" i="38"/>
  <c r="J29" i="1"/>
  <c r="G34" i="38"/>
  <c r="G315" i="38"/>
  <c r="I431" i="38"/>
  <c r="J431" i="38"/>
  <c r="H431" i="38"/>
  <c r="K431" i="38"/>
  <c r="M546" i="38"/>
  <c r="I330" i="38"/>
  <c r="K330" i="38"/>
  <c r="M504" i="38"/>
  <c r="J330" i="38"/>
  <c r="K314" i="38"/>
  <c r="M480" i="38"/>
  <c r="I314" i="38"/>
  <c r="J314" i="38"/>
  <c r="G52" i="38"/>
  <c r="I52" i="38"/>
  <c r="J53" i="38"/>
  <c r="J321" i="38"/>
  <c r="I321" i="38"/>
  <c r="K321" i="38"/>
  <c r="M486" i="38"/>
  <c r="K323" i="38"/>
  <c r="M490" i="38"/>
  <c r="J323" i="38"/>
  <c r="I323" i="38"/>
  <c r="K322" i="38"/>
  <c r="M488" i="38"/>
  <c r="J322" i="38"/>
  <c r="I322" i="38"/>
  <c r="K316" i="38"/>
  <c r="M484" i="38"/>
  <c r="J316" i="38"/>
  <c r="I316" i="38"/>
  <c r="Q50" i="1"/>
  <c r="K333" i="38"/>
  <c r="M506" i="38"/>
  <c r="I333" i="38"/>
  <c r="J333" i="38"/>
  <c r="F398" i="38"/>
  <c r="I212" i="6"/>
  <c r="I194" i="6"/>
  <c r="I220" i="6"/>
  <c r="I214" i="6"/>
  <c r="K298" i="38"/>
  <c r="M452" i="38"/>
  <c r="I298" i="38"/>
  <c r="J298" i="38"/>
  <c r="K303" i="38"/>
  <c r="M462" i="38"/>
  <c r="J303" i="38"/>
  <c r="I303" i="38"/>
  <c r="K305" i="38"/>
  <c r="M466" i="38"/>
  <c r="I305" i="38"/>
  <c r="J305" i="38"/>
  <c r="K304" i="38"/>
  <c r="M464" i="38"/>
  <c r="I304" i="38"/>
  <c r="J304" i="38"/>
  <c r="F32" i="1"/>
  <c r="F55" i="1"/>
  <c r="K22" i="38"/>
  <c r="M181" i="38"/>
  <c r="I22" i="38"/>
  <c r="J22" i="38"/>
  <c r="J18" i="1"/>
  <c r="K24" i="38"/>
  <c r="M185" i="38"/>
  <c r="J24" i="38"/>
  <c r="I24" i="38"/>
  <c r="K35" i="38"/>
  <c r="M203" i="38"/>
  <c r="I35" i="38"/>
  <c r="J35" i="38"/>
  <c r="K40" i="38"/>
  <c r="M205" i="38"/>
  <c r="J40" i="38"/>
  <c r="I40" i="38"/>
  <c r="K33" i="38"/>
  <c r="M199" i="38"/>
  <c r="J33" i="38"/>
  <c r="I33" i="38"/>
  <c r="K41" i="38"/>
  <c r="M207" i="38"/>
  <c r="J41" i="38"/>
  <c r="I41" i="38"/>
  <c r="K42" i="38"/>
  <c r="M209" i="38"/>
  <c r="I42" i="38"/>
  <c r="J42" i="38"/>
  <c r="Q10" i="1"/>
  <c r="Q11" i="1"/>
  <c r="R15" i="1"/>
  <c r="Q17" i="1"/>
  <c r="Q26" i="1"/>
  <c r="R22" i="1"/>
  <c r="R30" i="1"/>
  <c r="Q15" i="1"/>
  <c r="I3945" i="24"/>
  <c r="B32" i="1"/>
  <c r="B55" i="1"/>
  <c r="Q19" i="1"/>
  <c r="R19" i="1"/>
  <c r="Q24" i="1"/>
  <c r="Q28" i="1"/>
  <c r="R24" i="1"/>
  <c r="R26" i="1"/>
  <c r="Q30" i="1"/>
  <c r="R18" i="1"/>
  <c r="R17" i="1"/>
  <c r="R28" i="1"/>
  <c r="R29" i="1"/>
  <c r="R10" i="1"/>
  <c r="R11" i="1"/>
  <c r="C35" i="27"/>
  <c r="G4615" i="24"/>
  <c r="G4608" i="24"/>
  <c r="E4608" i="24"/>
  <c r="K4615" i="24"/>
  <c r="K4608" i="24"/>
  <c r="I4608" i="24"/>
  <c r="N3886" i="24"/>
  <c r="K3881" i="24"/>
  <c r="I3880" i="24"/>
  <c r="I3885" i="24"/>
  <c r="M3886" i="24"/>
  <c r="J17" i="38"/>
  <c r="K17" i="38"/>
  <c r="M171" i="38" s="1"/>
  <c r="I297" i="38"/>
  <c r="K297" i="38"/>
  <c r="M450" i="38"/>
  <c r="K310" i="38"/>
  <c r="M472" i="38"/>
  <c r="J16" i="38"/>
  <c r="K16" i="38"/>
  <c r="M169" i="38" s="1"/>
  <c r="I310" i="38"/>
  <c r="I308" i="38"/>
  <c r="K308" i="38"/>
  <c r="M468" i="38"/>
  <c r="K212" i="6"/>
  <c r="K194" i="6"/>
  <c r="K29" i="38"/>
  <c r="M191" i="38"/>
  <c r="K219" i="6"/>
  <c r="K215" i="6"/>
  <c r="K216" i="6"/>
  <c r="K218" i="6"/>
  <c r="K217" i="6"/>
  <c r="K4359" i="24"/>
  <c r="M309" i="6"/>
  <c r="I29" i="38"/>
  <c r="I312" i="38"/>
  <c r="K312" i="38"/>
  <c r="M476" i="38"/>
  <c r="I31" i="38"/>
  <c r="K31" i="38"/>
  <c r="M195" i="38"/>
  <c r="I20" i="38"/>
  <c r="K20" i="38"/>
  <c r="M177" i="38"/>
  <c r="J301" i="38"/>
  <c r="I301" i="38"/>
  <c r="J18" i="38"/>
  <c r="I18" i="38"/>
  <c r="K49" i="38"/>
  <c r="M223" i="38"/>
  <c r="Q29" i="1"/>
  <c r="I49" i="38"/>
  <c r="K52" i="38"/>
  <c r="M225" i="38"/>
  <c r="J52" i="38"/>
  <c r="F399" i="38"/>
  <c r="K315" i="38"/>
  <c r="M482" i="38"/>
  <c r="J315" i="38"/>
  <c r="I315" i="38"/>
  <c r="G23" i="38"/>
  <c r="J23" i="38"/>
  <c r="Q18" i="1"/>
  <c r="K34" i="38"/>
  <c r="M201" i="38"/>
  <c r="J34" i="38"/>
  <c r="I34" i="38"/>
  <c r="I122" i="6"/>
  <c r="M319" i="6"/>
  <c r="K125" i="6"/>
  <c r="K122" i="6"/>
  <c r="K4361" i="24"/>
  <c r="K220" i="6"/>
  <c r="K214" i="6"/>
  <c r="K4424" i="24"/>
  <c r="I3295" i="24"/>
  <c r="K3295" i="24"/>
  <c r="K23" i="38"/>
  <c r="M183" i="38"/>
  <c r="I23" i="38"/>
  <c r="C17" i="27"/>
  <c r="C11" i="27"/>
  <c r="K4427" i="24"/>
  <c r="I3297" i="24"/>
  <c r="K3297" i="24"/>
  <c r="I4718" i="24"/>
  <c r="I4982" i="24"/>
  <c r="D5" i="5"/>
  <c r="F5" i="5"/>
  <c r="D5" i="13"/>
  <c r="F5" i="1"/>
  <c r="F5" i="13"/>
  <c r="D5" i="1"/>
  <c r="B4885" i="24"/>
  <c r="B4647" i="24"/>
  <c r="B124" i="42"/>
  <c r="B22" i="42"/>
  <c r="E4971" i="24"/>
  <c r="B151" i="42"/>
  <c r="B70" i="42"/>
  <c r="B4841" i="24"/>
  <c r="E4579" i="24"/>
  <c r="B302" i="29"/>
  <c r="B71" i="6"/>
  <c r="L11" i="27"/>
  <c r="C8" i="27"/>
  <c r="C9" i="27"/>
  <c r="E1185" i="24"/>
  <c r="E141" i="6"/>
  <c r="E479" i="6"/>
  <c r="I4219" i="24"/>
  <c r="I543" i="24"/>
  <c r="B8" i="38"/>
  <c r="B4238" i="24"/>
  <c r="B4264" i="24"/>
  <c r="B477" i="24"/>
  <c r="C10" i="27"/>
  <c r="C19" i="27"/>
  <c r="B92" i="29"/>
  <c r="I6" i="8"/>
  <c r="B4173" i="24"/>
  <c r="B4148" i="24"/>
  <c r="B3073" i="24"/>
  <c r="B1706" i="24"/>
  <c r="B1135" i="24"/>
  <c r="B964" i="24"/>
  <c r="B882" i="24"/>
  <c r="B629" i="24"/>
  <c r="B196" i="24"/>
  <c r="A65" i="23"/>
  <c r="B6" i="23"/>
  <c r="B243" i="6"/>
  <c r="B98" i="6"/>
  <c r="B41" i="16"/>
  <c r="B800" i="6"/>
  <c r="B428" i="6"/>
  <c r="B606" i="6"/>
  <c r="B341" i="6"/>
  <c r="J4" i="19"/>
  <c r="AM285" i="17"/>
  <c r="H4" i="19"/>
  <c r="AM271" i="17"/>
  <c r="I4" i="19"/>
  <c r="K4" i="19"/>
  <c r="L4" i="19"/>
  <c r="I151" i="29"/>
  <c r="I4" i="29"/>
  <c r="N26" i="29"/>
  <c r="AM6" i="17"/>
  <c r="I120" i="29"/>
  <c r="I3887" i="24"/>
  <c r="I3555" i="24"/>
  <c r="I3137" i="24"/>
  <c r="E2009" i="24"/>
  <c r="I2050" i="24"/>
  <c r="I1671" i="24"/>
  <c r="C1658" i="24"/>
  <c r="I1642" i="24"/>
  <c r="E1827" i="24"/>
  <c r="I1857" i="24"/>
  <c r="C1843" i="24"/>
  <c r="I1827" i="24"/>
  <c r="I1756" i="24"/>
  <c r="K1734" i="24"/>
  <c r="E1642" i="24"/>
  <c r="I1525" i="24"/>
  <c r="E1474" i="24"/>
  <c r="I1474" i="24"/>
  <c r="I1155" i="24"/>
  <c r="I1043" i="24"/>
  <c r="I939" i="24"/>
  <c r="E923" i="24"/>
  <c r="I923" i="24"/>
  <c r="E862" i="24"/>
  <c r="I277" i="24"/>
  <c r="I862" i="24"/>
  <c r="I4" i="24"/>
  <c r="I369" i="6"/>
  <c r="B26" i="16"/>
  <c r="I828" i="6"/>
  <c r="I4" i="6"/>
  <c r="J5" i="5"/>
  <c r="I5" i="13"/>
  <c r="J5" i="1"/>
  <c r="C23" i="27"/>
  <c r="O6" i="8"/>
  <c r="C6" i="27"/>
  <c r="C4" i="27"/>
  <c r="A1" i="27"/>
  <c r="K1696" i="24"/>
  <c r="A297" i="17"/>
  <c r="A282" i="17"/>
  <c r="A3" i="18"/>
  <c r="K4982" i="24"/>
  <c r="K4718" i="24"/>
  <c r="A3" i="21"/>
  <c r="A2" i="42"/>
  <c r="N6" i="8"/>
  <c r="L9" i="27"/>
  <c r="K3887" i="24"/>
  <c r="B42" i="6"/>
  <c r="B4075" i="24"/>
  <c r="B4076" i="24"/>
  <c r="B1870" i="24"/>
  <c r="B1752" i="24"/>
  <c r="I1185" i="24"/>
  <c r="B4096" i="24"/>
  <c r="B46" i="6"/>
  <c r="B39" i="6"/>
  <c r="B40" i="6"/>
  <c r="I479" i="6"/>
  <c r="B48" i="6"/>
  <c r="B586" i="6"/>
  <c r="I141" i="6"/>
  <c r="B44" i="6"/>
  <c r="B34" i="6"/>
  <c r="B4048" i="24"/>
  <c r="B4050" i="24"/>
  <c r="B4049" i="24"/>
  <c r="B4042" i="24"/>
  <c r="B4045" i="24"/>
  <c r="B4054" i="24"/>
  <c r="B4043" i="24"/>
  <c r="B4046" i="24"/>
  <c r="B4041" i="24"/>
  <c r="B4052" i="24"/>
  <c r="B4047" i="24"/>
  <c r="G2009" i="24"/>
  <c r="K828" i="6"/>
  <c r="K1671" i="24"/>
  <c r="O26" i="29"/>
  <c r="K862" i="24"/>
  <c r="K1857" i="24"/>
  <c r="A4" i="19"/>
  <c r="B8" i="16"/>
  <c r="K1155" i="24"/>
  <c r="B2" i="38"/>
  <c r="C12" i="27"/>
  <c r="K4219" i="24"/>
  <c r="K543" i="24"/>
  <c r="B932" i="6"/>
  <c r="K5" i="13"/>
  <c r="G923" i="24"/>
  <c r="K1642" i="24"/>
  <c r="K1827" i="24"/>
  <c r="K3555" i="24"/>
  <c r="K4" i="29"/>
  <c r="C4" i="19"/>
  <c r="B5" i="1"/>
  <c r="B5" i="5"/>
  <c r="K4" i="6"/>
  <c r="G862" i="24"/>
  <c r="K939" i="24"/>
  <c r="K1474" i="24"/>
  <c r="E1658" i="24"/>
  <c r="K1756" i="24"/>
  <c r="K3137" i="24"/>
  <c r="K120" i="29"/>
  <c r="B4" i="19"/>
  <c r="C25" i="27"/>
  <c r="B4" i="21"/>
  <c r="K369" i="6"/>
  <c r="K4" i="24"/>
  <c r="K1043" i="24"/>
  <c r="E1843" i="24"/>
  <c r="C30" i="27"/>
  <c r="C31" i="27"/>
  <c r="B444" i="24"/>
  <c r="L5" i="1"/>
  <c r="B5" i="13"/>
  <c r="L5" i="5"/>
  <c r="K923" i="24"/>
  <c r="K277" i="24"/>
  <c r="G1474" i="24"/>
  <c r="G1827" i="24"/>
  <c r="G1642" i="24"/>
  <c r="K2050" i="24"/>
  <c r="K151" i="29"/>
  <c r="D4" i="19"/>
  <c r="E4" i="19"/>
  <c r="C21" i="27"/>
  <c r="K1708" i="24"/>
  <c r="A3" i="19"/>
  <c r="A268" i="17"/>
  <c r="A3" i="17"/>
  <c r="A2" i="29"/>
  <c r="A3" i="8"/>
  <c r="A2" i="24"/>
  <c r="A2" i="23"/>
  <c r="B2" i="5"/>
  <c r="A2" i="6"/>
  <c r="B2" i="16"/>
  <c r="B2" i="13"/>
  <c r="B2" i="1"/>
  <c r="N4982" i="24"/>
  <c r="N4718" i="24"/>
  <c r="N2" i="6"/>
  <c r="G4" i="21"/>
  <c r="N1155" i="24"/>
  <c r="B4" i="20"/>
  <c r="A3" i="20"/>
  <c r="N3137" i="24"/>
  <c r="N3887" i="24"/>
  <c r="N1857" i="24"/>
  <c r="E4" i="21"/>
  <c r="N828" i="6"/>
  <c r="N369" i="6"/>
  <c r="F4" i="21"/>
  <c r="C4" i="20"/>
  <c r="O5" i="1"/>
  <c r="N677" i="24"/>
  <c r="N4" i="29"/>
  <c r="N939" i="24"/>
  <c r="N3555" i="24"/>
  <c r="I3706" i="24"/>
  <c r="E4" i="20"/>
  <c r="N151" i="29"/>
  <c r="N2" i="24"/>
  <c r="N1043" i="24"/>
  <c r="G1843" i="24"/>
  <c r="C27" i="27"/>
  <c r="N277" i="24"/>
  <c r="B1184" i="24"/>
  <c r="B478" i="6"/>
  <c r="B140" i="6"/>
  <c r="C4" i="21"/>
  <c r="N2050" i="24"/>
  <c r="I3732" i="24"/>
  <c r="D4" i="21"/>
  <c r="D4" i="20"/>
  <c r="N1525" i="24"/>
  <c r="K1525" i="24"/>
  <c r="N1756" i="24"/>
  <c r="G1658" i="24"/>
  <c r="C32" i="27"/>
  <c r="N1671" i="24"/>
  <c r="C14" i="27"/>
  <c r="N4219" i="24"/>
  <c r="N543" i="24"/>
  <c r="N120" i="29"/>
  <c r="I572" i="38"/>
  <c r="G1734" i="24"/>
  <c r="K1695" i="24"/>
  <c r="K3421" i="24"/>
  <c r="K3491" i="24"/>
  <c r="B607" i="24"/>
  <c r="B165" i="24"/>
  <c r="A14" i="23"/>
  <c r="C33" i="27"/>
  <c r="B485" i="24"/>
  <c r="AM300" i="17"/>
  <c r="B3665" i="24"/>
  <c r="B28" i="21"/>
  <c r="D50" i="20"/>
  <c r="B3664" i="24"/>
  <c r="B3693" i="24"/>
  <c r="B50" i="20"/>
  <c r="D28" i="21"/>
  <c r="B3676" i="24"/>
  <c r="K572" i="38"/>
  <c r="B3801" i="24"/>
  <c r="C28" i="21"/>
  <c r="B3626" i="24"/>
  <c r="B3683" i="24"/>
  <c r="B3820" i="24"/>
  <c r="B3845" i="24"/>
  <c r="B3826" i="24"/>
  <c r="B3839" i="24"/>
  <c r="B2038" i="24"/>
  <c r="B2045" i="24"/>
  <c r="B1180" i="24"/>
  <c r="B136" i="6"/>
  <c r="B474" i="6"/>
  <c r="B3388" i="24"/>
  <c r="B3204" i="24"/>
  <c r="C29" i="27"/>
  <c r="B205" i="24"/>
  <c r="B3697" i="24"/>
  <c r="M3695" i="24"/>
  <c r="M3697" i="24"/>
  <c r="B3671" i="24"/>
  <c r="M3669" i="24"/>
  <c r="M3683" i="24"/>
  <c r="B3547" i="24"/>
  <c r="E28" i="21"/>
  <c r="E50" i="20"/>
  <c r="G3706" i="24"/>
  <c r="K3698" i="24"/>
  <c r="I3698" i="24"/>
  <c r="B3765" i="24"/>
  <c r="M3763" i="24"/>
  <c r="G3732" i="24"/>
  <c r="K3723" i="24"/>
  <c r="B3374" i="24"/>
  <c r="F28" i="21"/>
  <c r="G28" i="21"/>
  <c r="C50" i="20"/>
  <c r="B3770" i="24"/>
  <c r="C13" i="27"/>
  <c r="C15" i="27"/>
  <c r="L15" i="27"/>
  <c r="E1734" i="24"/>
  <c r="K1694" i="24"/>
  <c r="G1708" i="24"/>
  <c r="G1714" i="24"/>
  <c r="G1718" i="24"/>
  <c r="I1694" i="24"/>
  <c r="I3421" i="24"/>
  <c r="G3421" i="24"/>
  <c r="G3477" i="24"/>
  <c r="G3491" i="24"/>
  <c r="K610" i="24"/>
  <c r="G610" i="24"/>
  <c r="I610" i="24"/>
  <c r="K3385" i="24"/>
  <c r="K3384" i="24"/>
  <c r="G3383" i="24"/>
  <c r="K3383" i="24"/>
  <c r="I3382" i="24"/>
  <c r="K3382" i="24"/>
  <c r="G3381" i="24"/>
  <c r="K3380" i="24"/>
  <c r="K1714" i="24"/>
  <c r="K1718" i="24"/>
  <c r="I1696" i="24"/>
  <c r="I2477" i="24"/>
  <c r="K284" i="6"/>
  <c r="M284" i="6"/>
  <c r="E16" i="23"/>
  <c r="E67" i="23"/>
  <c r="E66" i="23"/>
  <c r="F16" i="23"/>
  <c r="F67" i="23"/>
  <c r="G16" i="23"/>
  <c r="G67" i="23"/>
  <c r="G66" i="23"/>
  <c r="H16" i="23"/>
  <c r="H67" i="23"/>
  <c r="I16" i="23"/>
  <c r="I67" i="23"/>
  <c r="J16" i="23"/>
  <c r="J67" i="23"/>
  <c r="H17" i="23"/>
  <c r="H68" i="23"/>
  <c r="I17" i="23"/>
  <c r="I68" i="23"/>
  <c r="J17" i="23"/>
  <c r="E19" i="23"/>
  <c r="E69" i="23"/>
  <c r="F19" i="23"/>
  <c r="F69" i="23"/>
  <c r="G19" i="23"/>
  <c r="G69" i="23"/>
  <c r="H19" i="23"/>
  <c r="H69" i="23"/>
  <c r="I19" i="23"/>
  <c r="I69" i="23"/>
  <c r="J19" i="23"/>
  <c r="J69" i="23"/>
  <c r="E20" i="23"/>
  <c r="E70" i="23"/>
  <c r="F20" i="23"/>
  <c r="F70" i="23"/>
  <c r="G20" i="23"/>
  <c r="G70" i="23"/>
  <c r="H20" i="23"/>
  <c r="H70" i="23"/>
  <c r="I20" i="23"/>
  <c r="I70" i="23"/>
  <c r="J20" i="23"/>
  <c r="J70" i="23"/>
  <c r="E22" i="23"/>
  <c r="E72" i="23"/>
  <c r="F22" i="23"/>
  <c r="G22" i="23"/>
  <c r="G72" i="23"/>
  <c r="H22" i="23"/>
  <c r="I22" i="23"/>
  <c r="I72" i="23"/>
  <c r="J22" i="23"/>
  <c r="J72" i="23"/>
  <c r="E23" i="23"/>
  <c r="E73" i="23"/>
  <c r="F23" i="23"/>
  <c r="F73" i="23"/>
  <c r="G23" i="23"/>
  <c r="G73" i="23"/>
  <c r="H23" i="23"/>
  <c r="H73" i="23"/>
  <c r="I23" i="23"/>
  <c r="I73" i="23"/>
  <c r="J23" i="23"/>
  <c r="J73" i="23"/>
  <c r="I758" i="24"/>
  <c r="I761" i="24"/>
  <c r="I4988" i="24"/>
  <c r="K758" i="24"/>
  <c r="K761" i="24"/>
  <c r="K4988" i="24"/>
  <c r="N938" i="6"/>
  <c r="O27" i="1"/>
  <c r="I24" i="16"/>
  <c r="H24" i="16"/>
  <c r="G24" i="16"/>
  <c r="F24" i="16"/>
  <c r="E24" i="16"/>
  <c r="D24" i="16"/>
  <c r="B11" i="21"/>
  <c r="C11" i="21"/>
  <c r="B10" i="21"/>
  <c r="C10" i="21"/>
  <c r="B12" i="21"/>
  <c r="C12" i="21"/>
  <c r="B18" i="21"/>
  <c r="B19" i="21"/>
  <c r="B9" i="21"/>
  <c r="C9" i="21"/>
  <c r="B13" i="21"/>
  <c r="C13" i="21"/>
  <c r="B14" i="21"/>
  <c r="C14" i="21"/>
  <c r="B15" i="21"/>
  <c r="C15" i="21"/>
  <c r="B16" i="21"/>
  <c r="C16" i="21"/>
  <c r="B17" i="21"/>
  <c r="C17" i="21"/>
  <c r="B20" i="21"/>
  <c r="B21" i="21"/>
  <c r="B22" i="21"/>
  <c r="C22" i="21"/>
  <c r="C24" i="20"/>
  <c r="D15" i="20"/>
  <c r="E15" i="20"/>
  <c r="D17" i="20"/>
  <c r="E17" i="20"/>
  <c r="D21" i="20"/>
  <c r="E21" i="20"/>
  <c r="D23" i="20"/>
  <c r="E23" i="20"/>
  <c r="K1884" i="24"/>
  <c r="K1883" i="24"/>
  <c r="C25" i="16"/>
  <c r="C29" i="16"/>
  <c r="C41" i="16"/>
  <c r="O62" i="1"/>
  <c r="I1884" i="24"/>
  <c r="I1883" i="24"/>
  <c r="I1908" i="24"/>
  <c r="F62" i="1"/>
  <c r="F64" i="1"/>
  <c r="B62" i="1"/>
  <c r="B64" i="1"/>
  <c r="K2472" i="24"/>
  <c r="K2477" i="24"/>
  <c r="L12" i="16"/>
  <c r="L27" i="16"/>
  <c r="K28" i="16"/>
  <c r="I412" i="6"/>
  <c r="K611" i="6"/>
  <c r="K275" i="6"/>
  <c r="M275" i="6"/>
  <c r="M181" i="24"/>
  <c r="K2751" i="24"/>
  <c r="K2752" i="24"/>
  <c r="I2751" i="24"/>
  <c r="I2752" i="24"/>
  <c r="K609" i="24"/>
  <c r="G609" i="24"/>
  <c r="G631" i="24"/>
  <c r="G629" i="24"/>
  <c r="I609" i="24"/>
  <c r="I631" i="24"/>
  <c r="G167" i="24"/>
  <c r="G198" i="24"/>
  <c r="G166" i="24"/>
  <c r="G197" i="24"/>
  <c r="G239" i="24"/>
  <c r="G236" i="24"/>
  <c r="G241" i="24"/>
  <c r="G169" i="24"/>
  <c r="G200" i="24"/>
  <c r="M176" i="24"/>
  <c r="K1063" i="24"/>
  <c r="K1064" i="24"/>
  <c r="I1063" i="24"/>
  <c r="I1064" i="24"/>
  <c r="K239" i="24"/>
  <c r="K168" i="24"/>
  <c r="K199" i="24"/>
  <c r="M238" i="24"/>
  <c r="I1658" i="24"/>
  <c r="K1658" i="24"/>
  <c r="K1485" i="24"/>
  <c r="K1489" i="24"/>
  <c r="I1485" i="24"/>
  <c r="I1489" i="24"/>
  <c r="G1485" i="24"/>
  <c r="E1485" i="24"/>
  <c r="K1784" i="24"/>
  <c r="E1846" i="24"/>
  <c r="E1849" i="24"/>
  <c r="K1617" i="24"/>
  <c r="K1620" i="24"/>
  <c r="K1626" i="24"/>
  <c r="K1627" i="24"/>
  <c r="I1617" i="24"/>
  <c r="I1620" i="24"/>
  <c r="I1626" i="24"/>
  <c r="I1627" i="24"/>
  <c r="K2026" i="24"/>
  <c r="K2029" i="24"/>
  <c r="K2030" i="24"/>
  <c r="I2026" i="24"/>
  <c r="I2029" i="24"/>
  <c r="I2030" i="24"/>
  <c r="I1843" i="24"/>
  <c r="K1843" i="24"/>
  <c r="K1797" i="24"/>
  <c r="I1797" i="24"/>
  <c r="I2196" i="24"/>
  <c r="I2201" i="24"/>
  <c r="K2423" i="24"/>
  <c r="K2426" i="24"/>
  <c r="K2427" i="24"/>
  <c r="I2423" i="24"/>
  <c r="I2426" i="24"/>
  <c r="I2427" i="24"/>
  <c r="K2449" i="24"/>
  <c r="K2452" i="24"/>
  <c r="K2453" i="24"/>
  <c r="I2452" i="24"/>
  <c r="I2453" i="24"/>
  <c r="I2377" i="24"/>
  <c r="I2383" i="24"/>
  <c r="K2531" i="24"/>
  <c r="K2532" i="24"/>
  <c r="I2531" i="24"/>
  <c r="I2532" i="24"/>
  <c r="K2581" i="24"/>
  <c r="K2582" i="24"/>
  <c r="I2581" i="24"/>
  <c r="I2582" i="24"/>
  <c r="K2831" i="24"/>
  <c r="I2831" i="24"/>
  <c r="K2880" i="24"/>
  <c r="K2881" i="24"/>
  <c r="I2880" i="24"/>
  <c r="I2881" i="24"/>
  <c r="K2800" i="24"/>
  <c r="K2802" i="24"/>
  <c r="I2800" i="24"/>
  <c r="I3263" i="24"/>
  <c r="G3263" i="24"/>
  <c r="E3264" i="24"/>
  <c r="K3263" i="24"/>
  <c r="K3264" i="24"/>
  <c r="K4037" i="24"/>
  <c r="I4032" i="24"/>
  <c r="K4013" i="24"/>
  <c r="K4014" i="24"/>
  <c r="K4016" i="24"/>
  <c r="K4020" i="24"/>
  <c r="I4013" i="24"/>
  <c r="I4014" i="24"/>
  <c r="I4016" i="24"/>
  <c r="I4020" i="24"/>
  <c r="D31" i="20"/>
  <c r="E31" i="20"/>
  <c r="D34" i="20"/>
  <c r="E34" i="20"/>
  <c r="D36" i="20"/>
  <c r="E36" i="20"/>
  <c r="D42" i="20"/>
  <c r="E42" i="20"/>
  <c r="D32" i="20"/>
  <c r="E32" i="20"/>
  <c r="D39" i="20"/>
  <c r="E39" i="20"/>
  <c r="D30" i="20"/>
  <c r="E30" i="20"/>
  <c r="E24" i="21"/>
  <c r="G3388" i="24"/>
  <c r="G3389" i="24"/>
  <c r="E318" i="6"/>
  <c r="G318" i="6"/>
  <c r="C318" i="6"/>
  <c r="I318" i="6"/>
  <c r="K2805" i="24"/>
  <c r="K2808" i="24"/>
  <c r="K2809" i="24"/>
  <c r="K37" i="13"/>
  <c r="K39" i="13"/>
  <c r="P39" i="13"/>
  <c r="I39" i="13"/>
  <c r="B637" i="24"/>
  <c r="A85" i="23"/>
  <c r="D24" i="20"/>
  <c r="E24" i="20"/>
  <c r="K4382" i="24"/>
  <c r="I3318" i="24"/>
  <c r="K3318" i="24"/>
  <c r="F103" i="42"/>
  <c r="E4863" i="24"/>
  <c r="I4971" i="24"/>
  <c r="B135" i="42"/>
  <c r="B41" i="42"/>
  <c r="B4677" i="24"/>
  <c r="B4903" i="24"/>
  <c r="I4579" i="24"/>
  <c r="B182" i="42"/>
  <c r="B92" i="42"/>
  <c r="B4859" i="24"/>
  <c r="I894" i="6"/>
  <c r="I4382" i="24"/>
  <c r="F81" i="42"/>
  <c r="E4864" i="24"/>
  <c r="E4869" i="24"/>
  <c r="E4846" i="24"/>
  <c r="E4851" i="24"/>
  <c r="B3595" i="24"/>
  <c r="B3594" i="24"/>
  <c r="B289" i="38"/>
  <c r="L13" i="27"/>
  <c r="A27" i="21"/>
  <c r="B1754" i="24"/>
  <c r="B1572" i="24"/>
  <c r="I1695" i="24"/>
  <c r="L28" i="16"/>
  <c r="I3914" i="24"/>
  <c r="C42" i="16"/>
  <c r="N939" i="6"/>
  <c r="O53" i="1"/>
  <c r="N894" i="6"/>
  <c r="H25" i="16"/>
  <c r="H29" i="16"/>
  <c r="H41" i="16"/>
  <c r="H42" i="16"/>
  <c r="E25" i="16"/>
  <c r="E29" i="16"/>
  <c r="E41" i="16"/>
  <c r="E42" i="16"/>
  <c r="I25" i="16"/>
  <c r="I29" i="16"/>
  <c r="I41" i="16"/>
  <c r="I42" i="16"/>
  <c r="G25" i="16"/>
  <c r="G29" i="16"/>
  <c r="G41" i="16"/>
  <c r="G42" i="16"/>
  <c r="D25" i="16"/>
  <c r="D29" i="16"/>
  <c r="D41" i="16"/>
  <c r="D42" i="16"/>
  <c r="F25" i="16"/>
  <c r="F29" i="16"/>
  <c r="F41" i="16"/>
  <c r="F42" i="16"/>
  <c r="B3799" i="24"/>
  <c r="B3545" i="24"/>
  <c r="B3540" i="24"/>
  <c r="B3662" i="24"/>
  <c r="B3760" i="24"/>
  <c r="K3747" i="24"/>
  <c r="B3513" i="24"/>
  <c r="B9" i="16"/>
  <c r="B3619" i="24"/>
  <c r="B3656" i="24"/>
  <c r="M3633" i="24"/>
  <c r="B3763" i="24"/>
  <c r="B3257" i="24"/>
  <c r="B3202" i="24"/>
  <c r="B3791" i="24"/>
  <c r="B3624" i="24"/>
  <c r="B3465" i="24"/>
  <c r="B3477" i="24"/>
  <c r="M3475" i="24"/>
  <c r="M3477" i="24"/>
  <c r="B3509" i="24"/>
  <c r="B3254" i="24"/>
  <c r="M3421" i="24"/>
  <c r="K3592" i="24"/>
  <c r="D13" i="21"/>
  <c r="G124" i="38"/>
  <c r="I124" i="38"/>
  <c r="D19" i="21"/>
  <c r="G130" i="38"/>
  <c r="H130" i="38"/>
  <c r="A49" i="20"/>
  <c r="B4266" i="24"/>
  <c r="B4248" i="24"/>
  <c r="B3553" i="24"/>
  <c r="B518" i="24"/>
  <c r="B115" i="6"/>
  <c r="B3238" i="24"/>
  <c r="B700" i="6"/>
  <c r="B3104" i="24"/>
  <c r="F6" i="8"/>
  <c r="B357" i="6"/>
  <c r="B3522" i="24"/>
  <c r="B899" i="24"/>
  <c r="B988" i="24"/>
  <c r="B24" i="16"/>
  <c r="L23" i="16"/>
  <c r="B3451" i="24"/>
  <c r="B816" i="6"/>
  <c r="B3263" i="24"/>
  <c r="B77" i="23"/>
  <c r="B3633" i="24"/>
  <c r="B236" i="24"/>
  <c r="B4161" i="24"/>
  <c r="B1145" i="24"/>
  <c r="B3421" i="24"/>
  <c r="B1722" i="24"/>
  <c r="B449" i="6"/>
  <c r="B3491" i="24"/>
  <c r="M3489" i="24"/>
  <c r="M3491" i="24"/>
  <c r="B100" i="29"/>
  <c r="B289" i="6"/>
  <c r="B3807" i="24"/>
  <c r="A136" i="23"/>
  <c r="B659" i="24"/>
  <c r="B4182" i="24"/>
  <c r="D22" i="21"/>
  <c r="G133" i="38"/>
  <c r="J133" i="38"/>
  <c r="C26" i="20"/>
  <c r="F136" i="38"/>
  <c r="G15" i="23"/>
  <c r="K1799" i="24"/>
  <c r="K1802" i="24"/>
  <c r="K1805" i="24"/>
  <c r="K1811" i="24"/>
  <c r="K1812" i="24"/>
  <c r="D21" i="21"/>
  <c r="F21" i="21"/>
  <c r="G21" i="21"/>
  <c r="D11" i="21"/>
  <c r="C24" i="21"/>
  <c r="C25" i="21"/>
  <c r="J21" i="23"/>
  <c r="I2762" i="24"/>
  <c r="I2760" i="24"/>
  <c r="I2770" i="24"/>
  <c r="I2802" i="24"/>
  <c r="I287" i="6"/>
  <c r="D16" i="21"/>
  <c r="D9" i="21"/>
  <c r="H15" i="23"/>
  <c r="M169" i="24"/>
  <c r="K17" i="23"/>
  <c r="E89" i="18"/>
  <c r="M610" i="24"/>
  <c r="D20" i="21"/>
  <c r="D14" i="21"/>
  <c r="K22" i="23"/>
  <c r="E15" i="23"/>
  <c r="J71" i="23"/>
  <c r="H21" i="23"/>
  <c r="G607" i="24"/>
  <c r="I2834" i="24"/>
  <c r="I2837" i="24"/>
  <c r="I2838" i="24"/>
  <c r="E21" i="23"/>
  <c r="I15" i="23"/>
  <c r="N348" i="6"/>
  <c r="M198" i="24"/>
  <c r="G71" i="23"/>
  <c r="G65" i="23"/>
  <c r="G74" i="23"/>
  <c r="I629" i="24"/>
  <c r="K70" i="23"/>
  <c r="K2834" i="24"/>
  <c r="K2837" i="24"/>
  <c r="K2838" i="24"/>
  <c r="D17" i="21"/>
  <c r="H72" i="23"/>
  <c r="H71" i="23"/>
  <c r="J15" i="23"/>
  <c r="K19" i="23"/>
  <c r="D15" i="21"/>
  <c r="D12" i="21"/>
  <c r="I66" i="23"/>
  <c r="K3200" i="24"/>
  <c r="K3202" i="24"/>
  <c r="M609" i="24"/>
  <c r="M239" i="24"/>
  <c r="K607" i="24"/>
  <c r="K1785" i="24"/>
  <c r="I1770" i="24"/>
  <c r="I1780" i="24"/>
  <c r="I1784" i="24"/>
  <c r="C1846" i="24"/>
  <c r="C1849" i="24"/>
  <c r="M167" i="24"/>
  <c r="I607" i="24"/>
  <c r="G21" i="23"/>
  <c r="K23" i="23"/>
  <c r="D18" i="21"/>
  <c r="D10" i="21"/>
  <c r="K895" i="6"/>
  <c r="F48" i="42"/>
  <c r="F66" i="23"/>
  <c r="K1915" i="24"/>
  <c r="K1917" i="24"/>
  <c r="K1918" i="24"/>
  <c r="K1887" i="24"/>
  <c r="L58" i="1"/>
  <c r="G342" i="38"/>
  <c r="K1908" i="24"/>
  <c r="J27" i="1"/>
  <c r="H66" i="23"/>
  <c r="I71" i="23"/>
  <c r="K69" i="23"/>
  <c r="M166" i="24"/>
  <c r="L27" i="1"/>
  <c r="K287" i="6"/>
  <c r="K73" i="23"/>
  <c r="K1693" i="24"/>
  <c r="K1698" i="24"/>
  <c r="L51" i="1"/>
  <c r="E1708" i="24"/>
  <c r="E1714" i="24"/>
  <c r="E1718" i="24"/>
  <c r="I1693" i="24"/>
  <c r="K20" i="23"/>
  <c r="F15" i="23"/>
  <c r="M632" i="24"/>
  <c r="B24" i="21"/>
  <c r="B25" i="21"/>
  <c r="I1915" i="24"/>
  <c r="I1917" i="24"/>
  <c r="I1918" i="24"/>
  <c r="K236" i="24"/>
  <c r="G168" i="24"/>
  <c r="K16" i="23"/>
  <c r="C89" i="18"/>
  <c r="K631" i="24"/>
  <c r="E71" i="23"/>
  <c r="E65" i="23"/>
  <c r="E74" i="23"/>
  <c r="I21" i="23"/>
  <c r="F21" i="23"/>
  <c r="M611" i="6"/>
  <c r="F72" i="23"/>
  <c r="F71" i="23"/>
  <c r="J68" i="23"/>
  <c r="J66" i="23"/>
  <c r="I895" i="6"/>
  <c r="K3381" i="24"/>
  <c r="I1887" i="24"/>
  <c r="J58" i="1"/>
  <c r="G61" i="38"/>
  <c r="M200" i="24"/>
  <c r="J22" i="5"/>
  <c r="J26" i="5"/>
  <c r="G335" i="38"/>
  <c r="I335" i="38"/>
  <c r="C297" i="43"/>
  <c r="C299" i="43"/>
  <c r="C35" i="44"/>
  <c r="C37" i="44"/>
  <c r="I37" i="13"/>
  <c r="C453" i="44"/>
  <c r="C455" i="44"/>
  <c r="G425" i="38"/>
  <c r="G453" i="44"/>
  <c r="G455" i="44"/>
  <c r="G144" i="38"/>
  <c r="K318" i="6"/>
  <c r="C321" i="6"/>
  <c r="C330" i="6"/>
  <c r="N360" i="6"/>
  <c r="G321" i="6"/>
  <c r="G330" i="6"/>
  <c r="I321" i="6"/>
  <c r="I330" i="6"/>
  <c r="N364" i="6"/>
  <c r="E321" i="6"/>
  <c r="E330" i="6"/>
  <c r="D26" i="20"/>
  <c r="E26" i="20"/>
  <c r="K2803" i="24"/>
  <c r="M3594" i="24"/>
  <c r="G32" i="38"/>
  <c r="K32" i="38"/>
  <c r="M197" i="38"/>
  <c r="F39" i="43"/>
  <c r="F41" i="43"/>
  <c r="G313" i="38"/>
  <c r="J313" i="38"/>
  <c r="C39" i="43"/>
  <c r="C41" i="43"/>
  <c r="I3827" i="24"/>
  <c r="I3846" i="24"/>
  <c r="G377" i="38"/>
  <c r="B79" i="20"/>
  <c r="D79" i="20"/>
  <c r="E79" i="20"/>
  <c r="K605" i="38"/>
  <c r="I607" i="38"/>
  <c r="G98" i="38"/>
  <c r="B35" i="20"/>
  <c r="I2832" i="24"/>
  <c r="G379" i="38"/>
  <c r="B81" i="20"/>
  <c r="K607" i="38"/>
  <c r="K48" i="13"/>
  <c r="K2832" i="24"/>
  <c r="B277" i="6"/>
  <c r="I4494" i="24"/>
  <c r="I4502" i="24"/>
  <c r="F29" i="42"/>
  <c r="I4460" i="24"/>
  <c r="E4599" i="24"/>
  <c r="E81" i="42"/>
  <c r="K4460" i="24"/>
  <c r="E103" i="42"/>
  <c r="F101" i="42"/>
  <c r="G4863" i="24"/>
  <c r="I4863" i="24"/>
  <c r="K4863" i="24"/>
  <c r="E4865" i="24"/>
  <c r="E4860" i="24"/>
  <c r="E4870" i="24"/>
  <c r="G4869" i="24"/>
  <c r="K4869" i="24"/>
  <c r="I4869" i="24"/>
  <c r="E4852" i="24"/>
  <c r="K4851" i="24"/>
  <c r="I4851" i="24"/>
  <c r="G4851" i="24"/>
  <c r="D106" i="42"/>
  <c r="K2496" i="24"/>
  <c r="K2500" i="24"/>
  <c r="K2501" i="24"/>
  <c r="I2496" i="24"/>
  <c r="I2500" i="24"/>
  <c r="I2501" i="24"/>
  <c r="J124" i="38"/>
  <c r="G140" i="38"/>
  <c r="H140" i="38"/>
  <c r="L23" i="1"/>
  <c r="K335" i="38"/>
  <c r="M510" i="38"/>
  <c r="L43" i="5"/>
  <c r="G435" i="38"/>
  <c r="J342" i="38"/>
  <c r="K342" i="38"/>
  <c r="M512" i="38"/>
  <c r="I342" i="38"/>
  <c r="K124" i="38"/>
  <c r="H124" i="38"/>
  <c r="F13" i="21"/>
  <c r="G13" i="21"/>
  <c r="F19" i="21"/>
  <c r="G19" i="21"/>
  <c r="I130" i="38"/>
  <c r="K3386" i="24"/>
  <c r="K130" i="38"/>
  <c r="K3593" i="24"/>
  <c r="J130" i="38"/>
  <c r="H133" i="38"/>
  <c r="K3378" i="24"/>
  <c r="F22" i="21"/>
  <c r="G22" i="21"/>
  <c r="G154" i="38"/>
  <c r="I133" i="38"/>
  <c r="K133" i="38"/>
  <c r="C27" i="20"/>
  <c r="F18" i="21"/>
  <c r="G18" i="21"/>
  <c r="G129" i="38"/>
  <c r="G127" i="38"/>
  <c r="F14" i="21"/>
  <c r="G14" i="21"/>
  <c r="G125" i="38"/>
  <c r="G122" i="38"/>
  <c r="F10" i="21"/>
  <c r="G10" i="21"/>
  <c r="G121" i="38"/>
  <c r="F20" i="21"/>
  <c r="G20" i="21"/>
  <c r="G131" i="38"/>
  <c r="G120" i="38"/>
  <c r="G132" i="38"/>
  <c r="G123" i="38"/>
  <c r="F16" i="21"/>
  <c r="G16" i="21"/>
  <c r="F15" i="21"/>
  <c r="G15" i="21"/>
  <c r="G126" i="38"/>
  <c r="G128" i="38"/>
  <c r="J61" i="38"/>
  <c r="I61" i="38"/>
  <c r="K61" i="38"/>
  <c r="M231" i="38"/>
  <c r="M236" i="24"/>
  <c r="J65" i="23"/>
  <c r="J74" i="23"/>
  <c r="G14" i="23"/>
  <c r="H14" i="23"/>
  <c r="I14" i="23"/>
  <c r="F17" i="21"/>
  <c r="G17" i="21"/>
  <c r="F12" i="21"/>
  <c r="G12" i="21"/>
  <c r="D24" i="21"/>
  <c r="J14" i="23"/>
  <c r="E14" i="23"/>
  <c r="F11" i="21"/>
  <c r="G11" i="21"/>
  <c r="I1785" i="24"/>
  <c r="F9" i="21"/>
  <c r="G9" i="21"/>
  <c r="M607" i="24"/>
  <c r="I1799" i="24"/>
  <c r="I1802" i="24"/>
  <c r="I1805" i="24"/>
  <c r="I1811" i="24"/>
  <c r="I1812" i="24"/>
  <c r="H65" i="23"/>
  <c r="H74" i="23"/>
  <c r="K68" i="23"/>
  <c r="K21" i="23"/>
  <c r="I89" i="18"/>
  <c r="I65" i="23"/>
  <c r="I74" i="23"/>
  <c r="M168" i="24"/>
  <c r="K160" i="24"/>
  <c r="J45" i="1"/>
  <c r="K629" i="24"/>
  <c r="M631" i="24"/>
  <c r="Q27" i="1"/>
  <c r="Q58" i="1"/>
  <c r="I1698" i="24"/>
  <c r="J51" i="1"/>
  <c r="F65" i="23"/>
  <c r="F74" i="23"/>
  <c r="K72" i="23"/>
  <c r="K71" i="23"/>
  <c r="K67" i="23"/>
  <c r="F14" i="23"/>
  <c r="K15" i="23"/>
  <c r="L48" i="1"/>
  <c r="R51" i="1"/>
  <c r="R27" i="1"/>
  <c r="G199" i="24"/>
  <c r="G196" i="24"/>
  <c r="G201" i="24"/>
  <c r="G165" i="24"/>
  <c r="R58" i="1"/>
  <c r="K165" i="24"/>
  <c r="J335" i="38"/>
  <c r="G48" i="38"/>
  <c r="J48" i="38"/>
  <c r="M89" i="18"/>
  <c r="G309" i="38"/>
  <c r="I309" i="38"/>
  <c r="C261" i="43"/>
  <c r="C263" i="43"/>
  <c r="G54" i="38"/>
  <c r="K54" i="38"/>
  <c r="M229" i="38"/>
  <c r="F297" i="43"/>
  <c r="F299" i="43"/>
  <c r="I2805" i="24"/>
  <c r="I2808" i="24"/>
  <c r="I2809" i="24"/>
  <c r="G35" i="44"/>
  <c r="G37" i="44"/>
  <c r="B33" i="20"/>
  <c r="I2803" i="24"/>
  <c r="G96" i="38"/>
  <c r="N363" i="6"/>
  <c r="G333" i="6"/>
  <c r="C333" i="6"/>
  <c r="N362" i="6"/>
  <c r="K330" i="6"/>
  <c r="M330" i="6"/>
  <c r="E333" i="6"/>
  <c r="M318" i="6"/>
  <c r="K321" i="6"/>
  <c r="M321" i="6"/>
  <c r="J32" i="38"/>
  <c r="I32" i="38"/>
  <c r="I313" i="38"/>
  <c r="K313" i="38"/>
  <c r="M478" i="38"/>
  <c r="K377" i="38"/>
  <c r="I377" i="38"/>
  <c r="H377" i="38"/>
  <c r="J377" i="38"/>
  <c r="E4871" i="24"/>
  <c r="E4873" i="24"/>
  <c r="E4913" i="24"/>
  <c r="E4915" i="24"/>
  <c r="E4917" i="24"/>
  <c r="K57" i="13"/>
  <c r="J144" i="38"/>
  <c r="H144" i="38"/>
  <c r="I144" i="38"/>
  <c r="K144" i="38"/>
  <c r="M257" i="38"/>
  <c r="K379" i="38"/>
  <c r="J379" i="38"/>
  <c r="G388" i="38"/>
  <c r="H379" i="38"/>
  <c r="I379" i="38"/>
  <c r="J425" i="38"/>
  <c r="K425" i="38"/>
  <c r="M538" i="38"/>
  <c r="H425" i="38"/>
  <c r="I425" i="38"/>
  <c r="K98" i="38"/>
  <c r="J98" i="38"/>
  <c r="I98" i="38"/>
  <c r="H98" i="38"/>
  <c r="D81" i="20"/>
  <c r="B90" i="20"/>
  <c r="D35" i="20"/>
  <c r="I4544" i="24"/>
  <c r="E101" i="42"/>
  <c r="F28" i="42"/>
  <c r="F39" i="42"/>
  <c r="E29" i="42"/>
  <c r="K898" i="6"/>
  <c r="K4494" i="24"/>
  <c r="I3357" i="24"/>
  <c r="K3357" i="24"/>
  <c r="I4599" i="24"/>
  <c r="K4464" i="24"/>
  <c r="G4865" i="24"/>
  <c r="G4864" i="24"/>
  <c r="G4870" i="24"/>
  <c r="K4865" i="24"/>
  <c r="K4864" i="24"/>
  <c r="K4870" i="24"/>
  <c r="I4865" i="24"/>
  <c r="I4864" i="24"/>
  <c r="I4870" i="24"/>
  <c r="I140" i="38"/>
  <c r="K140" i="38"/>
  <c r="M249" i="38"/>
  <c r="J140" i="38"/>
  <c r="G163" i="38"/>
  <c r="J163" i="38"/>
  <c r="R23" i="1"/>
  <c r="L21" i="1"/>
  <c r="L45" i="1"/>
  <c r="O32" i="1"/>
  <c r="O55" i="1"/>
  <c r="O64" i="1"/>
  <c r="L55" i="5"/>
  <c r="K435" i="38"/>
  <c r="M554" i="38"/>
  <c r="H435" i="38"/>
  <c r="I435" i="38"/>
  <c r="J435" i="38"/>
  <c r="K421" i="38"/>
  <c r="M530" i="38"/>
  <c r="H421" i="38"/>
  <c r="J421" i="38"/>
  <c r="I421" i="38"/>
  <c r="G444" i="38"/>
  <c r="K3375" i="24"/>
  <c r="K3388" i="24"/>
  <c r="I3388" i="24"/>
  <c r="I3389" i="24"/>
  <c r="K3238" i="24"/>
  <c r="I154" i="38"/>
  <c r="J154" i="38"/>
  <c r="H154" i="38"/>
  <c r="K154" i="38"/>
  <c r="M273" i="38"/>
  <c r="F24" i="21"/>
  <c r="G24" i="21"/>
  <c r="I128" i="38"/>
  <c r="H128" i="38"/>
  <c r="J128" i="38"/>
  <c r="K128" i="38"/>
  <c r="K132" i="38"/>
  <c r="J132" i="38"/>
  <c r="H132" i="38"/>
  <c r="I132" i="38"/>
  <c r="K131" i="38"/>
  <c r="H131" i="38"/>
  <c r="I131" i="38"/>
  <c r="J131" i="38"/>
  <c r="I122" i="38"/>
  <c r="J122" i="38"/>
  <c r="K122" i="38"/>
  <c r="H122" i="38"/>
  <c r="I127" i="38"/>
  <c r="H127" i="38"/>
  <c r="J127" i="38"/>
  <c r="K127" i="38"/>
  <c r="K126" i="38"/>
  <c r="H126" i="38"/>
  <c r="J126" i="38"/>
  <c r="I126" i="38"/>
  <c r="J123" i="38"/>
  <c r="H123" i="38"/>
  <c r="I123" i="38"/>
  <c r="K123" i="38"/>
  <c r="G135" i="38"/>
  <c r="H120" i="38"/>
  <c r="K120" i="38"/>
  <c r="J120" i="38"/>
  <c r="I120" i="38"/>
  <c r="K121" i="38"/>
  <c r="I121" i="38"/>
  <c r="J121" i="38"/>
  <c r="H121" i="38"/>
  <c r="K125" i="38"/>
  <c r="H125" i="38"/>
  <c r="J125" i="38"/>
  <c r="I125" i="38"/>
  <c r="K129" i="38"/>
  <c r="H129" i="38"/>
  <c r="I129" i="38"/>
  <c r="J129" i="38"/>
  <c r="K48" i="38"/>
  <c r="M221" i="38"/>
  <c r="I48" i="38"/>
  <c r="K66" i="23"/>
  <c r="K14" i="23"/>
  <c r="K196" i="24"/>
  <c r="M196" i="24"/>
  <c r="M197" i="24"/>
  <c r="J48" i="1"/>
  <c r="Q51" i="1"/>
  <c r="M165" i="24"/>
  <c r="M629" i="24"/>
  <c r="M199" i="24"/>
  <c r="G329" i="38"/>
  <c r="J329" i="38"/>
  <c r="J54" i="38"/>
  <c r="K309" i="38"/>
  <c r="M470" i="38"/>
  <c r="K65" i="23"/>
  <c r="K74" i="23"/>
  <c r="H89" i="18"/>
  <c r="J13" i="16"/>
  <c r="K577" i="38"/>
  <c r="K616" i="38"/>
  <c r="J309" i="38"/>
  <c r="I54" i="38"/>
  <c r="K5038" i="24"/>
  <c r="K5037" i="24"/>
  <c r="H163" i="38"/>
  <c r="H388" i="38"/>
  <c r="H390" i="38"/>
  <c r="I388" i="38"/>
  <c r="E4874" i="24"/>
  <c r="K3389" i="24"/>
  <c r="E35" i="20"/>
  <c r="K4919" i="24"/>
  <c r="G4919" i="24"/>
  <c r="I4919" i="24"/>
  <c r="N4832" i="24"/>
  <c r="E4918" i="24"/>
  <c r="B91" i="20"/>
  <c r="B92" i="20"/>
  <c r="E81" i="20"/>
  <c r="D90" i="20"/>
  <c r="E90" i="20"/>
  <c r="J388" i="38"/>
  <c r="K388" i="38"/>
  <c r="G389" i="38"/>
  <c r="K4871" i="24"/>
  <c r="K4873" i="24"/>
  <c r="K4875" i="24"/>
  <c r="G4871" i="24"/>
  <c r="G4873" i="24"/>
  <c r="G4875" i="24"/>
  <c r="I4871" i="24"/>
  <c r="I4873" i="24"/>
  <c r="I4875" i="24"/>
  <c r="N4826" i="24"/>
  <c r="J55" i="5"/>
  <c r="L16" i="1"/>
  <c r="C31" i="43"/>
  <c r="L56" i="5"/>
  <c r="L53" i="5"/>
  <c r="K4544" i="24"/>
  <c r="K4502" i="24"/>
  <c r="E208" i="42"/>
  <c r="F208" i="42"/>
  <c r="F210" i="42"/>
  <c r="K4992" i="24"/>
  <c r="K5018" i="24"/>
  <c r="K101" i="42"/>
  <c r="G4599" i="24"/>
  <c r="I4724" i="24"/>
  <c r="E48" i="42"/>
  <c r="F47" i="42"/>
  <c r="E28" i="42"/>
  <c r="E39" i="42"/>
  <c r="I4546" i="24"/>
  <c r="E4622" i="24"/>
  <c r="I4723" i="24"/>
  <c r="K4599" i="24"/>
  <c r="K4724" i="24"/>
  <c r="I4597" i="24"/>
  <c r="I163" i="38"/>
  <c r="K163" i="38"/>
  <c r="M285" i="38"/>
  <c r="Q45" i="1"/>
  <c r="R45" i="1"/>
  <c r="K329" i="38"/>
  <c r="M502" i="38"/>
  <c r="K3365" i="24"/>
  <c r="I329" i="38"/>
  <c r="I444" i="38"/>
  <c r="I3365" i="24"/>
  <c r="H444" i="38"/>
  <c r="J444" i="38"/>
  <c r="K444" i="38"/>
  <c r="M566" i="38"/>
  <c r="H135" i="38"/>
  <c r="I135" i="38"/>
  <c r="G136" i="38"/>
  <c r="K135" i="38"/>
  <c r="J135" i="38"/>
  <c r="I160" i="24"/>
  <c r="J23" i="1"/>
  <c r="I4548" i="24"/>
  <c r="I4549" i="24"/>
  <c r="N46" i="1"/>
  <c r="J22" i="1"/>
  <c r="J21" i="1"/>
  <c r="G28" i="38"/>
  <c r="I28" i="38"/>
  <c r="K5041" i="24"/>
  <c r="K5043" i="24"/>
  <c r="K5044" i="24"/>
  <c r="K13" i="16"/>
  <c r="J24" i="16"/>
  <c r="D92" i="20"/>
  <c r="E92" i="20"/>
  <c r="B93" i="20"/>
  <c r="G302" i="38"/>
  <c r="K302" i="38"/>
  <c r="M460" i="38"/>
  <c r="C33" i="43"/>
  <c r="I4622" i="24"/>
  <c r="K4546" i="24"/>
  <c r="K4548" i="24"/>
  <c r="K4549" i="24"/>
  <c r="G4622" i="24"/>
  <c r="E4619" i="24"/>
  <c r="I4726" i="24"/>
  <c r="E47" i="42"/>
  <c r="E58" i="42"/>
  <c r="F58" i="42"/>
  <c r="G4659" i="24"/>
  <c r="G4689" i="24"/>
  <c r="K4597" i="24"/>
  <c r="K208" i="42"/>
  <c r="E210" i="42"/>
  <c r="K210" i="42"/>
  <c r="G445" i="38"/>
  <c r="R16" i="1"/>
  <c r="Q23" i="1"/>
  <c r="G27" i="38"/>
  <c r="J27" i="38"/>
  <c r="Q22" i="1"/>
  <c r="F261" i="43"/>
  <c r="F263" i="43"/>
  <c r="K28" i="38"/>
  <c r="M189" i="38"/>
  <c r="J28" i="38"/>
  <c r="E4624" i="24"/>
  <c r="E4625" i="24"/>
  <c r="J302" i="38"/>
  <c r="K24" i="16"/>
  <c r="L13" i="16"/>
  <c r="I302" i="38"/>
  <c r="K4622" i="24"/>
  <c r="I4619" i="24"/>
  <c r="I4624" i="24"/>
  <c r="K4723" i="24"/>
  <c r="K4726" i="24"/>
  <c r="K4689" i="24"/>
  <c r="K4691" i="24"/>
  <c r="G4691" i="24"/>
  <c r="K58" i="42"/>
  <c r="G4671" i="24"/>
  <c r="G4619" i="24"/>
  <c r="G4624" i="24"/>
  <c r="K4659" i="24"/>
  <c r="I27" i="38"/>
  <c r="K27" i="38"/>
  <c r="M187" i="38"/>
  <c r="E40" i="42"/>
  <c r="K3911" i="24"/>
  <c r="K3938" i="24"/>
  <c r="L24" i="16"/>
  <c r="I4625" i="24"/>
  <c r="G4701" i="24"/>
  <c r="K4619" i="24"/>
  <c r="K4624" i="24"/>
  <c r="K4671" i="24"/>
  <c r="K4673" i="24"/>
  <c r="G4673" i="24"/>
  <c r="E59" i="42"/>
  <c r="H51" i="19"/>
  <c r="H53" i="19"/>
  <c r="D51" i="19"/>
  <c r="D53" i="19"/>
  <c r="C51" i="19"/>
  <c r="C53" i="19"/>
  <c r="B51" i="19"/>
  <c r="B53" i="19"/>
  <c r="A51" i="19"/>
  <c r="A53" i="19"/>
  <c r="K51" i="19"/>
  <c r="E51" i="19"/>
  <c r="I51" i="19"/>
  <c r="I53" i="19"/>
  <c r="Y23" i="18"/>
  <c r="Y25" i="18"/>
  <c r="Y29" i="18"/>
  <c r="Y40" i="18"/>
  <c r="Y47" i="18"/>
  <c r="Y63" i="18"/>
  <c r="Y68" i="18"/>
  <c r="Y74" i="18"/>
  <c r="W87" i="18"/>
  <c r="W89" i="18"/>
  <c r="AM314" i="17"/>
  <c r="Y87" i="18"/>
  <c r="A55" i="19"/>
  <c r="K4701" i="24"/>
  <c r="K4703" i="24"/>
  <c r="K4705" i="24"/>
  <c r="G4703" i="24"/>
  <c r="G4705" i="24"/>
  <c r="E25" i="21"/>
  <c r="AM317" i="17"/>
  <c r="X87" i="18"/>
  <c r="I2084" i="24"/>
  <c r="M2092" i="24"/>
  <c r="AK265" i="17"/>
  <c r="I2101" i="24"/>
  <c r="I2104" i="24"/>
  <c r="I2105" i="24"/>
  <c r="I2085" i="24"/>
  <c r="K2059" i="24"/>
  <c r="K2084" i="24"/>
  <c r="K2085" i="24"/>
  <c r="K2101" i="24"/>
  <c r="K2104" i="24"/>
  <c r="K2105" i="24"/>
  <c r="K295" i="6"/>
  <c r="I331" i="6"/>
  <c r="I333" i="6"/>
  <c r="K297" i="6"/>
  <c r="K331" i="6"/>
  <c r="K412" i="6"/>
  <c r="K414" i="6"/>
  <c r="K415" i="6"/>
  <c r="K118" i="6"/>
  <c r="M297" i="6"/>
  <c r="I117" i="6"/>
  <c r="I127" i="6"/>
  <c r="N110" i="6"/>
  <c r="M295" i="6"/>
  <c r="K333" i="6"/>
  <c r="N366" i="6"/>
  <c r="G3264" i="24"/>
  <c r="M331" i="6"/>
  <c r="K4357" i="24"/>
  <c r="K117" i="6"/>
  <c r="K127" i="6"/>
  <c r="M333" i="6"/>
  <c r="B323" i="6"/>
  <c r="E4845" i="24"/>
  <c r="I3293" i="24"/>
  <c r="K3293" i="24"/>
  <c r="K4422" i="24"/>
  <c r="I4593" i="24"/>
  <c r="K4593" i="24"/>
  <c r="L12" i="1"/>
  <c r="F96" i="42"/>
  <c r="E96" i="42"/>
  <c r="I4379" i="24"/>
  <c r="F80" i="42"/>
  <c r="E80" i="42"/>
  <c r="I908" i="6"/>
  <c r="K4845" i="24"/>
  <c r="G4845" i="24"/>
  <c r="I4845" i="24"/>
  <c r="E4847" i="24"/>
  <c r="G299" i="38"/>
  <c r="R12" i="1"/>
  <c r="C57" i="43"/>
  <c r="C59" i="43"/>
  <c r="Q12" i="1"/>
  <c r="I3942" i="24"/>
  <c r="I4459" i="24"/>
  <c r="F79" i="42"/>
  <c r="I909" i="6"/>
  <c r="I898" i="6"/>
  <c r="E176" i="42"/>
  <c r="F176" i="42"/>
  <c r="E4842" i="24"/>
  <c r="I4464" i="24"/>
  <c r="E4598" i="24"/>
  <c r="J299" i="38"/>
  <c r="K299" i="38"/>
  <c r="M454" i="38"/>
  <c r="I299" i="38"/>
  <c r="E79" i="42"/>
  <c r="K79" i="42"/>
  <c r="G4598" i="24"/>
  <c r="K176" i="42"/>
  <c r="I4992" i="24"/>
  <c r="J56" i="5"/>
  <c r="J53" i="5"/>
  <c r="J16" i="1"/>
  <c r="N45" i="1"/>
  <c r="E177" i="42"/>
  <c r="I5018" i="24"/>
  <c r="G4847" i="24"/>
  <c r="G4846" i="24"/>
  <c r="G4852" i="24"/>
  <c r="I4847" i="24"/>
  <c r="I4846" i="24"/>
  <c r="I4852" i="24"/>
  <c r="K4847" i="24"/>
  <c r="K4846" i="24"/>
  <c r="K4852" i="24"/>
  <c r="F177" i="42"/>
  <c r="F179" i="42"/>
  <c r="E4597" i="24"/>
  <c r="E179" i="42"/>
  <c r="Q16" i="1"/>
  <c r="G21" i="38"/>
  <c r="F31" i="43"/>
  <c r="F33" i="43"/>
  <c r="G164" i="38"/>
  <c r="G4657" i="24"/>
  <c r="G4597" i="24"/>
  <c r="K179" i="42"/>
  <c r="K177" i="42"/>
  <c r="I21" i="38"/>
  <c r="J21" i="38"/>
  <c r="K21" i="38"/>
  <c r="M179" i="38"/>
  <c r="K4657" i="24"/>
  <c r="K4661" i="24"/>
  <c r="K4675" i="24"/>
  <c r="G4661" i="24"/>
  <c r="G4675" i="24"/>
  <c r="F757" i="44"/>
  <c r="F5" i="44"/>
  <c r="D757" i="44"/>
  <c r="D5" i="44"/>
  <c r="C757" i="44"/>
  <c r="C5" i="44"/>
  <c r="C761" i="44"/>
  <c r="P734" i="45"/>
  <c r="I653" i="45"/>
  <c r="I1044" i="51"/>
  <c r="K1044" i="51"/>
  <c r="C139" i="43"/>
  <c r="K1303" i="24"/>
  <c r="K1301" i="24"/>
  <c r="K1313" i="24"/>
  <c r="C146" i="43"/>
  <c r="F139" i="43"/>
  <c r="K3950" i="24"/>
  <c r="L40" i="1"/>
  <c r="F146" i="43"/>
  <c r="I1303" i="24"/>
  <c r="I1301" i="24"/>
  <c r="I1313" i="24"/>
  <c r="L36" i="1"/>
  <c r="L53" i="1"/>
  <c r="R40" i="1"/>
  <c r="R53" i="1"/>
  <c r="C148" i="43"/>
  <c r="C150" i="43"/>
  <c r="G324" i="38"/>
  <c r="J324" i="38"/>
  <c r="G337" i="38"/>
  <c r="K324" i="38"/>
  <c r="M492" i="38"/>
  <c r="I324" i="38"/>
  <c r="I337" i="38"/>
  <c r="J40" i="1"/>
  <c r="I3950" i="24"/>
  <c r="Q40" i="1"/>
  <c r="Q53" i="1"/>
  <c r="G43" i="38"/>
  <c r="F148" i="43"/>
  <c r="F150" i="43"/>
  <c r="J36" i="1"/>
  <c r="J53" i="1"/>
  <c r="J337" i="38"/>
  <c r="K337" i="38"/>
  <c r="G56" i="38"/>
  <c r="J43" i="38"/>
  <c r="K43" i="38"/>
  <c r="M211" i="38"/>
  <c r="I43" i="38"/>
  <c r="I56" i="38"/>
  <c r="J56" i="38"/>
  <c r="K56" i="38"/>
  <c r="I924" i="6"/>
  <c r="I925" i="6"/>
  <c r="K924" i="6"/>
  <c r="K925" i="6"/>
  <c r="D7" i="43"/>
  <c r="D10" i="43"/>
  <c r="D5" i="43"/>
  <c r="C62" i="43"/>
  <c r="G453" i="6"/>
  <c r="I729" i="45"/>
  <c r="I1167" i="51"/>
  <c r="K1167" i="51"/>
  <c r="F62" i="43"/>
  <c r="G432" i="6"/>
  <c r="O608" i="45"/>
  <c r="I608" i="45"/>
  <c r="C7" i="43"/>
  <c r="K1963" i="24"/>
  <c r="O734" i="45"/>
  <c r="I623" i="6"/>
  <c r="K432" i="6"/>
  <c r="G444" i="6"/>
  <c r="I5004" i="24"/>
  <c r="G465" i="6"/>
  <c r="I717" i="6"/>
  <c r="K453" i="6"/>
  <c r="C63" i="43"/>
  <c r="F63" i="43"/>
  <c r="F7" i="43"/>
  <c r="I989" i="51"/>
  <c r="K989" i="51"/>
  <c r="K5006" i="24"/>
  <c r="K5004" i="24"/>
  <c r="D734" i="45"/>
  <c r="I807" i="6"/>
  <c r="K717" i="6"/>
  <c r="I720" i="6"/>
  <c r="I789" i="6"/>
  <c r="I823" i="6"/>
  <c r="K444" i="6"/>
  <c r="I4366" i="24"/>
  <c r="K4991" i="24"/>
  <c r="K4994" i="24"/>
  <c r="K5001" i="24"/>
  <c r="I3264" i="24"/>
  <c r="K5002" i="24"/>
  <c r="I4991" i="24"/>
  <c r="I4994" i="24"/>
  <c r="I5002" i="24"/>
  <c r="I5001" i="24"/>
  <c r="I5006" i="24"/>
  <c r="I695" i="6"/>
  <c r="K623" i="6"/>
  <c r="I626" i="6"/>
  <c r="K465" i="6"/>
  <c r="K4366" i="24"/>
  <c r="C10" i="43"/>
  <c r="C5" i="43"/>
  <c r="K3954" i="24"/>
  <c r="K789" i="6"/>
  <c r="I792" i="6"/>
  <c r="K626" i="6"/>
  <c r="M626" i="6"/>
  <c r="M623" i="6"/>
  <c r="I4396" i="24"/>
  <c r="I4431" i="24"/>
  <c r="K4396" i="24"/>
  <c r="I3302" i="24"/>
  <c r="K4431" i="24"/>
  <c r="F97" i="42"/>
  <c r="L13" i="1"/>
  <c r="I824" i="6"/>
  <c r="N823" i="6"/>
  <c r="J13" i="1"/>
  <c r="J9" i="1"/>
  <c r="F75" i="42"/>
  <c r="K720" i="6"/>
  <c r="M720" i="6"/>
  <c r="M717" i="6"/>
  <c r="K695" i="6"/>
  <c r="I698" i="6"/>
  <c r="N807" i="6"/>
  <c r="I808" i="6"/>
  <c r="I5003" i="24"/>
  <c r="F10" i="43"/>
  <c r="F5" i="43"/>
  <c r="J25" i="16"/>
  <c r="J29" i="16"/>
  <c r="K1965" i="24"/>
  <c r="L60" i="1"/>
  <c r="L26" i="5"/>
  <c r="N808" i="6"/>
  <c r="I810" i="6"/>
  <c r="I5008" i="24"/>
  <c r="K5003" i="24"/>
  <c r="K5008" i="24"/>
  <c r="N824" i="6"/>
  <c r="I826" i="6"/>
  <c r="G300" i="38"/>
  <c r="C65" i="43"/>
  <c r="C67" i="43"/>
  <c r="L9" i="1"/>
  <c r="R13" i="1"/>
  <c r="R32" i="1"/>
  <c r="R55" i="1"/>
  <c r="F94" i="42"/>
  <c r="E97" i="42"/>
  <c r="K4456" i="24"/>
  <c r="K4466" i="24"/>
  <c r="K4467" i="24"/>
  <c r="I4594" i="24"/>
  <c r="K792" i="6"/>
  <c r="M789" i="6"/>
  <c r="I4456" i="24"/>
  <c r="I4466" i="24"/>
  <c r="I4467" i="24"/>
  <c r="E4594" i="24"/>
  <c r="M695" i="6"/>
  <c r="K698" i="6"/>
  <c r="E75" i="42"/>
  <c r="F72" i="42"/>
  <c r="K3302" i="24"/>
  <c r="K3332" i="24"/>
  <c r="I3332" i="24"/>
  <c r="Q13" i="1"/>
  <c r="Q32" i="1"/>
  <c r="Q55" i="1"/>
  <c r="F65" i="43"/>
  <c r="F67" i="43"/>
  <c r="G67" i="43"/>
  <c r="G19" i="38"/>
  <c r="L54" i="5"/>
  <c r="O26" i="5"/>
  <c r="L32" i="1"/>
  <c r="L55" i="1"/>
  <c r="K25" i="16"/>
  <c r="K29" i="16"/>
  <c r="K4594" i="24"/>
  <c r="K4585" i="24"/>
  <c r="K4601" i="24"/>
  <c r="K4626" i="24"/>
  <c r="I4585" i="24"/>
  <c r="I4601" i="24"/>
  <c r="J32" i="1"/>
  <c r="J55" i="1"/>
  <c r="B688" i="6"/>
  <c r="G4594" i="24"/>
  <c r="G4585" i="24"/>
  <c r="G4601" i="24"/>
  <c r="G4626" i="24"/>
  <c r="E4585" i="24"/>
  <c r="E4601" i="24"/>
  <c r="E4626" i="24"/>
  <c r="F112" i="42"/>
  <c r="E94" i="42"/>
  <c r="J19" i="38"/>
  <c r="K19" i="38"/>
  <c r="M175" i="38"/>
  <c r="G37" i="38"/>
  <c r="I19" i="38"/>
  <c r="F90" i="42"/>
  <c r="E72" i="42"/>
  <c r="B782" i="6"/>
  <c r="M792" i="6"/>
  <c r="J300" i="38"/>
  <c r="K300" i="38"/>
  <c r="M456" i="38"/>
  <c r="I300" i="38"/>
  <c r="I318" i="38"/>
  <c r="I339" i="38"/>
  <c r="G318" i="38"/>
  <c r="C12" i="43"/>
  <c r="L57" i="1"/>
  <c r="R60" i="1"/>
  <c r="R62" i="1"/>
  <c r="R64" i="1"/>
  <c r="G344" i="38"/>
  <c r="E4602" i="24"/>
  <c r="G4628" i="24"/>
  <c r="J318" i="38"/>
  <c r="G339" i="38"/>
  <c r="K318" i="38"/>
  <c r="G58" i="38"/>
  <c r="G66" i="38" s="1"/>
  <c r="J37" i="38"/>
  <c r="K94" i="42"/>
  <c r="E112" i="42"/>
  <c r="I4602" i="24"/>
  <c r="I4626" i="24"/>
  <c r="K4628" i="24"/>
  <c r="K72" i="42"/>
  <c r="E90" i="42"/>
  <c r="K3239" i="24"/>
  <c r="A14" i="43"/>
  <c r="G346" i="38"/>
  <c r="G347" i="38"/>
  <c r="K344" i="38"/>
  <c r="M516" i="38"/>
  <c r="J344" i="38"/>
  <c r="I344" i="38"/>
  <c r="I346" i="38"/>
  <c r="I347" i="38"/>
  <c r="L62" i="1"/>
  <c r="L64" i="1"/>
  <c r="K4728" i="24"/>
  <c r="K4730" i="24"/>
  <c r="L25" i="16"/>
  <c r="L29" i="16"/>
  <c r="C14" i="43"/>
  <c r="E113" i="42"/>
  <c r="K112" i="42"/>
  <c r="K339" i="38"/>
  <c r="J339" i="38"/>
  <c r="E91" i="42"/>
  <c r="K90" i="42"/>
  <c r="M287" i="6"/>
  <c r="M285" i="6"/>
  <c r="K255" i="6"/>
  <c r="K257" i="6"/>
  <c r="M257" i="6"/>
  <c r="C287" i="6"/>
  <c r="J346" i="38"/>
  <c r="K346" i="38"/>
  <c r="I408" i="6"/>
  <c r="I414" i="6"/>
  <c r="I415" i="6"/>
  <c r="I5038" i="24"/>
  <c r="I5037" i="24"/>
  <c r="M255" i="6"/>
  <c r="M698" i="6"/>
  <c r="K612" i="6"/>
  <c r="M612" i="6"/>
  <c r="M696" i="6"/>
  <c r="I5046" i="24"/>
  <c r="I5050" i="24"/>
  <c r="I5051" i="24"/>
  <c r="I5041" i="24"/>
  <c r="I5043" i="24"/>
  <c r="I5044" i="24"/>
  <c r="K614" i="6"/>
  <c r="M614" i="6"/>
  <c r="N809" i="6"/>
  <c r="G525" i="44"/>
  <c r="I2094" i="47"/>
  <c r="I2101" i="47"/>
  <c r="I2110" i="47"/>
  <c r="E734" i="45"/>
  <c r="I734" i="45"/>
  <c r="I2112" i="47"/>
  <c r="J43" i="19"/>
  <c r="E757" i="44"/>
  <c r="E5" i="44"/>
  <c r="G523" i="44"/>
  <c r="I1889" i="47"/>
  <c r="I1900" i="47"/>
  <c r="I1915" i="47"/>
  <c r="I1917" i="47"/>
  <c r="J39" i="19"/>
  <c r="L43" i="19"/>
  <c r="J42" i="19"/>
  <c r="G757" i="44"/>
  <c r="G5" i="44"/>
  <c r="I2953" i="24"/>
  <c r="I2997" i="24"/>
  <c r="I44" i="13"/>
  <c r="I2998" i="24"/>
  <c r="I24" i="6"/>
  <c r="L42" i="19"/>
  <c r="M4053" i="24"/>
  <c r="B4053" i="24"/>
  <c r="L39" i="19"/>
  <c r="J38" i="19"/>
  <c r="J47" i="19"/>
  <c r="I1963" i="24"/>
  <c r="J51" i="19"/>
  <c r="L38" i="19"/>
  <c r="M4051" i="24"/>
  <c r="G3" i="44"/>
  <c r="B40" i="20"/>
  <c r="I48" i="13"/>
  <c r="G759" i="44"/>
  <c r="G761" i="44"/>
  <c r="I612" i="38"/>
  <c r="G103" i="38"/>
  <c r="I1219" i="24"/>
  <c r="L47" i="19"/>
  <c r="L51" i="19"/>
  <c r="M4039" i="24"/>
  <c r="I4037" i="24"/>
  <c r="B4051" i="24"/>
  <c r="B44" i="20"/>
  <c r="D40" i="20"/>
  <c r="J53" i="19"/>
  <c r="I57" i="13"/>
  <c r="E4895" i="24"/>
  <c r="E4897" i="24"/>
  <c r="E4899" i="24"/>
  <c r="E4853" i="24"/>
  <c r="I1226" i="24"/>
  <c r="J103" i="38"/>
  <c r="H103" i="38"/>
  <c r="G107" i="38"/>
  <c r="K103" i="38"/>
  <c r="I103" i="38"/>
  <c r="I1965" i="24"/>
  <c r="J60" i="1"/>
  <c r="Q60" i="1"/>
  <c r="Q62" i="1"/>
  <c r="Q64" i="1"/>
  <c r="G63" i="38"/>
  <c r="F12" i="43"/>
  <c r="F14" i="43"/>
  <c r="J57" i="1"/>
  <c r="J30" i="16"/>
  <c r="I577" i="38"/>
  <c r="E40" i="20"/>
  <c r="G108" i="38"/>
  <c r="G4853" i="24"/>
  <c r="G4855" i="24"/>
  <c r="I4853" i="24"/>
  <c r="I4855" i="24"/>
  <c r="E4855" i="24"/>
  <c r="E4856" i="24"/>
  <c r="K4853" i="24"/>
  <c r="K4855" i="24"/>
  <c r="B45" i="20"/>
  <c r="B46" i="20"/>
  <c r="I1231" i="24"/>
  <c r="K4901" i="24"/>
  <c r="E4900" i="24"/>
  <c r="I4901" i="24"/>
  <c r="M4832" i="24"/>
  <c r="G4901" i="24"/>
  <c r="J41" i="16"/>
  <c r="J42" i="16"/>
  <c r="B47" i="20"/>
  <c r="I4728" i="24"/>
  <c r="I4730" i="24"/>
  <c r="J62" i="1"/>
  <c r="G4857" i="24"/>
  <c r="I4857" i="24"/>
  <c r="M4826" i="24"/>
  <c r="B4826" i="24"/>
  <c r="I1234" i="24"/>
  <c r="I1236" i="24"/>
  <c r="I1238" i="24"/>
  <c r="I1240" i="24"/>
  <c r="K30" i="16"/>
  <c r="K4857" i="24"/>
  <c r="K63" i="38"/>
  <c r="M235" i="38"/>
  <c r="J63" i="38"/>
  <c r="I63" i="38"/>
  <c r="I65" i="38"/>
  <c r="G65" i="38"/>
  <c r="I1270" i="24"/>
  <c r="I1269" i="24"/>
  <c r="I1266" i="24"/>
  <c r="J64" i="1"/>
  <c r="I1273" i="24"/>
  <c r="I1265" i="24"/>
  <c r="L30" i="16"/>
  <c r="K41" i="16"/>
  <c r="K42" i="16"/>
  <c r="K65" i="38"/>
  <c r="J65" i="38"/>
  <c r="I1255" i="24"/>
  <c r="I1252" i="24"/>
  <c r="I1249" i="24"/>
  <c r="I1251" i="24"/>
  <c r="I1254" i="24"/>
  <c r="I1274" i="24"/>
  <c r="I1264" i="24"/>
  <c r="L41" i="16"/>
  <c r="L42" i="16"/>
  <c r="I3911" i="24"/>
  <c r="I3938" i="24"/>
  <c r="I3954" i="24"/>
  <c r="N26" i="5"/>
  <c r="I1262" i="24"/>
  <c r="I1243" i="24"/>
  <c r="K3451" i="24"/>
  <c r="J54" i="5"/>
  <c r="K22" i="42"/>
  <c r="I32" i="42"/>
  <c r="I39" i="42"/>
  <c r="K39" i="42"/>
  <c r="H33" i="44"/>
  <c r="H5" i="44"/>
  <c r="I33" i="44"/>
  <c r="I5" i="44"/>
  <c r="F37" i="13"/>
  <c r="F48" i="13"/>
  <c r="K53" i="19"/>
  <c r="F96" i="38"/>
  <c r="F107" i="38"/>
  <c r="F108" i="38"/>
  <c r="F57" i="13"/>
  <c r="C33" i="20"/>
  <c r="D37" i="13"/>
  <c r="J96" i="38"/>
  <c r="I605" i="38"/>
  <c r="I616" i="38"/>
  <c r="I96" i="38"/>
  <c r="I107" i="38"/>
  <c r="H96" i="38"/>
  <c r="H107" i="38"/>
  <c r="H109" i="38"/>
  <c r="F109" i="38"/>
  <c r="J107" i="38"/>
  <c r="F61" i="13"/>
  <c r="F113" i="38"/>
  <c r="C44" i="20"/>
  <c r="D33" i="20"/>
  <c r="D44" i="20"/>
  <c r="D48" i="13"/>
  <c r="D57" i="13"/>
  <c r="C96" i="38"/>
  <c r="C107" i="38"/>
  <c r="K96" i="38"/>
  <c r="D96" i="38"/>
  <c r="D107" i="38"/>
  <c r="D109" i="38"/>
  <c r="D113" i="38"/>
  <c r="D117" i="38"/>
  <c r="C45" i="20"/>
  <c r="C46" i="20"/>
  <c r="E44" i="20"/>
  <c r="E33" i="20"/>
  <c r="F117" i="38"/>
  <c r="F118" i="38"/>
  <c r="C47" i="20"/>
  <c r="D46" i="20"/>
  <c r="E46" i="20"/>
  <c r="K107" i="38"/>
  <c r="C109" i="38"/>
  <c r="C108" i="38"/>
  <c r="C113" i="38"/>
  <c r="C117" i="38"/>
  <c r="C118" i="38"/>
  <c r="H22" i="8"/>
  <c r="H35" i="8"/>
  <c r="I20" i="8"/>
  <c r="I22" i="8"/>
  <c r="I35" i="8"/>
  <c r="O20" i="8"/>
  <c r="O22" i="8"/>
  <c r="O35" i="8"/>
  <c r="K58" i="38" l="1"/>
  <c r="C66" i="38"/>
  <c r="K37" i="38"/>
  <c r="F66" i="38"/>
  <c r="K111" i="38"/>
  <c r="G75" i="38"/>
  <c r="I111" i="38"/>
  <c r="H111" i="38"/>
  <c r="H113" i="38" s="1"/>
  <c r="H117" i="38" s="1"/>
  <c r="J111" i="38"/>
  <c r="K392" i="38"/>
  <c r="I392" i="38"/>
  <c r="G356" i="38"/>
  <c r="H392" i="38"/>
  <c r="H394" i="38" s="1"/>
  <c r="H398" i="38" s="1"/>
  <c r="J392" i="38"/>
  <c r="I2361" i="24"/>
  <c r="J356" i="38" l="1"/>
  <c r="I356" i="38"/>
  <c r="I370" i="38" s="1"/>
  <c r="I390" i="38" s="1"/>
  <c r="I394" i="38" s="1"/>
  <c r="I398" i="38" s="1"/>
  <c r="G370" i="38"/>
  <c r="K356" i="38"/>
  <c r="I75" i="38"/>
  <c r="I89" i="38" s="1"/>
  <c r="I109" i="38" s="1"/>
  <c r="I113" i="38" s="1"/>
  <c r="I117" i="38" s="1"/>
  <c r="G89" i="38"/>
  <c r="K75" i="38"/>
  <c r="J75" i="38"/>
  <c r="K89" i="38" l="1"/>
  <c r="G109" i="38"/>
  <c r="J89" i="38"/>
  <c r="J370" i="38"/>
  <c r="G390" i="38"/>
  <c r="K370" i="38"/>
  <c r="J109" i="38" l="1"/>
  <c r="G113" i="38"/>
  <c r="K109" i="38"/>
  <c r="G394" i="38"/>
  <c r="K390" i="38"/>
  <c r="J390" i="38"/>
  <c r="G117" i="38" l="1"/>
  <c r="K113" i="38"/>
  <c r="J113" i="38"/>
  <c r="J394" i="38"/>
  <c r="K394" i="38"/>
  <c r="G398" i="38"/>
  <c r="K398" i="38" l="1"/>
  <c r="G399" i="38"/>
  <c r="J398" i="38"/>
  <c r="J117" i="38"/>
  <c r="K117" i="38"/>
  <c r="G118" i="38"/>
</calcChain>
</file>

<file path=xl/connections.xml><?xml version="1.0" encoding="utf-8"?>
<connections xmlns="http://schemas.openxmlformats.org/spreadsheetml/2006/main">
  <connection id="1" name="PF0812" type="6" refreshedVersion="4" background="1" saveData="1">
    <textPr codePage="932" sourceFile="C:\Users\JossBotes\Desktop\Mohokare\General Ledger\PF0812.TXT" delimited="0" thousands=" ">
      <textFields count="10">
        <textField/>
        <textField position="20"/>
        <textField position="52"/>
        <textField position="64"/>
        <textField position="76"/>
        <textField position="88"/>
        <textField position="100"/>
        <textField position="102"/>
        <textField position="116"/>
        <textField position="130"/>
      </textFields>
    </textPr>
  </connection>
  <connection id="2" name="PF0816" type="6" refreshedVersion="4" background="1" saveData="1">
    <textPr codePage="932" sourceFile="C:\Users\JossBotes\Desktop\Mohokare\AFS\2012 AFS\PF0816.TXT" delimited="0" thousands=" ">
      <textFields count="10">
        <textField/>
        <textField position="21"/>
        <textField position="52"/>
        <textField position="64"/>
        <textField position="76"/>
        <textField position="88"/>
        <textField position="100"/>
        <textField position="102"/>
        <textField position="116"/>
        <textField position="130"/>
      </textFields>
    </textPr>
  </connection>
  <connection id="3" name="PM2906" type="6" refreshedVersion="4" background="1" saveData="1">
    <textPr codePage="437" firstRow="33" sourceFile="F:\PM2906.TXT" delimited="0">
      <textFields count="9">
        <textField/>
        <textField position="19"/>
        <textField position="36"/>
        <textField position="47"/>
        <textField position="59"/>
        <textField position="71"/>
        <textField position="76"/>
        <textField position="79"/>
        <textField position="91"/>
      </textFields>
    </textPr>
  </connection>
</connections>
</file>

<file path=xl/sharedStrings.xml><?xml version="1.0" encoding="utf-8"?>
<sst xmlns="http://schemas.openxmlformats.org/spreadsheetml/2006/main" count="27628" uniqueCount="8218">
  <si>
    <t>Short-term Listed Investments</t>
  </si>
  <si>
    <t>Short-term Unlisted Investments</t>
  </si>
  <si>
    <t>Short-term Financial Instruments</t>
  </si>
  <si>
    <t>All Investments</t>
  </si>
  <si>
    <t>Less:  Short-term Portion transferred to Current Investments</t>
  </si>
  <si>
    <t>Fund</t>
  </si>
  <si>
    <t>and</t>
  </si>
  <si>
    <t>Description</t>
  </si>
  <si>
    <t>Depreciation:</t>
  </si>
  <si>
    <t>Total Long-term Receivables</t>
  </si>
  <si>
    <t>Interest</t>
  </si>
  <si>
    <t>Rate</t>
  </si>
  <si>
    <t>DBSA</t>
  </si>
  <si>
    <t>ABSA</t>
  </si>
  <si>
    <t>INCA</t>
  </si>
  <si>
    <t>Consumable Stores - at cost</t>
  </si>
  <si>
    <t>Service Debtors:</t>
  </si>
  <si>
    <t>Provincial</t>
  </si>
  <si>
    <t>Government</t>
  </si>
  <si>
    <t>Sale of Electricity</t>
  </si>
  <si>
    <t>Sale of Water</t>
  </si>
  <si>
    <t>Refuse Removal</t>
  </si>
  <si>
    <t>Sewerage and Sanitation Charges</t>
  </si>
  <si>
    <t>Total Government Grants and Subsidies</t>
  </si>
  <si>
    <t>Employee Related Costs - Salaries and Wages</t>
  </si>
  <si>
    <t>Travel, Motor Car, Accommodation, Subsistence and Other Allowances</t>
  </si>
  <si>
    <t>Housing Benefits and Allowances</t>
  </si>
  <si>
    <t>Overtime Payments</t>
  </si>
  <si>
    <t>Performance Bonuses</t>
  </si>
  <si>
    <t>Less:  Employee Costs included in Other Expenses</t>
  </si>
  <si>
    <t>Insurance</t>
  </si>
  <si>
    <t>SUM</t>
  </si>
  <si>
    <t>Reserves</t>
  </si>
  <si>
    <t>Capital</t>
  </si>
  <si>
    <t>Replacement</t>
  </si>
  <si>
    <t>Reserve</t>
  </si>
  <si>
    <t>Capitalisation</t>
  </si>
  <si>
    <t>Donations and</t>
  </si>
  <si>
    <t>Self</t>
  </si>
  <si>
    <t>Revaluation</t>
  </si>
  <si>
    <t>Accumulated</t>
  </si>
  <si>
    <t>Surplus /</t>
  </si>
  <si>
    <t>Public Contr</t>
  </si>
  <si>
    <t>Loss on disposal of Property, Plant and Equipment</t>
  </si>
  <si>
    <t>Executive and Council</t>
  </si>
  <si>
    <t>Finance and Administration</t>
  </si>
  <si>
    <t>Planning and Development</t>
  </si>
  <si>
    <t>Community and Social Services</t>
  </si>
  <si>
    <t>Sport and Recreation</t>
  </si>
  <si>
    <t xml:space="preserve">     Fruitless and Wasteful Expenditure current year</t>
  </si>
  <si>
    <t xml:space="preserve">     Fruitless and Wasteful Expenditure awaiting condonement</t>
  </si>
  <si>
    <t>Reconciliation of Irregular Expenditure:</t>
  </si>
  <si>
    <t xml:space="preserve">     Irregular Expenditure current year</t>
  </si>
  <si>
    <t xml:space="preserve">     Irregular Expenditure awaiting condonement</t>
  </si>
  <si>
    <t>The balance unpaid represents the audit fee for an interim audit condicted during May and June 2006 and is payable by 31 July 2006.</t>
  </si>
  <si>
    <t>Listed Shares</t>
  </si>
  <si>
    <t>Housing Development Fund:</t>
  </si>
  <si>
    <t>Total Non-current Provisions</t>
  </si>
  <si>
    <t>Electricity and Water</t>
  </si>
  <si>
    <t>Trade Creditors</t>
  </si>
  <si>
    <t>Other Creditors</t>
  </si>
  <si>
    <t>Health - Clinics</t>
  </si>
  <si>
    <t>CONTINGENT LIABILITIES</t>
  </si>
  <si>
    <t>IN-KIND DONATIONS AND ASSISTANCE</t>
  </si>
  <si>
    <t>Total Assets</t>
  </si>
  <si>
    <t>Dividends received</t>
  </si>
  <si>
    <t>Sept</t>
  </si>
  <si>
    <t>Dec</t>
  </si>
  <si>
    <t>March</t>
  </si>
  <si>
    <t>June</t>
  </si>
  <si>
    <t>Quarterly Receipts</t>
  </si>
  <si>
    <t>Quarterly Expenditure</t>
  </si>
  <si>
    <t>Yes / No</t>
  </si>
  <si>
    <t>FMG</t>
  </si>
  <si>
    <t>Nat Treasury</t>
  </si>
  <si>
    <t>MIG</t>
  </si>
  <si>
    <t>Capitalisation Reserve</t>
  </si>
  <si>
    <t>Stadiums</t>
  </si>
  <si>
    <t>Heritage Assets</t>
  </si>
  <si>
    <t>Public Contributions</t>
  </si>
  <si>
    <t>Transport Facilities</t>
  </si>
  <si>
    <t>Increase due to discounting</t>
  </si>
  <si>
    <t>INVESTMENT PROPERTY</t>
  </si>
  <si>
    <t>Local Authority Stock</t>
  </si>
  <si>
    <t>Maintenance Materials - at cost</t>
  </si>
  <si>
    <t>Spare Parts - at cost</t>
  </si>
  <si>
    <t>Water - at cost</t>
  </si>
  <si>
    <t>Museum Exhibits</t>
  </si>
  <si>
    <t>Historical Sites</t>
  </si>
  <si>
    <t>REPORT OF THE CHIEF FINANCIAL OFFICER</t>
  </si>
  <si>
    <t>INTRODUCTION</t>
  </si>
  <si>
    <t>1.</t>
  </si>
  <si>
    <t>OPERATING RESULTS</t>
  </si>
  <si>
    <t>Contributions to provision</t>
  </si>
  <si>
    <t>Infra-</t>
  </si>
  <si>
    <t>structure</t>
  </si>
  <si>
    <t>Leased</t>
  </si>
  <si>
    <t>Acquisitions</t>
  </si>
  <si>
    <t>KEY FINANCIAL INDICATORS</t>
  </si>
  <si>
    <t>FINANCING OF CAPITAL EXPENDITURE</t>
  </si>
  <si>
    <t>External Loans</t>
  </si>
  <si>
    <t>RECONCILIATION OF BUDGET TO ACTUAL</t>
  </si>
  <si>
    <t>7.</t>
  </si>
  <si>
    <t>LONG-TERM LIABILITIES</t>
  </si>
  <si>
    <t>CURRENT LIABILITIES</t>
  </si>
  <si>
    <t>CURRENT ASSETS</t>
  </si>
  <si>
    <t>INTER-GOVERNMENTAL GRANTS</t>
  </si>
  <si>
    <t>101781/1</t>
  </si>
  <si>
    <t>Old Age Homes</t>
  </si>
  <si>
    <t>(*)  Did your municipality comply with the grant conditions in terms of "Grant Framework" in the latest Division of Revenue Act?</t>
  </si>
  <si>
    <t>Reason for Non- compliance</t>
  </si>
  <si>
    <t>Name of Grant</t>
  </si>
  <si>
    <t>Grants and Subsidies Delayed / Withheld</t>
  </si>
  <si>
    <t>Reason for Delay / Withholding of Funds</t>
  </si>
  <si>
    <t>Name of Organ of State or Municipal Entity</t>
  </si>
  <si>
    <t>Total Grants and Subsidies Received</t>
  </si>
  <si>
    <t>Commercial</t>
  </si>
  <si>
    <t>PROPERTY RATES</t>
  </si>
  <si>
    <t>Residential</t>
  </si>
  <si>
    <t>R000's</t>
  </si>
  <si>
    <t>SERVICE CHARGES</t>
  </si>
  <si>
    <t>None</t>
  </si>
  <si>
    <t>Total Service Charges</t>
  </si>
  <si>
    <t>Total Employee Related Costs</t>
  </si>
  <si>
    <t>Annual Remuneration</t>
  </si>
  <si>
    <t>REMUNERATION OF COUNCILLORS</t>
  </si>
  <si>
    <t>Councillors</t>
  </si>
  <si>
    <t>Land and Buildings</t>
  </si>
  <si>
    <t>Farms</t>
  </si>
  <si>
    <t>Hostels: Public and Tourist</t>
  </si>
  <si>
    <t>Hostels: Workers</t>
  </si>
  <si>
    <t>Workshops and Depots</t>
  </si>
  <si>
    <t>Aprons</t>
  </si>
  <si>
    <t>Bus Terminals</t>
  </si>
  <si>
    <t>Outfall Sewers</t>
  </si>
  <si>
    <t>Overhead Bridges</t>
  </si>
  <si>
    <t>Purification Works</t>
  </si>
  <si>
    <t>Runways</t>
  </si>
  <si>
    <t>Security Systems</t>
  </si>
  <si>
    <t>Stormwater</t>
  </si>
  <si>
    <t>Stormwater Drains</t>
  </si>
  <si>
    <t>Taxiways</t>
  </si>
  <si>
    <t>Abattoirs</t>
  </si>
  <si>
    <t>Civic Theatres</t>
  </si>
  <si>
    <t>Clinics and Hospitals</t>
  </si>
  <si>
    <t>Fountains</t>
  </si>
  <si>
    <t>Primary Bank Account</t>
  </si>
  <si>
    <t>Property Valuations</t>
  </si>
  <si>
    <t>National: FMG</t>
  </si>
  <si>
    <t>Finance Leases</t>
  </si>
  <si>
    <t>GENERAL EXPENSES</t>
  </si>
  <si>
    <t>Flood damage costs resulted from unseasonal floods that occurred in three squatting areas.  The municipality had to provide transport,temporary shelter and food aid to affected residents until the flooding subsided and residents were able to return to their homes.  The flood damage was unforeseen and has never occurred previously.</t>
  </si>
  <si>
    <t>Accumulated Impairment</t>
  </si>
  <si>
    <t>Accumulated Depreciation / Impairment</t>
  </si>
  <si>
    <t>Impairment Losses</t>
  </si>
  <si>
    <t>INTANGIBLE ASSETS</t>
  </si>
  <si>
    <t>Carrying values at 1 July</t>
  </si>
  <si>
    <t>Cost</t>
  </si>
  <si>
    <t>Carrying values at 30 June</t>
  </si>
  <si>
    <t>Total Impairment of Property, Plant and Equipment</t>
  </si>
  <si>
    <t>A change in the estimated useful life of various assets of the municipality has resulted in the following decreases in depreciation for the mentioned departments for the financial year 2005/2006:</t>
  </si>
  <si>
    <t>Total Change in Estimate for Useful Life of Property, Plant and Equipment</t>
  </si>
  <si>
    <t>Post Employment Benefits:-</t>
  </si>
  <si>
    <t>Chief Financial Officer</t>
  </si>
  <si>
    <t>Other Long-term Benefits:-</t>
  </si>
  <si>
    <t>Listed Investments</t>
  </si>
  <si>
    <t>Refuse</t>
  </si>
  <si>
    <t>Revaluation Reserve</t>
  </si>
  <si>
    <t>(i)     The assets of each fund are held in one portfolio and are not notionally allocated to each of the participating employers.</t>
  </si>
  <si>
    <t>(iii)     The same rate of contribution applies to all participating employers and no regard is paid to differences in the membership distribution of the participating employers.</t>
  </si>
  <si>
    <t>It is therefore seen that each fund operates as a single entity and is not divided into sub-funds for each participating employer.</t>
  </si>
  <si>
    <t>Industrial/</t>
  </si>
  <si>
    <t>National and</t>
  </si>
  <si>
    <t>The Municipality has the following bank accounts:</t>
  </si>
  <si>
    <t>Vote</t>
  </si>
  <si>
    <t>Municipal Manager</t>
  </si>
  <si>
    <t>Roads and Transport</t>
  </si>
  <si>
    <t>Kerbing</t>
  </si>
  <si>
    <t>CORRECTION OF ERROR</t>
  </si>
  <si>
    <t>This expenditure will be financed from:</t>
  </si>
  <si>
    <t>Access Control</t>
  </si>
  <si>
    <t>Car Parks</t>
  </si>
  <si>
    <t>Street Lighting</t>
  </si>
  <si>
    <t>Care Centres</t>
  </si>
  <si>
    <t>Community Centres</t>
  </si>
  <si>
    <t>Fire Stations</t>
  </si>
  <si>
    <t>Radio Equipment</t>
  </si>
  <si>
    <t>Company Contributions to UIF, Medical and Pension Funds</t>
  </si>
  <si>
    <t>UTILISATION OF LONG-TERM LIABILITIES RECONCILIATION</t>
  </si>
  <si>
    <t>LONG-TERM RECEIVABLES</t>
  </si>
  <si>
    <t>Provision for</t>
  </si>
  <si>
    <t>Gross</t>
  </si>
  <si>
    <t>Balances</t>
  </si>
  <si>
    <t>Net</t>
  </si>
  <si>
    <t>Vat is payable on the receipts basis.  Only once payment is reveived from debtors, VAT is paid over to SARS.</t>
  </si>
  <si>
    <t>Closing</t>
  </si>
  <si>
    <t>Community Assets</t>
  </si>
  <si>
    <t>APPENDIX B</t>
  </si>
  <si>
    <t>Accumulated Depreciation</t>
  </si>
  <si>
    <t>Other Assets</t>
  </si>
  <si>
    <t>Buildings</t>
  </si>
  <si>
    <t>APPENDIX C</t>
  </si>
  <si>
    <t>Housing</t>
  </si>
  <si>
    <t>APPENDIX D</t>
  </si>
  <si>
    <t>Surplus/</t>
  </si>
  <si>
    <t>(Deficit)</t>
  </si>
  <si>
    <t>Local Registered Stock</t>
  </si>
  <si>
    <t>Provision for Cleaning of Illegal Dumping</t>
  </si>
  <si>
    <t>Provision for Clearing of Alien Vegetation</t>
  </si>
  <si>
    <t>Provision for Rehabilitation of Land-fill Sites</t>
  </si>
  <si>
    <t xml:space="preserve">     Annuity Loans</t>
  </si>
  <si>
    <t xml:space="preserve">     Cleaning of Illegal Dumping</t>
  </si>
  <si>
    <t xml:space="preserve">     Clearing of Alien Vegetation</t>
  </si>
  <si>
    <t xml:space="preserve">     Rehabilitation of Land-fill Sites</t>
  </si>
  <si>
    <t>Accumulated Surplus / (Deficit)</t>
  </si>
  <si>
    <t>CHANGE IN ACCOUNTING POLICY</t>
  </si>
  <si>
    <t>APPENDIX E(1)</t>
  </si>
  <si>
    <t>Variance</t>
  </si>
  <si>
    <t>%</t>
  </si>
  <si>
    <t>Explanation of Significant Variances</t>
  </si>
  <si>
    <t>Transfer to current provisions</t>
  </si>
  <si>
    <t>Illegal Dumping</t>
  </si>
  <si>
    <t>Alien Vegetation</t>
  </si>
  <si>
    <t>Long-term Service</t>
  </si>
  <si>
    <t>Post-retirement</t>
  </si>
  <si>
    <t>Land-fill  Sites</t>
  </si>
  <si>
    <t>APPENDIX E(2)</t>
  </si>
  <si>
    <t>Interest received</t>
  </si>
  <si>
    <t>Libraries</t>
  </si>
  <si>
    <t>Electricity</t>
  </si>
  <si>
    <t>Investments</t>
  </si>
  <si>
    <t>Inventory</t>
  </si>
  <si>
    <t>Provisions</t>
  </si>
  <si>
    <t>Creditors</t>
  </si>
  <si>
    <t>Total</t>
  </si>
  <si>
    <t>EXPENDITURE</t>
  </si>
  <si>
    <t>Water</t>
  </si>
  <si>
    <t>Other</t>
  </si>
  <si>
    <t>TOTAL EXTERNAL LOANS</t>
  </si>
  <si>
    <t>Infrastructure</t>
  </si>
  <si>
    <t>Actual</t>
  </si>
  <si>
    <t>Income</t>
  </si>
  <si>
    <t>Expenditure</t>
  </si>
  <si>
    <t>Budget</t>
  </si>
  <si>
    <t>Received</t>
  </si>
  <si>
    <t>Balance</t>
  </si>
  <si>
    <t>ASSETS</t>
  </si>
  <si>
    <t>REVENUE</t>
  </si>
  <si>
    <t>Fines</t>
  </si>
  <si>
    <t>Total Revenue</t>
  </si>
  <si>
    <t>Remuneration of Councillors</t>
  </si>
  <si>
    <t>Depreciation</t>
  </si>
  <si>
    <t>Total Expenditure</t>
  </si>
  <si>
    <t>Insurance claims processed</t>
  </si>
  <si>
    <t>Asset disposals</t>
  </si>
  <si>
    <t>R</t>
  </si>
  <si>
    <t>Note</t>
  </si>
  <si>
    <t>Interest paid</t>
  </si>
  <si>
    <t>CASH FLOWS FROM INVESTING ACTIVITIES</t>
  </si>
  <si>
    <t>CASH FLOWS FROM FINANCING ACTIVITIES</t>
  </si>
  <si>
    <t>Original</t>
  </si>
  <si>
    <t>Amount</t>
  </si>
  <si>
    <t>30/06/2011</t>
  </si>
  <si>
    <t>LOCAL REGISTERED STOCK</t>
  </si>
  <si>
    <t>CAPITAL LEASE LIABILITIES</t>
  </si>
  <si>
    <t>Total Registered Stock</t>
  </si>
  <si>
    <t>Total Capital Lease Liabilities</t>
  </si>
  <si>
    <t>GOVERNMENT LOANS</t>
  </si>
  <si>
    <t>Total Government Loans</t>
  </si>
  <si>
    <t>OTHER LOANS</t>
  </si>
  <si>
    <t>Total Other Loans</t>
  </si>
  <si>
    <t>Sub-total</t>
  </si>
  <si>
    <t>Total Housing Development Fund Assets and Liabilities</t>
  </si>
  <si>
    <t>Balance at beginning of year</t>
  </si>
  <si>
    <t>Balance at end of year</t>
  </si>
  <si>
    <t>Annuity Loans</t>
  </si>
  <si>
    <t>Sub-Total</t>
  </si>
  <si>
    <t>NON-CURRENT PROVISIONS</t>
  </si>
  <si>
    <t>Expenditure incurred</t>
  </si>
  <si>
    <t>CONSUMER DEPOSITS</t>
  </si>
  <si>
    <t>Total Consumer Deposits</t>
  </si>
  <si>
    <t>CREDITORS</t>
  </si>
  <si>
    <t>Total Creditors</t>
  </si>
  <si>
    <t>Total Conditional Grants and Receipts</t>
  </si>
  <si>
    <t>PROPERTY, PLANT AND EQUIPMENT</t>
  </si>
  <si>
    <t>Carrying</t>
  </si>
  <si>
    <t>Value</t>
  </si>
  <si>
    <t>Community</t>
  </si>
  <si>
    <t>Listed</t>
  </si>
  <si>
    <t>Financial Instruments</t>
  </si>
  <si>
    <t>Fixed Deposits</t>
  </si>
  <si>
    <t>Total Investments</t>
  </si>
  <si>
    <t>INVENTORY</t>
  </si>
  <si>
    <t>31 - 60 Days</t>
  </si>
  <si>
    <t>61 - 90 Days</t>
  </si>
  <si>
    <t>91 - 120 Days</t>
  </si>
  <si>
    <t>Fruitless and Wasteful Expenditure</t>
  </si>
  <si>
    <t>Irregular Expenditure</t>
  </si>
  <si>
    <t>Unauthorised Expenditure</t>
  </si>
  <si>
    <t>Feeders</t>
  </si>
  <si>
    <t>Fire Arms</t>
  </si>
  <si>
    <t>Graders</t>
  </si>
  <si>
    <t>Irrigation Systems</t>
  </si>
  <si>
    <t>Laboratory Equipment</t>
  </si>
  <si>
    <t>Lathes</t>
  </si>
  <si>
    <t>Lawnmowers</t>
  </si>
  <si>
    <t>Mechanical Horses</t>
  </si>
  <si>
    <t>Milling Equipment</t>
  </si>
  <si>
    <t>Other Plant and Equipment</t>
  </si>
  <si>
    <t>Pulverising Mills</t>
  </si>
  <si>
    <t>Telecommunication Equipment</t>
  </si>
  <si>
    <t>Tippers</t>
  </si>
  <si>
    <t>Tractors</t>
  </si>
  <si>
    <t>Watercraft:</t>
  </si>
  <si>
    <t>Watercraft</t>
  </si>
  <si>
    <t>Other Assets:</t>
  </si>
  <si>
    <t>Asphalt Plant</t>
  </si>
  <si>
    <t>Kilns</t>
  </si>
  <si>
    <t>Quarries</t>
  </si>
  <si>
    <t>Unlisted</t>
  </si>
  <si>
    <t>up to</t>
  </si>
  <si>
    <t>90 days</t>
  </si>
  <si>
    <t>Outstanding</t>
  </si>
  <si>
    <t>more than</t>
  </si>
  <si>
    <t xml:space="preserve">     Housing Development Fund</t>
  </si>
  <si>
    <t xml:space="preserve">     Investment Properties</t>
  </si>
  <si>
    <t xml:space="preserve">     District Council Grants</t>
  </si>
  <si>
    <t xml:space="preserve">     Own Resources</t>
  </si>
  <si>
    <t>The municipality received the following in-kind donations and assistance:</t>
  </si>
  <si>
    <t>PRIVATE PUBLIC PARTNERSHIPS</t>
  </si>
  <si>
    <t xml:space="preserve">EVENTS AFTER THE REPORTING DATE </t>
  </si>
  <si>
    <t>Province</t>
  </si>
  <si>
    <t>Payments made in Advance</t>
  </si>
  <si>
    <t>Short-term Loans</t>
  </si>
  <si>
    <t>Government Subsidy Claims</t>
  </si>
  <si>
    <t>Cash Floats and Advances</t>
  </si>
  <si>
    <t>Other Cash Equivalents</t>
  </si>
  <si>
    <t>Local District Municipality</t>
  </si>
  <si>
    <t>LDM</t>
  </si>
  <si>
    <t>N/A</t>
  </si>
  <si>
    <t>Yes</t>
  </si>
  <si>
    <t>UNAUTHORISED, IRREGULAR, FRUITLESS AND WASTEFUL EXPENDITURE DISALLOWED</t>
  </si>
  <si>
    <t xml:space="preserve">     Contribution to Provisions - Non-current</t>
  </si>
  <si>
    <t xml:space="preserve">     Contribution to Provisions - Current</t>
  </si>
  <si>
    <t>Increase/(Decrease) in Conditional Grants and Receipts</t>
  </si>
  <si>
    <t>Used to finance Property, Plant and Equipment - at cost</t>
  </si>
  <si>
    <t>Cash invested for Repayment of Long-term Liabilities</t>
  </si>
  <si>
    <t>Opening Balance</t>
  </si>
  <si>
    <t>Council Subscriptions</t>
  </si>
  <si>
    <t>Amount Paid - current year</t>
  </si>
  <si>
    <t>Amount Paid - previous years</t>
  </si>
  <si>
    <t>Balance Unpaid (included in Creditors)</t>
  </si>
  <si>
    <t>Current year Audit Fee</t>
  </si>
  <si>
    <t>Current year Payroll Deductions</t>
  </si>
  <si>
    <t>Current year Payroll Deductions and Council Contributions</t>
  </si>
  <si>
    <t>Commitments in respect of Capital Expenditure:</t>
  </si>
  <si>
    <t xml:space="preserve">     Infrastructure</t>
  </si>
  <si>
    <t xml:space="preserve">     Community</t>
  </si>
  <si>
    <t xml:space="preserve">     Other</t>
  </si>
  <si>
    <t>-  Approved and Contracted for:-</t>
  </si>
  <si>
    <t xml:space="preserve">     Heritage</t>
  </si>
  <si>
    <t>Total Capital Commitments</t>
  </si>
  <si>
    <t xml:space="preserve">     External Loans</t>
  </si>
  <si>
    <t xml:space="preserve">     Capital Replacement Reserve</t>
  </si>
  <si>
    <t xml:space="preserve">     Government Grants</t>
  </si>
  <si>
    <t>the Period</t>
  </si>
  <si>
    <t>Written Off</t>
  </si>
  <si>
    <t>during Period</t>
  </si>
  <si>
    <t>Details</t>
  </si>
  <si>
    <t>Total Annuity Loans</t>
  </si>
  <si>
    <t>Carrying Value</t>
  </si>
  <si>
    <t xml:space="preserve">of Property, </t>
  </si>
  <si>
    <t>Plant &amp; Equip</t>
  </si>
  <si>
    <t>Other Costs</t>
  </si>
  <si>
    <t>&gt; 90 Days</t>
  </si>
  <si>
    <t>+ 120 Days</t>
  </si>
  <si>
    <t xml:space="preserve">Cash book balance at beginning of year </t>
  </si>
  <si>
    <t>Cash book balance at end of year</t>
  </si>
  <si>
    <t>Bank statement balance at beginning of year</t>
  </si>
  <si>
    <t>Bank statement balance at end of year</t>
  </si>
  <si>
    <t>APPENDIX F</t>
  </si>
  <si>
    <t>Under</t>
  </si>
  <si>
    <t>Construction</t>
  </si>
  <si>
    <t>Load Control Equipment</t>
  </si>
  <si>
    <t>Paving</t>
  </si>
  <si>
    <t>Land</t>
  </si>
  <si>
    <t>GOVERNMENT GRANTS AND SUBSIDIES</t>
  </si>
  <si>
    <t>EMPLOYEE RELATED COSTS</t>
  </si>
  <si>
    <t>Net Assets</t>
  </si>
  <si>
    <t>Non-Current Liabilities</t>
  </si>
  <si>
    <t>Long-term Liabilities</t>
  </si>
  <si>
    <t>Non-current Provisions</t>
  </si>
  <si>
    <t>Current Liabilities</t>
  </si>
  <si>
    <t>Consumer Deposits</t>
  </si>
  <si>
    <t>Unspent Conditional Grants and Receipts</t>
  </si>
  <si>
    <t>Bank Overdraft</t>
  </si>
  <si>
    <t>Current Portion of Long-term Liabilities</t>
  </si>
  <si>
    <t>Non-Current Assets</t>
  </si>
  <si>
    <t>Property, Plant and Equipment</t>
  </si>
  <si>
    <t>Long-term Receivables</t>
  </si>
  <si>
    <t>Current Assets</t>
  </si>
  <si>
    <t>Consumer Debtors</t>
  </si>
  <si>
    <t>Other Debtors</t>
  </si>
  <si>
    <t>Bank Balances and Cash</t>
  </si>
  <si>
    <t>Property Rates</t>
  </si>
  <si>
    <t>Service Charges</t>
  </si>
  <si>
    <t>Rental of Facilities and Equipment</t>
  </si>
  <si>
    <t>Interest Earned - External investments</t>
  </si>
  <si>
    <t>Property Rates - Penalties imposed and collection charges</t>
  </si>
  <si>
    <t>Interest Earned - Outstanding debtors</t>
  </si>
  <si>
    <t>Dividends Received</t>
  </si>
  <si>
    <t>Licences and Permits</t>
  </si>
  <si>
    <t>Income for Agency Services</t>
  </si>
  <si>
    <t>Government Grants and Subsidies</t>
  </si>
  <si>
    <t>Other Income</t>
  </si>
  <si>
    <t>Gains on Disposal of Property, Plant and Equipment</t>
  </si>
  <si>
    <t>Employee Related Costs</t>
  </si>
  <si>
    <t>Collection Costs</t>
  </si>
  <si>
    <t>Repairs and Maintenance</t>
  </si>
  <si>
    <t>Interest Paid</t>
  </si>
  <si>
    <t>Bulk Purchases</t>
  </si>
  <si>
    <t>Contracted Services</t>
  </si>
  <si>
    <t>Grants and Subsidies Paid</t>
  </si>
  <si>
    <t xml:space="preserve">General Expenses </t>
  </si>
  <si>
    <t>Game Reserves and Rest Camps</t>
  </si>
  <si>
    <t>Indoor Sports Facilities</t>
  </si>
  <si>
    <t>Jukskei Pitches</t>
  </si>
  <si>
    <t>Lakes and Dams</t>
  </si>
  <si>
    <t>Markets</t>
  </si>
  <si>
    <t>Nurseries</t>
  </si>
  <si>
    <t>Office Buildings</t>
  </si>
  <si>
    <t>Outdoor Sports Facilities</t>
  </si>
  <si>
    <t>Public Conveniences/Bathrooms</t>
  </si>
  <si>
    <t>Recreation Centres</t>
  </si>
  <si>
    <t>During the year the following Councillors had arrear accounts outstanding for more than 90 days:</t>
  </si>
  <si>
    <t>Cost / Revaluation</t>
  </si>
  <si>
    <t>Under Construction</t>
  </si>
  <si>
    <t>Leased Assets</t>
  </si>
  <si>
    <t>greater than 10% versus Budget</t>
  </si>
  <si>
    <t>NET SURPLUS / (DEFICIT) FOR THE YEAR</t>
  </si>
  <si>
    <t>greater than 5% versus Budget</t>
  </si>
  <si>
    <t>Investment Property</t>
  </si>
  <si>
    <t>Current Portion of Long-term Receivables</t>
  </si>
  <si>
    <t>Interest Earned - External Investments</t>
  </si>
  <si>
    <t>Interest Earned - Outstanding Debtors</t>
  </si>
  <si>
    <t>Public Contributions and Donations</t>
  </si>
  <si>
    <t>Refer to Appendix E(1) for explanation of budget variances</t>
  </si>
  <si>
    <t>Restated Balance</t>
  </si>
  <si>
    <t>Surplus / (Deficit) for the year</t>
  </si>
  <si>
    <t>Donated / Contributed PPE</t>
  </si>
  <si>
    <t>Offsetting of Depreciation</t>
  </si>
  <si>
    <t>MIG Projects</t>
  </si>
  <si>
    <t>Other Spheres of Government</t>
  </si>
  <si>
    <t>Conditional Grants</t>
  </si>
  <si>
    <t>DIFFER</t>
  </si>
  <si>
    <t>Short-term Portion of Investments</t>
  </si>
  <si>
    <t>30/04/2016</t>
  </si>
  <si>
    <t>Airports:</t>
  </si>
  <si>
    <t>Radio Beacons</t>
  </si>
  <si>
    <t>Electricity:</t>
  </si>
  <si>
    <t>Mains</t>
  </si>
  <si>
    <t>Meters</t>
  </si>
  <si>
    <t>Supply and Reticulation</t>
  </si>
  <si>
    <t>Switchgear Equipment</t>
  </si>
  <si>
    <t>Gas:</t>
  </si>
  <si>
    <t>Storage Tanks</t>
  </si>
  <si>
    <t>Pedetrian Malls:</t>
  </si>
  <si>
    <t>Traffic Islands</t>
  </si>
  <si>
    <t>Traffic Lights</t>
  </si>
  <si>
    <t>Sanitation:</t>
  </si>
  <si>
    <t>Security Measures:</t>
  </si>
  <si>
    <t>Sewerage:</t>
  </si>
  <si>
    <t>Pumps</t>
  </si>
  <si>
    <t>Sludge Machines</t>
  </si>
  <si>
    <t>Water:</t>
  </si>
  <si>
    <t>Reservoirs and Tanks</t>
  </si>
  <si>
    <t>Recreational Facilities:</t>
  </si>
  <si>
    <t>Aquariums</t>
  </si>
  <si>
    <t>Beach Developments</t>
  </si>
  <si>
    <t>Bowling Greens</t>
  </si>
  <si>
    <t>Cable Stations</t>
  </si>
  <si>
    <t>Cinemas</t>
  </si>
  <si>
    <t>Golf Courses</t>
  </si>
  <si>
    <t>Organ and Case</t>
  </si>
  <si>
    <t>Zoos</t>
  </si>
  <si>
    <t>Other Facilities:</t>
  </si>
  <si>
    <t>Ambulance Stations</t>
  </si>
  <si>
    <t>Training Centres</t>
  </si>
  <si>
    <t>Museums and Art Galleries</t>
  </si>
  <si>
    <t>The Housing Development Fund is represented by the following Assets and Liabilities:</t>
  </si>
  <si>
    <t>The maximum credit and interest risk exposure in respect of the relevant financial instruments is as follows:</t>
  </si>
  <si>
    <t xml:space="preserve">     Long-term Receivables</t>
  </si>
  <si>
    <t xml:space="preserve">     Consumer Debtors</t>
  </si>
  <si>
    <t xml:space="preserve">     Other Debtors</t>
  </si>
  <si>
    <t>Maximum Credit and Interest Risk Exposure</t>
  </si>
  <si>
    <t>FINANCIAL INSTRUMENTS</t>
  </si>
  <si>
    <t>Financial Assets</t>
  </si>
  <si>
    <t>Classification</t>
  </si>
  <si>
    <t>Held to maturity</t>
  </si>
  <si>
    <t>Loans and receivables</t>
  </si>
  <si>
    <t>Sewerage</t>
  </si>
  <si>
    <t>Bank Balances</t>
  </si>
  <si>
    <t>Available for sale</t>
  </si>
  <si>
    <t>SUMMARY OF FINANCIAL ASSETS</t>
  </si>
  <si>
    <t>Loans and Receivables</t>
  </si>
  <si>
    <t>Total Financial Assets</t>
  </si>
  <si>
    <t>The Municipality as Lessee:</t>
  </si>
  <si>
    <t>Up to 1 year</t>
  </si>
  <si>
    <t>In-service Members (Employees)</t>
  </si>
  <si>
    <t>Continuation Members (Retirees, widowers and orphans)</t>
  </si>
  <si>
    <t>Total Members</t>
  </si>
  <si>
    <t>In-service Members</t>
  </si>
  <si>
    <t>Continuation Members</t>
  </si>
  <si>
    <t>Total Liability</t>
  </si>
  <si>
    <t>The municipality makes monthly contributions for health care arrangements to the following Medical Aid Schemes:</t>
  </si>
  <si>
    <t>Present value of fund obligations</t>
  </si>
  <si>
    <t>Fair value of plan assets</t>
  </si>
  <si>
    <t>Present value of unfunded obligations</t>
  </si>
  <si>
    <t>Current service costs</t>
  </si>
  <si>
    <t>Benefits paid</t>
  </si>
  <si>
    <t>Interest cost</t>
  </si>
  <si>
    <t>Present Value of Fund Obligation at the end of the Year</t>
  </si>
  <si>
    <t>Expected return on plan assets</t>
  </si>
  <si>
    <t>Past-service costs</t>
  </si>
  <si>
    <t>Health Care Cost Inflation Rate</t>
  </si>
  <si>
    <t>Net Effective Discount Rate</t>
  </si>
  <si>
    <t>Infrastructure: Airports</t>
  </si>
  <si>
    <t>Infrastructure: Electricity</t>
  </si>
  <si>
    <t>Infrastructure: Gas</t>
  </si>
  <si>
    <t>Infrastructure: Pedestrian Malls</t>
  </si>
  <si>
    <t>Infrastructure: Roads</t>
  </si>
  <si>
    <t>Infrastructure: Sanitation</t>
  </si>
  <si>
    <t>Infrastructure: Security Measures</t>
  </si>
  <si>
    <t>Infrastructure: Sewerage</t>
  </si>
  <si>
    <t>Infrastructure: Water</t>
  </si>
  <si>
    <t>Community Assets: Recreational Facilities</t>
  </si>
  <si>
    <t>Community Assets: Other Facilities</t>
  </si>
  <si>
    <t>Other Assets: Aircraft</t>
  </si>
  <si>
    <t>Other Assets: Bins and Containers</t>
  </si>
  <si>
    <t>Other Assets: Emergency Equipment</t>
  </si>
  <si>
    <t>Other Assets: Furniture and Fittings</t>
  </si>
  <si>
    <t>Other Assets: Motor Vehicles</t>
  </si>
  <si>
    <t>Other Assets: Office Equipment</t>
  </si>
  <si>
    <t>Other Assets: Plant and Equipment</t>
  </si>
  <si>
    <t>Other Assets: Watercraft</t>
  </si>
  <si>
    <t>Other Assets: Other Items</t>
  </si>
  <si>
    <t>Director:  Corporate Services</t>
  </si>
  <si>
    <t>Director:  Environmental Affairs and Tourism</t>
  </si>
  <si>
    <t>Director:  Health Services</t>
  </si>
  <si>
    <t>Director:  Public Safety</t>
  </si>
  <si>
    <t>Director:  Technical and Engineering Services</t>
  </si>
  <si>
    <t xml:space="preserve">     Public Contributions</t>
  </si>
  <si>
    <t xml:space="preserve">     Opening balance</t>
  </si>
  <si>
    <t xml:space="preserve">     Approved by Council or condoned</t>
  </si>
  <si>
    <t>Incident</t>
  </si>
  <si>
    <t>Disciplinary Steps / Criminal Proceedings</t>
  </si>
  <si>
    <t xml:space="preserve">     Condoned or written off by Council</t>
  </si>
  <si>
    <t>Aircraft</t>
  </si>
  <si>
    <t>Aircraft:</t>
  </si>
  <si>
    <t>Emergency Equipment:</t>
  </si>
  <si>
    <t>Ambulance Equipment</t>
  </si>
  <si>
    <t>Emergency Lights</t>
  </si>
  <si>
    <t>Fire Equipment</t>
  </si>
  <si>
    <t>Fire Hoses</t>
  </si>
  <si>
    <t>Furniture and Fittings:</t>
  </si>
  <si>
    <t>Motor Vehicles:</t>
  </si>
  <si>
    <t>Fire Engines</t>
  </si>
  <si>
    <t>Trucks and Bakkies</t>
  </si>
  <si>
    <t>Office Equipment:</t>
  </si>
  <si>
    <t>Plant and Equipment:</t>
  </si>
  <si>
    <t>Compressors</t>
  </si>
  <si>
    <t>Farm Equipment</t>
  </si>
  <si>
    <t>No known matters existed at reporting date.</t>
  </si>
  <si>
    <t>All capital expenditure now to be excluded from performance statement</t>
  </si>
  <si>
    <t>Budgeted</t>
  </si>
  <si>
    <t>SHORT-TERM LOANS</t>
  </si>
  <si>
    <t>Call Bonds</t>
  </si>
  <si>
    <t>Other Loans</t>
  </si>
  <si>
    <t>Total Short-term Loans</t>
  </si>
  <si>
    <t>The Call Bonds are repayable on demand and are used as bridging finance for the period May to August each year, pending the levying of assessment rates.  The rate of interest payable on the Call Bonds is 150 basis points over the current overdraft rate, which is currently 10,5% per annum (2004: 13,5% per annum).</t>
  </si>
  <si>
    <t>Call Deposits</t>
  </si>
  <si>
    <t>Notice Deposits</t>
  </si>
  <si>
    <t xml:space="preserve">     Other Loans</t>
  </si>
  <si>
    <t>The following Councillors had arrear accounts outstanding for more than 90 days as at:</t>
  </si>
  <si>
    <t>PROPERTY, PLANT AND EQUIPMENT (Continued)</t>
  </si>
  <si>
    <t>The Revaluation Surplus is reconciled as follows:</t>
  </si>
  <si>
    <t>Surplus / (Deficit) realised from Revaluation</t>
  </si>
  <si>
    <t>Depreciation offset to Income Statement</t>
  </si>
  <si>
    <t>A Fixed Deposit of R250 000 (2005: R200 000) has been invested with Standard Merchant Bank as security for the lease of a sewerage purification plant.</t>
  </si>
  <si>
    <t>Less: Current Portion transferred to Current Receivables:-</t>
  </si>
  <si>
    <t>Short-term Investment Deposits</t>
  </si>
  <si>
    <t xml:space="preserve">     Electricity</t>
  </si>
  <si>
    <t xml:space="preserve">     Refuse</t>
  </si>
  <si>
    <t xml:space="preserve">     Sewerage</t>
  </si>
  <si>
    <t xml:space="preserve">     Water</t>
  </si>
  <si>
    <t>Equitable Share</t>
  </si>
  <si>
    <t>Development</t>
  </si>
  <si>
    <t>Transfer from non-current</t>
  </si>
  <si>
    <t>Current Portion of Non-Current Provisions:</t>
  </si>
  <si>
    <t>Local Government Grants</t>
  </si>
  <si>
    <t>Developers Contributions</t>
  </si>
  <si>
    <t>Vat Payable</t>
  </si>
  <si>
    <t>Municipal</t>
  </si>
  <si>
    <t>Security Services</t>
  </si>
  <si>
    <t>Tourism</t>
  </si>
  <si>
    <t>Cleansing Services</t>
  </si>
  <si>
    <t>Reconciliation of Carrying Value</t>
  </si>
  <si>
    <t>Other Subsidies</t>
  </si>
  <si>
    <t>Reconciliation of Unauthorised Expenditure:</t>
  </si>
  <si>
    <t xml:space="preserve">     Unauthorised Expenditure awaiting authorisation</t>
  </si>
  <si>
    <t>Reconciliation of Fruitless and Wasteful expenditure:</t>
  </si>
  <si>
    <t xml:space="preserve">     Unauthorised Expenditure current year</t>
  </si>
  <si>
    <t xml:space="preserve">     Unappropriated Surplus</t>
  </si>
  <si>
    <t xml:space="preserve">     Loans extinguished by Government on 1 April 1998</t>
  </si>
  <si>
    <t>Less: Current Portion transferred to Current Liabilities:-</t>
  </si>
  <si>
    <t>Guarantees held in lieu of Elecricity and Water Deposits</t>
  </si>
  <si>
    <t>PROVISIONS</t>
  </si>
  <si>
    <t>Total Provisions</t>
  </si>
  <si>
    <t>Loan Instalments</t>
  </si>
  <si>
    <t>Sport &amp; Recreation</t>
  </si>
  <si>
    <t>Other Movements</t>
  </si>
  <si>
    <t>Swimming Pools</t>
  </si>
  <si>
    <t>Tennis Courts</t>
  </si>
  <si>
    <t>Paintings</t>
  </si>
  <si>
    <t>Housing Schemes</t>
  </si>
  <si>
    <t>Computer Software</t>
  </si>
  <si>
    <t>Household Refuse Bins</t>
  </si>
  <si>
    <t>Laboratories</t>
  </si>
  <si>
    <t>Total Councillors' Remuneration</t>
  </si>
  <si>
    <t>In-kind Benefits</t>
  </si>
  <si>
    <t>Redemption</t>
  </si>
  <si>
    <t>for</t>
  </si>
  <si>
    <t>Buildings: Let-out</t>
  </si>
  <si>
    <t>Carports</t>
  </si>
  <si>
    <t>Flats Block</t>
  </si>
  <si>
    <t>Office Parks</t>
  </si>
  <si>
    <t>Shopping Centres</t>
  </si>
  <si>
    <t>Bus Stops</t>
  </si>
  <si>
    <t>Roads: Gravel</t>
  </si>
  <si>
    <t>Streetname Signs</t>
  </si>
  <si>
    <t>Pumping Stations</t>
  </si>
  <si>
    <t>Bulk Supply</t>
  </si>
  <si>
    <t>Purification Plant</t>
  </si>
  <si>
    <t>Basketball Courts</t>
  </si>
  <si>
    <t>Soccer Fields</t>
  </si>
  <si>
    <t>Vehicle Testing Centres</t>
  </si>
  <si>
    <t>BULK PURCHASES</t>
  </si>
  <si>
    <t>Total Bulk Purchases</t>
  </si>
  <si>
    <t>GRANTS AND SUBSIDIES PAID</t>
  </si>
  <si>
    <t>Total Grants and Subsidies</t>
  </si>
  <si>
    <t>CASH GENERATED BY OPERATIONS</t>
  </si>
  <si>
    <t>Operating surplus before working capital changes</t>
  </si>
  <si>
    <t>Total Councillor Arrear Consumer Accounts</t>
  </si>
  <si>
    <t>Government Loans</t>
  </si>
  <si>
    <t xml:space="preserve">     Local Registered Stock</t>
  </si>
  <si>
    <t xml:space="preserve">     Government Loans</t>
  </si>
  <si>
    <t xml:space="preserve">     Long-term Service</t>
  </si>
  <si>
    <t>Performance Bonus</t>
  </si>
  <si>
    <t>Payments received in Advance</t>
  </si>
  <si>
    <t>Retentions</t>
  </si>
  <si>
    <t>Sundry Deposits</t>
  </si>
  <si>
    <t>Highest amount</t>
  </si>
  <si>
    <t>outstanding</t>
  </si>
  <si>
    <t>Ageing</t>
  </si>
  <si>
    <t>UNSPENT CONDITIONAL GRANTS AND RECEIPTS</t>
  </si>
  <si>
    <t>Sundry Debtors</t>
  </si>
  <si>
    <t>State</t>
  </si>
  <si>
    <t>Grants and Subsidies Received</t>
  </si>
  <si>
    <t>APPENDIX A</t>
  </si>
  <si>
    <t>Redeemable</t>
  </si>
  <si>
    <t>Loan</t>
  </si>
  <si>
    <t>Number</t>
  </si>
  <si>
    <t>Balance at</t>
  </si>
  <si>
    <t>during</t>
  </si>
  <si>
    <t>Health</t>
  </si>
  <si>
    <t>Public Safety</t>
  </si>
  <si>
    <t>Environmental Protection</t>
  </si>
  <si>
    <t>Waste Management</t>
  </si>
  <si>
    <t>Redeemed/</t>
  </si>
  <si>
    <t>in accordance</t>
  </si>
  <si>
    <t>with MFMA</t>
  </si>
  <si>
    <t>ANNUITY LOANS</t>
  </si>
  <si>
    <t>Opening</t>
  </si>
  <si>
    <t>Additions</t>
  </si>
  <si>
    <t>Disposals</t>
  </si>
  <si>
    <t>Agricultural</t>
  </si>
  <si>
    <t>National Government Grants</t>
  </si>
  <si>
    <t>Provincial Government Grants</t>
  </si>
  <si>
    <t>Fencing</t>
  </si>
  <si>
    <t>Footways</t>
  </si>
  <si>
    <t>Motorways</t>
  </si>
  <si>
    <t>Cemeteries</t>
  </si>
  <si>
    <t>Floodlighting</t>
  </si>
  <si>
    <t>Parks</t>
  </si>
  <si>
    <t>SURPLUS / (DEFICIT) FOR THE YEAR</t>
  </si>
  <si>
    <t xml:space="preserve">     Direct Operating Expenses - incurred to generate rental revenue</t>
  </si>
  <si>
    <t xml:space="preserve">     Direct Operating Expenses - incurred which did not generate rental revenue</t>
  </si>
  <si>
    <t>There are no restrictions on the realisability of Investment Property or the remittance of revenue and proceeds of disposal.</t>
  </si>
  <si>
    <t xml:space="preserve">     To purchase, construct or develop Investment Properties</t>
  </si>
  <si>
    <t xml:space="preserve">     For repairs and maintenance to Investment Properties</t>
  </si>
  <si>
    <t xml:space="preserve">     For enhancements to Investment Properties</t>
  </si>
  <si>
    <t>Remuneration of the Municipal Manager</t>
  </si>
  <si>
    <t>DISCONTINUED OPERATIONS</t>
  </si>
  <si>
    <t>RELATED PARTY TRANSACTIONS</t>
  </si>
  <si>
    <t>Charges</t>
  </si>
  <si>
    <t>Municipal Manager and Section 57 Personnel</t>
  </si>
  <si>
    <t>Municipal Entities</t>
  </si>
  <si>
    <t>Total Services</t>
  </si>
  <si>
    <t>Company</t>
  </si>
  <si>
    <t>Related</t>
  </si>
  <si>
    <t>Purchases</t>
  </si>
  <si>
    <t>Name</t>
  </si>
  <si>
    <t>Person</t>
  </si>
  <si>
    <t>Capacity</t>
  </si>
  <si>
    <t>for the Year</t>
  </si>
  <si>
    <t>Total Purchases</t>
  </si>
  <si>
    <t>The transactions were concluded in full compliance with the municipality's Supply Chain Management Policy and the transactions are considered to be at arm's length.</t>
  </si>
  <si>
    <t xml:space="preserve">The post was vacant until 31 December 2006.  An Acting Allowance was paid for the period 1 July 2006 to 31 December 2006.  </t>
  </si>
  <si>
    <t>Accumulated Revaluation</t>
  </si>
  <si>
    <t>Acquisitions during the Year</t>
  </si>
  <si>
    <t>Depreciation during the Year</t>
  </si>
  <si>
    <t>Disposals during the Year:</t>
  </si>
  <si>
    <t xml:space="preserve">     At Cost</t>
  </si>
  <si>
    <t xml:space="preserve">     At Accumulated Revaluation</t>
  </si>
  <si>
    <t xml:space="preserve">     At Accumulated Depreciation</t>
  </si>
  <si>
    <t xml:space="preserve">     At Accumulated Impairment</t>
  </si>
  <si>
    <t>Accumulated Amortisation</t>
  </si>
  <si>
    <t xml:space="preserve">     At Accumulated Amortisation</t>
  </si>
  <si>
    <t>The following restrictions apply to Intangible Assets:</t>
  </si>
  <si>
    <t>The Municipality has agreed in principle to transfer its electricity function to the new Regional Electricity Distributor (RED) – Region AB.  The date of transfer is unknown at this stage.  The financial effect of this transfer is not yet known as the Municipality is uncertain as to what its share of the revenues of the RED will be or what the terms and conditions will be.  There is ongoing discussions with the management of RED Region AB and EDI Holdings, which is the responsible authority for the implementation of RED's nationally.</t>
  </si>
  <si>
    <t>Public Statues</t>
  </si>
  <si>
    <t>Household</t>
  </si>
  <si>
    <t>Investment Properties</t>
  </si>
  <si>
    <t>Intangible Assets</t>
  </si>
  <si>
    <t>Servitudes</t>
  </si>
  <si>
    <t>Valuation Roll</t>
  </si>
  <si>
    <t>Rates</t>
  </si>
  <si>
    <t>Service</t>
  </si>
  <si>
    <t>Deviations from the tender stipulations in terms of the municipality's Supply Chain Management Policy were submitted to Council on 13 June 2007, which condoned the various cases.  Council's Resolution A14/06/2007 refers.</t>
  </si>
  <si>
    <t>The Municipality has agreed in principle to transfer the Primary Health Services to the Mphumalanga Provincial Government as from 1 July 2007.  All staff, equipment and vehicles are to be transferred, but the immovable properties remain the assets of the municipality, which will be rented to Province.  However, at the Reporting Date no agreements were finalised and the Municipality is still responsible for the operations and funding of the services until further notice.</t>
  </si>
  <si>
    <t>Defined Benefit Plan Expense:</t>
  </si>
  <si>
    <t xml:space="preserve">     Current Service Cost</t>
  </si>
  <si>
    <t xml:space="preserve">     Interest Cost</t>
  </si>
  <si>
    <t xml:space="preserve">     Expected Return on Plan Assets</t>
  </si>
  <si>
    <t xml:space="preserve">     Net Actuarial (gains)/losses recognised</t>
  </si>
  <si>
    <t xml:space="preserve">     Vested Past Service Cost</t>
  </si>
  <si>
    <t>Increase in service delivery</t>
  </si>
  <si>
    <t>-     Completed Assets</t>
  </si>
  <si>
    <t>-     Under Construction</t>
  </si>
  <si>
    <t>Accumulated Depreciation:</t>
  </si>
  <si>
    <t>-     Cost</t>
  </si>
  <si>
    <t>-     Revaluation</t>
  </si>
  <si>
    <t>Increases in Revaluation</t>
  </si>
  <si>
    <t>Reversals of Impairment Losses</t>
  </si>
  <si>
    <t>-     Based on Cost</t>
  </si>
  <si>
    <t>-     Based on Revaluation</t>
  </si>
  <si>
    <t>Carrying value of Disposals:</t>
  </si>
  <si>
    <t>-     Accumulated Impairment Losses</t>
  </si>
  <si>
    <t>-     Accumulated Depreciation</t>
  </si>
  <si>
    <t>Carrying value of Tranfers to Held-for-Sale:</t>
  </si>
  <si>
    <t>Decreases in Revaluation</t>
  </si>
  <si>
    <t>Capital under Construction - Completed</t>
  </si>
  <si>
    <t>Accumulated Impairment Losses</t>
  </si>
  <si>
    <t>Transfers</t>
  </si>
  <si>
    <t>Name of Authority</t>
  </si>
  <si>
    <t>Financial Year-end</t>
  </si>
  <si>
    <t>Current Year</t>
  </si>
  <si>
    <t>Previous Year</t>
  </si>
  <si>
    <t>Base Year</t>
  </si>
  <si>
    <t>Parameters to be completed for Current Year</t>
  </si>
  <si>
    <t>Current Financial Year</t>
  </si>
  <si>
    <t>Previous Financial Year</t>
  </si>
  <si>
    <t>Comparative Financial Year</t>
  </si>
  <si>
    <t>End of Current Year</t>
  </si>
  <si>
    <t>End of Previous Year</t>
  </si>
  <si>
    <t>End of Base Year</t>
  </si>
  <si>
    <t>Start of Current Year</t>
  </si>
  <si>
    <t>Start of Previous Year</t>
  </si>
  <si>
    <t>Next Financial Year</t>
  </si>
  <si>
    <t>End of Next Year</t>
  </si>
  <si>
    <t>Retirement Benefit Liabilities</t>
  </si>
  <si>
    <t>Liabilities associated with Assets Held-for-Sale</t>
  </si>
  <si>
    <t>Investments in Associates</t>
  </si>
  <si>
    <t>Finance Lease Receivables</t>
  </si>
  <si>
    <t>Bank, Cash and Cash Equivalents</t>
  </si>
  <si>
    <t>Current Portion of Finance Lease Receivables</t>
  </si>
  <si>
    <t>Royalties Received</t>
  </si>
  <si>
    <t>Government Grants and Subsidies Received</t>
  </si>
  <si>
    <t>Other Gains on Continued Operations</t>
  </si>
  <si>
    <t>Profit on Sale of Land:-</t>
  </si>
  <si>
    <t xml:space="preserve">     Sale of Land</t>
  </si>
  <si>
    <t xml:space="preserve">     Cost of Sales</t>
  </si>
  <si>
    <t>Depreciation and Amortisation</t>
  </si>
  <si>
    <t>Research and Development Costs</t>
  </si>
  <si>
    <t>Other Losses on Continued Operations</t>
  </si>
  <si>
    <t>Surplus / (Deficit) from Discontinued Operations</t>
  </si>
  <si>
    <t>Share of Surplus / (Deficit) of Associate accounted for under the Equity Method</t>
  </si>
  <si>
    <t>CASH FLOWS FROM OPERATING ACTIVITIES</t>
  </si>
  <si>
    <t>Royalties received</t>
  </si>
  <si>
    <t>Purchase of Property, Plant and Equipment</t>
  </si>
  <si>
    <t>Purchase of Intangible Assets</t>
  </si>
  <si>
    <t>Purchase of Investment Property</t>
  </si>
  <si>
    <t>Proceeds on Disposal of Property, Plant and Equipment</t>
  </si>
  <si>
    <t>Acc Stand</t>
  </si>
  <si>
    <t>RESTATED</t>
  </si>
  <si>
    <t>GENERAL INFORMATION</t>
  </si>
  <si>
    <t>Instalment Sales Debtors (As per age analysis)</t>
  </si>
  <si>
    <t xml:space="preserve">Cash and Cash Equivalents </t>
  </si>
  <si>
    <t>RESERVES</t>
  </si>
  <si>
    <t>C.O.I.D. Reserve</t>
  </si>
  <si>
    <t>Total Reserves</t>
  </si>
  <si>
    <t>The C.O.I.D. Reserve arises on the exemption from making contributions to the Compensation Commissioner for Occupational Injuries and Diseases in terms of Section 84 of the COID Act.  The municipality deposits cash and/or securities with the Commissioner, the market values of which in aggregate, shall not be less than the capitalised value of the of the continuing liability of the municipality as at 31 December of each year.</t>
  </si>
  <si>
    <t>The Revaluation Reserve arises on the revaluation of Land and Buildings.  Where revalued Land or Buildings are sold, the portion of the Revaluation Reserve that relates to that asset, and is effectively realised, is transferred directly to Accumulated Surplus.</t>
  </si>
  <si>
    <t>Distributions from the Revaluation Reserve can be made where they are in accordance with the requirements of the municipality’s accounting Policy and relevant case law.  The payment of cash distributions out of the reserve is restricted by the terms of the municipality’s Accounting policy.  These restrictions do not apply to any amounts transferred to Accumulated Surplus.  The Council do not currently intend to make any distribution from the Revaluation Reserve.</t>
  </si>
  <si>
    <t>Refer to Statement of Changes in Net Assets for more detail and the movement on Reserves.</t>
  </si>
  <si>
    <t>ACCUMULATED SURPLUS</t>
  </si>
  <si>
    <t>Donations and Public Contributions Reserve</t>
  </si>
  <si>
    <t>Self-insurance Reserve</t>
  </si>
  <si>
    <t>Accumulated Surplus / (Deficit) due to the results of Operations</t>
  </si>
  <si>
    <t>Total Accumulated Surplus</t>
  </si>
  <si>
    <t>Refer to Statement of Changes in Net Assets for more detail and the movement on Accumulated Surplus.</t>
  </si>
  <si>
    <t>Local Registered Stock is repaid over periods varying from 10 to 20 (2007: 11 to 21) years and at interest rates varying from 11,60% to 15,60% (2007: 11,60% to 15,60%) per annum.  Local Registered Stock is not secured.</t>
  </si>
  <si>
    <t>IFRS 7.7</t>
  </si>
  <si>
    <t>The management of the municipality is of the opinion that the carrying value of Long-term Liabilities recorded at amortised cost in the Annual Financial Statements approximate their fair values.</t>
  </si>
  <si>
    <t>The fair value of  Long-term Liabilities was determined after considering the standard terms and conditions of agreements entered into between the municipality and the relevant financing institutions.</t>
  </si>
  <si>
    <t>Refer to Appendix "A" for more detail on Long-term Liabilities.</t>
  </si>
  <si>
    <t>The obligations under Finance Leases are as follows:</t>
  </si>
  <si>
    <t>Minimum Lease Payments</t>
  </si>
  <si>
    <t>Present Value of Minimum Lease Payments</t>
  </si>
  <si>
    <t>Within one year</t>
  </si>
  <si>
    <t>In the second to fifth years, inclusive</t>
  </si>
  <si>
    <t>Over five years</t>
  </si>
  <si>
    <t>Less:  Future Finance Obligations</t>
  </si>
  <si>
    <t>Present Value of Minimum Lease Obligations</t>
  </si>
  <si>
    <t>The municipality has finance lease agreements for the following significant classes of assets:</t>
  </si>
  <si>
    <t>- Office Equipment</t>
  </si>
  <si>
    <t>- Vehicles</t>
  </si>
  <si>
    <t>Included in these classes are the following significant leases:</t>
  </si>
  <si>
    <t xml:space="preserve">     - Average period outstanding</t>
  </si>
  <si>
    <t xml:space="preserve">     - Average effective interest rate</t>
  </si>
  <si>
    <t xml:space="preserve">     - Average effective interest rate, based on prime</t>
  </si>
  <si>
    <t xml:space="preserve">     - Average monthly installment</t>
  </si>
  <si>
    <t>During 2007/2008 the municipality was late in paying interest for the first quarter on one of its loans with a carrying amount of R5 million.  The delay arose because of a temporary lack of funds on the date interest was payable due to a technical problem on settlement.  The interest payment outstanding of R107 500 was repaid in full on the following day, including the additional interest and penalty.  The lender did not request accelerated repayment of the loan and the terms of the loan were not changed.  Management has reviewed the municipality’s settlement procedures to ensure that such circumstances do not recur.</t>
  </si>
  <si>
    <t>RETIREMENT BENEFIT LIABILITIES</t>
  </si>
  <si>
    <t>Balance at beginning of Year</t>
  </si>
  <si>
    <t>Contributions to Provision</t>
  </si>
  <si>
    <t>Increase due to Discounting</t>
  </si>
  <si>
    <t>Reduction due to Re-measurement</t>
  </si>
  <si>
    <t>Balance at end of Year</t>
  </si>
  <si>
    <t>Transfer to Current Provisions</t>
  </si>
  <si>
    <t>The principal assumptions used for the purposes of the actuarial valuations were as follows:</t>
  </si>
  <si>
    <t>Expected Return on Plan Assets</t>
  </si>
  <si>
    <t>Expected Rate of Salary Increase</t>
  </si>
  <si>
    <t>Expected Return on Reimbursement Rights</t>
  </si>
  <si>
    <t xml:space="preserve">Expected Retirement Age - Females </t>
  </si>
  <si>
    <t xml:space="preserve">Expected Retirement Age - Males </t>
  </si>
  <si>
    <t>The amounts recognised in the Statement of Financial Position are as follows:</t>
  </si>
  <si>
    <t>IAS 19.120A(f)</t>
  </si>
  <si>
    <t>Deficit</t>
  </si>
  <si>
    <t>Restrictions on asset recognised</t>
  </si>
  <si>
    <t>Fair value of reimbursement rights recognised</t>
  </si>
  <si>
    <t>Discount Rate</t>
  </si>
  <si>
    <t>Unrecognised Past-service Cost</t>
  </si>
  <si>
    <t>Unrecognised Actuarial Gains / (Losses)</t>
  </si>
  <si>
    <t>Total Benefit Liability</t>
  </si>
  <si>
    <t>The amounts recognised in the Statement of Financial Performance are as follows:</t>
  </si>
  <si>
    <t>Current service cost</t>
  </si>
  <si>
    <t>Expected return on reimbursement rights</t>
  </si>
  <si>
    <t>Actuarial losses / (gains)</t>
  </si>
  <si>
    <t>Vested past service costs</t>
  </si>
  <si>
    <t>Losses / (Gains) arising from cutailments or settlements</t>
  </si>
  <si>
    <t>Adjustments for restrictions on the defined benefit asset</t>
  </si>
  <si>
    <t>Movements in the present value of the Defined Benefit Obligation were as follows:</t>
  </si>
  <si>
    <t>Contributions from plan participants</t>
  </si>
  <si>
    <t>Losses / (gains) on curtailments</t>
  </si>
  <si>
    <t>Liabilities extinguished on settlements</t>
  </si>
  <si>
    <t>Assets distributed on settlements</t>
  </si>
  <si>
    <t>Balance at the beginning of the year</t>
  </si>
  <si>
    <t>Movements in the present value of the Defined Benefit Assets were as follows:</t>
  </si>
  <si>
    <t>Contributions from the employer</t>
  </si>
  <si>
    <t>Actuarial gains / (losses)</t>
  </si>
  <si>
    <t>Balance at the end of the year</t>
  </si>
  <si>
    <t>The major categories of plan assets, and the expected rate of return at the balance sheet date for each category, are as follows:</t>
  </si>
  <si>
    <t>Expected Return</t>
  </si>
  <si>
    <t>Fair Value of Plan Assets</t>
  </si>
  <si>
    <t>Equity instruments</t>
  </si>
  <si>
    <t>Debt instruments</t>
  </si>
  <si>
    <t>Property</t>
  </si>
  <si>
    <t>Other (describe)</t>
  </si>
  <si>
    <t>Weighted average expected return</t>
  </si>
  <si>
    <t>The overall expected rate of return is a weighted average of the expected returns of the various categories of plan assets held.  The management’s assessment of the expected returns is based on historical return trends and analysts’ predictions of the market for the asset in the next twelve months.</t>
  </si>
  <si>
    <t>IAS 19. 120A(j)</t>
  </si>
  <si>
    <t>The actual return on plan assets was R0,720 million (2007: R0,354 million).</t>
  </si>
  <si>
    <t>The plan assets include ordinary shares of International GAAP Holdings Limited with a fair value of R0,38 million (2007: R0,252 million) and property occupied by a subsidiary of International GAAP Holdings Limited with a fair value of R0,62 million (2007: R0,62 million).</t>
  </si>
  <si>
    <t>The history of experienced adjustments is as follows:</t>
  </si>
  <si>
    <t xml:space="preserve">Present Value of Defined Benefit Obligation </t>
  </si>
  <si>
    <t>Experienced adjustments on Plan Liabilities</t>
  </si>
  <si>
    <t>Experienced adjustments on Plan Assets</t>
  </si>
  <si>
    <t>The effect of a 1% movement in the assumed rate of health care cost inflation is as follows:</t>
  </si>
  <si>
    <t>Increase:</t>
  </si>
  <si>
    <t>Effect on the aggregate of the current service cost and the interest cost</t>
  </si>
  <si>
    <t>Effect on the defined benefit obligation</t>
  </si>
  <si>
    <t>Decrease:</t>
  </si>
  <si>
    <r>
      <t xml:space="preserve">The </t>
    </r>
    <r>
      <rPr>
        <b/>
        <sz val="11"/>
        <rFont val="Arial"/>
        <family val="2"/>
      </rPr>
      <t>Capitalisation Reserve</t>
    </r>
    <r>
      <rPr>
        <sz val="11"/>
        <rFont val="Arial"/>
        <family val="2"/>
      </rPr>
      <t xml:space="preserve"> equals the carrying value of the items of property, plant and equipment from the former legislated funds.  The Capitalisation Reserve ensures consumer equity and is not backed by cash.</t>
    </r>
  </si>
  <si>
    <r>
      <t xml:space="preserve">The </t>
    </r>
    <r>
      <rPr>
        <b/>
        <sz val="11"/>
        <rFont val="Arial"/>
        <family val="2"/>
      </rPr>
      <t>Donations and Public Contributions Reserve</t>
    </r>
    <r>
      <rPr>
        <sz val="11"/>
        <rFont val="Arial"/>
        <family val="2"/>
      </rPr>
      <t xml:space="preserve"> equals the carrying value of the items of property, plant and equipment financed from public contributions and donations.  The Donations and Public Contributions Reserve ensures consumer equity and is not backed by cash.</t>
    </r>
  </si>
  <si>
    <t>The movement in Non-current Provisions are reconciled as follows:</t>
  </si>
  <si>
    <t>Reduction due to re-measurement</t>
  </si>
  <si>
    <t>The provision for Cleaning of Illegal Dumping relates to the estimated cost for the cleaning of materials dumped illegally on the open areas under the jurisdiction of the municipality.  Anticipated expenditure for 2008 is R1,94 million, and for 2009 is R1,118 million.  These amounts have not been discounted for the purpose of measuring the provision for clearing, because the effect is not material.</t>
  </si>
  <si>
    <t>The provision for Clearing of Alien Vegetation relates to the estimated cost for the clearing of alien vegetation from the areas under the jurisdiction of the municipality.  Anticipated expenditure for 2008 is R1,94 million, and for 2009 is R1,118 million.  These amounts have not been discounted for the purpose of measuring the provision for clearing, because the effect is not material.</t>
  </si>
  <si>
    <t>Provision for Long Service Awards</t>
  </si>
  <si>
    <t>Cost Inflation Rate</t>
  </si>
  <si>
    <t>Past-service cost not recognised</t>
  </si>
  <si>
    <t>Actuarial gains / (losses) not recognised</t>
  </si>
  <si>
    <t>Consumer Deposits are paid by consumers on application for new water and electricity connections.  The deposits are repaid when the water and electricity connections are terminated.   In cases where consumers default on their accounts, the municipality can utilise the deposit as payment for the outstanding account.</t>
  </si>
  <si>
    <t>No interest is paid on Consumer Deposits held.</t>
  </si>
  <si>
    <t>The management of the municipality is of the opinion that the carrying value of Consumer Deposits approximate their fair values.</t>
  </si>
  <si>
    <t>The fair value of  Consumer Deposits was determined after considering the standard terms and conditions of agreements entered into between the municipality and its consumers.</t>
  </si>
  <si>
    <t>Total trade payables at 30 June 2008 amounted to R19,53 million (2007: R21,128 million), comprising the amount presented above (2008: R16,276 million; 2007: R21,128 million) and trade payables associated with Assets classified as Held-for-Sale (2008: R3,254 million; 2007: nil).</t>
  </si>
  <si>
    <t>The average credit period on purchases is 30 days from the receipt of the invoice, as determined by the MFMA.  No interest is charged for the first 30 days from the date of receipt of the invoice.  Thereafter interest is charged in accordance with the credit policies of the various individual creditors that the municipality deals with.  The municipality has financial risk policies in place to ensure that all payables are paid within the credit timeframe.</t>
  </si>
  <si>
    <t>The management of the municipality is of the opinion that the carrying value of Creditors approximate their fair values.</t>
  </si>
  <si>
    <t>The fair value of  Creditors was determined after considering the standard terms and conditions of agreements entered into between the municipality and other parties.</t>
  </si>
  <si>
    <t>Refer to Appendix "F" for more detail on Conditional Grants.</t>
  </si>
  <si>
    <t>No interest is payable to SARS if the VAT is paid over timeously, but interest for late payments is charged according to SARS policies.  The municipality has financial risk policies in place to ensure that payments are affected before the due date.</t>
  </si>
  <si>
    <t>Operating Lease expenses recorded</t>
  </si>
  <si>
    <t>Operating Lease payments effected</t>
  </si>
  <si>
    <t>During the period, the municipality carried out a review of the recoverable amount of its infrastructure property, plant and equipment, having regard to its ongoing programme of modernisation and the extension of its services.  These assets are used in the municipality’s basic services delivery reportable segments.  The review led to the recognition of an impairment loss of R1,09 million, which has been recognised in the Statement of Financial Performance.  The recoverable amount of the relevant assets has been determined on the basis of their value in use.  The discount rate used in measuring value in use was 9,00% per annum.  The discount rate used when the recoverable amount of these assets was previously estimated in 2005 was 8,00% per annum.</t>
  </si>
  <si>
    <t>IAS 36.130(a) to (g)</t>
  </si>
  <si>
    <t>Land and Buildings were revalued to fair value by using the municipal valuation roll.  The effective date of revaluation was 01 July 2007.  The valuation was done by Uluntu Consultants, registered and independent valuators.  The NHBR indices, which indicate current building costs, were used to determine replacement values.</t>
  </si>
  <si>
    <t>Refer to Appendices "B, C and E (2)" for more detail on Property, Plant and Equipment, including those in the course of construction.</t>
  </si>
  <si>
    <t>Had the municipality’s Land and Buildings (other than Land and Buildings classified as Held-for-Sale or included in a disposal group) been measured on a historical cost basis, their carrying amount would have been as follows:</t>
  </si>
  <si>
    <t>The change in estimates will result in an increase of R3 978 218 in the depreciation expense for the municipality over the next three financial years.</t>
  </si>
  <si>
    <t>At Cost less Accumulated Amortisation and Accumulated Impairment Losses</t>
  </si>
  <si>
    <t>The movement in Intangible Assets is reconciled as follows:</t>
  </si>
  <si>
    <t>Reversal of Impairment Losses during the Year</t>
  </si>
  <si>
    <t>Transfers during the Year:</t>
  </si>
  <si>
    <t>Work-in-Progress at Year-end</t>
  </si>
  <si>
    <t>Impairment Losses during the Year</t>
  </si>
  <si>
    <t>All of the municipality’s Intangible Assets are held under freehold interests and no Intangible Assets had been pledged as security for any liabilities of the municipality.</t>
  </si>
  <si>
    <t>No restrictions apply to any of the Intangible Assets of the municipality.</t>
  </si>
  <si>
    <t>IAS 38.122(b)</t>
  </si>
  <si>
    <t>Refer to Appendix "B" for more detail on Intangible Assets.</t>
  </si>
  <si>
    <t>At Cost less Accumulated Depreciation</t>
  </si>
  <si>
    <t>The movement in Investment Property is reconciled as follows:</t>
  </si>
  <si>
    <t>Revenue and Expenditure disclosed in the Statement of Financial Performance include the following:</t>
  </si>
  <si>
    <t>Refer to Appendix "B" for more detail on Investment Property.</t>
  </si>
  <si>
    <t xml:space="preserve">     Rental Revenue earned from Investment Property</t>
  </si>
  <si>
    <t>All of the municipality’s Investment Property is held under freehold interests and no Investment Property had been pledged as security for any liabilities of the municipality.</t>
  </si>
  <si>
    <t>There are no contractual obligations on Investment Property.</t>
  </si>
  <si>
    <t>Investment in Municipal Entities - at cost</t>
  </si>
  <si>
    <t>Investment in Joint Ventures - at cost</t>
  </si>
  <si>
    <t>Investment in Municipal Entities</t>
  </si>
  <si>
    <t>Investment in Joint Ventures</t>
  </si>
  <si>
    <t>Market valuation of Listed Investments</t>
  </si>
  <si>
    <t>Council's valuation of Unlisted Investments</t>
  </si>
  <si>
    <t>Unlisted Investments comprise the following:</t>
  </si>
  <si>
    <t>The management of the municipality is of the opinion that the carrying value of Investments recorded at amortised cost in the Annual Financial Statements approximate their fair values.</t>
  </si>
  <si>
    <t>The fair value of Investments was determined after considering the standard terms and conditions of agreements entered into between the municipality and financial institutions.</t>
  </si>
  <si>
    <t>Issued Share Capital  (R)</t>
  </si>
  <si>
    <t>Percentage controlled by Council  (%)</t>
  </si>
  <si>
    <t>Indebtness of Municipal Entity  (R)</t>
  </si>
  <si>
    <t>Dividend Received  (R)</t>
  </si>
  <si>
    <t>Management Fees Received  (R)</t>
  </si>
  <si>
    <t>Administration Fees Received  (R)</t>
  </si>
  <si>
    <t>Grant allocated to Municipal Entity  (R)</t>
  </si>
  <si>
    <t>Management's valuation of the investment in the Municipal Entity  (R)</t>
  </si>
  <si>
    <t>Five of the seven members serving on the board of directors of the Municipal Entity are nominated by the municipality's Mayoral Committee (5/7 = 71.43%).</t>
  </si>
  <si>
    <t>IAS 31.56</t>
  </si>
  <si>
    <t>ABC Convention Centre (Pty) Ltd</t>
  </si>
  <si>
    <t>Indebtness of Joint Venture  (R)</t>
  </si>
  <si>
    <t>Grant allocated to Joint Venture  (R)</t>
  </si>
  <si>
    <t>Management's valuation of the investment in the Joint Venture  (R)</t>
  </si>
  <si>
    <t>Three of the six members serving on the board of directors of the Joint Venture are nominated by the municipality's Mayoral Committee (3/6 = 50.00%).</t>
  </si>
  <si>
    <t>INVESTMENTS IN ASSOCIATES</t>
  </si>
  <si>
    <t>Summarised financial information in respect of the municipality’s Associates is set out below:</t>
  </si>
  <si>
    <t>IAS 28.37(b)</t>
  </si>
  <si>
    <t>Total Liabilities</t>
  </si>
  <si>
    <t>Municipality's share of Net Assets of Associates</t>
  </si>
  <si>
    <t>Surplus / (Deficit) for the Year</t>
  </si>
  <si>
    <t>Municipality's share of Surplus / (Deficit) of Associates</t>
  </si>
  <si>
    <t>Details of the municipality’s Associates are as follows:</t>
  </si>
  <si>
    <t>Name of Associate</t>
  </si>
  <si>
    <t>Principal Activity</t>
  </si>
  <si>
    <t>Ownership Interest</t>
  </si>
  <si>
    <t>Published Fair Value</t>
  </si>
  <si>
    <t>District Fire Service  (i)</t>
  </si>
  <si>
    <t>Fire &amp; Rescue</t>
  </si>
  <si>
    <t>Arts Theatre  (ii)</t>
  </si>
  <si>
    <t>Arts &amp; Cultural</t>
  </si>
  <si>
    <t>(i)  The District Municipality has a multi-jurisdictional Fire Service operating in the district of Eden, Western Cape.  The municipality's voting power is determined by its percentage shareholding.</t>
  </si>
  <si>
    <t>(ii)  The Arts Theatre is vested in the town of George, Western Cape.  The municipality's voting power is determined by its percentage shareholding.</t>
  </si>
  <si>
    <t>(iii)  Although the municipality holds less than 20% of the equity shares of B Plus Limited, and it has less than 20% of the voting power in shareholder meetings, the municipality exercises significant influence by virtue of its contractual right to appoint two directors to the board of directors of that company.</t>
  </si>
  <si>
    <t>(iv)  The reporting date of D Plus Limited is 31 October.  This was the financial reporting date established when that company was incorporated, and a change of reporting date is not permitted in the RSA.  For the purpose of applying the equity method of accounting, the financial statements of D Plus Limited for the year ended 31 October 2007 (2006: 31 October 2006) have been used, and appropriate adjustments have been made for the effects of significant transactions between that date and 31 December 2007 (2006: 31 December 2006).</t>
  </si>
  <si>
    <t>FINANCE LEASE RECEIVABLES</t>
  </si>
  <si>
    <t>Less:  Unearned Finance Income</t>
  </si>
  <si>
    <t>Present Value of Minimum Lease Payments Receivable</t>
  </si>
  <si>
    <t>Provision for Uncollectable Lease Receivables</t>
  </si>
  <si>
    <t>Total Finance Lease Receivables</t>
  </si>
  <si>
    <t>Unearned Finance Income</t>
  </si>
  <si>
    <t>CODE</t>
  </si>
  <si>
    <t>Included in the Annual Financial Statements as:</t>
  </si>
  <si>
    <t>Non-current Finance Lease Receivables</t>
  </si>
  <si>
    <t>Current Finance Lease Receivables</t>
  </si>
  <si>
    <t>Unguaranteed residual values of assets leased under Finance Leases at date of Financial Position are estimated at R37 000 (2007: R42 000).</t>
  </si>
  <si>
    <t>Finance Lease Receivables are secured over the equipment leased.  The municipality is not permitted to sell or repledge the collateral in the absence of default by the lessee.</t>
  </si>
  <si>
    <t>Management of the municipality is of the opinion that the carrying value of Finance Lease Receivables recorded at amortised cost in the Annual Financial Statements approximate their fair values.</t>
  </si>
  <si>
    <t>The municipality exercises control in the following company, located and operating in the Secunda municipal area, where the value of the investment is considered to be nil Rand as the company does not have a share capital which can be valued in an open market:</t>
  </si>
  <si>
    <t>Secunda Housing Association (Section 21 Company):</t>
  </si>
  <si>
    <t>The municipality has jointly invested with the Provincial Government of Mpumalanga in the construction and operation of a Convention Centre in the municipal area of Secunda.   In terms of the joint venture agreement, both parties jointly control the company, ABC Convention Centre (Pty) Ltd.</t>
  </si>
  <si>
    <t>The management of the municipality is of the opinion that the carrying value of Long-term Receivables recorded at amortised cost in the Annual Financial Statements approximate their fair values.</t>
  </si>
  <si>
    <t>The fair value of  Long-term Receivables was determined after considering the standard terms and conditions of agreements entered into between the municipality and other parties as well as the current payment ratio's of the municipality's debtors.</t>
  </si>
  <si>
    <t>Impairment Losses recognised</t>
  </si>
  <si>
    <t>Impairment Losses reversed</t>
  </si>
  <si>
    <t>Amounts written off as uncollectable</t>
  </si>
  <si>
    <t>Amounts recovered</t>
  </si>
  <si>
    <t>In determining the recoverability of a Long-term Receivable, the municipality considers any change in the credit quality of the receivable from the date credit was initially granted up to the reporting date.  The concentration of credit risk is limited due to the customer base being large and unrelated.  Accordingly, the management believe that there is no further credit provision required in excess of the Provision for Impairment.</t>
  </si>
  <si>
    <t>Included in the Provision for Impairment are individually impaired Long-term Receivables with a balance of R63 000 (2007: R52 000) which have been placed under liquidation.  The impairment recognised represents the difference between the carrying amount of these Receivables and the present value of the expected liquidation proceeds.  The municipality does not hold collateral over these balances.</t>
  </si>
  <si>
    <t>Other Assets Held-for-Sale - at cost</t>
  </si>
  <si>
    <t>The municipality intends to dispose of a parcel of land it no longer utilises in the next 10 months.  The property was previously used in the municipality’s Cleansing Operations.  A search is underway for a buyer.  No impairment loss was recognised on reclassification of the property as held-for-sale nor at 30 June 2008.</t>
  </si>
  <si>
    <t>Assets of Cleansing Operations classified as Held-for-Sale</t>
  </si>
  <si>
    <t>Liabilities of Cleansing Operations associated with Assets classified as Held-for-Sale</t>
  </si>
  <si>
    <t>Net Assets of Cleansing Operations classified as Held-for-Sale</t>
  </si>
  <si>
    <t>The effect of the Correction of Error is as follows:</t>
  </si>
  <si>
    <t>Impairment</t>
  </si>
  <si>
    <t>IFRS 7.36(c)  IFRS 7.37</t>
  </si>
  <si>
    <t xml:space="preserve">IFRS 7.36(c)  IFRS 7.43(c) </t>
  </si>
  <si>
    <t>IFRS 7.37(a)</t>
  </si>
  <si>
    <t>IFRS 7.37(b)</t>
  </si>
  <si>
    <t>Less:  Provision for Impairment</t>
  </si>
  <si>
    <t>Attributable to:</t>
  </si>
  <si>
    <t xml:space="preserve">     Continuing Operations</t>
  </si>
  <si>
    <t xml:space="preserve">     Discontinued Operations</t>
  </si>
  <si>
    <t>INTEREST EARNED</t>
  </si>
  <si>
    <t>Property Rates:</t>
  </si>
  <si>
    <t>Penalties imposed and Collection Charges</t>
  </si>
  <si>
    <t>External Investments:</t>
  </si>
  <si>
    <t>Bank Account</t>
  </si>
  <si>
    <t>Outstanding Debtors:</t>
  </si>
  <si>
    <t>Land Sales</t>
  </si>
  <si>
    <t>Outstanding Billing Debtors</t>
  </si>
  <si>
    <t>Total Interest Earned</t>
  </si>
  <si>
    <t>Interest Earned on Financial Assets, analysed by category of asset, is as follows:</t>
  </si>
  <si>
    <t>Avaliable-for-Sale Financial Assets</t>
  </si>
  <si>
    <t>Held-to-Maturity Investments</t>
  </si>
  <si>
    <t>Interest Earned on Non-financial Assets</t>
  </si>
  <si>
    <t>The amounts disclosed above for revenue from Service Charges are in respect of services rendered which are billed to the consumers on a monthly basis according to approved tariffs.</t>
  </si>
  <si>
    <t>RENTAL OF FACILITIES AND EQUIPMENT</t>
  </si>
  <si>
    <t>Operating Lease Rental Revenue:</t>
  </si>
  <si>
    <t xml:space="preserve">     - Investment Property</t>
  </si>
  <si>
    <t xml:space="preserve">     - Other Rental Revenue</t>
  </si>
  <si>
    <t>Rental Revenue from Buildings</t>
  </si>
  <si>
    <t>Rental Revenue from Halls</t>
  </si>
  <si>
    <t>Rental Revenue from Land</t>
  </si>
  <si>
    <t>Rental Revenue from Other Facilities</t>
  </si>
  <si>
    <t>Total Rental of Facilities and Equipment</t>
  </si>
  <si>
    <t>Rental revenue earned on Facilities and Equipment is in respect of Non-financial Assets rented out.</t>
  </si>
  <si>
    <t>Operational Grants</t>
  </si>
  <si>
    <t>Surplus</t>
  </si>
  <si>
    <t>Revenue</t>
  </si>
  <si>
    <t>Grants</t>
  </si>
  <si>
    <t>Balance unspent at beginning of year</t>
  </si>
  <si>
    <t>Current year receipts - included in Public Health vote</t>
  </si>
  <si>
    <t>Conditions met - transferred to Revenue</t>
  </si>
  <si>
    <t xml:space="preserve">Current year receipts </t>
  </si>
  <si>
    <t>Less:  Employee Costs allocated to Property, Plant and Equipment</t>
  </si>
  <si>
    <t>Included in Employee Related Costs is an amount of RXXX (2007: RXXX) paid by the municipality to Defined Contribution Plans at rates specified by the rules of the plans.  As at 30 June 2008, contributions of RXXX (30 June 2007: RXXX) due in respect of the 2007/2008 (2006/2007) reporting periods have not been paid over to the plans.  The amounts were paid over subsequent to the balance sheet date.</t>
  </si>
  <si>
    <t>The following compensation was payable to key management personnel in terms of IAS 19 as at 30 June:</t>
  </si>
  <si>
    <t>Councillors may utilise official Council transportation when engaged in official duties.</t>
  </si>
  <si>
    <t>DEPRECIATION AND AMORTISATION</t>
  </si>
  <si>
    <t>Depreciation:  Property, Plant and Equipment</t>
  </si>
  <si>
    <t>Amortisation:  Intangible Assets</t>
  </si>
  <si>
    <t>IAS 36.118(e)</t>
  </si>
  <si>
    <t>Total Depreciation and Amortisation</t>
  </si>
  <si>
    <t>IMPAIRMENT LOSSES</t>
  </si>
  <si>
    <t>Impairment Losses Recognised:</t>
  </si>
  <si>
    <t>Impairment Losses Reversed:</t>
  </si>
  <si>
    <t>Loans carried at Amortised Cost</t>
  </si>
  <si>
    <t>Total Impairment Losses</t>
  </si>
  <si>
    <t>Total Interest Expense</t>
  </si>
  <si>
    <t>Less:  Amounts included in the Cost of qualifying Assets</t>
  </si>
  <si>
    <t>RESEARCH AND DEVELOPMENT COSTS</t>
  </si>
  <si>
    <t>Total Reasearch and Development Costs</t>
  </si>
  <si>
    <t>Research and Development Costs disclosed above, have been expensed immediately and are in respect of research into the future needs of the municipality and new resources to fulfill these needs.</t>
  </si>
  <si>
    <t>Other General Expenses</t>
  </si>
  <si>
    <t>Total General Expenses</t>
  </si>
  <si>
    <t>IAS 1.86</t>
  </si>
  <si>
    <t>OTHER GAINS AND LOSSES</t>
  </si>
  <si>
    <t>Change in Fair Value of Financial Assets designated as at FVTPL</t>
  </si>
  <si>
    <t>Change in Fair Value of Financial Assets classified as Held-for-Trading</t>
  </si>
  <si>
    <t>Change in Fair Value of Financial Liabilities designated as at FVTPL</t>
  </si>
  <si>
    <t>Change in Fair Value of Financial Liabilities classified as Held-for-Trading</t>
  </si>
  <si>
    <t>Change in Fair Value of Investment Property</t>
  </si>
  <si>
    <t>Recycling of Gain / (Loss) from equity on disposal of Investments classified as Available-for-Sale</t>
  </si>
  <si>
    <t>Hedge ineffectiveness on Cash Flow Hedges</t>
  </si>
  <si>
    <t>IFRS 7.24(b)</t>
  </si>
  <si>
    <t>Hedge ineffectiveness on net Investment Hedges</t>
  </si>
  <si>
    <t>IFRS 7.24(c)</t>
  </si>
  <si>
    <t>Net Other Gains and Losses</t>
  </si>
  <si>
    <t>IAS 21.52(a)</t>
  </si>
  <si>
    <t>No operations have been discontinued.</t>
  </si>
  <si>
    <t>The operations of the Health Services, namely Clinics, Community Services and Prime Health Care, were discontinued during the year and transferred to the Provincial Administration Western Cape on 31 March 2008 as per agreement.  All moveable assets related to the services have been transferred to the Provincial Health Administration at carrying value with the result that no impairment losses were recognised on the reclassification of these opearations as held-for-sale.  The discontinuation of Health Services is consistent with the Health Act, which classifies the services as the responsibility of the Provincial Authority.  The transfer of Health Services was completed on 31 March 2008 on which date control of the services passed to the Provinvial Administration Western Cape.  Details of the Assets and Liabilities disposed of are disclosed in Note xx.</t>
  </si>
  <si>
    <t>The results of the Discontinued Operations included in the Statement of Financial Performance are set out below  The comparative Surplus/(Deficit) and Cash Flows from Discontinued Operations have been represented to include those operations classified as discontinued in the current period.</t>
  </si>
  <si>
    <t>Health Services</t>
  </si>
  <si>
    <t>Government Subsidies</t>
  </si>
  <si>
    <t>Total Income</t>
  </si>
  <si>
    <t>LESS: EXPENDITURE</t>
  </si>
  <si>
    <t>General Expenses</t>
  </si>
  <si>
    <t>Gain / (Loss) on remeasurement to Fair Value, less Costs to Sell</t>
  </si>
  <si>
    <t>Gain / (Loss) on disposal of Operation</t>
  </si>
  <si>
    <t>Net Surplus/(Deficit) from Discontinued Operations</t>
  </si>
  <si>
    <t>Cash Flows from Discontinued Operations</t>
  </si>
  <si>
    <t>Net Cash Flows from Operating Activities</t>
  </si>
  <si>
    <t>Net Cash Flows from Investing Activities</t>
  </si>
  <si>
    <t>Net Cash Flows from Financing Activities</t>
  </si>
  <si>
    <t xml:space="preserve">     Depreciation and Amortisation</t>
  </si>
  <si>
    <t xml:space="preserve">     Other Movement on Property, Plant and Equipment</t>
  </si>
  <si>
    <t xml:space="preserve">     Contribution to Impairment Provision</t>
  </si>
  <si>
    <t>Cash generated by / (utilised in) Operations</t>
  </si>
  <si>
    <t xml:space="preserve">     Other Movement on Intangible Assets</t>
  </si>
  <si>
    <t xml:space="preserve">     Other Movement on Investment Properties</t>
  </si>
  <si>
    <t>NON-CASH INVESTING AND FINANCING TRANSACTIONS</t>
  </si>
  <si>
    <t>FINANCING FACILITIES</t>
  </si>
  <si>
    <t>Unsecured Bank Overdraft Facility, reviewed annually and payable at call:</t>
  </si>
  <si>
    <t xml:space="preserve">     - Amount used</t>
  </si>
  <si>
    <t xml:space="preserve">     - Amount unused</t>
  </si>
  <si>
    <t>Unsecured Bill Acceptance Facility, reviewed annually:</t>
  </si>
  <si>
    <t>Secured Bank Overdraft Facility:</t>
  </si>
  <si>
    <t>Secured Bank Loan Facilities with various maturity dates through to 2010 and which may be extended by mutual agreement:</t>
  </si>
  <si>
    <t>Buildings:</t>
  </si>
  <si>
    <t>More than 5 years</t>
  </si>
  <si>
    <t>The following payments have been recognised as an expense in the Statement of Financial Performance:</t>
  </si>
  <si>
    <t>Minimum lease payments</t>
  </si>
  <si>
    <t>Contingent rentals</t>
  </si>
  <si>
    <t>Sub-lease payments received</t>
  </si>
  <si>
    <t>In respect of Non-cancellable Operating Leases the following liabilities have been recognised:</t>
  </si>
  <si>
    <t>Onerous Lease Contracts (Note xx):</t>
  </si>
  <si>
    <t xml:space="preserve">     Current</t>
  </si>
  <si>
    <t xml:space="preserve">     Non-current</t>
  </si>
  <si>
    <t>Lease Incentives (Note xx):</t>
  </si>
  <si>
    <t>The municipality has operating lease agreements for the following classes of assets, which are only significant collectively:</t>
  </si>
  <si>
    <t>No restrictions have been imposed on the municipality in terms of the operating lease agreements.</t>
  </si>
  <si>
    <t>The Municipality as Lessor:</t>
  </si>
  <si>
    <t>To management's best of knowledge no Unauthorised Expenditure was incurred during the year under review.</t>
  </si>
  <si>
    <t>To management's best of knowledge instances of note indicating that Fruitless and Wasteful Expenditure was incurred during the year under review were not revealed.</t>
  </si>
  <si>
    <t>To management's best of knowledge instances of note indicating that Irregular Expenditure was incurred during the year under review were not revealed.</t>
  </si>
  <si>
    <t>During the financial year under review no Councillor (present or past) was in arrear with the settlement of their municipal accounts.</t>
  </si>
  <si>
    <t>The majority of the items mentioned resulted from flood damage that had to be addressed at short notice and the response times did not allow for the complete procurement process to be followed.  The balance of items was due to emergency circumstances and economic benefits for the municipality.</t>
  </si>
  <si>
    <t>Department</t>
  </si>
  <si>
    <t>Date</t>
  </si>
  <si>
    <t>Successful Tenderer</t>
  </si>
  <si>
    <t>Reason</t>
  </si>
  <si>
    <t>COMMITMENTS FOR EXPENDITURE</t>
  </si>
  <si>
    <t>The municipality’s share of the Capital Commitments of its Jointly Controlled Entity, JV Electronics Limited, is as follows:</t>
  </si>
  <si>
    <t>IAS 31.55</t>
  </si>
  <si>
    <t>Commitments for the acquisition of Property, Plant and Equipment</t>
  </si>
  <si>
    <t>The municipality has entered into a contract with Secunda Property Management for the management and maintenance of its Investment Property for the next 5 years, which will give rise to an annual charge of R350 000.</t>
  </si>
  <si>
    <t>FINANCIAL ASSETS:</t>
  </si>
  <si>
    <t>VAT Receivable</t>
  </si>
  <si>
    <t>Aaaaaaaaaaaaa</t>
  </si>
  <si>
    <t>Xxxxxxxxxxxxxx</t>
  </si>
  <si>
    <t>Bbbbbbbbbbbbb</t>
  </si>
  <si>
    <t>Yyyyyyyyyyyyyy</t>
  </si>
  <si>
    <t>Derivative Instruments in designated Hedge Accounting Relationships:</t>
  </si>
  <si>
    <t>FINANCIAL LIABILITIES:</t>
  </si>
  <si>
    <t>Financial Liabilities</t>
  </si>
  <si>
    <t>VAT Payable</t>
  </si>
  <si>
    <t>SUMMARY OF FINANCIAL LIABILITIES</t>
  </si>
  <si>
    <t>Financial Guarantee Contracts:</t>
  </si>
  <si>
    <t>Total Financial Liabilities</t>
  </si>
  <si>
    <t>Fair</t>
  </si>
  <si>
    <t>FINANCIAL ASSETS</t>
  </si>
  <si>
    <t>FINANCIAL LIABILITIES</t>
  </si>
  <si>
    <t>Held for Trading:</t>
  </si>
  <si>
    <t>Xxxxxxxxxxxxx</t>
  </si>
  <si>
    <t>Yyyyyyyyyyyyy</t>
  </si>
  <si>
    <t>Local Registered Stock Loans</t>
  </si>
  <si>
    <t>Trade and Other Payables:</t>
  </si>
  <si>
    <t xml:space="preserve">     - Creditors</t>
  </si>
  <si>
    <t xml:space="preserve">     - Short-term Loans</t>
  </si>
  <si>
    <t xml:space="preserve">     - Current Portion of Long-term Liabilities</t>
  </si>
  <si>
    <t>Total Financial Instruments</t>
  </si>
  <si>
    <t>Unrecognised Gain / (Loss)</t>
  </si>
  <si>
    <t>Assumptions used in determining Fair Value of Financial Assets and Financial Liabilities</t>
  </si>
  <si>
    <t>IAS 1.124A  &amp; 124B</t>
  </si>
  <si>
    <t>Gearing Ratio</t>
  </si>
  <si>
    <t>The municipality’s risk management committee reviews the capital structure on a semi-annual basis.  As part of this review, the committee considers the cost of capital and the risks associated with each class of capital.  The municipality has a target gearing ratio of 20-25% determined as the proportion of net debt to equity.  Based on the committee’s recommendations, the municipality expects to increase its gearing ratio closer to 25% through the issue of new debt.</t>
  </si>
  <si>
    <t>The gearing ratio at the year-end was as follows:</t>
  </si>
  <si>
    <t>Debt</t>
  </si>
  <si>
    <t>Net Debt</t>
  </si>
  <si>
    <t>The Corporate Treasury function reports quarterly to the municipality’s risk management committee, an independent body that monitors risks and policies implemented to mitigate risk exposures.</t>
  </si>
  <si>
    <t>IFRS 7.21</t>
  </si>
  <si>
    <t>IFRS 7.22</t>
  </si>
  <si>
    <t>•    interest rate swaps to mitigate the risk of rising interest rates.</t>
  </si>
  <si>
    <t>Market risk exposures are measured using value-at-risk (VaR) and are supplemented by sensitivity analysis.</t>
  </si>
  <si>
    <t>There has been no change to the municipality’s exposure to market risks or the manner in which it manages and measures the risk.</t>
  </si>
  <si>
    <t>The municipality undertakes certain transactions denominated in foreign currencies.  Hence, exposures to exchange rate fluctuations arise.  Exchange rate exposures are managed within approved policy parameters utilising forward foreign exchange contracts.</t>
  </si>
  <si>
    <t>Assets</t>
  </si>
  <si>
    <t>IFRS 7.22, 33 &amp; 34</t>
  </si>
  <si>
    <t>Average</t>
  </si>
  <si>
    <r>
      <rPr>
        <i/>
        <sz val="11"/>
        <rFont val="Arial"/>
        <family val="2"/>
      </rPr>
      <t>Interest Rate Risk</t>
    </r>
    <r>
      <rPr>
        <sz val="11"/>
        <rFont val="Arial"/>
        <family val="2"/>
      </rPr>
      <t xml:space="preserve"> is defined as the risk that the fair value or future cash flows associated with a financial instrument will fluctuate in amount as a result of market interest changes.</t>
    </r>
  </si>
  <si>
    <t>The municipality’s exposures to interest rates on Financial Assets and Financial Liabilities are detailed in the Credit Risk Management section of this note.</t>
  </si>
  <si>
    <t>Interest Rate Swap Contracts</t>
  </si>
  <si>
    <t>Interest Rate</t>
  </si>
  <si>
    <t>2 to 5 years</t>
  </si>
  <si>
    <t>FINANCIAL INSTRUMENTS (Continued)</t>
  </si>
  <si>
    <t>In accordance with IAS 32.67(a) and (b) the following tables indicate the average effective interest rates of Income-earning Financial Assets and Interest-bearing Financial Liabilities at the reporting date and the periods in which they mature or, if earlier, reprice:</t>
  </si>
  <si>
    <t>6 Months</t>
  </si>
  <si>
    <t>6 - 12</t>
  </si>
  <si>
    <t>1 - 2</t>
  </si>
  <si>
    <t>2 - 5</t>
  </si>
  <si>
    <t>More than</t>
  </si>
  <si>
    <t>ref in</t>
  </si>
  <si>
    <t>effective</t>
  </si>
  <si>
    <t>AFS</t>
  </si>
  <si>
    <t>or less</t>
  </si>
  <si>
    <t>Months</t>
  </si>
  <si>
    <t>Years</t>
  </si>
  <si>
    <t>5 Years</t>
  </si>
  <si>
    <t>#</t>
  </si>
  <si>
    <t>FIXED RATE INSTRUMENTS</t>
  </si>
  <si>
    <t>Held-to-maturity Investments</t>
  </si>
  <si>
    <t>Unsecured Bank Facilities</t>
  </si>
  <si>
    <t>Total Fixed Rate Instruments</t>
  </si>
  <si>
    <t>VARIABLE RATE INSTRUMENTS</t>
  </si>
  <si>
    <t>The municipality is exposed to equity price risks arising from equity investments.  Equity investments are held for strategic rather than trading purposes.  The municipality does not actively trade these investments.</t>
  </si>
  <si>
    <t>Liquidity and Interest Risk Tables</t>
  </si>
  <si>
    <t>The following tables detail the municipality’s remaining contractual maturity for its non-derivative financial liabilities.  The tables have been drawn up based on the undiscounted cash flows of financial liabilities based on the earliest date on which the municipality can be required to pay. The table includes both interest and principal cash flows.</t>
  </si>
  <si>
    <t>Non-interest Bearing</t>
  </si>
  <si>
    <t>Variable Interest Rate Instruments</t>
  </si>
  <si>
    <t>Fixed Interest Rate Instruments</t>
  </si>
  <si>
    <t>Financial Guarantee Contracts</t>
  </si>
  <si>
    <t>At the year-end it was not probable that the counterparty to the financial guarantee contract will claim under the contract.  Consequently, the amount included above is nil.</t>
  </si>
  <si>
    <t>The following table details the municipality’s expected maturity for its non-derivative financial assets.  The tables below have been drawn up based on the undiscounted contractual maturities of the financial assets including interest that will be earned on those assets except where the municipality anticipates that the cash flow will occur in a different period.</t>
  </si>
  <si>
    <t>The following table details the municipality’s liquidity analysis for its derivative financial instruments.  The table has been drawn up based on the undiscounted net cash inflows/(outflows) on the derivative instrument that settle on a net basis and the undiscounted gross inflows and (outflows) on those derivatives that require gross settlement.  When the amount payable or receivable is not fixed, the amount disclosed has been determined by reference to the projected interest rates as illustrated by the yield curves existing at the reporting date.</t>
  </si>
  <si>
    <t>Net Settled:</t>
  </si>
  <si>
    <t xml:space="preserve">     Interest Rate Swaps</t>
  </si>
  <si>
    <t xml:space="preserve">     Foreign Exchange Forward Contracts</t>
  </si>
  <si>
    <t>Gross Settled:</t>
  </si>
  <si>
    <t xml:space="preserve">     Currency Swaps</t>
  </si>
  <si>
    <r>
      <rPr>
        <i/>
        <sz val="11"/>
        <rFont val="Arial"/>
        <family val="2"/>
      </rPr>
      <t>Credit Risk</t>
    </r>
    <r>
      <rPr>
        <sz val="11"/>
        <rFont val="Arial"/>
        <family val="2"/>
      </rPr>
      <t xml:space="preserve"> refers to the risk that a counterparty will default on its contractual obligations resulting in financial loss to the municipality.  The municipality has adopted a policy of only dealing with creditworthy counterparties and obtaining sufficient collateral, where appropriate, as a means of mitigating the risk of financial loss from defaults.  The municipality only transacts with entities that are rated the equivalent of investment grade and above.  This information is supplied by independent rating agencies where available and, if not available, the municipality uses other publicly available financial information and its own trading records to rate its major customers.  The municipality’s exposure and the credit ratings of its counterparties are continuously monitored and the aggregate value of transactions concluded is spread amongst approved counterparties.  Credit exposure is controlled by counterparty limits that are reviewed and approved by the risk management committee annually.</t>
    </r>
  </si>
  <si>
    <t xml:space="preserve">IFRS 7.34(c) </t>
  </si>
  <si>
    <t>Counterparty and Location</t>
  </si>
  <si>
    <t>Credit</t>
  </si>
  <si>
    <t>Limit</t>
  </si>
  <si>
    <t>Except as detailed in the following table, the carrying amount of financial assets recorded in the Annual Financial Statements, which is net of impairment losses, represents the municipality’s maximum exposure to credit risk without taking account of the value of any collateral obtained:</t>
  </si>
  <si>
    <t>IFRS 7.B9</t>
  </si>
  <si>
    <t>MULTI-EMPLOYER RETIREMENT BENEFIT INFORMATION</t>
  </si>
  <si>
    <t>Employees belong to a variety of approved Pension and Provident Funds as described below.</t>
  </si>
  <si>
    <t>(ii)     One set of financial statements are compiled for each fund and financial statements are not drafted for each participating employer.</t>
  </si>
  <si>
    <t>The only obligation of the municipality with respect to the retirement benefit plans is to make the specified contributions.  Where councillors / employees leave the plans prior to full vesting of the contributions, the contributions payable by the municipality are reduced by the amount of forfeited contributions.</t>
  </si>
  <si>
    <t>IAS 19.46</t>
  </si>
  <si>
    <t>Municipal Councillors Pension Fund:</t>
  </si>
  <si>
    <t>IAS 24.17 &amp; 18</t>
  </si>
  <si>
    <t>Sundry</t>
  </si>
  <si>
    <t>(*)  Mrs L Neethling is related to Councillor C Neethling.</t>
  </si>
  <si>
    <t>In addition to the above, Mrs van Heerden performed certain administrative services for the municipality, for which a management fee of R18 000 (2007: nil) was charged and paid, being an appropriate allocation of costs incurred by relevant administrative departments.  Mrs van Heerden is the spouse of the Municipal Manager.</t>
  </si>
  <si>
    <t>IAS 37.86(a)</t>
  </si>
  <si>
    <t>IAS 31.54(a)</t>
  </si>
  <si>
    <t>A number of Contingent Liabilities have arisen as a result of the municipality’s interests in Joint Ventures.  The amount disclosed represents the aggregate amount of such Contingent Liabilities for which the municipality as an investor is liable.  The extent to which an outflow of funds will be required is dependent on the future operations of the Joint Ventures being more or less favourable than currently expected.  The municipality is not contingently liable for the liabilities of other venturers in its Joint Ventures.</t>
  </si>
  <si>
    <t>IAS 28.40(a)</t>
  </si>
  <si>
    <t>The municipality’s share of Contingent Liabilities of Associates is the extent to which an outflow of funds will be required is dependent on the future operations of the Associates being more or less favourable than currently expected.</t>
  </si>
  <si>
    <t>CONTINGENT ASSETS</t>
  </si>
  <si>
    <t>The municipality was not engaged in any transaction or event during the year under review involving Contingent Assets.</t>
  </si>
  <si>
    <t>IAS 37.89</t>
  </si>
  <si>
    <t>The municipality has a claim outstanding against a supplier for the supply of faulty products.  Based on negotiations to date the management believe that it is probable that the claim will be successful and that compensation of R0,14 million will be recovered.</t>
  </si>
  <si>
    <t>The municipality did not receive any In-kind Donations and Assistance during the year under review.</t>
  </si>
  <si>
    <t>(i)     Secondment of International Finance Advisor by National Treasury for two years</t>
  </si>
  <si>
    <t xml:space="preserve">Structured unsecured 10 year loan.  Original loan capital of R50m plus interest (variable swapped into fixed) capitalised over 10 years repayable on 30/06/2010.  Deposits are made semi-annually into two sinking funds with ABSA Bank which, together with fixed interest capitalised over 10 years, will settle the loan liability on 30/06/2010. </t>
  </si>
  <si>
    <t>Absa Loan (1064):</t>
  </si>
  <si>
    <t xml:space="preserve">Structured R150m 15 year loan repayable annually in reducing instalments of capital and fixed rate interest, final redemption on 07/07/2008.  Repayment liabilities are evidenced by a series of promissory notes issued by the municipality to FirstRand and later sold on to INCA.  The municipality has the right to prepay the full loan, subject to being liable for all breakage/unwinding costs, in the event of a material reduction in the assumed benefits payable to the municipality under the structure.  </t>
  </si>
  <si>
    <t>As part of the loan structure, the municipality has lent the sum of R150m to FirstRand at a fixed rate of interest, repayable together with capitalised interest on 07/07/2008.  In addition, the municipality has issued a 15 year bond to FirstRand, at the same fixed rate of interest as the municipality's R150m loan to FirstRand, redeemable together with compounded interest on 07/07/2008.  The municipality does not disclose the separate asset and liability arising from these transactions on the balance sheet.  It applies set-off in respect of these two legs of the structure as they meet the requirements for offsetting of IAS 32, paragraph 42, and contra out exactly.</t>
  </si>
  <si>
    <t>The municipality has ceded its rights under its loan to FirstRand as security for its obligations to FirstRand under the original loan and any other indebtedness.</t>
  </si>
  <si>
    <t>DBSA Loan (1067):</t>
  </si>
  <si>
    <t>Structured R200m 10 year loan funded by ABSA Bank (R172m), Standard Bank (R18m) and FutureBank (Nedbank) (R10m).  Loan capital of R200m repayable on 17/09/2008.  Interest (fixed on R190m, variable R10m, in terms of interest rate swap agreements) is payable bi-annually.  Deposits are made bi-annually into a sinking fund with ABSA Bank which, together with fixed interest capitalised over 10 years, will grow to R200m by 17/09/2008 and be used to settle the loan capital liability on that date.  The sinking fund deposit is ceded to Future Syndications as security for the performance of the municipality’s obligations under the loan.  The municipality has the right to prepay the full loan, on at least 30 days notice, subject to being liable for all breakage/unwinding costs.</t>
  </si>
  <si>
    <t>DBSA Loan (1062):</t>
  </si>
  <si>
    <t>As part of the loan structure, the municipality sold moveable water assets with a market value of R125m to FirstRand.  FirstRand leased the assets back to the municipality over 15 years with rentals payable during the years 2009 to 2011.  At the same time, the municipality lent R125m to FirstRand, repayable together with interest on the same dates, and in the same amounts, as the rental payable by the municipality under the lease agreement.  The municipality does not disclose the separate asset and liability arising from these transactions on its balance sheet.  It applies set-off in respect of these two legs of the structure as they meet the requirements for offsetting of IAS 32, paragraph 42 and contra out exactly.  The municipality has ceded its rights under its loan to FirstRand as security for its obligations to First Rand under the original loan and any other indebtedness.</t>
  </si>
  <si>
    <t>At the expiry of the lease, the municipality has the option to (a) hand back the assets to FirstRand, (b) request that the assets be sold with the municipality having the first right of refusal and the sales proceeds refunded to the municipality as a rebate of rentals, or (c), enter into a new lease for a year.</t>
  </si>
  <si>
    <t>DBSA Loan (1065):</t>
  </si>
  <si>
    <t>Structured R220m 15 year loan, R200m of which is repayable semi-annually in equal instalments of capital and fixed rate interest over 15 years, and the balance of R20m payable in one instalment, together with capitalised fixed rate interest, on 30/06/2017.  Repayment liabilities relating to the R200m are evidenced by a series of promissory notes issued by the municipality to FirstRand and later sold on to INCA.  The bullet repayment of the R20m capital and interest will be made out of the guaranteed investment portfolios of two 15 year sinking fund investment policies purchased from Momentum Group.  The municipality has the right to prepay the full loan, on at least 45 days notice, subject to being liable for all breakage/unwinding costs.</t>
  </si>
  <si>
    <t>As part of the loan structure, the municipalitity purchased two 15 year sinking fund policies from Momentum Group for an upfront premium of R220m.  R20m of the premium was invested in the guaranteed investment portfolio referred to above.  The balance of the premium, R200m, was invested in a linked investment (unguaranteed) portfolio.  The maturity proceeds of this unguaranteed portfolio were sold in advance to FirstRand for R200m on day 1 of the policies.  The municipality has ceded and pledged the sinking fund policies to FirstRand as security for the municipality’s obligations to FirstRand under the policies and any other debt liability.</t>
  </si>
  <si>
    <t>The municipality does not disclose the separate asset and liability arising from the purchase and sale of the linked investment (unguaranteed) portfolio on its balance sheet.  It applies set-off in respect of these two legs of the structure as they meet the requirements for offsetting of IAS 32, paraqgraph 42, and contra out exactly.</t>
  </si>
  <si>
    <t>DBSA Loan (1066):</t>
  </si>
  <si>
    <t>INCA Loan (1061):</t>
  </si>
  <si>
    <t>INCA Loan (1063):</t>
  </si>
  <si>
    <t>Vehicle Leases:</t>
  </si>
  <si>
    <t>Sale and leaseback structured R55.3m 15 year loan funded by Nedbank through an Infrastructure Trust.  Lease rentals equating to fixed rate interest are payable semi-annually over 15 years; a bullet rental amount of R55.3m is payable on 02/01/2012 out of the proceeds of a sinking fund.  The municipality deposits semi-annually with Nedbank equal amounts which, together with compounded interest over 15 years, will equate to the original loan capital on 02/01/2012.  The municipality has ceded its rights under the deposit agreement to Nedbank as security for repayment of the loan capital.</t>
  </si>
  <si>
    <t xml:space="preserve">The municipality has the right to prepay the full lease, subject to being liable for all breakage/unwinding costs, in the event of a prejudicial reduction in the assumed benefits payable to the municipality under the structure.  </t>
  </si>
  <si>
    <t>At the expiry of the lease, the municipality has the option to (a) extend or assign the lease for a further period, or (b) repurchase the assets with the sales proceeds refunded to the municipality as a rebate of rentals.</t>
  </si>
  <si>
    <t>Other Leases:</t>
  </si>
  <si>
    <t>Sale and leaseback structured R54.8m 15 year loan funded by Investec Bank.  Lease rentals equating to loan fixed rate interest plus capital are payable semi-annually over 15 years.  Investec has granted the municipality the right to acquire the assets at the expiry of the lease at an agreed option price of R47.6 million.  The municipality has deposited with Investec an amount which, together with compounded interest over 15 years, will equate to the option price payable on 31/12/2011.  The municipality does not disclose the separate asset and liability arising from the sinking fund deposit and the option price on its balance sheet.  It applies set-off in respect of these two legs of the structure as they meet the requirements for offsetting of IAS 32, paragraph 42, and contra out exactly.</t>
  </si>
  <si>
    <t>The municipality has ceded its rights under the deposit agreement to Investec as security for repayment of the lease and the option price.</t>
  </si>
  <si>
    <t>The municipality has the right to prepay the full lease, on at lease 90 days notice, subject to being liable for all breakage/unwinding costs, in the event of an increase in the lease rentals arising from a reduction in the assumed benefits payable to the municipality under the structure.</t>
  </si>
  <si>
    <t>At the expiry of the lease, the municipality has the option to (a) exercise its call option to acquire the leased assets or (b) return the leased assets to Investec.</t>
  </si>
  <si>
    <t>DBSA Loan (Electricity):</t>
  </si>
  <si>
    <t>Structured R150m 15 year loan repayable semi-annually in equal instalments of capital and fixed rate interest.  Repayment liabilities are evidenced by a series of promissory notes issued by the municipalitity to FirstRand and later sold on to Momentum Group.  The municipality has the right to prepay the full loan, subject to being liable for all breakage/unwinding costs, in the event of a material reduction in the assumed benefits payable to the municipality under the structure.</t>
  </si>
  <si>
    <t>As part of the loan structure, the municipality leased moveable electricity assets with a market value of R150m to FirstRand for 20 years.  Rental is payable in three instalments during 1998 to 2000 with a nominal annual rental thereafter.  The rentals are payable into a deposit account with FirstRand which attracts a fixed rate of interest.  FirstRand leased the assets back to the municipality over 15 years with rentals payable during the years 2003 to 2013, out of the deposit account which will reduce to zero on 30/06/2013.  The municipality has ceded its rights to repayment of the deposit to First Rand as security for its obligations to FirstRand under the original loan and any other indebtedness.  The municipality does not disclose the separate asset and liability arising from these transactions on its balance sheet.  It applies set-off in respect of these two legs of the structure as they meet the requirements for offsetting of IAS 32, paragraph 42, and contra out exactly.</t>
  </si>
  <si>
    <t>DBSA Loan (Sewerage):</t>
  </si>
  <si>
    <t>Sale and leaseback structured R59.3m 15 year loan.  The municipaliity sold moveable sewergae assets to Standard Bank at the market value of R59.3m.  The municipality invested R5.8m of the proceeds in a sinking fund deposit which, when compounded over 15 years at a fixed rate of interest, grows to the original loan capital amount of R59.3m.  Standard Bank leased the assets back to the municipality with rentals, equating to the loan fixed rate interest, payable annually over 15 years.  A bullet rental amount of R59.3m is payable on 24/06/2011 out of the sinking fund deposit.  At the expiry of the lease, the municipality has the option to (a) hand back the assets to Standard Bank, (b) request that the assets be sold with the municipality having the first right of refusal and the sales proceeds refunded to the municipality as a rebate of rentals, or (c), enter into a new lease.</t>
  </si>
  <si>
    <t xml:space="preserve">The municipality has the right to prepay the full lease, on 6 months notice, subject to being liable for all breakage/unwinding costs, in the event of an increase in the lease rentals arising from a reduction in the assumed benefits payable to the municipality under the structure. </t>
  </si>
  <si>
    <t>Note:  The rates of interest payable on the above structured loans and finance leases are based on certain underlying assumptions relating to the lenders’ statutory costs and the allowability of deductions by the lenders for income tax purposes in connection with these loans.  In the event of changes to, or interpretation of, the Income Tax Act or any other relevant legislation which impact on the loan structure costs, the lenders have the right to increase or decrease the future rates of interest payable on the loans over their remaining lives, in order to absorb the increase or decrease in costs.</t>
  </si>
  <si>
    <t>DISCLOSURE OF GRANTS AND SUBSIDIES IN TERMS OF SECTION 123 OF MFMA, 56 0F 2003</t>
  </si>
  <si>
    <r>
      <t xml:space="preserve">Compliance to Revenue Act (*)       </t>
    </r>
    <r>
      <rPr>
        <sz val="11"/>
        <rFont val="Arial"/>
        <family val="2"/>
      </rPr>
      <t>See below</t>
    </r>
  </si>
  <si>
    <t>Account</t>
  </si>
  <si>
    <t>The comparative amounts have been restated.  The effect of the change in Accounting Policy is as follows:</t>
  </si>
  <si>
    <t>The effect of the Change in Accounting Policy is as follows:</t>
  </si>
  <si>
    <t>Profit on Sale of Land</t>
  </si>
  <si>
    <t>The municipality is in the process of setting up a municipal entity, a company not having share capital.  The main business and objects of the entity will be to market and develop tourism for the entire district.  At year-end the entity was yet to be registered.</t>
  </si>
  <si>
    <t>In determining the recoverability of a Debtor, the municipality considers any change in the credit quality of the Debtor from the date credit was initially granted up to the reporting date.  The concentration of credit risk is limited due to the customer base being large and unrelated.  Accordingly, the management believe that there is no further credit provision required in excess of the Provision for Impairment.</t>
  </si>
  <si>
    <t>Included in the Provision for Impairment are individually impaired Debtors with a balance of R63 000 (2007: R52 000) which have been placed under liquidation.  The impairment recognised represents the difference between the carrying amount of these Debtors and the present value of the expected liquidation proceeds.  The municipality does not hold collateral over these balances.</t>
  </si>
  <si>
    <t>Total Operating Lease Arrangements</t>
  </si>
  <si>
    <t>Total Operating Lease Expenses</t>
  </si>
  <si>
    <t>Total Operating Lease Liabilities</t>
  </si>
  <si>
    <t xml:space="preserve">     - GRAP 03       Accounting Policies, Changes in Accounting Estimates and Errors</t>
  </si>
  <si>
    <t xml:space="preserve">     - IFRS 3           Business Combinations</t>
  </si>
  <si>
    <t xml:space="preserve">     - IFRS 7           Financial Instruments: Disclosures</t>
  </si>
  <si>
    <t xml:space="preserve">     - IFRS 8           Operating Segments</t>
  </si>
  <si>
    <t xml:space="preserve">     - IAS 14            Segment Reporting</t>
  </si>
  <si>
    <t xml:space="preserve">     - IAS 19            Employee Benefits</t>
  </si>
  <si>
    <t xml:space="preserve">     - IAS 36            Impairment of Assets</t>
  </si>
  <si>
    <t xml:space="preserve">     - IAS 39            Financial Instruments: Recognition and Measurement</t>
  </si>
  <si>
    <t>No restrictions have been imposed by the municipality in terms of the operating lease agreements.</t>
  </si>
  <si>
    <t>Due to the largely non-trading nature of activities and the way in which they are financed, municipalities are not exposed to the degree of financial risk faced by business entities.  Financial Instruments play a much more limited role in creating or changing risks that would be typical of listed companies to which the IAS's mainly apply.  Generally, Financial Assets and Liabilities are generated by day-to-day operational activities and are not held to manage the risks facing the municipality in undertaking its activities.</t>
  </si>
  <si>
    <t>Interest Rate Sensitivity Analysis</t>
  </si>
  <si>
    <t>Sensitivity analysis - Interest rate</t>
  </si>
  <si>
    <t>Actual average interest rate for the year</t>
  </si>
  <si>
    <t>Input variables</t>
  </si>
  <si>
    <t>Values</t>
  </si>
  <si>
    <t>Intermediate Calculations</t>
  </si>
  <si>
    <t>Performance Measure</t>
  </si>
  <si>
    <t>Annual Profit</t>
  </si>
  <si>
    <t>Increase / (Decrease in Profit</t>
  </si>
  <si>
    <t>How does total expenditure change when the uncontrollable variable ranges from 0% to 1% or -1% of its base, keeping other variables at their base?</t>
  </si>
  <si>
    <t>How does Annual profit change, depending on "Change in interest rate" ranging from 0% to 1% or -1% of its base values?</t>
  </si>
  <si>
    <t>The municipality’s sensitivity to interest rates has decreased during the current period mainly due to the reduction in variable rate debt instruments.</t>
  </si>
  <si>
    <t>COMPARATIVE FIGURES</t>
  </si>
  <si>
    <t>The transitional Defined Benefit Liabilities for Long Service Awards have been recognised in the Annual Financial Statements of the municipality as at 30 June 2008 in terms of IAS 19, Employee Benefits, paragraph 155(a).  The municipality has elected to recognise the full increase in this Defined Benefit Liability immediately, thus the full transitional liability have been recognised as at 30 June 2008.</t>
  </si>
  <si>
    <t>Long-term Debtors</t>
  </si>
  <si>
    <t>The municipality had no floating rate long-term financial instruments at year-end requiring an Interest Rate Sensitivity Analysis.</t>
  </si>
  <si>
    <t>Finance Lease Liabilities:</t>
  </si>
  <si>
    <t>Total Post-retirement Health Care Benefits Liabiltiy</t>
  </si>
  <si>
    <t>The municipality provides certain post-retirement health care benefits by funding the medical aid contributions of qualifying retired members of the municipality.  According to the rules of the Medical Aid Funds, with which the municipality is associated, a member (who is on the current Conditions of Service) is entitled to remain a continued member of such medical aid fund on retirement, in which case the municipality is liable for a certain portion of the medical aid membership fee.  The municipality operates an unfunded defined benefit plan for these qualifying employees.   No other post-retirement benefits are provided to these employees.</t>
  </si>
  <si>
    <t>The members of the Post-employment Health Care Benefit Plan are made up as follows:</t>
  </si>
  <si>
    <t xml:space="preserve">     - Keyhealth</t>
  </si>
  <si>
    <t>The effect of a 1% movement in the assumed rate of long service cost inflation is as follows:</t>
  </si>
  <si>
    <t>Actuarial losses / (gains) unrecognised</t>
  </si>
  <si>
    <t>Total Recognised Benefit Liability</t>
  </si>
  <si>
    <t>+ 90 Days</t>
  </si>
  <si>
    <t>Service Charges: Sewerage</t>
  </si>
  <si>
    <t>Service Charges: Water</t>
  </si>
  <si>
    <t>Other Service Charges</t>
  </si>
  <si>
    <t xml:space="preserve">     Contribution to Retirement Benefit Liabilities</t>
  </si>
  <si>
    <t>The municipality had no long-term arrangements to be classified as operating lease agreements for the two financial years.</t>
  </si>
  <si>
    <t>No compensation was payable to key management personnel in terms of IAS 19 as at 30 June.</t>
  </si>
  <si>
    <t>Advertising</t>
  </si>
  <si>
    <t>The Retirement Funds have been valued by making use of the Discounted Cash Flow method of valuation.</t>
  </si>
  <si>
    <t>Historical Cost</t>
  </si>
  <si>
    <t>Balance b/f</t>
  </si>
  <si>
    <t>Added</t>
  </si>
  <si>
    <t>Completed</t>
  </si>
  <si>
    <t xml:space="preserve">Inventories are held for own use with the result that no write downs of Inventory to Net Realisable Value  were required. </t>
  </si>
  <si>
    <t>Total Decrease / (Increase) in Surplus as at 30 June</t>
  </si>
  <si>
    <t>The municipality is not exposed to interest rate risk as the municipality borrows funds at fixed interest rates.</t>
  </si>
  <si>
    <t>The municipality is exposed to interest rate risk as the municipality borrows funds at both fixed and floating interest rates.  The risk is managed by the municipality by maintaining an appropriate mix between fixed and floating rate borrowings, such borrowing being below market related rates.</t>
  </si>
  <si>
    <t>Secured Bank Facilities</t>
  </si>
  <si>
    <t>The municipality is not exposed to equity price risks arising from equity investments as the municipality does not trade these investments.</t>
  </si>
  <si>
    <r>
      <t>, and [</t>
    </r>
    <r>
      <rPr>
        <sz val="11"/>
        <color indexed="10"/>
        <rFont val="Arial"/>
        <family val="2"/>
      </rPr>
      <t>insert relevant information</t>
    </r>
    <r>
      <rPr>
        <sz val="11"/>
        <rFont val="Arial"/>
        <family val="2"/>
      </rPr>
      <t>]  The table below shows the credit limit and balance of 5 major counterparties at the balance sheet date using the Standard and Poor’s credit rating symbols.</t>
    </r>
  </si>
  <si>
    <t>EVENTS AFTER THE REPORTING DATE</t>
  </si>
  <si>
    <t>Rental Revenue from Amenities</t>
  </si>
  <si>
    <t>Service Charges: Electricity</t>
  </si>
  <si>
    <t>Service Charges: Refuse</t>
  </si>
  <si>
    <t>Community Projects</t>
  </si>
  <si>
    <t>Revenue budgeted for under Interest Earned - Outstanding debtors</t>
  </si>
  <si>
    <t>Included in Sundry Debtors is an amount of R32,1 million (2007: R0,0) in respect of the consumption of metered services not billed as at 30 June.</t>
  </si>
  <si>
    <t>The municipality has entered into a contract with SIDAS Security Guards for the provision of security services for the next 3 years, which will give rise to an annual charge of approximately R6,3 million.</t>
  </si>
  <si>
    <t>The municipality has entered into a contract with Electric Field CC for the monthly cut-off action and inspection of meters for tampering for 5 years at a rate of R5,38 per meter.</t>
  </si>
  <si>
    <t>Internal audit, responsible for initiating a control framework and monitoring and responding to potential risk, reports periodically to the municipality’s audit committee, an independent body that monitors the effectiveness of the internal audit function.</t>
  </si>
  <si>
    <t>The municipality limits its counterparty exposures from its money market investment operations by only dealing with well-established financial institutions of high credit standing.  No investment with a tenure exceeding twelve months shall be made without consultation with the councillor responsible for financial matters.</t>
  </si>
  <si>
    <t>Annuity Loans are repaid over periods varying from 2 to 11 (2007: 1 to 12) years and at interest rates varying from 9,25% to 16,50% (2007: 9,25% to 16,50%) per annum.  Annuity Loans are not secured.</t>
  </si>
  <si>
    <t>Listed Shares are investments in shares of public companies with no specific maturity dates or interest rates.</t>
  </si>
  <si>
    <t>Fixed Deposits are investments with a maturity period of more than 12 months and earn interest rates varying from 9,42 % to 15,27 % per annum.</t>
  </si>
  <si>
    <t>ANNUITY LOANS:</t>
  </si>
  <si>
    <t>Absa:</t>
  </si>
  <si>
    <t>Structured unsecured 10 year loan for purchase of land.  Original loan capital of R3 000 000 is repayable monthly in fixed instalments of capital and fixed rate interest.</t>
  </si>
  <si>
    <t>DBSA:</t>
  </si>
  <si>
    <t>Structured unsecured 20 year loan for provision of infrastructure.  Original loan capital of R585 000 is repayable semi-annually in fixed instalments of capital and fixed rate interest.</t>
  </si>
  <si>
    <t>Structured unsecured 30 year loan for provision of infrastructure.  Original loan capital of R169 348 is repayable semi-annually in fixed instalments of capital and fixed rate interest.</t>
  </si>
  <si>
    <t>Structured unsecured 30 year loan for provision of infrastructure.  Original loan capital of R125 000 is repayable semi-annually in fixed instalments of capital and fixed rate interest.</t>
  </si>
  <si>
    <t>Structured unsecured 25 year loan for provision of infrastructure.  Original loan capital of R488 000 is repayable semi-annually in fixed instalments of capital and fixed rate interest.</t>
  </si>
  <si>
    <t>Structured unsecured 25 year loan for provision of infrastructure.  Original loan capital of R393 000 is repayable semi-annually in fixed instalments of capital and fixed rate interest.</t>
  </si>
  <si>
    <t>Structured unsecured 20 year loan for provision of infrastructure.  Original loan capital of R4 918 492 is repayable semi-annually in fixed instalments of capital and fixed rate interest.</t>
  </si>
  <si>
    <t>Structured unsecured 15 year loan for provision of infrastructure.  Original loan capital of R10 000 000 is repayable semi-annually in fixed instalments of capital and fixed rate interest.</t>
  </si>
  <si>
    <t>OTHER LOANS:</t>
  </si>
  <si>
    <t>INCA:</t>
  </si>
  <si>
    <t>Structured secured 14 year loan for various purposes.  Original loan capital of R30 000 000.  Interest is repayable semi-annually in at fixed rate interest.</t>
  </si>
  <si>
    <t>Structured secured 11 year loan for various purposes.  Original loan capital of R430 000 000.  Interest is repayable semi-annually in at fixed rate interest.</t>
  </si>
  <si>
    <t>EXPRESSION OF APPRECIATION</t>
  </si>
  <si>
    <t>Grants utilised to obtain PPE</t>
  </si>
  <si>
    <t>Government Grants Reserve</t>
  </si>
  <si>
    <r>
      <t xml:space="preserve">The </t>
    </r>
    <r>
      <rPr>
        <b/>
        <sz val="11"/>
        <rFont val="Arial"/>
        <family val="2"/>
      </rPr>
      <t>Government Grants Reserve</t>
    </r>
    <r>
      <rPr>
        <sz val="11"/>
        <rFont val="Arial"/>
        <family val="2"/>
      </rPr>
      <t xml:space="preserve"> equals the carrying value of the items of property, plant and equipment financed from government grants.  The Government Grants Reserve ensures consumer equity and is not backed by cash.</t>
    </r>
  </si>
  <si>
    <t xml:space="preserve">     - Bonitas</t>
  </si>
  <si>
    <t xml:space="preserve">     - LA Health</t>
  </si>
  <si>
    <t xml:space="preserve">     - Samwumed</t>
  </si>
  <si>
    <t>The liability in respect of past service has been estimated as follows:</t>
  </si>
  <si>
    <t>Operating Leases are recognised on the straight-line basis as per the requirement of GRAP 13.  No liability existed at 30 June as none of the contracts has any escalation clauses.</t>
  </si>
  <si>
    <t>- Buildings</t>
  </si>
  <si>
    <t>Audit Fees</t>
  </si>
  <si>
    <t xml:space="preserve">The post was vacant as from 01 February 2008.  An Acting Allowance was paid for the period 01 February 2008 to 30 June 2008.  </t>
  </si>
  <si>
    <t>Building Plan Fees</t>
  </si>
  <si>
    <t>Tender Documents</t>
  </si>
  <si>
    <t>Human Resources</t>
  </si>
  <si>
    <t>Free Basic Services</t>
  </si>
  <si>
    <t>STATUTORY FUNDS</t>
  </si>
  <si>
    <t>Statutory Fund No 1</t>
  </si>
  <si>
    <t>Total Statutory Funds</t>
  </si>
  <si>
    <t>NON-CURRENT INVESTMENTS</t>
  </si>
  <si>
    <t>Car Loans</t>
  </si>
  <si>
    <t xml:space="preserve">     Car Loans</t>
  </si>
  <si>
    <t>Projects</t>
  </si>
  <si>
    <t>Recoverable Works</t>
  </si>
  <si>
    <t xml:space="preserve">Interest allocated </t>
  </si>
  <si>
    <t>Interest allocated</t>
  </si>
  <si>
    <t>Conditions met - transferred to Revenue: Operating Expenses</t>
  </si>
  <si>
    <t>Conditions met - transferred to Revenue: Capital Expenses</t>
  </si>
  <si>
    <t>Other Transfers</t>
  </si>
  <si>
    <t xml:space="preserve">     - GRAP 16       Investment Property</t>
  </si>
  <si>
    <t xml:space="preserve">     - GRAP 17       Property, Plant and Equipment</t>
  </si>
  <si>
    <t xml:space="preserve">     - GRAP 23       Revenue from Non-exchange Transactions</t>
  </si>
  <si>
    <t xml:space="preserve">     - GRAP 13       Leases</t>
  </si>
  <si>
    <t>Operational Grants:</t>
  </si>
  <si>
    <t>Conditional Grants:</t>
  </si>
  <si>
    <t>National: Equitable Share</t>
  </si>
  <si>
    <t>National: MIG</t>
  </si>
  <si>
    <t>National: MSIG</t>
  </si>
  <si>
    <t>National: DWAF</t>
  </si>
  <si>
    <t>National: Sport and Development</t>
  </si>
  <si>
    <t>Restated</t>
  </si>
  <si>
    <t>Lease</t>
  </si>
  <si>
    <t>Provision</t>
  </si>
  <si>
    <t>Benefits</t>
  </si>
  <si>
    <t>Long-term</t>
  </si>
  <si>
    <t>The prior year figures of Provision for Post-retirement Benefits, Provision for Long-term Service and Accumulated Surplus have been restated to correctly disclose the monies held by the municipality in terms of IAS 19.</t>
  </si>
  <si>
    <t>Recognition of Provisions</t>
  </si>
  <si>
    <t>Current</t>
  </si>
  <si>
    <t xml:space="preserve">     Transfer Short-term Portion to Current Liabilities</t>
  </si>
  <si>
    <t xml:space="preserve">     Expenditure Incurred</t>
  </si>
  <si>
    <t xml:space="preserve">     - GRAP 100     Non-current Assets Held-for-Sale and Discontinued Operations</t>
  </si>
  <si>
    <t xml:space="preserve">     - GRAP 11       Construction Contracts</t>
  </si>
  <si>
    <t xml:space="preserve">     - GRAP 102     Intangible Assets</t>
  </si>
  <si>
    <t>Total for</t>
  </si>
  <si>
    <t>Surplus/(Deficit)</t>
  </si>
  <si>
    <t>On the 21st and 22nd of November 2007 Chris Hani District Municipality suffered damages from floods that hit the Queenstown District.  At the reporting date the amount of the damages could not be quantified, but infrastructure was severely damaged and it is expected that proceeds from insurance claims will fall short.</t>
  </si>
  <si>
    <t>Non-current Investments</t>
  </si>
  <si>
    <t>LIABILITIES</t>
  </si>
  <si>
    <t>Total Assets and Liabilities</t>
  </si>
  <si>
    <t>NET ASSETS</t>
  </si>
  <si>
    <t>Total Net Assets</t>
  </si>
  <si>
    <t>Finance Costs</t>
  </si>
  <si>
    <t>3.2  Other Assets Held-for-Sale</t>
  </si>
  <si>
    <t>VAT RECEIVABLE</t>
  </si>
  <si>
    <t>VAT PAYABLE</t>
  </si>
  <si>
    <t>Actual Levies</t>
  </si>
  <si>
    <t>Non-current Assets Held-for-Sale</t>
  </si>
  <si>
    <t>Statutory Funds</t>
  </si>
  <si>
    <t>Loss on Disposal of Property, Plant and Equipment</t>
  </si>
  <si>
    <t>OTHER REVENUE / EXPENDITURE INCURRED</t>
  </si>
  <si>
    <t>Proceeds on Disposal of Intangible Assets</t>
  </si>
  <si>
    <t>Proceeds on Disposal of Investment Property</t>
  </si>
  <si>
    <t>New Loans raised</t>
  </si>
  <si>
    <t>Loans repaid</t>
  </si>
  <si>
    <t>NET INCREASE / (DECREASE) IN CASH AND CASH EQUIVALENTS</t>
  </si>
  <si>
    <t>Reconciliation of the Housing Development Fund:</t>
  </si>
  <si>
    <t>Revenue:</t>
  </si>
  <si>
    <t xml:space="preserve">     Land Sales</t>
  </si>
  <si>
    <t xml:space="preserve">     Housing Selling Scheme Loans</t>
  </si>
  <si>
    <t xml:space="preserve">     Housing Rental Debtors</t>
  </si>
  <si>
    <t>Less; Expenditure:</t>
  </si>
  <si>
    <t xml:space="preserve">     Funding of Capital Projects</t>
  </si>
  <si>
    <t xml:space="preserve">     Funding of Operationing Projects</t>
  </si>
  <si>
    <r>
      <t>The Housing Development Fund</t>
    </r>
    <r>
      <rPr>
        <b/>
        <sz val="11"/>
        <rFont val="Arial"/>
        <family val="2"/>
      </rPr>
      <t xml:space="preserve"> </t>
    </r>
    <r>
      <rPr>
        <sz val="11"/>
        <rFont val="Arial"/>
        <family val="2"/>
      </rPr>
      <t>has its origin from Loans extinguished by Government on 1 April 1998 and the net of housing transactions appropriated to the fund thereafter.  No separate Unappropriated Surplus Account for housing transactions was kept.</t>
    </r>
  </si>
  <si>
    <t>The Housing Development Fund contains all proceeds from housing developments, which include rental income and sale of houses.  Monies standing to the credit of the Housing Development Fund are used only to finance housing developments within the municipal area subject to the approval of the Provincial MEC responsible for housing.</t>
  </si>
  <si>
    <t>The Accumulated Surplus consists of the following Internal Funds and Reserves:</t>
  </si>
  <si>
    <t>Reconciliation of the Revaluation Reserve:</t>
  </si>
  <si>
    <t>Depreciation transferred to surplus</t>
  </si>
  <si>
    <t>Transfer due to disposal of revalued assets</t>
  </si>
  <si>
    <t>The following restrictions are placed on the distribution of the balance of the reserve:</t>
  </si>
  <si>
    <r>
      <t>Total Long-term Liabilities</t>
    </r>
    <r>
      <rPr>
        <sz val="11"/>
        <rFont val="Arial"/>
        <family val="2"/>
      </rPr>
      <t xml:space="preserve"> (Neither past due, nor impaired)</t>
    </r>
  </si>
  <si>
    <t>The municipality has options to purchase the Property, Plant and Equipment for a nominal amount at the conclusion of the lease agreements.  The municipality’s obligations under Finance Leases are secured by the lessors’ title to the leased assets.</t>
  </si>
  <si>
    <t>Finance Lease Liabilities</t>
  </si>
  <si>
    <t xml:space="preserve">     Finance Lease Liabilities</t>
  </si>
  <si>
    <t>Amounts payable under finance leases:</t>
  </si>
  <si>
    <t>Less:  Amounts due for settlement within 12 months (Current Portion)</t>
  </si>
  <si>
    <t>Finance Lease Obligations due for settlement after 12 months (Non-current Portion)</t>
  </si>
  <si>
    <t>The municipality does not have an option to purchase the leased Property, Plant and Equipment at the conclusion of the lease agreements.  The municipality’s obligations under Finance Leases are secured by the lessors’ title to the leased assets.</t>
  </si>
  <si>
    <t>Operating Leases relate to Property, Plant and Equipment with lease terms not longer than 5 years, with an option to extend for a further period.  All operating lease contracts contain market review clauses in the event that the municipality exercises its option to renew.  The municipality does not have an option to purchase the leased asset at the expiry of the lease period.</t>
  </si>
  <si>
    <t>OPERATING LEASE ASSETS / RECEIVABLES</t>
  </si>
  <si>
    <t>OPERATING LEASE LIABILITIES / PAYABLES</t>
  </si>
  <si>
    <t>At the Reporting Date the municipality had outstanding commitments under Non-cancellable Operating Leases for Property, Plant and Equipment, which fall due as follows:</t>
  </si>
  <si>
    <t>Operating Leases are recognised on the straight-line basis as per the requirement of  GRAP 13.  In respect of Non-cancellable Operating Leases the following assets have been recognised:</t>
  </si>
  <si>
    <t>Borrowing Costs Capitalised</t>
  </si>
  <si>
    <t>-     Borrowing Costs Capitalised</t>
  </si>
  <si>
    <t>Total Property, Plant and Equipment held by the municipality at 30 June 2009 amounted to R605,722 million (2008: R605,722 million), comprising the amounts analysed above (2009: R605,722 million; 2008: R605,722 million) and Assets classified as Held-for-Sale (2009: nil; 2008: nil).</t>
  </si>
  <si>
    <t>The capitalisation rate used to determine the amount of borrowing costs eligible for capitalisation is xx,xx% (2008: yy,yy%).</t>
  </si>
  <si>
    <t xml:space="preserve">     Cost</t>
  </si>
  <si>
    <t xml:space="preserve">     Accumulated Depreciation</t>
  </si>
  <si>
    <t xml:space="preserve">     Net Carrying Value</t>
  </si>
  <si>
    <t>An independent valuation of the municipality’s Land and Buildings was performed by Messrs R &amp; P Trent, registered and independent valuators, to determine the fair value thereof.  The valuation, which conforms to International Valuation Standards, was made on the basis of recent market transactions on arm's length terms.  The effective date of the valuation is 30 June 2009.</t>
  </si>
  <si>
    <t xml:space="preserve">     Land and Buildings</t>
  </si>
  <si>
    <t xml:space="preserve">     Leased Infrastructure</t>
  </si>
  <si>
    <t>Website</t>
  </si>
  <si>
    <t xml:space="preserve">     Internally Developed</t>
  </si>
  <si>
    <t xml:space="preserve">     Purchased</t>
  </si>
  <si>
    <t>Significant Intangible Assets, that did not meet the recognition criteria for Intangible Assets as stipulated in GRAP 102 and SIC 32, are the following:</t>
  </si>
  <si>
    <t>At Fair Value</t>
  </si>
  <si>
    <t>Fair Value</t>
  </si>
  <si>
    <t>Net Gains / (Losses) from Fair Value Adjustments</t>
  </si>
  <si>
    <t>There are the following contractual obligations on Investment Property:</t>
  </si>
  <si>
    <t>Estimated Fair Value of Investment Property at 30 June</t>
  </si>
  <si>
    <t>The municipality’s Investment Property is valued annually at 30 June at fair value by an independent, professionally qualified, valuer.  The valuation, which conforms to International Valuation Standards, is arrived at by reference to market evidence of transaction prices for similar properties.</t>
  </si>
  <si>
    <t>Asset</t>
  </si>
  <si>
    <t>Code</t>
  </si>
  <si>
    <t>Housing Selling Scheme Loans</t>
  </si>
  <si>
    <t>The municipality entered into finance Leasing Arrangements for car and house selling scheme loans.  All leases are denominated in Currency Units.  The average term of Finance Leases entered into is between six and twenty years.</t>
  </si>
  <si>
    <t>The interest rate inherent in the leases are fixed at the contract date of the entire lease term.  The average effective interest rate contracted is approximately 10,50% (2008: 11,00%) per annum.</t>
  </si>
  <si>
    <t>The fair value of  Finance Lease Receivables were determined after considering the standard terms and conditions of agreements entered into between the municipality and other parties as well as the current payment ratio's of the municipality's debtors.</t>
  </si>
  <si>
    <t>HOUSING SELLING SCHEME LOANS</t>
  </si>
  <si>
    <t>Long-term Receivables are neither past due nor impaired as management have no concerns over the credit quality of these assets.</t>
  </si>
  <si>
    <t>NON-CURRENT ASSETS HELD-FOR-SALE</t>
  </si>
  <si>
    <t>Past Due:</t>
  </si>
  <si>
    <t>Current:</t>
  </si>
  <si>
    <t>0 - 30 days</t>
  </si>
  <si>
    <t>0 - 30 Days</t>
  </si>
  <si>
    <t>BANK, CASH AND CASH EQUIVALENTS</t>
  </si>
  <si>
    <t>Total Bank, Cash and Cash Equivalents</t>
  </si>
  <si>
    <t>Total Current Investment Deposits</t>
  </si>
  <si>
    <t>Rates are levied monthly on property owners and are payable the 7th of each month.  Property owners can request that the full amount for the year be raised in July in which case the amount has to be paid by 30 September.  Interest is levied at a rate determined by council on outstanding rates amounts.</t>
  </si>
  <si>
    <t>Staff Leave Benefits:-</t>
  </si>
  <si>
    <t>Total Interest Paid on External Borrowings</t>
  </si>
  <si>
    <r>
      <rPr>
        <b/>
        <sz val="11"/>
        <rFont val="Arial"/>
        <family val="2"/>
      </rPr>
      <t>Staff Leave</t>
    </r>
    <r>
      <rPr>
        <sz val="11"/>
        <rFont val="Arial"/>
        <family val="2"/>
      </rPr>
      <t xml:space="preserve"> accrue to the staff of the municipality on an annual basis, subject to certain conditions.  The provision is an estimate of the amount due at the reporting date.</t>
    </r>
  </si>
  <si>
    <t xml:space="preserve">     - GRAP 06       Consolidated and Separate Financial Statements</t>
  </si>
  <si>
    <t xml:space="preserve">     - GRAP 07       Investments in Associates</t>
  </si>
  <si>
    <t xml:space="preserve">     - GRAP 08       Interests in Joint Ventures</t>
  </si>
  <si>
    <t xml:space="preserve">     - GRAP 09       Revenue from Exchange Transactions</t>
  </si>
  <si>
    <t xml:space="preserve">     - GRAP 12       Inventories</t>
  </si>
  <si>
    <t>CHANGE IN ACCOUNTING ESTIMATES</t>
  </si>
  <si>
    <t>Increase / (Decrease) in Depreciation due to adjustments to Useful Lives of PPE</t>
  </si>
  <si>
    <t>Increase / (Decrease) in Depreciation due to adjustments to Residual Values of PPE</t>
  </si>
  <si>
    <t>Increase / (Decrease) in Depreciation of PPE</t>
  </si>
  <si>
    <t>Depreciation as previously stated</t>
  </si>
  <si>
    <t>Adjustment due to Change in Accounting Estimate</t>
  </si>
  <si>
    <t>Increase/(Decrease) in Operating Lease Liabilities</t>
  </si>
  <si>
    <t>Restatements</t>
  </si>
  <si>
    <t>During the 2007/2008 financial year, the municipality disposed of Property, Plant and Equipment with an aggregate fair value of R0,4 million to acquire the business indicated in Note xx.  This disposal is not reflected in the Cash Flow Statement.</t>
  </si>
  <si>
    <t>In terms of section 36(2) of the Municipal Supply Chain Management Regulations any deviation from the Supply Chain Management Policy needs to be approved / condoned by the Municipal Manager and noted by Council.</t>
  </si>
  <si>
    <t>-  Approved but Not Yet Contracted for:-</t>
  </si>
  <si>
    <t>Total Operating Lease Assets</t>
  </si>
  <si>
    <t>Financial liabilities at amortised cost</t>
  </si>
  <si>
    <t>Financial Liabilities at Amortised Cost:</t>
  </si>
  <si>
    <t>[Then all carrying amounts below = fair value and no disclosure of fair value is required when the carrying amount of financial instruments is a reasonable approximation of fair value.]</t>
  </si>
  <si>
    <t>The municipality’s activities do not expose it to the financial risks of foreign currency and therefore has no formal policy to hedge volatilities in the interest rate market.</t>
  </si>
  <si>
    <t>Potential concentrations of interest rate risk consist mainly of variable rate deposit investments, long-term receivables, consumer debtors, other debtors, bank and cash balances.</t>
  </si>
  <si>
    <t>If interest rates had been 100 basis points higher / lower and all other variables were held constant, the municipality’s:</t>
  </si>
  <si>
    <t>•     Surplus for the year ended 30 June 2009 would have decreased / increased by R43 000 (2008: decreased / increased by R93 000).  This is mainly attributable to the municipality’s exposure to interest rates on its variable rate borrowings; and</t>
  </si>
  <si>
    <t>•     Other equity reserves would have decreased / increased by R19 000 (2008: decreased / increased by R12 000) mainly as a result of the changes in the fair value of available-for-sale fixed rate instruments.</t>
  </si>
  <si>
    <t>Potential concentrations of credit rate risk consist mainly of variable rate deposit investments, long-term receivables, consumer debtors, other debtors, bank and cash balances.</t>
  </si>
  <si>
    <t>The municipality limits its counterparty exposures from its money market investment operations (financial assets that are neither past due nor impaired) by only dealing with well-established financial institutions of high credit standing.  The credit exposure to any single counterparty is managed by setting transaction / exposure limits, which are included in the municipality's Investment Policy.  These limits are reviewed annually by the Chief Financial Officer and authorised by the Council.</t>
  </si>
  <si>
    <t xml:space="preserve">     Bank, Cash and Cash Equivalents</t>
  </si>
  <si>
    <t>The credit quality of financial assets that are neither past due nor impaired can be assessed by reference to external credit ratings (if available) or to historical information about counterparty default rates:</t>
  </si>
  <si>
    <t>Credit quality of Financial Assets:</t>
  </si>
  <si>
    <t>Counterparties with external credit rating:-</t>
  </si>
  <si>
    <t xml:space="preserve">     ABC</t>
  </si>
  <si>
    <t xml:space="preserve">     XYZ</t>
  </si>
  <si>
    <t xml:space="preserve">     Group 1</t>
  </si>
  <si>
    <t xml:space="preserve">     Group 2</t>
  </si>
  <si>
    <t xml:space="preserve">     Group 3</t>
  </si>
  <si>
    <t>Counterparties without external credit rating:-</t>
  </si>
  <si>
    <t xml:space="preserve">     First National Bank</t>
  </si>
  <si>
    <t>Group 1 - High certainty of timely payment.  Liquidity factors are strong and the risk of non-payment is small.</t>
  </si>
  <si>
    <t>Group 2 - Reasonable certainty of timely payment.  Liquidity factors are sound, although ongoing funding needs may enlarge financing requirement.  The risk of non-payment is small.</t>
  </si>
  <si>
    <t>Group 3 - Satisfactory liquidity factors and other factors which qualify the entity as investment grade.  However, the risk factors of non-payment are larger.</t>
  </si>
  <si>
    <t>None of the financial assets that are fully performing have been renegotiated in the last year.</t>
  </si>
  <si>
    <t>Net gains / (losses) not recognised in the Statement of Financial Performance</t>
  </si>
  <si>
    <t>Increase/(Decrease) in Consumer Deposits</t>
  </si>
  <si>
    <t>Compensation, included in Operating Surplus, was received from the municipality's insurers for Property, Plant and Equipment lost during the year:</t>
  </si>
  <si>
    <t>Carrying value of lost assets</t>
  </si>
  <si>
    <t>Compensation received from insurers</t>
  </si>
  <si>
    <t>Surplus / (Deficit) on Compensation received for Lost PPE</t>
  </si>
  <si>
    <t>The following assumptions were used:</t>
  </si>
  <si>
    <t xml:space="preserve">     Discount Rate</t>
  </si>
  <si>
    <t>The following classes of Intangible Assets are not amortised as they are regarded as having indefinite useful lives:</t>
  </si>
  <si>
    <t xml:space="preserve">     Carrying Value of Servitudes: Sewerage Distribution</t>
  </si>
  <si>
    <t xml:space="preserve">     Carrying Value of Servitudes: Water Reticulation</t>
  </si>
  <si>
    <r>
      <rPr>
        <b/>
        <sz val="11"/>
        <rFont val="Arial"/>
        <family val="2"/>
      </rPr>
      <t>Servitudes</t>
    </r>
    <r>
      <rPr>
        <sz val="11"/>
        <rFont val="Arial"/>
        <family val="2"/>
      </rPr>
      <t xml:space="preserve"> are regarded as having Indefinite Useful Lives as they are registered permanently, the agreements not having a maturing date.</t>
    </r>
  </si>
  <si>
    <t>BIOLOGICAL ASSETS</t>
  </si>
  <si>
    <t>Cattle</t>
  </si>
  <si>
    <t>Sheep</t>
  </si>
  <si>
    <t xml:space="preserve">     At Cost / Fair Value</t>
  </si>
  <si>
    <t>The movement in Biological Assets is reconciled as follows:</t>
  </si>
  <si>
    <t>Gains from Changes in Fair Value</t>
  </si>
  <si>
    <t>Losses from Changes in Fair Value</t>
  </si>
  <si>
    <t>All of the municipality’s Biological Assets are held under freehold interests and no Biological Assets had been pledged as security for any liabilities of the municipality.</t>
  </si>
  <si>
    <t>No restrictions apply to any of the Biological Assets of the municipality.</t>
  </si>
  <si>
    <t>The following restrictions apply to Biological Assets:</t>
  </si>
  <si>
    <t>The municipality’s Biological Assets is valued annually at 30 June at fair value by an independent, professionally qualified, valuer.  The valuation, which conforms to International Valuation Standards, is arrived at by reference to market evidence of transaction prices for similar assets.</t>
  </si>
  <si>
    <t>The municipality’s Biological Assets is not valued at fair value and are disclosed at Cost less Accumulated Depreciation and Accumulated Impairment.  The cost involved to obtain fair value exceeds the benefits received from the Biological Assets.</t>
  </si>
  <si>
    <t>Refer to Appendix "B" for more detail on Biological Assets.</t>
  </si>
  <si>
    <t>Quantities of each Biological Asset:</t>
  </si>
  <si>
    <t>The total amount of R342 008 (2007: R342 008) disclosed for impairment losses on Intangible Assets includes an individual material amount of impairment losses applicable to a Water Services Department building damaged when a fire broke out.  Cumulative impairment losses for the following significant account balances are included therein:</t>
  </si>
  <si>
    <t>The total amount of R882 857 disclosed for impairment losses on Intangible Assets does not include individually material amounts of impairment losses.  However, cumulative impairment losses for the following significant account balances are included therein:</t>
  </si>
  <si>
    <t>The total amount of R342 008 (2007: R342 008) disclosed for impairment losses on Property, Plant and Equipment includes an individual material amount of impairment losses applicable to a Water Services Department building damaged when a fire broke out.  Cumulative impairment losses for the following significant account balances are included therein:</t>
  </si>
  <si>
    <t>The total amount of R882 857 disclosed for impairment losses on Property, Plant and Equipment does not include individually material amounts of impairment losses.  However, cumulative impairment losses for the following significant account balances are included therein:</t>
  </si>
  <si>
    <t>Spatial Development Plan</t>
  </si>
  <si>
    <t>Total Impairment of Intangible Assets</t>
  </si>
  <si>
    <t>Impairment losses on Intangible Assets exist predominantly due to technological obsolescence of information technology equipment.  The remainder of impaired items of Intangible Assets have been physically damaged, stolen or have become redundant and idle.</t>
  </si>
  <si>
    <t>The total amount of R342 008 (2007: R342 008) disclosed for impairment losses on Investment Property includes an individual material amount of impairment losses applicable to a Water Services Department building damaged when a fire broke out.  Cumulative impairment losses for the following significant account balances are included therein:</t>
  </si>
  <si>
    <t>The total amount of R882 857 disclosed for impairment losses on Investment Property does not include individually material amounts of impairment losses.  However, cumulative impairment losses for the following significant account balances are included therein:</t>
  </si>
  <si>
    <t>Impairment losses on Investment Property exist predominantly due to technological obsolescence of information technology equipment.  The remainder of impaired items of Investment Property have been physically damaged, stolen or have become redundant and idle.</t>
  </si>
  <si>
    <t>The total amount of R342 008 (2007: R342 008) disclosed for impairment losses on Biological Assets includes an individual material amount of impairment losses applicable to a Water Services Department building damaged when a fire broke out.  Cumulative impairment losses for the following significant account balances are included therein:</t>
  </si>
  <si>
    <t>The total amount of R882 857 disclosed for impairment losses on Biological Assets does not include individually material amounts of impairment losses.  However, cumulative impairment losses for the following significant account balances are included therein:</t>
  </si>
  <si>
    <t>Trees in Plantation</t>
  </si>
  <si>
    <t>Total Impairment of Biological Assets</t>
  </si>
  <si>
    <t>Total Impairment of Investment Property</t>
  </si>
  <si>
    <t>Unconditional Contributions</t>
  </si>
  <si>
    <t>Other Donations</t>
  </si>
  <si>
    <t>Total Public Contributions and Donations</t>
  </si>
  <si>
    <t>PUBLIC CONTRIBUTIONS AND DONATIONS</t>
  </si>
  <si>
    <t>The District Municipality receives funds from Public Developers to provide municipal services to new developments.  The donations were utilised for this purpose.  No funds have been withheld.</t>
  </si>
  <si>
    <t>Change in Fair Value of Biological Assets</t>
  </si>
  <si>
    <t xml:space="preserve">     Expenditure incurred from Retirement Benefit Liabilities</t>
  </si>
  <si>
    <t>Biological Assets</t>
  </si>
  <si>
    <t>FINANCE COSTS</t>
  </si>
  <si>
    <t>CONTRACTED SERVICES</t>
  </si>
  <si>
    <t>Professional Fees</t>
  </si>
  <si>
    <t>Other Contracted Services</t>
  </si>
  <si>
    <t>Total Contracted Services</t>
  </si>
  <si>
    <t>Current Provisions:</t>
  </si>
  <si>
    <t>Capital under Construction - Additions:</t>
  </si>
  <si>
    <t>Liabilities associated with Non-current Assets Held-for-Sale</t>
  </si>
  <si>
    <t>The Provision for Impairment was calculated after grouping all the financial assets of similar nature and risk ratings and assessing the recoverability.</t>
  </si>
  <si>
    <t>OTHER REVENUE</t>
  </si>
  <si>
    <t>Included in General Expenses are the following:</t>
  </si>
  <si>
    <t xml:space="preserve">     - IAS 32            Financial Instruments: Presentation</t>
  </si>
  <si>
    <t>Consumer Debtors comprise of a large number of ratepayers, dispersed across different industries and geographical areas.  Ongoing credit evaluations are performed on the financial condition of these debtors.  Consumer debtors are presented net of a provision for impairment.</t>
  </si>
  <si>
    <t>Total Non-current Investments</t>
  </si>
  <si>
    <t>Total Cash on hand in Cash Floats, Advances and Equivalents</t>
  </si>
  <si>
    <t>The management of the municipality is of the opinion that the carrying value of Current Investment Deposits, Bank Balances, Cash and Cash Equivalents recorded at amortised cost in the Annual Financial Statements approximate their fair values.</t>
  </si>
  <si>
    <t>The fair value of Current Investment Deposits, Bank Balances, Cash and Cash Equivalents was determined after considering the standard terms and conditions of agreements entered into between the municipality and financial institutions.</t>
  </si>
  <si>
    <t>Decrease/(Increase) in VAT Receivable</t>
  </si>
  <si>
    <t>Decrease/(Increase) in Operating Lease Assets</t>
  </si>
  <si>
    <t>The municipality did not buy goods from any companies which can be considered to be Related Parties.</t>
  </si>
  <si>
    <t>Discontinued Operations:</t>
  </si>
  <si>
    <t>Associated Operations:</t>
  </si>
  <si>
    <t>Increase / (Decrease) in Short-term Loans</t>
  </si>
  <si>
    <t>Decrease / (Increase) in Non-current Investments</t>
  </si>
  <si>
    <t>Decrease / (Increase) in Investments in Associates</t>
  </si>
  <si>
    <t>Decrease / (Increase) in Long-term Receivables</t>
  </si>
  <si>
    <t>Trailers</t>
  </si>
  <si>
    <t>Satelite Tracking Equipment</t>
  </si>
  <si>
    <t>Park Homes</t>
  </si>
  <si>
    <t>Cash in Bank</t>
  </si>
  <si>
    <t>Total Bank Accounts</t>
  </si>
  <si>
    <t>101215/1</t>
  </si>
  <si>
    <t>30/09/2016</t>
  </si>
  <si>
    <t>Instalment</t>
  </si>
  <si>
    <t>Periods</t>
  </si>
  <si>
    <t>Interval</t>
  </si>
  <si>
    <t>The following restrictions have been imposed on the municipality in terms of the lease agreements on Office Equipment:</t>
  </si>
  <si>
    <t>(ii)  The hirer shall not sell,  sublet, cede, assign or delegate any of its rights or obligations on the equipemt.</t>
  </si>
  <si>
    <t>On 30 April 2008, the Council announced a plan to privatise the municipality’s Cleansing Services.  The disposal is consistent with the municipality’s long-term policy to privatise its activities which can be operated more cost-efficient by the private sector.  The municipality is actively seeking a buyer for its Cleansing Services and expects to complete the sale by 31 December 2008.  On initial reclassification of these operations as held-for-sale, the municipality has not recognised any impairment losses.</t>
  </si>
  <si>
    <t>Name of Related Person</t>
  </si>
  <si>
    <t>Designation</t>
  </si>
  <si>
    <t>Councillors and/or management of the municipality have relationships with businesses as indicated below:</t>
  </si>
  <si>
    <r>
      <t xml:space="preserve">The average credit period for </t>
    </r>
    <r>
      <rPr>
        <b/>
        <sz val="11"/>
        <rFont val="Arial"/>
        <family val="2"/>
      </rPr>
      <t>Government Grants and Subsidies</t>
    </r>
    <r>
      <rPr>
        <sz val="11"/>
        <rFont val="Arial"/>
        <family val="2"/>
      </rPr>
      <t xml:space="preserve"> is dependent on the Government Department involved and the nature of the claim.  No interest is charged on outstanding Government Grants and Subsidies.  The subsidies are payable to the municipality due to allocations made in the DORA or based on agreements between the municipality and the relevant departments.</t>
    </r>
  </si>
  <si>
    <t>The Provision for Impairment was calculated after grouping all the financial assets of similar nature and risk ratings and by calculating the historical payment ratios for the groupings and by assuming that the future payment ratios would be similar to the historical payment ratios.</t>
  </si>
  <si>
    <t>The municipality did not pledge any of its assets as security.</t>
  </si>
  <si>
    <t>The municipality's Land and Buildings are accounted for according to the cost model and therefore no fair value has been determined.</t>
  </si>
  <si>
    <t>Operating Leases are recognised on the straight-line basis as per the requirements of  GRAP 13.  In respect of Non-cancellable Operating Leases the following liabilities have been recognised:</t>
  </si>
  <si>
    <t>Other Equipment:</t>
  </si>
  <si>
    <t>National Equitable Share</t>
  </si>
  <si>
    <t>The weighted average capitalisation rate on funds borrowed generally is 5,27% per annum (2008: 5,24% per annum).</t>
  </si>
  <si>
    <t>Long-term Liabilities have been utilised in accordance with the Municipal Finance Management Act.  Sufficient cash is available to ensure that Long-term Liabilities can be repaid on the scheduled redemption dates.</t>
  </si>
  <si>
    <t>The municipality did not have any Financing Facilities available at any time during the two financial years.</t>
  </si>
  <si>
    <t>Description of Related Party Relationship</t>
  </si>
  <si>
    <t>Structured unsecured 10 year loan for eradication of bucket system.  Original loan capital of R10 000 000 is repayable semi-annually in fixed instalments of capital and fixed rate interest.</t>
  </si>
  <si>
    <t>These funds are governed by the Pension Funds Act and include both defined benefit and defined contribution schemes.</t>
  </si>
  <si>
    <t xml:space="preserve">All of these afore-mentioned funds are multi-employer plans and are subject to either a tri-annual, bi-annual or annual actuarial valuation, details which are provided below.  </t>
  </si>
  <si>
    <t>Sufficient information is not available to use defined benefit accounting for the pension and retirement funds, due to the following reasons:-</t>
  </si>
  <si>
    <t>DEFINED CONTRIBUTION SCHEMES</t>
  </si>
  <si>
    <t>Bank and Cash Balances</t>
  </si>
  <si>
    <t>Total Bank and Cash Balances</t>
  </si>
  <si>
    <t xml:space="preserve">     Cash Equivalents</t>
  </si>
  <si>
    <r>
      <rPr>
        <b/>
        <sz val="11"/>
        <rFont val="Arial"/>
        <family val="2"/>
      </rPr>
      <t>Short-term Loans</t>
    </r>
    <r>
      <rPr>
        <sz val="11"/>
        <rFont val="Arial"/>
        <family val="2"/>
      </rPr>
      <t xml:space="preserve"> mainly comprise temporary advances made to local municipalities which are repayable within 12 months.</t>
    </r>
  </si>
  <si>
    <t>Councillor</t>
  </si>
  <si>
    <t>In accordance with the transitional provisions for the amendments to IAS 19 Employee Benefits in December 2004, the disclosures above are determined prospectively from the 2009 reporting period.</t>
  </si>
  <si>
    <t>Unfunded Accrued Liability</t>
  </si>
  <si>
    <t xml:space="preserve">     - GAMAP 9       Revenue (sections applicable to Non-exchange Transactions)</t>
  </si>
  <si>
    <t>The municipality had no capital commitments at year-end.</t>
  </si>
  <si>
    <t xml:space="preserve">     ABSA Bank Ltd</t>
  </si>
  <si>
    <t>The municipality did not render any services during the year to anyone that can be considered as a related party.</t>
  </si>
  <si>
    <t>Bulk Infrastructure Grant</t>
  </si>
  <si>
    <t>DWAF</t>
  </si>
  <si>
    <t>DWAF O &amp; M</t>
  </si>
  <si>
    <t>MSIG</t>
  </si>
  <si>
    <t>The Financial Management Grant is paid by National Treasury to municipalities to help implement the financial management reforms required by the Municipal Finance Management Act (MFMA), 2003.  No funds have been withheld.</t>
  </si>
  <si>
    <t>The Municipal Systems Improvement Grant is allocated to municipalities to assist in building in-house capacity to perform their functions and to improve and stabilise municipal systems.  No funds have been withheld.</t>
  </si>
  <si>
    <t>Included in Consultants' Fees is an amount of R5 056 367 in respect of architectural and planning fees of a new administration office block.  It was not sure at year-end whether the building project will realise.</t>
  </si>
  <si>
    <t>Car and Other Allowances</t>
  </si>
  <si>
    <t>This grant has been used to fund environmental health care services (included in Appendix "D"), which services are in a process of being transferred to Provincial Government.  This grant will then fall away.  No funds have been withheld.</t>
  </si>
  <si>
    <t>This grant was utilsed for the maintenance of roads in the jurisdiction area of the municipality.  No funds have been withheld.</t>
  </si>
  <si>
    <t>This grant was received for the building and maintenance of libraries in the district.  No funds have been withheld.</t>
  </si>
  <si>
    <t>The local municipalities contributed towards a project to develop job descriptions and evaluate post levels within the municipalities.  No funds have been withheld.</t>
  </si>
  <si>
    <t>Total Asset Register</t>
  </si>
  <si>
    <t>An amount of R34 112 049 (2008: R31 812 136) is attributable to the Capital Replacement Reserve.</t>
  </si>
  <si>
    <t>DPLG</t>
  </si>
  <si>
    <t>Environmental Health</t>
  </si>
  <si>
    <t>Intangible</t>
  </si>
  <si>
    <t>Property Stock</t>
  </si>
  <si>
    <r>
      <rPr>
        <b/>
        <sz val="11"/>
        <rFont val="Arial"/>
        <family val="2"/>
      </rPr>
      <t>Sundry Deposits</t>
    </r>
    <r>
      <rPr>
        <sz val="11"/>
        <rFont val="Arial"/>
        <family val="2"/>
      </rPr>
      <t xml:space="preserve"> are in respect of cash deposits made to Eskom for the supply of electricity.</t>
    </r>
  </si>
  <si>
    <t>(i)  The lessee shall not have the right to sublet, cede or assign the whole or any portion of the premises let.</t>
  </si>
  <si>
    <t>(ii)  The lessor or its duly authorised agent, representative or servant shall have the right at all reasonable times to inspect the premises let.</t>
  </si>
  <si>
    <t>(iii)  The lessee shall use the premises let for the sole purpose prescribed in the agreement.</t>
  </si>
  <si>
    <t>Housing Loans</t>
  </si>
  <si>
    <t>Debtors Capitalised Loans</t>
  </si>
  <si>
    <t>Removal Cost Loans</t>
  </si>
  <si>
    <t>Sale of Stand Loans</t>
  </si>
  <si>
    <t>Study Cost Loans</t>
  </si>
  <si>
    <t>Vehicle Loans</t>
  </si>
  <si>
    <t xml:space="preserve">     Debtors Capitalised Loans</t>
  </si>
  <si>
    <t xml:space="preserve">     Housing Loans</t>
  </si>
  <si>
    <t xml:space="preserve">     Removal Cost Loans</t>
  </si>
  <si>
    <t xml:space="preserve">     Sale of Stand Loans</t>
  </si>
  <si>
    <t xml:space="preserve">     Study Cost Loans</t>
  </si>
  <si>
    <t xml:space="preserve">     Vehicle Loans</t>
  </si>
  <si>
    <t>VEHICLE LOANS</t>
  </si>
  <si>
    <t>As from 01 January 2006 no loan agreements are entered into for the sale of houses.  The outstanding loans will be recovered over the remaining period of the individual loan agreements entered into.</t>
  </si>
  <si>
    <t>DEBTORS CAPITALISED</t>
  </si>
  <si>
    <t>HOUSING</t>
  </si>
  <si>
    <t>REMOVAL COST</t>
  </si>
  <si>
    <t>SALE OF STANDS</t>
  </si>
  <si>
    <t>In terms of the MFMA no Vehicle Loans are granted to officials anymore.  The outstanding amount is in respect of loans granted before 01 July 2005.  Senior staff were entitled to Vehicle Loans at an interest rate of 8,00% per annum, repayable over a maximum period of 6 years.  The loans are repayable in the year 2010.</t>
  </si>
  <si>
    <t>The Revaluation Reserve arises on the revaluation of Land and Buildings and qualifying Community Assets.  Where revalued Land or Buildings are sold, the portion of the Revaluation Reserve that relates to that asset, and is effectively realised, is transferred directly to Accumulated Surplus.</t>
  </si>
  <si>
    <t>Industrial</t>
  </si>
  <si>
    <t>Interim valuations are processed on an continuous basis to take into account changes in individual property values due to alterations and subdivisions.</t>
  </si>
  <si>
    <t>Contributions to Funds and Reserves</t>
  </si>
  <si>
    <t>Changes in revaluation of Property, Plant &amp; Equipment</t>
  </si>
  <si>
    <t>Interest allocated to Funds and Reserves</t>
  </si>
  <si>
    <t>Funds and Reserves utilised to finance PPE</t>
  </si>
  <si>
    <t>Provincial: Treasury</t>
  </si>
  <si>
    <t>Provincial: DEAT</t>
  </si>
  <si>
    <t>Provincial: DPLG&amp;H</t>
  </si>
  <si>
    <t>Provincial: Department Health</t>
  </si>
  <si>
    <t>Provincial: Department Transport</t>
  </si>
  <si>
    <t>Provincial: Department Sport and Agriculture</t>
  </si>
  <si>
    <t>Local Government: Waterberg District Municipality</t>
  </si>
  <si>
    <t>Local Government: Municipal Education Fund</t>
  </si>
  <si>
    <t>Other Government: National Lottery Fund</t>
  </si>
  <si>
    <t>Other Government: National Roads Agency</t>
  </si>
  <si>
    <t>Conditional Contributions:</t>
  </si>
  <si>
    <t>Reconciliation of Conditional Public Contributions and Donations:</t>
  </si>
  <si>
    <t>Cemetery Fees</t>
  </si>
  <si>
    <t>Insurance Claims</t>
  </si>
  <si>
    <t xml:space="preserve">     Expenditure incurred from Provisions - Current</t>
  </si>
  <si>
    <t xml:space="preserve">     Expenditure incurred from Provisions - Non-current</t>
  </si>
  <si>
    <t>Mayor</t>
  </si>
  <si>
    <t xml:space="preserve">Speaker </t>
  </si>
  <si>
    <t>Executive Committee Members</t>
  </si>
  <si>
    <t>Remuneration of the Chief Financial Officer</t>
  </si>
  <si>
    <t>Remuneration of the Manager:  Corporate Services</t>
  </si>
  <si>
    <t>Remuneration of the Manager:  Community Services</t>
  </si>
  <si>
    <t>Remuneration of the Manager:  Developmental Services</t>
  </si>
  <si>
    <t>Remuneration of the Manager:  Technical Services</t>
  </si>
  <si>
    <t>Remuneration of the Manager:  Traffic and Emergency Services</t>
  </si>
  <si>
    <t>Other Allowances (Cellular Phones, Housing, Transport, etc)</t>
  </si>
  <si>
    <t>Security Services were rendered at the Mayor's house at the expense of the municipality.</t>
  </si>
  <si>
    <t>Mayoral Discretionary Expenditure</t>
  </si>
  <si>
    <t>Other Grants and Subsidies Paid</t>
  </si>
  <si>
    <t>Bank Charges</t>
  </si>
  <si>
    <t>Branding of the Municipality</t>
  </si>
  <si>
    <t>Bursaries</t>
  </si>
  <si>
    <t>Chemicals and Poison</t>
  </si>
  <si>
    <t>Communication and Public Participation</t>
  </si>
  <si>
    <t>Entertainment</t>
  </si>
  <si>
    <t>Expenditure incurred from Finance Management Grant</t>
  </si>
  <si>
    <t>Hiring of Equipment</t>
  </si>
  <si>
    <t>IDP Review</t>
  </si>
  <si>
    <t>Legal Costs</t>
  </si>
  <si>
    <t>Loss Control</t>
  </si>
  <si>
    <t>Materials and Stocks</t>
  </si>
  <si>
    <t>Mayoral Special Programmes</t>
  </si>
  <si>
    <t>Pound Fees</t>
  </si>
  <si>
    <t>Levies: SALGA</t>
  </si>
  <si>
    <t>Telephone Cost</t>
  </si>
  <si>
    <t>Tourism Strategy</t>
  </si>
  <si>
    <t>Training Costs</t>
  </si>
  <si>
    <t>Transport Costs</t>
  </si>
  <si>
    <t>Travelling and Subsistence</t>
  </si>
  <si>
    <t>Uniforms and Protective Clothing</t>
  </si>
  <si>
    <t>Ward Committee Management</t>
  </si>
  <si>
    <t>Water Levy</t>
  </si>
  <si>
    <t>Connection Fees</t>
  </si>
  <si>
    <t>Expenditure Recharged</t>
  </si>
  <si>
    <t>0001/46</t>
  </si>
  <si>
    <t>0001/47</t>
  </si>
  <si>
    <t>0001/56</t>
  </si>
  <si>
    <t>Office of the Mayor &amp; Speaker</t>
  </si>
  <si>
    <t>0002/12</t>
  </si>
  <si>
    <t>0002/13</t>
  </si>
  <si>
    <t>0002/16</t>
  </si>
  <si>
    <t>0002/17</t>
  </si>
  <si>
    <t>0002/18</t>
  </si>
  <si>
    <t>0002/19</t>
  </si>
  <si>
    <t>0002/33</t>
  </si>
  <si>
    <t>0002/35</t>
  </si>
  <si>
    <t>0002/59</t>
  </si>
  <si>
    <t>0002/64</t>
  </si>
  <si>
    <t>IT Support</t>
  </si>
  <si>
    <t>0004/90</t>
  </si>
  <si>
    <t>HIV / AIDS</t>
  </si>
  <si>
    <t>0006/27</t>
  </si>
  <si>
    <t>0006/28</t>
  </si>
  <si>
    <t>Cemetery</t>
  </si>
  <si>
    <t>Library</t>
  </si>
  <si>
    <t>Youth</t>
  </si>
  <si>
    <t>0002/34</t>
  </si>
  <si>
    <t>0002/36</t>
  </si>
  <si>
    <t>0004/94</t>
  </si>
  <si>
    <t>0006/05</t>
  </si>
  <si>
    <t>0006/20</t>
  </si>
  <si>
    <t>0006/29</t>
  </si>
  <si>
    <t>0002/07</t>
  </si>
  <si>
    <t>0002/08</t>
  </si>
  <si>
    <t>0002/09</t>
  </si>
  <si>
    <t>0002/10</t>
  </si>
  <si>
    <t>0002/11</t>
  </si>
  <si>
    <t>House Letting Project Number 2-12</t>
  </si>
  <si>
    <t>House Letting Project Number 3-12</t>
  </si>
  <si>
    <t>House Letting Project Herfsland</t>
  </si>
  <si>
    <t>House Letting Project Soetdorings</t>
  </si>
  <si>
    <t>0007/22</t>
  </si>
  <si>
    <t>0007/25</t>
  </si>
  <si>
    <t>Traffic</t>
  </si>
  <si>
    <t>Fire Services</t>
  </si>
  <si>
    <t>0006/43</t>
  </si>
  <si>
    <t>0006/62</t>
  </si>
  <si>
    <t>Parks and Sidewalks</t>
  </si>
  <si>
    <t>0006/26</t>
  </si>
  <si>
    <t>Sewerage Works</t>
  </si>
  <si>
    <t>0005/49</t>
  </si>
  <si>
    <t>0005/50</t>
  </si>
  <si>
    <t>0006/69</t>
  </si>
  <si>
    <t>Licences</t>
  </si>
  <si>
    <t>0005/42</t>
  </si>
  <si>
    <t>0006/24</t>
  </si>
  <si>
    <t>0007/31</t>
  </si>
  <si>
    <t>0005/84</t>
  </si>
  <si>
    <t>0005/85</t>
  </si>
  <si>
    <t>0005/86</t>
  </si>
  <si>
    <t>0005/87</t>
  </si>
  <si>
    <t>Water Purchase</t>
  </si>
  <si>
    <t>Water Distribution</t>
  </si>
  <si>
    <t>Water Exploitation</t>
  </si>
  <si>
    <t>0005/60</t>
  </si>
  <si>
    <t>Electricity Meter Reading</t>
  </si>
  <si>
    <t>Electricity Purchase</t>
  </si>
  <si>
    <t>Electricity Distribution External</t>
  </si>
  <si>
    <t>Electricity Workshop</t>
  </si>
  <si>
    <t>0008/78</t>
  </si>
  <si>
    <t>0008/80</t>
  </si>
  <si>
    <t>0008/81</t>
  </si>
  <si>
    <t>0008/82</t>
  </si>
  <si>
    <t>0004/91</t>
  </si>
  <si>
    <t>0004/95</t>
  </si>
  <si>
    <t>Intergovernmental &amp; Special Projects</t>
  </si>
  <si>
    <t>Women's day</t>
  </si>
  <si>
    <t>Gains / (Losses) in net Foreign Exchange</t>
  </si>
  <si>
    <t>Payables</t>
  </si>
  <si>
    <t>Receivables</t>
  </si>
  <si>
    <r>
      <t xml:space="preserve">The Accounting Standard for </t>
    </r>
    <r>
      <rPr>
        <i/>
        <sz val="11"/>
        <rFont val="Arial"/>
        <family val="2"/>
      </rPr>
      <t>Leases</t>
    </r>
    <r>
      <rPr>
        <sz val="11"/>
        <rFont val="Arial"/>
        <family val="2"/>
      </rPr>
      <t xml:space="preserve"> has been recognised in the Annual Financial Statements of the municipality as at 30 June 2010 in terms of GRAP 13.  The full net liabilities have been recognised retrospectively in the Annual Financial Statements.</t>
    </r>
  </si>
  <si>
    <t>The prior year figures of Accumulated Surplus has been restated to correctly disclose the monies held by the municipality in terms of the disclosure notes indicated below.</t>
  </si>
  <si>
    <t>The effect of the changes are as follows:</t>
  </si>
  <si>
    <t>The prior year figures of Revenue and Expenditure have been restated to correctly disclose the transactions incurred by the municipality in terms of the disclosure notes indicated below.</t>
  </si>
  <si>
    <t>TOTAL</t>
  </si>
  <si>
    <t xml:space="preserve">     Actual Lease Receipts / Expenditure Reversed</t>
  </si>
  <si>
    <t xml:space="preserve">     Recorded Lease Receipts / Expenditure (Straightlining)</t>
  </si>
  <si>
    <t>CHIEF FINANCIAL OFFICER</t>
  </si>
  <si>
    <t>INVESTMENT PROPERTIES</t>
  </si>
  <si>
    <t>MC &amp; LC - Directive 4</t>
  </si>
  <si>
    <t>The Annuity Loan is repaid over a period of 7 (2008: 8) years and at an interest rate of 5,00% (2008: 5,00%) per annum.  The Annuity Loan is not secured.</t>
  </si>
  <si>
    <t>Sale and leaseback structured R55,30 million 15-year loan funded by Nedbank through an Infrastructure Trust.  Lease rentals equating to fixed rate interest are payable semi-annually over 15 years; a bullet rental amount of R55,30 million is payable on 2 January 2012 out of the proceeds of a sinking fund.  The municipality deposits equal amounts semi-annually with Nedbank which, together with compounded interest over 15 years, will equate to the original loan capital.  The municipality has ceded its rights under the deposit agreement to Nedbank as security for repayment of the loan capital.  An additional floating rate liability of R5,99 million (2009: R7,44 million) arising from a restructuring of the loan is repayable over the remaining life of the loan.</t>
  </si>
  <si>
    <t xml:space="preserve">     - Land; and</t>
  </si>
  <si>
    <t xml:space="preserve">     - Componentised infrastructure assets.</t>
  </si>
  <si>
    <t>There are no Property, Plant and Equipment that is fully depreciated at year-end and still in use by the municipality.</t>
  </si>
  <si>
    <t>At Original Cost:</t>
  </si>
  <si>
    <t>No Property, Plant and Equipment were retired from active use and held for disposal during the financial year.</t>
  </si>
  <si>
    <t>Acquisitions:</t>
  </si>
  <si>
    <t>Reversal of Impairment Losses</t>
  </si>
  <si>
    <t>Increases in Revaluations</t>
  </si>
  <si>
    <t>Amortisation:</t>
  </si>
  <si>
    <t>Impairment Losses Recognised</t>
  </si>
  <si>
    <t>Decreases in Revaluations</t>
  </si>
  <si>
    <t>Disposals:</t>
  </si>
  <si>
    <t>Transfers:</t>
  </si>
  <si>
    <t xml:space="preserve">     - Computer Software;</t>
  </si>
  <si>
    <t>The municipality's Investment Properties are accounted for according to the cost model and therefore no fair value has been determined.</t>
  </si>
  <si>
    <t>At 30 June 2010 standing timber comprised approximately 3,270 hectares of pine tree plantations (2009: 4,360 hectares), which range from newly established plantations to plantations that are 30 years old.  During the year the municipality harvested approximately 74,242 tonnes of wood (2009: 5,295 tonnes), which had a fair value less costs to sell.</t>
  </si>
  <si>
    <t>At 30 June 2010 livestock held for sale comprised 1,875 cattle and 3,781 sheep (2009: 2,160 cattle and 4,010 sheep).  During the year the municipality sold 279 cattle and 286 sheep (2009: 150 cattle and 175 sheep).</t>
  </si>
  <si>
    <t xml:space="preserve">     - Unpurified Water;</t>
  </si>
  <si>
    <t xml:space="preserve">     - Water in pipelines; and</t>
  </si>
  <si>
    <t xml:space="preserve">     - Land held for sale.</t>
  </si>
  <si>
    <t>IFRS 7.14</t>
  </si>
  <si>
    <t>No provision has been made in respect of government debt as these amounts are considered to be fully recoverable.  The municipality holds collateral over these balances in the form of Consumer Deposits / Guarantees, which are not covering the total outstanding debt and vacant property respectively.</t>
  </si>
  <si>
    <t>Interest on overdrawn current accounts are charged at the banker's prime rate plus two percent per annum.  Interest is earned at different rates per annum on favourable balances.</t>
  </si>
  <si>
    <t>The amounts disclosed above for Other General Expenses are in respect of costs incurred in the general management of the municipality and not direct attributable to a specific service or class of expense.  Inter-departmental Charges are charged to other trading and economic services for support services rendered.</t>
  </si>
  <si>
    <t>Unsecured Vehicle and Asset Finance Facility, reviewed annually:</t>
  </si>
  <si>
    <t>The municipality ensures that it has sufficient cash on demand or access to facilities to meet expected operational expenses through the use of cash flow forecasts.  A credit line overdraft facility of RXX million is available and is unsecured.  Interest payable is linked to the prime interest rate.</t>
  </si>
  <si>
    <t>Adjustment made to disclose Long-term Receivables at Amortised Cost</t>
  </si>
  <si>
    <t xml:space="preserve">     Adjustment for Impairment</t>
  </si>
  <si>
    <t xml:space="preserve">     Adjustment for Short-term Portion</t>
  </si>
  <si>
    <r>
      <rPr>
        <i/>
        <sz val="11"/>
        <rFont val="Arial"/>
        <family val="2"/>
      </rPr>
      <t>Arrangement Debtors</t>
    </r>
    <r>
      <rPr>
        <sz val="11"/>
        <rFont val="Arial"/>
        <family val="2"/>
      </rPr>
      <t xml:space="preserve">, previously recognised in Consumer Debtors, have now been recognised in the Annual Financial Statements of the municipality as at 30 June 2010 at amortised cost in terms of IAS 39, </t>
    </r>
    <r>
      <rPr>
        <i/>
        <sz val="11"/>
        <rFont val="Arial"/>
        <family val="2"/>
      </rPr>
      <t>Financial Instruments: Recognition and Measurement</t>
    </r>
    <r>
      <rPr>
        <sz val="11"/>
        <rFont val="Arial"/>
        <family val="2"/>
      </rPr>
      <t>.  The full net liabilities have been recognised retrospectively in the Annual Financial Statements.</t>
    </r>
  </si>
  <si>
    <t>Consumer</t>
  </si>
  <si>
    <t>Debtors</t>
  </si>
  <si>
    <t>Transfer of Arrangement Debtors</t>
  </si>
  <si>
    <t>Current Ptn</t>
  </si>
  <si>
    <t>of LT Debtors</t>
  </si>
  <si>
    <t>Transfer of Short-term Portion</t>
  </si>
  <si>
    <t xml:space="preserve">     Transactions as per Ledger</t>
  </si>
  <si>
    <t xml:space="preserve">     Adjustment for Arrangement Debtors</t>
  </si>
  <si>
    <t>The prior year figures of Long-term Receivables, Consumer Debtors and Current Portion of Long-term Receivables have been restated to correctly disclose the monies for Arrangement Debtors held by the municipality in terms of GRAP 1, paragraph 68.</t>
  </si>
  <si>
    <t>Furthermore, the prior year figures of Revenue Classes have been restated to correctly classify the nature of Revenue of the municipality.</t>
  </si>
  <si>
    <t>Transfer of Payment Received in Advance</t>
  </si>
  <si>
    <t>Unspent</t>
  </si>
  <si>
    <t>The prior year figures of Other Debtors and Creditors have been restated to correctly classify the monies held by the municipality for Payments Received in Advance in terms of GRAP 1.</t>
  </si>
  <si>
    <t>Arrear amounts on services are capitalised on completion of a formal agreement or upon being handed over to attorneys for collection.  These arrear amounts are then paid to the municipality in monthly instalments over a period not exceeding 48 months.  No interest is charged on these amounts where the stipulations of the agreement are adhered to.</t>
  </si>
  <si>
    <t>Transfer of Own and Donated Contributions</t>
  </si>
  <si>
    <t>Write-off of Own and Donated Contributions</t>
  </si>
  <si>
    <t>Furthermore, the prior year figures of Long-term Receivables and Accumulated Surplus have been restated to correctly disclose the monies held by the municipality in terms of IAS 39.</t>
  </si>
  <si>
    <t>Long-term Receivables and Other Debtors are individually evaluated annually at Balance Sheet date for impairment or discounting.  A report on the various categories of debtors is drafted to substantiate such evaluation and subsequent impairment / discounting, where applicable.</t>
  </si>
  <si>
    <t>Corrections were made during the previous financial years.  Details of the corrections are described below:</t>
  </si>
  <si>
    <t xml:space="preserve">               Accumulated Surplus</t>
  </si>
  <si>
    <t>The prior year figures of Interest Earned and Provision for Impairment of Consumer Debtors have been restated to correctly disclose the revenue raised for Interest on Outstanding Billing Debtors by the municipality in terms of GRAP 1, paragraph 68.</t>
  </si>
  <si>
    <r>
      <t xml:space="preserve">The prior year figures of Unspent Conditional Grants and Accumulated Surplus have been restated to correctly classify the monies held by the municipality with no conditions attached to them for Own and Public Contributions in terms of ASB Directive 4.05.144 and to adhere to the provisions of GAMAP 9 (paragraphs 42 - 46), </t>
    </r>
    <r>
      <rPr>
        <i/>
        <sz val="11"/>
        <rFont val="Arial"/>
        <family val="2"/>
      </rPr>
      <t>Revenue</t>
    </r>
    <r>
      <rPr>
        <sz val="11"/>
        <rFont val="Arial"/>
        <family val="2"/>
      </rPr>
      <t xml:space="preserve"> on revenue from non-exchange transactions.</t>
    </r>
  </si>
  <si>
    <t>Total Property Rates</t>
  </si>
  <si>
    <t>An general rate is applied as follows to property valuations to determine property rates:</t>
  </si>
  <si>
    <t>GRAP 1.141(a)</t>
  </si>
  <si>
    <t>GRAP 12.45(d)</t>
  </si>
  <si>
    <t>GRAP 1.63</t>
  </si>
  <si>
    <t>GRAP 12.45(h)</t>
  </si>
  <si>
    <t>GRAP 17.12</t>
  </si>
  <si>
    <t>GRAP 100.43</t>
  </si>
  <si>
    <t>GRAP 2.44</t>
  </si>
  <si>
    <t>An amount of RXX (2009: R0) is ring-fenced and attributable to the External Financing Fund for Unspent Loan Money held as at 30 June.</t>
  </si>
  <si>
    <t>At the Reporting Date the following minimum lease payments were receivable under Non-cancellable Operating Leases for Property, Plant and Equipment, which are receivable as follows:</t>
  </si>
  <si>
    <t>GRAP 13.75 (c)</t>
  </si>
  <si>
    <t>GRAP 17.88(b)</t>
  </si>
  <si>
    <t>GRAP 17.88(c)</t>
  </si>
  <si>
    <t>GRAP 17.87</t>
  </si>
  <si>
    <t>GRAP 102.121 (c) &amp; (e)</t>
  </si>
  <si>
    <t>GRAP 102.121 (e)</t>
  </si>
  <si>
    <t>GRAP 102.121 (d)</t>
  </si>
  <si>
    <t>GRAP 102.125 (b)</t>
  </si>
  <si>
    <t>GRAP 102.125</t>
  </si>
  <si>
    <t>GRAP 102.121(f)</t>
  </si>
  <si>
    <t>GRAP16.85</t>
  </si>
  <si>
    <t>GRAP 16.84(f)</t>
  </si>
  <si>
    <t>GRAP 16.84 (h)</t>
  </si>
  <si>
    <t>GRAP 16.84 (g)</t>
  </si>
  <si>
    <t>GRAP 16.84(d) &amp; (e)</t>
  </si>
  <si>
    <t>GRAP 101.48</t>
  </si>
  <si>
    <t>GRAP 101.39</t>
  </si>
  <si>
    <t>GRAP 101.46</t>
  </si>
  <si>
    <t>GRAP 6.62  (a), (f)</t>
  </si>
  <si>
    <t>GRAP 6.62 (i)</t>
  </si>
  <si>
    <t>GRAP 7.44(a)</t>
  </si>
  <si>
    <t>GRAP 13.46 (c)</t>
  </si>
  <si>
    <t>GRAP 1.62</t>
  </si>
  <si>
    <t>GRAP19.107(a)</t>
  </si>
  <si>
    <t>GRAP19.107 (b), (c) , (d) (e) (f)</t>
  </si>
  <si>
    <t>Staff Leave Accrued</t>
  </si>
  <si>
    <t>GRAP 13.46(b)</t>
  </si>
  <si>
    <t>GRAP 13.66 (a)</t>
  </si>
  <si>
    <t>GRAP 13.66 (b)</t>
  </si>
  <si>
    <t>GRAP 13.66 (d)</t>
  </si>
  <si>
    <t>GRAP 19.107 (a)</t>
  </si>
  <si>
    <t xml:space="preserve">GRAP 19.107 (b) (c) </t>
  </si>
  <si>
    <t>GRAP 19.107 (d)</t>
  </si>
  <si>
    <t xml:space="preserve">GRAP 8.28(b) &amp; (c) </t>
  </si>
  <si>
    <t>GRAP 19.107 (a) (b)</t>
  </si>
  <si>
    <t xml:space="preserve">GRAP 1.89(b) </t>
  </si>
  <si>
    <t xml:space="preserve">GRAP 17.86(f) </t>
  </si>
  <si>
    <t>GRAP 9.38(b)</t>
  </si>
  <si>
    <t>GRAP 13.75(b)</t>
  </si>
  <si>
    <t>IAS 19.10</t>
  </si>
  <si>
    <t>GRAP 1.93</t>
  </si>
  <si>
    <t>GRAP 5.31</t>
  </si>
  <si>
    <t>GRAP 102.129</t>
  </si>
  <si>
    <t>GRAP 16.85 (d)</t>
  </si>
  <si>
    <t>GRAP 100.32  GRAP 100.43</t>
  </si>
  <si>
    <t>GRAP 100.45</t>
  </si>
  <si>
    <t>GRAP 100.35(c)</t>
  </si>
  <si>
    <t>MC &amp; LC Municipalities who opt to early adopt</t>
  </si>
  <si>
    <t>GRAP 2.42</t>
  </si>
  <si>
    <t>GRAP 2.49</t>
  </si>
  <si>
    <t>GRAP 16.86(h)</t>
  </si>
  <si>
    <t>The following payments have been recognised for Rental Income and Repairs and Maintenance Expense in the Statement of Financial Performance:</t>
  </si>
  <si>
    <t>Rental Income</t>
  </si>
  <si>
    <t>Credit quality Goupings:</t>
  </si>
  <si>
    <t>GRAP 19.17(b)</t>
  </si>
  <si>
    <t xml:space="preserve">     - GRAP 101    Agriculture</t>
  </si>
  <si>
    <t xml:space="preserve">     - IAS 32 &amp; 39  Financial Instruments: Recognition and Measurement</t>
  </si>
  <si>
    <t>All Related Party Transactions are conducted at arm's length, unless stated otherwise.</t>
  </si>
  <si>
    <t xml:space="preserve">The municipality did not pledge any of its Cash and Cash Equivalents as collateral for its financial liabilities. </t>
  </si>
  <si>
    <t>No restrictions have been imposed on the municipality in terms of the utilisation of its Cash and Cash Equivalents.</t>
  </si>
  <si>
    <t>The municipality does not hold deposits or any other security for its Long-term Receivables.</t>
  </si>
  <si>
    <t>No Long-term Receivables have been pledged as security for the municipality's financial liabilities.</t>
  </si>
  <si>
    <t>The municipality did not default on any payment of its Creditors.  No terms for payment have been re-negotiaited by the municipality.</t>
  </si>
  <si>
    <t>The municipality’s obligations under Finance Leases are secured by the lessors’ title to the leased assets.</t>
  </si>
  <si>
    <t>The municipality did not default on any payment of its Long-term Liabilities.  No terms for payment have been re-negotiaited by the municipality.</t>
  </si>
  <si>
    <t xml:space="preserve">     - GRAP 18       Segment Reporting</t>
  </si>
  <si>
    <t xml:space="preserve">     - GRAP 21       Impairment of Non-cash-generating Assets</t>
  </si>
  <si>
    <t xml:space="preserve">     - GRAP 24       Presentation of Budget Information in Financial Statements</t>
  </si>
  <si>
    <t xml:space="preserve">     - GRAP 25       Employee Benefits</t>
  </si>
  <si>
    <t xml:space="preserve">     - GRAP 26       Impairment of Cash-generating Assets</t>
  </si>
  <si>
    <t xml:space="preserve">     - GRAP 103     Heritage Assets</t>
  </si>
  <si>
    <t xml:space="preserve">     - GRAP 104     Financial Instruments</t>
  </si>
  <si>
    <t xml:space="preserve">     - GRAP 23       Revenue from Non-exchange Transactions (Taxes and Transfers)</t>
  </si>
  <si>
    <t xml:space="preserve">     - GRAP 101     Agriculture</t>
  </si>
  <si>
    <t>Cash and Cash Equivalents:</t>
  </si>
  <si>
    <t>Financial Assets:</t>
  </si>
  <si>
    <t>Floating Rate Financial Assets Balance (Average)</t>
  </si>
  <si>
    <t>Finance Income - Variable Rates</t>
  </si>
  <si>
    <t>Average Interest Rate for the year - Floating Rate Investments</t>
  </si>
  <si>
    <t>Change in Interest Rate</t>
  </si>
  <si>
    <t>Total Revenue excluding Finance Income</t>
  </si>
  <si>
    <t>Finance Income - Fixed Rates</t>
  </si>
  <si>
    <t>How does total revenue change when the uncontrollable variable ranges from 0% to 1% or -1% of its base, keeping other variables at their base?</t>
  </si>
  <si>
    <t>Total Interest Received</t>
  </si>
  <si>
    <t>Interest - Other</t>
  </si>
  <si>
    <t>Interest - Variable Rate Instruments</t>
  </si>
  <si>
    <t>Financial Liabilities:</t>
  </si>
  <si>
    <t>Floating Rate Loans Balance (Average)</t>
  </si>
  <si>
    <t>Finance Cost - Variable Rates</t>
  </si>
  <si>
    <t>Average Interest Rate for the year - Floating Rate Loans</t>
  </si>
  <si>
    <t>Total Expenditure excluding Finance Cost</t>
  </si>
  <si>
    <t>Finance Cost - Fixed Rates</t>
  </si>
  <si>
    <t>Operating Lease Revenue recorded</t>
  </si>
  <si>
    <t>Operating Lease Revenue effected</t>
  </si>
  <si>
    <t>PPE</t>
  </si>
  <si>
    <t>Investment</t>
  </si>
  <si>
    <t>Reclassifcation of Historical Cost:-</t>
  </si>
  <si>
    <t xml:space="preserve">     Assets not verified written off</t>
  </si>
  <si>
    <t xml:space="preserve">     Asset Control adjusted to Asset Register</t>
  </si>
  <si>
    <t xml:space="preserve">     Assets verified written on</t>
  </si>
  <si>
    <t>Reclassifcation of Accumulated Depreciation / Amortisation:-</t>
  </si>
  <si>
    <t xml:space="preserve">     Assets reclassified</t>
  </si>
  <si>
    <t>The year-end figures for Accumulated Surplus, PPE and Intangible Assets have been restated to correctly disclose the assets held by the municipality in terms of GRAP 16, 17 and 102.</t>
  </si>
  <si>
    <t>Reclassifcation of interest raised on Arrear Debtor Accounts</t>
  </si>
  <si>
    <t>Repairs and Maintenace</t>
  </si>
  <si>
    <t xml:space="preserve">     Assets obtained</t>
  </si>
  <si>
    <t xml:space="preserve">     Assets disposed of</t>
  </si>
  <si>
    <t xml:space="preserve">     Transactions previously recognised:-</t>
  </si>
  <si>
    <t xml:space="preserve">     Depreciation expenditure</t>
  </si>
  <si>
    <t xml:space="preserve">     Depreciation recovered on Disposed Assets</t>
  </si>
  <si>
    <t xml:space="preserve">     Depreciation offset to Revaluation Reserve reversed</t>
  </si>
  <si>
    <t xml:space="preserve">     Additional Transactions from GRAP implementation:-</t>
  </si>
  <si>
    <t xml:space="preserve">     - Hosmed</t>
  </si>
  <si>
    <t>The transitional Defined Benefit Liabilities for Post-retirement Medical Aid Benefits have been recognised in the Annual Financial Statements of the municipality as at 30 June 2008 in terms of IAS 19,  Employee Benefits, paragraph155(a).  The municipality has elected to recognise the full increase in this Defined Benefit Liability immediately, thus the full transitional liability have been recognised as at 30 June 2008.</t>
  </si>
  <si>
    <t>In-service Non-members (Employees)</t>
  </si>
  <si>
    <t>The municipality operates an unfunded defined benefit plan for all its employees.  Under the plan, a Long-service Award is payable after 10 years of continuous service, and every 5 years of continuous service thereafter, to employees.  The provision is an estimate of the long-service based on historical staff turnover.  No other long-service benefits are provided to employees.</t>
  </si>
  <si>
    <t>Performance Bonuses:</t>
  </si>
  <si>
    <t>Landfill Sites</t>
  </si>
  <si>
    <t>The transitional defined benefit liabilities for Post-employment Health Care Benefits and Long Service Allowances have been recognised in the Annual Financial Statements of the municipality as at 30 June 2010 in terms of IAS 19, 155 (a).  The full net liabilities have been recognised retrospectively in the Annual Financial Statements.</t>
  </si>
  <si>
    <t>Transfer Short-term Portion to Current Liabilities</t>
  </si>
  <si>
    <t xml:space="preserve">     Contributions Previously Received</t>
  </si>
  <si>
    <t xml:space="preserve">     Contributions Restated</t>
  </si>
  <si>
    <t xml:space="preserve">     Expenditure Previously Incurred</t>
  </si>
  <si>
    <t>Change in Accounting Policy:-</t>
  </si>
  <si>
    <t>Correction of Error:-</t>
  </si>
  <si>
    <t>Official</t>
  </si>
  <si>
    <t>The municipality is being sued by Ms R du Toit for alleged injuries sustained when she fell due to a damaged pavement.  Legal costs are excluded from this claim.  The matter was referred to the municipality's Insurers.  The outcome of the process is unknown at this stage.</t>
  </si>
  <si>
    <t>The prior year figures of Creditors and Accumulated Surplus have been restated to correctly classify the monies held by the municipality for money received for services not rendered as at 30 June in terms of GRAP 9.</t>
  </si>
  <si>
    <t>The prior year figures of Inventory and Property, Plant and Equipment have been restated to correctly disclose Major Spare Parts held by the municipality in terms of GRAP 12.</t>
  </si>
  <si>
    <t>Property,</t>
  </si>
  <si>
    <t>Plant and</t>
  </si>
  <si>
    <t>Equipment</t>
  </si>
  <si>
    <t>The prior year figures of Other Debtors and Accumulated Surplus have been restated to correctly classify the monies held by the municipality for money receivable for services rendered as at 30 June in terms of GRAP 9.</t>
  </si>
  <si>
    <t>Transfer of Receipts for Services not rendered at 30 June</t>
  </si>
  <si>
    <t>Transfer of Receipts for Services rendered at 30 June</t>
  </si>
  <si>
    <t xml:space="preserve">     Adjustment for Water Inventory carried at 30 June</t>
  </si>
  <si>
    <t>Consumable</t>
  </si>
  <si>
    <t>Stores</t>
  </si>
  <si>
    <t>Transfer of Retention Moneys invalid at 30 June</t>
  </si>
  <si>
    <t>The prior year figures of Creditors and Accumulated Surplus have been restated to correctly classify the monies held by the municipality for Retention Moneys.</t>
  </si>
  <si>
    <t>Earned</t>
  </si>
  <si>
    <t>Adjustment for Provision in terms of Accounting Policy</t>
  </si>
  <si>
    <t>Furthermore, the prior year figures of Impairment of Consumer Debtors, Provision for Impairment of Consumer Debtors and Accumulated Surplus have been restated to correctly disclose the Impairment of Consumer Debtors in terms of the municipality's Accounting Policy.</t>
  </si>
  <si>
    <t>Land: Developed</t>
  </si>
  <si>
    <t>Land: Undeveloped</t>
  </si>
  <si>
    <t>Taxi Ranks</t>
  </si>
  <si>
    <t>Warehouses</t>
  </si>
  <si>
    <t>Culturally Significant Buildings</t>
  </si>
  <si>
    <t>National Monuments</t>
  </si>
  <si>
    <t>Municipal Jewelry</t>
  </si>
  <si>
    <t>Workshop Equipment</t>
  </si>
  <si>
    <t>Security Equipment</t>
  </si>
  <si>
    <t>Road Construction Equipment</t>
  </si>
  <si>
    <t>Pumps and Plumbing Equipment</t>
  </si>
  <si>
    <t>Medical and Allied Equipment</t>
  </si>
  <si>
    <t>Gardening Equipment</t>
  </si>
  <si>
    <t>Elevator Systems</t>
  </si>
  <si>
    <t>Emergency / Rescue Equipment</t>
  </si>
  <si>
    <t>Electric Wire and Power Tools</t>
  </si>
  <si>
    <t>Air Conditioning Systems</t>
  </si>
  <si>
    <t>Telkom Sleeves</t>
  </si>
  <si>
    <t>Railway Sidings</t>
  </si>
  <si>
    <t>Roads and Transport:</t>
  </si>
  <si>
    <t>Sewers / Reticulation</t>
  </si>
  <si>
    <t>Bulk Pipelines</t>
  </si>
  <si>
    <t>Standpipes</t>
  </si>
  <si>
    <t>Telemetery Systems</t>
  </si>
  <si>
    <t>Roads: Asphalt</t>
  </si>
  <si>
    <t>Road Furniture (Lights, Signs, etc)</t>
  </si>
  <si>
    <t>Substations</t>
  </si>
  <si>
    <t>Transformers</t>
  </si>
  <si>
    <t>High Mast Lights</t>
  </si>
  <si>
    <t>Perimeter Protection</t>
  </si>
  <si>
    <t>Sport and Recreational Facilities</t>
  </si>
  <si>
    <t>Stock</t>
  </si>
  <si>
    <t>Major Spare Parts in Inventory</t>
  </si>
  <si>
    <t>The municipality does not have any overdrawn current account facilities with its banker and therefore does not incur interest on overdrawn current accounts.  Interest is earned at different rates per annum on favourable balances.</t>
  </si>
  <si>
    <t>(i)  Website Costs incurred during the last two financial years, if applicable, have been expensed and not recognised as Intangible Assets.  The municipality cannot demonstrate how its website will generate probable future economic benefits.</t>
  </si>
  <si>
    <t>THE MUNICIPALITY HAD NO EXTERNAL LOANS FOR THE TWO FINANCIAL YEARS</t>
  </si>
  <si>
    <t>Major Spare Parts</t>
  </si>
  <si>
    <t>STUDY COST LOANS</t>
  </si>
  <si>
    <t>The average credit period on purchases is 30 days from the receipt of the invoice, as determined by the MFMA, except when the liability is disputed.  No interest is charged for the first 30 days from the date of receipt of the invoice.  Thereafter interest is charged in accordance with the credit policies of the various individual creditors that the municipality deals with.  The municipality has policies in place to ensure that all payables are paid within the credit timeframe.</t>
  </si>
  <si>
    <t>(i)  The equipment shall remain the property of the lessor.</t>
  </si>
  <si>
    <t>(iii)  The equipment shall be returned in good order and condition to the lessor upon termination of the agreement.</t>
  </si>
  <si>
    <t>Rates are levied monthly on property owners and are payable the end of each month.  Interest is levied at a rate determined by council on outstanding rates amounts.</t>
  </si>
  <si>
    <t>In terms of the Constitution, this grant is used to subsidise the provision of basic services to community members.  In terms of the allocation made by DPLG the funds are also utilised to enable the municipality to execute its functions as the local authority.  No funds have been withheld.</t>
  </si>
  <si>
    <t>The Municipal Infrastructure Grant (MIG) was allocated for the construction of roads, basic sewerage and water infrastructure as part of the upgrading of poor households, micro enterprises and social institutions; to provide for new, rehabilitation and upgrading of municipal infrastructure.  No funds have been withheld.</t>
  </si>
  <si>
    <t>This grant was used for the operation and maintenance of sewerage and water schemes transferred from DWAF to the municipality, the refurbishment of water infrastructure and the payment of salaries of staff transferred from DWAF.  No funds have been withheld.</t>
  </si>
  <si>
    <t>Expenses were incurred to promote rural development and upgrade electricity infrastructure.  No funds have been withheld.</t>
  </si>
  <si>
    <t>The municipality receives grants from other spheres of government for urban greening in the municipal area.  The grant was utilised for this purpose.  No funds have been withheld.</t>
  </si>
  <si>
    <t>The municipality received funds from the Europen Union to improve the heritage site, Makapan's Valley.  The donations were utilised for this purpose.  No funds have been withheld.</t>
  </si>
  <si>
    <t>The municipality received funds from PPL Mine for purchasing a refuse truck.  The donations were utilised for this purpose.  No funds have been withheld.</t>
  </si>
  <si>
    <t>Interest - Fixed Deposits</t>
  </si>
  <si>
    <t>Interest - Notice Deposits</t>
  </si>
  <si>
    <t>Manager:  Community Services</t>
  </si>
  <si>
    <t>Manager:  Corporate Services</t>
  </si>
  <si>
    <t>Manager:  Developmental Services</t>
  </si>
  <si>
    <t>Manager:  Traffic and Emergency Services</t>
  </si>
  <si>
    <t>Manager:  Technical Services</t>
  </si>
  <si>
    <t>Bulk Purchases are the cost of commodities not generated by the municipality, which the municipality distributes in the municipal area for resale to the consumers.  Electricity is purchased from Eskom whilst Water is purchased from Lepelle Northern Water and "Uitloop Water Beleggings".</t>
  </si>
  <si>
    <t>Project Expenditure</t>
  </si>
  <si>
    <r>
      <t xml:space="preserve">The </t>
    </r>
    <r>
      <rPr>
        <b/>
        <sz val="11"/>
        <rFont val="Arial"/>
        <family val="2"/>
      </rPr>
      <t>Mayor</t>
    </r>
    <r>
      <rPr>
        <sz val="11"/>
        <rFont val="Arial"/>
        <family val="2"/>
      </rPr>
      <t xml:space="preserve"> makes grants available on application after consultation with the Municipal Manager on the merits of such an application.</t>
    </r>
  </si>
  <si>
    <r>
      <t xml:space="preserve">The </t>
    </r>
    <r>
      <rPr>
        <b/>
        <sz val="11"/>
        <rFont val="Arial"/>
        <family val="2"/>
      </rPr>
      <t>Mayor</t>
    </r>
    <r>
      <rPr>
        <sz val="11"/>
        <rFont val="Arial"/>
        <family val="2"/>
      </rPr>
      <t xml:space="preserve"> makes grants available on own discretion.</t>
    </r>
  </si>
  <si>
    <r>
      <rPr>
        <b/>
        <sz val="11"/>
        <rFont val="Arial"/>
        <family val="2"/>
      </rPr>
      <t>Project Expenditure</t>
    </r>
    <r>
      <rPr>
        <sz val="11"/>
        <rFont val="Arial"/>
        <family val="2"/>
      </rPr>
      <t xml:space="preserve"> is in respect of conditional grants utilised for the upliftment of housing and basic service needs of communities within the municipality's area of jurisdiction.</t>
    </r>
  </si>
  <si>
    <r>
      <t xml:space="preserve">The </t>
    </r>
    <r>
      <rPr>
        <b/>
        <sz val="11"/>
        <rFont val="Arial"/>
        <family val="2"/>
      </rPr>
      <t xml:space="preserve">Women's Day </t>
    </r>
    <r>
      <rPr>
        <sz val="11"/>
        <rFont val="Arial"/>
        <family val="2"/>
      </rPr>
      <t>is paid annually in the municipality's aim to further local economic development of all women in the communities.</t>
    </r>
  </si>
  <si>
    <t xml:space="preserve">     Water Losses</t>
  </si>
  <si>
    <t>Burglaries</t>
  </si>
  <si>
    <t>Fire Damages</t>
  </si>
  <si>
    <t>Lightning Damages</t>
  </si>
  <si>
    <t>Public Liability</t>
  </si>
  <si>
    <t>Robberies</t>
  </si>
  <si>
    <t>Theft</t>
  </si>
  <si>
    <t>Third Party Claims</t>
  </si>
  <si>
    <t>Vandalism</t>
  </si>
  <si>
    <t>Vehicle Damages</t>
  </si>
  <si>
    <t>Distribution Losses:</t>
  </si>
  <si>
    <t xml:space="preserve">     Electricity Losses</t>
  </si>
  <si>
    <t>Unsecured Credit Card Facility, reviewed annually and payable monthly:</t>
  </si>
  <si>
    <t>IAS 7.50</t>
  </si>
  <si>
    <t>Unsecured Fleet Card Facility, reviewed annually and payable monthly:</t>
  </si>
  <si>
    <t>The Department Financial Services monitors and manages the financial risks relating to the operations through internal policies and procedures.  These risks include interest rate risk, credit risk and liquidity risk.  Compliance with policies and procedures is reviewed by the internal auditors on a continuous basis, and annually by external auditors.  The municipality does not enter into or trade financial instruments for speculative purposes.</t>
  </si>
  <si>
    <t>The municipality limits its counterparty exposures from its money market investment operations by only dealing with Absa Bank, First National Bank, Nedbank and Standard Bank.  No investments with a tenure exceeding twelve months are made.</t>
  </si>
  <si>
    <t>Consumer Debtors comprise of a large number of ratepayers, dispersed across different industries and geographical areas.  Consumer debtors are presented net of a provision for impairment.</t>
  </si>
  <si>
    <t>Department of Education, Arts and Culture</t>
  </si>
  <si>
    <t>Northern Province Academy of Sport</t>
  </si>
  <si>
    <t>Nedan Oil Mills (Pty) Ltd</t>
  </si>
  <si>
    <t>The municipality ensures that it has sufficient cash on demand or access to facilities to meet expected operational expenses through the use of cash flow forecasts.</t>
  </si>
  <si>
    <t>Potential concentrations of credit rate risk consist mainly of variable rate deposit investments, long-term receivables, other debtors, bank and cash balances.</t>
  </si>
  <si>
    <t>The municipality limits its counterparty exposures from its money market investment operations (financial assets that are neither past due nor impaired) by only dealing with Absa Bank, First National Bank, Nedbank and Standard Bank.  No investments with a tenure exceeding twelve months are made.</t>
  </si>
  <si>
    <t>In the case of debtors whose accounts become in arrears, it is endeavoured to collect such accounts by "levying of penalty charges", "demand for payment", "restriction of services" and, as a last resort, "handed over for collection", whichever procedure is applicable in terms of Council's Credit Control and Debt Collection Policy.  Consumer Deposits are increased accordingly.</t>
  </si>
  <si>
    <t>The municipality does not have any significant credit risk exposure to any single counterparty or any group of counterparties having similar characteristics.  The municipality defines counterparties as having similar characteristics if they are related entities.  The credit risk on liquid funds is limited because the counterparties are banks with high credit-ratings.</t>
  </si>
  <si>
    <t>The table below shows the balance of the 5 major counterparties at the balance sheet date.  Management is of the opinion that, although these parties are the 5 counterparties with highest outstanding balances, no significant credit risk exposure exists based on the payment history of the parties, except for Northern Province Academy of Sport and Department of Water and Forestry Affairs for which there is uncertainty about the collectivity.  They have been included in the Provision for Impairment of Consumer Debtors.</t>
  </si>
  <si>
    <t xml:space="preserve">     Standard Bank</t>
  </si>
  <si>
    <t>Tau Industries</t>
  </si>
  <si>
    <t>A claim was received from MA Makhafola for alleged damages to the claimant's house when it was flooded due to poor storm water reticulation systems.  The matter has been submitted to the municipality's Attorneys.  The outcome of the matter is still uncertain.</t>
  </si>
  <si>
    <t>Other Losses</t>
  </si>
  <si>
    <t>Furthermore, the prior year figures of Expenditure Classes have been restated to correctly classify the nature of Expenditure of the municipality.</t>
  </si>
  <si>
    <t>The municipality’s sensitivity to interest rates has increased during the current period mainly due to the increase in variable rate debt instruments.</t>
  </si>
  <si>
    <t>DME Projects</t>
  </si>
  <si>
    <t>DME</t>
  </si>
  <si>
    <t>EPW Incentive Grant</t>
  </si>
  <si>
    <t>No Non-current Assets are held for disposal.</t>
  </si>
  <si>
    <t>The municipality pays the full removal cost of qualifying newly appointed staff of which the employees repay 50% by means of a loan over a maximum period of 2 years. The loans are repayable in the year 2011.</t>
  </si>
  <si>
    <t xml:space="preserve">     Adjustment of Receipts for Services rendered at 30 June</t>
  </si>
  <si>
    <t>Land and Buildings with a carrying amount of R23 million approx (2007: R28,8 million approx) have been pledged to secure borrowings of the municipality (see Note 18).  Land and Buildings have been pledged as security for bank loans under a mortgage.  The municipality is not allowed to pledge these assets as security for other borrowings or to sell them to another entity.</t>
  </si>
  <si>
    <t>The municipality’s obligations under Finance Leases (see Note 18) are secured by the lessors’ title to the leased assets.  No other assets of the municipality have been pledged as security.</t>
  </si>
  <si>
    <t>In addition, the municipality’s obligations under Finance Leases (see Note 18) are secured by the lessors’ title to the leased assets, which have a carrying amount of R28 000 (2007: R162 000).</t>
  </si>
  <si>
    <t>Fixed Deposits of R69 632 772 (2007: R51 494 401) are ring-fenced for the purposes of repaying Long-term Liabilities as set out in Notes 18 and 44.</t>
  </si>
  <si>
    <t>Loans were granted to the tenants of low cost housing erected by the municipality with funds provided by the State, in order to enable them to purchase the houses they previously rented from the municipality.  Loans are repaid over a period of twenty years and at an interest rate of 13,50% per annum.  The instalments of interest and redemption recoverable from the purchasers are credited to the Housing Fund (See Note 20).</t>
  </si>
  <si>
    <t>R69 632 772 (2007: R56 480 646) has been invested specifically in a ring-fenced account for the repayment of long-term liabilities.  See Notes 18 and 44 for more detail.</t>
  </si>
  <si>
    <t>Listed Investments of R18 079 515 (2007: R18 079 515) have been ring-fenced for the repayment of Other Loans.  See Notes 18 and 44 for more detail.</t>
  </si>
  <si>
    <t>In prior years, the municipality also recognised a provision in respect of the anticipated costs of fulfilling its obligations to customers under its Maxi-Points Scheme.  As result of the early adoption of IFRIC 13 Customer Loyalty Programmes (see Note 14), that provision is no longer recognised.  The Annual Financial Statements have been adjusted retrospectively.  The provision previously reported for Maxi-Point obligations at 30 June 2007 was R111 000 (1 July 2006: R63 000).</t>
  </si>
  <si>
    <t>Instalment Sales Debtors (See Note 12)</t>
  </si>
  <si>
    <t>Conditions still to be met - transferred to Current Assets (see Note 5)</t>
  </si>
  <si>
    <t>Conditions still to be met - transferred to Liabilities (see Note 16)</t>
  </si>
  <si>
    <t>Recovery of Unauthorised, Irregular and Fruitless &amp; Wasteful Expenditure (see Note 44)</t>
  </si>
  <si>
    <t>Cleansing Services have been classified and accounted for at 30 June 2008 as a disposal group held-for-sale (See Note 3).</t>
  </si>
  <si>
    <t xml:space="preserve">     To be recovered – contingent asset (see Note 51)</t>
  </si>
  <si>
    <t xml:space="preserve">     Transfer to receivables for recovery (see Note 5)</t>
  </si>
  <si>
    <t>Debt is defined as Long- and Short-term Liabilities.</t>
  </si>
  <si>
    <t>The total expense recognised in the Statement of Financial Performance of R694 545 (2007: R566 602) represents contributions payable to these plans by the municipality at rates specified in the rules of the plans.  As at 30 June 2008, contributions of R8 000 (2007: R8 000) due in respect of the 2008 (2007) reporting period had not been paid over to the plans.  The amounts were paid over subsequent to the balance sheet date (see Note 45.5).</t>
  </si>
  <si>
    <t>Please refer to Note 13 for transactions with municipal entities.</t>
  </si>
  <si>
    <t>Budgeted only for anticipated recoverable interest</t>
  </si>
  <si>
    <t>More licences issued than anticipated</t>
  </si>
  <si>
    <t>Land Sales exceeded expectations</t>
  </si>
  <si>
    <t>Community Services</t>
  </si>
  <si>
    <r>
      <t xml:space="preserve">The </t>
    </r>
    <r>
      <rPr>
        <b/>
        <sz val="11"/>
        <rFont val="Arial"/>
        <family val="2"/>
      </rPr>
      <t>Self-insurance Reserve</t>
    </r>
    <r>
      <rPr>
        <sz val="11"/>
        <rFont val="Arial"/>
        <family val="2"/>
      </rPr>
      <t xml:space="preserve"> is a reserve to fund future insurance losses that will not be recouped from external insurers.  The Self-insurance Reserve is not backed by cash.</t>
    </r>
  </si>
  <si>
    <t>The municipality utilised the exemption on the measurement of Investment Property in terms of Directive 4.64, which expires on 30 June 2011, and did not measure Investment Property for depreciation.  Measurement of Investment Property will be implemented retrospectively in the 2010/11 financial year.</t>
  </si>
  <si>
    <t>30 June 2012</t>
  </si>
  <si>
    <t>Deposits of R0 (2010: R0) are committed through a letter of credit for the buying of transformers.</t>
  </si>
  <si>
    <t>Based on the allocations set out in the Division of Revenue Act, (Act No 2 of 2011), government grant funding is expected to increase over the forthcoming three financial years.</t>
  </si>
  <si>
    <t>Cash Flow</t>
  </si>
  <si>
    <t>The municipality did not enter into any Non-cash Investing and Financing Transactions during the 2010/11 financial year.</t>
  </si>
  <si>
    <t>0006/30</t>
  </si>
  <si>
    <t>0006/32</t>
  </si>
  <si>
    <t>Bakenberg Library</t>
  </si>
  <si>
    <t>Babirwa Library</t>
  </si>
  <si>
    <t>Transactions incurred for the Year 2009/10:</t>
  </si>
  <si>
    <t>Adjustment for Expenditure not accrued at 30 June</t>
  </si>
  <si>
    <t>Sport Events</t>
  </si>
  <si>
    <t>Revenue from Non-exchange Transactions</t>
  </si>
  <si>
    <t>Revenue from Exchange Transactions</t>
  </si>
  <si>
    <t>Grap 12.45 (a &amp; b) and .46</t>
  </si>
  <si>
    <t>GRAP 12.45 '(c)</t>
  </si>
  <si>
    <t>GRAP 12.45(d,e &amp; f)</t>
  </si>
  <si>
    <t>GRAP 12.45(d,e,f,g)</t>
  </si>
  <si>
    <t>GRAP 100.32</t>
  </si>
  <si>
    <t>GRAP 12.24 (c)</t>
  </si>
  <si>
    <t>FAQ 4.6</t>
  </si>
  <si>
    <t>IFRS7.25 / IFRS7.29(a)/ GRAP 104.116 &amp; .118</t>
  </si>
  <si>
    <t>IFRS 7.33 / GRAP 104.124(a) &amp; (b)/ GRAP 104.124(a) &amp; (b)</t>
  </si>
  <si>
    <t>IFRS 7.36(c)  IFRS 7.37/ GRAP 104.127(c) &amp;.128</t>
  </si>
  <si>
    <t>Assessment Rates:</t>
  </si>
  <si>
    <t>IFRS 7.37(a) / GRAP 104.128(a)</t>
  </si>
  <si>
    <t>Past Due</t>
  </si>
  <si>
    <t>Gross Balances</t>
  </si>
  <si>
    <t>Less: Provision for Impairment</t>
  </si>
  <si>
    <t>Net Balances</t>
  </si>
  <si>
    <t>Refuse:</t>
  </si>
  <si>
    <t>Other Debtors:</t>
  </si>
  <si>
    <t>This Note requires that the ageing is shown of classes of financial asset past due, but not impaired, implying that the Provision per  class of financial instrument is determined.</t>
  </si>
  <si>
    <t>Where the provision  on Assessment Rates cannot be isolated due to a lack of  information on the financial system, include the fact that  the reconciliation includes debtors from Non-exchange Transactions - Assessment Rates.</t>
  </si>
  <si>
    <t>The opening balances of Property, Plant &amp; Equipment and Accumulated Surplus have been restated to correctly disclose the impairment of the Swimming Pool in terms of the Management Report of the Auditor-General for the 2010 financial year.</t>
  </si>
  <si>
    <t>Furthermore, the opening balances of Property, Plant &amp; Equipment and Investment Property have been restated to correctly disclose the Land for the Nursery in terms of the Management Report of the Auditor-General for the 2010 financial year.</t>
  </si>
  <si>
    <t>Furthermore, the opening balances of Investment Property and Accumulated Surplus have been restated to correctly disclose Accumulated Depreciation not previously recognised in terms of the Management Report of the Auditor-General for the 2010 financial year.</t>
  </si>
  <si>
    <t>IFRS 7.37(b)  IFRS 7.37(c) / GRAP 104.128 (b) &amp; (c)</t>
  </si>
  <si>
    <t>IFRS 7.14 / GRAP 104.108</t>
  </si>
  <si>
    <t>IFRS 7.13  IFRS 7.14(a) / GRAP 104.107 &amp; .108(a)</t>
  </si>
  <si>
    <t>No Financial Assets have been transferred to other parties during the year.</t>
  </si>
  <si>
    <t>Assessment Rates Debtors</t>
  </si>
  <si>
    <t>TRADE RECEIVABLES FROM EXCHANGE TRANSACTIONS</t>
  </si>
  <si>
    <t>Total Trade Receivables by Customer Classification</t>
  </si>
  <si>
    <t>TRADE RECEIVABLES FROM NON-EXCHANGE TRANSACTIONS</t>
  </si>
  <si>
    <t>Payments made in Advance:</t>
  </si>
  <si>
    <t>Recoverable Works:</t>
  </si>
  <si>
    <t>Short-term Loans:</t>
  </si>
  <si>
    <t>Sundry Deposits:</t>
  </si>
  <si>
    <t>Sundry Debtors:</t>
  </si>
  <si>
    <t>Fruitless and Wasteful Expenditure:</t>
  </si>
  <si>
    <t>Irregular Expenditure:</t>
  </si>
  <si>
    <t>Unauthorised Expenditure:</t>
  </si>
  <si>
    <t>IFRS 7.16 / GRAP 104.110 / IFRS 7.37(b) / GRAP 104.110 &amp; .128(b)</t>
  </si>
  <si>
    <t>Total Rates Debtors by Customer Classification</t>
  </si>
  <si>
    <t>No Provision for Impairment has been made in respect of government debt as these amounts are considered to be fully recoverable.  The municipality holds collateral over these balances in the form of Rates Assessment Deposits / Guarantees, which are not covering the total outstanding debt and vacant property respectively.</t>
  </si>
  <si>
    <t>GRAP 2.48</t>
  </si>
  <si>
    <t>GRAP 13.50 &amp; GRAP 16 (f)</t>
  </si>
  <si>
    <t>GRAP 17.82 (d) &amp; (e)</t>
  </si>
  <si>
    <t>Only applicable to MC's &amp; LC's</t>
  </si>
  <si>
    <t>The leased Property, Plant and Equipment is secured as set out in Note 18.</t>
  </si>
  <si>
    <t xml:space="preserve">     Gross Carrying Amount of PPE fully depreciated and still in use</t>
  </si>
  <si>
    <t>GRAP 17.88(a)</t>
  </si>
  <si>
    <t>During the year Electricity Transformers and other Electrical Equipment, amounting to R400 000, remained idle as it was in the process of being installed in the upgraded Electricity Network in Zone D.</t>
  </si>
  <si>
    <t>IFRS 7.14(b) // GRAP 17.83(a)</t>
  </si>
  <si>
    <t>IFRS 7.14(a) // GRAP 104.108(a)</t>
  </si>
  <si>
    <t xml:space="preserve"> Amortisation is charged on a straight-line basis over the Intangible Assets' useful lives.</t>
  </si>
  <si>
    <t>GRAP 102.121 (a)</t>
  </si>
  <si>
    <t>GRAP 102.121 (b)</t>
  </si>
  <si>
    <t xml:space="preserve">     - Servitudes;</t>
  </si>
  <si>
    <t xml:space="preserve">     - Website Development.</t>
  </si>
  <si>
    <t>Only applicable to MC's LC's.</t>
  </si>
  <si>
    <t>GRAP 102.127(a)</t>
  </si>
  <si>
    <t>The following Intangible Assets are subsequently measured on the Revaluation Model.  The carrying values are as follows:</t>
  </si>
  <si>
    <t>Total value of Intangible Assets based on the Revaluation Model</t>
  </si>
  <si>
    <t>The carrying value of the Intangible Assets would have been as follows had the Cost Model been used for subsequent measurement:</t>
  </si>
  <si>
    <t>Total value of Intangible Assets based on the Cost Model</t>
  </si>
  <si>
    <t>The Revaluation Reserve arises on the revaluation of Servitudes.  Where revalued Servitudes are sold, the portion of the Revaluation Reserve that relates to that asset, and is effectively realised, is transferred directly to Accumulated Surplus.</t>
  </si>
  <si>
    <t>Disposal of Assets</t>
  </si>
  <si>
    <t>Transfer of Assets</t>
  </si>
  <si>
    <t>GRAP 102.127(b)</t>
  </si>
  <si>
    <t xml:space="preserve">Restrictions are applicable on the revaluation surplus due to a contractual agreement between the municipality and Company X. </t>
  </si>
  <si>
    <t>The assets have been revalued by Y (a registered valuer with xxx years experience in valueing assets with a similar nature) on 20 May 2011.  The valuation is based on market values as on the date of the valuation.</t>
  </si>
  <si>
    <t>Only applicable to MC's LC's</t>
  </si>
  <si>
    <t>The aggregate gain / (loss) on Biological Assets arising during the current period on initial recognition is made up as follows:</t>
  </si>
  <si>
    <t>Total gain / (loss) on initial recognition</t>
  </si>
  <si>
    <t>GRAP 101.38</t>
  </si>
  <si>
    <t>The Fair Value less Estimated Point-of-Sale of Biological Assets harvested during the year is made up as follows:</t>
  </si>
  <si>
    <t>Total gain / (loss) on fair value less point-of-sale costs</t>
  </si>
  <si>
    <t>The Fair Value of the Timber is based on the price which is obtainable in the market per ton harvested (the assumption that the Timber is of similar quality than that for which the measurement has been obtained).  The value per ton has been obtained from xxx, an industry accepted reliable source.</t>
  </si>
  <si>
    <t>GRAP 101.46 - agricultural produce</t>
  </si>
  <si>
    <t>The Fair Value of the Wool is based on the price which is obtainable in the market per kilogram harvested (the assumption that the Wool is of similar quality than that for which the measurement has been obtained).  The value per kilogram has been obtained from xxx, an industry accepted reliable source.</t>
  </si>
  <si>
    <t>GRAP 101.49</t>
  </si>
  <si>
    <t>Large fluctuations in the point-of-sale costs in Timber occurred during the year.  This fluctuation is expected to continue in the future with the increased transport costs due to the international increase in the price of brent crued oil.  Transport cost comprises a large portion of the point-of-sale costs.  Actual and estimated fair value less point-of-sale costs are as follows:</t>
  </si>
  <si>
    <t xml:space="preserve">          Fair Value less Point-of-Sale Costs on:-</t>
  </si>
  <si>
    <t xml:space="preserve">31 December 2011 </t>
  </si>
  <si>
    <t xml:space="preserve">30 June 2011 </t>
  </si>
  <si>
    <t xml:space="preserve">01 July 2011 </t>
  </si>
  <si>
    <t>The costs are based on expected future market prices as at 30 June 2011.</t>
  </si>
  <si>
    <t xml:space="preserve">GRAP 101.49 </t>
  </si>
  <si>
    <t>IFRS7.8(a) (b) (d)/ GRAP 104.105</t>
  </si>
  <si>
    <t>IFRS 7.7 / GRAP 104.104</t>
  </si>
  <si>
    <t>The Municipal Structures Act, Act 177 of 1998, requires local authorities to invest funds which are not immediately required with prescribed institutions and the period should be such that it will not be necessary to borrow funds against the investment at a penalty rate of interest to meet commitments.</t>
  </si>
  <si>
    <t>GRAP 13.46 (a)</t>
  </si>
  <si>
    <t>GRAP 13.66 (f)  IFRS 7.7 / GRAP 104.104</t>
  </si>
  <si>
    <t>IFRS 7.15/ GRAP 104.109.</t>
  </si>
  <si>
    <t>IFRS 7.25  IFRS 7.27 / GRAP 104.116 &amp; .118</t>
  </si>
  <si>
    <t>IFRS 7.15/ GRAP 104.109</t>
  </si>
  <si>
    <t>IFRS 7.16 / GRAP 104.110</t>
  </si>
  <si>
    <t>In determining the recoverability of a Long-term Receivable, the municipality considers any change in the credit quality of the receivable from the date credit was initially granted up to the reporting date.  The Provision for Impairment on Long-term Receivables exists predominantly due to the possibility that these debts will not be recovered.   Long-term Receivables were assessed individually and grouped together at the Statement of Financial Position as financial assets with similar credit risk characteristics and collectively assessed for impairment.  However, the concentration of credit risk is limited due to the customer base being large and unrelated.  Accordingly, the management believe that there is no further credit provision required in excess of the Provision for Impairment.</t>
  </si>
  <si>
    <t>IFRS 7.8(f)/ GRAP 104.105</t>
  </si>
  <si>
    <t>The Unspent Conditional Grants and Receipts are invested in investment accounts until utilised.</t>
  </si>
  <si>
    <t>GRAP 13.48</t>
  </si>
  <si>
    <t>GRAP 13.50(a)</t>
  </si>
  <si>
    <t>GRAP 13.50(d)  IFRS 7.7 / GRAP 104.104</t>
  </si>
  <si>
    <t>GRAP 13.50(b)</t>
  </si>
  <si>
    <t>GRAP 13.50(c)</t>
  </si>
  <si>
    <t>GRAP 13.50(d)</t>
  </si>
  <si>
    <t>GRAP 13.46(c)  IFRS 7.7 / GRAP 104.104</t>
  </si>
  <si>
    <t>GRAP 13.84  IFRS 7.7 / GRAP 104.104</t>
  </si>
  <si>
    <t>IFRS 7.18 / GRAP 104.113</t>
  </si>
  <si>
    <t>IAS 19.120A(b) / GRAP 25.135(a)</t>
  </si>
  <si>
    <t>IAS 19.120A(n) / GRAP 25.135(k)</t>
  </si>
  <si>
    <t>IAS 19.120A(c) / GRAP 25.135(b)</t>
  </si>
  <si>
    <t>IAS 19.120A(g) / GRAP 25.135(f)</t>
  </si>
  <si>
    <t>IAS 19.120A(j) / GRAP 25.135(g) &amp; (l)</t>
  </si>
  <si>
    <t>IAS 19.120A(m) / GRAP 25.135(j)</t>
  </si>
  <si>
    <t>IAS 19.120A(k) / GRAP 25.135(h)</t>
  </si>
  <si>
    <t>IAS 19.120A(p) / GRAP 25.135(m)</t>
  </si>
  <si>
    <t>IAS 19.120A(o) / GRAP 25.135(l)</t>
  </si>
  <si>
    <t>IAS 19.120A(q) / GRAP 25.135(n)</t>
  </si>
  <si>
    <t>GRAP 19.107 (e)</t>
  </si>
  <si>
    <t>IAS 19.120A(d) / GRAP 25.135('c)</t>
  </si>
  <si>
    <t>IAS 19.120A(f) / GRAP 25.135(e) / GRAP 25.135(d)</t>
  </si>
  <si>
    <t>IAS 19.120A(j) / GRAP 25.135(g)</t>
  </si>
  <si>
    <t>IFRS 7.20(b) / GRAP 104.115(b)</t>
  </si>
  <si>
    <t>IFRS 7.20(a) / GRAP 104.115(a)</t>
  </si>
  <si>
    <t>Ensure that amounts included under other income that is material, is disclosed seperately.</t>
  </si>
  <si>
    <t>Remuneration of Section 57 Employees:</t>
  </si>
  <si>
    <t>IAS 36.126(a) // GRAP 17.87</t>
  </si>
  <si>
    <t>IFRS 7.20(e) / GRAP 104.115(e)</t>
  </si>
  <si>
    <t>GRAP 1.99</t>
  </si>
  <si>
    <t>GRAP 23</t>
  </si>
  <si>
    <t>GRAP 1</t>
  </si>
  <si>
    <t>New Carrying</t>
  </si>
  <si>
    <t>Old Carrying</t>
  </si>
  <si>
    <t>per GRAP 104</t>
  </si>
  <si>
    <t>Old Classification</t>
  </si>
  <si>
    <t>as per IAS 39</t>
  </si>
  <si>
    <t>Amortised cost</t>
  </si>
  <si>
    <t>Fair value</t>
  </si>
  <si>
    <t>GRAP 17.85 (a - d)</t>
  </si>
  <si>
    <t>Trade Receivables from Exchange Transactions</t>
  </si>
  <si>
    <t>Trade Receivables from Non-exchange Transactions</t>
  </si>
  <si>
    <t>Financial Assets at Amortised Cost:</t>
  </si>
  <si>
    <t>Financial Assets at Fair Value:</t>
  </si>
  <si>
    <t>Financial Liabilities at Fair Value:</t>
  </si>
  <si>
    <t>The following methods and assumptions were used to estimate the Fair Value of each class of Financial Instrument for which it is practical to estimate such value:</t>
  </si>
  <si>
    <t>Cash and Short-term Investments</t>
  </si>
  <si>
    <t xml:space="preserve">The carrying amount approximates the Fair Value because of the short maturity of these instruments.
</t>
  </si>
  <si>
    <t>Long-term Investments</t>
  </si>
  <si>
    <t>The Fair Value of some Investments are estimated based on quoted market prices of those or similar investments.  Unlisted Equity Investments are estimated using the discounted cash flow method.</t>
  </si>
  <si>
    <t>Loan Receivables/Payables</t>
  </si>
  <si>
    <t>Interest-bearing Borrowings and Receivables are generally at interest rates in line with those currently available in the market on a floating-rate basis, and therefore the Fair Value of these Financial Assets and Liabilities closely approximates their carrying values.  Fixed interest-rate instruments are fair valued based on the present value of future principal and interest cash flows, discounted at the market rate of interest at the reporting date.</t>
  </si>
  <si>
    <t>Trade and Other Receivables/Payables</t>
  </si>
  <si>
    <t>Other Financial Assets and Liabilities</t>
  </si>
  <si>
    <t>The Fair Value of Other Financial Assets and Financial Liabilities (excluding Derivative Instruments) is determined in accordance with generally accepted pricing models based on discounted cash flow analysis using prices from observable current market transactions and dealer quotes for similar instruments.</t>
  </si>
  <si>
    <t>The management of the municipality is of the opinion that the carrying value of Trade and Other Receivables recorded at amortised cost in the Annual Financial Statements approximate their fair values.  The Fair Value of Trade Receivables were determined after considering the standard terms and conditions of agreements entered into between the municipality and other parties as well as the the current payment ratio's of the municipality's debtors.</t>
  </si>
  <si>
    <t>The Fair Value of Long-term Liabilities was determined after considering the standard terms and conditions of agreements entered into between the municipality and the relevant financing institutions.</t>
  </si>
  <si>
    <t>The Fair Values  of Financial Assets and Financial Liabilities, together with the carrying amounts shown in the Statement of Financial Position, are as follows:</t>
  </si>
  <si>
    <t>Management considers the carrying amounts of Financial Assets and Financial Liabilities recorded at amortised cost in the Annual Financial Statements to approximate their Fair Values on 30 June 2011, as a result of the short-term maturity of these assets and liabilities.</t>
  </si>
  <si>
    <t>No Financial Instruments of the municipalitity have been reclassified during the year.</t>
  </si>
  <si>
    <t>Level 1:-</t>
  </si>
  <si>
    <t>Fair Values are based on quoted market prices (unadjusted) in active markets for an identical instrument.</t>
  </si>
  <si>
    <t>Level 2:-</t>
  </si>
  <si>
    <t>Fair Values are calculated using valuation techniques based on observable inputs, either directly (i.e. as prices) or indirectly (i.e. derived from prices).  This category includes instruments valued using quoted market prices in active markets for similar instruments, quoted prices for identical or similar instruments in markets that are considered less than active, or other valuation techniques where all significant inputs are directly or indirectly observable from market data.</t>
  </si>
  <si>
    <t>Level 3:-</t>
  </si>
  <si>
    <t>Fair Values are based on valuation techniques using significant unobservable inputs.  This category includes all instruments where the valuation technique includes inputs not based on observable data and the unobservable inputs have a significant effect on the instrument’s valuation.  Also, this category includes instruments that are valued based  on quoted prices for similar instruments where significant unobservable adjustments or assumptions are required to reflect differences between the instruments.</t>
  </si>
  <si>
    <t>Level 1</t>
  </si>
  <si>
    <t>Level 2</t>
  </si>
  <si>
    <t>Level 3</t>
  </si>
  <si>
    <t>Net debt to equity ratio</t>
  </si>
  <si>
    <t>The Accounting Officer has overall responsibility for the establishment and oversight of the municipality's risk management framework.  The municipality's risk management policies are established to identify and analyse the risks faced by the municipality, to set appropriate risk limits and controls and to monitor risks and adherence to limits.</t>
  </si>
  <si>
    <t>The Directorate: Financial Services monitors and manages the financial risks relating to the operations through internal policies and procedures.  These risks include interest rate risk, credit risk and liquidity risk.  Risk management policies and systems are reviewed regularly to reflect changes to market conditions and the municipality's activities, and compliance with policies and procedures is reviewed by the internal auditors on a continuous basis, and annually by external auditors.  The municipality does not enter into or trade financial instruments for speculative purposes.</t>
  </si>
  <si>
    <t>Further quantitative disclosures are included throughout these Annual Financial Statements.</t>
  </si>
  <si>
    <t xml:space="preserve">It is the policy of the municipality to disclose information that enables the user of its Annual Financial Statements to evaluate the nature and extent of risks arising from Financial Instruments to which the municipality is exposed on the reporting date. </t>
  </si>
  <si>
    <t>The municipality has exposure to the following risks from its operations in Financial Instruments:</t>
  </si>
  <si>
    <t xml:space="preserve">          - Credit Risk;</t>
  </si>
  <si>
    <t xml:space="preserve">          - Liquidity Risk; and</t>
  </si>
  <si>
    <t xml:space="preserve">          - Market Risk.</t>
  </si>
  <si>
    <t>Market Risk is the risk that changes in market prices, such as foreign exchange rates, interest rates and equity prices will affect the municipality’s income or the value of its holdings in Financial Instruments.  The objective of market risk management is to manage and control market risk exposures within acceptable parameters, while optimising the return.</t>
  </si>
  <si>
    <t>Market Risk</t>
  </si>
  <si>
    <t>Credit Risk</t>
  </si>
  <si>
    <t>Credit Risk is the risk of financial loss to the municipality if a customer or counterparty to a Financial Instrument fails to meet its contractual obligations and arises principally from the municipality’s receivables from customers and investment securities.</t>
  </si>
  <si>
    <t>Liquidity Risk</t>
  </si>
  <si>
    <t>Liquidity Risk is the risk that the municipality will encounter difficulty in meeting the obligations associated with its Financial Liabilities that are settled by delivering cash or another financial asset.  The municipality’s approach to managing liquidity is to ensure, as far as possible, that it will always have sufficient liquidity to meet its liabilities when due, under both normal and stressed conditions, without incurring unacceptable losses or risking damage to the municipality’s reputation.</t>
  </si>
  <si>
    <t>Liquidity Risk is managed by ensuring that all assets are reinvested at maturity at competitive interest rates in relation to cash flow requirements.  Liabilities are managed by ensuring that all contractual payments are met on a timeous basis and, if required, additional new arrangements are established at competitive rates to ensure that cash flow requirements are met.</t>
  </si>
  <si>
    <t>Risks and exposures are disclosed as follows:</t>
  </si>
  <si>
    <t>The sensitivity analysis below was determined based on the exposure to interest rates at the reporting date.  For variable rate long-term instruments, the analysis is prepared assuming the amount of the instrument outstanding at the reporting date was outstanding for the whole year.  A 100 basis point increase or decrease was used, which represents management’s assessment of the reasonably possible change in interest rates.  The short and long-term financial instruments at year-end with variable interest rates are set out in Notes 47.8 and 47.9 below.</t>
  </si>
  <si>
    <r>
      <rPr>
        <i/>
        <sz val="11"/>
        <rFont val="Arial"/>
        <family val="2"/>
      </rPr>
      <t>Credit Risk</t>
    </r>
    <r>
      <rPr>
        <sz val="11"/>
        <rFont val="Arial"/>
        <family val="2"/>
      </rPr>
      <t xml:space="preserve"> refers to the risk that a counterparty will default on its contractual obligations resulting in financial loss to the municipality.  The municipality has a sound credit control and debt collection policy and obtains sufficient collateral, where appropriate, as a means of mitigating the risk of financial loss from defaults.  The municipality uses its own trading records to assess its major customers.  The municipality’s exposure of its counterparties are monitored regularly.</t>
    </r>
  </si>
  <si>
    <t>Investments/Bank, Cash and Cash Equivalents</t>
  </si>
  <si>
    <t>Trade and Other Receivables</t>
  </si>
  <si>
    <t>Trade and Other Receivables are amounts owed by consumers and are presented net of impairment losses.  The municipality has a credit risk policy in place and the exposure to credit risk is monitored on an ongoing basis.  The municipality is compelled in terms of its constitutional mandate to provide all its residents with basic minimum services without recourse to an assessment of creditworthiness.  Subsequently, the municipality has no control over the approval of new customers who acquire properties in the designated municipal area and consequently incur debt for rates, water and electricity services rendered to them.</t>
  </si>
  <si>
    <t>The municipality limits this risk exposure in the following ways, in addition to its normal credit control and debt management procedures:</t>
  </si>
  <si>
    <t>•  The application of section 118(3) of the Municipal Systems Act (MSA), which permits the municipality to refuse connection of services whilst any amount remains outstanding from a previous debtor on the same property;</t>
  </si>
  <si>
    <t>•  A new owner is advised, prior to the issue of a revenue clearance certificate, that any debt remaining from the previous owner will be transferred to the new owner, if the previous owner does not settle the outstanding amount;</t>
  </si>
  <si>
    <t>•  The consolidation of rates and service accounts, enabling the disconnecting services for the non-payment of any of the individual debts, in terms of section 102 of the MSA;</t>
  </si>
  <si>
    <t>•  Encouraging residents to install water management devices that control water flow to households, and/or prepaid electricity meters.</t>
  </si>
  <si>
    <t>There were no material changes in the exposure to credit risk and its objectives, policies and processes for managing and measuring the risk during the year under review.  The municipality’s maximum exposure to credit risk is represented by the carrying value of each financial asset in the Statement of Financial Position, without taking into account the value of any collateral obtained.  The municipality has no significant concentration of credit risk, with exposure spread over a large number of consumers, and is not concentrated in any particular sector or geographical area.</t>
  </si>
  <si>
    <t>The municipality establishes an allowance for impairment that represents its estimate of anticipated losses in respect of trade and other receivables.</t>
  </si>
  <si>
    <t>The major concentrations of credit risk that arise from the municipality's receivables in relation to customer classification are as follows:</t>
  </si>
  <si>
    <t xml:space="preserve">     - Household</t>
  </si>
  <si>
    <t xml:space="preserve">     - Industrial / Commercial</t>
  </si>
  <si>
    <t xml:space="preserve">     - National and Provincial Government</t>
  </si>
  <si>
    <t xml:space="preserve">     - Other Classes</t>
  </si>
  <si>
    <t>Consumer Debtors:</t>
  </si>
  <si>
    <t xml:space="preserve">     - Other not Classified</t>
  </si>
  <si>
    <t>Total Credit Risk</t>
  </si>
  <si>
    <t>IFRS 7.33 /  39(b), GRAP 104.124 &amp; 130(b)</t>
  </si>
  <si>
    <t>IFRS 7.34, 35 &amp; 39(a) / GRAP 104.125, 126, 130(a)</t>
  </si>
  <si>
    <t>IFRS 7.34(a) / GRAP 104.125(a)</t>
  </si>
  <si>
    <t>IFRS 7.34 &amp; 35 IFRS 7.39('c) &amp; B11E; GRAP 104.125, 126, 130(a)</t>
  </si>
  <si>
    <t>IFRS 7.39(b) / GRAP 2.49 / GRAP 104.124(b)</t>
  </si>
  <si>
    <t>IFRS 7.34 &amp; 35/ GRAP 104.125, 126</t>
  </si>
  <si>
    <t>This table is completed where a Municipality entered into</t>
  </si>
  <si>
    <t>The municipality makes provision for post-retirement benefits to eligible councillors and employees, who belong to different pension schemes.</t>
  </si>
  <si>
    <t>Note:  This asset/receivable arises due to the difference between the straightlined operating lease and the payments received.</t>
  </si>
  <si>
    <t>GRAP 102.127('c)</t>
  </si>
  <si>
    <t>GRAP 17.84(a)</t>
  </si>
  <si>
    <t xml:space="preserve">GRAP 17.83(c) </t>
  </si>
  <si>
    <t>IFRS 7.8(f)</t>
  </si>
  <si>
    <t>Many audit queries have been raised in the past on the incomplete disclosure of Financial Instruments.  As a minimum, all sections in a black font should be disclosed, the extra sections highlighted in yellow are the supplementary disclosures, not commenly found with municipalities.</t>
  </si>
  <si>
    <t>GRAP 14.23</t>
  </si>
  <si>
    <t>Financial Instruments at Fair Value:</t>
  </si>
  <si>
    <t>Meat</t>
  </si>
  <si>
    <t>Wool</t>
  </si>
  <si>
    <t>In accordance with GRAP 104.13 the Financial Assets of the municipality are classified as follows:</t>
  </si>
  <si>
    <t>In accordance with GRAP 104.13 the Financial Liabilities of the municipality are classified as follows:</t>
  </si>
  <si>
    <t>The Fair Value of Trade and Other Payables is estimated at the present value of future cash flows.</t>
  </si>
  <si>
    <t>See 2009/10 AFS for example on Disclosure Note on Interest Rate Swap Contracts.</t>
  </si>
  <si>
    <t>See 2009/10 AFS for example on Disclosure Note on Trade in Foreign Currency.</t>
  </si>
  <si>
    <t>The municipality limits its counterparty exposures from its short-term investments (financial assets that are neither past due nor impaired) by only dealing with well-established financial institutions short term credit rating of BBB and long-term credit rating of AA- and higher at an International accredited creditrating agency.  The municipality's exposure is continuously monitored and the aggregate value of transactions concluded is spread amongst different types of approved investments and institutions, in accordance with it's investment policy.  Consequently, the municipality is not exposured to any significant credit risk.</t>
  </si>
  <si>
    <t xml:space="preserve">     - Notice Deposits</t>
  </si>
  <si>
    <t>Payments Received in Advance</t>
  </si>
  <si>
    <t xml:space="preserve">     - Bank Overdraft</t>
  </si>
  <si>
    <t>Average Payment Ratio</t>
  </si>
  <si>
    <t xml:space="preserve">     - Finance Lease Receivables</t>
  </si>
  <si>
    <t xml:space="preserve">     Reclassify Inventory - Note 38.3</t>
  </si>
  <si>
    <t xml:space="preserve">     Reclassify Operating Lease Receivables - Note 38.4</t>
  </si>
  <si>
    <t xml:space="preserve">     Reclassify Assets - Note 38.5</t>
  </si>
  <si>
    <t xml:space="preserve">     Reclassify Provisions for Defined Benefits - Note 38.6</t>
  </si>
  <si>
    <t xml:space="preserve">     Reclassify Long-term Receivables - Note 38.7</t>
  </si>
  <si>
    <t xml:space="preserve">     Reclassify Property, Plant &amp; Equipment and Investment Property - Note 39.1</t>
  </si>
  <si>
    <t xml:space="preserve">     Reclassify Other Debtors for Current Receipts - Note 39.4</t>
  </si>
  <si>
    <t xml:space="preserve">     Reclassify Creditors for Future Receipts - Note 39.4</t>
  </si>
  <si>
    <t xml:space="preserve">     Reclassify Revenue for Services rendered - Note 39.4</t>
  </si>
  <si>
    <t xml:space="preserve">     Reclassify Revenue for Services not rendered - Note 39.4</t>
  </si>
  <si>
    <t>(Ex Note 38.3)</t>
  </si>
  <si>
    <t xml:space="preserve">          and still in use</t>
  </si>
  <si>
    <t>Note that per ASB a Consumer Deposit can be accounted for as either a financial instrument or a prepayment.</t>
  </si>
  <si>
    <t>Total Other Revenue</t>
  </si>
  <si>
    <t>GRAP 12 - Inventory</t>
  </si>
  <si>
    <t>GRAP 13 - Leases</t>
  </si>
  <si>
    <t>GRAP 17 - Property, Plant and Equipment</t>
  </si>
  <si>
    <t>IAS 19 - Employee Benefits, paragraph 155 (a)</t>
  </si>
  <si>
    <t>IAS 39 - Financial Instruments: Recognition and Measurement</t>
  </si>
  <si>
    <t>GRAP 104 - Financial Instruments</t>
  </si>
  <si>
    <t xml:space="preserve">               Depreciation Charges and Accumulated Surplus</t>
  </si>
  <si>
    <t xml:space="preserve">               Impairment of Consumer Debtors and Accumulated Surplus</t>
  </si>
  <si>
    <t xml:space="preserve">               Surplus</t>
  </si>
  <si>
    <t>The municipality adopted no Accounting Standards for the first time during the financial year 2010/2011 in order to comply with the basis of preparation of the Annual Financial Statements as disclosed in Accounting Policy 1.</t>
  </si>
  <si>
    <t>The municipality did not receive any new information or notice of new developments during the financial year that need to be disclosed in terms of Grap 3.</t>
  </si>
  <si>
    <r>
      <rPr>
        <i/>
        <sz val="11"/>
        <rFont val="Arial"/>
        <family val="2"/>
      </rPr>
      <t>Non-current Assets Held-for-Sale</t>
    </r>
    <r>
      <rPr>
        <sz val="11"/>
        <rFont val="Arial"/>
        <family val="2"/>
      </rPr>
      <t xml:space="preserve"> have been restated to adhere to the disclosure provisions of IAS 2.  Refer to Note 39.2 on "Correction of Error" for details of the restatement.</t>
    </r>
  </si>
  <si>
    <t>As described in Note 37, the municipality is seeking to dispose of its Cleansing Operations and anticipates that the disposal will be completed by 31 December 2008.  The major classes of assets and liabilities comprising the operations classified as held-for-sale at the balance sheet date are as follows:</t>
  </si>
  <si>
    <t>Change in Accounting Estimate in relation to Provision for Impairment - Housing Loans has been affected (Refer to Note 40.1).</t>
  </si>
  <si>
    <t>This Note requires that the ageing is shown of classes of financial asset past due, but not impaired, implying that the Provision per class of financial instrument is determined.</t>
  </si>
  <si>
    <t>During the year the municipality transferred R1,052 million (2007: nil) of Consumer Debtors to a related entity.  As part of the transfer, the municipality provided the transferee with a credit guarantee over the expected losses of those receivables.  Accordingly, the municipality continues to recognise the full carrying amount of the receivables and has recognised the cash received on the transfer as a secured borrowing (see Note 18).  At the reporting date, the carrying amount of the transferred short-term receivables, which have been pledged as security for the borrowing, is R0.946 million.  The carrying amount of the associated liability is R0.923 million.</t>
  </si>
  <si>
    <t>Operating Lease Assets have been restated to adhere to the disclosure provisions of GRAP 13.  Refer to Note 38.4 on "Change in Accounting Policy" for details of the restatement.</t>
  </si>
  <si>
    <t>Correction of error (Note 39)</t>
  </si>
  <si>
    <r>
      <rPr>
        <i/>
        <sz val="11"/>
        <rFont val="Arial"/>
        <family val="2"/>
      </rPr>
      <t>Property, Plant and Equipment</t>
    </r>
    <r>
      <rPr>
        <sz val="11"/>
        <rFont val="Arial"/>
        <family val="2"/>
      </rPr>
      <t xml:space="preserve"> has been restated to disclose the effect of Impairment not previously recognised on properties.  Refer to Note 39.1 on "Correction of Error" for details of the restatement.</t>
    </r>
  </si>
  <si>
    <t>The revaluation surplus was credited to the Revaluation Reserve in Net Assets.  Refer to Notes 9, 10 and 20.</t>
  </si>
  <si>
    <r>
      <rPr>
        <i/>
        <sz val="11"/>
        <rFont val="Arial"/>
        <family val="2"/>
      </rPr>
      <t>Intangible Assets</t>
    </r>
    <r>
      <rPr>
        <sz val="11"/>
        <rFont val="Arial"/>
        <family val="2"/>
      </rPr>
      <t xml:space="preserve"> have been restated to correctly classify amounts held for Computer Software, previously included in Property, Plant and Equipment.  Refer to Note 38.5 on "Change in Accounting Policy" for details of the restatement.</t>
    </r>
  </si>
  <si>
    <t>The amortisation expense has been included in the line item "Depreciation and Amortisation" in the Statement of Financial Performance (see Note 30).</t>
  </si>
  <si>
    <t>The municipality spent an aggregate of Rxxx (2010: Rxxx) on research and development.  These expenses have been included in "General Expenses" in the Statement of Financial Performance (see Note 36).</t>
  </si>
  <si>
    <t>The depreciation expense has been included in the line item "Depreciation and Amortisation" in the Statement of Financial Performance (see Note 30).</t>
  </si>
  <si>
    <r>
      <rPr>
        <i/>
        <sz val="11"/>
        <rFont val="Arial"/>
        <family val="2"/>
      </rPr>
      <t>Long-term Receivables</t>
    </r>
    <r>
      <rPr>
        <sz val="11"/>
        <rFont val="Arial"/>
        <family val="2"/>
      </rPr>
      <t xml:space="preserve"> have been restated to correctly classify amounts held for Arrangement Debtors, previously included in Consumer Debtors.  Refer to Note 38.7 on "Change in Accounting Policy" for details of the restatement.</t>
    </r>
  </si>
  <si>
    <r>
      <t xml:space="preserve">Furthermore, </t>
    </r>
    <r>
      <rPr>
        <i/>
        <sz val="11"/>
        <rFont val="Arial"/>
        <family val="2"/>
      </rPr>
      <t>Long-term Receivables</t>
    </r>
    <r>
      <rPr>
        <sz val="11"/>
        <rFont val="Arial"/>
        <family val="2"/>
      </rPr>
      <t xml:space="preserve"> have been restated to correctly recognise amounts held for Arrangement Debtors at amortised cost in terms of IAS 39.  Refer to Note 38.7 on "Change in Accounting Policy" for details of the restatement.</t>
    </r>
  </si>
  <si>
    <t>Current Portion of Post-retirement Medical Aid Benefits Liability (See Note 18)</t>
  </si>
  <si>
    <r>
      <rPr>
        <i/>
        <sz val="11"/>
        <rFont val="Arial"/>
        <family val="2"/>
      </rPr>
      <t>Unspent Conditional Grants and Receipts</t>
    </r>
    <r>
      <rPr>
        <sz val="11"/>
        <rFont val="Arial"/>
        <family val="2"/>
      </rPr>
      <t xml:space="preserve"> have been restated to correctly classify amounts held for Own and Public Contributions, previously included in Creditors.  Refer to Note 39.4 on "Correction of Error" for details of the restatement.</t>
    </r>
  </si>
  <si>
    <r>
      <t xml:space="preserve">Furthermore, </t>
    </r>
    <r>
      <rPr>
        <i/>
        <sz val="11"/>
        <rFont val="Arial"/>
        <family val="2"/>
      </rPr>
      <t>Unspent Conditional Grants and Receipts</t>
    </r>
    <r>
      <rPr>
        <sz val="11"/>
        <rFont val="Arial"/>
        <family val="2"/>
      </rPr>
      <t xml:space="preserve"> have been restated to correctly classify amounts held for Own and Public Contributions with no conditions attached to them.  Refer to Note 39.4 on "Correction of Error" for details of the restatement.</t>
    </r>
  </si>
  <si>
    <r>
      <rPr>
        <i/>
        <sz val="11"/>
        <rFont val="Arial"/>
        <family val="2"/>
      </rPr>
      <t>Operating Lease Liabilities</t>
    </r>
    <r>
      <rPr>
        <sz val="11"/>
        <rFont val="Arial"/>
        <family val="2"/>
      </rPr>
      <t xml:space="preserve"> have been restated to adhere to the disclosure provisions of GRAP 13.  Refer to Note 38.4 on "Change in Accounting Policy" for details of the restatement.</t>
    </r>
  </si>
  <si>
    <t>Long-term Liabilities have been restated to correctly classify amounts to be included in Long-term Liabilities.  Refer to Note 39.3 on "Correction of Error" for details of the restatement.</t>
  </si>
  <si>
    <r>
      <rPr>
        <i/>
        <sz val="11"/>
        <rFont val="Arial"/>
        <family val="2"/>
      </rPr>
      <t>Retirement Benefit Liabilities</t>
    </r>
    <r>
      <rPr>
        <sz val="11"/>
        <rFont val="Arial"/>
        <family val="2"/>
      </rPr>
      <t xml:space="preserve"> have been restated to adhere to the disclosure provisions of IAS 19.  Refer to Note 38.6 on "Change in Accounting Policy" for details of the restatement.</t>
    </r>
  </si>
  <si>
    <t>Receivables from Exchange Transactions (See Note 4)</t>
  </si>
  <si>
    <t>Provision for Bad Debts (See Note 4)</t>
  </si>
  <si>
    <r>
      <rPr>
        <i/>
        <sz val="11"/>
        <rFont val="Arial"/>
        <family val="2"/>
      </rPr>
      <t>The Revaluation Reserve has</t>
    </r>
    <r>
      <rPr>
        <sz val="11"/>
        <rFont val="Arial"/>
        <family val="2"/>
      </rPr>
      <t xml:space="preserve"> been restated to adhere to the disclosure provisions for property under the "Cost Model".  Refer to Note 38.5 on "Change in Accounting Policy" for details of the restatement.</t>
    </r>
  </si>
  <si>
    <r>
      <rPr>
        <i/>
        <sz val="11"/>
        <rFont val="Arial"/>
        <family val="2"/>
      </rPr>
      <t>Accumulated Surplus</t>
    </r>
    <r>
      <rPr>
        <sz val="11"/>
        <rFont val="Arial"/>
        <family val="2"/>
      </rPr>
      <t xml:space="preserve"> has been restated to correctly classify amounts held by the municipality as indicated below.  Refer to Notes 38.1 and 38.2 on "Change in Accounting Policy" for details of the restatements.</t>
    </r>
  </si>
  <si>
    <r>
      <t>Furthermore, Accumulated Surplus has been restated to adhere to the provisions of GAMAP 9 (paragraphs 42 - 46), GRAP 13 and IAS 19 (</t>
    </r>
    <r>
      <rPr>
        <i/>
        <sz val="11"/>
        <rFont val="Arial"/>
        <family val="2"/>
      </rPr>
      <t>Revenue, Leases and Employee Benefits</t>
    </r>
    <r>
      <rPr>
        <sz val="11"/>
        <rFont val="Arial"/>
        <family val="2"/>
      </rPr>
      <t>).  Refer to Note 38 on "Change in Accounting Policy" for details of the restatement.</t>
    </r>
  </si>
  <si>
    <r>
      <rPr>
        <i/>
        <sz val="11"/>
        <rFont val="Arial"/>
        <family val="2"/>
      </rPr>
      <t>Property Rates</t>
    </r>
    <r>
      <rPr>
        <sz val="11"/>
        <rFont val="Arial"/>
        <family val="2"/>
      </rPr>
      <t xml:space="preserve"> have been restated to correctly classify expenditure incurred for Indigent Subsidies paid, now included in Grants and Subsidies Paid.  Refer to Notes 39.1 and 39.2 on "Correction of Error" for details of the restatement.</t>
    </r>
  </si>
  <si>
    <r>
      <rPr>
        <i/>
        <sz val="11"/>
        <rFont val="Arial"/>
        <family val="2"/>
      </rPr>
      <t>Public Contributions and Donations</t>
    </r>
    <r>
      <rPr>
        <sz val="11"/>
        <rFont val="Arial"/>
        <family val="2"/>
      </rPr>
      <t xml:space="preserve"> have been restated to correctly classify revenue to be included in the category of Public Contributions and Donations.  Refer to Note 39.1 on "Correction of Error" for details of the restatement.</t>
    </r>
  </si>
  <si>
    <r>
      <t xml:space="preserve">Furthermore, the comparative figures for </t>
    </r>
    <r>
      <rPr>
        <i/>
        <sz val="11"/>
        <rFont val="Arial"/>
        <family val="2"/>
      </rPr>
      <t>Public Contributions and Donations</t>
    </r>
    <r>
      <rPr>
        <sz val="11"/>
        <rFont val="Arial"/>
        <family val="2"/>
      </rPr>
      <t xml:space="preserve"> have been restated to adhere to the provisions of GAMAP 9 (paragraphs 42 - 46), </t>
    </r>
    <r>
      <rPr>
        <i/>
        <sz val="11"/>
        <rFont val="Arial"/>
        <family val="2"/>
      </rPr>
      <t>Revenue</t>
    </r>
    <r>
      <rPr>
        <sz val="11"/>
        <rFont val="Arial"/>
        <family val="2"/>
      </rPr>
      <t xml:space="preserve"> on revenue from non-exchange transactions and ASB Directive 4.05.144.  Refer to Note 39.4 on "Correction of Error" for details of the restatement.</t>
    </r>
  </si>
  <si>
    <r>
      <t xml:space="preserve">Furthermore, </t>
    </r>
    <r>
      <rPr>
        <i/>
        <sz val="11"/>
        <rFont val="Arial"/>
        <family val="2"/>
      </rPr>
      <t>Service Charges</t>
    </r>
    <r>
      <rPr>
        <sz val="11"/>
        <rFont val="Arial"/>
        <family val="2"/>
      </rPr>
      <t xml:space="preserve"> have been restated to correctly disclose the revenue due to the municipality for services rendered at 30 June.  Refer to Note 39.4 on "Correction of Error" for details of the restatement.</t>
    </r>
  </si>
  <si>
    <r>
      <rPr>
        <i/>
        <sz val="11"/>
        <rFont val="Arial"/>
        <family val="2"/>
      </rPr>
      <t>Interest Earned</t>
    </r>
    <r>
      <rPr>
        <sz val="11"/>
        <rFont val="Arial"/>
        <family val="2"/>
      </rPr>
      <t xml:space="preserve"> have been restated to correctly classify revenue raised for Interest on Outstanding Billing Debtors, previously included in Impairment Losses on Consumer Debtors.  Refer to Note 39.3 on "Correction of Error" for details of the restatement.</t>
    </r>
  </si>
  <si>
    <t>Revenue recognised in respect of Financial Assets designated as at "fair value" is disclosed in Note 37.</t>
  </si>
  <si>
    <r>
      <rPr>
        <i/>
        <sz val="11"/>
        <rFont val="Arial"/>
        <family val="2"/>
      </rPr>
      <t>Other Revenue</t>
    </r>
    <r>
      <rPr>
        <sz val="11"/>
        <rFont val="Arial"/>
        <family val="2"/>
      </rPr>
      <t xml:space="preserve"> have been restated to correctly classify revenue to be included in the category of Other Revenue.  Refer to Note 39.1 on "Correction of Error" for details of the restatement.</t>
    </r>
  </si>
  <si>
    <t>The amounts disclosed above for Other Revenue are in respect of services, other than described in Notes 21 to 26, rendered which are billed to or paid for by the users as the services are required according to approved tariffs.  Inter-departmenal Recoveries are received from other trading and economic services.</t>
  </si>
  <si>
    <r>
      <rPr>
        <i/>
        <sz val="11"/>
        <rFont val="Arial"/>
        <family val="2"/>
      </rPr>
      <t>Impairment Losses</t>
    </r>
    <r>
      <rPr>
        <sz val="11"/>
        <rFont val="Arial"/>
        <family val="2"/>
      </rPr>
      <t xml:space="preserve"> have been restated to correctly classify revenue raised for Interest on Outstanding Billing Debtors, now included in Interest Earned.  Refer to Note 39.3 on "Correction of Error" for details of the restatement.</t>
    </r>
  </si>
  <si>
    <r>
      <t xml:space="preserve">Furthermore, </t>
    </r>
    <r>
      <rPr>
        <i/>
        <sz val="11"/>
        <rFont val="Arial"/>
        <family val="2"/>
      </rPr>
      <t>Grants and Subsidies Paid</t>
    </r>
    <r>
      <rPr>
        <sz val="11"/>
        <rFont val="Arial"/>
        <family val="2"/>
      </rPr>
      <t xml:space="preserve"> have been restated to correctly classify expenditure incurred for Grants and Subsidies Paid, previously included in General Expenses.  Refer to Note 39.2 on "Correction of Error" for details of the restatement.</t>
    </r>
  </si>
  <si>
    <r>
      <rPr>
        <i/>
        <sz val="11"/>
        <rFont val="Arial"/>
        <family val="2"/>
      </rPr>
      <t>General Expenses</t>
    </r>
    <r>
      <rPr>
        <sz val="11"/>
        <rFont val="Arial"/>
        <family val="2"/>
      </rPr>
      <t xml:space="preserve"> have been restated to correctly classify expenditure incurred for Water Levy, previously included in Bulk Purchases.  Refer to Note 39.2 on "Correction of Error" for details of the restatement.</t>
    </r>
  </si>
  <si>
    <r>
      <t xml:space="preserve">Furthermore, </t>
    </r>
    <r>
      <rPr>
        <i/>
        <sz val="11"/>
        <rFont val="Arial"/>
        <family val="2"/>
      </rPr>
      <t>General Expenses</t>
    </r>
    <r>
      <rPr>
        <sz val="11"/>
        <rFont val="Arial"/>
        <family val="2"/>
      </rPr>
      <t xml:space="preserve"> have been restated to correctly classify expenditure previously included in the category of General Expenses.  Refer to Note 39.2 on "Correction of Error" for details of the restatement.</t>
    </r>
  </si>
  <si>
    <t>Costs of R4,17 million have been recognised during the year in respect of rectification work to be carried out on electricity supply to one of the municipality’s major customers, which have been included in Employee Related Costs, General Expenses and Cost of Inventories.  The amount represents the estimated cost of work to be carried out in accordance with an agreed schedule of works up to 2010.  R1,112 million of the provision has been utilised in the current period, with a provision of R3,058 million carried forward to meet anticipated expenditure in 2009 and 2010 (see Note 15).</t>
  </si>
  <si>
    <r>
      <t xml:space="preserve">Net </t>
    </r>
    <r>
      <rPr>
        <b/>
        <sz val="11"/>
        <rFont val="Arial"/>
        <family val="2"/>
      </rPr>
      <t>Foreign Exchange</t>
    </r>
    <r>
      <rPr>
        <sz val="11"/>
        <rFont val="Arial"/>
        <family val="2"/>
      </rPr>
      <t xml:space="preserve"> gains in the year amounted to R144 000 (2007: net losses of R68 000), of which net gains of R114 000 (2007: net losses of R117 000) are attributable to continuing operations (see above), and net gains of R30 000 (net gains of R49 000) are attributable to discontinued operations (see Note 37).</t>
    </r>
  </si>
  <si>
    <t>No other gains or losses have been recognised in respect of Loans and Receivables or Held-to-Maturity Investments, other than as disclosed in Note 13 and Impairment Losses recognised/reversed in respect of Trade Receivables (see Notes 4, 5 and 31).</t>
  </si>
  <si>
    <t>Adjustment for Provisions for Defined Benefits - Note 38.6</t>
  </si>
  <si>
    <t>Adjustment for Impairment of Long-term Debtors - Note 38.7</t>
  </si>
  <si>
    <t>Adjustment for Interest on Outstanding Debtors - Note 39.3</t>
  </si>
  <si>
    <t>Adjustment for Impairment of Consumer Debtors - Note 39.3</t>
  </si>
  <si>
    <t>Adjustment for Revenue for Services rendered - Note 39.4</t>
  </si>
  <si>
    <t>Adjustment for Revenue for Services not rendered - Note 39.4</t>
  </si>
  <si>
    <t>Adjustment for Public Contributions - Note 39.4</t>
  </si>
  <si>
    <t>The prior year figures of Property Rates and Service Charges have been restated to correctly classify the nature of Indigent Subsidies, previously deducted from Revenue of the municipality, in terms of IGRAP 1.09 and MFMA Circular No 51.  Also see Note 39.2 below.</t>
  </si>
  <si>
    <t>The prior year figures of Grants and Subdidies Paid have been restated to correctly classify the nature of Indigent Subsidies, previously deducted from Revenue of the municipality, in terms of IGRAP 1.09 and MFMA Circular No 51.  Also see Note 39.1 above.</t>
  </si>
  <si>
    <t>Adjustment for Impairment of Long-term Debtors (See Note 38.7 above)</t>
  </si>
  <si>
    <t>The municipality’s activities expose it primarily to the financial risks of changes in foreign currency exchange rates (see Note 47.6.1 below) and interest rates (see Note 47.7 below).  The municipality enters into a variety of derivative financial instruments to manage its exposure to interest rate and foreign currency risk, including:</t>
  </si>
  <si>
    <t>The prior year figures of Service Charges and Grants and Subsidies Paid have been restated to correctly record Revenue Foregone incurred during the previous financial year in terms of MFMA Budget Formats Guide for Municipalities.</t>
  </si>
  <si>
    <t>Grants and</t>
  </si>
  <si>
    <t>Subsidies Paid</t>
  </si>
  <si>
    <t>Reclassification of Free Basic Electricity to Households</t>
  </si>
  <si>
    <t>Reclassification of Free Basic Water to Households</t>
  </si>
  <si>
    <r>
      <rPr>
        <i/>
        <sz val="11"/>
        <rFont val="Arial"/>
        <family val="2"/>
      </rPr>
      <t>Grants and Subsidies Paid</t>
    </r>
    <r>
      <rPr>
        <sz val="11"/>
        <rFont val="Arial"/>
        <family val="2"/>
      </rPr>
      <t xml:space="preserve"> have been restated to correctly classify Revenue Foregone, previously included in expenditure for Free Basic Services.  Refer to Note 39.3 on "Correction of Error" for details of the restatement.</t>
    </r>
  </si>
  <si>
    <r>
      <rPr>
        <i/>
        <sz val="11"/>
        <rFont val="Arial"/>
        <family val="2"/>
      </rPr>
      <t>Service Charges</t>
    </r>
    <r>
      <rPr>
        <sz val="11"/>
        <rFont val="Arial"/>
        <family val="2"/>
      </rPr>
      <t xml:space="preserve"> have been restated to correctly classify Revenue Foregone, previously included in Grants and Subsidies Paid.  Refer to Note 39.3 "Correction of Error" for details of the restatement.</t>
    </r>
  </si>
  <si>
    <t>The municipality opted to develop an Accounting Policy based on GRAP 104, Financial Instruments.</t>
  </si>
  <si>
    <t>Exchange</t>
  </si>
  <si>
    <t>Transactions</t>
  </si>
  <si>
    <t>Non-exchange</t>
  </si>
  <si>
    <t>Reclassification of Debtors: Assessment Rates</t>
  </si>
  <si>
    <t xml:space="preserve">     Debtors Transactions for the Year</t>
  </si>
  <si>
    <t xml:space="preserve">     Reclassification of Debtors: Assessment Rates</t>
  </si>
  <si>
    <t>for Impairment</t>
  </si>
  <si>
    <t>The prior year figures of Trade Receivables from Exchange Transcations together with the Provision for Impairment and  Trade Receivables from Non-exchange Transcations together with the Provision for Impairment have been restated to correctly disclose the monies held by the municipality in terms of GRAP 104.</t>
  </si>
  <si>
    <t xml:space="preserve">No Inventories have been pledged as collateral for Liabilities of the municipality. </t>
  </si>
  <si>
    <r>
      <rPr>
        <b/>
        <sz val="11"/>
        <rFont val="Arial"/>
        <family val="2"/>
      </rPr>
      <t>Performance Bonuses</t>
    </r>
    <r>
      <rPr>
        <sz val="11"/>
        <rFont val="Arial"/>
        <family val="2"/>
      </rPr>
      <t xml:space="preserve"> accrue to senior managers on an annual basis, subject to certain conditions.  The provision is an estimate of the amount due at the reporting date.</t>
    </r>
  </si>
  <si>
    <t>Increase/(Decrease) in VAT Payable</t>
  </si>
  <si>
    <t>ADDITIONAL DISCLOSURES IN TERMS OF MUNICIPAL FINANCE MANAGEMENT ACT</t>
  </si>
  <si>
    <r>
      <t xml:space="preserve">The </t>
    </r>
    <r>
      <rPr>
        <b/>
        <sz val="11"/>
        <rFont val="Arial"/>
        <family val="2"/>
      </rPr>
      <t>Capital Replacement Reserve</t>
    </r>
    <r>
      <rPr>
        <sz val="11"/>
        <rFont val="Arial"/>
        <family val="2"/>
      </rPr>
      <t xml:space="preserve"> is a reserve to finance future capital expenditure and is fully invested in ring-fenced Financial Instrument Investments.</t>
    </r>
  </si>
  <si>
    <t>See Note 22 for the reconciliation of Grants from Government and Note 23 for the reconciliation of Other Conditional Receipts.  The municipality complied with the conditions attached to all grants received to the extent of revenue recognised.  No grants were withheld.</t>
  </si>
  <si>
    <t>(iv)  The municipality is obliged to enter into a maintenance agreement with the lessor for the equipment rented.</t>
  </si>
  <si>
    <t>The municipality amortises all its Intangible Assets and no of such assets are regarded as having indefinite useful lives.</t>
  </si>
  <si>
    <t>Total Carrying Amount of Intangible Assets with Indefinite Useful Lives</t>
  </si>
  <si>
    <t>No impairment losses have been recognised on Intangible Assets of the municipality at the reporting date.</t>
  </si>
  <si>
    <t>Fixed Deposits of R0 (2007: R3 890 992) are ring-fenced and attributable to Unspent Conditional Grants.</t>
  </si>
  <si>
    <t>Fixed Deposits of R487 342 (2007: R4 302 226) are ring-fenced and attributable to the Capital Replacement Reserve.</t>
  </si>
  <si>
    <r>
      <t xml:space="preserve">Furthermore, </t>
    </r>
    <r>
      <rPr>
        <i/>
        <sz val="11"/>
        <rFont val="Arial"/>
        <family val="2"/>
      </rPr>
      <t>Impairment Losses</t>
    </r>
    <r>
      <rPr>
        <sz val="11"/>
        <rFont val="Arial"/>
        <family val="2"/>
      </rPr>
      <t xml:space="preserve"> have been restated to correctly disclose the amortisation of Arrangement Debtor balances.  Refer to Note 38.7 on "Change in Accounting Policy" for details of the restatement.</t>
    </r>
  </si>
  <si>
    <t>Effect of the Change in Accounting Policy:</t>
  </si>
  <si>
    <t>The municipality expects to make a contribution of R5 310 million (2010: R4 398 million) to the Defined Benefit Plans during the next financial year.</t>
  </si>
  <si>
    <t>Furthermore, the transactions for Investment Property and Depreciation Charges have been restated to correctly disclose the Depreciation Charge for the financial year 2009/10 not previously recognised in terms of the Management Report of the Auditor-General for the 2010 financial year.</t>
  </si>
  <si>
    <t>Other  Debtors</t>
  </si>
  <si>
    <t>Adjustment for Retention Money previously written-off</t>
  </si>
  <si>
    <t>Furthermore, the prior year figures of Creditors, Other Debtors and Employee Related Costs have been restated to correctly record Medical Aid Contributions incurred during the previous financial year and not accrued for at year-end.</t>
  </si>
  <si>
    <t xml:space="preserve">               Services, Employee Related Costs and Accumulated Surplus</t>
  </si>
  <si>
    <t>Furthermore, the prior year figures of Creditors, Repairs and Maintenance and Contracted Services have been restated to correctly record expenditure incurred during the previous financial year and not accrued for at year-end.</t>
  </si>
  <si>
    <t xml:space="preserve">     Reclassify Depreciation Charges on Investment Property - Note 39.1</t>
  </si>
  <si>
    <t xml:space="preserve">     Reclassify Retention Moneys - Note 39.2</t>
  </si>
  <si>
    <t>The opening balances of Creditors and Accumulated Surplus have been restated to correctly disclose Retention Money written-off in error during the previous financial year.</t>
  </si>
  <si>
    <t>Adjustment for Employee Related Costs not accrued for</t>
  </si>
  <si>
    <t xml:space="preserve">     Reclassify Employee Related Costs - Note 39.2</t>
  </si>
  <si>
    <t>Furthermore, the prior year figures of Creditors and Employee Related Costs have been restated to correctly disclose salaries and bonuses incurred in previous financial years.</t>
  </si>
  <si>
    <t>Adjustment for Employee Costs not accrued at 30 June</t>
  </si>
  <si>
    <t>Adjustment for Medical Aid Contributions not accrued at 30 June</t>
  </si>
  <si>
    <r>
      <rPr>
        <i/>
        <sz val="11"/>
        <rFont val="Arial"/>
        <family val="2"/>
      </rPr>
      <t>Employee Related Costs</t>
    </r>
    <r>
      <rPr>
        <sz val="11"/>
        <rFont val="Arial"/>
        <family val="2"/>
      </rPr>
      <t xml:space="preserve"> have been restated to correctly classify expenditure incurred for Salaries and Bonuses, not previously accrued for.  Refer to Note 39.2 on "Correction of Error" for details of the restatement.</t>
    </r>
  </si>
  <si>
    <t>Roads: Concrete</t>
  </si>
  <si>
    <t>Roads: Paved</t>
  </si>
  <si>
    <t>Dams</t>
  </si>
  <si>
    <t>Metalwork</t>
  </si>
  <si>
    <t>Specialised Vehicles:</t>
  </si>
  <si>
    <t>Sewerage Collection Vehicles</t>
  </si>
  <si>
    <t>Woodworking Machinery/Equipment</t>
  </si>
  <si>
    <t>Operating Leases relate to Property owned by the municipality with lease terms of between 1 to 83 (2010: 1 to 84) years, with an option to extend.  All operating lease contracts contain market review clauses in the event that the lessee exercises its option to renew.  The lessee does not have an option to purchase the property at the expiry of the lease period.</t>
  </si>
  <si>
    <t xml:space="preserve">The property rental income earned by the municipality from its investment property, all of which is leased out under operating leases, amounted to RXX (2010: R301351).  Direct operating expenses arising on the investment property in the period amounted to RXX (2009: RXX). </t>
  </si>
  <si>
    <r>
      <rPr>
        <b/>
        <sz val="11"/>
        <rFont val="Arial"/>
        <family val="2"/>
      </rPr>
      <t>Performance Bonuses</t>
    </r>
    <r>
      <rPr>
        <sz val="11"/>
        <rFont val="Arial"/>
        <family val="2"/>
      </rPr>
      <t xml:space="preserve"> accrue to senior managers on an annual basis, subject to certain conditions.  The provision has been reversed for the previous year as no performance management system was in place resulting that no bonuses were accrued at the reporting date.</t>
    </r>
  </si>
  <si>
    <t>Expenses were incurred to promote rural development.  No funds have been withheld.</t>
  </si>
  <si>
    <t xml:space="preserve">     Property, Plant and Equipment transferred to Assets Held-for-Sale</t>
  </si>
  <si>
    <t>The municipality has entered into a contract with Ducharme Consulting Services for the compilation of Annual Financial Statements for 2 years, which will give rise to a total charge of R1 439 160.</t>
  </si>
  <si>
    <t>The municipality has entered into a contract with Baepereki Consultants for administering the Project Management Unit for 3 years, which will give rise to a charge of 2,7% of actual project expenditure payable on a monthly basis.</t>
  </si>
  <si>
    <t>Grove A</t>
  </si>
  <si>
    <t>Revenue Foregone</t>
  </si>
  <si>
    <t>The municipality has cancelled a deed of sale due to non-complaince by the purchaser, Gov-Al Properties CC, and repossessed the portion of land.  Gov-Al Properties CC are now sueing the municipality in the High Court in order to get possession of the land again.  The case was removed from the roll on 5 May 2008.  Subsequently a summons was received and a trial date was set for 3 May 2011, which was postponed.  The outcome of the case is still uncertain.</t>
  </si>
  <si>
    <t>The municipality is being sued by SA Call Centre Solutions for alleged services rendered for the design, build, implementation and support of a 20-seater Call Centre.  A trial date has been set for 2 May 2012 and the outcome of the case is still uncertain.</t>
  </si>
  <si>
    <t>The municipality is being summoned by Hlohlweni Business Enterprises CC for non-payment of the agreed fee of 15% for the procurement of funds from the National Lottery and exludes legal costs.  The matter was referred to the municipality's attorneys.  A trial date has been set for 6 September 2010, but has been postponed to 6 December 2010.  The outcome of the matter is still unknown.</t>
  </si>
  <si>
    <t>A letter of demand was received on 8 May 2008 from Magnolia Complex Residents.  The residents allege that their property devaluated after incorrectly approving a rezoning without conducting a hearing in respect of objections.  The matter was referred to the municipality's Insurers who rejected the claim.  The Insurers now indicated that the repudiation was reconsidered and the claim is being reconsidered.  The outcome of the claim is still uncertain.  Plaintiff settled for legal fees to be paid and boundary wall to be built by the defendant, which has been finalised.</t>
  </si>
  <si>
    <t>Deposits attributable to Unspent Conditional Grants</t>
  </si>
  <si>
    <t>Deposits attributable to Creditors</t>
  </si>
  <si>
    <t>Deposits attributable to Current Provisions</t>
  </si>
  <si>
    <t>Deposits attributable to Consumer Deposits</t>
  </si>
  <si>
    <t>Deposits attributable to Rehabilitation of Landfill Site</t>
  </si>
  <si>
    <t>Total Deposits attributable to Commitments of the Municipality</t>
  </si>
  <si>
    <t>Impairment losses on Property, Plant and Equipment exist predominantly due to technological obsolescence of information technology equipment.  The remainder of impaired items of Property, Plant and Equipment have been physically damaged, stolen or have become redundant and idle.  Water Truck damaged</t>
  </si>
  <si>
    <t>Stands are sold on a cash/bank guarantee basis.  The outstanding loans are repayable in the year 2011/12.</t>
  </si>
  <si>
    <t>In terms of the MFMA no Study Cost Loans are granted anymore.  The outstanding amount is in respect of loans granted before 01 July 2005.  Beneficiaries were entitled to Study Cost Loans at an interest rate of 5,00% per annum, repayable over a maximum period of 6 years.  The balance of the loans are in respect of third parties and are repayable in the year 2011/12.</t>
  </si>
  <si>
    <r>
      <rPr>
        <b/>
        <sz val="11"/>
        <rFont val="Arial"/>
        <family val="2"/>
      </rPr>
      <t>Sport Events</t>
    </r>
    <r>
      <rPr>
        <sz val="11"/>
        <rFont val="Arial"/>
        <family val="2"/>
      </rPr>
      <t xml:space="preserve"> are in respect accommodation and travelling expenses of participants for sporting events attended outside the municipal area of jurisdiction.</t>
    </r>
  </si>
  <si>
    <t>Less licences/permits issued than anticipated</t>
  </si>
  <si>
    <t>Impairment losses on Property, Plant and Equipment exist predominantly due to an impaired item of Property, Plant and Equipment that has been physically damaged and has become redundant and idle.</t>
  </si>
  <si>
    <t>No impairment losses have been recognised on Investment Property of the municipality at the reporting date.</t>
  </si>
  <si>
    <t>As at 30 June Long-term Receivables of R1 463 266 (2010: R1 000 314) were past due but not impaired.  No terms for payment have been re-negotiaited.  The age analysis of these Long-term Receivables is as follows:</t>
  </si>
  <si>
    <t>Telephone Cost Recovered</t>
  </si>
  <si>
    <t>The municipality did not incur any Finance Cost.</t>
  </si>
  <si>
    <t>Claims against the Municipality</t>
  </si>
  <si>
    <t>Cleaning Material</t>
  </si>
  <si>
    <t>Connections and Disconnections</t>
  </si>
  <si>
    <t>Disaster Expenditure</t>
  </si>
  <si>
    <t>Lease Charges</t>
  </si>
  <si>
    <t>Urban Greening Programme</t>
  </si>
  <si>
    <t>Website Hosting</t>
  </si>
  <si>
    <t>Makapan Mall (Pty) Ltd</t>
  </si>
  <si>
    <t>Walton Eiendomme BK</t>
  </si>
  <si>
    <t>The municipality applied to Eskom to increase its electricity demand to 40 MVA to be able to meet the increasing demand for electricity supply from consumers.  Eskom requires a deposit for guarantee to the amount of R22 640 500.  The municipality arranged with its banker to issue a bank guarantee to the effect (see Note 50.1).</t>
  </si>
  <si>
    <t>(v)     Repossession of Land:</t>
  </si>
  <si>
    <t>(vi)     Claim for Injuries Sustained:</t>
  </si>
  <si>
    <t>(vii)     Building Services Rendered:</t>
  </si>
  <si>
    <t>(viii)     Damages to Vehicle:</t>
  </si>
  <si>
    <t>(ix)     Devaluation of Property:</t>
  </si>
  <si>
    <t>(x)     Stolen Equipment:</t>
  </si>
  <si>
    <t>(xi)     Damaged Computer Equipment:</t>
  </si>
  <si>
    <t>(xii)     Damaged Electrical Appliances:</t>
  </si>
  <si>
    <t>(xiiii)     Damages and Injuries due to Collision:</t>
  </si>
  <si>
    <t>(xiv)     Damages and Injuries Sustained:</t>
  </si>
  <si>
    <t>(xv)     Non-payment for Work Done:</t>
  </si>
  <si>
    <t>(xvi)     Claim for Storm Water Damages:</t>
  </si>
  <si>
    <t>A claim was received from Segole II Development Trust the payment of retention money.  It is alleged that Waterberg District Municipality paid the retention money over to the municipality to pay to the claimant.  The matter has been submitted to the municipality's Attorneys.  No progress has been made to date and the outcome of the matter is still uncertain.</t>
  </si>
  <si>
    <t>(xvii)     Claim for Retention Money:</t>
  </si>
  <si>
    <t>(xviii)     Claim for Losses Sustained:</t>
  </si>
  <si>
    <t>A claim was received from Emang Development Projects CC for alleged losses sustained when the municipality terminated the contract they were working on on grounds of non-performance.  No progress has been made to date and the outcome of the matter is still uncertain.</t>
  </si>
  <si>
    <t>(xix)     Claim for Losses Sustained:</t>
  </si>
  <si>
    <t>(xx)     Claim for Losses Sustained:</t>
  </si>
  <si>
    <t>A claim was received from MJ Masimini for losses sustained on the transport of property.  The municipality is allegedly a party to an illegal transfer of property.  No progress has been made to date and the outcome of the matter is still uncertain.</t>
  </si>
  <si>
    <t>A letter of intent to summon for losses incurred was received from LD Phahladira.  The municipality allegedly built RDP houses on the claimant's farm.  The summons is awaited and the outcome of the matter is still uncertain.</t>
  </si>
  <si>
    <t>(xxi)     Claim for Violation of Human Dignity:</t>
  </si>
  <si>
    <t>A claim was received from MS Bambo for the violation of his dignity.  The municipality invited the claimant to an interview for a vacant position, but claimant was not appointed.  No progress has been made to date and the outcome of the matter is still uncertain.</t>
  </si>
  <si>
    <t>(xxii)     Upgrading of Electricity Demand:</t>
  </si>
  <si>
    <t>(xxiii)     Contesting Tender Procedures:</t>
  </si>
  <si>
    <t>AON South Africa (Pty) Ltd is contesting the tender procedures followed for the appointment of the municipality's insurers.  AON was allegedly the cheapest tender but was not appointed.  A trial date is awaited, probably during 22 to 26 August 2011 and the outcome of the matter is still uncertain.</t>
  </si>
  <si>
    <t>Lake View Estates is appealing against a resolution of the council not to approve a township development.  The appeal procedure was postponed and is unlikely to continue.  The outcome of the matter is still unknown.</t>
  </si>
  <si>
    <t>The municipality is not exposed to credit interest rate risk as the municipality has no borrowings.</t>
  </si>
  <si>
    <t>The sensitivity analysis has been determined based on the exposure to interest rates at the Statement of Financial Position date.  The analysis is prepared by averaging the amount of the investment at the beginning of the financial year and the amount of the investment at the end of the financial year.  A 100 basis point increase or decrease was used, which represents management’s assessment of the reasonably possible change in interest rates.  The short and long-term financial instruments at year-end with variable interest rates are set out in Note 47.9 below:</t>
  </si>
  <si>
    <t>•  The requirement of a deposit for new service connections, serving as guarantee and are reviewed annually;</t>
  </si>
  <si>
    <t>Payment of accounts of consumer debtors, who are unable to pay, are renegotiated as an ongoing customer relationship in response to an adverse change in the circumstances of the customer in terms of the Credit Control and Debt Collection Policy.</t>
  </si>
  <si>
    <t>Tsa Khomotso claimed against the municipality for alleged stolen electrical equipment/pipes.  The matter has been referred to the municipality's Insurers who indicated that the claim has been rejected and that the file has been closed.</t>
  </si>
  <si>
    <t>The municipality is being sued by Mr DJN Coetzer for damages to computer equipment.  The claim has been submitted to the municipality's Insurers, who rejected the claim.  Subsequently, the file on this matter was closed.</t>
  </si>
  <si>
    <t>The municipality is being sued by Ms IJ Koekemoer for damages on electrical appliances due to loose neutral electrical mains.  The claim has been referred to the municipality's Insurers who rejected the same and indicated that any action will be defended.  Subsequently, the file on this matter was closed.</t>
  </si>
  <si>
    <t>A civil claim for damages was received in August 2009.  Mrs PL Payne claims for damages to her vehicle and personal injuries sustained resulting from a motor vehicle collision on the Maribashoek/Planknek Road alledgedly caused by potholes in the road.  The matter has been submitted to the municipality's Insurers.  No documentation was submitted to suport the claim and the file was closed.</t>
  </si>
  <si>
    <t>A letter of demand was received in May 2009 from N Kelly Inc on behalf of JF Herbst.  The plaintiff collided with a telecommunications mast on the R101 alledgedly caused by failure on the municipality's side to ensure that vehicular traffic was sufficiently made aware of the presence of the conversions and/or nature and extent of disgiused hazards on the R101.  The claim is for hospitalisation, medical treatment, surgery, disability, pain suffered and loss of amenities of life and exludes legal costs.  The R101 falls outside the municipality's jurisdiction.  However, the matter was referred to the municipality's Insurers.  Subsequently, the Insurers indicated that the municipality is not liable and the file has been closed.</t>
  </si>
  <si>
    <t>The municipality is being sued by National Highway Markings after a vehicle collision.  A letter of demand was received 2 January 2008.  The claim was forwarded to the municipality's Insurers.  Subsequently, the file was closed.</t>
  </si>
  <si>
    <t>Time Value of Money:</t>
  </si>
  <si>
    <t>Discount Rates:</t>
  </si>
  <si>
    <t>Reserve Bank Overdraft Rates</t>
  </si>
  <si>
    <t>Prime Rate</t>
  </si>
  <si>
    <t>Surcharge</t>
  </si>
  <si>
    <t>Standard Rate</t>
  </si>
  <si>
    <t>Other Factors</t>
  </si>
  <si>
    <t>Days</t>
  </si>
  <si>
    <t>Average Rate</t>
  </si>
  <si>
    <t>Ensure that formulas are in correct columns and that Date Value in formulas is correct</t>
  </si>
  <si>
    <t>Present Value for Receivables and Service Charges:</t>
  </si>
  <si>
    <t>Accounts Receivable</t>
  </si>
  <si>
    <t>Total Payables at Year-end</t>
  </si>
  <si>
    <t>Credit Purchases</t>
  </si>
  <si>
    <t>No</t>
  </si>
  <si>
    <t>Total Credit Purchases for the Year</t>
  </si>
  <si>
    <t>Calculations</t>
  </si>
  <si>
    <t>Average Payment Period:</t>
  </si>
  <si>
    <r>
      <t xml:space="preserve">                                       </t>
    </r>
    <r>
      <rPr>
        <u/>
        <sz val="10"/>
        <rFont val="Arial Narrow"/>
        <family val="2"/>
      </rPr>
      <t>Accounts Receivable</t>
    </r>
  </si>
  <si>
    <t>x 365</t>
  </si>
  <si>
    <t xml:space="preserve">                                         Service Charges</t>
  </si>
  <si>
    <t>Present Value of Service Charges</t>
  </si>
  <si>
    <t>Interest Impact on Service Charges for the Period</t>
  </si>
  <si>
    <t>Present Value of Receivables</t>
  </si>
  <si>
    <t>Interest Impact on Receivables for the Period</t>
  </si>
  <si>
    <t>Apportionment of Interest Impact to Service Charges</t>
  </si>
  <si>
    <t>Debit</t>
  </si>
  <si>
    <t>Interest Received for the Period</t>
  </si>
  <si>
    <t>Apportionment of Interest Impact to Accounts Receivable</t>
  </si>
  <si>
    <t>Credit Sales</t>
  </si>
  <si>
    <t>Total Credit Sales for the Year</t>
  </si>
  <si>
    <t>Present Value for Payables and Purchases:</t>
  </si>
  <si>
    <t>Accounts Payable</t>
  </si>
  <si>
    <t>Acquisition of Property, Plant and Equipment</t>
  </si>
  <si>
    <t>Acquisition of Work-in-Progress</t>
  </si>
  <si>
    <t>Acquisition of Intangible Assets</t>
  </si>
  <si>
    <t>Acquisition of Investment Property</t>
  </si>
  <si>
    <r>
      <t xml:space="preserve">                                         </t>
    </r>
    <r>
      <rPr>
        <u/>
        <sz val="10"/>
        <rFont val="Arial Narrow"/>
        <family val="2"/>
      </rPr>
      <t>Accounts Payable</t>
    </r>
  </si>
  <si>
    <t xml:space="preserve">                                         Credit Purchases</t>
  </si>
  <si>
    <t>Present Value of Expenditure</t>
  </si>
  <si>
    <t>Interest Impact on Expenditure for the Period</t>
  </si>
  <si>
    <t>Present Value of Payables</t>
  </si>
  <si>
    <t>Interest Impact on Payables for the Period</t>
  </si>
  <si>
    <t>Apportionment of Interest Impact to Credit Purchases</t>
  </si>
  <si>
    <t>Interest Paid for the Period</t>
  </si>
  <si>
    <t>Apportionment of Interest Impact to Accounts Payable</t>
  </si>
  <si>
    <t>Furthermore, the prior year figures of Creditors and Employee Related Costs have been restated to correctly disclose leave pay incurred in previous financial years.</t>
  </si>
  <si>
    <t>Adjustment for Leave Pay Accrual incorrectly calculated</t>
  </si>
  <si>
    <t>Adjustment for Leave Pay incorrectly calculated for 2009/10</t>
  </si>
  <si>
    <t xml:space="preserve">     Reclassify Leave Pay Accrued - Note 39.2</t>
  </si>
  <si>
    <t>(xxii)     Contesting Council Resolution:</t>
  </si>
  <si>
    <t>Staff Bonuses</t>
  </si>
  <si>
    <t xml:space="preserve">     Reclassify Staff Bonuses Accrued - Note 39.2</t>
  </si>
  <si>
    <t>Furthermore, the prior year figures of Creditors and Employee Related Costs have been restated to correctly disclose the liability for leave bonuses at year-end.</t>
  </si>
  <si>
    <t>Adjustment for Staff Bonuses Accrual at year-end</t>
  </si>
  <si>
    <t>Adjustment for Leave Bonuses previously not calculated for 2009/10</t>
  </si>
  <si>
    <t>NOTES TO THE FNIANCIAL STATEMENTS</t>
  </si>
  <si>
    <t>Current Month Number</t>
  </si>
  <si>
    <t>Headers</t>
  </si>
  <si>
    <t>Need more information</t>
  </si>
  <si>
    <t>REVENUEPROPERTY RATES</t>
  </si>
  <si>
    <t>REVENUEPROP RATES - PENALTIES &amp; COLLECTION</t>
  </si>
  <si>
    <t>REVENUEFINES</t>
  </si>
  <si>
    <t>REVENUELICENCES AND PERMITS</t>
  </si>
  <si>
    <t>REVENUEAGENCY SERVICES</t>
  </si>
  <si>
    <t>REVENUEGOVERNMENT GRANTS &amp; SUBSIDIES</t>
  </si>
  <si>
    <t>REVENUEPUBLIC CONTRIBUTIONS AND DONATIONS</t>
  </si>
  <si>
    <t>REVENUESERVICE CHARGES</t>
  </si>
  <si>
    <t>REVENUERENTAL OF FACILITIES AND EQUIPMENT</t>
  </si>
  <si>
    <t>REVENUEINTEREST EARNED - EXTERNAL INVESTMENTS</t>
  </si>
  <si>
    <t>REVENUEINTEREST EARNED - OUTSTANDING DEBTORS</t>
  </si>
  <si>
    <t>REVENUEDIVIDENDS RECEIVED</t>
  </si>
  <si>
    <t>REVENUEOTHER INCOME</t>
  </si>
  <si>
    <t>REVENUEOTHER GAINS ON CONTINUED OPERATIONS</t>
  </si>
  <si>
    <t>REVENUEGAINS ON DISPOSAL OF PPE</t>
  </si>
  <si>
    <t>REVENUEPROFIT ON SALE OF LANDSALE OF LAND</t>
  </si>
  <si>
    <t>REVENUEPROFIT ON SALE OF LANDCOST OF SALES</t>
  </si>
  <si>
    <t>EXPENDITUREEMPLOYEE RELATED COSTS</t>
  </si>
  <si>
    <t>EXPENDITUREREMUNERATION OF COUNCILLORS</t>
  </si>
  <si>
    <t>EXPENDITURECOLLECTION COSTS</t>
  </si>
  <si>
    <t>EXPENDITUREDEPRECIATION AND AMORTISATION</t>
  </si>
  <si>
    <t>EXPENDITUREBAD DEBTS AND IMPAIRMENT LOSSES</t>
  </si>
  <si>
    <t>EXPENDITUREREPAIRS AND MAINTENANCE</t>
  </si>
  <si>
    <t>EXPENDITUREINTEREST PAID</t>
  </si>
  <si>
    <t>EXPENDITUREBULK PURCHASES</t>
  </si>
  <si>
    <t>EXPENDITURECONTRACTED SERVICES</t>
  </si>
  <si>
    <t>EXPENDITUREGRANTS AND SUBSIDIES PAID</t>
  </si>
  <si>
    <t>EXPENDITURERESEARCH AND DEVELOPMENT COSTS</t>
  </si>
  <si>
    <t>EXPENDITUREOTHER EXPENDITURE</t>
  </si>
  <si>
    <t>EXPENDITUREOTHER LOSSES ON CONTINUED OPERATIONS</t>
  </si>
  <si>
    <t>EXPENDITURELOSS ON DISPOSAL OF PPE</t>
  </si>
  <si>
    <t>Column</t>
  </si>
  <si>
    <t>I: Financial PositionCURRENT ASSETSINVENTORYConsumable Stores</t>
  </si>
  <si>
    <t>Default : Current</t>
  </si>
  <si>
    <t>K: Financial PositionCURRENT ASSETSINVENTORYConsumable Stores</t>
  </si>
  <si>
    <t>Default : Prior</t>
  </si>
  <si>
    <t>I: Financial PositionCURRENT ASSETSINVENTORYMaintenance Materials</t>
  </si>
  <si>
    <t>K: Financial PositionCURRENT ASSETSINVENTORYMaintenance Materials</t>
  </si>
  <si>
    <t>I: Financial PositionCURRENT ASSETSINVENTORYSpare Parts</t>
  </si>
  <si>
    <t>K: Financial PositionCURRENT ASSETSINVENTORYSpare Parts</t>
  </si>
  <si>
    <t>I: Financial PositionCURRENT ASSETSINVENTORYUnsold Properties</t>
  </si>
  <si>
    <t>K: Financial PositionCURRENT ASSETSINVENTORYUnsold Properties</t>
  </si>
  <si>
    <t>I: Financial PositionCURRENT ASSETSINVENTORYWater</t>
  </si>
  <si>
    <t>K: Financial PositionCURRENT ASSETSINVENTORYWater</t>
  </si>
  <si>
    <t>N: Financial PositionCURRENT ASSETSINVENTORY</t>
  </si>
  <si>
    <t>Default : Base</t>
  </si>
  <si>
    <t>I: Financial PositionCURRENT ASSETSNON-CURRENT ASSETS HELD-FOR-SALEProperty Held For Sale</t>
  </si>
  <si>
    <t>I: Financial PositionCURRENT ASSETSNON-CURRENT ASSETS HELD-FOR-SALEOther Assets Held-For-Sale</t>
  </si>
  <si>
    <t>I: Financial PositionCURRENT ASSETSNON-CURRENT ASSETS HELD-FOR-SALELiabilities: Assets Held-For-Sale</t>
  </si>
  <si>
    <t>G: Financial PositionCURRENT ASSETSCONSUMER DEBTORSService DebtorsElectricity</t>
  </si>
  <si>
    <t>I: Financial PositionCURRENT ASSETSCONSUMER DEBTORSLess : Prov For ImpairmentElectricity</t>
  </si>
  <si>
    <t>Opposite: Current</t>
  </si>
  <si>
    <t>G: Financial PositionCURRENT ASSETSCONSUMER DEBTORSService DebtorsRefuse</t>
  </si>
  <si>
    <t>I: Financial PositionCURRENT ASSETSCONSUMER DEBTORSLess : Prov For ImpairmentRefuse</t>
  </si>
  <si>
    <t>G: Financial PositionCURRENT ASSETSCONSUMER DEBTORSService DebtorsSewerage</t>
  </si>
  <si>
    <t>I: Financial PositionCURRENT ASSETSCONSUMER DEBTORSLess : Prov For ImpairmentSewerage</t>
  </si>
  <si>
    <t>G: Financial PositionCURRENT ASSETSCONSUMER DEBTORSService DebtorsWater</t>
  </si>
  <si>
    <t>I: Financial PositionCURRENT ASSETSCONSUMER DEBTORSLess : Prov For ImpairmentWater</t>
  </si>
  <si>
    <t>G: Financial PositionCURRENT ASSETSCONSUMER DEBTORSService DebtorsLoans</t>
  </si>
  <si>
    <t>I: Financial PositionCURRENT ASSETSCONSUMER DEBTORSLess : Prov For ImpairmentLoans</t>
  </si>
  <si>
    <t>Opposite: Prior</t>
  </si>
  <si>
    <t>N: Financial PositionCURRENT ASSETSCONSUMER DEBTORSService DebtorsElectricity</t>
  </si>
  <si>
    <t>N: Financial PositionCURRENT ASSETSCONSUMER DEBTORSService DebtorsRefuse</t>
  </si>
  <si>
    <t>N: Financial PositionCURRENT ASSETSCONSUMER DEBTORSService DebtorsSewerage</t>
  </si>
  <si>
    <t>N: Financial PositionCURRENT ASSETSCONSUMER DEBTORSService DebtorsWater</t>
  </si>
  <si>
    <t>N: Financial PositionCURRENT ASSETSCONSUMER DEBTORSService DebtorsLoans</t>
  </si>
  <si>
    <t>I: Financial PositionCURRENT ASSETSCONSUMER DEBTORSLess : Prov For Impairment*BALANCE AT BEGINNING OF YEAR</t>
  </si>
  <si>
    <t>K: Financial PositionCURRENT ASSETSCONSUMER DEBTORSLess : Prov For Impairment*BALANCE AT BEGINNING OF YEAR</t>
  </si>
  <si>
    <t>N: Financial PositionCURRENT ASSETSCONSUMER DEBTORSLess : Prov For Impairment*BALANCE AT BEGINNING OF YEAR</t>
  </si>
  <si>
    <t>Opposite: Base</t>
  </si>
  <si>
    <t>I: Financial PositionCURRENT ASSETSCONSUMER DEBTORSLess : Prov For ImpairmentAssessment RatesBALANCE AT BEGINNING OF YEAR</t>
  </si>
  <si>
    <t>K: Financial PositionCURRENT ASSETSCONSUMER DEBTORSLess : Prov For ImpairmentAssessment RatesBALANCE AT BEGINNING OF YEAR</t>
  </si>
  <si>
    <t>N: Financial PositionCURRENT ASSETSCONSUMER DEBTORSLess : Prov For ImpairmentAssessment RatesBALANCE AT BEGINNING OF YEAR</t>
  </si>
  <si>
    <t>I: Financial PositionCURRENT ASSETSCONSUMER DEBTORSLess : Prov For Impairment*IMPAIRMENT RECOGNISED / PROVIDED FOR</t>
  </si>
  <si>
    <t>K: Financial PositionCURRENT ASSETSCONSUMER DEBTORSLess : Prov For Impairment*IMPAIRMENT RECOGNISED / PROVIDED FOR</t>
  </si>
  <si>
    <t>N: Financial PositionCURRENT ASSETSCONSUMER DEBTORSLess : Prov For Impairment*IMPAIRMENT RECOGNISED / PROVIDED FOR</t>
  </si>
  <si>
    <t>I: Financial PositionCURRENT ASSETSCONSUMER DEBTORSLess : Prov For ImpairmentAssessment RatesIMPAIRMENT RECOGNISED / PROVIDED FOR</t>
  </si>
  <si>
    <t>K: Financial PositionCURRENT ASSETSCONSUMER DEBTORSLess : Prov For ImpairmentAssessment RatesIMPAIRMENT RECOGNISED / PROVIDED FOR</t>
  </si>
  <si>
    <t>N: Financial PositionCURRENT ASSETSCONSUMER DEBTORSLess : Prov For ImpairmentAssessment RatesIMPAIRMENT RECOGNISED / PROVIDED FOR</t>
  </si>
  <si>
    <t>I: Financial PositionCURRENT ASSETSCONSUMER DEBTORSLess : Prov For Impairment*IMPAIRMENT REVERSED</t>
  </si>
  <si>
    <t>K: Financial PositionCURRENT ASSETSCONSUMER DEBTORSLess : Prov For Impairment*IMPAIRMENT REVERSED</t>
  </si>
  <si>
    <t>N: Financial PositionCURRENT ASSETSCONSUMER DEBTORSLess : Prov For Impairment*IMPAIRMENT REVERSED</t>
  </si>
  <si>
    <t>I: Financial PositionCURRENT ASSETSCONSUMER DEBTORSLess : Prov For ImpairmentAssessment RatesIMPAIRMENT REVERSED</t>
  </si>
  <si>
    <t>K: Financial PositionCURRENT ASSETSCONSUMER DEBTORSLess : Prov For ImpairmentAssessment RatesIMPAIRMENT REVERSED</t>
  </si>
  <si>
    <t>N: Financial PositionCURRENT ASSETSCONSUMER DEBTORSLess : Prov For ImpairmentAssessment RatesIMPAIRMENT REVERSED</t>
  </si>
  <si>
    <t>I: Financial PositionCURRENT ASSETSCONSUMER DEBTORSLess : Prov For Impairment*BAD DEBTS WRITTEN OFF</t>
  </si>
  <si>
    <t>K: Financial PositionCURRENT ASSETSCONSUMER DEBTORSLess : Prov For Impairment*BAD DEBTS WRITTEN OFF</t>
  </si>
  <si>
    <t>N: Financial PositionCURRENT ASSETSCONSUMER DEBTORSLess : Prov For Impairment*BAD DEBTS WRITTEN OFF</t>
  </si>
  <si>
    <t>I: Financial PositionCURRENT ASSETSCONSUMER DEBTORSLess : Prov For Impairment*BAD DEBTS RECOVERED</t>
  </si>
  <si>
    <t>K: Financial PositionCURRENT ASSETSCONSUMER DEBTORSLess : Prov For Impairment*BAD DEBTS RECOVERED</t>
  </si>
  <si>
    <t>N: Financial PositionCURRENT ASSETSCONSUMER DEBTORSLess : Prov For Impairment*BAD DEBTS RECOVERED</t>
  </si>
  <si>
    <t>I: Financial PositionCURRENT ASSETSCONSUMER DEBTORSLess : Prov For ImpairmentAssessment RatesBAD DEBTS RECOVERED</t>
  </si>
  <si>
    <t>K: Financial PositionCURRENT ASSETSCONSUMER DEBTORSLess : Prov For ImpairmentAssessment RatesBAD DEBTS RECOVERED</t>
  </si>
  <si>
    <t>N: Financial PositionCURRENT ASSETSCONSUMER DEBTORSLess : Prov For ImpairmentAssessment RatesBAD DEBTS RECOVERED</t>
  </si>
  <si>
    <t>G: Financial PositionCURRENT ASSETSCONSUMER DEBTORSService DebtorsAssessment Rates</t>
  </si>
  <si>
    <t>G: Financial PositionCURRENT ASSETSOTHER DEBTORSPayments Made In Advance</t>
  </si>
  <si>
    <t>G: Financial PositionCURRENT ASSETSOTHER DEBTORSGovernment Subsidy Claims</t>
  </si>
  <si>
    <t>G: Financial PositionCURRENT ASSETSOTHER DEBTORSShort-Term Loans</t>
  </si>
  <si>
    <t>G: Financial PositionCURRENT ASSETSOTHER DEBTORSInsurance Claims</t>
  </si>
  <si>
    <t>G: Financial PositionCURRENT ASSETSOTHER DEBTORSAccruals</t>
  </si>
  <si>
    <t>G: Financial PositionCURRENT ASSETSOTHER DEBTORSMunicipal Entities</t>
  </si>
  <si>
    <t>G: Financial PositionCURRENT ASSETSOTHER DEBTORSSundry Deposits</t>
  </si>
  <si>
    <t>G: Financial PositionCURRENT ASSETSOTHER DEBTORSSundry Debtors</t>
  </si>
  <si>
    <t>G: Financial PositionCURRENT ASSETSOTHER DEBTORSFruitless And Wasteful Expenditure</t>
  </si>
  <si>
    <t>G: Financial PositionCURRENT ASSETSOTHER DEBTORSIrregular Expenditure</t>
  </si>
  <si>
    <t>G: Financial PositionCURRENT ASSETSOTHER DEBTORSUnauthorised Expenditure</t>
  </si>
  <si>
    <t>N: Financial PositionCURRENT ASSETSCONSUMER DEBTORSService DebtorsAssessment Rates</t>
  </si>
  <si>
    <t>N: Financial PositionCURRENT ASSETSOTHER DEBTORSPayments Made In Advance</t>
  </si>
  <si>
    <t>N: Financial PositionCURRENT ASSETSOTHER DEBTORSGovernment Subsidy Claims</t>
  </si>
  <si>
    <t>N: Financial PositionCURRENT ASSETSOTHER DEBTORSShort-Term Loans</t>
  </si>
  <si>
    <t>N: Financial PositionCURRENT ASSETSOTHER DEBTORSInsurance Claims</t>
  </si>
  <si>
    <t>N: Financial PositionCURRENT ASSETSOTHER DEBTORSAccruals</t>
  </si>
  <si>
    <t>N: Financial PositionCURRENT ASSETSOTHER DEBTORSMunicipal Entities</t>
  </si>
  <si>
    <t>N: Financial PositionCURRENT ASSETSOTHER DEBTORSSundry Deposits</t>
  </si>
  <si>
    <t>N: Financial PositionCURRENT ASSETSOTHER DEBTORSSundry Debtors</t>
  </si>
  <si>
    <t>N: Financial PositionCURRENT ASSETSOTHER DEBTORSFruitless And Wasteful Expenditure</t>
  </si>
  <si>
    <t>N: Financial PositionCURRENT ASSETSOTHER DEBTORSIrregular Expenditure</t>
  </si>
  <si>
    <t>N: Financial PositionCURRENT ASSETSOTHER DEBTORSUnauthorised Expenditure</t>
  </si>
  <si>
    <t>I: Financial PositionCURRENT ASSETSCONSUMER DEBTORSLess : Prov For ImpairmentAssessment RatesBAD DEBTS WRITTEN OFF</t>
  </si>
  <si>
    <t>K: Financial PositionCURRENT ASSETSCONSUMER DEBTORSLess : Prov For ImpairmentAssessment RatesBAD DEBTS WRITTEN OFF</t>
  </si>
  <si>
    <t>N: Financial PositionCURRENT ASSETSCONSUMER DEBTORSLess : Prov For ImpairmentAssessment RatesBAD DEBTS WRITTEN OFF</t>
  </si>
  <si>
    <t>I: Financial PositionCURRENT ASSETSVAT RECEIVABLE</t>
  </si>
  <si>
    <t>K: Financial PositionCURRENT ASSETSVAT RECEIVABLE</t>
  </si>
  <si>
    <t>N: Financial PositionCURRENT ASSETSVAT RECEIVABLE</t>
  </si>
  <si>
    <t>I: Financial PositionCURRENT LIABILITIESVAT PAYABLE</t>
  </si>
  <si>
    <t>K: Financial PositionCURRENT LIABILITIESVAT PAYABLE</t>
  </si>
  <si>
    <t>N: Financial PositionCURRENT LIABILITIESVAT PAYABLE</t>
  </si>
  <si>
    <t>I: Financial PositionCURRENT ASSETSCURRENT INVESTMENTSCall Deposits*</t>
  </si>
  <si>
    <t>K: Financial PositionCURRENT ASSETSCURRENT INVESTMENTSCall Deposits*</t>
  </si>
  <si>
    <t>N: Financial PositionCURRENT ASSETSCURRENT INVESTMENTSCall Deposits*</t>
  </si>
  <si>
    <t>I: Financial PositionCURRENT ASSETSCURRENT INVESTMENTSNotice Deposits*</t>
  </si>
  <si>
    <t>K: Financial PositionCURRENT ASSETSCURRENT INVESTMENTSNotice Deposits*</t>
  </si>
  <si>
    <t>N: Financial PositionCURRENT ASSETSCURRENT INVESTMENTSNotice Deposits*</t>
  </si>
  <si>
    <t>I: Financial PositionCURRENT ASSETSCURRENT INVESTMENTSSt Portion Of Lt Investments</t>
  </si>
  <si>
    <t>K: Financial PositionCURRENT ASSETSCURRENT INVESTMENTSSt Portion Of Lt Investments</t>
  </si>
  <si>
    <t>N: Financial PositionCURRENT ASSETSCURRENT INVESTMENTSSt Portion Of Lt Investments</t>
  </si>
  <si>
    <t>I: Financial PositionCURRENT ASSETSBANK BALANCES AND CASHBank Accounts</t>
  </si>
  <si>
    <t>K: Financial PositionCURRENT ASSETSBANK BALANCES AND CASHBank Accounts</t>
  </si>
  <si>
    <t>N: Financial PositionCURRENT ASSETSBANK BALANCES AND CASHBank Accounts</t>
  </si>
  <si>
    <t>I: Financial PositionCURRENT ASSETSBANK BALANCES AND CASHCash Floats And Advances</t>
  </si>
  <si>
    <t>K: Financial PositionCURRENT ASSETSBANK BALANCES AND CASHCash Floats And Advances</t>
  </si>
  <si>
    <t>N: Financial PositionCURRENT ASSETSBANK BALANCES AND CASHCash Floats And Advances</t>
  </si>
  <si>
    <t>I: Financial PositionCURRENT ASSETSOPERATING LEASE ASSETSBalance At Beginning Of The Year</t>
  </si>
  <si>
    <t>K: Financial PositionCURRENT ASSETSOPERATING LEASE ASSETSBalance At Beginning Of The Year</t>
  </si>
  <si>
    <t>N: Financial PositionCURRENT ASSETSOPERATING LEASE ASSETSBalance At Beginning Of The Year</t>
  </si>
  <si>
    <t>I: Financial PositionCURRENT ASSETSOPERATING LEASE ASSETSLease Expenditure Recorded (Straight-Line)</t>
  </si>
  <si>
    <t>K: Financial PositionCURRENT ASSETSOPERATING LEASE ASSETSLease Expenditure Recorded (Straight-Line)</t>
  </si>
  <si>
    <t>N: Financial PositionCURRENT ASSETSOPERATING LEASE ASSETSLease Expenditure Recorded (Straight-Line)</t>
  </si>
  <si>
    <t>I: Financial PositionCURRENT ASSETSOPERATING LEASE ASSETSLease Expenditure Effected (Actual)</t>
  </si>
  <si>
    <t>K: Financial PositionCURRENT ASSETSOPERATING LEASE ASSETSLease Expenditure Effected (Actual)</t>
  </si>
  <si>
    <t>N: Financial PositionCURRENT ASSETSOPERATING LEASE ASSETSLease Expenditure Effected (Actual)</t>
  </si>
  <si>
    <t>Note Number</t>
  </si>
  <si>
    <t>NON-CURRENT ASSETSPROPERTY PLANT &amp; EQUIPMENTLand And BuildingsHistorical Cost:  CompletedAdditions</t>
  </si>
  <si>
    <t>NON-CURRENT ASSETSPROPERTY PLANT &amp; EQUIPMENTInfrastructure AssetsHistorical Cost:  CompletedAdditions</t>
  </si>
  <si>
    <t>NON-CURRENT ASSETSPROPERTY PLANT &amp; EQUIPMENTCommunity AssetsHistorical Cost:  CompletedAdditions</t>
  </si>
  <si>
    <t>NON-CURRENT ASSETSPROPERTY PLANT &amp; EQUIPMENTOther AssetsHistorical Cost:  CompletedAdditions</t>
  </si>
  <si>
    <t>NON-CURRENT ASSETSPROPERTY PLANT &amp; EQUIPMENTHousing AssetsHistorical Cost:  CompletedAdditions</t>
  </si>
  <si>
    <t>NON-CURRENT ASSETSPROPERTY PLANT &amp; EQUIPMENTLeased AssetsHistorical Cost:  CompletedAdditions</t>
  </si>
  <si>
    <t>NON-CURRENT ASSETSPROPERTY PLANT &amp; EQUIPMENTLand And BuildingsHistorical Cost:  CompletedBorrowing Costs Capitalised</t>
  </si>
  <si>
    <t>NON-CURRENT ASSETSPROPERTY PLANT &amp; EQUIPMENTInfrastructure AssetsHistorical Cost:  CompletedBorrowing Costs Capitalised</t>
  </si>
  <si>
    <t>NON-CURRENT ASSETSPROPERTY PLANT &amp; EQUIPMENTCommunity AssetsHistorical Cost:  CompletedBorrowing Costs Capitalised</t>
  </si>
  <si>
    <t>NON-CURRENT ASSETSPROPERTY PLANT &amp; EQUIPMENTOther AssetsHistorical Cost:  CompletedBorrowing Costs Capitalised</t>
  </si>
  <si>
    <t>NON-CURRENT ASSETSPROPERTY PLANT &amp; EQUIPMENTHousing AssetsHistorical Cost:  CompletedBorrowing Costs Capitalised</t>
  </si>
  <si>
    <t>NON-CURRENT ASSETSPROPERTY PLANT &amp; EQUIPMENTLeased AssetsHistorical Cost:  CompletedBorrowing Costs Capitalised</t>
  </si>
  <si>
    <t>NON-CURRENT ASSETSPROPERTY PLANT &amp; EQUIPMENTLand And BuildingsHistorical Cost:  WIPAdditions</t>
  </si>
  <si>
    <t>NON-CURRENT ASSETSPROPERTY PLANT &amp; EQUIPMENTInfrastructure AssetsHistorical Cost:  WIPAdditions</t>
  </si>
  <si>
    <t>NON-CURRENT ASSETSPROPERTY PLANT &amp; EQUIPMENTCommunity AssetsHistorical Cost:  WIPAdditions</t>
  </si>
  <si>
    <t>NON-CURRENT ASSETSPROPERTY PLANT &amp; EQUIPMENTOther AssetsHistorical Cost:  WIPAdditions</t>
  </si>
  <si>
    <t>NON-CURRENT ASSETSPROPERTY PLANT &amp; EQUIPMENTHousing AssetsHistorical Cost:  WIPAdditions</t>
  </si>
  <si>
    <t>NON-CURRENT ASSETSPROPERTY PLANT &amp; EQUIPMENTLeased AssetsHistorical Cost:  WIPAdditions</t>
  </si>
  <si>
    <t>NON-CURRENT ASSETSPROPERTY PLANT &amp; EQUIPMENTLand And BuildingsHistorical Cost:  WIPTransfer In</t>
  </si>
  <si>
    <t>NON-CURRENT ASSETSPROPERTY PLANT &amp; EQUIPMENTInfrastructure AssetsHistorical Cost:  WIPTransfer In</t>
  </si>
  <si>
    <t>NON-CURRENT ASSETSPROPERTY PLANT &amp; EQUIPMENTCommunity AssetsHistorical Cost:  WIPTransfer In</t>
  </si>
  <si>
    <t>NON-CURRENT ASSETSPROPERTY PLANT &amp; EQUIPMENTOther AssetsHistorical Cost:  WIPTransfer In</t>
  </si>
  <si>
    <t>NON-CURRENT ASSETSPROPERTY PLANT &amp; EQUIPMENTHousing AssetsHistorical Cost:  WIPTransfer In</t>
  </si>
  <si>
    <t>NON-CURRENT ASSETSPROPERTY PLANT &amp; EQUIPMENTLeased AssetsHistorical Cost:  WIPTransfer In</t>
  </si>
  <si>
    <t>NON-CURRENT ASSETSPROPERTY PLANT &amp; EQUIPMENTLand And BuildingsHistorical Cost:  WIPBorrowing Costs Capitalised</t>
  </si>
  <si>
    <t>NON-CURRENT ASSETSPROPERTY PLANT &amp; EQUIPMENTInfrastructure AssetsHistorical Cost:  WIPBorrowing Costs Capitalised</t>
  </si>
  <si>
    <t>NON-CURRENT ASSETSPROPERTY PLANT &amp; EQUIPMENTCommunity AssetsHistorical Cost:  WIPBorrowing Costs Capitalised</t>
  </si>
  <si>
    <t>NON-CURRENT ASSETSPROPERTY PLANT &amp; EQUIPMENTOther AssetsHistorical Cost:  WIPBorrowing Costs Capitalised</t>
  </si>
  <si>
    <t>NON-CURRENT ASSETSPROPERTY PLANT &amp; EQUIPMENTHousing AssetsHistorical Cost:  WIPBorrowing Costs Capitalised</t>
  </si>
  <si>
    <t>NON-CURRENT ASSETSPROPERTY PLANT &amp; EQUIPMENTLeased AssetsHistorical Cost:  WIPBorrowing Costs Capitalised</t>
  </si>
  <si>
    <t>NON-CURRENT ASSETSPROPERTY PLANT &amp; EQUIPMENTLand And BuildingsAccumulated Depreciation: CostAdditions</t>
  </si>
  <si>
    <t>NON-CURRENT ASSETSPROPERTY PLANT &amp; EQUIPMENTInfrastructure AssetsAccumulated Depreciation: CostAdditions</t>
  </si>
  <si>
    <t>NON-CURRENT ASSETSPROPERTY PLANT &amp; EQUIPMENTCommunity AssetsAccumulated Depreciation: CostAdditions</t>
  </si>
  <si>
    <t>NON-CURRENT ASSETSPROPERTY PLANT &amp; EQUIPMENTOther AssetsAccumulated Depreciation: CostAdditions</t>
  </si>
  <si>
    <t>NON-CURRENT ASSETSPROPERTY PLANT &amp; EQUIPMENTHousing AssetsAccumulated Depreciation: CostAdditions</t>
  </si>
  <si>
    <t>NON-CURRENT ASSETSPROPERTY PLANT &amp; EQUIPMENTLeased AssetsAccumulated Depreciation: CostAdditions</t>
  </si>
  <si>
    <t>NON-CURRENT ASSETSPROPERTY PLANT &amp; EQUIPMENTLand And BuildingsAccumulated Depreciation: RevaluationAdditions</t>
  </si>
  <si>
    <t>NON-CURRENT ASSETSPROPERTY PLANT &amp; EQUIPMENTInfrastructure AssetsAccumulated Depreciation: RevaluationAdditions</t>
  </si>
  <si>
    <t>NON-CURRENT ASSETSPROPERTY PLANT &amp; EQUIPMENTCommunity AssetsAccumulated Depreciation: RevaluationAdditions</t>
  </si>
  <si>
    <t>NON-CURRENT ASSETSPROPERTY PLANT &amp; EQUIPMENTOther AssetsAccumulated Depreciation: RevaluationAdditions</t>
  </si>
  <si>
    <t>NON-CURRENT ASSETSPROPERTY PLANT &amp; EQUIPMENTHousing AssetsAccumulated Depreciation: RevaluationAdditions</t>
  </si>
  <si>
    <t>NON-CURRENT ASSETSPROPERTY PLANT &amp; EQUIPMENTLeased AssetsAccumulated Depreciation: RevaluationAdditions</t>
  </si>
  <si>
    <t>NON-CURRENT ASSETSPROPERTY PLANT &amp; EQUIPMENTLand And BuildingsHistorical Cost:  CompletedDisposals</t>
  </si>
  <si>
    <t>NON-CURRENT ASSETSPROPERTY PLANT &amp; EQUIPMENTInfrastructure AssetsHistorical Cost:  CompletedDisposals</t>
  </si>
  <si>
    <t>NON-CURRENT ASSETSPROPERTY PLANT &amp; EQUIPMENTCommunity AssetsHistorical Cost:  CompletedDisposals</t>
  </si>
  <si>
    <t>NON-CURRENT ASSETSPROPERTY PLANT &amp; EQUIPMENTOther AssetsHistorical Cost:  CompletedDisposals</t>
  </si>
  <si>
    <t>NON-CURRENT ASSETSPROPERTY PLANT &amp; EQUIPMENTHousing AssetsHistorical Cost:  CompletedDisposals</t>
  </si>
  <si>
    <t>NON-CURRENT ASSETSPROPERTY PLANT &amp; EQUIPMENTLeased AssetsHistorical Cost:  CompletedDisposals</t>
  </si>
  <si>
    <t>NON-CURRENT ASSETSPROPERTY PLANT &amp; EQUIPMENTLand And BuildingsRevaluationDisposals</t>
  </si>
  <si>
    <t>NON-CURRENT ASSETSPROPERTY PLANT &amp; EQUIPMENTInfrastructure AssetsRevaluationDisposals</t>
  </si>
  <si>
    <t>NON-CURRENT ASSETSPROPERTY PLANT &amp; EQUIPMENTCommunity AssetsRevaluationDisposals</t>
  </si>
  <si>
    <t>NON-CURRENT ASSETSPROPERTY PLANT &amp; EQUIPMENTOther AssetsRevaluationDisposals</t>
  </si>
  <si>
    <t>NON-CURRENT ASSETSPROPERTY PLANT &amp; EQUIPMENTHousing AssetsRevaluationDisposals</t>
  </si>
  <si>
    <t>NON-CURRENT ASSETSPROPERTY PLANT &amp; EQUIPMENTLeased AssetsRevaluationDisposals</t>
  </si>
  <si>
    <t>NON-CURRENT ASSETSPROPERTY PLANT &amp; EQUIPMENTLand And BuildingsAccumulated ImpairmentDisposals</t>
  </si>
  <si>
    <t>NON-CURRENT ASSETSPROPERTY PLANT &amp; EQUIPMENTInfrastructure AssetsAccumulated ImpairmentDisposals</t>
  </si>
  <si>
    <t>NON-CURRENT ASSETSPROPERTY PLANT &amp; EQUIPMENTCommunity AssetsAccumulated ImpairmentDisposals</t>
  </si>
  <si>
    <t>NON-CURRENT ASSETSPROPERTY PLANT &amp; EQUIPMENTOther AssetsAccumulated ImpairmentDisposals</t>
  </si>
  <si>
    <t>NON-CURRENT ASSETSPROPERTY PLANT &amp; EQUIPMENTHousing AssetsAccumulated ImpairmentDisposals</t>
  </si>
  <si>
    <t>NON-CURRENT ASSETSPROPERTY PLANT &amp; EQUIPMENTLeased AssetsAccumulated ImpairmentDisposals</t>
  </si>
  <si>
    <t>NON-CURRENT ASSETSPROPERTY PLANT &amp; EQUIPMENTLand And BuildingsAccumulated Depreciation: CostDisposals</t>
  </si>
  <si>
    <t>NON-CURRENT ASSETSPROPERTY PLANT &amp; EQUIPMENTInfrastructure AssetsAccumulated Depreciation: CostDisposals</t>
  </si>
  <si>
    <t>NON-CURRENT ASSETSPROPERTY PLANT &amp; EQUIPMENTCommunity AssetsAccumulated Depreciation: CostDisposals</t>
  </si>
  <si>
    <t>NON-CURRENT ASSETSPROPERTY PLANT &amp; EQUIPMENTOther AssetsAccumulated Depreciation: CostDisposals</t>
  </si>
  <si>
    <t>NON-CURRENT ASSETSPROPERTY PLANT &amp; EQUIPMENTHousing AssetsAccumulated Depreciation: CostDisposals</t>
  </si>
  <si>
    <t>NON-CURRENT ASSETSPROPERTY PLANT &amp; EQUIPMENTLeased AssetsAccumulated Depreciation: CostDisposals</t>
  </si>
  <si>
    <t>NON-CURRENT ASSETSPROPERTY PLANT &amp; EQUIPMENTLand And BuildingsAccumulated Depreciation: RevaluationDisposals</t>
  </si>
  <si>
    <t>NON-CURRENT ASSETSPROPERTY PLANT &amp; EQUIPMENTInfrastructure AssetsAccumulated Depreciation: RevaluationDisposals</t>
  </si>
  <si>
    <t>NON-CURRENT ASSETSPROPERTY PLANT &amp; EQUIPMENTCommunity AssetsAccumulated Depreciation: RevaluationDisposals</t>
  </si>
  <si>
    <t>NON-CURRENT ASSETSPROPERTY PLANT &amp; EQUIPMENTOther AssetsAccumulated Depreciation: RevaluationDisposals</t>
  </si>
  <si>
    <t>NON-CURRENT ASSETSPROPERTY PLANT &amp; EQUIPMENTHousing AssetsAccumulated Depreciation: RevaluationDisposals</t>
  </si>
  <si>
    <t>NON-CURRENT ASSETSPROPERTY PLANT &amp; EQUIPMENTLeased AssetsAccumulated Depreciation: RevaluationDisposals</t>
  </si>
  <si>
    <t>NON-CURRENT ASSETSPROPERTY PLANT &amp; EQUIPMENTLand And BuildingsHistorical Cost:  CompletedTransfer To Assets Held-For-Sale</t>
  </si>
  <si>
    <t>NON-CURRENT ASSETSPROPERTY PLANT &amp; EQUIPMENTInfrastructure AssetsHistorical Cost:  CompletedTransfer To Assets Held-For-Sale</t>
  </si>
  <si>
    <t>NON-CURRENT ASSETSPROPERTY PLANT &amp; EQUIPMENTCommunity AssetsHistorical Cost:  CompletedTransfer To Assets Held-For-Sale</t>
  </si>
  <si>
    <t>NON-CURRENT ASSETSPROPERTY PLANT &amp; EQUIPMENTOther AssetsHistorical Cost:  CompletedTransfer To Assets Held-For-Sale</t>
  </si>
  <si>
    <t>NON-CURRENT ASSETSPROPERTY PLANT &amp; EQUIPMENTHousing AssetsHistorical Cost:  CompletedTransfer To Assets Held-For-Sale</t>
  </si>
  <si>
    <t>NON-CURRENT ASSETSPROPERTY PLANT &amp; EQUIPMENTLeased AssetsHistorical Cost:  CompletedTransfer To Assets Held-For-Sale</t>
  </si>
  <si>
    <t>NON-CURRENT ASSETSPROPERTY PLANT &amp; EQUIPMENTLand And BuildingsRevaluationTransfer To Assets Held-For-Sale</t>
  </si>
  <si>
    <t>NON-CURRENT ASSETSPROPERTY PLANT &amp; EQUIPMENTInfrastructure AssetsRevaluationTransfer To Assets Held-For-Sale</t>
  </si>
  <si>
    <t>NON-CURRENT ASSETSPROPERTY PLANT &amp; EQUIPMENTCommunity AssetsRevaluationTransfer To Assets Held-For-Sale</t>
  </si>
  <si>
    <t>NON-CURRENT ASSETSPROPERTY PLANT &amp; EQUIPMENTOther AssetsRevaluationTransfer To Assets Held-For-Sale</t>
  </si>
  <si>
    <t>NON-CURRENT ASSETSPROPERTY PLANT &amp; EQUIPMENTHousing AssetsRevaluationTransfer To Assets Held-For-Sale</t>
  </si>
  <si>
    <t>NON-CURRENT ASSETSPROPERTY PLANT &amp; EQUIPMENTLeased AssetsRevaluationTransfer To Assets Held-For-Sale</t>
  </si>
  <si>
    <t>NON-CURRENT ASSETSPROPERTY PLANT &amp; EQUIPMENTLand And BuildingsAccumulated ImpairmentTransfer To Assets Held-For-Sale</t>
  </si>
  <si>
    <t>NON-CURRENT ASSETSPROPERTY PLANT &amp; EQUIPMENTInfrastructure AssetsAccumulated ImpairmentTransfer To Assets Held-For-Sale</t>
  </si>
  <si>
    <t>NON-CURRENT ASSETSPROPERTY PLANT &amp; EQUIPMENTCommunity AssetsAccumulated ImpairmentTransfer To Assets Held-For-Sale</t>
  </si>
  <si>
    <t>NON-CURRENT ASSETSPROPERTY PLANT &amp; EQUIPMENTOther AssetsAccumulated ImpairmentTransfer To Assets Held-For-Sale</t>
  </si>
  <si>
    <t>NON-CURRENT ASSETSPROPERTY PLANT &amp; EQUIPMENTHousing AssetsAccumulated ImpairmentTransfer To Assets Held-For-Sale</t>
  </si>
  <si>
    <t>NON-CURRENT ASSETSPROPERTY PLANT &amp; EQUIPMENTLeased AssetsAccumulated ImpairmentTransfer To Assets Held-For-Sale</t>
  </si>
  <si>
    <t>NON-CURRENT ASSETSPROPERTY PLANT &amp; EQUIPMENTLand And BuildingsAccumulated Depreciation: CostTransfer To Assets Held-For-Sale</t>
  </si>
  <si>
    <t>NON-CURRENT ASSETSPROPERTY PLANT &amp; EQUIPMENTInfrastructure AssetsAccumulated Depreciation: CostTransfer To Assets Held-For-Sale</t>
  </si>
  <si>
    <t>NON-CURRENT ASSETSPROPERTY PLANT &amp; EQUIPMENTCommunity AssetsAccumulated Depreciation: CostTransfer To Assets Held-For-Sale</t>
  </si>
  <si>
    <t>NON-CURRENT ASSETSPROPERTY PLANT &amp; EQUIPMENTOther AssetsAccumulated Depreciation: CostTransfer To Assets Held-For-Sale</t>
  </si>
  <si>
    <t>NON-CURRENT ASSETSPROPERTY PLANT &amp; EQUIPMENTHousing AssetsAccumulated Depreciation: CostTransfer To Assets Held-For-Sale</t>
  </si>
  <si>
    <t>NON-CURRENT ASSETSPROPERTY PLANT &amp; EQUIPMENTLeased AssetsAccumulated Depreciation: CostTransfer To Assets Held-For-Sale</t>
  </si>
  <si>
    <t>NON-CURRENT ASSETSPROPERTY PLANT &amp; EQUIPMENTLand And BuildingsAccumulated Depreciation: RevaluationTransfer To Assets Held-For-Sale</t>
  </si>
  <si>
    <t>NON-CURRENT ASSETSPROPERTY PLANT &amp; EQUIPMENTInfrastructure AssetsAccumulated Depreciation: RevaluationTransfer To Assets Held-For-Sale</t>
  </si>
  <si>
    <t>NON-CURRENT ASSETSPROPERTY PLANT &amp; EQUIPMENTCommunity AssetsAccumulated Depreciation: RevaluationTransfer To Assets Held-For-Sale</t>
  </si>
  <si>
    <t>NON-CURRENT ASSETSPROPERTY PLANT &amp; EQUIPMENTOther AssetsAccumulated Depreciation: RevaluationTransfer To Assets Held-For-Sale</t>
  </si>
  <si>
    <t>NON-CURRENT ASSETSPROPERTY PLANT &amp; EQUIPMENTHousing AssetsAccumulated Depreciation: RevaluationTransfer To Assets Held-For-Sale</t>
  </si>
  <si>
    <t>NON-CURRENT ASSETSPROPERTY PLANT &amp; EQUIPMENTLeased AssetsAccumulated Depreciation: RevaluationTransfer To Assets Held-For-Sale</t>
  </si>
  <si>
    <t>NON-CURRENT ASSETSPROPERTY PLANT &amp; EQUIPMENTLand And BuildingsRevaluationDecreases</t>
  </si>
  <si>
    <t>NON-CURRENT ASSETSPROPERTY PLANT &amp; EQUIPMENTInfrastructure AssetsRevaluationDecreases</t>
  </si>
  <si>
    <t>NON-CURRENT ASSETSPROPERTY PLANT &amp; EQUIPMENTCommunity AssetsRevaluationDecreases</t>
  </si>
  <si>
    <t>NON-CURRENT ASSETSPROPERTY PLANT &amp; EQUIPMENTOther AssetsRevaluationDecreases</t>
  </si>
  <si>
    <t>NON-CURRENT ASSETSPROPERTY PLANT &amp; EQUIPMENTHousing AssetsRevaluationDecreases</t>
  </si>
  <si>
    <t>NON-CURRENT ASSETSPROPERTY PLANT &amp; EQUIPMENTLeased AssetsRevaluationDecreases</t>
  </si>
  <si>
    <t>NON-CURRENT ASSETSPROPERTY PLANT &amp; EQUIPMENTLand And BuildingsAccumulated ImpairmentAdditions</t>
  </si>
  <si>
    <t>NON-CURRENT ASSETSPROPERTY PLANT &amp; EQUIPMENTInfrastructure AssetsAccumulated ImpairmentAdditions</t>
  </si>
  <si>
    <t>NON-CURRENT ASSETSPROPERTY PLANT &amp; EQUIPMENTCommunity AssetsAccumulated ImpairmentAdditions</t>
  </si>
  <si>
    <t>NON-CURRENT ASSETSPROPERTY PLANT &amp; EQUIPMENTOther AssetsAccumulated ImpairmentAdditions</t>
  </si>
  <si>
    <t>NON-CURRENT ASSETSPROPERTY PLANT &amp; EQUIPMENTHousing AssetsAccumulated ImpairmentAdditions</t>
  </si>
  <si>
    <t>NON-CURRENT ASSETSPROPERTY PLANT &amp; EQUIPMENTLeased AssetsAccumulated ImpairmentAdditions</t>
  </si>
  <si>
    <t>NON-CURRENT ASSETSPROPERTY PLANT &amp; EQUIPMENTLand And BuildingsHistorical Cost:  WIPTransfer Out</t>
  </si>
  <si>
    <t>NON-CURRENT ASSETSPROPERTY PLANT &amp; EQUIPMENTInfrastructure AssetsHistorical Cost:  WIPTransfer Out</t>
  </si>
  <si>
    <t>NON-CURRENT ASSETSPROPERTY PLANT &amp; EQUIPMENTCommunity AssetsHistorical Cost:  WIPTransfer Out</t>
  </si>
  <si>
    <t>NON-CURRENT ASSETSPROPERTY PLANT &amp; EQUIPMENTOther AssetsHistorical Cost:  WIPTransfer Out</t>
  </si>
  <si>
    <t>NON-CURRENT ASSETSPROPERTY PLANT &amp; EQUIPMENTHousing AssetsHistorical Cost:  WIPTransfer Out</t>
  </si>
  <si>
    <t>NON-CURRENT ASSETSPROPERTY PLANT &amp; EQUIPMENTLeased AssetsHistorical Cost:  WIPTransfer Out</t>
  </si>
  <si>
    <t>NON-CURRENT ASSETSPROPERTY PLANT &amp; EQUIPMENTLand And BuildingsHistorical Cost:  CompletedTransfer In</t>
  </si>
  <si>
    <t>NON-CURRENT ASSETSPROPERTY PLANT &amp; EQUIPMENTInfrastructure AssetsHistorical Cost:  CompletedTransfer In</t>
  </si>
  <si>
    <t>NON-CURRENT ASSETSPROPERTY PLANT &amp; EQUIPMENTCommunity AssetsHistorical Cost:  CompletedTransfer In</t>
  </si>
  <si>
    <t>NON-CURRENT ASSETSPROPERTY PLANT &amp; EQUIPMENTOther AssetsHistorical Cost:  CompletedTransfer In</t>
  </si>
  <si>
    <t>NON-CURRENT ASSETSPROPERTY PLANT &amp; EQUIPMENTHousing AssetsHistorical Cost:  CompletedTransfer In</t>
  </si>
  <si>
    <t>NON-CURRENT ASSETSPROPERTY PLANT &amp; EQUIPMENTLeased AssetsHistorical Cost:  CompletedTransfer In</t>
  </si>
  <si>
    <t>NON-CURRENT ASSETSPROPERTY PLANT &amp; EQUIPMENTLand And BuildingsHistorical Cost:  CompletedBalance At Beginning Of Year</t>
  </si>
  <si>
    <t>NON-CURRENT ASSETSPROPERTY PLANT &amp; EQUIPMENTInfrastructure AssetsHistorical Cost:  CompletedBalance At Beginning Of Year</t>
  </si>
  <si>
    <t>NON-CURRENT ASSETSPROPERTY PLANT &amp; EQUIPMENTCommunity AssetsHistorical Cost:  CompletedBalance At Beginning Of Year</t>
  </si>
  <si>
    <t>NON-CURRENT ASSETSPROPERTY PLANT &amp; EQUIPMENTOther AssetsHistorical Cost:  CompletedBalance At Beginning Of Year</t>
  </si>
  <si>
    <t>NON-CURRENT ASSETSPROPERTY PLANT &amp; EQUIPMENTHousing AssetsHistorical Cost:  CompletedBalance At Beginning Of Year</t>
  </si>
  <si>
    <t>NON-CURRENT ASSETSPROPERTY PLANT &amp; EQUIPMENTLeased AssetsHistorical Cost:  CompletedBalance At Beginning Of Year</t>
  </si>
  <si>
    <t>NON-CURRENT ASSETSPROPERTY PLANT &amp; EQUIPMENTLand And BuildingsHistorical Cost:  WIPBalance At Beginning Of Year</t>
  </si>
  <si>
    <t>NON-CURRENT ASSETSPROPERTY PLANT &amp; EQUIPMENTInfrastructure AssetsHistorical Cost:  WIPBalance At Beginning Of Year</t>
  </si>
  <si>
    <t>NON-CURRENT ASSETSPROPERTY PLANT &amp; EQUIPMENTCommunity AssetsHistorical Cost:  WIPBalance At Beginning Of Year</t>
  </si>
  <si>
    <t>NON-CURRENT ASSETSPROPERTY PLANT &amp; EQUIPMENTOther AssetsHistorical Cost:  WIPBalance At Beginning Of Year</t>
  </si>
  <si>
    <t>NON-CURRENT ASSETSPROPERTY PLANT &amp; EQUIPMENTHousing AssetsHistorical Cost:  WIPBalance At Beginning Of Year</t>
  </si>
  <si>
    <t>NON-CURRENT ASSETSPROPERTY PLANT &amp; EQUIPMENTLeased AssetsHistorical Cost:  WIPBalance At Beginning Of Year</t>
  </si>
  <si>
    <t>NON-CURRENT ASSETSPROPERTY PLANT &amp; EQUIPMENTLand And BuildingsRevaluationBalance At Beginning Of Year</t>
  </si>
  <si>
    <t>NON-CURRENT ASSETSPROPERTY PLANT &amp; EQUIPMENTInfrastructure AssetsRevaluationBalance At Beginning Of Year</t>
  </si>
  <si>
    <t>NON-CURRENT ASSETSPROPERTY PLANT &amp; EQUIPMENTCommunity AssetsRevaluationBalance At Beginning Of Year</t>
  </si>
  <si>
    <t>NON-CURRENT ASSETSPROPERTY PLANT &amp; EQUIPMENTOther AssetsRevaluationBalance At Beginning Of Year</t>
  </si>
  <si>
    <t>NON-CURRENT ASSETSPROPERTY PLANT &amp; EQUIPMENTHousing AssetsRevaluationBalance At Beginning Of Year</t>
  </si>
  <si>
    <t>NON-CURRENT ASSETSPROPERTY PLANT &amp; EQUIPMENTLeased AssetsRevaluationBalance At Beginning Of Year</t>
  </si>
  <si>
    <t>NON-CURRENT ASSETSPROPERTY PLANT &amp; EQUIPMENTLand And BuildingsAccumulated ImpairmentBalance At Beginning Of Year</t>
  </si>
  <si>
    <t>NON-CURRENT ASSETSPROPERTY PLANT &amp; EQUIPMENTInfrastructure AssetsAccumulated ImpairmentBalance At Beginning Of Year</t>
  </si>
  <si>
    <t>NON-CURRENT ASSETSPROPERTY PLANT &amp; EQUIPMENTCommunity AssetsAccumulated ImpairmentBalance At Beginning Of Year</t>
  </si>
  <si>
    <t>NON-CURRENT ASSETSPROPERTY PLANT &amp; EQUIPMENTOther AssetsAccumulated ImpairmentBalance At Beginning Of Year</t>
  </si>
  <si>
    <t>NON-CURRENT ASSETSPROPERTY PLANT &amp; EQUIPMENTHousing AssetsAccumulated ImpairmentBalance At Beginning Of Year</t>
  </si>
  <si>
    <t>NON-CURRENT ASSETSPROPERTY PLANT &amp; EQUIPMENTLeased AssetsAccumulated ImpairmentBalance At Beginning Of Year</t>
  </si>
  <si>
    <t>NON-CURRENT ASSETSPROPERTY PLANT &amp; EQUIPMENTLand And BuildingsAccumulated Depreciation: CostBalance At Beginning Of Year</t>
  </si>
  <si>
    <t>NON-CURRENT ASSETSPROPERTY PLANT &amp; EQUIPMENTInfrastructure AssetsAccumulated Depreciation: CostBalance At Beginning Of Year</t>
  </si>
  <si>
    <t>NON-CURRENT ASSETSPROPERTY PLANT &amp; EQUIPMENTCommunity AssetsAccumulated Depreciation: CostBalance At Beginning Of Year</t>
  </si>
  <si>
    <t>NON-CURRENT ASSETSPROPERTY PLANT &amp; EQUIPMENTOther AssetsAccumulated Depreciation: CostBalance At Beginning Of Year</t>
  </si>
  <si>
    <t>NON-CURRENT ASSETSPROPERTY PLANT &amp; EQUIPMENTHousing AssetsAccumulated Depreciation: CostBalance At Beginning Of Year</t>
  </si>
  <si>
    <t>NON-CURRENT ASSETSPROPERTY PLANT &amp; EQUIPMENTLeased AssetsAccumulated Depreciation: CostBalance At Beginning Of Year</t>
  </si>
  <si>
    <t>NON-CURRENT ASSETSPROPERTY PLANT &amp; EQUIPMENTLand And BuildingsAccumulated Depreciation: RevaluationBalance At Beginning Of Year</t>
  </si>
  <si>
    <t>NON-CURRENT ASSETSPROPERTY PLANT &amp; EQUIPMENTInfrastructure AssetsAccumulated Depreciation: RevaluationBalance At Beginning Of Year</t>
  </si>
  <si>
    <t>NON-CURRENT ASSETSPROPERTY PLANT &amp; EQUIPMENTCommunity AssetsAccumulated Depreciation: RevaluationBalance At Beginning Of Year</t>
  </si>
  <si>
    <t>NON-CURRENT ASSETSPROPERTY PLANT &amp; EQUIPMENTOther AssetsAccumulated Depreciation: RevaluationBalance At Beginning Of Year</t>
  </si>
  <si>
    <t>NON-CURRENT ASSETSPROPERTY PLANT &amp; EQUIPMENTHousing AssetsAccumulated Depreciation: RevaluationBalance At Beginning Of Year</t>
  </si>
  <si>
    <t>NON-CURRENT ASSETSPROPERTY PLANT &amp; EQUIPMENTLeased AssetsAccumulated Depreciation: RevaluationBalance At Beginning Of Year</t>
  </si>
  <si>
    <t>NON-CURRENT ASSETSPROPERTY PLANT &amp; EQUIPMENTLand And BuildingsAccumulated Depreciation: CostTransfer In</t>
  </si>
  <si>
    <t>NON-CURRENT ASSETSPROPERTY PLANT &amp; EQUIPMENTInfrastructure AssetsAccumulated Depreciation: CostTransfer In</t>
  </si>
  <si>
    <t>NON-CURRENT ASSETSPROPERTY PLANT &amp; EQUIPMENTCommunity AssetsAccumulated Depreciation: CostTransfer In</t>
  </si>
  <si>
    <t>NON-CURRENT ASSETSPROPERTY PLANT &amp; EQUIPMENTOther AssetsAccumulated Depreciation: CostTransfer In</t>
  </si>
  <si>
    <t>NON-CURRENT ASSETSPROPERTY PLANT &amp; EQUIPMENTHousing AssetsAccumulated Depreciation: CostTransfer In</t>
  </si>
  <si>
    <t>NON-CURRENT ASSETSPROPERTY PLANT &amp; EQUIPMENTLeased AssetsAccumulated Depreciation: CostTransfer In</t>
  </si>
  <si>
    <t>N: Financial PositionNON-CURRENT ASSETSINTANGIBLE ASSETS*</t>
  </si>
  <si>
    <t>I: Financial PositionNON-CURRENT ASSETSINTANGIBLE ASSETSAccumulated RevaluationDisposals</t>
  </si>
  <si>
    <t>I: Financial PositionNON-CURRENT ASSETSINVESTMENT PROPERTY</t>
  </si>
  <si>
    <t>K: Financial PositionNON-CURRENT ASSETSINVESTMENT PROPERTY</t>
  </si>
  <si>
    <t>N: Financial PositionNON-CURRENT ASSETSINVESTMENT PROPERTY</t>
  </si>
  <si>
    <t>I: Financial PositionNON-CURRENT ASSETSAGRICULTURAL ASSETS</t>
  </si>
  <si>
    <t>K: Financial PositionNON-CURRENT ASSETSAGRICULTURAL ASSETS</t>
  </si>
  <si>
    <t>N: Financial PositionNON-CURRENT ASSETSAGRICULTURAL ASSETS</t>
  </si>
  <si>
    <t>I: Financial PositionNON-CURRENT ASSETSNON-CURRENT INVESTMENTSListed</t>
  </si>
  <si>
    <t>K: Financial PositionNON-CURRENT ASSETSNON-CURRENT INVESTMENTSListed</t>
  </si>
  <si>
    <t>N: Financial PositionNON-CURRENT ASSETSNON-CURRENT INVESTMENTSListed</t>
  </si>
  <si>
    <t>I: Financial PositionNON-CURRENT ASSETSNON-CURRENT INVESTMENTSUnlisted:  Investment in Entities</t>
  </si>
  <si>
    <t>K: Financial PositionNON-CURRENT ASSETSNON-CURRENT INVESTMENTSUnlisted:  Investment in Entities</t>
  </si>
  <si>
    <t>N: Financial PositionNON-CURRENT ASSETSNON-CURRENT INVESTMENTSUnlisted:  Investment in Entities</t>
  </si>
  <si>
    <t>I: Financial PositionNON-CURRENT ASSETSNON-CURRENT INVESTMENTSUnlisted:  Investment in Joint Ventures</t>
  </si>
  <si>
    <t>K: Financial PositionNON-CURRENT ASSETSNON-CURRENT INVESTMENTSUnlisted:  Investment in Joint Ventures</t>
  </si>
  <si>
    <t>N: Financial PositionNON-CURRENT ASSETSNON-CURRENT INVESTMENTSUnlisted:  Investment in Joint Ventures</t>
  </si>
  <si>
    <t>I: Financial PositionNON-CURRENT ASSETSNON-CURRENT INVESTMENTSUnlisted:  Local Authority Stock</t>
  </si>
  <si>
    <t>K: Financial PositionNON-CURRENT ASSETSNON-CURRENT INVESTMENTSUnlisted:  Local Authority Stock</t>
  </si>
  <si>
    <t>N: Financial PositionNON-CURRENT ASSETSNON-CURRENT INVESTMENTSUnlisted:  Local Authority Stock</t>
  </si>
  <si>
    <t>I: Financial PositionNON-CURRENT ASSETSNON-CURRENT INVESTMENTSFinancial Instruments*</t>
  </si>
  <si>
    <t>K: Financial PositionNON-CURRENT ASSETSNON-CURRENT INVESTMENTSFinancial Instruments*</t>
  </si>
  <si>
    <t>N: Financial PositionNON-CURRENT ASSETSNON-CURRENT INVESTMENTSFinancial Instruments*</t>
  </si>
  <si>
    <t>I: Financial PositionNON-CURRENT ASSETSNON-CURRENT INVESTMENTSLess : St Portion To Current Assets</t>
  </si>
  <si>
    <t>K: Financial PositionNON-CURRENT ASSETSNON-CURRENT INVESTMENTSLess : St Portion To Current Assets</t>
  </si>
  <si>
    <t>N: Financial PositionNON-CURRENT ASSETSNON-CURRENT INVESTMENTSLess : St Portion To Current Assets</t>
  </si>
  <si>
    <t>I: Financial PositionNON-CURRENT ASSETSINVESTMENT IN ASSOCIATES</t>
  </si>
  <si>
    <t>K: Financial PositionNON-CURRENT ASSETSINVESTMENT IN ASSOCIATES</t>
  </si>
  <si>
    <t>N: Financial PositionNON-CURRENT ASSETSINVESTMENT IN ASSOCIATES</t>
  </si>
  <si>
    <t>G: Financial PositionNON-CURRENT ASSETSFINANCE LEASE RECEIVABLESCar LoansLease Agreement</t>
  </si>
  <si>
    <t>I: Financial PositionNON-CURRENT ASSETSFINANCE LEASE RECEIVABLESCar LoansLess : Provision For Impairment</t>
  </si>
  <si>
    <t>G: Financial PositionNON-CURRENT ASSETSFINANCE LEASE RECEIVABLESHousing Selling SchemesLease Agreement</t>
  </si>
  <si>
    <t>I: Financial PositionNON-CURRENT ASSETSFINANCE LEASE RECEIVABLESHousing Selling SchemesLess : Provision For Impairment</t>
  </si>
  <si>
    <t>G: Financial PositionNON-CURRENT ASSETSFINANCE LEASE RECEIVABLESOther Finance LeasesLease Agreement</t>
  </si>
  <si>
    <t>I: Financial PositionNON-CURRENT ASSETSFINANCE LEASE RECEIVABLESOther Finance LeasesLess : Provision For Impairment</t>
  </si>
  <si>
    <t>K: Financial PositionNON-CURRENT ASSETSFINANCE LEASE RECEIVABLESCar LoansLess : St Portion To Current Assets</t>
  </si>
  <si>
    <t>K: Financial PositionNON-CURRENT ASSETSFINANCE LEASE RECEIVABLESHousing Selling SchemesLess : St Portion To Current Assets</t>
  </si>
  <si>
    <t>K: Financial PositionNON-CURRENT ASSETSFINANCE LEASE RECEIVABLESOther Finance LeasesLess : St Portion To Current Assets</t>
  </si>
  <si>
    <t>N: Financial PositionNON-CURRENT ASSETSFINANCE LEASE RECEIVABLESCar LoansLease Agreement</t>
  </si>
  <si>
    <t>N: Financial PositionNON-CURRENT ASSETSFINANCE LEASE RECEIVABLESHousing Selling SchemesLease Agreement</t>
  </si>
  <si>
    <t>N: Financial PositionNON-CURRENT ASSETSFINANCE LEASE RECEIVABLESOther Finance LeasesLease Agreement</t>
  </si>
  <si>
    <t>I: Financial PositionNON-CURRENT ASSETSFINANCE LEASE RECEIVABLES</t>
  </si>
  <si>
    <t>K: Financial PositionNON-CURRENT ASSETSFINANCE LEASE RECEIVABLES</t>
  </si>
  <si>
    <t>N: Financial PositionNON-CURRENT ASSETSFINANCE LEASE RECEIVABLES</t>
  </si>
  <si>
    <t>I: Financial PositionCURRENT ASSETSST PORTION OF LT RECEIVABLESSt Portion From Lt Fin Leases</t>
  </si>
  <si>
    <t>K: Financial PositionCURRENT ASSETSST PORTION OF LT RECEIVABLESSt Portion From Lt Fin Leases</t>
  </si>
  <si>
    <t>N: Financial PositionCURRENT ASSETSST PORTION OF LT RECEIVABLESSt Portion From Lt Fin Leases</t>
  </si>
  <si>
    <t>I: Financial PositionCURRENT LIABILITIESCONSUMER DEPOSITS</t>
  </si>
  <si>
    <t>K: Financial PositionCURRENT LIABILITIESCONSUMER DEPOSITS</t>
  </si>
  <si>
    <t>N: Financial PositionCURRENT LIABILITIESCONSUMER DEPOSITS</t>
  </si>
  <si>
    <t>I: Financial PositionCURRENT LIABILITIESPROVISIONSPerformance BonusBalance Beginning Of Year</t>
  </si>
  <si>
    <t>K: Financial PositionCURRENT LIABILITIESPROVISIONSPerformance BonusBalance Beginning Of Year</t>
  </si>
  <si>
    <t>N: Financial PositionCURRENT LIABILITIESPROVISIONSPerformance BonusBalance Beginning Of Year</t>
  </si>
  <si>
    <t>I: Financial PositionCURRENT LIABILITIESPROVISIONSPerformance BonusContributions Received</t>
  </si>
  <si>
    <t>K: Financial PositionCURRENT LIABILITIESPROVISIONSPerformance BonusContributions Received</t>
  </si>
  <si>
    <t>N: Financial PositionCURRENT LIABILITIESPROVISIONSPerformance BonusContributions Received</t>
  </si>
  <si>
    <t>I: Financial PositionCURRENT LIABILITIESPROVISIONSPerformance BonusExpenditure Incurred</t>
  </si>
  <si>
    <t>K Financial PositionCURRENT LIABILITIESPROVISIONSPerformance BonusExpenditure Incurred</t>
  </si>
  <si>
    <t>N: Financial PositionCURRENT LIABILITIESPROVISIONSPerformance BonusExpenditure Incurred</t>
  </si>
  <si>
    <t>I: Financial PositionCURRENT LIABILITIESPROVISIONSCurrent Portion Of NC ProvisionsCurrent Portion Of Long-Term ServiceBalance Beginning Of Year</t>
  </si>
  <si>
    <t>K: Financial PositionCURRENT LIABILITIESPROVISIONSCurrent Portion Of NC ProvisionsCurrent Portion Of Post-Retirement BenefitsBalance Beginning Of Year</t>
  </si>
  <si>
    <t>I: Financial PositionCURRENT LIABILITIESPROVISIONSCurrent Portion Of NC ProvisionsCurrent Portion Of Long-Term ServiceTransfer from Non-current</t>
  </si>
  <si>
    <t>K: Financial PositionCURRENT LIABILITIESPROVISIONSCurrent Portion Of NC ProvisionsCurrent Portion Of Post-Retirement BenefitsTransfer from Non-current</t>
  </si>
  <si>
    <t>I: Financial PositionCURRENT LIABILITIESPROVISIONSCurrent Portion Of NC ProvisionsCurrent Portion Of Long-Term ServiceContributions Received</t>
  </si>
  <si>
    <t>K: Financial PositionCURRENT LIABILITIESPROVISIONSCurrent Portion Of NC ProvisionsCurrent Portion Of Post-Retirement BenefitsContributions Received</t>
  </si>
  <si>
    <t>I: Financial PositionCURRENT LIABILITIESPROVISIONSCurrent Portion Of NC ProvisionsCurrent Portion Of Long-Term ServiceExpenditure Incurred</t>
  </si>
  <si>
    <t>K: Financial PositionCURRENT LIABILITIESPROVISIONSCurrent Portion Of NC ProvisionsCurrent Portion Of Post-Retirement BenefitsExpenditure Incurred</t>
  </si>
  <si>
    <t>I: Financial PositionCURRENT LIABILITIESCREDITORSTrade Creditors</t>
  </si>
  <si>
    <t>K: Financial PositionCURRENT LIABILITIESCREDITORSTrade Creditors</t>
  </si>
  <si>
    <t>N: Financial PositionCURRENT LIABILITIESCREDITORSTrade Creditors</t>
  </si>
  <si>
    <t>I: Financial PositionCURRENT LIABILITIESCREDITORSPayments Received In Advance</t>
  </si>
  <si>
    <t>K: Financial PositionCURRENT LIABILITIESCREDITORSPayments Received In Advance</t>
  </si>
  <si>
    <t>N: Financial PositionCURRENT LIABILITIESCREDITORSPayments Received In Advance</t>
  </si>
  <si>
    <t>I: Financial PositionCURRENT LIABILITIESCREDITORSProjects</t>
  </si>
  <si>
    <t>K: Financial PositionCURRENT LIABILITIESCREDITORSProjects</t>
  </si>
  <si>
    <t>N: Financial PositionCURRENT LIABILITIESCREDITORSProjects</t>
  </si>
  <si>
    <t>I: Financial PositionCURRENT LIABILITIESCREDITORSRetentions</t>
  </si>
  <si>
    <t>K: Financial PositionCURRENT LIABILITIESCREDITORSRetentions</t>
  </si>
  <si>
    <t>N: Financial PositionCURRENT LIABILITIESCREDITORSRetentions</t>
  </si>
  <si>
    <t>I: Financial PositionCURRENT LIABILITIESCREDITORSSalaries</t>
  </si>
  <si>
    <t>K: Financial PositionCURRENT LIABILITIESCREDITORSSalaries</t>
  </si>
  <si>
    <t>N: Financial PositionCURRENT LIABILITIESCREDITORSSalaries</t>
  </si>
  <si>
    <t>I: Financial PositionCURRENT LIABILITIESCREDITORSStaff Bonuses</t>
  </si>
  <si>
    <t>K: Financial PositionCURRENT LIABILITIESCREDITORSStaff Bonuses</t>
  </si>
  <si>
    <t>N: Financial PositionCURRENT LIABILITIESCREDITORSStaff Bonuses</t>
  </si>
  <si>
    <t>I: Financial PositionCURRENT LIABILITIESCREDITORSStaff Leave</t>
  </si>
  <si>
    <t>K: Financial PositionCURRENT LIABILITIESCREDITORSStaff Leave</t>
  </si>
  <si>
    <t>N: Financial PositionCURRENT LIABILITIESCREDITORSStaff Leave</t>
  </si>
  <si>
    <t>I: Financial PositionCURRENT LIABILITIESCREDITORSSundry Deposits</t>
  </si>
  <si>
    <t>K: Financial PositionCURRENT LIABILITIESCREDITORSSundry Deposits</t>
  </si>
  <si>
    <t>N: Financial PositionCURRENT LIABILITIESCREDITORSSundry Deposits</t>
  </si>
  <si>
    <t>I: Financial PositionCURRENT LIABILITIESCREDITORSOther Creditors</t>
  </si>
  <si>
    <t>K: Financial PositionCURRENT LIABILITIESCREDITORSOther Creditors</t>
  </si>
  <si>
    <t>N: Financial PositionCURRENT LIABILITIESCREDITORSOther Creditors</t>
  </si>
  <si>
    <t>I: Financial PositionCURRENT LIABILITIESUNSPENT CONDITIONAL GRANTSNational Government:</t>
  </si>
  <si>
    <t>K: Financial PositionCURRENT LIABILITIESUNSPENT CONDITIONAL GRANTSNational Government:</t>
  </si>
  <si>
    <t>N: Financial PositionCURRENT LIABILITIESUNSPENT CONDITIONAL GRANTSNational Government:</t>
  </si>
  <si>
    <t>I: Financial PositionCURRENT LIABILITIESUNSPENT CONDITIONAL GRANTSProvincial Government:</t>
  </si>
  <si>
    <t>K: Financial PositionCURRENT LIABILITIESUNSPENT CONDITIONAL GRANTSProvincial Government:</t>
  </si>
  <si>
    <t>N: Financial PositionCURRENT LIABILITIESUNSPENT CONDITIONAL GRANTSProvincial Government:</t>
  </si>
  <si>
    <t>I: Financial PositionCURRENT LIABILITIESUNSPENT CONDITIONAL GRANTSLocal Government:</t>
  </si>
  <si>
    <t>K: Financial PositionCURRENT LIABILITIESUNSPENT CONDITIONAL GRANTSLocal Government:</t>
  </si>
  <si>
    <t>N: Financial PositionCURRENT LIABILITIESUNSPENT CONDITIONAL GRANTSLocal Government:</t>
  </si>
  <si>
    <t>I: Financial PositionCURRENT LIABILITIESUNSPENT CONDITIONAL GRANTSOther Government:</t>
  </si>
  <si>
    <t>K: Financial PositionCURRENT LIABILITIESUNSPENT CONDITIONAL GRANTSOther Government:</t>
  </si>
  <si>
    <t>N: Financial PositionCURRENT LIABILITIESUNSPENT CONDITIONAL GRANTSOther Government:</t>
  </si>
  <si>
    <t>I: Financial PositionCURRENT LIABILITIESUNSPENT CONDITIONAL GRANTSPublic:</t>
  </si>
  <si>
    <t>K: Financial PositionCURRENT LIABILITIESUNSPENT CONDITIONAL GRANTSPublic:</t>
  </si>
  <si>
    <t>N: Financial PositionCURRENT LIABILITIESUNSPENT CONDITIONAL GRANTSPublic:</t>
  </si>
  <si>
    <t>I: Financial PositionCURRENT LIABILITIESSHORT-TERM LOANSCall Bonds</t>
  </si>
  <si>
    <t>K: Financial PositionCURRENT LIABILITIESSHORT-TERM LOANSCall Bonds</t>
  </si>
  <si>
    <t>N: Financial PositionCURRENT LIABILITIESSHORT-TERM LOANSCall Bonds</t>
  </si>
  <si>
    <t>I: Financial PositionCURRENT LIABILITIESSHORT-TERM LOANSOther</t>
  </si>
  <si>
    <t>K: Financial PositionCURRENT LIABILITIESSHORT-TERM LOANSOther</t>
  </si>
  <si>
    <t>N: Financial PositionCURRENT LIABILITIESSHORT-TERM LOANSOther</t>
  </si>
  <si>
    <t>I: Financial PositionCURRENT LIABILITIESOPERATING LEASE LIABILITIESBalance At Beginning Of The Year</t>
  </si>
  <si>
    <t>K: Financial PositionCURRENT LIABILITIESOPERATING LEASE LIABILITIESBalance At Beginning Of The Year</t>
  </si>
  <si>
    <t>N: Financial PositionCURRENT LIABILITIESOPERATING LEASE LIABILITIESBalance At Beginning Of The Year</t>
  </si>
  <si>
    <t>I: Financial PositionCURRENT LIABILITIESOPERATING LEASE LIABILITIESLease Expenditure Recorded (Straight-Line)</t>
  </si>
  <si>
    <t>K: Financial PositionCURRENT LIABILITIESOPERATING LEASE LIABILITIESLease Expenditure Recorded (Straight-Line)</t>
  </si>
  <si>
    <t>N: Financial PositionCURRENT LIABILITIESOPERATING LEASE LIABILITIESLease Expenditure Recorded (Straight-Line)</t>
  </si>
  <si>
    <t>I: Financial PositionCURRENT LIABILITIESOPERATING LEASE LIABILITIESLease Expenditure Effected (Actual)</t>
  </si>
  <si>
    <t>K: Financial PositionCURRENT LIABILITIESOPERATING LEASE LIABILITIESLease Expenditure Effected (Actual)</t>
  </si>
  <si>
    <t>N: Financial PositionCURRENT LIABILITIESOPERATING LEASE LIABILITIESLease Expenditure Effected (Actual)</t>
  </si>
  <si>
    <t>I: Financial PositionNON-CURRENT LIABILITIESLONG-TERM LIABILITIESLocal Registered Stock</t>
  </si>
  <si>
    <t>K: Financial PositionNON-CURRENT LIABILITIESLONG-TERM LIABILITIESLocal Registered Stock</t>
  </si>
  <si>
    <t>N: Financial PositionNON-CURRENT LIABILITIESLONG-TERM LIABILITIESLocal Registered Stock</t>
  </si>
  <si>
    <t>I: Financial PositionNON-CURRENT LIABILITIESLONG-TERM LIABILITIESAnnuity Loans</t>
  </si>
  <si>
    <t>K: Financial PositionNON-CURRENT LIABILITIESLONG-TERM LIABILITIESAnnuity Loans</t>
  </si>
  <si>
    <t>N: Financial PositionNON-CURRENT LIABILITIESLONG-TERM LIABILITIESAnnuity Loans</t>
  </si>
  <si>
    <t>I: Financial PositionNON-CURRENT LIABILITIESLONG-TERM LIABILITIESLease Liabilities</t>
  </si>
  <si>
    <t>K: Financial PositionNON-CURRENT LIABILITIESLONG-TERM LIABILITIESLease Liabilities</t>
  </si>
  <si>
    <t>N: Financial PositionNON-CURRENT LIABILITIESLONG-TERM LIABILITIESLease Liabilities</t>
  </si>
  <si>
    <t>I: Financial PositionNON-CURRENT LIABILITIESLONG-TERM LIABILITIESGovernment Loans</t>
  </si>
  <si>
    <t>K: Financial PositionNON-CURRENT LIABILITIESLONG-TERM LIABILITIESGovernment Loans</t>
  </si>
  <si>
    <t>N: Financial PositionNON-CURRENT LIABILITIESLONG-TERM LIABILITIESGovernment Loans</t>
  </si>
  <si>
    <t>I: Financial PositionNON-CURRENT LIABILITIESLONG-TERM LIABILITIESOther Loans</t>
  </si>
  <si>
    <t>K: Financial PositionNON-CURRENT LIABILITIESLONG-TERM LIABILITIESOther Loans</t>
  </si>
  <si>
    <t>N: Financial PositionNON-CURRENT LIABILITIESLONG-TERM LIABILITIESOther Loans</t>
  </si>
  <si>
    <t>I: Financial PositionNON-CURRENT LIABILITIESLONG-TERM LIABILITIESLess: St Portion To Current LiabilitiesLocal Registered Stock</t>
  </si>
  <si>
    <t>K: Financial PositionNON-CURRENT LIABILITIESLONG-TERM LIABILITIESLess: St Portion To Current LiabilitiesLocal Registered Stock</t>
  </si>
  <si>
    <t>N: Financial PositionNON-CURRENT LIABILITIESLONG-TERM LIABILITIESLess: St Portion To Current LiabilitiesLocal Registered Stock</t>
  </si>
  <si>
    <t>I: Financial PositionNON-CURRENT LIABILITIESLONG-TERM LIABILITIESLess: St Portion To Current LiabilitiesAnnuity Loans</t>
  </si>
  <si>
    <t>K: Financial PositionNON-CURRENT LIABILITIESLONG-TERM LIABILITIESLess: St Portion To Current LiabilitiesAnnuity Loans</t>
  </si>
  <si>
    <t>N: Financial PositionNON-CURRENT LIABILITIESLONG-TERM LIABILITIESLess: St Portion To Current LiabilitiesAnnuity Loans</t>
  </si>
  <si>
    <t>I: Financial PositionNON-CURRENT LIABILITIESLONG-TERM LIABILITIESLess: St Portion To Current LiabilitiesLease Liabilities</t>
  </si>
  <si>
    <t>K: Financial PositionNON-CURRENT LIABILITIESLONG-TERM LIABILITIESLess: St Portion To Current LiabilitiesLease Liabilities</t>
  </si>
  <si>
    <t>N: Financial PositionNON-CURRENT LIABILITIESLONG-TERM LIABILITIESLess: St Portion To Current LiabilitiesLease Liabilities</t>
  </si>
  <si>
    <t>I: Financial PositionNON-CURRENT LIABILITIESLONG-TERM LIABILITIESLess: St Portion To Current LiabilitiesGovernment Loans</t>
  </si>
  <si>
    <t>K: Financial PositionNON-CURRENT LIABILITIESLONG-TERM LIABILITIESLess: St Portion To Current LiabilitiesGovernment Loans</t>
  </si>
  <si>
    <t>N: Financial PositionNON-CURRENT LIABILITIESLONG-TERM LIABILITIESLess: St Portion To Current LiabilitiesGovernment Loans</t>
  </si>
  <si>
    <t>I: Financial PositionNON-CURRENT LIABILITIESLONG-TERM LIABILITIESLess: St Portion To Current LiabilitiesOther Loans</t>
  </si>
  <si>
    <t>K: Financial PositionNON-CURRENT LIABILITIESLONG-TERM LIABILITIESLess: St Portion To Current LiabilitiesOther Loans</t>
  </si>
  <si>
    <t>N: Financial PositionNON-CURRENT LIABILITIESLONG-TERM LIABILITIESLess: St Portion To Current LiabilitiesOther Loans</t>
  </si>
  <si>
    <t>N: Financial PositionNON-CURRENT LIABILITIESPROVISION FOR POST-RETIREMENT BENEFITSBalance At Beginning Of Year</t>
  </si>
  <si>
    <t>I: Financial PositionNON-CURRENT LIABILITIESPROVISION FOR POST-RETIREMENT BENEFITSReceived During Year</t>
  </si>
  <si>
    <t>K: Financial PositionNON-CURRENT LIABILITIESPROVISION FOR POST-RETIREMENT BENEFITSReceived During Year</t>
  </si>
  <si>
    <t>N: Financial PositionNON-CURRENT LIABILITIESPROVISION FOR POST-RETIREMENT BENEFITSReceived During Year</t>
  </si>
  <si>
    <t>I: Financial PositionNON-CURRENT LIABILITIESPROVISION FOR POST-RETIREMENT BENEFITSIncreased During Year</t>
  </si>
  <si>
    <t>K: Financial PositionNON-CURRENT LIABILITIESPROVISION FOR POST-RETIREMENT BENEFITSIncreased During Year</t>
  </si>
  <si>
    <t>N: Financial PositionNON-CURRENT LIABILITIESPROVISION FOR POST-RETIREMENT BENEFITSIncreased During Year</t>
  </si>
  <si>
    <t>I: Financial PositionNON-CURRENT LIABILITIESPROVISION FOR POST-RETIREMENT BENEFITSRedeemed During Year</t>
  </si>
  <si>
    <t>K: Financial PositionNON-CURRENT LIABILITIESPROVISION FOR POST-RETIREMENT BENEFITSRedeemed During Year</t>
  </si>
  <si>
    <t>N: Financial PositionNON-CURRENT LIABILITIESPROVISION FOR POST-RETIREMENT BENEFITSRedeemed During Year</t>
  </si>
  <si>
    <t>I: Financial PositionNON-CURRENT LIABILITIESPROVISION FOR POST-RETIREMENT BENEFITSShort-Term Portion To Current</t>
  </si>
  <si>
    <t>K: Financial PositionNON-CURRENT LIABILITIESPROVISION FOR POST-RETIREMENT BENEFITSShort-Term Portion To Current</t>
  </si>
  <si>
    <t>N: Financial PositionNON-CURRENT LIABILITIESPROVISION FOR POST-RETIREMENT BENEFITSShort-Term Portion To Current</t>
  </si>
  <si>
    <t>I: Financial PositionNON-CURRENT LIABILITIESNON-CURRENT PROVISIONSLong-Term ServiceBalance Beginning Of Year</t>
  </si>
  <si>
    <t>K: Financial PositionNON-CURRENT LIABILITIESNON-CURRENT PROVISIONSRehabilitation Of Land-Fill SitesBalance Beginning Of Year</t>
  </si>
  <si>
    <t>I: Financial PositionNON-CURRENT LIABILITIESNON-CURRENT PROVISIONSLong-Term ServiceReceived During The Year</t>
  </si>
  <si>
    <t>K: Financial PositionNON-CURRENT LIABILITIESNON-CURRENT PROVISIONSRehabilitation Of Land-Fill SitesReceived During The Year</t>
  </si>
  <si>
    <t>I: Financial PositionNON-CURRENT LIABILITIESNON-CURRENT PROVISIONSLong-Term ServiceIncreased During The Year</t>
  </si>
  <si>
    <t>K: Financial PositionNON-CURRENT LIABILITIESNON-CURRENT PROVISIONSRehabilitation Of Land-Fill SitesIncreased During The Year</t>
  </si>
  <si>
    <t>I: Financial PositionNON-CURRENT LIABILITIESNON-CURRENT PROVISIONSLong-Term ServiceRedeemed During The Year</t>
  </si>
  <si>
    <t>K: Financial PositionNON-CURRENT LIABILITIESNON-CURRENT PROVISIONSRehabilitation Of Land-Fill SitesRedeemed During The Year</t>
  </si>
  <si>
    <t>I: Financial PositionNON-CURRENT LIABILITIESNON-CURRENT PROVISIONSLong-Term ServiceShort-Term Portion To Current</t>
  </si>
  <si>
    <t>K: Financial PositionNON-CURRENT LIABILITIESNON-CURRENT PROVISIONSRehabilitation Of Land-Fill SitesShort-Term Portion To Current</t>
  </si>
  <si>
    <t>I: Financial PositionCOMMUNITY WEALTHSTATUTORY FUNDSHousing Development FundBalance Beginning Of Year</t>
  </si>
  <si>
    <t>K: Financial PositionCOMMUNITY WEALTHSTATUTORY FUNDSHousing Development FundBalance Beginning Of Year</t>
  </si>
  <si>
    <t>I: Financial PositionCOMMUNITY WEALTHSTATUTORY FUNDSHousing Development FundContribution Received</t>
  </si>
  <si>
    <t>K: Financial PositionCOMMUNITY WEALTHSTATUTORY FUNDSHousing Development FundContribution Received</t>
  </si>
  <si>
    <t>I: Financial PositionCOMMUNITY WEALTHSTATUTORY FUNDSHousing Development FundInterest Received</t>
  </si>
  <si>
    <t>K: Financial PositionCOMMUNITY WEALTHSTATUTORY FUNDSHousing Development FundInterest Received</t>
  </si>
  <si>
    <t>I: Financial PositionCOMMUNITY WEALTHSTATUTORY FUNDSHousing Development FundCash Utilised To Finance Pro</t>
  </si>
  <si>
    <t>K: Financial PositionCOMMUNITY WEALTHSTATUTORY FUNDSHousing Development FundCash Utilised To Finance Pro</t>
  </si>
  <si>
    <t>I: Financial PositionCOMMUNITY WEALTHRESERVESC.O.I.D. Reserve</t>
  </si>
  <si>
    <t>K: Financial PositionCOMMUNITY WEALTHRESERVESC.O.I.D. Reserve</t>
  </si>
  <si>
    <t>I: Financial PositionCOMMUNITY WEALTHRESERVESRevaluation Reserve</t>
  </si>
  <si>
    <t>K: Financial PositionCOMMUNITY WEALTHRESERVESRevaluation Reserve</t>
  </si>
  <si>
    <t>K: Financial PositionCOMMUNITY WEALTHRESERVESRevaluation ReserveBalance Beginning Of Year</t>
  </si>
  <si>
    <t>I: Financial PositionCOMMUNITY WEALTHRESERVESRevaluation ReserveRevaluations Current Year</t>
  </si>
  <si>
    <t>K: Financial PositionCOMMUNITY WEALTHRESERVESRevaluation ReserveRevaluations Current Year</t>
  </si>
  <si>
    <t>I: Financial PositionCOMMUNITY WEALTHRESERVESRevaluation ReserveTrf To Inc Statement*</t>
  </si>
  <si>
    <t>K: Financial PositionCOMMUNITY WEALTHRESERVESRevaluation ReserveTrf To Inc Statement*</t>
  </si>
  <si>
    <t>I: Financial PositionCOMMUNITY WEALTHACCUMULATED SURPLUS/DEFICITCapital Replacement Reserve</t>
  </si>
  <si>
    <t>K: Financial PositionCOMMUNITY WEALTHACCUMULATED SURPLUS/DEFICITCapital Replacement Reserve</t>
  </si>
  <si>
    <t>N: Financial PositionCOMMUNITY WEALTHACCUMULATED SURPLUS/DEFICITCapital Replacement Reserve</t>
  </si>
  <si>
    <t>I: Financial PositionCOMMUNITY WEALTHACCUMULATED SURPLUS/DEFICITCapitalisation Reserve</t>
  </si>
  <si>
    <t>K: Financial PositionCOMMUNITY WEALTHACCUMULATED SURPLUS/DEFICITCapitalisation Reserve</t>
  </si>
  <si>
    <t>N: Financial PositionCOMMUNITY WEALTHACCUMULATED SURPLUS/DEFICITCapitalisation Reserve</t>
  </si>
  <si>
    <t>I: Financial PositionCOMMUNITY WEALTHACCUMULATED SURPLUS/DEFICITDonations &amp; Public Contributions Reserve</t>
  </si>
  <si>
    <t>K: Financial PositionCOMMUNITY WEALTHACCUMULATED SURPLUS/DEFICITDonations &amp; Public Contributions Reserve</t>
  </si>
  <si>
    <t>N: Financial PositionCOMMUNITY WEALTHACCUMULATED SURPLUS/DEFICITDonations &amp; Public Contributions Reserve</t>
  </si>
  <si>
    <t>I: Financial PositionCOMMUNITY WEALTHACCUMULATED SURPLUS/DEFICITGovernment Grants Reserve</t>
  </si>
  <si>
    <t>K: Financial PositionCOMMUNITY WEALTHACCUMULATED SURPLUS/DEFICITGovernment Grants Reserve</t>
  </si>
  <si>
    <t>N: Financial PositionCOMMUNITY WEALTHACCUMULATED SURPLUS/DEFICITGovernment Grants Reserve</t>
  </si>
  <si>
    <t>I: Financial PositionCOMMUNITY WEALTHACCUMULATED SURPLUS/DEFICITSelf-Insurance Reserve</t>
  </si>
  <si>
    <t>K: Financial PositionCOMMUNITY WEALTHACCUMULATED SURPLUS/DEFICITSelf-Insurance Reserve</t>
  </si>
  <si>
    <t>N: Financial PositionCOMMUNITY WEALTHACCUMULATED SURPLUS/DEFICITSelf-Insurance Reserve</t>
  </si>
  <si>
    <t>I: Financial PositionCOMMUNITY WEALTHACCUMULATED SURPLUS/DEFICITUnappropriated Surplus/Deficit</t>
  </si>
  <si>
    <t>K: Financial PositionCOMMUNITY WEALTHACCUMULATED SURPLUS/DEFICITUnappropriated Surplus/Deficit</t>
  </si>
  <si>
    <t>N: Financial PositionCOMMUNITY WEALTHACCUMULATED SURPLUS/DEFICITUnappropriated Surplus/Deficit</t>
  </si>
  <si>
    <t>I: Financial PerformanceREVENUEPROPERTY RATESTOTALRESIDENTIAL ONLY</t>
  </si>
  <si>
    <t>K: Financial PerformanceREVENUEPROPERTY RATESTOTALRESIDENTIAL ONLY</t>
  </si>
  <si>
    <t>I: Financial PerformanceREVENUEPROPERTY RATESTOTALCOMMERCIAL</t>
  </si>
  <si>
    <t>K: Financial PerformanceREVENUEPROPERTY RATESTOTALCOMMERCIAL</t>
  </si>
  <si>
    <t>I: Financial PerformanceREVENUEPROPERTY RATESTOTALRESIDENTIAL AND COMMERCIAL</t>
  </si>
  <si>
    <t>K: Financial PerformanceREVENUEPROPERTY RATESTOTALRESIDENTIAL AND COMMERCIAL</t>
  </si>
  <si>
    <t>I: Financial PerformanceREVENUEPROPERTY RATESTOTALINDUSTRIAL</t>
  </si>
  <si>
    <t>K: Financial PerformanceREVENUEPROPERTY RATESTOTALINDUSTRIAL</t>
  </si>
  <si>
    <t>I: Financial PerformanceREVENUEPROPERTY RATESTOTALAGRICULTURAL</t>
  </si>
  <si>
    <t>K: Financial PerformanceREVENUEPROPERTY RATESTOTALAGRICULTURAL</t>
  </si>
  <si>
    <t>I: Financial PerformanceREVENUEPROPERTY RATESTOTALGOVERNMENTAL</t>
  </si>
  <si>
    <t>K: Financial PerformanceREVENUEPROPERTY RATESTOTALGOVERNMENTAL</t>
  </si>
  <si>
    <t>I: Financial PerformanceREVENUEPROPERTY RATESTOTALMUNICIPAL</t>
  </si>
  <si>
    <t>K: Financial PerformanceREVENUEPROPERTY RATESTOTALMUNICIPAL</t>
  </si>
  <si>
    <t>I: Financial PerformanceREVENUEPROPERTY RATESTOTALINSTITUTIONAL</t>
  </si>
  <si>
    <t>K: Financial PerformanceREVENUEPROPERTY RATESTOTALINSTITUTIONAL</t>
  </si>
  <si>
    <t>I: Financial PerformanceREVENUEPROPERTY RATESTOTALINFORMAL SETTLEMENTS</t>
  </si>
  <si>
    <t>K: Financial PerformanceREVENUEPROPERTY RATESTOTALINFORMAL SETTLEMENTS</t>
  </si>
  <si>
    <t>K: Financial PositionCURRENT LIABILITIESUNSPENT CONDITIONAL GRANTSNational Government:EQUITABLE SHARESBalance Beginning Of Year</t>
  </si>
  <si>
    <t>I: Financial PositionCURRENT LIABILITIESUNSPENT CONDITIONAL GRANTSNational Government:EQUITABLE SHARESReceived During The Year</t>
  </si>
  <si>
    <t>K: Financial PositionCURRENT LIABILITIESUNSPENT CONDITIONAL GRANTSNational Government:EQUITABLE SHARESReceived During The Year</t>
  </si>
  <si>
    <t>I: Financial PositionCURRENT LIABILITIESUNSPENT CONDITIONAL GRANTSNational Government:EQUITABLE SHARESInterest For Year</t>
  </si>
  <si>
    <t>K: Financial PositionCURRENT LIABILITIESUNSPENT CONDITIONAL GRANTSNational Government:EQUITABLE SHARESInterest For Year</t>
  </si>
  <si>
    <t>I: Financial PositionCURRENT LIABILITIESUNSPENT CONDITIONAL GRANTSNational Government:EQUITABLE SHAREST/Fer To Revenue - Conditions Met: Operating</t>
  </si>
  <si>
    <t>K: Financial PositionCURRENT LIABILITIESUNSPENT CONDITIONAL GRANTSNational Government:EQUITABLE SHAREST/Fer To Revenue - Conditions Met: Operating</t>
  </si>
  <si>
    <t>I: Financial PositionCURRENT LIABILITIESUNSPENT CONDITIONAL GRANTSNational Government:EQUITABLE SHAREST/Fer To Revenue - Conditions Met: Capital</t>
  </si>
  <si>
    <t>K: Financial PositionCURRENT LIABILITIESUNSPENT CONDITIONAL GRANTSNational Government:EQUITABLE SHAREST/Fer To Revenue - Conditions Met: Capital</t>
  </si>
  <si>
    <t>K: Financial PositionCURRENT LIABILITIESUNSPENT CONDITIONAL GRANTSNational Government:FINANCE MANAGEMENT GRANTBalance Beginning Of Year</t>
  </si>
  <si>
    <t>I: Financial PositionCURRENT LIABILITIESUNSPENT CONDITIONAL GRANTSNational Government:FINANCE MANAGEMENT GRANTReceived During The Year</t>
  </si>
  <si>
    <t>K: Financial PositionCURRENT LIABILITIESUNSPENT CONDITIONAL GRANTSNational Government:FINANCE MANAGEMENT GRANTReceived During The Year</t>
  </si>
  <si>
    <t>I: Financial PositionCURRENT LIABILITIESUNSPENT CONDITIONAL GRANTSNational Government:FINANCE MANAGEMENT GRANTInterest For Year</t>
  </si>
  <si>
    <t>K: Financial PositionCURRENT LIABILITIESUNSPENT CONDITIONAL GRANTSNational Government:FINANCE MANAGEMENT GRANTInterest For Year</t>
  </si>
  <si>
    <t>I: Financial PositionCURRENT LIABILITIESUNSPENT CONDITIONAL GRANTSNational Government:FINANCE MANAGEMENT GRANTT/Fer To Revenue - Conditions Met: Operating</t>
  </si>
  <si>
    <t>K: Financial PositionCURRENT LIABILITIESUNSPENT CONDITIONAL GRANTSNational Government:FINANCE MANAGEMENT GRANTT/Fer To Revenue - Conditions Met: Operating</t>
  </si>
  <si>
    <t>I: Financial PositionCURRENT LIABILITIESUNSPENT CONDITIONAL GRANTSNational Government:FINANCE MANAGEMENT GRANTT/Fer To Revenue - Conditions Met: Capital</t>
  </si>
  <si>
    <t>K: Financial PositionCURRENT LIABILITIESUNSPENT CONDITIONAL GRANTSNational Government:FINANCE MANAGEMENT GRANTT/Fer To Revenue - Conditions Met: Capital</t>
  </si>
  <si>
    <t>K: Financial PositionCURRENT LIABILITIESUNSPENT CONDITIONAL GRANTSNational Government:MUNICIPAL INFRASTRUCTURE GRANT (MIG)Balance Beginning Of Year</t>
  </si>
  <si>
    <t>I: Financial PositionCURRENT LIABILITIESUNSPENT CONDITIONAL GRANTSNational Government:MUNICIPAL INFRASTRUCTURE GRANT (MIG)Received During The Year</t>
  </si>
  <si>
    <t>K: Financial PositionCURRENT LIABILITIESUNSPENT CONDITIONAL GRANTSNational Government:MUNICIPAL INFRASTRUCTURE GRANT (MIG)Received During The Year</t>
  </si>
  <si>
    <t>I: Financial PositionCURRENT LIABILITIESUNSPENT CONDITIONAL GRANTSNational Government:MUNICIPAL INFRASTRUCTURE GRANT (MIG)Interest For Year</t>
  </si>
  <si>
    <t>K: Financial PositionCURRENT LIABILITIESUNSPENT CONDITIONAL GRANTSNational Government:MUNICIPAL INFRASTRUCTURE GRANT (MIG)Interest For Year</t>
  </si>
  <si>
    <t>I: Financial PositionCURRENT LIABILITIESUNSPENT CONDITIONAL GRANTSNational Government:MUNICIPAL INFRASTRUCTURE GRANT (MIG)T/Fer To Revenue - Conditions Met: Operating</t>
  </si>
  <si>
    <t>K: Financial PositionCURRENT LIABILITIESUNSPENT CONDITIONAL GRANTSNational Government:MUNICIPAL INFRASTRUCTURE GRANT (MIG)T/Fer To Revenue - Conditions Met: Operating</t>
  </si>
  <si>
    <t>I: Financial PositionCURRENT LIABILITIESUNSPENT CONDITIONAL GRANTSNational Government:MUNICIPAL INFRASTRUCTURE GRANT (MIG)T/Fer To Revenue - Conditions Met: Capital</t>
  </si>
  <si>
    <t>K: Financial PositionCURRENT LIABILITIESUNSPENT CONDITIONAL GRANTSNational Government:MUNICIPAL INFRASTRUCTURE GRANT (MIG)T/Fer To Revenue - Conditions Met: Capital</t>
  </si>
  <si>
    <t>K: Financial PositionCURRENT LIABILITIESUNSPENT CONDITIONAL GRANTSNational Government:NATIONAL TREASURYBalance Beginning Of Year</t>
  </si>
  <si>
    <t>I: Financial PositionCURRENT LIABILITIESUNSPENT CONDITIONAL GRANTSNational Government:NATIONAL TREASURYReceived During The Year</t>
  </si>
  <si>
    <t>K: Financial PositionCURRENT LIABILITIESUNSPENT CONDITIONAL GRANTSNational Government:NATIONAL TREASURYReceived During The Year</t>
  </si>
  <si>
    <t>I: Financial PositionCURRENT LIABILITIESUNSPENT CONDITIONAL GRANTSNational Government:NATIONAL TREASURYInterest For Year</t>
  </si>
  <si>
    <t>K: Financial PositionCURRENT LIABILITIESUNSPENT CONDITIONAL GRANTSNational Government:NATIONAL TREASURYInterest For Year</t>
  </si>
  <si>
    <t>I: Financial PositionCURRENT LIABILITIESUNSPENT CONDITIONAL GRANTSNational Government:NATIONAL TREASURYT/Fer To Revenue - Conditions Met: Operating</t>
  </si>
  <si>
    <t>K: Financial PositionCURRENT LIABILITIESUNSPENT CONDITIONAL GRANTSNational Government:NATIONAL TREASURYT/Fer To Revenue - Conditions Met: Operating</t>
  </si>
  <si>
    <t>I: Financial PositionCURRENT LIABILITIESUNSPENT CONDITIONAL GRANTSNational Government:NATIONAL TREASURYT/Fer To Revenue - Conditions Met: Capital</t>
  </si>
  <si>
    <t>K: Financial PositionCURRENT LIABILITIESUNSPENT CONDITIONAL GRANTSNational Government:NATIONAL TREASURYT/Fer To Revenue - Conditions Met: Capital</t>
  </si>
  <si>
    <t>K: Financial PositionCURRENT LIABILITIESUNSPENT CONDITIONAL GRANTSNational Government:DEPT WATER AFFAIRS &amp; FORESTRY (DWAF)Balance Beginning Of Year</t>
  </si>
  <si>
    <t>I: Financial PositionCURRENT LIABILITIESUNSPENT CONDITIONAL GRANTSNational Government:DEPT WATER AFFAIRS &amp; FORESTRY (DWAF)Received During The Year</t>
  </si>
  <si>
    <t>K: Financial PositionCURRENT LIABILITIESUNSPENT CONDITIONAL GRANTSNational Government:DEPT WATER AFFAIRS &amp; FORESTRY (DWAF)Received During The Year</t>
  </si>
  <si>
    <t>I: Financial PositionCURRENT LIABILITIESUNSPENT CONDITIONAL GRANTSNational Government:DEPT WATER AFFAIRS &amp; FORESTRY (DWAF)Interest For Year</t>
  </si>
  <si>
    <t>K: Financial PositionCURRENT LIABILITIESUNSPENT CONDITIONAL GRANTSNational Government:DEPT WATER AFFAIRS &amp; FORESTRY (DWAF)Interest For Year</t>
  </si>
  <si>
    <t>I: Financial PositionCURRENT LIABILITIESUNSPENT CONDITIONAL GRANTSNational Government:DEPT WATER AFFAIRS &amp; FORESTRY (DWAF)T/Fer To Revenue - Conditions Met: Operating</t>
  </si>
  <si>
    <t>K: Financial PositionCURRENT LIABILITIESUNSPENT CONDITIONAL GRANTSNational Government:DEPT WATER AFFAIRS &amp; FORESTRY (DWAF)T/Fer To Revenue - Conditions Met: Operating</t>
  </si>
  <si>
    <t>I: Financial PositionCURRENT LIABILITIESUNSPENT CONDITIONAL GRANTSNational Government:DEPT WATER AFFAIRS &amp; FORESTRY (DWAF)T/Fer To Revenue - Conditions Met: Capital</t>
  </si>
  <si>
    <t>K: Financial PositionCURRENT LIABILITIESUNSPENT CONDITIONAL GRANTSNational Government:DEPT WATER AFFAIRS &amp; FORESTRY (DWAF)T/Fer To Revenue - Conditions Met: Capital</t>
  </si>
  <si>
    <t>K: Financial PositionCURRENT LIABILITIESUNSPENT CONDITIONAL GRANTSProvincial Government:PROVINCIAL TREASURYBalance Beginning Of Year</t>
  </si>
  <si>
    <t>I: Financial PositionCURRENT LIABILITIESUNSPENT CONDITIONAL GRANTSProvincial Government:PROVINCIAL TREASURYReceived During The Year</t>
  </si>
  <si>
    <t>K: Financial PositionCURRENT LIABILITIESUNSPENT CONDITIONAL GRANTSProvincial Government:PROVINCIAL TREASURYReceived During The Year</t>
  </si>
  <si>
    <t>I: Financial PositionCURRENT LIABILITIESUNSPENT CONDITIONAL GRANTSProvincial Government:PROVINCIAL TREASURYInterest For Year</t>
  </si>
  <si>
    <t>K: Financial PositionCURRENT LIABILITIESUNSPENT CONDITIONAL GRANTSProvincial Government:PROVINCIAL TREASURYInterest For Year</t>
  </si>
  <si>
    <t>I: Financial PositionCURRENT LIABILITIESUNSPENT CONDITIONAL GRANTSProvincial Government:PROVINCIAL TREASURYT/Fer To Revenue - Conditions Met: Operating</t>
  </si>
  <si>
    <t>K: Financial PositionCURRENT LIABILITIESUNSPENT CONDITIONAL GRANTSProvincial Government:PROVINCIAL TREASURYT/Fer To Revenue - Conditions Met: Operating</t>
  </si>
  <si>
    <t>I: Financial PositionCURRENT LIABILITIESUNSPENT CONDITIONAL GRANTSProvincial Government:PROVINCIAL TREASURYT/Fer To Revenue - Conditions Met: Capital</t>
  </si>
  <si>
    <t>K: Financial PositionCURRENT LIABILITIESUNSPENT CONDITIONAL GRANTSProvincial Government:PROVINCIAL TREASURYT/Fer To Revenue - Conditions Met: Capital</t>
  </si>
  <si>
    <t>K: Financial PositionCURRENT LIABILITIESUNSPENT CONDITIONAL GRANTSProvincial Government:DEPT SPORT &amp; RECREATIONBalance Beginning Of Year</t>
  </si>
  <si>
    <t>I: Financial PositionCURRENT LIABILITIESUNSPENT CONDITIONAL GRANTSProvincial Government:DEPT SPORT &amp; RECREATIONReceived During The Year</t>
  </si>
  <si>
    <t>K: Financial PositionCURRENT LIABILITIESUNSPENT CONDITIONAL GRANTSProvincial Government:DEPT SPORT &amp; RECREATIONReceived During The Year</t>
  </si>
  <si>
    <t>I: Financial PositionCURRENT LIABILITIESUNSPENT CONDITIONAL GRANTSProvincial Government:DEPT SPORT &amp; RECREATIONInterest For Year</t>
  </si>
  <si>
    <t>K: Financial PositionCURRENT LIABILITIESUNSPENT CONDITIONAL GRANTSProvincial Government:DEPT SPORT &amp; RECREATIONInterest For Year</t>
  </si>
  <si>
    <t>I: Financial PositionCURRENT LIABILITIESUNSPENT CONDITIONAL GRANTSProvincial Government:DEPT SPORT &amp; RECREATIONT/Fer To Revenue - Conditions Met: Operating</t>
  </si>
  <si>
    <t>K: Financial PositionCURRENT LIABILITIESUNSPENT CONDITIONAL GRANTSProvincial Government:DEPT SPORT &amp; RECREATIONT/Fer To Revenue - Conditions Met: Operating</t>
  </si>
  <si>
    <t>I: Financial PositionCURRENT LIABILITIESUNSPENT CONDITIONAL GRANTSProvincial Government:DEPT SPORT &amp; RECREATIONT/Fer To Revenue - Conditions Met: Capital</t>
  </si>
  <si>
    <t>K: Financial PositionCURRENT LIABILITIESUNSPENT CONDITIONAL GRANTSProvincial Government:DEPT SPORT &amp; RECREATIONT/Fer To Revenue - Conditions Met: Capital</t>
  </si>
  <si>
    <t>K: Financial PositionCURRENT LIABILITIESUNSPENT CONDITIONAL GRANTSProvincial Government:DEPT TRANSPORTBalance Beginning Of Year</t>
  </si>
  <si>
    <t>I: Financial PositionCURRENT LIABILITIESUNSPENT CONDITIONAL GRANTSProvincial Government:DEPT TRANSPORTReceived During The Year</t>
  </si>
  <si>
    <t>K: Financial PositionCURRENT LIABILITIESUNSPENT CONDITIONAL GRANTSProvincial Government:DEPT TRANSPORTReceived During The Year</t>
  </si>
  <si>
    <t>I: Financial PositionCURRENT LIABILITIESUNSPENT CONDITIONAL GRANTSProvincial Government:DEPT TRANSPORTInterest For Year</t>
  </si>
  <si>
    <t>K: Financial PositionCURRENT LIABILITIESUNSPENT CONDITIONAL GRANTSProvincial Government:DEPT TRANSPORTInterest For Year</t>
  </si>
  <si>
    <t>I: Financial PositionCURRENT LIABILITIESUNSPENT CONDITIONAL GRANTSProvincial Government:DEPT TRANSPORTT/Fer To Revenue - Conditions Met: Operating</t>
  </si>
  <si>
    <t>K: Financial PositionCURRENT LIABILITIESUNSPENT CONDITIONAL GRANTSProvincial Government:DEPT TRANSPORTT/Fer To Revenue - Conditions Met: Operating</t>
  </si>
  <si>
    <t>I: Financial PositionCURRENT LIABILITIESUNSPENT CONDITIONAL GRANTSProvincial Government:DEPT TRANSPORTT/Fer To Revenue - Conditions Met: Capital</t>
  </si>
  <si>
    <t>K: Financial PositionCURRENT LIABILITIESUNSPENT CONDITIONAL GRANTSProvincial Government:DEPT TRANSPORTT/Fer To Revenue - Conditions Met: Capital</t>
  </si>
  <si>
    <t>I: Financial PerformanceREVENUEPUBLIC CONTRIBUTIONS AND DONATIONSCONDITIONAL CONTRIBUTIONS</t>
  </si>
  <si>
    <t>K: Financial PerformanceREVENUEPUBLIC CONTRIBUTIONS AND DONATIONSCONDITIONAL CONTRIBUTIONS</t>
  </si>
  <si>
    <t>I: Financial PerformanceREVENUEPUBLIC CONTRIBUTIONS AND DONATIONSUNCONDITIONAL CONTRIBUTIONS</t>
  </si>
  <si>
    <t>K: Financial PerformanceREVENUEPUBLIC CONTRIBUTIONS AND DONATIONSUNCONDITIONAL CONTRIBUTIONS</t>
  </si>
  <si>
    <t>I: Financial PerformanceREVENUEPUBLIC CONTRIBUTIONS AND DONATIONSOTHER DONATIONS</t>
  </si>
  <si>
    <t>K: Financial PerformanceREVENUEPUBLIC CONTRIBUTIONS AND DONATIONSOTHER DONATIONS</t>
  </si>
  <si>
    <t>I: Financial PerformanceREVENUESERVICE CHARGESELECTRICITY</t>
  </si>
  <si>
    <t>K: Financial PerformanceREVENUESERVICE CHARGESELECTRICITY</t>
  </si>
  <si>
    <t>I: Financial PerformanceREVENUESERVICE CHARGESWATER</t>
  </si>
  <si>
    <t>K: Financial PerformanceREVENUESERVICE CHARGESWATER</t>
  </si>
  <si>
    <t>I: Financial PerformanceREVENUESERVICE CHARGESREFUSE</t>
  </si>
  <si>
    <t>K: Financial PerformanceREVENUESERVICE CHARGESREFUSE</t>
  </si>
  <si>
    <t>I: Financial PerformanceREVENUESERVICE CHARGESSANITATION</t>
  </si>
  <si>
    <t>K: Financial PerformanceREVENUESERVICE CHARGESSANITATION</t>
  </si>
  <si>
    <t>I: Financial PerformanceREVENUESERVICE CHARGESOTHER</t>
  </si>
  <si>
    <t>K: Financial PerformanceREVENUESERVICE CHARGESOTHER</t>
  </si>
  <si>
    <t>I: Financial PerformanceREVENUERENTAL OF FACILITIES AND EQUIPMENTRENTAL FROM AMENITIES</t>
  </si>
  <si>
    <t>K: Financial PerformanceREVENUERENTAL OF FACILITIES AND EQUIPMENTRENTAL FROM AMENITIES</t>
  </si>
  <si>
    <t>I: Financial PerformanceREVENUERENTAL OF FACILITIES AND EQUIPMENTRENTAL FROM BUILDINGS</t>
  </si>
  <si>
    <t>K: Financial PerformanceREVENUERENTAL OF FACILITIES AND EQUIPMENTRENTAL FROM BUILDINGS</t>
  </si>
  <si>
    <t>I: Financial PerformanceREVENUERENTAL OF FACILITIES AND EQUIPMENTRENTAL FROM HALLS</t>
  </si>
  <si>
    <t>K: Financial PerformanceREVENUERENTAL OF FACILITIES AND EQUIPMENTRENTAL FROM HALLS</t>
  </si>
  <si>
    <t>I: Financial PerformanceREVENUERENTAL OF FACILITIES AND EQUIPMENTRENTAL FROM LAND</t>
  </si>
  <si>
    <t>K: Financial PerformanceREVENUERENTAL OF FACILITIES AND EQUIPMENTRENTAL FROM LAND</t>
  </si>
  <si>
    <t>I: Financial PerformanceREVENUERENTAL OF FACILITIES AND EQUIPMENTRENTAL FROM OTHER FACILITIES</t>
  </si>
  <si>
    <t>K: Financial PerformanceREVENUERENTAL OF FACILITIES AND EQUIPMENTRENTAL FROM OTHER FACILITIES</t>
  </si>
  <si>
    <t>I: Financial PerformanceREVENUEPROP RATES - PENALTIES &amp; COLLECTION</t>
  </si>
  <si>
    <t>K: Financial PerformanceREVENUEPROP RATES - PENALTIES &amp; COLLECTION</t>
  </si>
  <si>
    <t>I: Financial PerformanceREVENUEINTEREST EARNED - EXTERNAL INVESTMENTSBANK ACCOUNT</t>
  </si>
  <si>
    <t>K: Financial PerformanceREVENUEINTEREST EARNED - EXTERNAL INVESTMENTSBANK ACCOUNT</t>
  </si>
  <si>
    <t>I: Financial PerformanceREVENUEINTEREST EARNED - EXTERNAL INVESTMENTSINVESTMENTS</t>
  </si>
  <si>
    <t>K: Financial PerformanceREVENUEINTEREST EARNED - EXTERNAL INVESTMENTSINVESTMENTS</t>
  </si>
  <si>
    <t>I: Financial PerformanceREVENUEINTEREST EARNED - EXTERNAL INVESTMENTSESKOM DEPOSITS</t>
  </si>
  <si>
    <t>K: Financial PerformanceREVENUEINTEREST EARNED - EXTERNAL INVESTMENTSESKOM DEPOSITS</t>
  </si>
  <si>
    <t>I: Financial PerformanceREVENUEINTEREST EARNED - EXTERNAL INVESTMENTSOTHER</t>
  </si>
  <si>
    <t>K: Financial PerformanceREVENUEINTEREST EARNED - EXTERNAL INVESTMENTSOTHER</t>
  </si>
  <si>
    <t>I: Financial PerformanceREVENUEINTEREST EARNED - OUTSTANDING DEBTORSFINANCE LEASES</t>
  </si>
  <si>
    <t>K: Financial PerformanceREVENUEINTEREST EARNED - OUTSTANDING DEBTORSFINANCE LEASES</t>
  </si>
  <si>
    <t>I: Financial PerformanceREVENUEINTEREST EARNED - OUTSTANDING DEBTORSLAND SALES</t>
  </si>
  <si>
    <t>K: Financial PerformanceREVENUEINTEREST EARNED - OUTSTANDING DEBTORSLAND SALES</t>
  </si>
  <si>
    <t>I: Financial PerformanceEXPENDITUREEMPLOYEE RELATED COSTSREMUNERATIONSALARIES &amp; WAGES</t>
  </si>
  <si>
    <t>K: Financial PerformanceEXPENDITUREEMPLOYEE RELATED COSTSREMUNERATIONSALARIES &amp; WAGES</t>
  </si>
  <si>
    <t>I: Financial PerformanceEXPENDITUREEMPLOYEE RELATED COSTSSOCIAL CONTRIBUTIONSCONTRIBUTIONS: GROUP LIFE INSURANCE</t>
  </si>
  <si>
    <t>K: Financial PerformanceEXPENDITUREEMPLOYEE RELATED COSTSSOCIAL CONTRIBUTIONSCONTRIBUTIONS: GROUP LIFE INSURANCE</t>
  </si>
  <si>
    <t>I: Financial PerformanceEXPENDITUREEMPLOYEE RELATED COSTSSOCIAL CONTRIBUTIONSCONTRIBUTIONS: MEDICAL AID</t>
  </si>
  <si>
    <t>K: Financial PerformanceEXPENDITUREEMPLOYEE RELATED COSTSSOCIAL CONTRIBUTIONSCONTRIBUTIONS: MEDICAL AID</t>
  </si>
  <si>
    <t>I: Financial PerformanceEXPENDITUREEMPLOYEE RELATED COSTSSOCIAL CONTRIBUTIONSCONTRIBUTIONS: PENSION FUND</t>
  </si>
  <si>
    <t>K: Financial PerformanceEXPENDITUREEMPLOYEE RELATED COSTSSOCIAL CONTRIBUTIONSCONTRIBUTIONS: PENSION FUND</t>
  </si>
  <si>
    <t>I: Financial PerformanceEXPENDITUREEMPLOYEE RELATED COSTSSOCIAL CONTRIBUTIONSGRATUITY FUND</t>
  </si>
  <si>
    <t>K: Financial PerformanceEXPENDITUREEMPLOYEE RELATED COSTSSOCIAL CONTRIBUTIONSGRATUITY FUND</t>
  </si>
  <si>
    <t>I: Financial PerformanceEXPENDITUREEMPLOYEE RELATED COSTSSOCIAL CONTRIBUTIONSINDUSTRIAL COUNCIL LEVY</t>
  </si>
  <si>
    <t>K: Financial PerformanceEXPENDITUREEMPLOYEE RELATED COSTSSOCIAL CONTRIBUTIONSINDUSTRIAL COUNCIL LEVY</t>
  </si>
  <si>
    <t>I: Financial PerformanceEXPENDITUREEMPLOYEE RELATED COSTSSOCIAL CONTRIBUTIONSSKILLS DEVELOPMENT LEVY</t>
  </si>
  <si>
    <t>K: Financial PerformanceEXPENDITUREEMPLOYEE RELATED COSTSSOCIAL CONTRIBUTIONSSKILLS DEVELOPMENT LEVY</t>
  </si>
  <si>
    <t>I: Financial PerformanceEXPENDITUREEMPLOYEE RELATED COSTSSOCIAL CONTRIBUTIONSUNEMPLOYMENT INSURANCE FUND</t>
  </si>
  <si>
    <t>K: Financial PerformanceEXPENDITUREEMPLOYEE RELATED COSTSSOCIAL CONTRIBUTIONSUNEMPLOYMENT INSURANCE FUND</t>
  </si>
  <si>
    <t>I: Financial PerformanceEXPENDITUREEMPLOYEE RELATED COSTSREMUNERATIONALLOWANCES*</t>
  </si>
  <si>
    <t>K: Financial PerformanceEXPENDITUREEMPLOYEE RELATED COSTSREMUNERATIONALLOWANCES*</t>
  </si>
  <si>
    <t>I: Financial PerformanceEXPENDITUREEMPLOYEE RELATED COSTSREMUNERATIONPENSIONER ALLOWANCES</t>
  </si>
  <si>
    <t>K: Financial PerformanceEXPENDITUREEMPLOYEE RELATED COSTSREMUNERATIONPENSIONER ALLOWANCES</t>
  </si>
  <si>
    <t>I: Financial PerformanceEXPENDITUREEMPLOYEE RELATED COSTSREMUNERATIONHOUSING SUBSIDY</t>
  </si>
  <si>
    <t>K: Financial PerformanceEXPENDITUREEMPLOYEE RELATED COSTSREMUNERATIONHOUSING SUBSIDY</t>
  </si>
  <si>
    <t>I: Financial PerformanceEXPENDITUREEMPLOYEE RELATED COSTSREMUNERATIONOVERTIME</t>
  </si>
  <si>
    <t>K: Financial PerformanceEXPENDITUREEMPLOYEE RELATED COSTSREMUNERATIONOVERTIME</t>
  </si>
  <si>
    <t>I: Financial PerformanceEXPENDITUREEMPLOYEE RELATED COSTSREMUNERATIONBONUSES: LONG SERVICE</t>
  </si>
  <si>
    <t>K: Financial PerformanceEXPENDITUREEMPLOYEE RELATED COSTSREMUNERATIONBONUSES: LONG SERVICE</t>
  </si>
  <si>
    <t>I: Financial PerformanceEXPENDITUREEMPLOYEE RELATED COSTSREMUNERATIONLEAVE ENCASHED</t>
  </si>
  <si>
    <t>K: Financial PerformanceEXPENDITUREEMPLOYEE RELATED COSTSREMUNERATIONLEAVE ENCASHED</t>
  </si>
  <si>
    <t>I: Financial PerformanceEXPENDITUREEMPLOYEE RELATED COSTSREMUNERATIONCONTRIBUTION TO LEAVE FUND</t>
  </si>
  <si>
    <t>K: Financial PerformanceEXPENDITUREEMPLOYEE RELATED COSTSREMUNERATIONCONTRIBUTION TO LEAVE FUND</t>
  </si>
  <si>
    <t>I: Financial PerformanceEXPENDITUREEMPLOYEE RELATED COSTSREMUNERATIONBONUSES: SERVICE</t>
  </si>
  <si>
    <t>K: Financial PerformanceEXPENDITUREEMPLOYEE RELATED COSTSREMUNERATIONBONUSES: SERVICE</t>
  </si>
  <si>
    <t>I: Financial PerformanceEXPENDITUREEMPLOYEE RELATED COSTSREMUNERATIONBONUSES: PERFORMANCE</t>
  </si>
  <si>
    <t>K: Financial PerformanceEXPENDITUREEMPLOYEE RELATED COSTSREMUNERATIONBONUSES: PERFORMANCE</t>
  </si>
  <si>
    <t>I: Financial PerformanceEXPENDITUREEMPLOYEE RELATED COSTSSOCIAL CONTRIBUTIONSDEFINED BENEFITS: CURRENT SERVICE COST</t>
  </si>
  <si>
    <t>K: Financial PerformanceEXPENDITUREEMPLOYEE RELATED COSTSSOCIAL CONTRIBUTIONSDEFINED BENEFITS: CURRENT SERVICE COST</t>
  </si>
  <si>
    <t>I: Financial PerformanceEXPENDITUREEMPLOYEE RELATED COSTSSOCIAL CONTRIBUTIONSDEFINED BENEFITS: INTEREST COST</t>
  </si>
  <si>
    <t>K: Financial PerformanceEXPENDITUREEMPLOYEE RELATED COSTSSOCIAL CONTRIBUTIONSDEFINED BENEFITS: INTEREST COST</t>
  </si>
  <si>
    <t>I: Financial PerformanceEXPENDITUREEMPLOYEE RELATED COSTSSOCIAL CONTRIBUTIONSDEFINED BENEFITS: RETURN ON PLAN ASSETS</t>
  </si>
  <si>
    <t>K: Financial PerformanceEXPENDITUREEMPLOYEE RELATED COSTSSOCIAL CONTRIBUTIONSDEFINED BENEFITS: RETURN ON PLAN ASSETS</t>
  </si>
  <si>
    <t>I: Financial PerformanceEXPENDITUREEMPLOYEE RELATED COSTSSOCIAL CONTRIBUTIONSDEFINED BENEFITS: ACTUARIAL LOSSES / (GAINS)</t>
  </si>
  <si>
    <t>K: Financial PerformanceEXPENDITUREEMPLOYEE RELATED COSTSSOCIAL CONTRIBUTIONSDEFINED BENEFITS: ACTUARIAL LOSSES / (GAINS)</t>
  </si>
  <si>
    <t>I: Financial PerformanceEXPENDITUREREMUNERATION OF COUNCILLORSALLOWANCE: THE MAYOR</t>
  </si>
  <si>
    <t>K: Financial PerformanceEXPENDITUREREMUNERATION OF COUNCILLORSALLOWANCE: THE MAYOR</t>
  </si>
  <si>
    <t>I: Financial PerformanceEXPENDITUREREMUNERATION OF COUNCILLORSALLOWANCE: DEPUTY MAYOR</t>
  </si>
  <si>
    <t>K: Financial PerformanceEXPENDITUREREMUNERATION OF COUNCILLORSALLOWANCE: DEPUTY MAYOR</t>
  </si>
  <si>
    <t>I: Financial PerformanceEXPENDITUREREMUNERATION OF COUNCILLORSALLOWANCE: SPEAKER</t>
  </si>
  <si>
    <t>K: Financial PerformanceEXPENDITUREREMUNERATION OF COUNCILLORSALLOWANCE: SPEAKER</t>
  </si>
  <si>
    <t>I: Financial PerformanceEXPENDITUREREMUNERATION OF COUNCILLORSALLOWANCE: CHIEF WHIP</t>
  </si>
  <si>
    <t>K: Financial PerformanceEXPENDITUREREMUNERATION OF COUNCILLORSALLOWANCE: CHIEF WHIP</t>
  </si>
  <si>
    <t>I: Financial PerformanceEXPENDITUREREMUNERATION OF COUNCILLORSALLOWANCE: MAYORAL COMMITTEE</t>
  </si>
  <si>
    <t>K: Financial PerformanceEXPENDITUREREMUNERATION OF COUNCILLORSALLOWANCE: MAYORAL COMMITTEE</t>
  </si>
  <si>
    <t>I: Financial PerformanceEXPENDITUREREMUNERATION OF COUNCILLORSCOUNCILLOR ALLOWANCES</t>
  </si>
  <si>
    <t>K: Financial PerformanceEXPENDITUREREMUNERATION OF COUNCILLORSCOUNCILLOR ALLOWANCES</t>
  </si>
  <si>
    <t>I: Financial PerformanceEXPENDITUREREMUNERATION OF COUNCILLORSCONTRIBUTIONS: GROUP LIFE INSURANCE</t>
  </si>
  <si>
    <t>K: Financial PerformanceEXPENDITUREREMUNERATION OF COUNCILLORSCONTRIBUTIONS: GROUP LIFE INSURANCE</t>
  </si>
  <si>
    <t>I: Financial PerformanceEXPENDITUREREMUNERATION OF COUNCILLORSCONTRIBUTIONS: COUNCILLOR MEDICAL AID</t>
  </si>
  <si>
    <t>K: Financial PerformanceEXPENDITUREREMUNERATION OF COUNCILLORSCONTRIBUTIONS: COUNCILLOR MEDICAL AID</t>
  </si>
  <si>
    <t>I: Financial PerformanceEXPENDITUREREMUNERATION OF COUNCILLORSCONTRIBUTIONS: COUNCILLOR PENSION FUND</t>
  </si>
  <si>
    <t>K: Financial PerformanceEXPENDITUREREMUNERATION OF COUNCILLORSCONTRIBUTIONS: COUNCILLOR PENSION FUND</t>
  </si>
  <si>
    <t>I: Financial PerformanceEXPENDITUREREMUNERATION OF COUNCILLORSCONTRIBUTIONS: COUNCILLOR UIF</t>
  </si>
  <si>
    <t>K: Financial PerformanceEXPENDITUREREMUNERATION OF COUNCILLORSCONTRIBUTIONS: COUNCILLOR UIF</t>
  </si>
  <si>
    <t>I: Financial PerformanceEXPENDITUREREMUNERATION OF COUNCILLORSSKILLS DEVELOPMENT LEVY</t>
  </si>
  <si>
    <t>K: Financial PerformanceEXPENDITUREREMUNERATION OF COUNCILLORSSKILLS DEVELOPMENT LEVY</t>
  </si>
  <si>
    <t>I: Financial PerformanceEXPENDITUREREMUNERATION OF COUNCILLORSHOUSING SUBSIDY</t>
  </si>
  <si>
    <t>K: Financial PerformanceEXPENDITUREREMUNERATION OF COUNCILLORSHOUSING SUBSIDY</t>
  </si>
  <si>
    <t>I: Financial PerformanceEXPENDITUREREMUNERATION OF COUNCILLORSTELEPHONE ALLOWANCE</t>
  </si>
  <si>
    <t>K: Financial PerformanceEXPENDITUREREMUNERATION OF COUNCILLORSTELEPHONE ALLOWANCE</t>
  </si>
  <si>
    <t>I: Financial PerformanceEXPENDITUREREMUNERATION OF COUNCILLORSTRAVELLING ALLOWANCE</t>
  </si>
  <si>
    <t>K: Financial PerformanceEXPENDITUREREMUNERATION OF COUNCILLORSTRAVELLING ALLOWANCE</t>
  </si>
  <si>
    <t>I: Financial PerformanceEXPENDITUREDEPRECIATION AND AMORTISATIONDEPRECIATION ON ASSETS</t>
  </si>
  <si>
    <t>K: Financial PerformanceEXPENDITUREDEPRECIATION AND AMORTISATIONDEPRECIATION ON ASSETS</t>
  </si>
  <si>
    <t>I: Financial PerformanceEXPENDITUREDEPRECIATION AND AMORTISATIONAMORTISATION ON INTANGIBLES</t>
  </si>
  <si>
    <t>K: Financial PerformanceEXPENDITUREDEPRECIATION AND AMORTISATIONAMORTISATION ON INTANGIBLES</t>
  </si>
  <si>
    <t>I: Financial PerformanceEXPENDITUREINTEREST PAIDBank Overdraft</t>
  </si>
  <si>
    <t>K: Financial PerformanceEXPENDITUREINTEREST PAIDBank Overdraft</t>
  </si>
  <si>
    <t>I: Financial PerformanceEXPENDITUREINTEREST PAIDCreditors Overdue</t>
  </si>
  <si>
    <t>K: Financial PerformanceEXPENDITUREINTEREST PAIDCreditors Overdue</t>
  </si>
  <si>
    <t>I: Financial PerformanceEXPENDITUREINTEREST PAIDExternal Loans</t>
  </si>
  <si>
    <t>K: Financial PerformanceEXPENDITUREINTEREST PAIDExternal Loans</t>
  </si>
  <si>
    <t>I: Financial PerformanceEXPENDITUREINTEREST PAIDFinance Leases</t>
  </si>
  <si>
    <t>K: Financial PerformanceEXPENDITUREINTEREST PAIDFinance Leases</t>
  </si>
  <si>
    <t>I: Financial PerformanceEXPENDITUREINTEREST PAIDOperating Leases</t>
  </si>
  <si>
    <t>K: Financial PerformanceEXPENDITUREINTEREST PAIDOperating Leases</t>
  </si>
  <si>
    <t>I: Financial PerformanceEXPENDITUREINTEREST PAIDLandfill Provision</t>
  </si>
  <si>
    <t>K: Financial PerformanceEXPENDITUREINTEREST PAIDLandfill Provision</t>
  </si>
  <si>
    <t>I: Financial PerformanceEXPENDITUREBULK PURCHASESELECTRICITY</t>
  </si>
  <si>
    <t>K: Financial PerformanceEXPENDITUREBULK PURCHASESELECTRICITY</t>
  </si>
  <si>
    <t>I: Financial PerformanceEXPENDITUREBULK PURCHASESWATER</t>
  </si>
  <si>
    <t>K: Financial PerformanceEXPENDITUREBULK PURCHASESWATER</t>
  </si>
  <si>
    <t>I: Financial PerformanceEXPENDITURECONTRACTED SERVICESAllocations To Organs Of State</t>
  </si>
  <si>
    <t>K: Financial PerformanceEXPENDITURECONTRACTED SERVICESAllocations To Organs Of State</t>
  </si>
  <si>
    <t>I: Financial PerformanceEXPENDITURECONTRACTED SERVICESAssessment Services</t>
  </si>
  <si>
    <t>K: Financial PerformanceEXPENDITURECONTRACTED SERVICESAssessment Services</t>
  </si>
  <si>
    <t>I: Financial PerformanceEXPENDITURECONTRACTED SERVICESDelivery Of Accounts</t>
  </si>
  <si>
    <t>K: Financial PerformanceEXPENDITURECONTRACTED SERVICESDelivery Of Accounts</t>
  </si>
  <si>
    <t>I: Financial PerformanceEXPENDITURECONTRACTED SERVICESInternal Audit</t>
  </si>
  <si>
    <t>K: Financial PerformanceEXPENDITURECONTRACTED SERVICESInternal Audit</t>
  </si>
  <si>
    <t>I: Financial PerformanceEXPENDITURECONTRACTED SERVICESJob Creation</t>
  </si>
  <si>
    <t>K: Financial PerformanceEXPENDITURECONTRACTED SERVICESJob Creation</t>
  </si>
  <si>
    <t>I: Financial PerformanceEXPENDITURECONTRACTED SERVICESLegal Services</t>
  </si>
  <si>
    <t>K: Financial PerformanceEXPENDITURECONTRACTED SERVICESLegal Services</t>
  </si>
  <si>
    <t>I: Financial PerformanceEXPENDITURECONTRACTED SERVICESMeter Reading</t>
  </si>
  <si>
    <t>K: Financial PerformanceEXPENDITURECONTRACTED SERVICESMeter Reading</t>
  </si>
  <si>
    <t>I: Financial PerformanceEXPENDITURECONTRACTED SERVICESPre-Paid Vending Management</t>
  </si>
  <si>
    <t>K: Financial PerformanceEXPENDITURECONTRACTED SERVICESPre-Paid Vending Management</t>
  </si>
  <si>
    <t>I: Financial PerformanceEXPENDITURECONTRACTED SERVICESProfessional Fees</t>
  </si>
  <si>
    <t>K: Financial PerformanceEXPENDITURECONTRACTED SERVICESProfessional Fees</t>
  </si>
  <si>
    <t>I: Financial PerformanceEXPENDITURECONTRACTED SERVICESSecurity Services</t>
  </si>
  <si>
    <t>K: Financial PerformanceEXPENDITURECONTRACTED SERVICESSecurity Services</t>
  </si>
  <si>
    <t>I: Financial PerformanceEXPENDITURECONTRACTED SERVICESSewerage Purification</t>
  </si>
  <si>
    <t>K: Financial PerformanceEXPENDITURECONTRACTED SERVICESSewerage Purification</t>
  </si>
  <si>
    <t>I: Financial PerformanceEXPENDITURECONTRACTED SERVICESOther Contracted Services</t>
  </si>
  <si>
    <t>K: Financial PerformanceEXPENDITURECONTRACTED SERVICESOther Contracted Services</t>
  </si>
  <si>
    <t>I: Financial PerformanceEXPENDITUREGRANTS AND SUBSIDIES PAIDCONDITIONAL</t>
  </si>
  <si>
    <t>K: Financial PerformanceEXPENDITUREGRANTS AND SUBSIDIES PAIDCONDITIONAL</t>
  </si>
  <si>
    <t>I: Financial PerformanceEXPENDITUREGRANTS AND SUBSIDIES PAIDOPERATIONALCOMMUNITY PROJECTS</t>
  </si>
  <si>
    <t>K: Financial PerformanceEXPENDITUREGRANTS AND SUBSIDIES PAIDOPERATIONALCOMMUNITY PROJECTS</t>
  </si>
  <si>
    <t>I: Financial PerformanceEXPENDITUREGRANTS AND SUBSIDIES PAIDOPERATIONALLOW INCOME SUBSIDY / FREE BASIC SERVICES</t>
  </si>
  <si>
    <t>K: Financial PerformanceEXPENDITUREGRANTS AND SUBSIDIES PAIDOPERATIONALLOW INCOME SUBSIDY / FREE BASIC SERVICES</t>
  </si>
  <si>
    <t>I: Financial PerformanceEXPENDITUREGRANTS AND SUBSIDIES PAIDOPERATIONALOTHER</t>
  </si>
  <si>
    <t>K: Financial PerformanceEXPENDITUREGRANTS AND SUBSIDIES PAIDOPERATIONALOTHER</t>
  </si>
  <si>
    <t>I: Financial PerformanceEXPENDITURERESEARCH AND DEVELOPMENT COSTSELECTRICITY</t>
  </si>
  <si>
    <t>K: Financial PerformanceEXPENDITURERESEARCH AND DEVELOPMENT COSTSELECTRICITY</t>
  </si>
  <si>
    <t>I: Financial PerformanceEXPENDITURERESEARCH AND DEVELOPMENT COSTSWATER</t>
  </si>
  <si>
    <t>K: Financial PerformanceEXPENDITURERESEARCH AND DEVELOPMENT COSTSWATER</t>
  </si>
  <si>
    <t>I: Financial PerformanceEXPENDITUREOTHER EXPENDITUREEXTERNAL AUDIT FEES</t>
  </si>
  <si>
    <t>K: Financial PerformanceEXPENDITUREOTHER EXPENDITUREEXTERNAL AUDIT FEES</t>
  </si>
  <si>
    <t>X</t>
  </si>
  <si>
    <t>Accruals</t>
  </si>
  <si>
    <t>Vat Payable.</t>
  </si>
  <si>
    <t>Vat Receivable.</t>
  </si>
  <si>
    <t>Afs_Type</t>
  </si>
  <si>
    <t>FinPos_Type</t>
  </si>
  <si>
    <t>FinPerf_Type</t>
  </si>
  <si>
    <t>Input_Sign</t>
  </si>
  <si>
    <t>Fin_Year</t>
  </si>
  <si>
    <t>Output_Col</t>
  </si>
  <si>
    <t>Financial Position</t>
  </si>
  <si>
    <t>NON-CURRENT ASSETS</t>
  </si>
  <si>
    <t xml:space="preserve">Default </t>
  </si>
  <si>
    <t>B</t>
  </si>
  <si>
    <t>Financial Performance</t>
  </si>
  <si>
    <t>Opposite</t>
  </si>
  <si>
    <t>Prior</t>
  </si>
  <si>
    <t>C</t>
  </si>
  <si>
    <t>NON-CURRENT LIABILITIES</t>
  </si>
  <si>
    <t>APPROPRIATIONS</t>
  </si>
  <si>
    <t>Base</t>
  </si>
  <si>
    <t>D</t>
  </si>
  <si>
    <t>E</t>
  </si>
  <si>
    <t>COMMUNITY WEALTH</t>
  </si>
  <si>
    <t>F</t>
  </si>
  <si>
    <t>G</t>
  </si>
  <si>
    <t>H</t>
  </si>
  <si>
    <t>I</t>
  </si>
  <si>
    <t>J</t>
  </si>
  <si>
    <t>K</t>
  </si>
  <si>
    <t>L</t>
  </si>
  <si>
    <t>M</t>
  </si>
  <si>
    <t>N</t>
  </si>
  <si>
    <t>O</t>
  </si>
  <si>
    <t>G: Financial PositionCURRENT ASSETSCONSUMER DEBTORSService DebtorsHousing</t>
  </si>
  <si>
    <t>G: Financial PositionCURRENT ASSETSCONSUMER DEBTORSService DebtorsOther Consumer Services</t>
  </si>
  <si>
    <t>I: Financial PositionCURRENT ASSETSCONSUMER DEBTORSLess : Prov For ImpairmentHousing</t>
  </si>
  <si>
    <t>I: Financial PositionCURRENT ASSETSCONSUMER DEBTORSLess : Prov For ImpairmentOther Consumer Services</t>
  </si>
  <si>
    <t>N: Financial PositionCURRENT ASSETSCONSUMER DEBTORSService DebtorsHousing</t>
  </si>
  <si>
    <t>N: Financial PositionCURRENT ASSETSCONSUMER DEBTORSService DebtorsOther Consumer Services</t>
  </si>
  <si>
    <t>All Consumer Debtors</t>
  </si>
  <si>
    <t>I: Financial PositionCURRENT ASSETSCONSUMER DEBTORSLess : Prov For ImpairmentAssessment Rates</t>
  </si>
  <si>
    <t>K: Financial PositionCURRENT ASSETSNON-CURRENT ASSETS HELD-FOR-SALEProperty Held For Sale</t>
  </si>
  <si>
    <t>K: Financial PositionCURRENT ASSETSNON-CURRENT ASSETS HELD-FOR-SALEOther Assets Held-For-Sale</t>
  </si>
  <si>
    <t>N: Financial PositionCURRENT ASSETSNON-CURRENT ASSETS HELD-FOR-SALEProperty Held For Sale</t>
  </si>
  <si>
    <t>N: Financial PositionCURRENT ASSETSNON-CURRENT ASSETS HELD-FOR-SALEOther Assets Held-For-Sale</t>
  </si>
  <si>
    <t>K: Financial PositionCURRENT ASSETSNON-CURRENT ASSETS HELD-FOR-SALELiabilities: Assets Held-For-Sale</t>
  </si>
  <si>
    <t>N: Financial PositionCURRENT ASSETSNON-CURRENT ASSETS HELD-FOR-SALELiabilities: Assets Held-For-Sale</t>
  </si>
  <si>
    <t>Not Required for Interim FS</t>
  </si>
  <si>
    <t>Colour Legend</t>
  </si>
  <si>
    <t>Transfer in</t>
  </si>
  <si>
    <t>I: Financial PositionNON-CURRENT ASSETSINTANGIBLE ASSETSAccumulated RevaluationTransfer To Assets Held-For-Sale</t>
  </si>
  <si>
    <t>I: Financial PositionNON-CURRENT ASSETSINTANGIBLE ASSETSAccumulated RevaluationAdditions</t>
  </si>
  <si>
    <t>Surplus / (Deficit) realised from Revaluation - Additions</t>
  </si>
  <si>
    <t>Surplus / (Deficit) realised from Revaluation - Decreases</t>
  </si>
  <si>
    <t>I: Financial PositionNON-CURRENT ASSETSINTANGIBLE ASSETSAccumulated RevaluationDecreases</t>
  </si>
  <si>
    <t>K: Financial PositionNON-CURRENT ASSETSINTANGIBLE ASSETSAccumulated RevaluationBalance At Beginning Of Year</t>
  </si>
  <si>
    <t>K: Financial PositionNON-CURRENT ASSETSINTANGIBLE ASSETSAccumulated RevaluationAdditions</t>
  </si>
  <si>
    <t>K: Financial PositionNON-CURRENT ASSETSINTANGIBLE ASSETSAccumulated RevaluationDecreases</t>
  </si>
  <si>
    <t>K: Financial PositionNON-CURRENT ASSETSINTANGIBLE ASSETSAccumulated RevaluationDisposals</t>
  </si>
  <si>
    <t>K: Financial PositionNON-CURRENT ASSETSINTANGIBLE ASSETSAccumulated RevaluationTransfer To Assets Held-For-Sale</t>
  </si>
  <si>
    <t>K: Financial PositionNON-CURRENT ASSETSINVESTMENT PROPERTYHistorical Cost*Balance At Beginning Of Year</t>
  </si>
  <si>
    <t>K: Financial PositionNON-CURRENT ASSETSINVESTMENT PROPERTYAccumulated DepreciationBalance At Beginning Of Year</t>
  </si>
  <si>
    <t>K: Financial PositionNON-CURRENT ASSETSINVESTMENT PROPERTYAccumulated ImpairmentBalance At Beginning Of Year</t>
  </si>
  <si>
    <t>I: Financial PositionNON-CURRENT ASSETSINVESTMENT PROPERTYHistorical Cost*Additions</t>
  </si>
  <si>
    <t>I: Financial PositionNON-CURRENT ASSETSINVESTMENT PROPERTYAccumulated DepreciationAdditions</t>
  </si>
  <si>
    <t>I: Financial PositionNON-CURRENT ASSETSINVESTMENT PROPERTYAccumulated ImpairmentAdditions</t>
  </si>
  <si>
    <t>I: Financial PositionNON-CURRENT ASSETSINVESTMENT PROPERTYAccumulated DepreciationDisposals</t>
  </si>
  <si>
    <t>I: Financial PositionNON-CURRENT ASSETSINVESTMENT PROPERTYAccumulated ImpairmentDisposals</t>
  </si>
  <si>
    <t>I: Financial PositionNON-CURRENT ASSETSINVESTMENT PROPERTYHistorical Cost*Disposals</t>
  </si>
  <si>
    <t>K: Financial PositionNON-CURRENT ASSETSINVESTMENT PROPERTYHistorical Cost*Additions</t>
  </si>
  <si>
    <t>K: Financial PositionNON-CURRENT ASSETSINVESTMENT PROPERTYAccumulated DepreciationAdditions</t>
  </si>
  <si>
    <t>K: Financial PositionNON-CURRENT ASSETSINVESTMENT PROPERTYAccumulated ImpairmentAdditions</t>
  </si>
  <si>
    <t>K: Financial PositionNON-CURRENT ASSETSINVESTMENT PROPERTYHistorical Cost*Disposals</t>
  </si>
  <si>
    <t>K: Financial PositionNON-CURRENT ASSETSINVESTMENT PROPERTYAccumulated DepreciationDisposals</t>
  </si>
  <si>
    <t>K: Financial PositionNON-CURRENT ASSETSINVESTMENT PROPERTYAccumulated ImpairmentDisposals</t>
  </si>
  <si>
    <t>I: Financial PositionNON-CURRENT ASSETSINVESTMENT PROPERTYAccumulated ImpairmentReversals</t>
  </si>
  <si>
    <t>K: Financial PositionNON-CURRENT ASSETSINVESTMENT PROPERTYAccumulated ImpairmentReversals</t>
  </si>
  <si>
    <t>I: Financial PositionNON-CURRENT ASSETSINVESTMENT PROPERTYHistorical Cost*Transfer*</t>
  </si>
  <si>
    <t>I: Financial PositionNON-CURRENT ASSETSINVESTMENT PROPERTYAccumulated ImpairmentTransfer*</t>
  </si>
  <si>
    <t>I: Financial PositionNON-CURRENT ASSETSINVESTMENT PROPERTYAccumulated DepreciationTransfer*</t>
  </si>
  <si>
    <t>Other Finance Leases</t>
  </si>
  <si>
    <t>G: Financial PositionNON-CURRENT ASSETSLONG-TERM DEBTORSLong Term LoansHousing Loans</t>
  </si>
  <si>
    <t>G: Financial PositionNON-CURRENT ASSETSLONG-TERM DEBTORSLong Term LoansDebtors Capitalised Loans</t>
  </si>
  <si>
    <t>G: Financial PositionNON-CURRENT ASSETSLONG-TERM DEBTORSLong Term LoansRemoval Cost Loans</t>
  </si>
  <si>
    <t>G: Financial PositionNON-CURRENT ASSETSLONG-TERM DEBTORSLong Term LoansSale of Stand Loans</t>
  </si>
  <si>
    <t>G: Financial PositionNON-CURRENT ASSETSLONG-TERM DEBTORSLong Term LoansStudy Loans</t>
  </si>
  <si>
    <t>G: Financial PositionNON-CURRENT ASSETSLONG-TERM DEBTORSLong Term LoansVehicle Loans</t>
  </si>
  <si>
    <t>I: Financial PositionNON-CURRENT ASSETSLONG-TERM DEBTORSLess : Provision For Impairment</t>
  </si>
  <si>
    <t>K: Financial PositionNON-CURRENT ASSETSLONG-TERM DEBTORSLess : St Portion To Current AssetsSt Portion: Long Term LoansDebtors Capitalised Loans</t>
  </si>
  <si>
    <t>K: Financial PositionNON-CURRENT ASSETSLONG-TERM DEBTORSLess : St Portion To Current AssetsSt Portion: Long Term LoansHousing Loans</t>
  </si>
  <si>
    <t>K: Financial PositionNON-CURRENT ASSETSLONG-TERM DEBTORSLess : St Portion To Current AssetsSt Portion: Long Term LoansRemoval Cost Loans</t>
  </si>
  <si>
    <t>K: Financial PositionNON-CURRENT ASSETSLONG-TERM DEBTORSLess : St Portion To Current AssetsSt Portion: Long Term LoansSale of Stand Loans</t>
  </si>
  <si>
    <t>K: Financial PositionNON-CURRENT ASSETSLONG-TERM DEBTORSLess : St Portion To Current AssetsSt Portion: Long Term LoansStudy Loans</t>
  </si>
  <si>
    <t>K: Financial PositionNON-CURRENT ASSETSLONG-TERM DEBTORSLess : St Portion To Current AssetsSt Portion: Long Term LoansVehicle Loans</t>
  </si>
  <si>
    <t>N: Financial PositionNON-CURRENT ASSETSLONG-TERM DEBTORSLess : Provision For Impairment</t>
  </si>
  <si>
    <t>N: Financial PositionNON-CURRENT ASSETSLONG-TERM DEBTORSLong Term Loans*</t>
  </si>
  <si>
    <t>N: Financial PositionNON-CURRENT ASSETSLONG-TERM DEBTORSLess : St Portion To Current AssetsSt Portion: Long Term Loans</t>
  </si>
  <si>
    <t>I: Financial PositionNON-CURRENT ASSETSLONG-TERM DEBTORSLess : Provision For ImpairmentImpairment Recognised / Provided For</t>
  </si>
  <si>
    <t>I: Financial PositionNON-CURRENT ASSETSLONG-TERM DEBTORSLess : Provision For ImpairmentImpairment Reversed</t>
  </si>
  <si>
    <t>I: Financial PositionNON-CURRENT ASSETSLONG-TERM DEBTORSLess : Provision For ImpairmentBad Debts Written Off</t>
  </si>
  <si>
    <t>I: Financial PositionNON-CURRENT ASSETSLONG-TERM DEBTORSLess : Provision For ImpairmentBad Debts Recovered</t>
  </si>
  <si>
    <t>K: Financial PositionNON-CURRENT ASSETSLONG-TERM DEBTORSLess : Provision For ImpairmentImpairment Recognised / Provided For</t>
  </si>
  <si>
    <t>K: Financial PositionNON-CURRENT ASSETSLONG-TERM DEBTORSLess : Provision For ImpairmentImpairment Reversed</t>
  </si>
  <si>
    <t>K: Financial PositionNON-CURRENT ASSETSLONG-TERM DEBTORSLess : Provision For ImpairmentBad Debts Written Off</t>
  </si>
  <si>
    <t>K: Financial PositionNON-CURRENT ASSETSLONG-TERM DEBTORSLess : Provision For ImpairmentBad Debts Recovered</t>
  </si>
  <si>
    <t>N: Financial PositionCURRENT LIABILITIESPROVISIONS</t>
  </si>
  <si>
    <t>Staff Salaries</t>
  </si>
  <si>
    <t>N: Financial PositionNON-CURRENT LIABILITIESNON-CURRENT PROVISIONSCleaning Of Illegal Dumping</t>
  </si>
  <si>
    <t>N: Financial PositionNON-CURRENT LIABILITIESNON-CURRENT PROVISIONSClearing Of Alien Vegetation</t>
  </si>
  <si>
    <t>N: Financial PositionNON-CURRENT LIABILITIESNON-CURRENT PROVISIONSLong-Term Service</t>
  </si>
  <si>
    <t>N: Financial PositionNON-CURRENT LIABILITIESNON-CURRENT PROVISIONSRehabilitation Of Land-Fill Sites</t>
  </si>
  <si>
    <t>N: Financial PositionCOMMUNITY WEALTHSTATUTORY FUNDS</t>
  </si>
  <si>
    <t>Residential &amp; Commercial</t>
  </si>
  <si>
    <t>Informal Settlements</t>
  </si>
  <si>
    <t>I: Financial PerformanceREVENUEPROPERTY RATESTOTALEDUCATIONAL</t>
  </si>
  <si>
    <t>K: Financial PerformanceREVENUEPROPERTY RATESTOTALEDUCATIONAL</t>
  </si>
  <si>
    <t>Institutional</t>
  </si>
  <si>
    <t>Educational</t>
  </si>
  <si>
    <t>N: Financial PerformanceREVENUEPROPERTY RATESTOTALRESIDENTIAL ONLY</t>
  </si>
  <si>
    <t>N: Financial PerformanceREVENUEPROPERTY RATESTOTALCOMMERCIAL</t>
  </si>
  <si>
    <t>N: Financial PerformanceREVENUEPROPERTY RATESTOTALRESIDENTIAL AND COMMERCIAL</t>
  </si>
  <si>
    <t>N: Financial PerformanceREVENUEPROPERTY RATESTOTALINDUSTRIAL</t>
  </si>
  <si>
    <t>N: Financial PerformanceREVENUEPROPERTY RATESTOTALAGRICULTURAL</t>
  </si>
  <si>
    <t>N: Financial PerformanceREVENUEPROPERTY RATESTOTALGOVERNMENTAL</t>
  </si>
  <si>
    <t>N: Financial PerformanceREVENUEPROPERTY RATESTOTALMUNICIPAL</t>
  </si>
  <si>
    <t>N: Financial PerformanceREVENUEPROPERTY RATESTOTALEDUCATIONAL</t>
  </si>
  <si>
    <t>N: Financial PerformanceREVENUEPROPERTY RATESTOTALINSTITUTIONAL</t>
  </si>
  <si>
    <t>N: Financial PerformanceREVENUEPROPERTY RATESTOTALINFORMAL SETTLEMENTS</t>
  </si>
  <si>
    <t>K: Financial PositionCURRENT LIABILITIESUNSPENT CONDITIONAL GRANTSNational Government:DEPT MINERALS &amp; ENERGY (DME)Balance Beginning Of Year</t>
  </si>
  <si>
    <t>K: Financial PositionCURRENT LIABILITIESUNSPENT CONDITIONAL GRANTSNational Government:DEPT MINERALS &amp; ENERGY (DME)Received During The Year</t>
  </si>
  <si>
    <t>K: Financial PositionCURRENT LIABILITIESUNSPENT CONDITIONAL GRANTSNational Government:DEPT MINERALS &amp; ENERGY (DME)Interest For Year</t>
  </si>
  <si>
    <t>K: Financial PositionCURRENT LIABILITIESUNSPENT CONDITIONAL GRANTSNational Government:DEPT MINERALS &amp; ENERGY (DME)T/Fer To Revenue - Conditions Met: Operating</t>
  </si>
  <si>
    <t>K: Financial PositionCURRENT LIABILITIESUNSPENT CONDITIONAL GRANTSNational Government:DEPT MINERALS &amp; ENERGY (DME)T/Fer To Revenue - Conditions Met: Capital</t>
  </si>
  <si>
    <t>I: Financial PositionCURRENT LIABILITIESUNSPENT CONDITIONAL GRANTSNational Government:DEPT MINERALS &amp; ENERGY (DME)Received During The Year</t>
  </si>
  <si>
    <t>I: Financial PositionCURRENT LIABILITIESUNSPENT CONDITIONAL GRANTSNational Government:DEPT MINERALS &amp; ENERGY (DME)Interest For Year</t>
  </si>
  <si>
    <t>I: Financial PositionCURRENT LIABILITIESUNSPENT CONDITIONAL GRANTSNational Government:DEPT MINERALS &amp; ENERGY (DME)T/Fer To Revenue - Conditions Met: Operating</t>
  </si>
  <si>
    <t>I: Financial PositionCURRENT LIABILITIESUNSPENT CONDITIONAL GRANTSNational Government:DEPT MINERALS &amp; ENERGY (DME)T/Fer To Revenue - Conditions Met: Capital</t>
  </si>
  <si>
    <t>K: Financial PositionCURRENT LIABILITIESUNSPENT CONDITIONAL GRANTSNational Government:DEPT SPORT &amp; DEVELOPMENTBalance Beginning Of Year</t>
  </si>
  <si>
    <t>K: Financial PositionCURRENT LIABILITIESUNSPENT CONDITIONAL GRANTSNational Government:DEPT SPORT &amp; DEVELOPMENTReceived During The Year</t>
  </si>
  <si>
    <t>K: Financial PositionCURRENT LIABILITIESUNSPENT CONDITIONAL GRANTSNational Government:DEPT SPORT &amp; DEVELOPMENTInterest For Year</t>
  </si>
  <si>
    <t>K: Financial PositionCURRENT LIABILITIESUNSPENT CONDITIONAL GRANTSNational Government:DEPT SPORT &amp; DEVELOPMENTT/Fer To Revenue - Conditions Met: Operating</t>
  </si>
  <si>
    <t>K: Financial PositionCURRENT LIABILITIESUNSPENT CONDITIONAL GRANTSNational Government:DEPT SPORT &amp; DEVELOPMENTT/Fer To Revenue - Conditions Met: Capital</t>
  </si>
  <si>
    <t>I: Financial PositionCURRENT LIABILITIESUNSPENT CONDITIONAL GRANTSNational Government:DEPT SPORT &amp; DEVELOPMENTReceived During The Year</t>
  </si>
  <si>
    <t>I: Financial PositionCURRENT LIABILITIESUNSPENT CONDITIONAL GRANTSNational Government:DEPT SPORT &amp; DEVELOPMENTInterest For Year</t>
  </si>
  <si>
    <t>I: Financial PositionCURRENT LIABILITIESUNSPENT CONDITIONAL GRANTSNational Government:DEPT SPORT &amp; DEVELOPMENTT/Fer To Revenue - Conditions Met: Operating</t>
  </si>
  <si>
    <t>I: Financial PositionCURRENT LIABILITIESUNSPENT CONDITIONAL GRANTSNational Government:DEPT SPORT &amp; DEVELOPMENTT/Fer To Revenue - Conditions Met: Capital</t>
  </si>
  <si>
    <t>K: Financial PositionCURRENT LIABILITIESUNSPENT CONDITIONAL GRANTSProvincial Government:OFFICE OF THE PREMIERBalance Beginning Of Year</t>
  </si>
  <si>
    <t>K: Financial PositionCURRENT LIABILITIESUNSPENT CONDITIONAL GRANTSProvincial Government:OFFICE OF THE PREMIERReceived During The Year</t>
  </si>
  <si>
    <t>K: Financial PositionCURRENT LIABILITIESUNSPENT CONDITIONAL GRANTSProvincial Government:OFFICE OF THE PREMIERInterest For Year</t>
  </si>
  <si>
    <t>K: Financial PositionCURRENT LIABILITIESUNSPENT CONDITIONAL GRANTSProvincial Government:OFFICE OF THE PREMIERT/Fer To Revenue - Conditions Met: Operating</t>
  </si>
  <si>
    <t>K: Financial PositionCURRENT LIABILITIESUNSPENT CONDITIONAL GRANTSProvincial Government:OFFICE OF THE PREMIERT/Fer To Revenue - Conditions Met: Capital</t>
  </si>
  <si>
    <t>I: Financial PositionCURRENT LIABILITIESUNSPENT CONDITIONAL GRANTSProvincial Government:OFFICE OF THE PREMIERReceived During The Year</t>
  </si>
  <si>
    <t>I: Financial PositionCURRENT LIABILITIESUNSPENT CONDITIONAL GRANTSProvincial Government:OFFICE OF THE PREMIERInterest For Year</t>
  </si>
  <si>
    <t>I: Financial PositionCURRENT LIABILITIESUNSPENT CONDITIONAL GRANTSProvincial Government:OFFICE OF THE PREMIERT/Fer To Revenue - Conditions Met: Operating</t>
  </si>
  <si>
    <t>I: Financial PositionCURRENT LIABILITIESUNSPENT CONDITIONAL GRANTSProvincial Government:OFFICE OF THE PREMIERT/Fer To Revenue - Conditions Met: Capital</t>
  </si>
  <si>
    <t>K: Financial PositionCURRENT LIABILITIESUNSPENT CONDITIONAL GRANTSLocal Government:WATERBERG DISTRICT MUNICIPALITYBalance Beginning Of Year</t>
  </si>
  <si>
    <t>K: Financial PositionCURRENT LIABILITIESUNSPENT CONDITIONAL GRANTSLocal Government:WATERBERG DISTRICT MUNICIPALITYReceived During The Year</t>
  </si>
  <si>
    <t>K: Financial PositionCURRENT LIABILITIESUNSPENT CONDITIONAL GRANTSLocal Government:WATERBERG DISTRICT MUNICIPALITYInterest For Year</t>
  </si>
  <si>
    <t>K: Financial PositionCURRENT LIABILITIESUNSPENT CONDITIONAL GRANTSLocal Government:WATERBERG DISTRICT MUNICIPALITYT/Fer To Revenue - Conditions Met: Operating</t>
  </si>
  <si>
    <t>K: Financial PositionCURRENT LIABILITIESUNSPENT CONDITIONAL GRANTSLocal Government:WATERBERG DISTRICT MUNICIPALITYT/Fer To Revenue - Conditions Met: Capital</t>
  </si>
  <si>
    <t>I: Financial PositionCURRENT LIABILITIESUNSPENT CONDITIONAL GRANTSLocal Government:WATERBERG DISTRICT MUNICIPALITYReceived During The Year</t>
  </si>
  <si>
    <t>I: Financial PositionCURRENT LIABILITIESUNSPENT CONDITIONAL GRANTSLocal Government:WATERBERG DISTRICT MUNICIPALITYInterest For Year</t>
  </si>
  <si>
    <t>I: Financial PositionCURRENT LIABILITIESUNSPENT CONDITIONAL GRANTSLocal Government:WATERBERG DISTRICT MUNICIPALITYT/Fer To Revenue - Conditions Met: Operating</t>
  </si>
  <si>
    <t>I: Financial PositionCURRENT LIABILITIESUNSPENT CONDITIONAL GRANTSLocal Government:WATERBERG DISTRICT MUNICIPALITYT/Fer To Revenue - Conditions Met: Capital</t>
  </si>
  <si>
    <t>K: Financial PositionCURRENT LIABILITIESUNSPENT CONDITIONAL GRANTSLocal Government:LOCAL GOVERNMENT EDUCATION FUNDBalance Beginning Of Year</t>
  </si>
  <si>
    <t>K: Financial PositionCURRENT LIABILITIESUNSPENT CONDITIONAL GRANTSLocal Government:LOCAL GOVERNMENT EDUCATION FUNDReceived During The Year</t>
  </si>
  <si>
    <t>K: Financial PositionCURRENT LIABILITIESUNSPENT CONDITIONAL GRANTSLocal Government:LOCAL GOVERNMENT EDUCATION FUNDInterest For Year</t>
  </si>
  <si>
    <t>K: Financial PositionCURRENT LIABILITIESUNSPENT CONDITIONAL GRANTSLocal Government:LOCAL GOVERNMENT EDUCATION FUNDT/Fer To Revenue - Conditions Met: Operating</t>
  </si>
  <si>
    <t>K: Financial PositionCURRENT LIABILITIESUNSPENT CONDITIONAL GRANTSLocal Government:LOCAL GOVERNMENT EDUCATION FUNDT/Fer To Revenue - Conditions Met: Capital</t>
  </si>
  <si>
    <t>I: Financial PositionCURRENT LIABILITIESUNSPENT CONDITIONAL GRANTSLocal Government:LOCAL GOVERNMENT EDUCATION FUNDReceived During The Year</t>
  </si>
  <si>
    <t>I: Financial PositionCURRENT LIABILITIESUNSPENT CONDITIONAL GRANTSLocal Government:LOCAL GOVERNMENT EDUCATION FUNDInterest For Year</t>
  </si>
  <si>
    <t>I: Financial PositionCURRENT LIABILITIESUNSPENT CONDITIONAL GRANTSLocal Government:LOCAL GOVERNMENT EDUCATION FUNDT/Fer To Revenue - Conditions Met: Operating</t>
  </si>
  <si>
    <t>I: Financial PositionCURRENT LIABILITIESUNSPENT CONDITIONAL GRANTSLocal Government:LOCAL GOVERNMENT EDUCATION FUNDT/Fer To Revenue - Conditions Met: Capital</t>
  </si>
  <si>
    <t>K: Financial PositionCURRENT LIABILITIESUNSPENT CONDITIONAL GRANTSOther Government:NATIONAL LOTTERY FUNDBalance Beginning Of Year</t>
  </si>
  <si>
    <t>K: Financial PositionCURRENT LIABILITIESUNSPENT CONDITIONAL GRANTSOther Government:NATIONAL LOTTERY FUNDReceived During The Year</t>
  </si>
  <si>
    <t>K: Financial PositionCURRENT LIABILITIESUNSPENT CONDITIONAL GRANTSOther Government:NATIONAL LOTTERY FUNDInterest For Year</t>
  </si>
  <si>
    <t>K: Financial PositionCURRENT LIABILITIESUNSPENT CONDITIONAL GRANTSOther Government:NATIONAL LOTTERY FUNDT/Fer To Revenue - Conditions Met: Operating</t>
  </si>
  <si>
    <t>K: Financial PositionCURRENT LIABILITIESUNSPENT CONDITIONAL GRANTSOther Government:NATIONAL LOTTERY FUNDT/Fer To Revenue - Conditions Met: Capital</t>
  </si>
  <si>
    <t>I: Financial PositionCURRENT LIABILITIESUNSPENT CONDITIONAL GRANTSOther Government:NATIONAL LOTTERY FUNDReceived During The Year</t>
  </si>
  <si>
    <t>I: Financial PositionCURRENT LIABILITIESUNSPENT CONDITIONAL GRANTSOther Government:NATIONAL LOTTERY FUNDInterest For Year</t>
  </si>
  <si>
    <t>I: Financial PositionCURRENT LIABILITIESUNSPENT CONDITIONAL GRANTSOther Government:NATIONAL LOTTERY FUNDT/Fer To Revenue - Conditions Met: Operating</t>
  </si>
  <si>
    <t>I: Financial PositionCURRENT LIABILITIESUNSPENT CONDITIONAL GRANTSOther Government:NATIONAL LOTTERY FUNDT/Fer To Revenue - Conditions Met: Capital</t>
  </si>
  <si>
    <t>K: Financial PositionCURRENT LIABILITIESUNSPENT CONDITIONAL GRANTSOther Government:NATIONAL ROADS AGENCYBalance Beginning Of Year</t>
  </si>
  <si>
    <t>K: Financial PositionCURRENT LIABILITIESUNSPENT CONDITIONAL GRANTSOther Government:NATIONAL ROADS AGENCYReceived During The Year</t>
  </si>
  <si>
    <t>K: Financial PositionCURRENT LIABILITIESUNSPENT CONDITIONAL GRANTSOther Government:NATIONAL ROADS AGENCYT/Fer To Revenue - Conditions Met: Operating</t>
  </si>
  <si>
    <t>K: Financial PositionCURRENT LIABILITIESUNSPENT CONDITIONAL GRANTSOther Government:NATIONAL ROADS AGENCYT/Fer To Revenue - Conditions Met: Capital</t>
  </si>
  <si>
    <t>I: Financial PositionCURRENT LIABILITIESUNSPENT CONDITIONAL GRANTSOther Government:NATIONAL ROADS AGENCYReceived During The Year</t>
  </si>
  <si>
    <t>I: Financial PositionCURRENT LIABILITIESUNSPENT CONDITIONAL GRANTSOther Government:NATIONAL ROADS AGENCYT/Fer To Revenue - Conditions Met: Operating</t>
  </si>
  <si>
    <t>I: Financial PositionCURRENT LIABILITIESUNSPENT CONDITIONAL GRANTSOther Government:NATIONAL ROADS AGENCYT/Fer To Revenue - Conditions Met: Capital</t>
  </si>
  <si>
    <t>K: Financial PositionCURRENT LIABILITIESUNSPENT CONDITIONAL GRANTSPublic:DEVELOPMENT CONTRIBUTIONSBalance Beginning Of Year</t>
  </si>
  <si>
    <t>K: Financial PositionCURRENT LIABILITIESUNSPENT CONDITIONAL GRANTSPublic:DEVELOPMENT CONTRIBUTIONSReceived During The Year</t>
  </si>
  <si>
    <t>K: Financial PositionCURRENT LIABILITIESUNSPENT CONDITIONAL GRANTSPublic:DEVELOPMENT CONTRIBUTIONSInterest For Year</t>
  </si>
  <si>
    <t>K: Financial PositionCURRENT LIABILITIESUNSPENT CONDITIONAL GRANTSPublic:DEVELOPMENT CONTRIBUTIONST/Fer To Revenue - Conditions Met: Operating</t>
  </si>
  <si>
    <t>K: Financial PositionCURRENT LIABILITIESUNSPENT CONDITIONAL GRANTSPublic:DEVELOPMENT CONTRIBUTIONST/Fer To Revenue - Conditions Met: Capital</t>
  </si>
  <si>
    <t>K: Financial PositionCURRENT LIABILITIESUNSPENT CONDITIONAL GRANTSOther Government:NATIONAL ROADS AGENCYInterest For Year</t>
  </si>
  <si>
    <t>I: Financial PositionCURRENT LIABILITIESUNSPENT CONDITIONAL GRANTSOther Government:NATIONAL ROADS AGENCYInterest For Year</t>
  </si>
  <si>
    <t>I: Financial PositionCURRENT LIABILITIESUNSPENT CONDITIONAL GRANTSPublic:DEVELOPMENT CONTRIBUTIONSReceived During The Year</t>
  </si>
  <si>
    <t>I: Financial PositionCURRENT LIABILITIESUNSPENT CONDITIONAL GRANTSPublic:DEVELOPMENT CONTRIBUTIONSInterest For Year</t>
  </si>
  <si>
    <t>I: Financial PositionCURRENT LIABILITIESUNSPENT CONDITIONAL GRANTSPublic:DEVELOPMENT CONTRIBUTIONST/Fer To Revenue - Conditions Met: Operating</t>
  </si>
  <si>
    <t>I: Financial PositionCURRENT LIABILITIESUNSPENT CONDITIONAL GRANTSPublic:DEVELOPMENT CONTRIBUTIONST/Fer To Revenue - Conditions Met: Capital</t>
  </si>
  <si>
    <t>K: Financial PositionCURRENT LIABILITIESUNSPENT CONDITIONAL GRANTSPublic:EUROPEAN UNIONBalance Beginning Of Year</t>
  </si>
  <si>
    <t>K: Financial PositionCURRENT LIABILITIESUNSPENT CONDITIONAL GRANTSPublic:EUROPEAN UNIONReceived During The Year</t>
  </si>
  <si>
    <t>K: Financial PositionCURRENT LIABILITIESUNSPENT CONDITIONAL GRANTSPublic:EUROPEAN UNIONInterest For Year</t>
  </si>
  <si>
    <t>K: Financial PositionCURRENT LIABILITIESUNSPENT CONDITIONAL GRANTSPublic:EUROPEAN UNIONT/Fer To Revenue - Conditions Met: Operating</t>
  </si>
  <si>
    <t>K: Financial PositionCURRENT LIABILITIESUNSPENT CONDITIONAL GRANTSPublic:EUROPEAN UNIONT/Fer To Revenue - Conditions Met: Capital</t>
  </si>
  <si>
    <t>I: Financial PositionCURRENT LIABILITIESUNSPENT CONDITIONAL GRANTSPublic:EUROPEAN UNIONReceived During The Year</t>
  </si>
  <si>
    <t>I: Financial PositionCURRENT LIABILITIESUNSPENT CONDITIONAL GRANTSPublic:EUROPEAN UNIONInterest For Year</t>
  </si>
  <si>
    <t>I: Financial PositionCURRENT LIABILITIESUNSPENT CONDITIONAL GRANTSPublic:EUROPEAN UNIONT/Fer To Revenue - Conditions Met: Operating</t>
  </si>
  <si>
    <t>I: Financial PositionCURRENT LIABILITIESUNSPENT CONDITIONAL GRANTSPublic:EUROPEAN UNIONT/Fer To Revenue - Conditions Met: Capital</t>
  </si>
  <si>
    <t>K: Financial PositionCURRENT LIABILITIESUNSPENT CONDITIONAL GRANTSPublic:PPL MINEBalance Beginning Of Year</t>
  </si>
  <si>
    <t>K: Financial PositionCURRENT LIABILITIESUNSPENT CONDITIONAL GRANTSPublic:PPL MINEReceived During The Year</t>
  </si>
  <si>
    <t>K: Financial PositionCURRENT LIABILITIESUNSPENT CONDITIONAL GRANTSPublic:PPL MINEInterest For Year</t>
  </si>
  <si>
    <t>K: Financial PositionCURRENT LIABILITIESUNSPENT CONDITIONAL GRANTSPublic:PPL MINET/Fer To Revenue - Conditions Met: Operating</t>
  </si>
  <si>
    <t>K: Financial PositionCURRENT LIABILITIESUNSPENT CONDITIONAL GRANTSPublic:PPL MINET/Fer To Revenue - Conditions Met: Capital</t>
  </si>
  <si>
    <t>I: Financial PositionCURRENT LIABILITIESUNSPENT CONDITIONAL GRANTSPublic:PPL MINEReceived During The Year</t>
  </si>
  <si>
    <t>I: Financial PositionCURRENT LIABILITIESUNSPENT CONDITIONAL GRANTSPublic:PPL MINEInterest For Year</t>
  </si>
  <si>
    <t>I: Financial PositionCURRENT LIABILITIESUNSPENT CONDITIONAL GRANTSPublic:PPL MINET/Fer To Revenue - Conditions Met: Operating</t>
  </si>
  <si>
    <t>I: Financial PositionCURRENT LIABILITIESUNSPENT CONDITIONAL GRANTSPublic:PPL MINET/Fer To Revenue - Conditions Met: Capital</t>
  </si>
  <si>
    <t>Town Planning Fees</t>
  </si>
  <si>
    <t>Sundry Income</t>
  </si>
  <si>
    <t>Vat Review Refund</t>
  </si>
  <si>
    <t>Interdepartmental Charges</t>
  </si>
  <si>
    <t>Deputy Mayor</t>
  </si>
  <si>
    <t>Creditors Overdue</t>
  </si>
  <si>
    <t>Operating Leases</t>
  </si>
  <si>
    <t>Landfill Provision</t>
  </si>
  <si>
    <t>I: Financial PerformanceEXPENDITURECONTRACTED SERVICESWATER PURIFICATION</t>
  </si>
  <si>
    <t>K: Financial PerformanceEXPENDITURECONTRACTED SERVICESWATER PURIFICATION</t>
  </si>
  <si>
    <t>Internal Audit</t>
  </si>
  <si>
    <t>Job Creation</t>
  </si>
  <si>
    <t>Legal Services</t>
  </si>
  <si>
    <t>Meter Reading</t>
  </si>
  <si>
    <t>Pre-Paid Vending Management</t>
  </si>
  <si>
    <t>Sewerage Purification</t>
  </si>
  <si>
    <t>Water Purification</t>
  </si>
  <si>
    <t>Conditional Grants Paid</t>
  </si>
  <si>
    <t>I: Financial PerformanceEXPENDITUREOTHER LOSSES ON CONTINUED OPERATIONS</t>
  </si>
  <si>
    <t>I: Financial PerformanceREVENUEOTHER GAINS ON CONTINUED OPERATIONS</t>
  </si>
  <si>
    <t>Oterh Gains on Continued Operations</t>
  </si>
  <si>
    <t>K: Financial PerformanceEXPENDITUREOTHER LOSSES ON CONTINUED OPERATIONS</t>
  </si>
  <si>
    <t>K: Financial PerformanceREVENUEOTHER GAINS ON CONTINUED OPERATIONS</t>
  </si>
  <si>
    <t>Opposite : Current</t>
  </si>
  <si>
    <t>Opposite : Prior</t>
  </si>
  <si>
    <t>National: National Treasury</t>
  </si>
  <si>
    <t>I: Financial PerformanceEXPENDITUREOTHER EXPENDITURECONTRIBUTIONS TO 'OTHER' PROVISIONS</t>
  </si>
  <si>
    <t>I: Financial PerformanceEXPENDITUREOTHER EXPENDITUREADVERTISING</t>
  </si>
  <si>
    <t>I: Financial PerformanceEXPENDITUREOTHER EXPENDITURECONNECTION FEES</t>
  </si>
  <si>
    <t>I: Financial PerformanceEXPENDITUREOTHER EXPENDITUREELECTRICITY</t>
  </si>
  <si>
    <t>I: Financial PerformanceEXPENDITUREOTHER EXPENDITUREINSURANCE</t>
  </si>
  <si>
    <t>I: Financial PerformanceEXPENDITUREOTHER EXPENDITURELEGAL COST</t>
  </si>
  <si>
    <t>I: Financial PerformanceEXPENDITUREOTHER EXPENDITURETELEPHONE COST</t>
  </si>
  <si>
    <t>I: Financial PerformanceEXPENDITUREOTHER EXPENDITURETRANSPORT COST</t>
  </si>
  <si>
    <t>I: Financial PerformanceEXPENDITUREOTHER EXPENDITURETRAVELLING AND SUBSISTENCE</t>
  </si>
  <si>
    <t>I: Financial PerformanceEXPENDITUREOTHER EXPENDITUREURBAN GREENING PROGRAMME</t>
  </si>
  <si>
    <t>I: Financial PerformanceEXPENDITUREOTHER EXPENDITUREWARD COMMITTEE MANAGEMENT</t>
  </si>
  <si>
    <t>I: Financial PerformanceEXPENDITUREOTHER EXPENDITUREGENERAL EXPENSES</t>
  </si>
  <si>
    <t>I: Financial PerformanceEXPENDITUREOTHER EXPENDITUREINTER-DEPARTMENTAL TRANSFERS</t>
  </si>
  <si>
    <t>K: Financial PerformanceEXPENDITUREOTHER EXPENDITURECONTRIBUTIONS TO 'OTHER' PROVISIONS</t>
  </si>
  <si>
    <t>K: Financial PerformanceEXPENDITUREOTHER EXPENDITUREADVERTISING</t>
  </si>
  <si>
    <t>K: Financial PerformanceEXPENDITUREOTHER EXPENDITURECONNECTION FEES</t>
  </si>
  <si>
    <t>K: Financial PerformanceEXPENDITUREOTHER EXPENDITUREELECTRICITY</t>
  </si>
  <si>
    <t>K: Financial PerformanceEXPENDITUREOTHER EXPENDITUREINSURANCE</t>
  </si>
  <si>
    <t>K: Financial PerformanceEXPENDITUREOTHER EXPENDITURELEGAL COST</t>
  </si>
  <si>
    <t>K: Financial PerformanceEXPENDITUREOTHER EXPENDITURETELEPHONE COST</t>
  </si>
  <si>
    <t>K: Financial PerformanceEXPENDITUREOTHER EXPENDITURETRANSPORT COST</t>
  </si>
  <si>
    <t>K: Financial PerformanceEXPENDITUREOTHER EXPENDITUREURBAN GREENING PROGRAMME</t>
  </si>
  <si>
    <t>K: Financial PerformanceEXPENDITUREOTHER EXPENDITURETRAVELLING AND SUBSISTENCE</t>
  </si>
  <si>
    <t>K: Financial PerformanceEXPENDITUREOTHER EXPENDITUREWARD COMMITTEE MANAGEMENT</t>
  </si>
  <si>
    <t>K: Financial PerformanceEXPENDITUREOTHER EXPENDITUREGENERAL EXPENSES</t>
  </si>
  <si>
    <t>K: Financial PerformanceEXPENDITUREOTHER EXPENDITUREINTER-DEPARTMENTAL TRANSFERS</t>
  </si>
  <si>
    <t>NON-CURRENT ASSETSPROPERTY PLANT &amp; EQUIPMENTLand And BuildingsAccumulated Depreciation: RevaluationTransfer In</t>
  </si>
  <si>
    <t>NON-CURRENT ASSETSPROPERTY PLANT &amp; EQUIPMENTInfrastructure AssetsAccumulated Depreciation: RevaluationTransfer In</t>
  </si>
  <si>
    <t>NON-CURRENT ASSETSPROPERTY PLANT &amp; EQUIPMENTCommunity AssetsAccumulated Depreciation: RevaluationTransfer In</t>
  </si>
  <si>
    <t>NON-CURRENT ASSETSPROPERTY PLANT &amp; EQUIPMENTOther AssetsAccumulated Depreciation: RevaluationTransfer In</t>
  </si>
  <si>
    <t>NON-CURRENT ASSETSPROPERTY PLANT &amp; EQUIPMENTHousing AssetsAccumulated Depreciation: RevaluationTransfer In</t>
  </si>
  <si>
    <t>NON-CURRENT ASSETSPROPERTY PLANT &amp; EQUIPMENTLeased AssetsAccumulated Depreciation: RevaluationTransfer In</t>
  </si>
  <si>
    <t>NON-CURRENT ASSETSPROPERTY PLANT &amp; EQUIPMENTLand And BuildingsRevaluationTransfer In</t>
  </si>
  <si>
    <t>NON-CURRENT ASSETSPROPERTY PLANT &amp; EQUIPMENTLand And BuildingsAccumulated ImpairmentTransfer In</t>
  </si>
  <si>
    <t>NON-CURRENT ASSETSPROPERTY PLANT &amp; EQUIPMENTInfrastructure AssetsRevaluationTransfer In</t>
  </si>
  <si>
    <t>NON-CURRENT ASSETSPROPERTY PLANT &amp; EQUIPMENTInfrastructure AssetsAccumulated ImpairmentTransfer In</t>
  </si>
  <si>
    <t>NON-CURRENT ASSETSPROPERTY PLANT &amp; EQUIPMENTCommunity AssetsRevaluationTransfer In</t>
  </si>
  <si>
    <t>NON-CURRENT ASSETSPROPERTY PLANT &amp; EQUIPMENTCommunity AssetsAccumulated ImpairmentTransfer In</t>
  </si>
  <si>
    <t>NON-CURRENT ASSETSPROPERTY PLANT &amp; EQUIPMENTOther AssetsRevaluationTransfer In</t>
  </si>
  <si>
    <t>NON-CURRENT ASSETSPROPERTY PLANT &amp; EQUIPMENTOther AssetsAccumulated ImpairmentTransfer In</t>
  </si>
  <si>
    <t>NON-CURRENT ASSETSPROPERTY PLANT &amp; EQUIPMENTHousing AssetsRevaluationTransfer In</t>
  </si>
  <si>
    <t>NON-CURRENT ASSETSPROPERTY PLANT &amp; EQUIPMENTHousing AssetsAccumulated ImpairmentTransfer In</t>
  </si>
  <si>
    <t>NON-CURRENT ASSETSPROPERTY PLANT &amp; EQUIPMENTLeased AssetsRevaluationTransfer In</t>
  </si>
  <si>
    <t>NON-CURRENT ASSETSPROPERTY PLANT &amp; EQUIPMENTLeased AssetsAccumulated ImpairmentTransfer In</t>
  </si>
  <si>
    <t>G: Financial PositionCURRENT ASSETSOTHER DEBTORSSuspense Accounts</t>
  </si>
  <si>
    <t>N: Financial PositionCURRENT ASSETSST PORTION OF LT RECEIVABLESSt Portion From Lt DebtorsDebtors Capitalised Loans</t>
  </si>
  <si>
    <t>N: Financial PositionCURRENT ASSETSST PORTION OF LT RECEIVABLESSt Portion From Lt DebtorsHousing Loans</t>
  </si>
  <si>
    <t>N: Financial PositionCURRENT ASSETSST PORTION OF LT RECEIVABLESSt Portion From Lt DebtorsRemoval Cost Loans</t>
  </si>
  <si>
    <t>N: Financial PositionCURRENT ASSETSST PORTION OF LT RECEIVABLESSt Portion From Lt DebtorsSale of Stand Loans</t>
  </si>
  <si>
    <t>N: Financial PositionCURRENT ASSETSST PORTION OF LT RECEIVABLESSt Portion From Lt DebtorsStudy Loans</t>
  </si>
  <si>
    <t>N: Financial PositionCURRENT ASSETSST PORTION OF LT RECEIVABLESSt Portion From Lt DebtorsVehicle Loans</t>
  </si>
  <si>
    <t>N: Financial PositionCURRENT ASSETSOTHER DEBTORSSuspense Accounts</t>
  </si>
  <si>
    <t>I: Financial PerformanceREVENUEOTHER INCOMEBuilding Plan Fees</t>
  </si>
  <si>
    <t>I: Financial PerformanceREVENUEOTHER INCOMECemetery Fees</t>
  </si>
  <si>
    <t>I: Financial PerformanceREVENUEOTHER INCOMEInsurance Claims</t>
  </si>
  <si>
    <t>I: Financial PerformanceREVENUEOTHER INCOMELease Advertising Signs</t>
  </si>
  <si>
    <t>I: Financial PerformanceREVENUEOTHER INCOMELegal Cost Recovered</t>
  </si>
  <si>
    <t>I: Financial PerformanceREVENUEOTHER INCOMEMaintenance of Private Sidings</t>
  </si>
  <si>
    <t>I: Financial PerformanceREVENUEOTHER INCOMENon-attendance of Meetings</t>
  </si>
  <si>
    <t>I: Financial PerformanceREVENUEOTHER INCOMEPrints</t>
  </si>
  <si>
    <t>I: Financial PerformanceREVENUEOTHER INCOMERetentions Forfeited</t>
  </si>
  <si>
    <t>I: Financial PerformanceREVENUEOTHER INCOMETelephone Cost Recovered</t>
  </si>
  <si>
    <t>I: Financial PerformanceREVENUEOTHER INCOMETender Documents</t>
  </si>
  <si>
    <t>I: Financial PerformanceREVENUEOTHER INCOMETown Planning Fees</t>
  </si>
  <si>
    <t>I: Financial PerformanceREVENUEOTHER INCOMEVAT Review Refund</t>
  </si>
  <si>
    <t>I: Financial PerformanceREVENUEOTHER INCOMESundry Income</t>
  </si>
  <si>
    <t>I: Financial PerformanceREVENUEOTHER INCOMEINTERDEPARTMENTAL CHARGES</t>
  </si>
  <si>
    <t>K: Financial PerformanceREVENUEOTHER INCOMEBuilding Plan Fees</t>
  </si>
  <si>
    <t>K: Financial PerformanceREVENUEOTHER INCOMECemetery Fees</t>
  </si>
  <si>
    <t>K: Financial PerformanceREVENUEOTHER INCOMEInsurance Claims</t>
  </si>
  <si>
    <t>K: Financial PerformanceREVENUEOTHER INCOMELease Advertising Signs</t>
  </si>
  <si>
    <t>K: Financial PerformanceREVENUEOTHER INCOMELegal Cost Recovered</t>
  </si>
  <si>
    <t>K: Financial PerformanceREVENUEOTHER INCOMEMaintenance of Private Sidings</t>
  </si>
  <si>
    <t>K: Financial PerformanceREVENUEOTHER INCOMENon-attendance of Meetings</t>
  </si>
  <si>
    <t>K: Financial PerformanceREVENUEOTHER INCOMEPrints</t>
  </si>
  <si>
    <t>K: Financial PerformanceREVENUEOTHER INCOMERetentions Forfeited</t>
  </si>
  <si>
    <t>K: Financial PerformanceREVENUEOTHER INCOMETelephone Cost Recovered</t>
  </si>
  <si>
    <t>K: Financial PerformanceREVENUEOTHER INCOMETender Documents</t>
  </si>
  <si>
    <t>K: Financial PerformanceREVENUEOTHER INCOMETown Planning Fees</t>
  </si>
  <si>
    <t>K: Financial PerformanceREVENUEOTHER INCOMEVAT Review Refund</t>
  </si>
  <si>
    <t>K: Financial PerformanceREVENUEOTHER INCOMESundry Income</t>
  </si>
  <si>
    <t>K: Financial PerformanceREVENUEOTHER INCOMEINTERDEPARTMENTAL CHARGES</t>
  </si>
  <si>
    <t>2.</t>
  </si>
  <si>
    <t>Report</t>
  </si>
  <si>
    <t>Notes I</t>
  </si>
  <si>
    <t>Notes II</t>
  </si>
  <si>
    <t>Notes III</t>
  </si>
  <si>
    <t>3.</t>
  </si>
  <si>
    <t>4.</t>
  </si>
  <si>
    <t>5.</t>
  </si>
  <si>
    <t>6.</t>
  </si>
  <si>
    <t>8.</t>
  </si>
  <si>
    <t>XX</t>
  </si>
  <si>
    <t>XXX</t>
  </si>
  <si>
    <t>PPE Note</t>
  </si>
  <si>
    <t>Required in terms of GRAP - Check</t>
  </si>
  <si>
    <t>No Activity for Municipality</t>
  </si>
  <si>
    <t>Alternative Statement</t>
  </si>
  <si>
    <t>Not Applicable at Municipality</t>
  </si>
  <si>
    <t>8.1  Leasing Arrangements</t>
  </si>
  <si>
    <t>8.2  Amounts receivable under Operating Leases</t>
  </si>
  <si>
    <t>Contributions to Other Provisions</t>
  </si>
  <si>
    <t>Inter-departmental Transfers</t>
  </si>
  <si>
    <t>I: Financial PerformanceEXPENDITUREOTHER EXPENDITUREBANK CHARGES</t>
  </si>
  <si>
    <t>I: Financial PerformanceEXPENDITUREOTHER EXPENDITUREBRANDING OF THE MUNICIPALITY</t>
  </si>
  <si>
    <t>I: Financial PerformanceEXPENDITUREOTHER EXPENDITUREBURSARIES</t>
  </si>
  <si>
    <t>I: Financial PerformanceEXPENDITUREOTHER EXPENDITURECHEMICALS &amp; POISON</t>
  </si>
  <si>
    <t>I: Financial PerformanceEXPENDITUREOTHER EXPENDITUREEXPENDITURE RECHARGED</t>
  </si>
  <si>
    <t>I: Financial PerformanceEXPENDITUREOTHER EXPENDITURECLAIMS AGAINST THE MUNICIPALITY</t>
  </si>
  <si>
    <t>I: Financial PerformanceEXPENDITUREOTHER EXPENDITURECLEANING MATERIAL</t>
  </si>
  <si>
    <t>I: Financial PerformanceEXPENDITUREOTHER EXPENDITURECOMMUNICATION &amp; PUBLIC PARTICIPATION</t>
  </si>
  <si>
    <t>I: Financial PerformanceEXPENDITUREOTHER EXPENDITURECONNECTIONS &amp; DISCONNECTIONS</t>
  </si>
  <si>
    <t>I: Financial PerformanceEXPENDITUREOTHER EXPENDITUREDISASTER EXPENDITURE</t>
  </si>
  <si>
    <t>I: Financial PerformanceEXPENDITUREOTHER EXPENDITUREENTERTAINMENT</t>
  </si>
  <si>
    <t>I: Financial PerformanceEXPENDITUREOTHER EXPENDITUREEXPENDITURE INCURRED FROM FINANCE MANAGEMENT GRANT</t>
  </si>
  <si>
    <t>I: Financial PerformanceEXPENDITUREOTHER EXPENDITUREGLPS POWER FACTOR CORRECTION</t>
  </si>
  <si>
    <t>I: Financial PerformanceEXPENDITUREOTHER EXPENDITUREHIRE OF FACILITIES &amp; EQUIPMENT</t>
  </si>
  <si>
    <t>I: Financial PerformanceEXPENDITUREOTHER EXPENDITUREIDP REVIEW</t>
  </si>
  <si>
    <t>I: Financial PerformanceEXPENDITUREOTHER EXPENDITURELEASE CHARGES</t>
  </si>
  <si>
    <t>I: Financial PerformanceEXPENDITUREOTHER EXPENDITURELEVIES: SALGA</t>
  </si>
  <si>
    <t>I: Financial PerformanceEXPENDITUREOTHER EXPENDITURELOSS CONTROL</t>
  </si>
  <si>
    <t>I: Financial PerformanceEXPENDITUREOTHER EXPENDITUREMATERIALS &amp; STOCKS</t>
  </si>
  <si>
    <t>I: Financial PerformanceEXPENDITUREOTHER EXPENDITUREMAYORAL SPECIAL PROGRAMMES</t>
  </si>
  <si>
    <t>I: Financial PerformanceEXPENDITUREOTHER EXPENDITUREMEDICAL EXAMINATIONS</t>
  </si>
  <si>
    <t>K: Financial PerformanceEXPENDITUREOTHER EXPENDITUREBRANDING OF THE MUNICIPALITY</t>
  </si>
  <si>
    <t>K: Financial PerformanceEXPENDITUREOTHER EXPENDITUREBURSARIES</t>
  </si>
  <si>
    <t>K: Financial PerformanceEXPENDITUREOTHER EXPENDITURECHEMICALS &amp; POISON</t>
  </si>
  <si>
    <t>K: Financial PerformanceEXPENDITUREOTHER EXPENDITURECLAIMS AGAINST THE MUNICIPALITY</t>
  </si>
  <si>
    <t>K: Financial PerformanceEXPENDITUREOTHER EXPENDITURECLEANING MATERIAL</t>
  </si>
  <si>
    <t>K: Financial PerformanceEXPENDITUREOTHER EXPENDITURECOMMUNICATION &amp; PUBLIC PARTICIPATION</t>
  </si>
  <si>
    <t>K: Financial PerformanceEXPENDITUREOTHER EXPENDITUREBANK CHARGES</t>
  </si>
  <si>
    <t>K: Financial PerformanceEXPENDITUREOTHER EXPENDITUREDISASTER EXPENDITURE</t>
  </si>
  <si>
    <t>K: Financial PerformanceEXPENDITUREOTHER EXPENDITUREENTERTAINMENT</t>
  </si>
  <si>
    <t>K: Financial PerformanceEXPENDITUREOTHER EXPENDITUREEXPENDITURE INCURRED FROM FINANCE MANAGEMENT GRANT</t>
  </si>
  <si>
    <t>K: Financial PerformanceEXPENDITUREOTHER EXPENDITUREGLPS POWER FACTOR CORRECTION</t>
  </si>
  <si>
    <t>K: Financial PerformanceEXPENDITUREOTHER EXPENDITUREHIRE OF FACILITIES &amp; EQUIPMENT</t>
  </si>
  <si>
    <t>K: Financial PerformanceEXPENDITUREOTHER EXPENDITUREIDP REVIEW</t>
  </si>
  <si>
    <t>K: Financial PerformanceEXPENDITUREOTHER EXPENDITURELEASE CHARGES</t>
  </si>
  <si>
    <t>K: Financial PerformanceEXPENDITUREOTHER EXPENDITURELEVIES: SALGA</t>
  </si>
  <si>
    <t>K: Financial PerformanceEXPENDITUREOTHER EXPENDITURELOSS CONTROL</t>
  </si>
  <si>
    <t>K: Financial PerformanceEXPENDITUREOTHER EXPENDITUREMATERIALS &amp; STOCKS</t>
  </si>
  <si>
    <t>K: Financial PerformanceEXPENDITUREOTHER EXPENDITUREMAYORAL SPECIAL PROGRAMMES</t>
  </si>
  <si>
    <t>K: Financial PerformanceEXPENDITUREOTHER EXPENDITUREMEDICAL EXAMINATIONS</t>
  </si>
  <si>
    <t>K: Financial PerformanceEXPENDITUREOTHER EXPENDITURECONNECTIONS &amp; DISCONNECTIONS</t>
  </si>
  <si>
    <t>I: Financial PerformanceEXPENDITUREOTHER EXPENDITUREPOSTAGE &amp; TELEGRAMS</t>
  </si>
  <si>
    <t>I: Financial PerformanceEXPENDITUREOTHER EXPENDITUREPOUND FEES</t>
  </si>
  <si>
    <t>I: Financial PerformanceEXPENDITUREOTHER EXPENDITUREREFUSE REMOVAL</t>
  </si>
  <si>
    <t>I: Financial PerformanceEXPENDITUREOTHER EXPENDITURESANITATION &amp; SEWERAGE</t>
  </si>
  <si>
    <t>I: Financial PerformanceEXPENDITUREOTHER EXPENDITURESTOCK SHORTAGES/SURPLUSES</t>
  </si>
  <si>
    <t>I: Financial PerformanceEXPENDITUREOTHER EXPENDITURETOURISM STRATEGY</t>
  </si>
  <si>
    <t>I: Financial PerformanceEXPENDITUREOTHER EXPENDITURETRAINING</t>
  </si>
  <si>
    <t>I: Financial PerformanceEXPENDITUREOTHER EXPENDITUREUNIFORMS &amp; PROTECTIVE CLOTHING</t>
  </si>
  <si>
    <t>I: Financial PerformanceEXPENDITUREOTHER EXPENDITUREWASTE MANAGEMENT</t>
  </si>
  <si>
    <t>I: Financial PerformanceEXPENDITUREOTHER EXPENDITUREWATER</t>
  </si>
  <si>
    <t>I: Financial PerformanceEXPENDITUREOTHER EXPENDITURERESEARCH LEVY (WATER)</t>
  </si>
  <si>
    <t>I: Financial PerformanceEXPENDITUREOTHER EXPENDITUREWEBSITE HOSTING</t>
  </si>
  <si>
    <t>K: Financial PerformanceEXPENDITUREOTHER EXPENDITUREPOUND FEES</t>
  </si>
  <si>
    <t>K: Financial PerformanceEXPENDITUREOTHER EXPENDITUREREFUSE REMOVAL</t>
  </si>
  <si>
    <t>K: Financial PerformanceEXPENDITUREOTHER EXPENDITURESANITATION &amp; SEWERAGE</t>
  </si>
  <si>
    <t>K: Financial PerformanceEXPENDITUREOTHER EXPENDITURESTOCK SHORTAGES/SURPLUSES</t>
  </si>
  <si>
    <t>K: Financial PerformanceEXPENDITUREOTHER EXPENDITURETOURISM STRATEGY</t>
  </si>
  <si>
    <t>K: Financial PerformanceEXPENDITUREOTHER EXPENDITURETRAINING</t>
  </si>
  <si>
    <t>K: Financial PerformanceEXPENDITUREOTHER EXPENDITUREUNIFORMS &amp; PROTECTIVE CLOTHING</t>
  </si>
  <si>
    <t>K: Financial PerformanceEXPENDITUREOTHER EXPENDITUREWASTE MANAGEMENT</t>
  </si>
  <si>
    <t>K: Financial PerformanceEXPENDITUREOTHER EXPENDITUREWATER</t>
  </si>
  <si>
    <t>K: Financial PerformanceEXPENDITUREOTHER EXPENDITURERESEARCH LEVY (WATER)</t>
  </si>
  <si>
    <t>K: Financial PerformanceEXPENDITUREOTHER EXPENDITUREWEBSITE HOSTING</t>
  </si>
  <si>
    <t>K: Financial PerformanceEXPENDITUREOTHER EXPENDITUREEXPENDITURE RECHARGED</t>
  </si>
  <si>
    <t>K: Financial PerformanceEXPENDITUREOTHER EXPENDITUREPOSTAGE &amp; TELEGRAMS</t>
  </si>
  <si>
    <t>CURRENT PORTION OF LONG-TERM RECEIVABLES</t>
  </si>
  <si>
    <t>I: Financial PositionCURRENT ASSETSST PORTION OF LT RECEIVABLESSt Portion From Lt DebtorsDebtors Capitalised Loans</t>
  </si>
  <si>
    <t>I: Financial PositionCURRENT ASSETSST PORTION OF LT RECEIVABLESSt Portion From Lt DebtorsHousing Loans</t>
  </si>
  <si>
    <t>I: Financial PositionCURRENT ASSETSST PORTION OF LT RECEIVABLESSt Portion From Lt DebtorsRemoval Cost Loans</t>
  </si>
  <si>
    <t>I: Financial PositionCURRENT ASSETSST PORTION OF LT RECEIVABLESSt Portion From Lt DebtorsSale of Stand Loans</t>
  </si>
  <si>
    <t>I: Financial PositionCURRENT ASSETSST PORTION OF LT RECEIVABLESSt Portion From Lt DebtorsStudy Loans</t>
  </si>
  <si>
    <t>I: Financial PositionCURRENT ASSETSST PORTION OF LT RECEIVABLESSt Portion From Lt DebtorsVehicle Loans</t>
  </si>
  <si>
    <t>K: Financial PositionCURRENT ASSETSST PORTION OF LT RECEIVABLESSt Portion From Lt DebtorsDebtors Capitalised Loans</t>
  </si>
  <si>
    <t>K: Financial PositionCURRENT ASSETSST PORTION OF LT RECEIVABLESSt Portion From Lt DebtorsHousing Loans</t>
  </si>
  <si>
    <t>K: Financial PositionCURRENT ASSETSST PORTION OF LT RECEIVABLESSt Portion From Lt DebtorsRemoval Cost Loans</t>
  </si>
  <si>
    <t>K: Financial PositionCURRENT ASSETSST PORTION OF LT RECEIVABLESSt Portion From Lt DebtorsSale of Stand Loans</t>
  </si>
  <si>
    <t>K: Financial PositionCURRENT ASSETSST PORTION OF LT RECEIVABLESSt Portion From Lt DebtorsStudy Loans</t>
  </si>
  <si>
    <t>K: Financial PositionCURRENT ASSETSST PORTION OF LT RECEIVABLESSt Portion From Lt DebtorsVehicle Loans</t>
  </si>
  <si>
    <t>Decrease/(Increase) in Current Portion of Long-term Receivables</t>
  </si>
  <si>
    <t>COMMUNITY WEALTHACCUMULATED SURPLUS/DEFICITUnappropriated Surplus/DeficitChanges In Accounting Policies*</t>
  </si>
  <si>
    <t>COMMUNITY WEALTHACCUMULATED SURPLUS/DEFICITUnappropriated Surplus/DeficitCorrection Of Prior Year Errors*</t>
  </si>
  <si>
    <t>COMMUNITY WEALTHACCUMULATED SURPLUS/DEFICITCapital Replacement ReserveContribution Received</t>
  </si>
  <si>
    <t>COMMUNITY WEALTHACCUMULATED SURPLUS/DEFICITSelf-Insurance ReserveContribution Received</t>
  </si>
  <si>
    <t>COMMUNITY WEALTHACCUMULATED SURPLUS/DEFICITCapital Replacement ReserveInterest Received</t>
  </si>
  <si>
    <t>COMMUNITY WEALTHACCUMULATED SURPLUS/DEFICITSelf-Insurance ReserveInterest Received</t>
  </si>
  <si>
    <t>COMMUNITY WEALTHACCUMULATED SURPLUS/DEFICITCapital Replacement ReserveCash Utilised To Finance Assets</t>
  </si>
  <si>
    <t>COMMUNITY WEALTHACCUMULATED SURPLUS/DEFICITCapitalisation ReserveTransfer - Assets Disposed</t>
  </si>
  <si>
    <t>COMMUNITY WEALTHACCUMULATED SURPLUS/DEFICITCapitalisation ReserveTransfer - Offset Depreciation</t>
  </si>
  <si>
    <t>COMMUNITY WEALTHACCUMULATED SURPLUS/DEFICITDonations &amp; Public Contributions ReserveTransfer - Assets Obtained</t>
  </si>
  <si>
    <t>COMMUNITY WEALTHACCUMULATED SURPLUS/DEFICITDonations &amp; Public Contributions ReserveTransfer - Assets Disposed</t>
  </si>
  <si>
    <t>COMMUNITY WEALTHACCUMULATED SURPLUS/DEFICITDonations &amp; Public Contributions ReserveTransfer - Offset Depreciation</t>
  </si>
  <si>
    <t>COMMUNITY WEALTHACCUMULATED SURPLUS/DEFICITGovernment Grants ReserveFunds Utilised To Finance Assets</t>
  </si>
  <si>
    <t>COMMUNITY WEALTHACCUMULATED SURPLUS/DEFICITGovernment Grants ReserveTransfer To Income Iro Depreciation</t>
  </si>
  <si>
    <t>COMMUNITY WEALTHACCUMULATED SURPLUS/DEFICITGovernment Grants ReserveTransfer To Income Iro Disposals</t>
  </si>
  <si>
    <t>COMMUNITY WEALTHACCUMULATED SURPLUS/DEFICITSelf-Insurance ReserveClaims Funded During The Yea</t>
  </si>
  <si>
    <t>COMMUNITY WEALTHACCUMULATED SURPLUS/DEFICITUnappropriated Surplus/DeficitTransfers To / From ReservesContributions to Funds and Reserves</t>
  </si>
  <si>
    <t>COMMUNITY WEALTHACCUMULATED SURPLUS/DEFICITUnappropriated Surplus/DeficitTransfers To / From ReservesAsset disposals</t>
  </si>
  <si>
    <t>COMMUNITY WEALTHACCUMULATED SURPLUS/DEFICITUnappropriated Surplus/DeficitTransfers To / From ReservesOffsetting of Depreciation</t>
  </si>
  <si>
    <t>I: Financial PerformanceREVENUEGOVERNMENT GRANTS &amp; SUBSIDIESUNCONDITIONAL GRANTS - OPERATIONALEQUITABLE SHARE</t>
  </si>
  <si>
    <t>K: Financial PerformanceREVENUEGOVERNMENT GRANTS &amp; SUBSIDIESUNCONDITIONAL GRANTS - OPERATIONALEQUITABLE SHARE</t>
  </si>
  <si>
    <t>Receivables from Exchange Transactions</t>
  </si>
  <si>
    <t>Receivables from Non-exchange Transactions</t>
  </si>
  <si>
    <t>Operating Lease Liabilities/Payables</t>
  </si>
  <si>
    <t>The municipality adopted a phased-in approach in order to comply fully with the implementation of GRAP. The municipality is classified by the National Treasury as a medium capacity municipality and must comply with GRAP by 30 June 2009. The municipality, however, took advantage of the transitional provisions in Directive 4 from the Accounting Standards Board and aims to comply fully with GRAP by 30 June 2012.</t>
  </si>
  <si>
    <t>The municipality has identified and measured all Inventory in terms of GRAP 12 for the financial year ended 30 June 2012.  The balances of the Inventories have accordingly been restated retrospectively.</t>
  </si>
  <si>
    <r>
      <t xml:space="preserve">The claims instituted against the municipality's insurance company are supported by valid </t>
    </r>
    <r>
      <rPr>
        <b/>
        <sz val="11"/>
        <rFont val="Arial"/>
        <family val="2"/>
      </rPr>
      <t>Insurance Claims</t>
    </r>
    <r>
      <rPr>
        <sz val="11"/>
        <rFont val="Arial"/>
        <family val="2"/>
      </rPr>
      <t xml:space="preserve"> which are claimable in terms of the insurance contract entered into by the municipality.  The average waiting period depends on the nature of the claim.  No interest is charged on outstanding insurance claims.</t>
    </r>
  </si>
  <si>
    <t>Insurance Claims:</t>
  </si>
  <si>
    <t>Accruals:</t>
  </si>
  <si>
    <t>Municipal Entities:</t>
  </si>
  <si>
    <t>The municipality opted to take advantage of the transitional provisions as contained in Directive 4 of the Accounting Standards Board, issued in March 2009.  The municipality did not recognise all the Property, plant and equipment in accordance with GRAP 17 for the financial years up to 30 June 2012.</t>
  </si>
  <si>
    <t>The municipality has identified and measured all Property, Plant and Equipment in terms of GRAP 17 for the financial year ended 30 June 2012.  The balances of the Property, Plant and Equipment have accordingly been restated retrospectively.</t>
  </si>
  <si>
    <t>In 2011/12 the following classes of assets were not recognised/measured in accordance with GRAP 17:</t>
  </si>
  <si>
    <t>Refer to note XX, Changes in accounting policy detailing the nature and amount of reporting period adjustments recognised during the period.</t>
  </si>
  <si>
    <t>All Infrastructure Assets were valued as at 30 June 2012 using the Depreciated Replacement Cost Approach.</t>
  </si>
  <si>
    <t>NOTE:  Disclosure in terms of the Revised GRAP 17.90(a-c) is now encouraged rather than required.</t>
  </si>
  <si>
    <t>GRAP 17.89</t>
  </si>
  <si>
    <t>GRAP 17.88(a) to (d)</t>
  </si>
  <si>
    <t>GRAP 17.88(e)</t>
  </si>
  <si>
    <t>The municipality opted to take advantage of the transitional provisions as contained in Directive 4 of the Accounting Standards Board, issued in March 2009.  The municipality did not recognise all the Intangible Assets in accordance with GRAP 102 for the financial years up to 30 June 2012 for the following assets:</t>
  </si>
  <si>
    <t>The municipality has identified and measured all Intangible Assets in terms of GRAP 102 for the financial year ended 30 June 2012.  The balances of the Intangible Assets have accordingly been restated retrospectively.</t>
  </si>
  <si>
    <t>The municipality opted to take advantage of the transitional provisions as contained in Directive 4 of the Accounting Standards Board, issued in March 2009.  The municipality did not recognise all the Investment Property in accordance with GRAP 16 for the financial years up to 30 June 2012.</t>
  </si>
  <si>
    <t>The municipality has identified and measured all Investment Property in terms of GRAP 16 for the financial year ended 30 June 2012.  The balances of the Investment Property have been accordingly restated retrospectively.   In 2010/11 the following classes of assets were not recognised/measured in accordance with GRAP 16:</t>
  </si>
  <si>
    <t xml:space="preserve">     - Land;</t>
  </si>
  <si>
    <t xml:space="preserve">     - Buildings.</t>
  </si>
  <si>
    <t>Timber</t>
  </si>
  <si>
    <t>HERITAGE ASSETS</t>
  </si>
  <si>
    <t>At Cost less Accumulated Impairment Losses</t>
  </si>
  <si>
    <t>The movement in Heritage Assets is reconciled as follows:</t>
  </si>
  <si>
    <r>
      <rPr>
        <i/>
        <sz val="11"/>
        <rFont val="Arial"/>
        <family val="2"/>
      </rPr>
      <t>Heritage Assets</t>
    </r>
    <r>
      <rPr>
        <sz val="11"/>
        <rFont val="Arial"/>
        <family val="2"/>
      </rPr>
      <t xml:space="preserve"> have been restated to correctly classify amounts held for Heritage Assets, previously included in Property, Plant and Equipment.  Refer to Note 38.5 on "Change in Accounting Policy" for details of the restatement.</t>
    </r>
  </si>
  <si>
    <t>All of the municipality’s Heritage Assets are held under freehold interests and no Heritage Assets had been pledged as security for any liabilities of the municipality.</t>
  </si>
  <si>
    <t>The following restrictions apply to Heritage Assets:</t>
  </si>
  <si>
    <t>No restrictions apply to any of the Heritage Assets of the municipality.</t>
  </si>
  <si>
    <t>GRAP 103.83(b)</t>
  </si>
  <si>
    <t>GRAP 103.83(c)</t>
  </si>
  <si>
    <t>NOTE:  R&amp;D costs related to HA are not discussed in GRAP 103, thus the princliples as contained in GRAP 102 are apllied.</t>
  </si>
  <si>
    <t>Included in the collection held by the municipality, are two rare type-specimens of fossils, dating back more than 200 million year ago.  Due to the rarity of these items and restriction on the sale of these items in term of the Natural Heritage Resources Act, the fair value of these items could not be determined.</t>
  </si>
  <si>
    <t>No impairment losses have been recognised on Heritage Assets of the municipality at the reporting date.</t>
  </si>
  <si>
    <t>The total amount of R342 008 (2007: R342 008) disclosed for impairment losses on Heritage Assets includes an individual material amount of impairment losses applicable to a Water Services Department building damaged when a fire broke out.  Cumulative impairment losses for the following significant account balances are included therein:</t>
  </si>
  <si>
    <t>The total amount of R882 857 disclosed for impairment losses on Heritage Assets does not include individually material amounts of impairment losses.  However, cumulative impairment losses for the following significant account balances are included therein:</t>
  </si>
  <si>
    <t>Total Impairment of Heritage Assets</t>
  </si>
  <si>
    <t>Impairment losses on Heritage Assets exist predominantly due to significant decay of Bushmen Paintings.  The remainder of impaired items of Heritage Assets have been physically damaged, stolen or have become redundant and idle.</t>
  </si>
  <si>
    <t xml:space="preserve">GRAP 103.84 (a) &amp; (b) / .93(a)-(c) </t>
  </si>
  <si>
    <t>GRAP 103.90</t>
  </si>
  <si>
    <t>The following Heritage Assets are subsequently measured on the Revaluation Model.  The carrying values are as follows:</t>
  </si>
  <si>
    <t>Total value of Heritage Assets based on the Revaluation Model</t>
  </si>
  <si>
    <t>The carrying value of the Heritage Assets would have been as follows had the Cost Model been used for subsequent measurement:</t>
  </si>
  <si>
    <t>Total value of Heritage Assets based on the Cost Model</t>
  </si>
  <si>
    <t>The Revaluation Reserve arises on the revaluation of Art Collections.  Where revalued Art Collections are sold, the portion of the Revaluation Reserve that relates to that asset, and is effectively realised, is transferred directly to Accumulated Surplus.</t>
  </si>
  <si>
    <t>The municipality opted to take advantage of the transitional provisions as contained in Directive 4 of the Accounting Standards Board, issued in March 2009.  The municipality did not recognise or measure all the Heritage Assets in accordance with the standard.</t>
  </si>
  <si>
    <t>The municipality is currently in a process of identifying all Heritage Assets and have it valued in terms of GRAP 103 and it is expected that this process will be completed for inclusion in the 2014/15 Annual Financial Statements.  It is possible that certain heritage assets are currently being recognised as Property, Plant and Equipment.</t>
  </si>
  <si>
    <t xml:space="preserve">     Other Finance Leases</t>
  </si>
  <si>
    <t>The movement in provisions are reconciled as follows:</t>
  </si>
  <si>
    <t>MFMA sec 123. (1) requires a municipality to disclose information on -
(a) any allocations received by the municipality from -
     (i) an organ of state in the national or provincial sphere of government; or
     (ii) a municipal entity or another municipality;
(c) how any allocations referred to in paragraph (a) were spent, per vote, excluding allocations received by the municipality as its portion of the equitable share or where prescribed otherwise because of the nature of the allocation;
(d) whether the municipality has complied with the conditions of -
     (i) any allocations made to the municipality in terms of section 214(1)(c) of the Constitution; and
     (ii) any allocations made to the municipality other than by national organs of state;
(e) the reasons for any non-compliance with conditions referred to in paragraph(d).</t>
  </si>
  <si>
    <t>MFMA Sec 123(1) (d) / (e)</t>
  </si>
  <si>
    <t>MFMA S123 (1) (f)</t>
  </si>
  <si>
    <t xml:space="preserve">     Basic Salaries and Wages</t>
  </si>
  <si>
    <t xml:space="preserve">     Gratuity</t>
  </si>
  <si>
    <t xml:space="preserve">     Skills Development Levy</t>
  </si>
  <si>
    <t xml:space="preserve">     UIF</t>
  </si>
  <si>
    <t xml:space="preserve">     Group Life</t>
  </si>
  <si>
    <t xml:space="preserve">     Allowances</t>
  </si>
  <si>
    <t xml:space="preserve">     Pensioners Allowances</t>
  </si>
  <si>
    <t xml:space="preserve">     Long Service Bonuses</t>
  </si>
  <si>
    <t xml:space="preserve">     Leave Encashed</t>
  </si>
  <si>
    <t xml:space="preserve">     Contribution to Leave Fund</t>
  </si>
  <si>
    <t xml:space="preserve">     Service Bonuses</t>
  </si>
  <si>
    <t xml:space="preserve">     Group Life Insurance</t>
  </si>
  <si>
    <t xml:space="preserve">     Medical Aid</t>
  </si>
  <si>
    <t xml:space="preserve">     Pension Fund</t>
  </si>
  <si>
    <t xml:space="preserve">     Housing Subsidy</t>
  </si>
  <si>
    <t xml:space="preserve">     Telephone Allowance</t>
  </si>
  <si>
    <t xml:space="preserve">     Travelling Allowance</t>
  </si>
  <si>
    <t>MFMA S123 (b)</t>
  </si>
  <si>
    <t>Ensure that other general expenses does not contain individual items that are individually material</t>
  </si>
  <si>
    <t>Financial liabilities at fair value</t>
  </si>
  <si>
    <t xml:space="preserve">     Correction of Prior Year Errors</t>
  </si>
  <si>
    <t xml:space="preserve">     Appropriations to/from Internal Reserves</t>
  </si>
  <si>
    <t>This Change in Accounting Policy Note is used where where the municipality opts to develop an Accounting Policy based on GRAP 104.</t>
  </si>
  <si>
    <t>MFMA Sec 124</t>
  </si>
  <si>
    <t>Material Electricity and Water Losses were as follows and are not recoverable:</t>
  </si>
  <si>
    <t>Purchased during the year</t>
  </si>
  <si>
    <t>Sold during the year</t>
  </si>
  <si>
    <t>Unaccounted</t>
  </si>
  <si>
    <t>Loss</t>
  </si>
  <si>
    <t>Loss %</t>
  </si>
  <si>
    <t>Loss (R):</t>
  </si>
  <si>
    <t>units (kWh)</t>
  </si>
  <si>
    <t>Normal distribution losses - % of electricity purchases</t>
  </si>
  <si>
    <r>
      <rPr>
        <i/>
        <u/>
        <sz val="11"/>
        <rFont val="Arial"/>
        <family val="2"/>
      </rPr>
      <t>Calculated as follows</t>
    </r>
    <r>
      <rPr>
        <i/>
        <sz val="11"/>
        <rFont val="Arial"/>
        <family val="2"/>
      </rPr>
      <t>:</t>
    </r>
  </si>
  <si>
    <t>Lost Units</t>
  </si>
  <si>
    <t>Tariff</t>
  </si>
  <si>
    <t>Total Electricity Losses</t>
  </si>
  <si>
    <t xml:space="preserve">     - Domestic</t>
  </si>
  <si>
    <t xml:space="preserve">     - Off Peak</t>
  </si>
  <si>
    <t xml:space="preserve">     - Peak</t>
  </si>
  <si>
    <t xml:space="preserve">     - Standard</t>
  </si>
  <si>
    <t>@</t>
  </si>
  <si>
    <t>Unaccounted Water Losses</t>
  </si>
  <si>
    <t>Equity</t>
  </si>
  <si>
    <t>GRAP 104.103</t>
  </si>
  <si>
    <t>Optional to disclose detail.</t>
  </si>
  <si>
    <t>GRAP 104.118</t>
  </si>
  <si>
    <t>GRAP 104.116 &amp; .118</t>
  </si>
  <si>
    <t>Measured at Amortised Cost:</t>
  </si>
  <si>
    <t>Measured at Fair Value</t>
  </si>
  <si>
    <t>GRAP 104.105</t>
  </si>
  <si>
    <t>GRAP 104.116</t>
  </si>
  <si>
    <t>GRAP 104.119</t>
  </si>
  <si>
    <t>The table below analyses Financial Instruments carried at Fair Value at the end of the reporting period by the level of fair-value hierarchy as required by GRAP 104.  The different levels are based on the extent to which quoted prices are used in the calculation of the Fair Value of the Financial Instruments.  The levels have been defined as follows:</t>
  </si>
  <si>
    <t>Class is one level lower than category.</t>
  </si>
  <si>
    <t>GRAP 104.122</t>
  </si>
  <si>
    <t>GRAP 104.124</t>
  </si>
  <si>
    <t xml:space="preserve">GRAP 104.124(c) </t>
  </si>
  <si>
    <t>GRAP 104.124 &amp; 34</t>
  </si>
  <si>
    <t>GRAP 104.127</t>
  </si>
  <si>
    <t>GRAP 104.125(b)</t>
  </si>
  <si>
    <t>Refer to http://www.fidfund.co.za/banking-options/bank-credit-ratings/ for the most updated ratings.</t>
  </si>
  <si>
    <t xml:space="preserve">GRAP 104.125(c) 
</t>
  </si>
  <si>
    <t>GRAP 104.127 (d); GRAP 104.110</t>
  </si>
  <si>
    <t>GRAP 104.127 (a)</t>
  </si>
  <si>
    <t>An audit query was raised as to whether the amounts disclosed in terms of IFRS 7.36 should be GROSS or NETT.  The paragraph indicated that the "Maximum" exposure" should be disclosed, thus the GROSS amounts should be used.</t>
  </si>
  <si>
    <t>GRAP 104.127 (d)</t>
  </si>
  <si>
    <t>Add the % of the spesific type of debtor to the total debtors.</t>
  </si>
  <si>
    <t>MANAGEMENT’S GOING CONCERN ASSESSMENT</t>
  </si>
  <si>
    <t>Management considered the following matters relating to the Going Concern:</t>
  </si>
  <si>
    <t>(ii)     The municipality’s Budget is subjected to a very rigorous independent assessment process to assess its cash-backing status before it is ultimately approved by Council.</t>
  </si>
  <si>
    <t>(iv)     The municipality developed a Financial Recovery Plan to address the cash flow challenges experienced at the beginning of the 2011/12 financial year.  This plan has resulted in the municipality improving its cash and cash equivalents position from a projected R59,9 million upon approval of the 2011/12 Adjustments Budget to R428 million as at the end of June 2012.  The municipality has also secured a bank overdraft in the amount of R450 million to cover short term cash shortfalls as and when the need arises – to date this facility has not been used.</t>
  </si>
  <si>
    <t>Taking the aforementioned into account, management has prepared the Annual Financial Statements on the Going Concern Basis.</t>
  </si>
  <si>
    <t>Virement</t>
  </si>
  <si>
    <t>Final</t>
  </si>
  <si>
    <t>Unauthorised</t>
  </si>
  <si>
    <t>Actual Outcome</t>
  </si>
  <si>
    <t>as % of</t>
  </si>
  <si>
    <t>Adjustments</t>
  </si>
  <si>
    <t>Outcome</t>
  </si>
  <si>
    <t>Final Budget</t>
  </si>
  <si>
    <t>Original Budget</t>
  </si>
  <si>
    <t>FINANCIAL PERFORMANCE</t>
  </si>
  <si>
    <t>Revenue for Agency Services</t>
  </si>
  <si>
    <t>Other Revenue</t>
  </si>
  <si>
    <t>Total Sources of Capital Funds</t>
  </si>
  <si>
    <t>RECONCILIATION OF BUDGET SURPLUS/(DEFICIT) WITH THE SURPLUS/(DEFICIT) IN THE STATEMENT OF FINANCIAL PERFORMANCE:</t>
  </si>
  <si>
    <t>Net surplus/(deficit) per the statement of financial performance</t>
  </si>
  <si>
    <t>Net surplus/deficit per approved budget</t>
  </si>
  <si>
    <t>Notes to the user:</t>
  </si>
  <si>
    <t>(2)  Final Budget:  The Final Amended Budget used by the municipality, for which council approval was not obtained (i.e. adjustmens/virements allowed without council approval).</t>
  </si>
  <si>
    <t>(1)  Approved Budget:  The Final Budget approved by council and submitted to National Treasury.</t>
  </si>
  <si>
    <t>(3)  If the Approved Budget (normally the Adjustment Budget) is the same as the Final Budget, only column need to be used.</t>
  </si>
  <si>
    <t>FINANCIAL POSITION</t>
  </si>
  <si>
    <t>Net Assets (Equity)</t>
  </si>
  <si>
    <t>Transfers Recognised - Capital</t>
  </si>
  <si>
    <t>Contributions Recognised - Capital and Contributed Assets</t>
  </si>
  <si>
    <t>Surplus/(Deficit) after Capital Transfers and Contributions</t>
  </si>
  <si>
    <t>Share of Surplus/(Deficit) of Associate</t>
  </si>
  <si>
    <t>Surplus/(Deficit for the Year</t>
  </si>
  <si>
    <t>Summary of Transfers:</t>
  </si>
  <si>
    <t>Total Transfers</t>
  </si>
  <si>
    <t>CAPITAL EXPENDITURE PER FUNCTION</t>
  </si>
  <si>
    <t>CASH FLOW</t>
  </si>
  <si>
    <t>Cash Flows from/(used in) Operating Activities</t>
  </si>
  <si>
    <t>Cash Flows from/(used in) Investing Activities</t>
  </si>
  <si>
    <t>Cash Flows from/(used in) Financing Activities</t>
  </si>
  <si>
    <t>Cash and Cash Equivalents at End of the Year</t>
  </si>
  <si>
    <t>Reasons for Variances greater than 10% between Approved Budget and Actual Amount on the various items disclosed in the Statement of Financial Position are explained below:</t>
  </si>
  <si>
    <t xml:space="preserve"> For reasons for Variances greater than 5% between Approved Budget and Actual Amount on the various items disclosed in the Statement of Financial Performance, please refer to Annexure "E (1)".</t>
  </si>
  <si>
    <t xml:space="preserve"> For reasons for Variances greater than 10% between Approved Budget and Actual Amount, please refer to Annexure "E (2)".</t>
  </si>
  <si>
    <t>Reasons for Variances greater than 10% between Approved Budget and Actual Amount on the various items disclosed in the Cash Flow Statement are explained below:</t>
  </si>
  <si>
    <t>Cash Receipts from Ratepayers, Government and Other</t>
  </si>
  <si>
    <t>Cash Paid to Suppliers and Employees</t>
  </si>
  <si>
    <t>HIDE ALL BUDGET COLUMNS, AS PER GRAP 24, APPENDIX A, PARAGRAPH 2</t>
  </si>
  <si>
    <t>15.1  Investment in Municipal Entities</t>
  </si>
  <si>
    <t>15.2  Investment in Joint Ventures</t>
  </si>
  <si>
    <t>17.1  Leasing Arrangements</t>
  </si>
  <si>
    <t>17.2  Amounts receivable under Finance Leases</t>
  </si>
  <si>
    <t>18.1  Ageing of Long-term Receivables</t>
  </si>
  <si>
    <t>18.2  Reconciliation of the Provision for Impairment</t>
  </si>
  <si>
    <t>25.1  Leasing Arrangements</t>
  </si>
  <si>
    <t>25.2  Amounts payable under Operating Leases</t>
  </si>
  <si>
    <t>26.3  Sale and Leaseback Arrangements:</t>
  </si>
  <si>
    <t>26.4  Breach of Loan Agreement</t>
  </si>
  <si>
    <t>33.10  National: National Treasury (Neighbourhood Development)</t>
  </si>
  <si>
    <t>33.19  Local Government - Municipal Education Fund</t>
  </si>
  <si>
    <t>33.20  Other Government: National Lottery Fund</t>
  </si>
  <si>
    <t>33.21  Other Government: National Roads Agency</t>
  </si>
  <si>
    <t>34.1  Development Contributions</t>
  </si>
  <si>
    <t>34.2  Contributions from European Union</t>
  </si>
  <si>
    <t>34.3  Contributions from PPL Mine</t>
  </si>
  <si>
    <t>48.2  Flood Damage</t>
  </si>
  <si>
    <t>50.1  Health Services discontinued</t>
  </si>
  <si>
    <t>50.2  Plan to privatise the Cleansing Services</t>
  </si>
  <si>
    <t>50.3  Analysis of Surplus / (Deficit) for the year from Discontinued Operations</t>
  </si>
  <si>
    <t>Financial Position: Explanation of Variances between Approved Budget and Actual</t>
  </si>
  <si>
    <t>Inventory:</t>
  </si>
  <si>
    <t>Non-current Assets Held-for-Sale:</t>
  </si>
  <si>
    <t>Receivables from Exchange Transactions:</t>
  </si>
  <si>
    <t>Receivables from Non-exchange Transactions:</t>
  </si>
  <si>
    <t>VAT Receivable:</t>
  </si>
  <si>
    <t>Current Portion of Finance Lease Receivables:</t>
  </si>
  <si>
    <t>Current Portion of Long-term Receivables:</t>
  </si>
  <si>
    <t>Property, Plant and Equipment:</t>
  </si>
  <si>
    <t>Intangible Assets:</t>
  </si>
  <si>
    <t>Investment Property:</t>
  </si>
  <si>
    <t>Heritage Assets:</t>
  </si>
  <si>
    <t>Biological Assets:</t>
  </si>
  <si>
    <t>Non-current Investments:</t>
  </si>
  <si>
    <t>Investments in Associates:</t>
  </si>
  <si>
    <t>Finance Lease Receivables:</t>
  </si>
  <si>
    <t>Long-term Receivables:</t>
  </si>
  <si>
    <t>Consumer Deposits:</t>
  </si>
  <si>
    <t>Provisions:</t>
  </si>
  <si>
    <t>Payables:</t>
  </si>
  <si>
    <t>Unspent Conditional Grants and Receipts:</t>
  </si>
  <si>
    <t>VAT Payable:</t>
  </si>
  <si>
    <t>Operating Lease Liabilities/Payables:</t>
  </si>
  <si>
    <t>Liabilities associated with Assets Held-for-Sale:</t>
  </si>
  <si>
    <t>Bank Overdraft:</t>
  </si>
  <si>
    <t>Current Portion of Long-term Liabilities:</t>
  </si>
  <si>
    <t>Long-term Liabilities:</t>
  </si>
  <si>
    <t>Retirement Benefit Liabilities:</t>
  </si>
  <si>
    <t>Non-current Provisions:</t>
  </si>
  <si>
    <t>Statutory Funds:</t>
  </si>
  <si>
    <t>Reserves:</t>
  </si>
  <si>
    <t>Accumulated Surplus / (Deficit):</t>
  </si>
  <si>
    <t>Financial Performance: Explanation of Variances between Approved Budget and Actual</t>
  </si>
  <si>
    <t>Capital Expendirure per Function: Explanation of Variances between Approved Budget and Actual</t>
  </si>
  <si>
    <t>Cash Flow: Explanation of Variances between Approved Budget and Actual</t>
  </si>
  <si>
    <t>Cash Receipts from Ratepayers, Government and Other:</t>
  </si>
  <si>
    <t>Cash Paid to Suppliers and Employees:</t>
  </si>
  <si>
    <t>Dividends received:</t>
  </si>
  <si>
    <t>Royalties received:</t>
  </si>
  <si>
    <t>Interest received:</t>
  </si>
  <si>
    <t>Interest paid:</t>
  </si>
  <si>
    <t>Purchase of Property, Plant and Equipment:</t>
  </si>
  <si>
    <t>Purchase of Intangible Assets:</t>
  </si>
  <si>
    <t>Purchase of Investment Property:</t>
  </si>
  <si>
    <t>Proceeds on Disposal of Property, Plant and Equipment:</t>
  </si>
  <si>
    <t>Proceeds on Disposal of Intangible Assets:</t>
  </si>
  <si>
    <t>Proceeds on Disposal of Investment Property:</t>
  </si>
  <si>
    <t>Profit on Sale of Land:</t>
  </si>
  <si>
    <t>Decrease / (Increase) in Non-current Investments:</t>
  </si>
  <si>
    <t>Decrease / (Increase) in Investments in Associates:</t>
  </si>
  <si>
    <t>Decrease / (Increase) in Long-term Receivables:</t>
  </si>
  <si>
    <t>New Loans raised:</t>
  </si>
  <si>
    <t>Loans repaid:</t>
  </si>
  <si>
    <t>Increase / (Decrease) in Short-term Loans:</t>
  </si>
  <si>
    <t>Cash and Cash Equivalents at End of the Year:</t>
  </si>
  <si>
    <t>Collection of Data to include</t>
  </si>
  <si>
    <t>Dates (Upper Case)</t>
  </si>
  <si>
    <t>Cash and Cash Equivalents</t>
  </si>
  <si>
    <t>Operating Lease Receivables</t>
  </si>
  <si>
    <t>Inventories</t>
  </si>
  <si>
    <t>Operating Lease Liabilities</t>
  </si>
  <si>
    <t>{Give short explanation of the main reason(s) for deviation here}</t>
  </si>
  <si>
    <t>Operating Lease Reveivables:</t>
  </si>
  <si>
    <t>Inventories:</t>
  </si>
  <si>
    <t>Operating Lease Liabilities:</t>
  </si>
  <si>
    <t>Total Inventories</t>
  </si>
  <si>
    <t>RECEIVABLES FROM EXCHANGE TRANSACTIONS</t>
  </si>
  <si>
    <t>Total Receivables from Exchange Transactions</t>
  </si>
  <si>
    <t>Other Receivables</t>
  </si>
  <si>
    <t>The municipality receives applications that it processes.  Deposits are required to be paid for all electricity and water accounts opened.  There are no consumers who represent more than 5% of the total balance of Receivables.</t>
  </si>
  <si>
    <t>Receivables from Exchange Transactions are billed monthly, latest end of month.  No interest is charged on Receivables until the end of the following month.  Thereafter interest is charged at a rate determined by council on the outstanding balance.  The municipality strictly enforces its approved credit control policy to ensure the recovery of Receivables.</t>
  </si>
  <si>
    <t>Receivables from Exchange Transactions are billed monthly, latest end of month.  No interest is charged on Receivables until the end of the following month.  Thereafter interest is charged at a rate determined by council on the outstanding balance.</t>
  </si>
  <si>
    <t>Before accepting any new consumer, the municipality uses an external credit scoring system to assess the potential consumer’s credit quality and defines credit limits by consumer.  Limits and scoring attributed to consumers are reviewed twice a year.  80% of the Receivables that are neither past due nor impaired have the best credit scoring attributable under the external credit scoring system used by the municipality.  Of the Receivables balance at the end of the year, R2,1 million (2007: R1,7 million) is due from Company E, the municipality’s largest customer (see Note 47.7).  There are no other receivables who represent more than 5% of the total balance of Receivables.</t>
  </si>
  <si>
    <t xml:space="preserve">Receivables have been ceded to the bank as security for the bank overdraft facility. </t>
  </si>
  <si>
    <t xml:space="preserve">The municipality did not pledge any of its Receivables as security for borrowing purposes. </t>
  </si>
  <si>
    <t>The management of the municipality is of the opinion that the carrying value of Receivables approximate their fair values.</t>
  </si>
  <si>
    <t>The fair value of Receivables was determined after considering the standard terms and conditions of agreements entered into between the municipality and Receivables as well as the current payment ratio's of the municipality's Receivables.</t>
  </si>
  <si>
    <t>Other Receivables:</t>
  </si>
  <si>
    <t>All Receivables:</t>
  </si>
  <si>
    <t>In determining the recoverability of a Receivable, the municipality considers any change in the credit quality of the Receivable from the date credit was initially granted up to the reporting date.  Furthermore, the municipality has also placed a strong emphasis on verifying the indigent status of consumers.  The concentration of credit risk is limited due to the customer base being spread over a large number of consumers and is not concentrated in any particular sector or geographical area.  Accordingly, magement believe that there is no further credit provision required in excess of the Provision for Impairment.</t>
  </si>
  <si>
    <t>In determining the recoverability of Receivables, the municipality has placed strong emphasis on verifying the indigent status of consumers.  Provision for impairment of Receivables has been made for all consumer balances outstanding based on the payment ratio over 12 months per service type.  No further credit provision is required in excess of the Provision for Impairment.</t>
  </si>
  <si>
    <t>Included in the Provision for Impairment are individually impaired Receivables with a balance of R63 000 (2007: R52 000) which have been placed under liquidation.  The impairment recognised represents the difference between the carrying amount of these Receivables and the present value of the expected liquidation proceeds.  The municipality holds collateral over these balances in the form of Consumer Deposits to the amount of R1 000 (2007: R750).</t>
  </si>
  <si>
    <t>Included in the municipality’s Receivables balance are debtors with a carrying amount of R1,562 million (2007: R1,033 million) which are past due at the reporting date for which the municipality has not provided as there has not been a significant change in credit quality and the amounts are still considered recoverable.  The municipality holds collateral over these balances in the form of Consumer Deposits (see Note 13), which are not covering the total outstanding debt.  The average age of these receivables is 84 days (2007: 85 days).</t>
  </si>
  <si>
    <t>RECEIVABLES FROM NON-EXCHANGE TRANSACTIONS</t>
  </si>
  <si>
    <t>Total Receivables from Non-exchange Transactions</t>
  </si>
  <si>
    <r>
      <t xml:space="preserve">Furthermore, </t>
    </r>
    <r>
      <rPr>
        <i/>
        <sz val="11"/>
        <rFont val="Arial"/>
        <family val="2"/>
      </rPr>
      <t>Receivables from Non-exchange Transactions</t>
    </r>
    <r>
      <rPr>
        <sz val="11"/>
        <rFont val="Arial"/>
        <family val="2"/>
      </rPr>
      <t xml:space="preserve"> have been restated to correctly classify amounts held for Medical Aid Contributions incurred during the previous financial year and not accrued for.  Refer to Note 39.2 on "Correction of Error" for details of the restatement.</t>
    </r>
  </si>
  <si>
    <r>
      <rPr>
        <b/>
        <sz val="11"/>
        <rFont val="Arial"/>
        <family val="2"/>
      </rPr>
      <t>Sundry Debtors</t>
    </r>
    <r>
      <rPr>
        <sz val="11"/>
        <rFont val="Arial"/>
        <family val="2"/>
      </rPr>
      <t xml:space="preserve"> are in respect of debits outstanding at year-end on normal business transactions entered into by the municipality.  Included in Sundry Debtors is an amount of R9 247 (2011: R9 247) million in respect of the consumption of metered services not billed as at 30 June.</t>
    </r>
  </si>
  <si>
    <t>The average credit period for Receivables is 30 days.  No interest is charged for the first 30 days from the date of the invoice.  Thereafter interest is charged at the prime rate, charged by the municipality's banker, plus one percent per annum on the outstanding balance.  The municipality strictly enforces its approved credit control policy to ensure the recovery of Receivables.</t>
  </si>
  <si>
    <t>The municipality does not hold deposits or other security for its Receivables.</t>
  </si>
  <si>
    <t xml:space="preserve">None of the Receivables have been pledged as security for the municipality's financial liabilities. </t>
  </si>
  <si>
    <t>The fair value of Receivables was determined after considering the standard terms and conditions of agreements entered into between the municipality and National / Provincial Departments as well as Other Debtors.  The current payment ratio's of Other Debtors were also taken into account for fair value determination.</t>
  </si>
  <si>
    <t>I: Financial PositionCURRENT ASSETSOTHER DEBTORSLess : Prov For ImpairmentOther DebtorsBALANCE AT BEGINNING OF YEAR</t>
  </si>
  <si>
    <t>I: Financial PositionCURRENT ASSETSOTHER DEBTORSLess : Prov For ImpairmentOther DebtorsIMPAIRMENT RECOGNISED / PROVIDED FOR</t>
  </si>
  <si>
    <t>I: Financial PositionCURRENT ASSETSOTHER DEBTORSLess : Prov For ImpairmentOther DebtorsIMPAIRMENT REVERSED</t>
  </si>
  <si>
    <t>I: Financial PositionCURRENT ASSETSOTHER DEBTORSLess : Prov For ImpairmentOther DebtorsBAD DEBTS WRITTEN OFF</t>
  </si>
  <si>
    <t>I: Financial PositionCURRENT ASSETSOTHER DEBTORSLess : Prov For ImpairmentOther DebtorsBAD DEBTS RECOVERED</t>
  </si>
  <si>
    <t>K: Financial PositionCURRENT ASSETSOTHER DEBTORSLess : Prov For ImpairmentOther DebtorsBALANCE AT BEGINNING OF YEAR</t>
  </si>
  <si>
    <t>K: Financial PositionCURRENT ASSETSOTHER DEBTORSLess : Prov For ImpairmentOther DebtorsIMPAIRMENT RECOGNISED / PROVIDED FOR</t>
  </si>
  <si>
    <t>K: Financial PositionCURRENT ASSETSOTHER DEBTORSLess : Prov For ImpairmentOther DebtorsIMPAIRMENT REVERSED</t>
  </si>
  <si>
    <t>K: Financial PositionCURRENT ASSETSOTHER DEBTORSLess : Prov For ImpairmentOther DebtorsBAD DEBTS WRITTEN OFF</t>
  </si>
  <si>
    <t>K: Financial PositionCURRENT ASSETSOTHER DEBTORSLess : Prov For ImpairmentOther DebtorsBAD DEBTS RECOVERED</t>
  </si>
  <si>
    <t>N: Financial PositionCURRENT ASSETSOTHER DEBTORSLess : Prov For ImpairmentOther DebtorsBALANCE AT BEGINNING OF YEAR</t>
  </si>
  <si>
    <t>N: Financial PositionCURRENT ASSETSOTHER DEBTORSLess : Prov For ImpairmentOther DebtorsIMPAIRMENT RECOGNISED / PROVIDED FOR</t>
  </si>
  <si>
    <t>N: Financial PositionCURRENT ASSETSOTHER DEBTORSLess : Prov For ImpairmentOther DebtorsIMPAIRMENT REVERSED</t>
  </si>
  <si>
    <t>N: Financial PositionCURRENT ASSETSOTHER DEBTORSLess : Prov For ImpairmentOther DebtorsBAD DEBTS WRITTEN OFF</t>
  </si>
  <si>
    <t>N: Financial PositionCURRENT ASSETSOTHER DEBTORSLess : Prov For ImpairmentOther DebtorsBAD DEBTS RECOVERED</t>
  </si>
  <si>
    <t>The Provision for Impairment on Receivables exists predominantly due to the possibility that these debts will not be recovered.  Loans and receivables were assessed individually and grouped together at the Statement of Financial Position as financial assets with similar credit risk characteristics and collectively assessed for impairment.</t>
  </si>
  <si>
    <t>In determining the recoverability of a Rates Assessment Debtor and Receivables from Non-exchange Transactions, the municipality considers any change in the credit quality of the Rates Assessment Debtor from the date credit was initially granted up to the reporting date.  The concentration of credit risk is limited due to the customer base being large and unrelated.  Accordingly, the management believe that there is no further credit provision required in excess of the Provision for Impairment.</t>
  </si>
  <si>
    <t>Furtermore, no Provision for Impairment was calculated on Receivables other than Assessment Rates Debtors as the management is of the opinion that all Receivables are recoverable within normal credit terms.</t>
  </si>
  <si>
    <t>Included in the Provision for Impairment are individually impaired Rates Assessment Debtors with a balance of R63 000 (2010: R52 000) which have been placed under liquidation.  The impairment recognised represents the difference between the carrying amount of these Rates Assessment Debtors and the present value of the expected liquidation proceeds.  The municipality holds collateral over these balances in the form of Rates Assessment Deposits to the amount of R1 000 (2010: R750).  //  The municipality does not hold collateral over these balances.</t>
  </si>
  <si>
    <t>Total Provision for Impairment on Receivables from Non-exchange Transactions</t>
  </si>
  <si>
    <t>The following Loans and Receivables are included in the total amount of the Provision for Impairment:</t>
  </si>
  <si>
    <t>VAT Receivable is the Net Receivable from all VAT Control Accounts and must agree to the VAT201 Return.</t>
  </si>
  <si>
    <t>CASH AND CASH EQUIVALENTS</t>
  </si>
  <si>
    <t>For the purposes of the Statement of Financial Position and the Cash Flow Statement, Cash and Cash Equivalents include Cash-on-Hand, Cash in Banks and Investments in Money Market Instruments, net of outstanding Bank Overdrafts.</t>
  </si>
  <si>
    <t>Current Investments</t>
  </si>
  <si>
    <t>Bank Accounts</t>
  </si>
  <si>
    <r>
      <rPr>
        <b/>
        <sz val="11"/>
        <rFont val="Arial"/>
        <family val="2"/>
      </rPr>
      <t>Call Deposits</t>
    </r>
    <r>
      <rPr>
        <sz val="11"/>
        <rFont val="Arial"/>
        <family val="2"/>
      </rPr>
      <t xml:space="preserve"> are investments with a maturity period of less than 3 months and earn interest rates varying from 4,90 % to 5,50 % (2011: 4,90% to 5,50%) per annum.</t>
    </r>
  </si>
  <si>
    <r>
      <rPr>
        <b/>
        <sz val="11"/>
        <rFont val="Arial"/>
        <family val="2"/>
      </rPr>
      <t>Notice Deposits</t>
    </r>
    <r>
      <rPr>
        <sz val="11"/>
        <rFont val="Arial"/>
        <family val="2"/>
      </rPr>
      <t xml:space="preserve"> are investments with a maturity period of less than 12 months and earn interest rates varying from 5,40 % to 6,53 % (2011: 5,40 % to 6,53 %)per annum.</t>
    </r>
  </si>
  <si>
    <t>Deposits attributable to Capital Replacement Reserve.</t>
  </si>
  <si>
    <t>Deposits available for Operations</t>
  </si>
  <si>
    <t>Deposits of R91 232 539 (2007: R91 232 539) are ring-fenced and attributable to Unspent Conditional Grants.</t>
  </si>
  <si>
    <t>Deposits of R104 323 511  (2007: R104 323 511) are ring-fenced and attributable to the Capital Replacement Reserve.</t>
  </si>
  <si>
    <t>R1 018 334 (2007: R1 018 334) has been invested specifically in a ring-fenced account for the repayment of long-term liabilities.  See Note3 and 45 for more detail.</t>
  </si>
  <si>
    <t>The property rental income earned by the municipality from its investment property, all of which is leased out under operating leases, amounted to R503 986 (2011: R503 986).</t>
  </si>
  <si>
    <t>The impact of charging the escalations in Operating Leases on a straight-line basis over the term of the lease has been an decrease in current year income of R23 103 (2011: R23 103).</t>
  </si>
  <si>
    <t>The following restrictions have been imposed by the municipality in terms of the lease agreements:</t>
  </si>
  <si>
    <t>Note:  The following restrictions (if any) have been imposed by the municipality in terms of the (specify) lease agreements:</t>
  </si>
  <si>
    <t>Other movements of Property, Plant and Equipment are in respect of the transfer of Major Spare Parts to the amount of R1 578 157 (2011: R1 578 157) and Work-in-Progress of R80 440 592 (2011: R80 440 592) completed and transferred to Cost.  The recoupment of Accumulated Depreciation and Impairment Losses due to improvements to the Swimming Pool amount to R6 636 842 (2011: R6 636 842).</t>
  </si>
  <si>
    <t>There was no change (2011: R0) in the estimated useful life of various assets of the municipality for the financial year 2011/12.</t>
  </si>
  <si>
    <t>K: Financial PositionNON-CURRENT ASSETSINTANGIBLE ASSETSHistorical Cost:*Additions</t>
  </si>
  <si>
    <t>K: Financial PositionNON-CURRENT ASSETSINTANGIBLE ASSETSAccumulated Amortisation: CostAdditions</t>
  </si>
  <si>
    <t>K: Financial PositionNON-CURRENT ASSETSINTANGIBLE ASSETSHistorical Cost:  CompletedDisposals</t>
  </si>
  <si>
    <t>K: Financial PositionNON-CURRENT ASSETSINTANGIBLE ASSETSAccumulated Amortisation: CostDisposals</t>
  </si>
  <si>
    <t>K: Financial PositionNON-CURRENT ASSETSINTANGIBLE ASSETSAccumulated ImpairmentDisposals</t>
  </si>
  <si>
    <t>K: Financial PositionNON-CURRENT ASSETSINTANGIBLE ASSETSHistorical Cost:  CompletedTransfer*</t>
  </si>
  <si>
    <t>K: Financial PositionNON-CURRENT ASSETSINTANGIBLE ASSETSAccumulated RevaluationTransfer*</t>
  </si>
  <si>
    <t>K: Financial PositionNON-CURRENT ASSETSINTANGIBLE ASSETSAccumulated Amortisation*Transfer*</t>
  </si>
  <si>
    <t>K: Financial PositionNON-CURRENT ASSETSINTANGIBLE ASSETSAccumulated ImpairmentTransfer*</t>
  </si>
  <si>
    <t>K: Financial PositionNON-CURRENT ASSETSINTANGIBLE ASSETSHistorical Cost:  CompletedBalance At Beginning Of Year</t>
  </si>
  <si>
    <t>K: Financial PositionNON-CURRENT ASSETSINTANGIBLE ASSETSAccumulated Amortisation: CostBalance At Beginning Of Year</t>
  </si>
  <si>
    <t>K: Financial PositionNON-CURRENT ASSETSINTANGIBLE ASSETSAccumulated ImpairmentBalance At Beginning Of Year</t>
  </si>
  <si>
    <t>The disposal of Intangible Assets relates to software purchased in respect of the "Xellent Billing System".  This billing system was not implemented, hence invoices raised in respect of the software in the 2006/07 financial year have been reveresed in the previous year.  See Notes 52.3 and 53.1 for further information in respect of the billing system.</t>
  </si>
  <si>
    <t>-     Financial Software:</t>
  </si>
  <si>
    <t xml:space="preserve">      (i)  The system is non-assignable, non-transferable, and the municipality has no exclusive rights to use the system.</t>
  </si>
  <si>
    <t xml:space="preserve">      (ii)  The system may be used on only one database at any one time.</t>
  </si>
  <si>
    <t xml:space="preserve">      (iii)  The municipality, as the licensee, shall not grant usage of, or distribute, the system in its original or modified form, to a third party for the third party's benefit.</t>
  </si>
  <si>
    <t xml:space="preserve">      (iv)  The municipality has no intellectual property rights to the system.</t>
  </si>
  <si>
    <t>The municipality did not have any property to be classified as Investment Property in terms of its Accounting Policies and Asset Management Policy at year-end.</t>
  </si>
  <si>
    <t>Cultural</t>
  </si>
  <si>
    <t>Historical</t>
  </si>
  <si>
    <t>Sites</t>
  </si>
  <si>
    <t>National</t>
  </si>
  <si>
    <t>Momuments</t>
  </si>
  <si>
    <t>K: Financial PositionNON-CURRENT ASSETSHERITAGE ASSETSHistorical Cost:  CompletedAdditions</t>
  </si>
  <si>
    <t>K: Financial PositionNON-CURRENT ASSETSHERITAGE ASSETSHistorical Cost:  WIP</t>
  </si>
  <si>
    <t>K: Financial PositionNON-CURRENT ASSETSHERITAGE ASSETSAccumulated ImpairmentReversals</t>
  </si>
  <si>
    <t>K: Financial PositionNON-CURRENT ASSETSHERITAGE ASSETSRevaluationAdditions</t>
  </si>
  <si>
    <t>K: Financial PositionNON-CURRENT ASSETSHERITAGE ASSETSAccumulated ImpairmentAdditions</t>
  </si>
  <si>
    <t>K: Financial PositionNON-CURRENT ASSETSHERITAGE ASSETSRevaluationDecreases</t>
  </si>
  <si>
    <t>K: Financial PositionNON-CURRENT ASSETSHERITAGE ASSETSHistorical Cost:  CompletedDisposals</t>
  </si>
  <si>
    <t>K: Financial PositionNON-CURRENT ASSETSHERITAGE ASSETSRevaluationDisposals</t>
  </si>
  <si>
    <t>K: Financial PositionNON-CURRENT ASSETSHERITAGE ASSETSAccumulated ImpairmentDisposals</t>
  </si>
  <si>
    <t>K: Financial PositionNON-CURRENT ASSETSHERITAGE ASSETSHistorical Cost:  CompletedTransfer In</t>
  </si>
  <si>
    <t xml:space="preserve">     - Transfer To Assets Held-For-Sale</t>
  </si>
  <si>
    <t xml:space="preserve">     - Transfer In</t>
  </si>
  <si>
    <t xml:space="preserve">     - Transfer Out</t>
  </si>
  <si>
    <t>K: Financial PositionNON-CURRENT ASSETSHERITAGE ASSETSHistorical Cost:  CompletedTransfer To Assets Held-For-Sale</t>
  </si>
  <si>
    <t>K: Financial PositionNON-CURRENT ASSETSHERITAGE ASSETSHistorical Cost:  CompletedTransfer Out</t>
  </si>
  <si>
    <t>K: Financial PositionNON-CURRENT ASSETSHERITAGE ASSETSRevaluationTransfer To Assets Held-For-Sale</t>
  </si>
  <si>
    <t>K: Financial PositionNON-CURRENT ASSETSHERITAGE ASSETSRevaluationTransfer In</t>
  </si>
  <si>
    <t>K: Financial PositionNON-CURRENT ASSETSHERITAGE ASSETSRevaluationTransfer Out</t>
  </si>
  <si>
    <t>K: Financial PositionNON-CURRENT ASSETSHERITAGE ASSETSAccumulated ImpairmentTransfer To Assets Held-For-Sale</t>
  </si>
  <si>
    <t>K: Financial PositionNON-CURRENT ASSETSHERITAGE ASSETSAccumulated ImpairmentTransfer In</t>
  </si>
  <si>
    <t>K: Financial PositionNON-CURRENT ASSETSHERITAGE ASSETSAccumulated ImpairmentTransfer Out</t>
  </si>
  <si>
    <t>K: Financial PositionNON-CURRENT ASSETSHERITAGE ASSETSHistorical Cost:  CompletedBalance At Beginning Of Year</t>
  </si>
  <si>
    <t>K: Financial PositionNON-CURRENT ASSETSHERITAGE ASSETSRevaluationBalance At Beginning Of Year</t>
  </si>
  <si>
    <t>K: Financial PositionNON-CURRENT ASSETSHERITAGE ASSETSAccumulated ImpairmentBalance At Beginning Of Year</t>
  </si>
  <si>
    <t>The municipality's Heritage Assets are accounted for according to the cost model and therefore no fair value has been determined.</t>
  </si>
  <si>
    <t>Fixed Deposits of R12 294 027 (2006: R12 294 027) are ring-fenced and serve as security for for lease commitments of the municipality.</t>
  </si>
  <si>
    <t>The municipality's maximum liability towards the Municipal Entity is R100.</t>
  </si>
  <si>
    <t>PAYABLES</t>
  </si>
  <si>
    <r>
      <rPr>
        <i/>
        <sz val="11"/>
        <rFont val="Arial"/>
        <family val="2"/>
      </rPr>
      <t>Payables</t>
    </r>
    <r>
      <rPr>
        <sz val="11"/>
        <rFont val="Arial"/>
        <family val="2"/>
      </rPr>
      <t xml:space="preserve"> have been restated to correctly classify amounts held for Retentions erroneously written-off in the previous financial year.  Refer to Note 39.2 on "Correction of Error" for details of the restatement.</t>
    </r>
  </si>
  <si>
    <r>
      <t xml:space="preserve">Furthermore, </t>
    </r>
    <r>
      <rPr>
        <i/>
        <sz val="11"/>
        <rFont val="Arial"/>
        <family val="2"/>
      </rPr>
      <t>Payables</t>
    </r>
    <r>
      <rPr>
        <sz val="11"/>
        <rFont val="Arial"/>
        <family val="2"/>
      </rPr>
      <t xml:space="preserve"> have been restated to correctly classify amounts held for Staff Bonuses Accrued not disclosed previously.  Refer to Note 39.2 on "Correction of Error" for details of the restatement.</t>
    </r>
  </si>
  <si>
    <r>
      <t xml:space="preserve">Furthermore, </t>
    </r>
    <r>
      <rPr>
        <i/>
        <sz val="11"/>
        <rFont val="Arial"/>
        <family val="2"/>
      </rPr>
      <t>Payables</t>
    </r>
    <r>
      <rPr>
        <sz val="11"/>
        <rFont val="Arial"/>
        <family val="2"/>
      </rPr>
      <t xml:space="preserve"> have been restated to correctly classify amounts held for Staff Leave Accrued erroneously calculated in the previous financial year.  Refer to Note 39.2 on "Correction of Error" for details of the restatement.</t>
    </r>
  </si>
  <si>
    <r>
      <t xml:space="preserve">Furthermore, </t>
    </r>
    <r>
      <rPr>
        <i/>
        <sz val="11"/>
        <rFont val="Arial"/>
        <family val="2"/>
      </rPr>
      <t>Payables</t>
    </r>
    <r>
      <rPr>
        <sz val="11"/>
        <rFont val="Arial"/>
        <family val="2"/>
      </rPr>
      <t xml:space="preserve"> have been restated to correctly classify amounts held for Trade Creditors, being expenditure for Employee Related Costs, Repairs &amp; Maintenance and Contracted Services incurred in the previous financial year and not accrued for.  Refer to Note 39.2 on "Correction of Error" for details of the restatement.</t>
    </r>
  </si>
  <si>
    <t>The municipality did default on payment of its Creditors.  However, no terms for payment have been re-negotiated by the municipality.</t>
  </si>
  <si>
    <t>VAT Payable is the Net Payable from all VAT Control Accounts and must agree to the VAT201 Return.</t>
  </si>
  <si>
    <t>OPERATING LEASE LIABILITIES</t>
  </si>
  <si>
    <t>The most recent actuarial valuations of plan assets and the present value of the defined benefit obligation were carried out at 30 June 2012 by Mr C Weiss, Fellow of the Actuarial Society of South Africa.  The present value of the defined benefit obligation, and the related current service cost and past service cost, were measured using the Projected Unit Credit Method.</t>
  </si>
  <si>
    <t>In terms of the licencing of the landfill refuse sites, the municipality will incur licensing and rehabilitation costs of R2,6 (2011: R 2,6) million to restore the site at the end of its useful life, estimated to be in 2015.  Provision has been made for the net present value of this cost, using the average cost of borrowing interest rate.</t>
  </si>
  <si>
    <r>
      <t>Accumulated Surplus</t>
    </r>
    <r>
      <rPr>
        <sz val="11"/>
        <rFont val="Arial"/>
        <family val="2"/>
      </rPr>
      <t xml:space="preserve"> has been restated to correctly classify amounts held by the municipality as indicated below.  Refer to Notes 38.1 and 38.2 on "Change in Accounting Policy" for details of the restatements.</t>
    </r>
  </si>
  <si>
    <t>Property Rates are levied on the value of land and improvements, which valuation is performed every four years.  The last valuation came into effect on 1 July 2004.  A general valuation has been performed during the financial year and will be applied with effect 1 July 2008.</t>
  </si>
  <si>
    <t xml:space="preserve">          Reclassification of Creditors for Staff Bonuses Accrued - Note 39.2</t>
  </si>
  <si>
    <t xml:space="preserve">          Reclassification of Creditors for Employee Rated Costs - Note 39.2</t>
  </si>
  <si>
    <t xml:space="preserve">          Recognition of Operating Lease Receivables - Note 38.4</t>
  </si>
  <si>
    <t xml:space="preserve">          Recognition of Operating Lease Payables - Note 38.4</t>
  </si>
  <si>
    <t xml:space="preserve">          Recognition of Amortised Cost of Long-term Receivables - Note 38.7</t>
  </si>
  <si>
    <t xml:space="preserve">          Reclassification of Impairment for Receivables from Exchange Transactions - Note 39.3</t>
  </si>
  <si>
    <t xml:space="preserve">          Reclassification of Creditors for Services not Rendered - Note 39.4</t>
  </si>
  <si>
    <t xml:space="preserve">          Reclassification of Retention Moneys - Note 39.4</t>
  </si>
  <si>
    <t>Government Grants and Subsidies:</t>
  </si>
  <si>
    <t>Unconditional Grants</t>
  </si>
  <si>
    <t>I: Financial PerformanceREVENUEGOVERNMENT GRANTS &amp; SUBSIDIESCONDITIONAL GRANTS - CAPITAL</t>
  </si>
  <si>
    <t>Conditional Grants - Capital</t>
  </si>
  <si>
    <t>Conditional Grants - Operational</t>
  </si>
  <si>
    <t>Unconditional Grants - Capital</t>
  </si>
  <si>
    <t>Unconditional Grants - Operational</t>
  </si>
  <si>
    <t>I: Financial PerformanceREVENUEGOVERNMENT GRANTS &amp; SUBSIDIESCONDITIONAL GRANTS - OPERATIONAL</t>
  </si>
  <si>
    <t>I: Financial PerformanceREVENUEGOVERNMENT GRANTS &amp; SUBSIDIESUNCONDITIONAL GRANTS - CAPITAL</t>
  </si>
  <si>
    <t>I: Financial PerformanceREVENUEGOVERNMENT GRANTS &amp; SUBSIDIESUNCONDITIONAL GRANTS - OPERATIONAL</t>
  </si>
  <si>
    <t>K: Financial PerformanceREVENUEGOVERNMENT GRANTS &amp; SUBSIDIESCONDITIONAL GRANTS - CAPITAL</t>
  </si>
  <si>
    <t>K: Financial PerformanceREVENUEGOVERNMENT GRANTS &amp; SUBSIDIESCONDITIONAL GRANTS - OPERATIONAL</t>
  </si>
  <si>
    <t>K: Financial PerformanceREVENUEGOVERNMENT GRANTS &amp; SUBSIDIESUNCONDITIONAL GRANTS - CAPITAL</t>
  </si>
  <si>
    <t>K: Financial PerformanceREVENUEGOVERNMENT GRANTS &amp; SUBSIDIESUNCONDITIONAL GRANTS - OPERATIONAL</t>
  </si>
  <si>
    <t>Provincial Health Subsidies</t>
  </si>
  <si>
    <t>Provincial Road Subsidies</t>
  </si>
  <si>
    <t>Public Contributions and Donations:</t>
  </si>
  <si>
    <t>I: Financial PerformanceREVENUEINTEREST EARNED - EXTERNAL INVESTMENTSINVESTMENTSFIXED DEPOSITS</t>
  </si>
  <si>
    <t>I: Financial PerformanceREVENUEINTEREST EARNED - EXTERNAL INVESTMENTSINVESTMENTSNOTICE DEPOSITS</t>
  </si>
  <si>
    <t>K: Financial PerformanceREVENUEINTEREST EARNED - EXTERNAL INVESTMENTSINVESTMENTSFIXED DEPOSITS</t>
  </si>
  <si>
    <t>K: Financial PerformanceREVENUEINTEREST EARNED - EXTERNAL INVESTMENTSINVESTMENTSNOTICE DEPOSITS</t>
  </si>
  <si>
    <t>I: Financial PerformanceREVENUEINTEREST EARNED - OUTSTANDING DEBTORSOTHER OUTSTANDING DEBTORSLONG-TERM DEBTORS</t>
  </si>
  <si>
    <t>I: Financial PerformanceREVENUEINTEREST EARNED - OUTSTANDING DEBTORSOTHER OUTSTANDING DEBTORSCONSUMER DEBTORS</t>
  </si>
  <si>
    <t>K: Financial PerformanceREVENUEINTEREST EARNED - OUTSTANDING DEBTORSOTHER OUTSTANDING DEBTORSLONG-TERM DEBTORS</t>
  </si>
  <si>
    <t>K: Financial PerformanceREVENUEINTEREST EARNED - OUTSTANDING DEBTORSOTHER OUTSTANDING DEBTORSCONSUMER DEBTORS</t>
  </si>
  <si>
    <t>Maintenance of Private Sidings</t>
  </si>
  <si>
    <r>
      <t xml:space="preserve">Furthermore, </t>
    </r>
    <r>
      <rPr>
        <i/>
        <sz val="11"/>
        <rFont val="Arial"/>
        <family val="2"/>
      </rPr>
      <t>Employee Related Costs</t>
    </r>
    <r>
      <rPr>
        <sz val="11"/>
        <rFont val="Arial"/>
        <family val="2"/>
      </rPr>
      <t xml:space="preserve"> have been restated to correctly classify expenditure incurred for Medical Aid Contributions, not previously accrued for.  Refer to Note 39.2 on "Correction of Error" for details of the restatement.</t>
    </r>
  </si>
  <si>
    <t>Depreciation and Amortisation:</t>
  </si>
  <si>
    <t>Depreciation:  Investment Property</t>
  </si>
  <si>
    <t>K: Financial PositionNON-CURRENT ASSETSINTANGIBLE ASSETS*</t>
  </si>
  <si>
    <t>I: Financial PositionNON-CURRENT ASSETSINTANGIBLE ASSETS*</t>
  </si>
  <si>
    <t>K: Financial PositionCURRENT LIABILITIESUNSPENT CONDITIONAL GRANTSNational Government:MUNICIPAL SYSTEMS IMPLEMENTATION GRANT (MSIG)Balance Beginning Of Year</t>
  </si>
  <si>
    <t>I: Financial PositionCURRENT LIABILITIESUNSPENT CONDITIONAL GRANTSNational Government:MUNICIPAL SYSTEMS IMPLEMENTATION GRANT (MSIG)Received During The Year</t>
  </si>
  <si>
    <t>I: Financial PositionCURRENT LIABILITIESUNSPENT CONDITIONAL GRANTSNational Government:MUNICIPAL SYSTEMS IMPLEMENTATION GRANT (MSIG)Interest For Year</t>
  </si>
  <si>
    <t>I: Financial PositionCURRENT LIABILITIESUNSPENT CONDITIONAL GRANTSNational Government:MUNICIPAL SYSTEMS IMPLEMENTATION GRANT (MSIG)T/Fer To Revenue - Conditions Met: Operating</t>
  </si>
  <si>
    <t>I: Financial PositionCURRENT LIABILITIESUNSPENT CONDITIONAL GRANTSNational Government:MUNICIPAL SYSTEMS IMPLEMENTATION GRANT (MSIG)T/Fer To Revenue - Conditions Met: Capital</t>
  </si>
  <si>
    <t>K: Financial PositionCURRENT LIABILITIESUNSPENT CONDITIONAL GRANTSNational Government:MUNICIPAL SYSTEMS IMPLEMENTATION GRANT (MSIG)Received During The Year</t>
  </si>
  <si>
    <t>K: Financial PositionCURRENT LIABILITIESUNSPENT CONDITIONAL GRANTSNational Government:MUNICIPAL SYSTEMS IMPLEMENTATION GRANT (MSIG)Interest For Year</t>
  </si>
  <si>
    <t>K: Financial PositionCURRENT LIABILITIESUNSPENT CONDITIONAL GRANTSNational Government:MUNICIPAL SYSTEMS IMPLEMENTATION GRANT (MSIG)T/Fer To Revenue - Conditions Met: Operating</t>
  </si>
  <si>
    <t>K: Financial PositionCURRENT LIABILITIESUNSPENT CONDITIONAL GRANTSNational Government:MUNICIPAL SYSTEMS IMPLEMENTATION GRANT (MSIG)T/Fer To Revenue - Conditions Met: Capital</t>
  </si>
  <si>
    <t>Loans and Payables at amortised cost</t>
  </si>
  <si>
    <t>Allocations to Organs of State</t>
  </si>
  <si>
    <t>Delivery of Accounts</t>
  </si>
  <si>
    <t>Valuation Services</t>
  </si>
  <si>
    <t>I: Financial PerformanceEXPENDITUREGRANTS AND SUBSIDIES PAIDOPERATIONALMAYORAL DISCRETIONARY EXPENDITURE</t>
  </si>
  <si>
    <t>I: Financial PerformanceEXPENDITUREGRANTS AND SUBSIDIES PAIDOPERATIONALSPORT EVENTS</t>
  </si>
  <si>
    <t>I: Financial PerformanceEXPENDITUREGRANTS AND SUBSIDIES PAIDOPERATIONALTOURISM</t>
  </si>
  <si>
    <t>I: Financial PerformanceEXPENDITUREGRANTS AND SUBSIDIES PAIDOPERATIONALWOMEN'S DAY</t>
  </si>
  <si>
    <t>K: Financial PerformanceEXPENDITUREGRANTS AND SUBSIDIES PAIDOPERATIONALMAYORAL DISCRETIONARY EXPENDITURE</t>
  </si>
  <si>
    <t>K: Financial PerformanceEXPENDITUREGRANTS AND SUBSIDIES PAIDOPERATIONALSPORT EVENTS</t>
  </si>
  <si>
    <t>K: Financial PerformanceEXPENDITUREGRANTS AND SUBSIDIES PAIDOPERATIONALTOURISM</t>
  </si>
  <si>
    <t>K: Financial PerformanceEXPENDITUREGRANTS AND SUBSIDIES PAIDOPERATIONALWOMEN'S DAY</t>
  </si>
  <si>
    <r>
      <rPr>
        <b/>
        <sz val="11"/>
        <rFont val="Arial"/>
        <family val="2"/>
      </rPr>
      <t>Community Projects</t>
    </r>
    <r>
      <rPr>
        <sz val="11"/>
        <rFont val="Arial"/>
        <family val="2"/>
      </rPr>
      <t xml:space="preserve"> are in respect of community cultural programs and catering &amp; transport cost of community development workers within the municipality's area of jurisdiction.</t>
    </r>
  </si>
  <si>
    <t>I: Financial PerformanceEXPENDITUREGRANTS AND SUBSIDIES PAIDOPERATIONALPROJECT EXPENDITURE</t>
  </si>
  <si>
    <t>K: Financial PerformanceEXPENDITUREGRANTS AND SUBSIDIES PAIDOPERATIONALPROJECT EXPENDITURE</t>
  </si>
  <si>
    <r>
      <rPr>
        <b/>
        <sz val="11"/>
        <rFont val="Arial"/>
        <family val="2"/>
      </rPr>
      <t>Free Basic Services</t>
    </r>
    <r>
      <rPr>
        <sz val="11"/>
        <rFont val="Arial"/>
        <family val="2"/>
      </rPr>
      <t xml:space="preserve"> are in respect of assistance to and providing basic service levels to indigent households.</t>
    </r>
  </si>
  <si>
    <r>
      <rPr>
        <b/>
        <sz val="11"/>
        <rFont val="Arial"/>
        <family val="2"/>
      </rPr>
      <t>Tourism Expenses</t>
    </r>
    <r>
      <rPr>
        <sz val="11"/>
        <rFont val="Arial"/>
        <family val="2"/>
      </rPr>
      <t xml:space="preserve"> are in respect of assistance to and providing basic service levels to indigent households.</t>
    </r>
  </si>
  <si>
    <t>No other extra-ordinary expenses were incurred.</t>
  </si>
  <si>
    <t>Gains / (Losses) on disposal of Investments</t>
  </si>
  <si>
    <t>IAS 1.87(d)</t>
  </si>
  <si>
    <t>The prior year figure of Rental of Facilities and Equipment (Note xx) has been restated to correctly classify the transactions related to expenditure incurred in terms of Operating Lease Receivables, GRAP 13.</t>
  </si>
  <si>
    <t>The prior year figure of Interest Earned on Oustanding Debtors (Note 26) has been restated to correctly classify the transactions related to expenditure incurred in terms of Revenue, GRAP 9.</t>
  </si>
  <si>
    <t>Rental</t>
  </si>
  <si>
    <t>General</t>
  </si>
  <si>
    <t>of</t>
  </si>
  <si>
    <t>Facilities</t>
  </si>
  <si>
    <t>Losses</t>
  </si>
  <si>
    <t>Expenses</t>
  </si>
  <si>
    <t>Implementation of GRAP 13</t>
  </si>
  <si>
    <t>Implementation of GRAP 9</t>
  </si>
  <si>
    <t>Implementation of IAS 39</t>
  </si>
  <si>
    <t>The prior year figure of Employee Related Costs (Note 28) has been restated to correctly classify the transactions related to expenditure incurred in terms of Defined Benefits.</t>
  </si>
  <si>
    <t>The prior year figure of General expenses (Note 36) has been restated to correctly classify the transactions related to expenditure incurred in terms of Operating Lease Liabilities.</t>
  </si>
  <si>
    <t>Employee</t>
  </si>
  <si>
    <t>Costs</t>
  </si>
  <si>
    <t>Amortisation</t>
  </si>
  <si>
    <t>Implementation of IAS 19</t>
  </si>
  <si>
    <t>Implementation of GRAP 17</t>
  </si>
  <si>
    <t>Creditors:-</t>
  </si>
  <si>
    <t>Balance per Ledger as at 1 July</t>
  </si>
  <si>
    <t>Adjustment - Employee Related Costs</t>
  </si>
  <si>
    <t>Adjustment - Equitable Share Subsidy</t>
  </si>
  <si>
    <t>Adjustment - Personnel Development Fund</t>
  </si>
  <si>
    <t>Restated Balance as at 1 July</t>
  </si>
  <si>
    <t>Intangible Assets:-</t>
  </si>
  <si>
    <t>Adjustment - Historical Costs</t>
  </si>
  <si>
    <t>Adjustment - Accumulated Amortisation</t>
  </si>
  <si>
    <t>Inventory:-</t>
  </si>
  <si>
    <t>Increase/(Decrease) in Payables</t>
  </si>
  <si>
    <t>M: Financial PerformanceEXPENDITUREINTEREST PAIDCREDITORS OVERDUE</t>
  </si>
  <si>
    <t>N: Financial PerformanceEXPENDITUREINTEREST PAIDCREDITORS OVERDUE</t>
  </si>
  <si>
    <t>A report will be adopted by the Executive Committee, condoning the "Irregular Expenditure".</t>
  </si>
  <si>
    <t>M: Financial PerformanceEXPENDITUREOTHER EXPENDITURELEVIES: SALGA</t>
  </si>
  <si>
    <t>N: Financial PerformanceEXPENDITUREOTHER EXPENDITURELEVIES: SALGA</t>
  </si>
  <si>
    <t>M: Financial PerformanceEXPENDITUREOTHER EXPENDITUREEXTERNAL AUDIT FEES</t>
  </si>
  <si>
    <t>N: Financial PerformanceEXPENDITUREOTHER EXPENDITUREEXTERNAL AUDIT FEES</t>
  </si>
  <si>
    <t>The capital structure of the municipality consists of debt, which includes Cash and Cash Equivalents and Equity, comprising Funds, Reserves and Accumulated Surplus as disclosed in Note 20 and the Statement of Changes in Net Assets.</t>
  </si>
  <si>
    <t>Equity includes all Funds and Reserves of the municipality, disclosed as Net Assets in the Statement of Financial Performance and Net Debt as described above.</t>
  </si>
  <si>
    <t>The municipality’s Corporate Treasury function provides services to the business, co-ordinates access to domestic and international financial markets, monitors and manages the financial risks relating to the operations of the municipality through internal risk reports which analyse exposures by degree and magnitude of risks.  These risks include market risk (including currency risk, fair value interest rate risk and price risk), credit risk, liquidity risk and cash flow interest rate risk.</t>
  </si>
  <si>
    <t>In the case of debtors whose accounts become in arrears, it is endeavoured to collect such accounts by "levying of penalty charges", "demand for payment", "restriction of services" and, as a last resort, "handed over for collection", whichever procedure is applicable in terms of Council's Credit Control and Debt Collection Policy.</t>
  </si>
  <si>
    <t>The municipality seeks to minimise the effects of these risks by using derivative financial instruments to hedge these risk exposures.  The use of financial derivatives is governed by the municipality’s policies approved by the Council, which provide written principles on foreign exchange risk, interest rate risk, credit risk, the use of financial derivatives and non-derivative financial instruments, and the investment of excess liquidity.  Compliance with policies and exposure limits is reviewed by the internal auditors on a continuous basis.  The municipality does not enter into or trade financial instruments, including derivative financial instruments, for speculative purposes.</t>
  </si>
  <si>
    <t>Potential concentrations of interest rate risk consist mainly of variable rate deposit investments, long-term receivables, other debtors, bank and cash balances.</t>
  </si>
  <si>
    <t>The municipality is exposed to interest rate risk as the municipality borrows funds at both fixed and floating interest rates.  The risk is managed by the municipality by maintaining an appropriate mix between fixed and floating rate borrowings, by the use of interest rate swap contracts and forward interest rate contracts.  Hedging activities are evaluated regularly to align with interest rate views and defined risk appetite; ensuring optimal hedging strategies are applied, by either positioning the balance sheet or protecting interest expense through different interest rate cycles.</t>
  </si>
  <si>
    <t>The municipality does not have any significant credit risk exposure to any single counterparty or any group of counterparties having similar characteristics.  The municipality defines counterparties as having similar characteristics if they are related entities.  Concentration of credit risk did not exceed 5% of gross monetary assets at any time during the year.  The credit risk on liquid funds and derivative financial instruments is limited because the counterparties are banks with high credit-ratings assigned by international credit-rating agencies.</t>
  </si>
  <si>
    <t>The municipality does not have any significant credit risk exposure to any single counterparty or any group of counterparties having similar characteristics, except for Sasol who has large investments in the municipal area and does not pose any risk.  The municipality defines counterparties as having similar characteristics if they are related entities.  The credit risk on liquid funds is limited because the counterparties are banks with high credit-ratings.</t>
  </si>
  <si>
    <t>The municipality has access to financing facilities, the total unused amount which is R575 550 (2011: R676 673), at the reporting date.  The municipality expects to meet its other obligations from operating cash flows and proceeds of maturing financial assets.  The municipality expects to maintain current debt to equity ratio.  This will be achieved through increased service tariff charges and the increased use of unsecured bank loan facilities.</t>
  </si>
  <si>
    <t>A bank guarantee in the amount of R8 033 000 issued in favour of First National Bank to cover a bank overdraft has been cancelled in 2008.</t>
  </si>
  <si>
    <t>(i)     First National Bank:</t>
  </si>
  <si>
    <t>(ii)     Eskom:</t>
  </si>
  <si>
    <t>The municipality issued a bank guarantee in favour of Eskom to increase its electricity demand to 40 MVA to be able to meet the increasing demand for electricity supply from consumers.</t>
  </si>
  <si>
    <t>Deposits attributable to Long-service Awards</t>
  </si>
  <si>
    <t>Deposits attributable to Retirement Benefits</t>
  </si>
  <si>
    <t>(i)     Alleged Damages Incurred:</t>
  </si>
  <si>
    <t>Claims lodged against the municpality for alleged damages caused by incidents of which the municipality should take ownership, have been referred to the municipality's insurers.</t>
  </si>
  <si>
    <t>(ii)     Land Claim:</t>
  </si>
  <si>
    <t>The municipality issued a letter of undertaking to McGarr Preston &amp; Co Trust for the purchase of Portion 7 and Portion 14 of Farm Lot RA No 5100 in the extent of 47.7 hectares.  Currently a private bond is being drawn to deal with the transfer.</t>
  </si>
  <si>
    <t>The municipality has a claims outstanding against its Insurers for lost and/or damaged assets.  The management believe that it is probable that the claims will be successful and that compensation of R1,86 million will be recovered.</t>
  </si>
  <si>
    <t>Due to a fire that destroyed an administrative building of the municipality, an insurance claim to an estimated amount of R12 million will be lodged once all estimations have been obtained.</t>
  </si>
  <si>
    <t>(i)     Lost / Damaged Assets:</t>
  </si>
  <si>
    <t>(ii)     Fire Damages:</t>
  </si>
  <si>
    <t>(i)     Overpayment on Contract:</t>
  </si>
  <si>
    <t>The municipality is sueing Thusano Construction in respect of an over-payment on the contract.  The outcome of the legal processes is unknown at this stage.</t>
  </si>
  <si>
    <t>(ii)     Breach of Contract:</t>
  </si>
  <si>
    <t>The municipality is sueing Nyika Investments in respect of a business plan and the development of commercial enterprises.  Nothing resulted from the business plan and the contractor did not provide the services for which they were contracted.  To date the debtor could not be located to identify any assets that can be attached.  The outcome of the legal processes is unknown at this stage.</t>
  </si>
  <si>
    <t>(iii)     Recovery of Cost:</t>
  </si>
  <si>
    <t>One of the attorneys used by the municipality, Raubenheimers, indicated that the municipality had won a case, brought by the municipality against George Crocodile Park, on 15 June 2006.  Raubenheimers was subsequently notified on 21 August 2006 that an application for leave to appeal was to be made by George Crocodile Park.  In the opinion of Raubenheimers, it is unlikely that the appeal will be successful and that George Municipality will recover the cost.</t>
  </si>
  <si>
    <t>Subsequent to investigations by the police into alleged irregularities by an employee of the municipality as referred to in Note 44.3, court proceedings have commenced against the employee concerned to recover an amount estimated at R180 183.  According to Council's legal advisors, it is probable that the proceedings will result in the recovery of the full amount but this recovery is not virtually certain.</t>
  </si>
  <si>
    <t>(iv)     Recovery of Irregular Expenditure:</t>
  </si>
  <si>
    <t>The municipality was not a party to any Private Public Partnerships during the year under review.</t>
  </si>
  <si>
    <t>Receipts</t>
  </si>
  <si>
    <t>Other Receipts</t>
  </si>
  <si>
    <t>Payments</t>
  </si>
  <si>
    <t>Interest Received</t>
  </si>
  <si>
    <t>Suppliers Paid</t>
  </si>
  <si>
    <t>Other Payments</t>
  </si>
  <si>
    <t>Proceeds from Borrowings</t>
  </si>
  <si>
    <t>NET CASH FLOWS FROM OPERATING ACTIVITIES</t>
  </si>
  <si>
    <t>NET CASH FLOWS FROM INVESTING ACTIVITIES</t>
  </si>
  <si>
    <t>NET CASH FLOWS FROM FINANCING ACTIVITIES</t>
  </si>
  <si>
    <t>Cash and Cash Equivalents at Beginning of Period</t>
  </si>
  <si>
    <t>Cash and Cash Equivalents at End of Period</t>
  </si>
  <si>
    <t>Mapping for Orig. Budget</t>
  </si>
  <si>
    <t>The useful lives of the Intangible Assets remain unchanged from the previous year.</t>
  </si>
  <si>
    <t>Purchase of Heritage Assets</t>
  </si>
  <si>
    <t>Proceeds on Disposal of Heritage Assets</t>
  </si>
  <si>
    <t>I: Financial PositionNON-CURRENT ASSETSHERITAGE ASSETS*</t>
  </si>
  <si>
    <t>K: Financial PositionNON-CURRENT ASSETSHERITAGE ASSETS*</t>
  </si>
  <si>
    <t>N: Financial PositionNON-CURRENT ASSETSHERITAGE ASSETS*</t>
  </si>
  <si>
    <t>Jewelry</t>
  </si>
  <si>
    <t>UPLOAD TRIAL BALANCE SHEET FOR FINANCE DATABASE</t>
  </si>
  <si>
    <t>Closing Balance</t>
  </si>
  <si>
    <t>Amended Budget</t>
  </si>
  <si>
    <t>TOTALS</t>
  </si>
  <si>
    <t>6000/0010/0000</t>
  </si>
  <si>
    <t xml:space="preserve">Capital Development Fund;   </t>
  </si>
  <si>
    <t>6000/L005/0000</t>
  </si>
  <si>
    <t xml:space="preserve">C/Deposits Electricity;     </t>
  </si>
  <si>
    <t>6035/H000/0000</t>
  </si>
  <si>
    <t>Accumulated (Surplus)/Defici</t>
  </si>
  <si>
    <t>6035/H005/0000</t>
  </si>
  <si>
    <t xml:space="preserve">(Surplus)/Deficit Adj Acc;  </t>
  </si>
  <si>
    <t>6035/H010/0000</t>
  </si>
  <si>
    <t xml:space="preserve">OPENING BALANCE;            </t>
  </si>
  <si>
    <t>6040/J000/0000</t>
  </si>
  <si>
    <t xml:space="preserve">Bank Overdraft-Centlec;     </t>
  </si>
  <si>
    <t>6040/J025/0000</t>
  </si>
  <si>
    <t xml:space="preserve">DBSA L1 - Consolidation;    </t>
  </si>
  <si>
    <t>6040/J030/0000</t>
  </si>
  <si>
    <t xml:space="preserve">Highmast Lighting-Centlec;  </t>
  </si>
  <si>
    <t>6040/J035/0000</t>
  </si>
  <si>
    <t>6040/J040/0000</t>
  </si>
  <si>
    <t>6040/J045/0000</t>
  </si>
  <si>
    <t xml:space="preserve">Impr Low Volt-Centlec;      </t>
  </si>
  <si>
    <t>6040/J050/0000</t>
  </si>
  <si>
    <t xml:space="preserve">Prepaid Meters-Centlec;     </t>
  </si>
  <si>
    <t>6040/J055/0000</t>
  </si>
  <si>
    <t xml:space="preserve">Replace Domestic Meters;    </t>
  </si>
  <si>
    <t>6040/J060/0000</t>
  </si>
  <si>
    <t xml:space="preserve">Upgrad Low Volt-Centlec;    </t>
  </si>
  <si>
    <t>6040/J080/0000</t>
  </si>
  <si>
    <t xml:space="preserve">Finance Lease Liability;    </t>
  </si>
  <si>
    <t>6050/J005/0000</t>
  </si>
  <si>
    <t>6050/J010/0000</t>
  </si>
  <si>
    <t xml:space="preserve">C/Deposits Rent;            </t>
  </si>
  <si>
    <t>6050/J015/0000</t>
  </si>
  <si>
    <t xml:space="preserve">C/Deposits Water;           </t>
  </si>
  <si>
    <t>6050/L005/0000</t>
  </si>
  <si>
    <t>6050/L010/0000</t>
  </si>
  <si>
    <t>6050/L015/0000</t>
  </si>
  <si>
    <t>6050/L020/0000</t>
  </si>
  <si>
    <t>6060/M000/0000</t>
  </si>
  <si>
    <t xml:space="preserve">Leave Reserve Fund;         </t>
  </si>
  <si>
    <t>6060/M005/0000</t>
  </si>
  <si>
    <t xml:space="preserve">Pro-rata Bonus;             </t>
  </si>
  <si>
    <t>6060/M010/0000</t>
  </si>
  <si>
    <t>6070/N000/0000</t>
  </si>
  <si>
    <t xml:space="preserve">Creditors-Centlec;          </t>
  </si>
  <si>
    <t>6070/N005/0000</t>
  </si>
  <si>
    <t xml:space="preserve">Creditors Control Account;  </t>
  </si>
  <si>
    <t>6071/N401/0000</t>
  </si>
  <si>
    <t xml:space="preserve">Arrear Int - DBSA;          </t>
  </si>
  <si>
    <t>6071/N405/0000</t>
  </si>
  <si>
    <t xml:space="preserve">C/Debtors' acc in credit;   </t>
  </si>
  <si>
    <t>6071/N410/0000</t>
  </si>
  <si>
    <t>6071/N415/0000</t>
  </si>
  <si>
    <t>Consbill Adjusting Journals;</t>
  </si>
  <si>
    <t>6071/N420/0000</t>
  </si>
  <si>
    <t>6071/N425/0000</t>
  </si>
  <si>
    <t>6071/N430/0000</t>
  </si>
  <si>
    <t>6071/N435/0000</t>
  </si>
  <si>
    <t>6071/N440/0000</t>
  </si>
  <si>
    <t xml:space="preserve">Deposits Hall &amp; Crockery;   </t>
  </si>
  <si>
    <t>6071/N445/0000</t>
  </si>
  <si>
    <t>Medical Pensioners(Charges);</t>
  </si>
  <si>
    <t>6071/N450/0000</t>
  </si>
  <si>
    <t xml:space="preserve">Output VAT Raised;          </t>
  </si>
  <si>
    <t>6071/N455/0000</t>
  </si>
  <si>
    <t xml:space="preserve">Salary Control Account;     </t>
  </si>
  <si>
    <t>6071/N460/0000</t>
  </si>
  <si>
    <t xml:space="preserve">Salary Creditors;           </t>
  </si>
  <si>
    <t>6071/N465/0000</t>
  </si>
  <si>
    <t xml:space="preserve">SARS - PAYE Personnel;      </t>
  </si>
  <si>
    <t>6071/N470/0000</t>
  </si>
  <si>
    <t>6071/N475/0000</t>
  </si>
  <si>
    <t xml:space="preserve">Surplus Cash/ Shortages;    </t>
  </si>
  <si>
    <t>6071/N480/0000</t>
  </si>
  <si>
    <t xml:space="preserve">Suspense Account;           </t>
  </si>
  <si>
    <t>6071/N485/0000</t>
  </si>
  <si>
    <t>6071/N490/0000</t>
  </si>
  <si>
    <t xml:space="preserve">Unknown Deposits;           </t>
  </si>
  <si>
    <t>6071/N495/0000</t>
  </si>
  <si>
    <t>6071/N500/0000</t>
  </si>
  <si>
    <t xml:space="preserve">VIP Clearing Account;       </t>
  </si>
  <si>
    <t>6071/N505/0000</t>
  </si>
  <si>
    <t xml:space="preserve">Cash Control Acc (Daily);   </t>
  </si>
  <si>
    <t>6071/N510/0000</t>
  </si>
  <si>
    <t xml:space="preserve">Cash Control Acc (Dir Dep); </t>
  </si>
  <si>
    <t>6071/N520/0000</t>
  </si>
  <si>
    <t xml:space="preserve">Medical;                    </t>
  </si>
  <si>
    <t>6075/P000/0000</t>
  </si>
  <si>
    <t xml:space="preserve">Draught Relief;             </t>
  </si>
  <si>
    <t>6075/P005/0000</t>
  </si>
  <si>
    <t xml:space="preserve">DWAF;                       </t>
  </si>
  <si>
    <t>6075/P010/0000</t>
  </si>
  <si>
    <t xml:space="preserve">FMG;                        </t>
  </si>
  <si>
    <t>6075/P015/0000</t>
  </si>
  <si>
    <t>INEPG - Elec - Plong &amp; Sodim</t>
  </si>
  <si>
    <t>6075/P020/0000</t>
  </si>
  <si>
    <t xml:space="preserve">MIG ;                       </t>
  </si>
  <si>
    <t>6075/P025/0000</t>
  </si>
  <si>
    <t xml:space="preserve">MSIG;                       </t>
  </si>
  <si>
    <t>6075/P030/0000</t>
  </si>
  <si>
    <t xml:space="preserve">PHP Housing;                </t>
  </si>
  <si>
    <t>6075/P035/0000</t>
  </si>
  <si>
    <t>Prov Grant - Sal Temp Worker</t>
  </si>
  <si>
    <t>6075/P040/0000</t>
  </si>
  <si>
    <t>Prov Grant - Salary Managers</t>
  </si>
  <si>
    <t>6075/P045/0000</t>
  </si>
  <si>
    <t xml:space="preserve">Prov Grant Rouxville Water; </t>
  </si>
  <si>
    <t>6075/P050/0000</t>
  </si>
  <si>
    <t xml:space="preserve">Prov Grant;                 </t>
  </si>
  <si>
    <t>6075/P055/0000</t>
  </si>
  <si>
    <t xml:space="preserve">Provincial Grant - Elec;    </t>
  </si>
  <si>
    <t>6075/P060/0000</t>
  </si>
  <si>
    <t xml:space="preserve">Spatial Development;        </t>
  </si>
  <si>
    <t>6075/P065/0000</t>
  </si>
  <si>
    <t xml:space="preserve">MIG/FS0312/W - Caledon/SF;  </t>
  </si>
  <si>
    <t>6075/P070/0000</t>
  </si>
  <si>
    <t xml:space="preserve">MIG/FS0440/S - Oxi Ponds;   </t>
  </si>
  <si>
    <t>6075/P075/0000</t>
  </si>
  <si>
    <t xml:space="preserve">MIG/FS0344/S - Sew Zastron; </t>
  </si>
  <si>
    <t>6075/P080/0000</t>
  </si>
  <si>
    <t xml:space="preserve">MIG/FS0775/R - Road/Rouxv;  </t>
  </si>
  <si>
    <t>6090/S000/0000</t>
  </si>
  <si>
    <t xml:space="preserve">ABSA  4052654487;           </t>
  </si>
  <si>
    <t>7000/U000/0000</t>
  </si>
  <si>
    <t xml:space="preserve">Admin Offices(Rietpoort);   </t>
  </si>
  <si>
    <t>7000/U000/000D</t>
  </si>
  <si>
    <t>7000/U005/0000</t>
  </si>
  <si>
    <t xml:space="preserve">Admin Offices;              </t>
  </si>
  <si>
    <t>7000/U005/000D</t>
  </si>
  <si>
    <t>7000/U010/0000</t>
  </si>
  <si>
    <t xml:space="preserve">Brewery Tavern;             </t>
  </si>
  <si>
    <t>7000/U010/000D</t>
  </si>
  <si>
    <t>7000/U015/0000</t>
  </si>
  <si>
    <t xml:space="preserve">Camps &amp; Pound;              </t>
  </si>
  <si>
    <t>7000/U015/000D</t>
  </si>
  <si>
    <t>7000/U020/0000</t>
  </si>
  <si>
    <t xml:space="preserve">Civil Buildings;            </t>
  </si>
  <si>
    <t>7000/U020/000D</t>
  </si>
  <si>
    <t>7000/U025/0000</t>
  </si>
  <si>
    <t xml:space="preserve">Commonage;                  </t>
  </si>
  <si>
    <t>7000/U025/000D</t>
  </si>
  <si>
    <t>7000/U030/0000</t>
  </si>
  <si>
    <t xml:space="preserve">Community Hall;             </t>
  </si>
  <si>
    <t>7000/U030/000D</t>
  </si>
  <si>
    <t>7000/U035/0000</t>
  </si>
  <si>
    <t>7000/U035/000D</t>
  </si>
  <si>
    <t>7000/U040/0000</t>
  </si>
  <si>
    <t>7000/U040/000D</t>
  </si>
  <si>
    <t>7000/U045/0000</t>
  </si>
  <si>
    <t xml:space="preserve">Fire Brigade;               </t>
  </si>
  <si>
    <t>7000/U045/000D</t>
  </si>
  <si>
    <t>7000/U050/0000</t>
  </si>
  <si>
    <t xml:space="preserve">Fixed Assets - Centlec;     </t>
  </si>
  <si>
    <t>7000/U055/0000</t>
  </si>
  <si>
    <t xml:space="preserve">Land Survey;                </t>
  </si>
  <si>
    <t>7000/U055/000D</t>
  </si>
  <si>
    <t>7000/U060/0000</t>
  </si>
  <si>
    <t>7000/U060/000D</t>
  </si>
  <si>
    <t>7000/U065/0000</t>
  </si>
  <si>
    <t xml:space="preserve">Museum;                     </t>
  </si>
  <si>
    <t>7000/U065/000D</t>
  </si>
  <si>
    <t>7000/U070/0000</t>
  </si>
  <si>
    <t>Parks, Grounds &amp; Cemeteries;</t>
  </si>
  <si>
    <t>7000/U070/000D</t>
  </si>
  <si>
    <t>7000/U075/0000</t>
  </si>
  <si>
    <t xml:space="preserve">Personnel Housing;          </t>
  </si>
  <si>
    <t>7000/U075/000D</t>
  </si>
  <si>
    <t>7000/U080/0000</t>
  </si>
  <si>
    <t xml:space="preserve">Properties;                 </t>
  </si>
  <si>
    <t>7000/U080/000D</t>
  </si>
  <si>
    <t>7000/U085/0000</t>
  </si>
  <si>
    <t xml:space="preserve">Public Health;              </t>
  </si>
  <si>
    <t>7000/U085/000D</t>
  </si>
  <si>
    <t>7000/U090/0000</t>
  </si>
  <si>
    <t xml:space="preserve">Public Works(Mofulatshepe); </t>
  </si>
  <si>
    <t>7000/U090/000D</t>
  </si>
  <si>
    <t>7000/U095/0000</t>
  </si>
  <si>
    <t xml:space="preserve">Public Works;               </t>
  </si>
  <si>
    <t>7000/U095/000D</t>
  </si>
  <si>
    <t>7000/U100/0000</t>
  </si>
  <si>
    <t xml:space="preserve">Refuse Removal;             </t>
  </si>
  <si>
    <t>7000/U100/000D</t>
  </si>
  <si>
    <t>7000/U105/0000</t>
  </si>
  <si>
    <t xml:space="preserve">Rietpoort;                  </t>
  </si>
  <si>
    <t>7000/U105/000D</t>
  </si>
  <si>
    <t>7000/U110/0000</t>
  </si>
  <si>
    <t xml:space="preserve">Roleleathunya Housing;      </t>
  </si>
  <si>
    <t>7000/U110/000D</t>
  </si>
  <si>
    <t>7000/U115/0000</t>
  </si>
  <si>
    <t xml:space="preserve">Rouxville Housing;          </t>
  </si>
  <si>
    <t>7000/U115/000D</t>
  </si>
  <si>
    <t>7000/U120/0000</t>
  </si>
  <si>
    <t xml:space="preserve">Sewerage;                   </t>
  </si>
  <si>
    <t>7000/U120/000D</t>
  </si>
  <si>
    <t>7000/U125/0000</t>
  </si>
  <si>
    <t xml:space="preserve">Sports Facilities;          </t>
  </si>
  <si>
    <t>7000/U125/000D</t>
  </si>
  <si>
    <t>7000/U130/0000</t>
  </si>
  <si>
    <t xml:space="preserve">Sub-economical Housing;     </t>
  </si>
  <si>
    <t>7000/U130/000D</t>
  </si>
  <si>
    <t>7000/U135/0000</t>
  </si>
  <si>
    <t>7000/U135/000D</t>
  </si>
  <si>
    <t>7000/U145/0000</t>
  </si>
  <si>
    <t>7000/U145/000D</t>
  </si>
  <si>
    <t>7000/U150/0000</t>
  </si>
  <si>
    <t>7000/U150/000D</t>
  </si>
  <si>
    <t>7000/U155/0000</t>
  </si>
  <si>
    <t>7000/U155/000D</t>
  </si>
  <si>
    <t>7000/U160/0000</t>
  </si>
  <si>
    <t>7000/U160/000D</t>
  </si>
  <si>
    <t>7000/U165/0000</t>
  </si>
  <si>
    <t>7000/U165/000D</t>
  </si>
  <si>
    <t>7000/U170/0000</t>
  </si>
  <si>
    <t>7000/U170/000D</t>
  </si>
  <si>
    <t>7000/U175/0000</t>
  </si>
  <si>
    <t>7000/U175/000D</t>
  </si>
  <si>
    <t>7000/U180/0000</t>
  </si>
  <si>
    <t>7000/U180/000D</t>
  </si>
  <si>
    <t>7001/V000/0000</t>
  </si>
  <si>
    <t>7001/V001/0000</t>
  </si>
  <si>
    <t>7003/UB00/0000</t>
  </si>
  <si>
    <t>7010/W000/0000</t>
  </si>
  <si>
    <t xml:space="preserve">ABSA (1014355924);          </t>
  </si>
  <si>
    <t>7010/W005/0000</t>
  </si>
  <si>
    <t xml:space="preserve">ABSA (6074357138);          </t>
  </si>
  <si>
    <t>7010/W010/0000</t>
  </si>
  <si>
    <t xml:space="preserve">ABSA (9074133593);          </t>
  </si>
  <si>
    <t>7010/W015/0000</t>
  </si>
  <si>
    <t xml:space="preserve">ABSA (9086343532);          </t>
  </si>
  <si>
    <t>7010/W020/0000</t>
  </si>
  <si>
    <t xml:space="preserve">FNB (72359004546);          </t>
  </si>
  <si>
    <t>7010/W025/0000</t>
  </si>
  <si>
    <t xml:space="preserve">Old Mutual Flexi Save;      </t>
  </si>
  <si>
    <t>7010/W030/0000</t>
  </si>
  <si>
    <t xml:space="preserve">OVK Holding Shares;         </t>
  </si>
  <si>
    <t>7010/W035/0000</t>
  </si>
  <si>
    <t xml:space="preserve">OVK Operation Shares;       </t>
  </si>
  <si>
    <t>7020/Y000/0000</t>
  </si>
  <si>
    <t xml:space="preserve">Livestock;                  </t>
  </si>
  <si>
    <t>7020/Y001/0000</t>
  </si>
  <si>
    <t>7020/Y002/0000</t>
  </si>
  <si>
    <t>7020/Y003/0000</t>
  </si>
  <si>
    <t>7025/Z000/0000</t>
  </si>
  <si>
    <t xml:space="preserve">Arrear Services;            </t>
  </si>
  <si>
    <t>7025/Z005/0000</t>
  </si>
  <si>
    <t>7025/Z010/0000</t>
  </si>
  <si>
    <t xml:space="preserve">Bad Debt;                   </t>
  </si>
  <si>
    <t>7025/Z015/0000</t>
  </si>
  <si>
    <t xml:space="preserve">Debtors - Centlec;          </t>
  </si>
  <si>
    <t>7025/Z020/0000</t>
  </si>
  <si>
    <t xml:space="preserve">Electricity;                </t>
  </si>
  <si>
    <t>7025/Z025/0000</t>
  </si>
  <si>
    <t xml:space="preserve">Levy;                       </t>
  </si>
  <si>
    <t>7025/Z030/0000</t>
  </si>
  <si>
    <t xml:space="preserve">Miscellaneous;              </t>
  </si>
  <si>
    <t>7025/Z035/0000</t>
  </si>
  <si>
    <t xml:space="preserve">Property Rental;            </t>
  </si>
  <si>
    <t>7025/Z045/0000</t>
  </si>
  <si>
    <t xml:space="preserve">Rates;                      </t>
  </si>
  <si>
    <t>7025/Z050/0000</t>
  </si>
  <si>
    <t xml:space="preserve">Refuse;                     </t>
  </si>
  <si>
    <t>7025/Z055/0000</t>
  </si>
  <si>
    <t xml:space="preserve">Rent Mohokare;              </t>
  </si>
  <si>
    <t>7025/Z060/0000</t>
  </si>
  <si>
    <t xml:space="preserve">Service Fees;               </t>
  </si>
  <si>
    <t>7025/Z065/0000</t>
  </si>
  <si>
    <t>7025/Z070/0000</t>
  </si>
  <si>
    <t xml:space="preserve">Water;                      </t>
  </si>
  <si>
    <t>7030/AD00/0000</t>
  </si>
  <si>
    <t xml:space="preserve">Legal Fees;Finance          </t>
  </si>
  <si>
    <t>7030/AD05/0000</t>
  </si>
  <si>
    <t>7030/AD10/0000</t>
  </si>
  <si>
    <t xml:space="preserve">Input VAT;                  </t>
  </si>
  <si>
    <t>7030/AD15/0000</t>
  </si>
  <si>
    <t>7030/AD20/0000</t>
  </si>
  <si>
    <t>7030/AD25/0000</t>
  </si>
  <si>
    <t>7030/AD30/0000</t>
  </si>
  <si>
    <t xml:space="preserve">RD Cheques;                 </t>
  </si>
  <si>
    <t>7030/AD35/0000</t>
  </si>
  <si>
    <t>7030/AD40/0000</t>
  </si>
  <si>
    <t xml:space="preserve">Sundry Debtors;             </t>
  </si>
  <si>
    <t>7030/AD45/0000</t>
  </si>
  <si>
    <t>7030/AD50/0000</t>
  </si>
  <si>
    <t xml:space="preserve">VAT Control Account;        </t>
  </si>
  <si>
    <t>7030/Z090/0000</t>
  </si>
  <si>
    <t xml:space="preserve">Equitable Share Receivable; </t>
  </si>
  <si>
    <t>7045/DB00/0000</t>
  </si>
  <si>
    <t xml:space="preserve">ABSA Traffic 2810000018;    </t>
  </si>
  <si>
    <t>7045/DB05/0000</t>
  </si>
  <si>
    <t xml:space="preserve">FNB 53593549308;            </t>
  </si>
  <si>
    <t>7045/DB10/0000</t>
  </si>
  <si>
    <t xml:space="preserve">Petty Cash Advances;        </t>
  </si>
  <si>
    <t>7045/DB15/0000</t>
  </si>
  <si>
    <t xml:space="preserve">Standard 041952766;         </t>
  </si>
  <si>
    <t>0101/1000/0000</t>
  </si>
  <si>
    <t xml:space="preserve">Salaries;                   </t>
  </si>
  <si>
    <t>0101/1001/0000</t>
  </si>
  <si>
    <t xml:space="preserve">Performance Bonus;          </t>
  </si>
  <si>
    <t>0101/1002/0000</t>
  </si>
  <si>
    <t xml:space="preserve">Annual Bonus;               </t>
  </si>
  <si>
    <t>0101/1003/0000</t>
  </si>
  <si>
    <t xml:space="preserve">Allowance - Telephone;      </t>
  </si>
  <si>
    <t>0101/1005/0000</t>
  </si>
  <si>
    <t xml:space="preserve">Housing Subsidy ;           </t>
  </si>
  <si>
    <t>0101/1006/0000</t>
  </si>
  <si>
    <t xml:space="preserve">Overtime;                   </t>
  </si>
  <si>
    <t>0101/1007/0000</t>
  </si>
  <si>
    <t xml:space="preserve">Allowance - Other;          </t>
  </si>
  <si>
    <t>0101/1009/0000</t>
  </si>
  <si>
    <t xml:space="preserve">Allowance - Vehicle;        </t>
  </si>
  <si>
    <t>0101/1010/0000</t>
  </si>
  <si>
    <t xml:space="preserve">Industrial Council Levy;    </t>
  </si>
  <si>
    <t>0101/1011/0000</t>
  </si>
  <si>
    <t xml:space="preserve">Skills Development Levy;    </t>
  </si>
  <si>
    <t>0101/1012/0000</t>
  </si>
  <si>
    <t>0101/1050/0000</t>
  </si>
  <si>
    <t xml:space="preserve">Medical Aid Fund;           </t>
  </si>
  <si>
    <t>0101/1051/0000</t>
  </si>
  <si>
    <t xml:space="preserve">Pension Fund ;              </t>
  </si>
  <si>
    <t>0101/1052/0000</t>
  </si>
  <si>
    <t xml:space="preserve">UIF;                        </t>
  </si>
  <si>
    <t>0101/1092/0000</t>
  </si>
  <si>
    <t xml:space="preserve">Councillors - Allowance;    </t>
  </si>
  <si>
    <t>0101/1093/0000</t>
  </si>
  <si>
    <t>Councillors - Telephone Allo</t>
  </si>
  <si>
    <t>0101/1094/0000</t>
  </si>
  <si>
    <t>Councillors - Travel Allowan</t>
  </si>
  <si>
    <t>0101/1095/0000</t>
  </si>
  <si>
    <t xml:space="preserve">Councillors - SDL;          </t>
  </si>
  <si>
    <t>0101/1096/0000</t>
  </si>
  <si>
    <t xml:space="preserve">Councillors - Medical Aid;  </t>
  </si>
  <si>
    <t>0101/1097/0000</t>
  </si>
  <si>
    <t xml:space="preserve">Councillors - Pension Fund; </t>
  </si>
  <si>
    <t>0101/6110/0000</t>
  </si>
  <si>
    <t xml:space="preserve">Rental-Other;               </t>
  </si>
  <si>
    <t>0101/6200/0000</t>
  </si>
  <si>
    <t xml:space="preserve">Donations &amp; Grants;         </t>
  </si>
  <si>
    <t>0101/6508/0000</t>
  </si>
  <si>
    <t xml:space="preserve">Project - LED;              </t>
  </si>
  <si>
    <t>0101/6514/0000</t>
  </si>
  <si>
    <t xml:space="preserve">Printing &amp; Stationary;      </t>
  </si>
  <si>
    <t>0101/6516/0000</t>
  </si>
  <si>
    <t xml:space="preserve">Disaster Fund;              </t>
  </si>
  <si>
    <t>0101/6519/0000</t>
  </si>
  <si>
    <t>Special Programs Unit;Admini</t>
  </si>
  <si>
    <t>0101/6520/0000</t>
  </si>
  <si>
    <t xml:space="preserve">Mayor Entertainment;        </t>
  </si>
  <si>
    <t>0101/6521/0000</t>
  </si>
  <si>
    <t xml:space="preserve">Pauper Burials;             </t>
  </si>
  <si>
    <t>0101/6524/0000</t>
  </si>
  <si>
    <t>Security Services;Council Pr</t>
  </si>
  <si>
    <t>0101/6525/0000</t>
  </si>
  <si>
    <t xml:space="preserve">Postage;                    </t>
  </si>
  <si>
    <t>0101/6532/0000</t>
  </si>
  <si>
    <t xml:space="preserve">Vehicle License;            </t>
  </si>
  <si>
    <t>0101/6533/0000</t>
  </si>
  <si>
    <t xml:space="preserve">License &amp; Internet Fees;    </t>
  </si>
  <si>
    <t>0101/6534/0000</t>
  </si>
  <si>
    <t>Membership Fees;Manager Comm</t>
  </si>
  <si>
    <t>0101/6535/0000</t>
  </si>
  <si>
    <t>Inventory (tools,equip,etc.)</t>
  </si>
  <si>
    <t>0101/6538/0000</t>
  </si>
  <si>
    <t>Entertainment;Manager Comm S</t>
  </si>
  <si>
    <t>0101/6539/0000</t>
  </si>
  <si>
    <t xml:space="preserve">Training;Administration     </t>
  </si>
  <si>
    <t>0101/6541/0000</t>
  </si>
  <si>
    <t xml:space="preserve">Subsistence &amp; Traveling;    </t>
  </si>
  <si>
    <t>0101/6544/0000</t>
  </si>
  <si>
    <t xml:space="preserve">Telephone Charges;          </t>
  </si>
  <si>
    <t>0101/6547/0000</t>
  </si>
  <si>
    <t>Uniforms &amp; Protective Clothi</t>
  </si>
  <si>
    <t>0101/6549/0000</t>
  </si>
  <si>
    <t>Insurance - External;Finance</t>
  </si>
  <si>
    <t>0101/6550/0000</t>
  </si>
  <si>
    <t xml:space="preserve">Refreshments;               </t>
  </si>
  <si>
    <t>0101/6552/0000</t>
  </si>
  <si>
    <t xml:space="preserve">Fuel &amp; Oil - Vehicles;      </t>
  </si>
  <si>
    <t>0101/6554/0000</t>
  </si>
  <si>
    <t xml:space="preserve">Consumables;                </t>
  </si>
  <si>
    <t>0101/6803/0000</t>
  </si>
  <si>
    <t>R/M - Furniture &amp; Equipment;</t>
  </si>
  <si>
    <t>0101/6808/0000</t>
  </si>
  <si>
    <t xml:space="preserve">R/M - Vehicles &amp; Equipment; </t>
  </si>
  <si>
    <t>0101/7501/0000</t>
  </si>
  <si>
    <t xml:space="preserve">Contr - Leave Reserve;      </t>
  </si>
  <si>
    <t>0101/7502/0000</t>
  </si>
  <si>
    <t xml:space="preserve">Contr Fund - Pro-rata Bonus </t>
  </si>
  <si>
    <t>0101/8401/0000</t>
  </si>
  <si>
    <t xml:space="preserve">NT Grant - Equitable Share; </t>
  </si>
  <si>
    <t>0101/8403/0000</t>
  </si>
  <si>
    <t xml:space="preserve">NT Grant - Sal Councillors; </t>
  </si>
  <si>
    <t>0102/1000/0000</t>
  </si>
  <si>
    <t>0102/1001/0000</t>
  </si>
  <si>
    <t>0102/1002/0000</t>
  </si>
  <si>
    <t>0102/1003/0000</t>
  </si>
  <si>
    <t>0102/1005/0000</t>
  </si>
  <si>
    <t>0102/1007/0000</t>
  </si>
  <si>
    <t>0102/1009/0000</t>
  </si>
  <si>
    <t>0102/1010/0000</t>
  </si>
  <si>
    <t>0102/1011/0000</t>
  </si>
  <si>
    <t>0102/1012/0000</t>
  </si>
  <si>
    <t>0102/1050/0000</t>
  </si>
  <si>
    <t>0102/1051/0000</t>
  </si>
  <si>
    <t>0102/1052/0000</t>
  </si>
  <si>
    <t>0102/6501/0000</t>
  </si>
  <si>
    <t xml:space="preserve">Project - Performance Man;  </t>
  </si>
  <si>
    <t>0102/6514/0000</t>
  </si>
  <si>
    <t>0102/6522/0000</t>
  </si>
  <si>
    <t xml:space="preserve">Publications;Administration </t>
  </si>
  <si>
    <t>0102/6532/0000</t>
  </si>
  <si>
    <t>0102/6534/0000</t>
  </si>
  <si>
    <t>0102/6535/0000</t>
  </si>
  <si>
    <t>0102/6538/0000</t>
  </si>
  <si>
    <t>0102/6539/0000</t>
  </si>
  <si>
    <t>0102/6541/0000</t>
  </si>
  <si>
    <t>0102/6561/0000</t>
  </si>
  <si>
    <t>CCA - Vehicles, Plant &amp; Equi</t>
  </si>
  <si>
    <t>0102/6565/0000</t>
  </si>
  <si>
    <t xml:space="preserve">Professional Services;      </t>
  </si>
  <si>
    <t>0102/8401/0000</t>
  </si>
  <si>
    <t>0102/8405/0000</t>
  </si>
  <si>
    <t>NT Grant - MSIG;Administrati</t>
  </si>
  <si>
    <t>0201/1000/0007</t>
  </si>
  <si>
    <t>0201/1000/0008</t>
  </si>
  <si>
    <t>0201/1000/0009</t>
  </si>
  <si>
    <t>0201/1001/0007</t>
  </si>
  <si>
    <t>0201/1002/0007</t>
  </si>
  <si>
    <t>0201/1002/0008</t>
  </si>
  <si>
    <t>0201/1002/0009</t>
  </si>
  <si>
    <t>0201/1003/0007</t>
  </si>
  <si>
    <t>0201/1003/0008</t>
  </si>
  <si>
    <t>0201/1003/0009</t>
  </si>
  <si>
    <t>0201/1005/0007</t>
  </si>
  <si>
    <t>0201/1005/0008</t>
  </si>
  <si>
    <t>0201/1005/0009</t>
  </si>
  <si>
    <t>0201/1006/0008</t>
  </si>
  <si>
    <t>0201/1006/0009</t>
  </si>
  <si>
    <t>0201/1007/0007</t>
  </si>
  <si>
    <t>0201/1007/0008</t>
  </si>
  <si>
    <t>0201/1007/0009</t>
  </si>
  <si>
    <t>0201/1008/0008</t>
  </si>
  <si>
    <t xml:space="preserve">Temporary Workers;Finance   </t>
  </si>
  <si>
    <t>0201/1009/0007</t>
  </si>
  <si>
    <t>0201/1009/0008</t>
  </si>
  <si>
    <t>0201/1009/0009</t>
  </si>
  <si>
    <t>0201/1010/0007</t>
  </si>
  <si>
    <t>0201/1010/0008</t>
  </si>
  <si>
    <t>0201/1010/0009</t>
  </si>
  <si>
    <t>0201/1011/0007</t>
  </si>
  <si>
    <t>0201/1011/0008</t>
  </si>
  <si>
    <t>0201/1011/0009</t>
  </si>
  <si>
    <t>0201/1012/0007</t>
  </si>
  <si>
    <t>0201/1012/0008</t>
  </si>
  <si>
    <t>0201/1012/0009</t>
  </si>
  <si>
    <t>0201/1050/0007</t>
  </si>
  <si>
    <t>0201/1050/0008</t>
  </si>
  <si>
    <t>0201/1050/0009</t>
  </si>
  <si>
    <t>0201/1051/0007</t>
  </si>
  <si>
    <t>0201/1051/0008</t>
  </si>
  <si>
    <t>0201/1051/0009</t>
  </si>
  <si>
    <t>0201/1052/0007</t>
  </si>
  <si>
    <t>0201/1052/0008</t>
  </si>
  <si>
    <t>0201/1052/0009</t>
  </si>
  <si>
    <t>0201/2000/0009</t>
  </si>
  <si>
    <t xml:space="preserve">Bad Debts;                  </t>
  </si>
  <si>
    <t>0201/4000/0009</t>
  </si>
  <si>
    <t>0201/5001/0009</t>
  </si>
  <si>
    <t>Interest External Loans;Prop</t>
  </si>
  <si>
    <t>0201/6109/0008</t>
  </si>
  <si>
    <t>Arrears Contribution;Finance</t>
  </si>
  <si>
    <t>0201/6110/0008</t>
  </si>
  <si>
    <t>0201/6202/0009</t>
  </si>
  <si>
    <t>0201/6203/0008</t>
  </si>
  <si>
    <t>0201/6204/0008</t>
  </si>
  <si>
    <t>0201/6205/0008</t>
  </si>
  <si>
    <t>0201/6206/0008</t>
  </si>
  <si>
    <t>0201/6207/0008</t>
  </si>
  <si>
    <t>0201/6213/0008</t>
  </si>
  <si>
    <t xml:space="preserve">FMG Projects;Finance        </t>
  </si>
  <si>
    <t>0201/6502/0009</t>
  </si>
  <si>
    <t xml:space="preserve">Rental Payments;            </t>
  </si>
  <si>
    <t>0201/6503/0008</t>
  </si>
  <si>
    <t>0201/6512/0008</t>
  </si>
  <si>
    <t xml:space="preserve">Bank Charges;Finance        </t>
  </si>
  <si>
    <t>0201/6513/0008</t>
  </si>
  <si>
    <t xml:space="preserve">Fines &amp; Penalties;Finance   </t>
  </si>
  <si>
    <t>0201/6514/0007</t>
  </si>
  <si>
    <t>0201/6514/0008</t>
  </si>
  <si>
    <t>0201/6514/0009</t>
  </si>
  <si>
    <t>0201/6515/0009</t>
  </si>
  <si>
    <t xml:space="preserve">Computer Software;          </t>
  </si>
  <si>
    <t>0201/6517/0008</t>
  </si>
  <si>
    <t xml:space="preserve">Audit Fees;Finance          </t>
  </si>
  <si>
    <t>0201/6522/0007</t>
  </si>
  <si>
    <t>0201/6522/0009</t>
  </si>
  <si>
    <t>0201/6523/0008</t>
  </si>
  <si>
    <t>0201/6525/0008</t>
  </si>
  <si>
    <t>0201/6525/0009</t>
  </si>
  <si>
    <t>0201/6527/0008</t>
  </si>
  <si>
    <t xml:space="preserve">Health Services;            </t>
  </si>
  <si>
    <t>0201/6528/0008</t>
  </si>
  <si>
    <t xml:space="preserve">Legal Costs;Administration  </t>
  </si>
  <si>
    <t>0201/6530/0008</t>
  </si>
  <si>
    <t xml:space="preserve">Rent - Equipment;Finance    </t>
  </si>
  <si>
    <t>0201/6532/0009</t>
  </si>
  <si>
    <t>0201/6533/0008</t>
  </si>
  <si>
    <t>0201/6533/0009</t>
  </si>
  <si>
    <t>0201/6534/0007</t>
  </si>
  <si>
    <t>0201/6534/0008</t>
  </si>
  <si>
    <t>0201/6535/0008</t>
  </si>
  <si>
    <t>0201/6535/0009</t>
  </si>
  <si>
    <t>0201/6537/0008</t>
  </si>
  <si>
    <t>Interest Bank Overdraft;Fina</t>
  </si>
  <si>
    <t>0201/6538/0007</t>
  </si>
  <si>
    <t>0201/6539/0008</t>
  </si>
  <si>
    <t>0201/6539/0009</t>
  </si>
  <si>
    <t>0201/6541/0007</t>
  </si>
  <si>
    <t>0201/6541/0008</t>
  </si>
  <si>
    <t>0201/6541/0009</t>
  </si>
  <si>
    <t>0201/6542/0008</t>
  </si>
  <si>
    <t xml:space="preserve">Computer Costs;             </t>
  </si>
  <si>
    <t>0201/6542/0009</t>
  </si>
  <si>
    <t>0201/6544/0008</t>
  </si>
  <si>
    <t>0201/6544/0009</t>
  </si>
  <si>
    <t>0201/6549/0008</t>
  </si>
  <si>
    <t>0201/6552/0009</t>
  </si>
  <si>
    <t>0201/6554/0008</t>
  </si>
  <si>
    <t>0201/6554/0009</t>
  </si>
  <si>
    <t>0201/6555/0009</t>
  </si>
  <si>
    <t xml:space="preserve">Interim Valuations;Property </t>
  </si>
  <si>
    <t>0201/6562/0008</t>
  </si>
  <si>
    <t>0201/6565/0008</t>
  </si>
  <si>
    <t>0201/6567/0008</t>
  </si>
  <si>
    <t>Investment Adjustment;Financ</t>
  </si>
  <si>
    <t>0201/6802/0009</t>
  </si>
  <si>
    <t xml:space="preserve">R/M - Tools &amp; Equipment;    </t>
  </si>
  <si>
    <t>0201/6803/0008</t>
  </si>
  <si>
    <t>0201/6803/0009</t>
  </si>
  <si>
    <t>0201/6808/0008</t>
  </si>
  <si>
    <t>0201/6808/0009</t>
  </si>
  <si>
    <t>0201/7500/0008</t>
  </si>
  <si>
    <t xml:space="preserve">R/M - Grounds/Gardens;      </t>
  </si>
  <si>
    <t>0201/7501/0008</t>
  </si>
  <si>
    <t>0201/7501/0009</t>
  </si>
  <si>
    <t>0201/7502/0007</t>
  </si>
  <si>
    <t>0201/7502/0008</t>
  </si>
  <si>
    <t>0201/7502/0009</t>
  </si>
  <si>
    <t>0201/7504/0007</t>
  </si>
  <si>
    <t>0201/8000/0009</t>
  </si>
  <si>
    <t>Property Rates - Farms;Prope</t>
  </si>
  <si>
    <t>0201/8001/0009</t>
  </si>
  <si>
    <t>Property Rates - Business;Pr</t>
  </si>
  <si>
    <t>0201/8002/0009</t>
  </si>
  <si>
    <t>Rebate - Property Rates;Prop</t>
  </si>
  <si>
    <t>0201/8003/0009</t>
  </si>
  <si>
    <t>Property Rates - Government;</t>
  </si>
  <si>
    <t>0201/8004/0009</t>
  </si>
  <si>
    <t>Property Rates - Residential</t>
  </si>
  <si>
    <t>0201/8005/0009</t>
  </si>
  <si>
    <t>0201/8108/0008</t>
  </si>
  <si>
    <t>Vodacom Rental;Council Prope</t>
  </si>
  <si>
    <t>0201/8150/0008</t>
  </si>
  <si>
    <t>0201/8151/0008</t>
  </si>
  <si>
    <t>Interest - Bank Account;Fina</t>
  </si>
  <si>
    <t>0201/8200/0009</t>
  </si>
  <si>
    <t>Interest on Arrears;Property</t>
  </si>
  <si>
    <t>0201/8250/0008</t>
  </si>
  <si>
    <t xml:space="preserve">Dividends Received;Finance  </t>
  </si>
  <si>
    <t>0201/8251/0008</t>
  </si>
  <si>
    <t xml:space="preserve">Dividends;Finance           </t>
  </si>
  <si>
    <t>0201/8401/0007</t>
  </si>
  <si>
    <t>0201/8401/0008</t>
  </si>
  <si>
    <t>0201/8402/0008</t>
  </si>
  <si>
    <t>0201/8405/0007</t>
  </si>
  <si>
    <t>0201/8500/0008</t>
  </si>
  <si>
    <t xml:space="preserve">Rates Certificates;Finance  </t>
  </si>
  <si>
    <t>0201/8501/0008</t>
  </si>
  <si>
    <t>0201/8503/0008</t>
  </si>
  <si>
    <t xml:space="preserve">Photostats;                 </t>
  </si>
  <si>
    <t>0201/8508/0008</t>
  </si>
  <si>
    <t xml:space="preserve">Sundry Income;Finance       </t>
  </si>
  <si>
    <t>0201/8517/0008</t>
  </si>
  <si>
    <t xml:space="preserve">Free Basic Water;           </t>
  </si>
  <si>
    <t>0201/8518/0008</t>
  </si>
  <si>
    <t>0201/8519/0008</t>
  </si>
  <si>
    <t>0201/8520/0008</t>
  </si>
  <si>
    <t>0202/1000/0000</t>
  </si>
  <si>
    <t>0202/1002/0000</t>
  </si>
  <si>
    <t>0202/1003/0000</t>
  </si>
  <si>
    <t>0202/1007/0000</t>
  </si>
  <si>
    <t>0202/1009/0000</t>
  </si>
  <si>
    <t>0202/1010/0000</t>
  </si>
  <si>
    <t>0202/1011/0000</t>
  </si>
  <si>
    <t>0202/1012/0000</t>
  </si>
  <si>
    <t>0202/1050/0000</t>
  </si>
  <si>
    <t>0202/1051/0000</t>
  </si>
  <si>
    <t>0202/1052/0000</t>
  </si>
  <si>
    <t>0202/6510/0000</t>
  </si>
  <si>
    <t xml:space="preserve">IDP;                        </t>
  </si>
  <si>
    <t>0202/6511/0000</t>
  </si>
  <si>
    <t>Advertisements;Administratio</t>
  </si>
  <si>
    <t>0202/6514/0000</t>
  </si>
  <si>
    <t>0202/6525/0000</t>
  </si>
  <si>
    <t>0202/6535/0000</t>
  </si>
  <si>
    <t>0202/6539/0000</t>
  </si>
  <si>
    <t>0202/6541/0000</t>
  </si>
  <si>
    <t>0202/6544/0000</t>
  </si>
  <si>
    <t>0202/6554/0000</t>
  </si>
  <si>
    <t>0202/6803/0000</t>
  </si>
  <si>
    <t>0202/7501/0000</t>
  </si>
  <si>
    <t>0202/7502/0000</t>
  </si>
  <si>
    <t>0202/8401/0000</t>
  </si>
  <si>
    <t>0203/1000/0000</t>
  </si>
  <si>
    <t>0203/1002/0000</t>
  </si>
  <si>
    <t>0203/1003/0000</t>
  </si>
  <si>
    <t>0203/1005/0000</t>
  </si>
  <si>
    <t>0203/1006/0000</t>
  </si>
  <si>
    <t>0203/1007/0000</t>
  </si>
  <si>
    <t>0203/1009/0000</t>
  </si>
  <si>
    <t>0203/1010/0000</t>
  </si>
  <si>
    <t>0203/1011/0000</t>
  </si>
  <si>
    <t>0203/1012/0000</t>
  </si>
  <si>
    <t>0203/1050/0000</t>
  </si>
  <si>
    <t>0203/1051/0000</t>
  </si>
  <si>
    <t>0203/1052/0000</t>
  </si>
  <si>
    <t>0203/6502/0000</t>
  </si>
  <si>
    <t>0203/6514/0000</t>
  </si>
  <si>
    <t>0203/6515/0000</t>
  </si>
  <si>
    <t>0203/6522/0000</t>
  </si>
  <si>
    <t>0203/6525/0000</t>
  </si>
  <si>
    <t>0203/6532/0000</t>
  </si>
  <si>
    <t>0203/6533/0000</t>
  </si>
  <si>
    <t>0203/6535/0000</t>
  </si>
  <si>
    <t>0203/6541/0000</t>
  </si>
  <si>
    <t>0203/6542/0000</t>
  </si>
  <si>
    <t>0203/6544/0000</t>
  </si>
  <si>
    <t>0203/6552/0000</t>
  </si>
  <si>
    <t>0203/6554/0000</t>
  </si>
  <si>
    <t>0203/6803/0000</t>
  </si>
  <si>
    <t>0203/6808/0000</t>
  </si>
  <si>
    <t>0203/7501/0000</t>
  </si>
  <si>
    <t>0203/7502/0000</t>
  </si>
  <si>
    <t>0203/8401/0000</t>
  </si>
  <si>
    <t>0204/1000/0014</t>
  </si>
  <si>
    <t>0204/1010/0014</t>
  </si>
  <si>
    <t>0204/1050/0014</t>
  </si>
  <si>
    <t>0204/1051/0014</t>
  </si>
  <si>
    <t>0204/1052/0014</t>
  </si>
  <si>
    <t>0204/6523/0013</t>
  </si>
  <si>
    <t>0204/6541/0014</t>
  </si>
  <si>
    <t>0204/6549/0013</t>
  </si>
  <si>
    <t>0204/6801/0013</t>
  </si>
  <si>
    <t xml:space="preserve">R/M - Buildings;            </t>
  </si>
  <si>
    <t>0204/6802/0013</t>
  </si>
  <si>
    <t>0204/6803/0013</t>
  </si>
  <si>
    <t>0204/6804/0013</t>
  </si>
  <si>
    <t xml:space="preserve">R/M - Fencing;              </t>
  </si>
  <si>
    <t>0204/6805/0013</t>
  </si>
  <si>
    <t>R/M - Sport Fields;Sport Gro</t>
  </si>
  <si>
    <t>0204/6806/0013</t>
  </si>
  <si>
    <t>0204/6807/0013</t>
  </si>
  <si>
    <t xml:space="preserve">R/M - Roads &amp; Streets;      </t>
  </si>
  <si>
    <t>0204/6808/0013</t>
  </si>
  <si>
    <t>0204/6809/0013</t>
  </si>
  <si>
    <t xml:space="preserve">R/M - Water Reticulation;   </t>
  </si>
  <si>
    <t>0204/6810/0013</t>
  </si>
  <si>
    <t>0204/6811/0013</t>
  </si>
  <si>
    <t xml:space="preserve">R/M - Traffic &amp; Road Signs; </t>
  </si>
  <si>
    <t>0204/6813/0013</t>
  </si>
  <si>
    <t xml:space="preserve">R/M - General ;             </t>
  </si>
  <si>
    <t>0204/6814/0013</t>
  </si>
  <si>
    <t>0204/6815/0013</t>
  </si>
  <si>
    <t xml:space="preserve">R/M - Plant &amp; Equipment;    </t>
  </si>
  <si>
    <t>0204/6816/0013</t>
  </si>
  <si>
    <t xml:space="preserve">R/M - Network;              </t>
  </si>
  <si>
    <t>0204/6817/0013</t>
  </si>
  <si>
    <t>0204/6818/0013</t>
  </si>
  <si>
    <t>0204/8100/0013</t>
  </si>
  <si>
    <t>Rent - Buildings;Council Pro</t>
  </si>
  <si>
    <t>0204/8101/0013</t>
  </si>
  <si>
    <t xml:space="preserve">Rent - Hall;                </t>
  </si>
  <si>
    <t>0204/8105/0014</t>
  </si>
  <si>
    <t xml:space="preserve">Rent - Plant &amp; Equipment;   </t>
  </si>
  <si>
    <t>0204/8108/0013</t>
  </si>
  <si>
    <t>0204/8401/0013</t>
  </si>
  <si>
    <t>0205/1000/0003</t>
  </si>
  <si>
    <t>0205/1000/0004</t>
  </si>
  <si>
    <t>0205/1000/0005</t>
  </si>
  <si>
    <t>0205/1000/0006</t>
  </si>
  <si>
    <t>0205/1001/0003</t>
  </si>
  <si>
    <t>0205/1001/0004</t>
  </si>
  <si>
    <t>0205/1002/0003</t>
  </si>
  <si>
    <t>0205/1002/0004</t>
  </si>
  <si>
    <t>0205/1002/0005</t>
  </si>
  <si>
    <t>0205/1002/0006</t>
  </si>
  <si>
    <t>0205/1003/0003</t>
  </si>
  <si>
    <t>0205/1003/0004</t>
  </si>
  <si>
    <t>0205/1003/0006</t>
  </si>
  <si>
    <t>0205/1005/0003</t>
  </si>
  <si>
    <t>0205/1005/0004</t>
  </si>
  <si>
    <t>0205/1005/0005</t>
  </si>
  <si>
    <t>0205/1005/0006</t>
  </si>
  <si>
    <t>0205/1006/0006</t>
  </si>
  <si>
    <t>0205/1007/0003</t>
  </si>
  <si>
    <t>0205/1007/0004</t>
  </si>
  <si>
    <t>0205/1007/0006</t>
  </si>
  <si>
    <t>0205/1009/0003</t>
  </si>
  <si>
    <t>0205/1009/0004</t>
  </si>
  <si>
    <t>0205/1009/0005</t>
  </si>
  <si>
    <t>0205/1009/0006</t>
  </si>
  <si>
    <t>0205/1010/0003</t>
  </si>
  <si>
    <t>0205/1010/0004</t>
  </si>
  <si>
    <t>0205/1010/0005</t>
  </si>
  <si>
    <t>0205/1010/0006</t>
  </si>
  <si>
    <t>0205/1011/0003</t>
  </si>
  <si>
    <t>0205/1011/0004</t>
  </si>
  <si>
    <t>0205/1011/0005</t>
  </si>
  <si>
    <t>0205/1011/0006</t>
  </si>
  <si>
    <t>0205/1012/0003</t>
  </si>
  <si>
    <t>0205/1012/0004</t>
  </si>
  <si>
    <t>0205/1012/0005</t>
  </si>
  <si>
    <t>0205/1012/0006</t>
  </si>
  <si>
    <t>0205/1050/0003</t>
  </si>
  <si>
    <t>0205/1050/0004</t>
  </si>
  <si>
    <t>0205/1050/0005</t>
  </si>
  <si>
    <t>0205/1050/0006</t>
  </si>
  <si>
    <t>0205/1051/0003</t>
  </si>
  <si>
    <t>0205/1051/0004</t>
  </si>
  <si>
    <t>0205/1051/0005</t>
  </si>
  <si>
    <t>0205/1051/0006</t>
  </si>
  <si>
    <t>0205/1052/0003</t>
  </si>
  <si>
    <t>0205/1052/0004</t>
  </si>
  <si>
    <t>0205/1052/0005</t>
  </si>
  <si>
    <t>0205/1052/0006</t>
  </si>
  <si>
    <t>0205/1055/0006</t>
  </si>
  <si>
    <t>0205/6208/0004</t>
  </si>
  <si>
    <t>0205/6209/0004</t>
  </si>
  <si>
    <t>0205/6214/0006</t>
  </si>
  <si>
    <t>MSIG Projects;Administration</t>
  </si>
  <si>
    <t>0205/6501/0006</t>
  </si>
  <si>
    <t>0205/6511/0006</t>
  </si>
  <si>
    <t>0205/6514/0003</t>
  </si>
  <si>
    <t>0205/6514/0004</t>
  </si>
  <si>
    <t>0205/6514/0005</t>
  </si>
  <si>
    <t>0205/6514/0006</t>
  </si>
  <si>
    <t>0205/6518/0005</t>
  </si>
  <si>
    <t>Audit Committee Fees;Interna</t>
  </si>
  <si>
    <t>0205/6519/0006</t>
  </si>
  <si>
    <t>0205/6522/0003</t>
  </si>
  <si>
    <t>0205/6522/0004</t>
  </si>
  <si>
    <t>0205/6522/0005</t>
  </si>
  <si>
    <t>0205/6522/0006</t>
  </si>
  <si>
    <t>0205/6525/0005</t>
  </si>
  <si>
    <t>0205/6525/0006</t>
  </si>
  <si>
    <t>0205/6528/0006</t>
  </si>
  <si>
    <t>0205/6529/0006</t>
  </si>
  <si>
    <t>Rent - Office Equipment;Admi</t>
  </si>
  <si>
    <t>0205/6534/0003</t>
  </si>
  <si>
    <t>0205/6534/0004</t>
  </si>
  <si>
    <t>0205/6534/0005</t>
  </si>
  <si>
    <t>0205/6535/0005</t>
  </si>
  <si>
    <t>0205/6535/0006</t>
  </si>
  <si>
    <t>0205/6538/0003</t>
  </si>
  <si>
    <t>0205/6538/0004</t>
  </si>
  <si>
    <t>0205/6539/0005</t>
  </si>
  <si>
    <t>0205/6539/0006</t>
  </si>
  <si>
    <t>0205/6541/0003</t>
  </si>
  <si>
    <t>0205/6541/0004</t>
  </si>
  <si>
    <t>0205/6541/0005</t>
  </si>
  <si>
    <t>0205/6541/0006</t>
  </si>
  <si>
    <t>0205/6542/0006</t>
  </si>
  <si>
    <t>0205/6543/0006</t>
  </si>
  <si>
    <t xml:space="preserve">Cleaning Materials;         </t>
  </si>
  <si>
    <t>0205/6544/0005</t>
  </si>
  <si>
    <t>0205/6544/0006</t>
  </si>
  <si>
    <t>0205/6546/0006</t>
  </si>
  <si>
    <t>0205/6552/0006</t>
  </si>
  <si>
    <t>0205/6554/0005</t>
  </si>
  <si>
    <t>0205/6554/0006</t>
  </si>
  <si>
    <t>0205/6556/0006</t>
  </si>
  <si>
    <t>0205/6561/0006</t>
  </si>
  <si>
    <t>0205/6565/0006</t>
  </si>
  <si>
    <t>0205/6568/0005</t>
  </si>
  <si>
    <t>Internal Audit Fees;Internal</t>
  </si>
  <si>
    <t>0205/6801/0006</t>
  </si>
  <si>
    <t>0205/6803/0005</t>
  </si>
  <si>
    <t>0205/6803/0006</t>
  </si>
  <si>
    <t>0205/6808/0006</t>
  </si>
  <si>
    <t>0205/7501/0005</t>
  </si>
  <si>
    <t>0205/7501/0006</t>
  </si>
  <si>
    <t>0205/7502/0005</t>
  </si>
  <si>
    <t>0205/7502/0006</t>
  </si>
  <si>
    <t>0205/8401/0003</t>
  </si>
  <si>
    <t>0205/8401/0004</t>
  </si>
  <si>
    <t>0205/8401/0005</t>
  </si>
  <si>
    <t>0205/8401/0006</t>
  </si>
  <si>
    <t>0205/8404/0006</t>
  </si>
  <si>
    <t>0205/8405/0003</t>
  </si>
  <si>
    <t>0205/8405/0004</t>
  </si>
  <si>
    <t>0205/8450/0004</t>
  </si>
  <si>
    <t xml:space="preserve">NT Grant - MIG;             </t>
  </si>
  <si>
    <t>0205/8452/0004</t>
  </si>
  <si>
    <t>0205/8508/0006</t>
  </si>
  <si>
    <t>0205/8518/0006</t>
  </si>
  <si>
    <t>0301/1000/0000</t>
  </si>
  <si>
    <t>0301/1002/0000</t>
  </si>
  <si>
    <t>0301/1003/0000</t>
  </si>
  <si>
    <t>0301/1005/0000</t>
  </si>
  <si>
    <t>0301/1006/0000</t>
  </si>
  <si>
    <t>0301/1007/0000</t>
  </si>
  <si>
    <t>0301/1009/0000</t>
  </si>
  <si>
    <t>0301/1010/0000</t>
  </si>
  <si>
    <t>0301/1011/0000</t>
  </si>
  <si>
    <t>0301/1012/0000</t>
  </si>
  <si>
    <t>0301/1050/0000</t>
  </si>
  <si>
    <t>0301/1051/0000</t>
  </si>
  <si>
    <t>0301/1052/0000</t>
  </si>
  <si>
    <t>0301/6500/0000</t>
  </si>
  <si>
    <t xml:space="preserve">PMU Projects;               </t>
  </si>
  <si>
    <t>0301/6503/0000</t>
  </si>
  <si>
    <t>0301/6504/0000</t>
  </si>
  <si>
    <t>0301/6505/0000</t>
  </si>
  <si>
    <t>0301/6506/0000</t>
  </si>
  <si>
    <t>0301/6507/0000</t>
  </si>
  <si>
    <t>0301/6509/0000</t>
  </si>
  <si>
    <t>0301/6511/0000</t>
  </si>
  <si>
    <t>0301/6514/0000</t>
  </si>
  <si>
    <t>0301/6525/0000</t>
  </si>
  <si>
    <t>0301/6535/0000</t>
  </si>
  <si>
    <t>0301/6536/0000</t>
  </si>
  <si>
    <t>0301/6539/0000</t>
  </si>
  <si>
    <t>0301/6541/0000</t>
  </si>
  <si>
    <t>0301/6543/0000</t>
  </si>
  <si>
    <t>0301/6544/0000</t>
  </si>
  <si>
    <t>0301/6545/0000</t>
  </si>
  <si>
    <t>0301/6546/0000</t>
  </si>
  <si>
    <t>0301/6549/0000</t>
  </si>
  <si>
    <t>0301/6552/0000</t>
  </si>
  <si>
    <t>0301/6554/0000</t>
  </si>
  <si>
    <t>0301/6561/0000</t>
  </si>
  <si>
    <t>0301/6565/0000</t>
  </si>
  <si>
    <t>0301/6802/0000</t>
  </si>
  <si>
    <t>0301/6803/0000</t>
  </si>
  <si>
    <t>0301/7501/0000</t>
  </si>
  <si>
    <t>0301/7502/0000</t>
  </si>
  <si>
    <t>0301/8401/0000</t>
  </si>
  <si>
    <t>0301/8451/0000</t>
  </si>
  <si>
    <t>0501/1000/0000</t>
  </si>
  <si>
    <t>0501/1002/0000</t>
  </si>
  <si>
    <t>0501/1007/0000</t>
  </si>
  <si>
    <t>0501/1010/0000</t>
  </si>
  <si>
    <t>0501/1011/0000</t>
  </si>
  <si>
    <t>0501/1012/0000</t>
  </si>
  <si>
    <t>0501/1050/0000</t>
  </si>
  <si>
    <t>0501/1051/0000</t>
  </si>
  <si>
    <t>0501/1052/0000</t>
  </si>
  <si>
    <t>0501/6514/0000</t>
  </si>
  <si>
    <t>0501/6523/0000</t>
  </si>
  <si>
    <t>0501/6525/0000</t>
  </si>
  <si>
    <t>0501/6539/0000</t>
  </si>
  <si>
    <t>0501/6541/0000</t>
  </si>
  <si>
    <t>0501/6544/0000</t>
  </si>
  <si>
    <t>0501/6548/0000</t>
  </si>
  <si>
    <t>0501/6549/0000</t>
  </si>
  <si>
    <t>0501/6554/0000</t>
  </si>
  <si>
    <t>0501/6803/0000</t>
  </si>
  <si>
    <t>0501/7501/0000</t>
  </si>
  <si>
    <t>0501/7502/0000</t>
  </si>
  <si>
    <t>0501/8301/0000</t>
  </si>
  <si>
    <t xml:space="preserve">Traffic Fines;              </t>
  </si>
  <si>
    <t>0501/8401/0000</t>
  </si>
  <si>
    <t>0501/8503/0000</t>
  </si>
  <si>
    <t>0501/8512/0000</t>
  </si>
  <si>
    <t xml:space="preserve">Pound Fees;                 </t>
  </si>
  <si>
    <t>0503/1000/0000</t>
  </si>
  <si>
    <t>0503/1002/0000</t>
  </si>
  <si>
    <t>0503/1006/0000</t>
  </si>
  <si>
    <t>0503/1007/0000</t>
  </si>
  <si>
    <t>0503/1010/0000</t>
  </si>
  <si>
    <t>0503/1011/0000</t>
  </si>
  <si>
    <t>0503/1012/0000</t>
  </si>
  <si>
    <t>0503/1050/0000</t>
  </si>
  <si>
    <t>0503/1051/0000</t>
  </si>
  <si>
    <t>0503/1052/0000</t>
  </si>
  <si>
    <t>0503/5001/0000</t>
  </si>
  <si>
    <t>0503/5051/0000</t>
  </si>
  <si>
    <t xml:space="preserve">Interest - DBSA;            </t>
  </si>
  <si>
    <t>0503/6523/0000</t>
  </si>
  <si>
    <t>0503/6531/0000</t>
  </si>
  <si>
    <t>0503/6535/0000</t>
  </si>
  <si>
    <t>0503/6543/0000</t>
  </si>
  <si>
    <t>0503/6546/0000</t>
  </si>
  <si>
    <t>0503/6549/0000</t>
  </si>
  <si>
    <t>0503/6552/0000</t>
  </si>
  <si>
    <t>0503/6554/0000</t>
  </si>
  <si>
    <t>0503/6558/0000</t>
  </si>
  <si>
    <t xml:space="preserve">Electricity Purchases;      </t>
  </si>
  <si>
    <t>0503/6560/0000</t>
  </si>
  <si>
    <t xml:space="preserve">CCA - Tools &amp; Equipment;    </t>
  </si>
  <si>
    <t>0503/6562/0000</t>
  </si>
  <si>
    <t>0503/6563/0000</t>
  </si>
  <si>
    <t>0503/6564/0000</t>
  </si>
  <si>
    <t>0503/6801/0000</t>
  </si>
  <si>
    <t>0503/6802/0000</t>
  </si>
  <si>
    <t>0503/6808/0000</t>
  </si>
  <si>
    <t>0503/6813/0000</t>
  </si>
  <si>
    <t>0503/7501/0000</t>
  </si>
  <si>
    <t>0503/7502/0000</t>
  </si>
  <si>
    <t>0503/8101/0000</t>
  </si>
  <si>
    <t>0503/8107/0000</t>
  </si>
  <si>
    <t xml:space="preserve">Rent - Crockery;            </t>
  </si>
  <si>
    <t>0503/8401/0000</t>
  </si>
  <si>
    <t>0504/1008/0000</t>
  </si>
  <si>
    <t>0504/6521/0000</t>
  </si>
  <si>
    <t>0504/6801/0000</t>
  </si>
  <si>
    <t>0504/6804/0000</t>
  </si>
  <si>
    <t>0504/6818/0000</t>
  </si>
  <si>
    <t>0504/8401/0000</t>
  </si>
  <si>
    <t>0504/8506/0000</t>
  </si>
  <si>
    <t xml:space="preserve">Cemetery Fees;              </t>
  </si>
  <si>
    <t>0507/1000/0010</t>
  </si>
  <si>
    <t>0507/1000/0011</t>
  </si>
  <si>
    <t>0507/1000/0012</t>
  </si>
  <si>
    <t>0507/1002/0010</t>
  </si>
  <si>
    <t>0507/1002/0011</t>
  </si>
  <si>
    <t>0507/1002/0012</t>
  </si>
  <si>
    <t>0507/1003/0010</t>
  </si>
  <si>
    <t>0507/1003/0011</t>
  </si>
  <si>
    <t>0507/1003/0012</t>
  </si>
  <si>
    <t>0507/1005/0010</t>
  </si>
  <si>
    <t>0507/1006/0012</t>
  </si>
  <si>
    <t>0507/1007/0010</t>
  </si>
  <si>
    <t>0507/1007/0011</t>
  </si>
  <si>
    <t>0507/1007/0012</t>
  </si>
  <si>
    <t>0507/1009/0010</t>
  </si>
  <si>
    <t>0507/1009/0011</t>
  </si>
  <si>
    <t>0507/1010/0010</t>
  </si>
  <si>
    <t>0507/1010/0011</t>
  </si>
  <si>
    <t>0507/1010/0012</t>
  </si>
  <si>
    <t>0507/1011/0010</t>
  </si>
  <si>
    <t>0507/1011/0011</t>
  </si>
  <si>
    <t>0507/1012/0010</t>
  </si>
  <si>
    <t>0507/1012/0011</t>
  </si>
  <si>
    <t>0507/1050/0010</t>
  </si>
  <si>
    <t>0507/1050/0011</t>
  </si>
  <si>
    <t>0507/1050/0012</t>
  </si>
  <si>
    <t>0507/1051/0010</t>
  </si>
  <si>
    <t>0507/1051/0011</t>
  </si>
  <si>
    <t>0507/1051/0012</t>
  </si>
  <si>
    <t>0507/1052/0010</t>
  </si>
  <si>
    <t>0507/1052/0011</t>
  </si>
  <si>
    <t>0507/1052/0012</t>
  </si>
  <si>
    <t>0507/6514/0010</t>
  </si>
  <si>
    <t>0507/6514/0011</t>
  </si>
  <si>
    <t>0507/6522/0010</t>
  </si>
  <si>
    <t>0507/6522/0011</t>
  </si>
  <si>
    <t>0507/6525/0011</t>
  </si>
  <si>
    <t>0507/6534/0010</t>
  </si>
  <si>
    <t>0507/6535/0011</t>
  </si>
  <si>
    <t>0507/6538/0010</t>
  </si>
  <si>
    <t>0507/6539/0011</t>
  </si>
  <si>
    <t>0507/6541/0010</t>
  </si>
  <si>
    <t>0507/6541/0011</t>
  </si>
  <si>
    <t>0507/6544/0011</t>
  </si>
  <si>
    <t>0507/6553/0012</t>
  </si>
  <si>
    <t xml:space="preserve">Cattle Feed;Cattle Farming  </t>
  </si>
  <si>
    <t>0507/6554/0011</t>
  </si>
  <si>
    <t>0507/6800/0011</t>
  </si>
  <si>
    <t>0507/6803/0011</t>
  </si>
  <si>
    <t>0507/6804/0012</t>
  </si>
  <si>
    <t>0507/7501/0011</t>
  </si>
  <si>
    <t>0507/7502/0011</t>
  </si>
  <si>
    <t>0507/8401/0010</t>
  </si>
  <si>
    <t>0507/8401/0011</t>
  </si>
  <si>
    <t>0507/8405/0010</t>
  </si>
  <si>
    <t>0507/8514/0012</t>
  </si>
  <si>
    <t>Sale of cattle;Cattle Farmin</t>
  </si>
  <si>
    <t>0601/1000/0000</t>
  </si>
  <si>
    <t>0601/1002/0000</t>
  </si>
  <si>
    <t>0601/1007/0000</t>
  </si>
  <si>
    <t>0601/1009/0000</t>
  </si>
  <si>
    <t>0601/1010/0000</t>
  </si>
  <si>
    <t>0601/1011/0000</t>
  </si>
  <si>
    <t>0601/1012/0000</t>
  </si>
  <si>
    <t>0601/1050/0000</t>
  </si>
  <si>
    <t>0601/1051/0000</t>
  </si>
  <si>
    <t>0601/1052/0000</t>
  </si>
  <si>
    <t>0601/6514/0000</t>
  </si>
  <si>
    <t>0601/6525/0000</t>
  </si>
  <si>
    <t>0601/6535/0000</t>
  </si>
  <si>
    <t>0601/6539/0000</t>
  </si>
  <si>
    <t>0601/6541/0000</t>
  </si>
  <si>
    <t>0601/6544/0000</t>
  </si>
  <si>
    <t>0601/6554/0000</t>
  </si>
  <si>
    <t>0601/6803/0000</t>
  </si>
  <si>
    <t>0601/7501/0000</t>
  </si>
  <si>
    <t>0601/7502/0000</t>
  </si>
  <si>
    <t>0601/8106/0000</t>
  </si>
  <si>
    <t xml:space="preserve">Rent - Houses;              </t>
  </si>
  <si>
    <t>0601/8351/0000</t>
  </si>
  <si>
    <t xml:space="preserve">Permits;                    </t>
  </si>
  <si>
    <t>0601/8401/0000</t>
  </si>
  <si>
    <t>0601/8507/0000</t>
  </si>
  <si>
    <t>Building Plan &amp; Inspection F</t>
  </si>
  <si>
    <t>0701/1000/0000</t>
  </si>
  <si>
    <t>0701/1002/0000</t>
  </si>
  <si>
    <t>0701/1003/0000</t>
  </si>
  <si>
    <t>0701/1005/0000</t>
  </si>
  <si>
    <t>0701/1006/0000</t>
  </si>
  <si>
    <t>0701/1007/0000</t>
  </si>
  <si>
    <t>0701/1009/0000</t>
  </si>
  <si>
    <t>0701/1010/0000</t>
  </si>
  <si>
    <t>0701/1011/0000</t>
  </si>
  <si>
    <t>0701/1012/0000</t>
  </si>
  <si>
    <t>0701/1050/0000</t>
  </si>
  <si>
    <t>0701/1051/0000</t>
  </si>
  <si>
    <t>0701/1052/0000</t>
  </si>
  <si>
    <t>0701/6514/0000</t>
  </si>
  <si>
    <t>0701/6525/0000</t>
  </si>
  <si>
    <t>0701/6528/0000</t>
  </si>
  <si>
    <t>0701/6532/0000</t>
  </si>
  <si>
    <t>0701/6534/0000</t>
  </si>
  <si>
    <t>0701/6535/0000</t>
  </si>
  <si>
    <t>0701/6538/0000</t>
  </si>
  <si>
    <t>0701/6539/0000</t>
  </si>
  <si>
    <t>0701/6541/0000</t>
  </si>
  <si>
    <t>0701/6542/0000</t>
  </si>
  <si>
    <t>0701/6544/0000</t>
  </si>
  <si>
    <t>0701/6546/0000</t>
  </si>
  <si>
    <t>0701/6552/0000</t>
  </si>
  <si>
    <t>0701/6554/0000</t>
  </si>
  <si>
    <t>0701/6565/0000</t>
  </si>
  <si>
    <t>0701/6802/0000</t>
  </si>
  <si>
    <t>0701/6811/0000</t>
  </si>
  <si>
    <t>0701/7501/0000</t>
  </si>
  <si>
    <t>0701/7502/0000</t>
  </si>
  <si>
    <t>0701/8300/0000</t>
  </si>
  <si>
    <t>0701/8401/0000</t>
  </si>
  <si>
    <t>0701/8508/0000</t>
  </si>
  <si>
    <t>0702/1000/0000</t>
  </si>
  <si>
    <t>0702/1003/0000</t>
  </si>
  <si>
    <t>0702/1007/0000</t>
  </si>
  <si>
    <t>0702/1010/0000</t>
  </si>
  <si>
    <t>0702/1050/0000</t>
  </si>
  <si>
    <t>0702/1051/0000</t>
  </si>
  <si>
    <t>0702/1052/0000</t>
  </si>
  <si>
    <t>0702/6535/0000</t>
  </si>
  <si>
    <t>0702/6546/0000</t>
  </si>
  <si>
    <t>0702/6802/0000</t>
  </si>
  <si>
    <t>0702/6803/0000</t>
  </si>
  <si>
    <t>0702/6808/0000</t>
  </si>
  <si>
    <t>0702/8401/0000</t>
  </si>
  <si>
    <t>0704/1000/0000</t>
  </si>
  <si>
    <t>0704/1002/0000</t>
  </si>
  <si>
    <t>0704/1006/0000</t>
  </si>
  <si>
    <t>0704/1007/0000</t>
  </si>
  <si>
    <t>0704/1010/0000</t>
  </si>
  <si>
    <t>0704/1011/0000</t>
  </si>
  <si>
    <t>0704/1012/0000</t>
  </si>
  <si>
    <t>0704/1050/0000</t>
  </si>
  <si>
    <t>0704/1051/0000</t>
  </si>
  <si>
    <t>0704/1052/0000</t>
  </si>
  <si>
    <t>0704/6511/0000</t>
  </si>
  <si>
    <t>0704/6527/0000</t>
  </si>
  <si>
    <t>0704/6530/0000</t>
  </si>
  <si>
    <t>0704/6541/0000</t>
  </si>
  <si>
    <t>0704/6553/0000</t>
  </si>
  <si>
    <t>0704/6554/0000</t>
  </si>
  <si>
    <t>0704/6804/0000</t>
  </si>
  <si>
    <t>0704/7501/0000</t>
  </si>
  <si>
    <t>0704/7502/0000</t>
  </si>
  <si>
    <t>0704/8401/0000</t>
  </si>
  <si>
    <t>0704/8504/0000</t>
  </si>
  <si>
    <t>0704/8511/0000</t>
  </si>
  <si>
    <t>0801/1000/0015</t>
  </si>
  <si>
    <t>0801/1000/0016</t>
  </si>
  <si>
    <t>0801/1002/0015</t>
  </si>
  <si>
    <t>0801/1002/0016</t>
  </si>
  <si>
    <t>0801/1003/0015</t>
  </si>
  <si>
    <t>0801/1005/0015</t>
  </si>
  <si>
    <t>0801/1005/0016</t>
  </si>
  <si>
    <t>0801/1006/0015</t>
  </si>
  <si>
    <t>0801/1006/0016</t>
  </si>
  <si>
    <t>0801/1007/0015</t>
  </si>
  <si>
    <t>0801/1007/0016</t>
  </si>
  <si>
    <t>0801/1008/0015</t>
  </si>
  <si>
    <t>0801/1010/0015</t>
  </si>
  <si>
    <t>0801/1010/0016</t>
  </si>
  <si>
    <t>0801/1011/0015</t>
  </si>
  <si>
    <t>0801/1011/0016</t>
  </si>
  <si>
    <t>0801/1012/0015</t>
  </si>
  <si>
    <t>0801/1012/0016</t>
  </si>
  <si>
    <t>0801/1050/0015</t>
  </si>
  <si>
    <t>0801/1050/0016</t>
  </si>
  <si>
    <t>0801/1051/0015</t>
  </si>
  <si>
    <t>0801/1051/0016</t>
  </si>
  <si>
    <t>0801/1052/0015</t>
  </si>
  <si>
    <t>0801/1052/0016</t>
  </si>
  <si>
    <t>0801/5051/0015</t>
  </si>
  <si>
    <t>0801/6511/0015</t>
  </si>
  <si>
    <t>0801/6514/0015</t>
  </si>
  <si>
    <t>0801/6523/0015</t>
  </si>
  <si>
    <t>0801/6535/0015</t>
  </si>
  <si>
    <t>0801/6539/0015</t>
  </si>
  <si>
    <t>0801/6541/0015</t>
  </si>
  <si>
    <t>0801/6546/0015</t>
  </si>
  <si>
    <t>0801/6549/0015</t>
  </si>
  <si>
    <t>0801/6552/0015</t>
  </si>
  <si>
    <t>0801/6554/0015</t>
  </si>
  <si>
    <t>0801/6558/0015</t>
  </si>
  <si>
    <t>0801/6559/0016</t>
  </si>
  <si>
    <t>0801/6561/0015</t>
  </si>
  <si>
    <t>0801/6801/0015</t>
  </si>
  <si>
    <t>0801/6801/0016</t>
  </si>
  <si>
    <t>0801/6802/0015</t>
  </si>
  <si>
    <t>0801/6802/0016</t>
  </si>
  <si>
    <t>0801/6804/0015</t>
  </si>
  <si>
    <t>0801/6805/0016</t>
  </si>
  <si>
    <t>0801/6808/0015</t>
  </si>
  <si>
    <t>0801/6813/0015</t>
  </si>
  <si>
    <t>0801/7501/0015</t>
  </si>
  <si>
    <t>0801/7501/0016</t>
  </si>
  <si>
    <t>0801/7502/0015</t>
  </si>
  <si>
    <t>0801/7502/0016</t>
  </si>
  <si>
    <t>0801/8102/0016</t>
  </si>
  <si>
    <t>0801/8103/0015</t>
  </si>
  <si>
    <t>Rent - Caravan Park;Sport Gr</t>
  </si>
  <si>
    <t>0801/8103/0016</t>
  </si>
  <si>
    <t>0801/8401/0015</t>
  </si>
  <si>
    <t>0801/8401/0016</t>
  </si>
  <si>
    <t>0801/8508/0015</t>
  </si>
  <si>
    <t>0903/1000/0000</t>
  </si>
  <si>
    <t>0903/1002/0000</t>
  </si>
  <si>
    <t>0903/1003/0000</t>
  </si>
  <si>
    <t>0903/1010/0000</t>
  </si>
  <si>
    <t>0903/1011/0000</t>
  </si>
  <si>
    <t>0903/1012/0000</t>
  </si>
  <si>
    <t>0903/1050/0000</t>
  </si>
  <si>
    <t>0903/1051/0000</t>
  </si>
  <si>
    <t>0903/1052/0000</t>
  </si>
  <si>
    <t>0903/6514/0000</t>
  </si>
  <si>
    <t>0903/6536/0000</t>
  </si>
  <si>
    <t>0903/6539/0000</t>
  </si>
  <si>
    <t>0903/6541/0000</t>
  </si>
  <si>
    <t>0903/6543/0000</t>
  </si>
  <si>
    <t>0903/6546/0000</t>
  </si>
  <si>
    <t>0903/6549/0000</t>
  </si>
  <si>
    <t>0903/6802/0000</t>
  </si>
  <si>
    <t>0903/8400/0000</t>
  </si>
  <si>
    <t>1001/1000/0000</t>
  </si>
  <si>
    <t>1001/1002/0000</t>
  </si>
  <si>
    <t>1001/1003/0000</t>
  </si>
  <si>
    <t>1001/1004/0000</t>
  </si>
  <si>
    <t xml:space="preserve">Allowance Standby;          </t>
  </si>
  <si>
    <t>1001/1006/0000</t>
  </si>
  <si>
    <t>1001/1007/0000</t>
  </si>
  <si>
    <t>1001/1008/0000</t>
  </si>
  <si>
    <t>1001/1010/0000</t>
  </si>
  <si>
    <t>1001/1011/0000</t>
  </si>
  <si>
    <t>1001/1012/0000</t>
  </si>
  <si>
    <t>1001/1050/0000</t>
  </si>
  <si>
    <t>1001/1051/0000</t>
  </si>
  <si>
    <t>1001/1052/0000</t>
  </si>
  <si>
    <t>1001/2000/0000</t>
  </si>
  <si>
    <t>1001/4000/0000</t>
  </si>
  <si>
    <t>1001/5002/0000</t>
  </si>
  <si>
    <t>1001/5052/0000</t>
  </si>
  <si>
    <t xml:space="preserve">Redemption - DBSA;          </t>
  </si>
  <si>
    <t>1001/6202/0000</t>
  </si>
  <si>
    <t>1001/6210/0000</t>
  </si>
  <si>
    <t xml:space="preserve">MIG Projects;               </t>
  </si>
  <si>
    <t>1001/6215/0000</t>
  </si>
  <si>
    <t>Regional Bulk Infra Projects</t>
  </si>
  <si>
    <t>1001/6514/0000</t>
  </si>
  <si>
    <t>1001/6525/0000</t>
  </si>
  <si>
    <t>1001/6527/0000</t>
  </si>
  <si>
    <t>1001/6531/0000</t>
  </si>
  <si>
    <t>1001/6532/0000</t>
  </si>
  <si>
    <t>1001/6533/0000</t>
  </si>
  <si>
    <t>1001/6535/0000</t>
  </si>
  <si>
    <t>1001/6539/0000</t>
  </si>
  <si>
    <t>1001/6541/0000</t>
  </si>
  <si>
    <t>1001/6543/0000</t>
  </si>
  <si>
    <t>1001/6544/0000</t>
  </si>
  <si>
    <t>1001/6546/0000</t>
  </si>
  <si>
    <t>1001/6549/0000</t>
  </si>
  <si>
    <t>1001/6552/0000</t>
  </si>
  <si>
    <t>1001/6554/0000</t>
  </si>
  <si>
    <t>1001/6558/0000</t>
  </si>
  <si>
    <t>1001/6559/0000</t>
  </si>
  <si>
    <t>1001/6560/0000</t>
  </si>
  <si>
    <t>1001/6561/0000</t>
  </si>
  <si>
    <t>1001/6566/0000</t>
  </si>
  <si>
    <t>1001/6801/0000</t>
  </si>
  <si>
    <t>1001/6802/0000</t>
  </si>
  <si>
    <t>1001/6808/0000</t>
  </si>
  <si>
    <t>1001/6812/0000</t>
  </si>
  <si>
    <t>1001/6815/0000</t>
  </si>
  <si>
    <t>1001/6818/0000</t>
  </si>
  <si>
    <t>1001/7500/0000</t>
  </si>
  <si>
    <t>1001/7501/0000</t>
  </si>
  <si>
    <t>1001/7502/0000</t>
  </si>
  <si>
    <t>1001/8055/0000</t>
  </si>
  <si>
    <t xml:space="preserve">Sewerage Levies;            </t>
  </si>
  <si>
    <t>1001/8401/0000</t>
  </si>
  <si>
    <t>1001/8450/0000</t>
  </si>
  <si>
    <t>1001/8455/0000</t>
  </si>
  <si>
    <t xml:space="preserve">Regional Bulk Infra Grant;  </t>
  </si>
  <si>
    <t>1001/8505/0000</t>
  </si>
  <si>
    <t xml:space="preserve">Connection Fees;            </t>
  </si>
  <si>
    <t>1001/8510/0000</t>
  </si>
  <si>
    <t xml:space="preserve">Sewerage Blockages;         </t>
  </si>
  <si>
    <t>1010/1001/0000</t>
  </si>
  <si>
    <t>1011/1000/0000</t>
  </si>
  <si>
    <t>1011/1002/0000</t>
  </si>
  <si>
    <t>1011/1003/0000</t>
  </si>
  <si>
    <t>1011/1004/0000</t>
  </si>
  <si>
    <t>1011/1005/0000</t>
  </si>
  <si>
    <t>1011/1006/0000</t>
  </si>
  <si>
    <t>1011/1007/0000</t>
  </si>
  <si>
    <t>1011/1008/0000</t>
  </si>
  <si>
    <t>1011/1010/0000</t>
  </si>
  <si>
    <t>1011/1011/0000</t>
  </si>
  <si>
    <t>1011/1012/0000</t>
  </si>
  <si>
    <t>1011/1050/0000</t>
  </si>
  <si>
    <t>1011/1051/0000</t>
  </si>
  <si>
    <t>1011/1052/0000</t>
  </si>
  <si>
    <t>1011/2000/0000</t>
  </si>
  <si>
    <t>1011/4000/0000</t>
  </si>
  <si>
    <t>1011/5001/0000</t>
  </si>
  <si>
    <t>1011/5051/0000</t>
  </si>
  <si>
    <t>1011/6202/0000</t>
  </si>
  <si>
    <t>1011/6526/0000</t>
  </si>
  <si>
    <t>1011/6530/0000</t>
  </si>
  <si>
    <t>1011/6531/0000</t>
  </si>
  <si>
    <t>1011/6532/0000</t>
  </si>
  <si>
    <t>1011/6533/0000</t>
  </si>
  <si>
    <t>1011/6535/0000</t>
  </si>
  <si>
    <t>1011/6539/0000</t>
  </si>
  <si>
    <t>1011/6541/0000</t>
  </si>
  <si>
    <t>1011/6543/0000</t>
  </si>
  <si>
    <t>1011/6544/0000</t>
  </si>
  <si>
    <t>1011/6546/0000</t>
  </si>
  <si>
    <t>1011/6549/0000</t>
  </si>
  <si>
    <t>1011/6552/0000</t>
  </si>
  <si>
    <t>1011/6554/0000</t>
  </si>
  <si>
    <t>1011/6560/0000</t>
  </si>
  <si>
    <t>1011/6802/0000</t>
  </si>
  <si>
    <t>1011/6804/0000</t>
  </si>
  <si>
    <t>1011/6808/0000</t>
  </si>
  <si>
    <t>1011/6810/0000</t>
  </si>
  <si>
    <t>1011/6815/0000</t>
  </si>
  <si>
    <t>1011/7500/0000</t>
  </si>
  <si>
    <t>1011/7501/0000</t>
  </si>
  <si>
    <t>1011/7502/0000</t>
  </si>
  <si>
    <t>1011/8051/0000</t>
  </si>
  <si>
    <t xml:space="preserve">Refuse Removal Levies;      </t>
  </si>
  <si>
    <t>1011/8401/0000</t>
  </si>
  <si>
    <t>1101/1000/0000</t>
  </si>
  <si>
    <t>1101/1002/0000</t>
  </si>
  <si>
    <t>1101/1003/0000</t>
  </si>
  <si>
    <t>1101/1004/0000</t>
  </si>
  <si>
    <t>1101/1005/0000</t>
  </si>
  <si>
    <t>1101/1006/0000</t>
  </si>
  <si>
    <t>1101/1007/0000</t>
  </si>
  <si>
    <t>1101/1009/0000</t>
  </si>
  <si>
    <t>1101/1010/0000</t>
  </si>
  <si>
    <t>1101/1011/0000</t>
  </si>
  <si>
    <t>1101/1012/0000</t>
  </si>
  <si>
    <t>1101/1050/0000</t>
  </si>
  <si>
    <t>1101/1051/0000</t>
  </si>
  <si>
    <t>1101/1052/0000</t>
  </si>
  <si>
    <t>1101/4000/0000</t>
  </si>
  <si>
    <t>1101/5000/0000</t>
  </si>
  <si>
    <t>1101/5001/0000</t>
  </si>
  <si>
    <t>1101/6210/0000</t>
  </si>
  <si>
    <t>1101/6211/0000</t>
  </si>
  <si>
    <t xml:space="preserve">EPWP Projects;              </t>
  </si>
  <si>
    <t>1101/6216/0000</t>
  </si>
  <si>
    <t>Xhrariep District Grant Proj</t>
  </si>
  <si>
    <t>1101/6511/0000</t>
  </si>
  <si>
    <t>1101/6514/0000</t>
  </si>
  <si>
    <t>1101/6523/0000</t>
  </si>
  <si>
    <t>1101/6526/0000</t>
  </si>
  <si>
    <t>1101/6527/0000</t>
  </si>
  <si>
    <t>1101/6530/0000</t>
  </si>
  <si>
    <t>1101/6532/0000</t>
  </si>
  <si>
    <t>1101/6533/0000</t>
  </si>
  <si>
    <t>1101/6535/0000</t>
  </si>
  <si>
    <t>1101/6539/0000</t>
  </si>
  <si>
    <t>1101/6541/0000</t>
  </si>
  <si>
    <t>1101/6542/0000</t>
  </si>
  <si>
    <t>1101/6544/0000</t>
  </si>
  <si>
    <t>1101/6546/0000</t>
  </si>
  <si>
    <t>1101/6549/0000</t>
  </si>
  <si>
    <t>1101/6552/0000</t>
  </si>
  <si>
    <t>1101/6554/0000</t>
  </si>
  <si>
    <t>1101/6560/0000</t>
  </si>
  <si>
    <t>1101/6561/0000</t>
  </si>
  <si>
    <t>1101/6801/0000</t>
  </si>
  <si>
    <t>1101/6802/0000</t>
  </si>
  <si>
    <t>1101/6807/0000</t>
  </si>
  <si>
    <t>1101/6808/0000</t>
  </si>
  <si>
    <t>1101/6815/0000</t>
  </si>
  <si>
    <t>1101/7501/0000</t>
  </si>
  <si>
    <t>1101/7502/0000</t>
  </si>
  <si>
    <t>1101/8104/0000</t>
  </si>
  <si>
    <t>1101/8401/0000</t>
  </si>
  <si>
    <t>1101/8450/0000</t>
  </si>
  <si>
    <t>1101/8453/0000</t>
  </si>
  <si>
    <t xml:space="preserve">NT Grant - EPWP;            </t>
  </si>
  <si>
    <t>1101/8456/0000</t>
  </si>
  <si>
    <t xml:space="preserve">Xhariep District Mun Grant; </t>
  </si>
  <si>
    <t>1101/8509/0000</t>
  </si>
  <si>
    <t xml:space="preserve">Gravel Sales;               </t>
  </si>
  <si>
    <t>1201/1000/0000</t>
  </si>
  <si>
    <t>1201/1002/0000</t>
  </si>
  <si>
    <t>1201/1003/0000</t>
  </si>
  <si>
    <t>1201/1004/0000</t>
  </si>
  <si>
    <t>1201/1005/0000</t>
  </si>
  <si>
    <t>1201/1006/0000</t>
  </si>
  <si>
    <t>1201/1007/0000</t>
  </si>
  <si>
    <t>1201/1010/0000</t>
  </si>
  <si>
    <t>1201/1011/0000</t>
  </si>
  <si>
    <t>1201/1012/0000</t>
  </si>
  <si>
    <t>1201/1050/0000</t>
  </si>
  <si>
    <t>1201/1051/0000</t>
  </si>
  <si>
    <t>1201/1052/0000</t>
  </si>
  <si>
    <t>1201/2000/0000</t>
  </si>
  <si>
    <t>1201/4000/0000</t>
  </si>
  <si>
    <t>1201/5001/0000</t>
  </si>
  <si>
    <t>1201/5051/0000</t>
  </si>
  <si>
    <t>1201/6001/0000</t>
  </si>
  <si>
    <t xml:space="preserve">Bulk Water Purchases;       </t>
  </si>
  <si>
    <t>1201/6201/0000</t>
  </si>
  <si>
    <t>1201/6210/0000</t>
  </si>
  <si>
    <t>1201/6217/0000</t>
  </si>
  <si>
    <t>1201/6514/0000</t>
  </si>
  <si>
    <t>1201/6525/0000</t>
  </si>
  <si>
    <t>1201/6526/0000</t>
  </si>
  <si>
    <t>1201/6527/0000</t>
  </si>
  <si>
    <t>1201/6531/0000</t>
  </si>
  <si>
    <t>1201/6532/0000</t>
  </si>
  <si>
    <t>1201/6535/0000</t>
  </si>
  <si>
    <t>1201/6538/0000</t>
  </si>
  <si>
    <t>1201/6539/0000</t>
  </si>
  <si>
    <t>1201/6540/0000</t>
  </si>
  <si>
    <t xml:space="preserve">Water Chemicals;            </t>
  </si>
  <si>
    <t>1201/6541/0000</t>
  </si>
  <si>
    <t>1201/6543/0000</t>
  </si>
  <si>
    <t>1201/6544/0000</t>
  </si>
  <si>
    <t>1201/6546/0000</t>
  </si>
  <si>
    <t>1201/6549/0000</t>
  </si>
  <si>
    <t>1201/6551/0000</t>
  </si>
  <si>
    <t xml:space="preserve">Transport Costs;            </t>
  </si>
  <si>
    <t>1201/6552/0000</t>
  </si>
  <si>
    <t>1201/6554/0000</t>
  </si>
  <si>
    <t>1201/6558/0000</t>
  </si>
  <si>
    <t>1201/6559/0000</t>
  </si>
  <si>
    <t>1201/6560/0000</t>
  </si>
  <si>
    <t>1201/6565/0000</t>
  </si>
  <si>
    <t>1201/6801/0000</t>
  </si>
  <si>
    <t>1201/6802/0000</t>
  </si>
  <si>
    <t>1201/6806/0000</t>
  </si>
  <si>
    <t>1201/6808/0000</t>
  </si>
  <si>
    <t>1201/6809/0000</t>
  </si>
  <si>
    <t>1201/6815/0000</t>
  </si>
  <si>
    <t>1201/7500/0000</t>
  </si>
  <si>
    <t>1201/7501/0000</t>
  </si>
  <si>
    <t>1201/7502/0000</t>
  </si>
  <si>
    <t>1201/7503/0000</t>
  </si>
  <si>
    <t>1201/8052/0000</t>
  </si>
  <si>
    <t xml:space="preserve">Water Levies;               </t>
  </si>
  <si>
    <t>1201/8401/0000</t>
  </si>
  <si>
    <t>1201/8450/0000</t>
  </si>
  <si>
    <t>1201/8505/0000</t>
  </si>
  <si>
    <t>1201/8508/0000</t>
  </si>
  <si>
    <t>1201/8513/0000</t>
  </si>
  <si>
    <t>1201/8516/0000</t>
  </si>
  <si>
    <t>1301/1000/0000</t>
  </si>
  <si>
    <t>1301/1002/0000</t>
  </si>
  <si>
    <t>1301/1003/0000</t>
  </si>
  <si>
    <t>1301/1006/0000</t>
  </si>
  <si>
    <t>1301/1010/0000</t>
  </si>
  <si>
    <t>1301/1011/0000</t>
  </si>
  <si>
    <t>1301/1012/0000</t>
  </si>
  <si>
    <t>1301/1050/0000</t>
  </si>
  <si>
    <t>1301/1051/0000</t>
  </si>
  <si>
    <t>1301/1052/0000</t>
  </si>
  <si>
    <t>1301/4000/0000</t>
  </si>
  <si>
    <t>1301/5003/0000</t>
  </si>
  <si>
    <t>1301/5051/0000</t>
  </si>
  <si>
    <t>1301/6000/0000</t>
  </si>
  <si>
    <t xml:space="preserve">Bulk Electricity Purchases; </t>
  </si>
  <si>
    <t>1301/6201/0000</t>
  </si>
  <si>
    <t>1301/6212/0000</t>
  </si>
  <si>
    <t xml:space="preserve">INEPG Projects;             </t>
  </si>
  <si>
    <t>1301/6514/0000</t>
  </si>
  <si>
    <t>1301/6515/0000</t>
  </si>
  <si>
    <t>1301/6532/0000</t>
  </si>
  <si>
    <t>1301/6535/0000</t>
  </si>
  <si>
    <t>1301/6541/0000</t>
  </si>
  <si>
    <t>1301/6546/0000</t>
  </si>
  <si>
    <t>1301/6549/0000</t>
  </si>
  <si>
    <t>1301/6552/0000</t>
  </si>
  <si>
    <t>1301/6554/0000</t>
  </si>
  <si>
    <t>1301/6557/0000</t>
  </si>
  <si>
    <t>1301/6814/0000</t>
  </si>
  <si>
    <t>1301/6815/0000</t>
  </si>
  <si>
    <t>1301/6816/0000</t>
  </si>
  <si>
    <t>1301/6817/0000</t>
  </si>
  <si>
    <t>1301/8053/0000</t>
  </si>
  <si>
    <t>1301/8054/0000</t>
  </si>
  <si>
    <t>1301/8401/0000</t>
  </si>
  <si>
    <t>1301/8454/0000</t>
  </si>
  <si>
    <t xml:space="preserve">NT Grant - INEPG;           </t>
  </si>
  <si>
    <t>1301/8502/0000</t>
  </si>
  <si>
    <t>1301/8508/0000</t>
  </si>
  <si>
    <t>1301/8515/0000</t>
  </si>
  <si>
    <t xml:space="preserve">Free Basic Electricity;     </t>
  </si>
  <si>
    <t>Remuneration of councillors</t>
  </si>
  <si>
    <t>Public contributions and donations</t>
  </si>
  <si>
    <t>Other income</t>
  </si>
  <si>
    <t>General expenses - Medical expenses</t>
  </si>
  <si>
    <t>General expenses - Special programmes</t>
  </si>
  <si>
    <t>General expenses - Entertainment</t>
  </si>
  <si>
    <t>General expenses - Pauper burials</t>
  </si>
  <si>
    <t>General expenses - Subscriptions and membership fees</t>
  </si>
  <si>
    <t>General expenses - Consumables</t>
  </si>
  <si>
    <t>General expenses - Travel (Local)</t>
  </si>
  <si>
    <t>General expenses - Telephone and fax</t>
  </si>
  <si>
    <t>General expenses - Fuel and oil</t>
  </si>
  <si>
    <t>Repairs and maintenance</t>
  </si>
  <si>
    <t>Government grants and subsidies</t>
  </si>
  <si>
    <t>General expenses - Printing and stationary</t>
  </si>
  <si>
    <t>General expenses - Magazines, books and periodicals</t>
  </si>
  <si>
    <t>General expenses - Training</t>
  </si>
  <si>
    <t>Interest received - Trading</t>
  </si>
  <si>
    <t>General expenses - Lease rentals on operating lease</t>
  </si>
  <si>
    <t>Grants and subsidies paid</t>
  </si>
  <si>
    <t>General expenses - Bank charges</t>
  </si>
  <si>
    <t>General expenses - Fines and penalties</t>
  </si>
  <si>
    <t>General expenses - Software expenses</t>
  </si>
  <si>
    <t>General expenses - Postage and courier</t>
  </si>
  <si>
    <t>Rental of facilities and equipment</t>
  </si>
  <si>
    <t>General expenses - Motor vehicle expenses</t>
  </si>
  <si>
    <t>General expenses - Royalties and license fees</t>
  </si>
  <si>
    <t>General expenses - Computer expenses</t>
  </si>
  <si>
    <t>Interest on Investment</t>
  </si>
  <si>
    <t>Administration and management fees</t>
  </si>
  <si>
    <t>General expenses - Advertising</t>
  </si>
  <si>
    <t>General expenses - Insurance</t>
  </si>
  <si>
    <t>General expenses - Uniforms</t>
  </si>
  <si>
    <t>Non-Current Assets - Property, plant and equipment</t>
  </si>
  <si>
    <t>General expenses - Transport and freight</t>
  </si>
  <si>
    <t>General expenses - Cleaning</t>
  </si>
  <si>
    <t>General expenses - Animal costs</t>
  </si>
  <si>
    <t>Services charges</t>
  </si>
  <si>
    <t>General expenses - Chemicals</t>
  </si>
  <si>
    <t>Debt Impairment</t>
  </si>
  <si>
    <t>Accumulated Surplus</t>
  </si>
  <si>
    <t>Non-Current Liabilities - Other financial liabilities</t>
  </si>
  <si>
    <t>Non-Current Liabilities - Finance lease obligation</t>
  </si>
  <si>
    <t>Current Assets - Trade and other receivables from exchange transactions (Sundry debtors)</t>
  </si>
  <si>
    <t>Current Liabilities - Consumer deposits</t>
  </si>
  <si>
    <t>Current Liabilities - Trade and other payables from exchange transactions (Accrued leave pay)</t>
  </si>
  <si>
    <t>Current Liabilities - Trade and other payables from exchange transactions (Accrued bonus)</t>
  </si>
  <si>
    <t>Current Liabilities - Trade and other payables from exchange transactions (Trade payables)</t>
  </si>
  <si>
    <t>Current Liabilities - Trade and other payables from exchange transactions (Other payables)</t>
  </si>
  <si>
    <t>Current Assets - VAT receivable</t>
  </si>
  <si>
    <t>Current Liabilities - Unspent conditional grants</t>
  </si>
  <si>
    <t>Non-Current Assets - Investment property</t>
  </si>
  <si>
    <t>Non-Current Assets - Biological assets</t>
  </si>
  <si>
    <t>Current Assets - Consumer debtors (Gross)</t>
  </si>
  <si>
    <t>Current Assets - Consumer debtors (Less: Provision for debt impairment)</t>
  </si>
  <si>
    <t>Current Assets - Cash and cash equivalents (Cash on hand)</t>
  </si>
  <si>
    <t>Interest expense</t>
  </si>
  <si>
    <t xml:space="preserve">VAT Differences;           </t>
  </si>
  <si>
    <t>Mohokare Local Municipality</t>
  </si>
  <si>
    <t>.....Transa</t>
  </si>
  <si>
    <t>ctions for t</t>
  </si>
  <si>
    <t>he year.....</t>
  </si>
  <si>
    <t>.......Closing</t>
  </si>
  <si>
    <t>Balances.....</t>
  </si>
  <si>
    <t>Ledger vote</t>
  </si>
  <si>
    <t>OpenBalance</t>
  </si>
  <si>
    <t>Debits</t>
  </si>
  <si>
    <t>Credits</t>
  </si>
  <si>
    <t>Dr.Amount</t>
  </si>
  <si>
    <t>Cr.Amount</t>
  </si>
  <si>
    <t>Salaries;</t>
  </si>
  <si>
    <t>Annual Bonus;</t>
  </si>
  <si>
    <t>Allowance - Telephone;</t>
  </si>
  <si>
    <t>Housing Subsidy ;</t>
  </si>
  <si>
    <t>Overtime;</t>
  </si>
  <si>
    <t>Allowance - Other;</t>
  </si>
  <si>
    <t>Allowance - Vehicle;</t>
  </si>
  <si>
    <t>Industrial Council Levy;</t>
  </si>
  <si>
    <t>Skills Development Levy;</t>
  </si>
  <si>
    <t>Medical Aid Fund;</t>
  </si>
  <si>
    <t>Pension Fund ;</t>
  </si>
  <si>
    <t>UIF;</t>
  </si>
  <si>
    <t>Councillors - Allowance;</t>
  </si>
  <si>
    <t>Councillors - SDL;</t>
  </si>
  <si>
    <t>Councillors - Medical Aid;</t>
  </si>
  <si>
    <t>Councillors - Pension Fund;</t>
  </si>
  <si>
    <t>Rental-Other;</t>
  </si>
  <si>
    <t>Donations &amp; Grants;</t>
  </si>
  <si>
    <t>Printing &amp; Stationary;</t>
  </si>
  <si>
    <t>Disaster Fund;</t>
  </si>
  <si>
    <t>Special Programs Unit;</t>
  </si>
  <si>
    <t>Mayor Entertainment;</t>
  </si>
  <si>
    <t>Pauper Burials;</t>
  </si>
  <si>
    <t>Membership Fees;</t>
  </si>
  <si>
    <t>Entertainment;</t>
  </si>
  <si>
    <t>Training;</t>
  </si>
  <si>
    <t>Subsistence &amp; Traveling;</t>
  </si>
  <si>
    <t>Telephone Charges;</t>
  </si>
  <si>
    <t>Refreshments;</t>
  </si>
  <si>
    <t>Fuel &amp; Oil - Vehicles;</t>
  </si>
  <si>
    <t>Consumables;</t>
  </si>
  <si>
    <t>R/M - Vehicles &amp; Equipment;</t>
  </si>
  <si>
    <t>Contr - Leave Reserve;</t>
  </si>
  <si>
    <t>Contr Fund - Pro-rata Bonus</t>
  </si>
  <si>
    <t>NT Grant - Equitable Share;</t>
  </si>
  <si>
    <t>NT Grant - Sal Councillors;</t>
  </si>
  <si>
    <t>Performance Bonus;</t>
  </si>
  <si>
    <t>Project - Performance Man;</t>
  </si>
  <si>
    <t>Professional Services;</t>
  </si>
  <si>
    <t>Salaries;Chief Financial Off</t>
  </si>
  <si>
    <t>Salaries;Finance</t>
  </si>
  <si>
    <t>Performance Bonus;Chief Fina</t>
  </si>
  <si>
    <t>Annual Bonus;Chief Financial</t>
  </si>
  <si>
    <t>Annual Bonus;Finance</t>
  </si>
  <si>
    <t>Allowance - Telephone;Chief</t>
  </si>
  <si>
    <t>Allowance - Telephone;Financ</t>
  </si>
  <si>
    <t>Housing Subsidy ;Finance</t>
  </si>
  <si>
    <t>Overtime;Finance</t>
  </si>
  <si>
    <t>Temporary Workers;Finance</t>
  </si>
  <si>
    <t>Allowance - Vehicle;Chief Fi</t>
  </si>
  <si>
    <t>Allowance - Vehicle;Finance</t>
  </si>
  <si>
    <t>Industrial Council Levy;Chie</t>
  </si>
  <si>
    <t>Industrial Council Levy;Fina</t>
  </si>
  <si>
    <t>Skills Development Levy;Chie</t>
  </si>
  <si>
    <t>Skills Development Levy;Fina</t>
  </si>
  <si>
    <t>Medical Aid Fund;Chief Finan</t>
  </si>
  <si>
    <t>Medical Aid Fund;Finance</t>
  </si>
  <si>
    <t>Pension Fund ;Chief Financia</t>
  </si>
  <si>
    <t>Pension Fund ;Finance</t>
  </si>
  <si>
    <t>UIF;Chief Financial Officer</t>
  </si>
  <si>
    <t>UIF;Finance</t>
  </si>
  <si>
    <t>Bad Debts;Property Finance</t>
  </si>
  <si>
    <t>FMG Projects;Finance</t>
  </si>
  <si>
    <t>Bank Charges;Finance</t>
  </si>
  <si>
    <t>Fines &amp; Penalties;Finance</t>
  </si>
  <si>
    <t>Printing &amp; Stationary;Chief</t>
  </si>
  <si>
    <t>Printing &amp; Stationary;Financ</t>
  </si>
  <si>
    <t>Computer Software;Property F</t>
  </si>
  <si>
    <t>Audit Fees;Finance</t>
  </si>
  <si>
    <t>Publications;Chief Financial</t>
  </si>
  <si>
    <t>Publications;Property Financ</t>
  </si>
  <si>
    <t>Postage;Finance</t>
  </si>
  <si>
    <t>Legal Costs;Finance</t>
  </si>
  <si>
    <t>Rent - Equipment;Finance</t>
  </si>
  <si>
    <t>Vehicle License;Property Fin</t>
  </si>
  <si>
    <t>License &amp; Internet Fees;Fina</t>
  </si>
  <si>
    <t>License &amp; Internet Fees;Prop</t>
  </si>
  <si>
    <t>Membership Fees;Chief Financ</t>
  </si>
  <si>
    <t>Membership Fees;Finance</t>
  </si>
  <si>
    <t>Entertainment;Chief Financia</t>
  </si>
  <si>
    <t>Training;Finance</t>
  </si>
  <si>
    <t>Subsistence &amp; Traveling;Chie</t>
  </si>
  <si>
    <t>Subsistence &amp; Traveling;Fina</t>
  </si>
  <si>
    <t>Computer Costs;Property Fina</t>
  </si>
  <si>
    <t>Telephone Charges;Finance</t>
  </si>
  <si>
    <t>Fuel &amp; Oil - Vehicles;Proper</t>
  </si>
  <si>
    <t>Consumables;Finance</t>
  </si>
  <si>
    <t>Consumables;Property Finance</t>
  </si>
  <si>
    <t>Interim Valuations;Property</t>
  </si>
  <si>
    <t>CCA - Furniture &amp; Office Equ</t>
  </si>
  <si>
    <t>Professional Services;Financ</t>
  </si>
  <si>
    <t>R/M - Vehicles &amp; Equipment;P</t>
  </si>
  <si>
    <t>Contr - Leave Reserve;Financ</t>
  </si>
  <si>
    <t>Dividends Received;Finance</t>
  </si>
  <si>
    <t>Dividends;Finance</t>
  </si>
  <si>
    <t>NT Grant - Equitable Share;C</t>
  </si>
  <si>
    <t>NT Grant - Equitable Share;F</t>
  </si>
  <si>
    <t>NT Grant - MFMA;Finance</t>
  </si>
  <si>
    <t>Rates Certificates;Finance</t>
  </si>
  <si>
    <t>Sundry Income;Finance</t>
  </si>
  <si>
    <t>Legal Fees;Finance</t>
  </si>
  <si>
    <t>Advertisements;</t>
  </si>
  <si>
    <t>Postage;</t>
  </si>
  <si>
    <t>Rental Payments;</t>
  </si>
  <si>
    <t>Computer Software;</t>
  </si>
  <si>
    <t>Vehicle License;</t>
  </si>
  <si>
    <t>License &amp; Internet Fees;</t>
  </si>
  <si>
    <t>Computer Costs;</t>
  </si>
  <si>
    <t>R/M - Buildings;Council Prop</t>
  </si>
  <si>
    <t>Rent - Hall;Council Property</t>
  </si>
  <si>
    <t>Salaries;Manager Administrat</t>
  </si>
  <si>
    <t>Salaries;Manager Technical S</t>
  </si>
  <si>
    <t>Salaries;Internal Auditor</t>
  </si>
  <si>
    <t>Salaries;Administration</t>
  </si>
  <si>
    <t>Annual Bonus;Manager Adminis</t>
  </si>
  <si>
    <t>Annual Bonus;Manager Technic</t>
  </si>
  <si>
    <t>Annual Bonus;Administration</t>
  </si>
  <si>
    <t>Allowance - Telephone;Admini</t>
  </si>
  <si>
    <t>Housing Subsidy ;Internal Au</t>
  </si>
  <si>
    <t>Housing Subsidy ;Administrat</t>
  </si>
  <si>
    <t>Allowance - Vehicle;Manager</t>
  </si>
  <si>
    <t>Allowance - Vehicle;Internal</t>
  </si>
  <si>
    <t>Allowance - Vehicle;Administ</t>
  </si>
  <si>
    <t>Industrial Council Levy;Mana</t>
  </si>
  <si>
    <t>Industrial Council Levy;Inte</t>
  </si>
  <si>
    <t>Industrial Council Levy;Admi</t>
  </si>
  <si>
    <t>Skills Development Levy;Mana</t>
  </si>
  <si>
    <t>Skills Development Levy;Inte</t>
  </si>
  <si>
    <t>Skills Development Levy;Admi</t>
  </si>
  <si>
    <t>Medical Aid Fund;Manager Adm</t>
  </si>
  <si>
    <t>Medical Aid Fund;Internal Au</t>
  </si>
  <si>
    <t>Medical Aid Fund;Administrat</t>
  </si>
  <si>
    <t>Pension Fund ;Manager Admini</t>
  </si>
  <si>
    <t>Pension Fund ;Manager Techni</t>
  </si>
  <si>
    <t>Pension Fund ;Internal Audit</t>
  </si>
  <si>
    <t>Pension Fund ;Administration</t>
  </si>
  <si>
    <t>UIF;Manager Administration</t>
  </si>
  <si>
    <t>UIF;Manager Technical Servic</t>
  </si>
  <si>
    <t>UIF;Internal Auditor</t>
  </si>
  <si>
    <t>UIF;Administration</t>
  </si>
  <si>
    <t>Printing &amp; Stationary;Manage</t>
  </si>
  <si>
    <t>Printing &amp; Stationary;Admini</t>
  </si>
  <si>
    <t>Publications;Administration</t>
  </si>
  <si>
    <t>Postage;Administration</t>
  </si>
  <si>
    <t>Legal Costs;Administration</t>
  </si>
  <si>
    <t>Membership Fees;Manager Admi</t>
  </si>
  <si>
    <t>Membership Fees;Manager Tech</t>
  </si>
  <si>
    <t>Entertainment;Manager Admini</t>
  </si>
  <si>
    <t>Training;Internal Auditor</t>
  </si>
  <si>
    <t>Training;Administration</t>
  </si>
  <si>
    <t>Subsistence &amp; Traveling;Mana</t>
  </si>
  <si>
    <t>Subsistence &amp; Traveling;Inte</t>
  </si>
  <si>
    <t>Subsistence &amp; Traveling;Admi</t>
  </si>
  <si>
    <t>Cleaning Materials;Administr</t>
  </si>
  <si>
    <t>Telephone Charges;Internal A</t>
  </si>
  <si>
    <t>Telephone Charges;Administra</t>
  </si>
  <si>
    <t>Consumables;Administration</t>
  </si>
  <si>
    <t>Professional Services;Admini</t>
  </si>
  <si>
    <t>R/M - Vehicles &amp; Equipment;A</t>
  </si>
  <si>
    <t>Contr - Leave Reserve;Intern</t>
  </si>
  <si>
    <t>Contr - Leave Reserve;Admini</t>
  </si>
  <si>
    <t>NT Grant - Equitable Share;M</t>
  </si>
  <si>
    <t>NT Grant - Equitable Share;I</t>
  </si>
  <si>
    <t>NT Grant - Equitable Share;A</t>
  </si>
  <si>
    <t>Project - LED;</t>
  </si>
  <si>
    <t>IDP;</t>
  </si>
  <si>
    <t>Photostats;</t>
  </si>
  <si>
    <t>Security Services;</t>
  </si>
  <si>
    <t>Cleaning Materials;</t>
  </si>
  <si>
    <t>Electricity Purchases;</t>
  </si>
  <si>
    <t>R/M - Buildings;</t>
  </si>
  <si>
    <t>R/M - General ;</t>
  </si>
  <si>
    <t>Rent - Hall;</t>
  </si>
  <si>
    <t>Rent - Crockery;</t>
  </si>
  <si>
    <t>R/M - Fencing;</t>
  </si>
  <si>
    <t>R/M - Grounds/Gardens;</t>
  </si>
  <si>
    <t>Cemetery Fees;</t>
  </si>
  <si>
    <t>Salaries;Manager Comm Servic</t>
  </si>
  <si>
    <t>Salaries;Community Services</t>
  </si>
  <si>
    <t>Annual Bonus;Community Servi</t>
  </si>
  <si>
    <t>Allowance - Telephone;Manage</t>
  </si>
  <si>
    <t>Allowance - Telephone;Commun</t>
  </si>
  <si>
    <t>Overtime;Cattle Farming</t>
  </si>
  <si>
    <t>Allowance - Other;Community</t>
  </si>
  <si>
    <t>Allowance - Vehicle;Communit</t>
  </si>
  <si>
    <t>Industrial Council Levy;Comm</t>
  </si>
  <si>
    <t>Skills Development Levy;Comm</t>
  </si>
  <si>
    <t>Medical Aid Fund;Manager Com</t>
  </si>
  <si>
    <t>Medical Aid Fund;Community S</t>
  </si>
  <si>
    <t>Pension Fund ;Manager Comm S</t>
  </si>
  <si>
    <t>Pension Fund ;Community Serv</t>
  </si>
  <si>
    <t>UIF;Manager Comm Services</t>
  </si>
  <si>
    <t>UIF;Community Services</t>
  </si>
  <si>
    <t>Publications;Community Servi</t>
  </si>
  <si>
    <t>Subsistence &amp; Traveling;Comm</t>
  </si>
  <si>
    <t>Telephone Charges;Community</t>
  </si>
  <si>
    <t>Cattle Feed;Cattle Farming</t>
  </si>
  <si>
    <t>Consumables;Community Servic</t>
  </si>
  <si>
    <t>R/M - Fencing;Cattle Farming</t>
  </si>
  <si>
    <t>Contr - Leave Reserve;Commun</t>
  </si>
  <si>
    <t>Rent - Houses;</t>
  </si>
  <si>
    <t>Permits;</t>
  </si>
  <si>
    <t>R/M - Tools &amp; Equipment;</t>
  </si>
  <si>
    <t>R/M - Traffic &amp; Road Signs;</t>
  </si>
  <si>
    <t>Traffic Fines;</t>
  </si>
  <si>
    <t>Pound Fees;</t>
  </si>
  <si>
    <t>Salaries;Parks</t>
  </si>
  <si>
    <t>Salaries;Sport Ground</t>
  </si>
  <si>
    <t>Annual Bonus;Parks</t>
  </si>
  <si>
    <t>Annual Bonus;Sport Ground</t>
  </si>
  <si>
    <t>Housing Subsidy ;Parks</t>
  </si>
  <si>
    <t>Overtime;Parks</t>
  </si>
  <si>
    <t>Overtime;Sport Ground</t>
  </si>
  <si>
    <t>Allowance - Other;Parks</t>
  </si>
  <si>
    <t>Industrial Council Levy;Park</t>
  </si>
  <si>
    <t>Industrial Council Levy;Spor</t>
  </si>
  <si>
    <t>Skills Development Levy;Park</t>
  </si>
  <si>
    <t>Skills Development Levy;Spor</t>
  </si>
  <si>
    <t>Medical Aid Fund;Parks</t>
  </si>
  <si>
    <t>Medical Aid Fund;Sport Groun</t>
  </si>
  <si>
    <t>Pension Fund ;Parks</t>
  </si>
  <si>
    <t>Pension Fund ;Sport Ground</t>
  </si>
  <si>
    <t>UIF;Parks</t>
  </si>
  <si>
    <t>UIF;Sport Ground</t>
  </si>
  <si>
    <t>Subsistence &amp; Traveling;Park</t>
  </si>
  <si>
    <t>R/M - Buildings;Sport Ground</t>
  </si>
  <si>
    <t>R/M - Tools &amp; Equipment;Park</t>
  </si>
  <si>
    <t>R/M - Fencing;Parks</t>
  </si>
  <si>
    <t>Contr - Leave Reserve;Parks</t>
  </si>
  <si>
    <t>Contr - Leave Reserve;Sport</t>
  </si>
  <si>
    <t>Rent - Caravan Park;Parks</t>
  </si>
  <si>
    <t>NT Grant - Equitable Share;P</t>
  </si>
  <si>
    <t>NT Grant - Equitable Share;S</t>
  </si>
  <si>
    <t>Allowance Standby;</t>
  </si>
  <si>
    <t>Bad Debts;</t>
  </si>
  <si>
    <t>Interest - DBSA;</t>
  </si>
  <si>
    <t>Redemption - DBSA;</t>
  </si>
  <si>
    <t>MIG Projects;</t>
  </si>
  <si>
    <t>Health Services;</t>
  </si>
  <si>
    <t>R/M - Plant &amp; Equipment;</t>
  </si>
  <si>
    <t>Sewerage Levies;</t>
  </si>
  <si>
    <t>NT Grant - MIG;</t>
  </si>
  <si>
    <t>Regional Bulk Infra Grant;</t>
  </si>
  <si>
    <t>Connection Fees;</t>
  </si>
  <si>
    <t>Sewerage Blockages;</t>
  </si>
  <si>
    <t>Refuse Removal Levies;</t>
  </si>
  <si>
    <t>EPWP Projects;</t>
  </si>
  <si>
    <t>CCA - Tools &amp; Equipment;</t>
  </si>
  <si>
    <t>R/M - Roads &amp; Streets;</t>
  </si>
  <si>
    <t>Rent - Plant &amp; Equipment;</t>
  </si>
  <si>
    <t>NT Grant - EPWP;</t>
  </si>
  <si>
    <t>Xhariep District Mun Grant;</t>
  </si>
  <si>
    <t>Gravel Sales;</t>
  </si>
  <si>
    <t>Bulk Water Purchases;</t>
  </si>
  <si>
    <t>PMU Projects;</t>
  </si>
  <si>
    <t>Water Chemicals;</t>
  </si>
  <si>
    <t>Transport Costs;</t>
  </si>
  <si>
    <t>R/M - Water Reticulation;</t>
  </si>
  <si>
    <t>Water Levies;</t>
  </si>
  <si>
    <t>Free Basic Water;</t>
  </si>
  <si>
    <t>Bulk Electricity Purchases;</t>
  </si>
  <si>
    <t>INEPG Projects;</t>
  </si>
  <si>
    <t>R/M - Network;</t>
  </si>
  <si>
    <t>NT Grant - INEPG;</t>
  </si>
  <si>
    <t>Free Basic Electricity;</t>
  </si>
  <si>
    <t>Capital Development Fund;</t>
  </si>
  <si>
    <t>(Surplus)/Deficit Adj Acc;</t>
  </si>
  <si>
    <t>OPENING BALANCE;</t>
  </si>
  <si>
    <t>Bank Overdraft-Centlec;</t>
  </si>
  <si>
    <t>DBSA L1 - Consolidation;</t>
  </si>
  <si>
    <t>Highmast Lighting-Centlec;</t>
  </si>
  <si>
    <t>Impr Low Volt-Centlec;</t>
  </si>
  <si>
    <t>Prepaid Meters-Centlec;</t>
  </si>
  <si>
    <t>Replace Domestic Meters;</t>
  </si>
  <si>
    <t>Upgrad Low Volt-Centlec;</t>
  </si>
  <si>
    <t>Finance Lease Liability;</t>
  </si>
  <si>
    <t>C/Deposits Rent;</t>
  </si>
  <si>
    <t>C/Deposits Water;</t>
  </si>
  <si>
    <t>C/Deposits Electricity;</t>
  </si>
  <si>
    <t>Leave Reserve Fund;</t>
  </si>
  <si>
    <t>Pro-rata Bonus;</t>
  </si>
  <si>
    <t>Creditors-Centlec;</t>
  </si>
  <si>
    <t>Creditors Control Account;</t>
  </si>
  <si>
    <t>Arrear Int - DBSA;</t>
  </si>
  <si>
    <t>C/Debtors' acc in credit;</t>
  </si>
  <si>
    <t>Deposits Hall &amp; Crockery;</t>
  </si>
  <si>
    <t>Output VAT Raised;</t>
  </si>
  <si>
    <t>Salary Control Account;</t>
  </si>
  <si>
    <t>Salary Creditors;</t>
  </si>
  <si>
    <t>SARS - PAYE Personnel;</t>
  </si>
  <si>
    <t>Surplus Cash/ Shortages;</t>
  </si>
  <si>
    <t>Suspense Account;</t>
  </si>
  <si>
    <t>Unknown Deposits;</t>
  </si>
  <si>
    <t>VAT Differences;</t>
  </si>
  <si>
    <t>VIP Clearing Account;</t>
  </si>
  <si>
    <t>Cash Control Acc (Daily);</t>
  </si>
  <si>
    <t>Cash Control Acc (Dir Dep);</t>
  </si>
  <si>
    <t>Medical;</t>
  </si>
  <si>
    <t>Draught Relief;</t>
  </si>
  <si>
    <t>DWAF;</t>
  </si>
  <si>
    <t>FMG;</t>
  </si>
  <si>
    <t>MIG ;</t>
  </si>
  <si>
    <t>MSIG;</t>
  </si>
  <si>
    <t>PHP Housing;</t>
  </si>
  <si>
    <t>Prov Grant Rouxville Water;</t>
  </si>
  <si>
    <t>Prov Grant;</t>
  </si>
  <si>
    <t>Provincial Grant - Elec;</t>
  </si>
  <si>
    <t>Spatial Development;</t>
  </si>
  <si>
    <t>MIG/FS0312/W - Caledon/SF;</t>
  </si>
  <si>
    <t>MIG/FS0440/S - Oxi Ponds;</t>
  </si>
  <si>
    <t>MIG/FS0344/S - Sew Zastron;</t>
  </si>
  <si>
    <t>MIG/FS0775/R - Road/Rouxv;</t>
  </si>
  <si>
    <t>ABSA  4052654487;</t>
  </si>
  <si>
    <t>Admin Offices(Rietpoort);</t>
  </si>
  <si>
    <t>Admin Offices;</t>
  </si>
  <si>
    <t>Brewery Tavern;</t>
  </si>
  <si>
    <t>Camps &amp; Pound;</t>
  </si>
  <si>
    <t>Civil Buildings;</t>
  </si>
  <si>
    <t>Commonage;</t>
  </si>
  <si>
    <t>Community Hall;</t>
  </si>
  <si>
    <t>Fire Brigade;</t>
  </si>
  <si>
    <t>Fixed Assets - Centlec;</t>
  </si>
  <si>
    <t>Land Survey;</t>
  </si>
  <si>
    <t>Library;</t>
  </si>
  <si>
    <t>Museum;</t>
  </si>
  <si>
    <t>Personnel Housing;</t>
  </si>
  <si>
    <t>Properties;</t>
  </si>
  <si>
    <t>Public Health;</t>
  </si>
  <si>
    <t>Public Works(Mofulatshepe);</t>
  </si>
  <si>
    <t>Public Works;</t>
  </si>
  <si>
    <t>Refuse Removal;</t>
  </si>
  <si>
    <t>Rietpoort;</t>
  </si>
  <si>
    <t>Roleleathunya Housing;</t>
  </si>
  <si>
    <t>Rouxville Housing;</t>
  </si>
  <si>
    <t>Sewerage;</t>
  </si>
  <si>
    <t>Sports Facilities;</t>
  </si>
  <si>
    <t>Sub-economical Housing;</t>
  </si>
  <si>
    <t>ABSA (1014355924);</t>
  </si>
  <si>
    <t>ABSA (6074357138);</t>
  </si>
  <si>
    <t>ABSA (9074133593);</t>
  </si>
  <si>
    <t>ABSA (9086343532);</t>
  </si>
  <si>
    <t>FNB (72359004546);</t>
  </si>
  <si>
    <t>Old Mutual Flexi Save;</t>
  </si>
  <si>
    <t>OVK Holding Shares;</t>
  </si>
  <si>
    <t>OVK Operation Shares;</t>
  </si>
  <si>
    <t>Livestock;</t>
  </si>
  <si>
    <t>Arrear Services;</t>
  </si>
  <si>
    <t>Bad Debt;</t>
  </si>
  <si>
    <t>Debtors - Centlec;</t>
  </si>
  <si>
    <t>Electricity;</t>
  </si>
  <si>
    <t>Levy;</t>
  </si>
  <si>
    <t>Miscellaneous;</t>
  </si>
  <si>
    <t>Property Rental;</t>
  </si>
  <si>
    <t>Rates;</t>
  </si>
  <si>
    <t>Refuse;</t>
  </si>
  <si>
    <t>Rent Mohokare;</t>
  </si>
  <si>
    <t>Service Fees;</t>
  </si>
  <si>
    <t>Water;</t>
  </si>
  <si>
    <t>Input VAT;</t>
  </si>
  <si>
    <t>RD Cheques;</t>
  </si>
  <si>
    <t>Sundry Debtors;</t>
  </si>
  <si>
    <t>VAT Control Account;</t>
  </si>
  <si>
    <t>Equitable Share Receivable;</t>
  </si>
  <si>
    <t>ABSA Traffic 2810000018;</t>
  </si>
  <si>
    <t>FNB 53593549308;</t>
  </si>
  <si>
    <t>Petty Cash Advances;</t>
  </si>
  <si>
    <t>Standard 041952766;</t>
  </si>
  <si>
    <t>---------------</t>
  </si>
  <si>
    <t>--------------------------------</t>
  </si>
  <si>
    <t>Total Closing B</t>
  </si>
  <si>
    <t>alances/SluitingSaldosTotaal:</t>
  </si>
  <si>
    <t>===============</t>
  </si>
  <si>
    <t>================================</t>
  </si>
  <si>
    <t>============</t>
  </si>
  <si>
    <t>==============</t>
  </si>
  <si>
    <t>MAIN LEDGER (Financial Position) - 30 / 06 / 2012</t>
  </si>
  <si>
    <t>OPERATING LEDGER (Financial Performance) - 30 / 06 / 2012</t>
  </si>
  <si>
    <t>MOHOKARE MUNICIPALITY</t>
  </si>
  <si>
    <t>Employee related costs - Basic Salary &amp; Wages</t>
  </si>
  <si>
    <t>Employee related costs - Contribution to leave fund</t>
  </si>
  <si>
    <t>Employee related costs - Industrial council levy</t>
  </si>
  <si>
    <t>Employee related costs - Medical</t>
  </si>
  <si>
    <t>Employee related costs - Pension</t>
  </si>
  <si>
    <t>Employee related costs - Skills Development Levy</t>
  </si>
  <si>
    <t>Employee related costs - UIF</t>
  </si>
  <si>
    <t>Employee related costs - Allowance</t>
  </si>
  <si>
    <t>Employee related costs - Housing benefits</t>
  </si>
  <si>
    <t>Employee related costs - Overtime Payments</t>
  </si>
  <si>
    <t>Employee related costs - Temporary Employees</t>
  </si>
  <si>
    <t>Annual Bonuses</t>
  </si>
  <si>
    <t>Employee related costs - Performance Bonuses</t>
  </si>
  <si>
    <t>Employee related costs - Annual Bonuses</t>
  </si>
  <si>
    <t>Employee Related Costs - Contributions for UIF, Pensions and Medical Aids Bonus fund</t>
  </si>
  <si>
    <t>Bonus fund</t>
  </si>
  <si>
    <t>Employee related costs - Contribution to bonus fund</t>
  </si>
  <si>
    <t xml:space="preserve">                                -  </t>
  </si>
  <si>
    <t xml:space="preserve">                               -  </t>
  </si>
  <si>
    <t>0201/8406/0008</t>
  </si>
  <si>
    <t>Prov Gov - COGTA;Finance</t>
  </si>
  <si>
    <t>Interest - Investments</t>
  </si>
  <si>
    <t xml:space="preserve">Finance Lease                 </t>
  </si>
  <si>
    <t>Finance Lease</t>
  </si>
  <si>
    <t>Temporary Employees - Salaries and Wages</t>
  </si>
  <si>
    <t>Medical</t>
  </si>
  <si>
    <t>Pension</t>
  </si>
  <si>
    <t>Industrial Council Levy</t>
  </si>
  <si>
    <t>Skills Development Levy</t>
  </si>
  <si>
    <t>UIF</t>
  </si>
  <si>
    <t>Travel Allowances</t>
  </si>
  <si>
    <t>Annual Bonus</t>
  </si>
  <si>
    <t>Acting Allowance</t>
  </si>
  <si>
    <t xml:space="preserve">The post was vacant during September 2011 until October 2011.  No Acting Allowance was paid for the period.  </t>
  </si>
  <si>
    <t>Acting allowance</t>
  </si>
  <si>
    <t xml:space="preserve">The post was vacant for the whole financial year. No Acting Allowance was paid during the year.  </t>
  </si>
  <si>
    <t>Chief Whip - RJ Thuhlo</t>
  </si>
  <si>
    <t>Mohokare Local Municipality ("the municipality") is a local government institution in Zastron, Smithfield and Rouxville towns in the Xhariep district, Free State Province. The addresses of its registered office and principal place of business are disclosed under "General Information" included in the Annual Financial Statements and in the introduction of the Annual Report. The principal activities of the municipality are disclosed in the Annual Report and are prescribed by the Municipal Finance Management Act (MFMA).</t>
  </si>
  <si>
    <t>Government Grants &amp; Subsidies</t>
  </si>
  <si>
    <t>Government Grants &amp; Subsidies:</t>
  </si>
  <si>
    <t>Government &amp; Subsidies Claims</t>
  </si>
  <si>
    <t>7.7  Revaluation Surplus</t>
  </si>
  <si>
    <t>Difference</t>
  </si>
  <si>
    <t>Current Assets - Cash and cash equivalents (Savings account)</t>
  </si>
  <si>
    <t>ABSA Bank - Zastron Branch, Zastron - Savings Account Number 2810000018:</t>
  </si>
  <si>
    <t>Other Bank Accounts</t>
  </si>
  <si>
    <t>8.1  Significant Intangible Assets</t>
  </si>
  <si>
    <r>
      <t xml:space="preserve">Furthermore, </t>
    </r>
    <r>
      <rPr>
        <i/>
        <sz val="11"/>
        <rFont val="Arial"/>
        <family val="2"/>
      </rPr>
      <t>Investment Property</t>
    </r>
    <r>
      <rPr>
        <sz val="11"/>
        <rFont val="Arial"/>
        <family val="2"/>
      </rPr>
      <t xml:space="preserve"> has been restated to correctly disclose Depreciation on properties held as Investment Property in terms of GRAP 16.  Refer to Note 39.1 on "Correction of Error" for details of the restatement.</t>
    </r>
  </si>
  <si>
    <t>10.1  Significant Heritage Assets not Recognised</t>
  </si>
  <si>
    <t>10.2  Impairment of Heritage Assets</t>
  </si>
  <si>
    <t>10.3  Heritage Assets measured after recognition using the Revaluation Model</t>
  </si>
  <si>
    <t>10.4  Revaluation Surplus attributable to Heritage Assets</t>
  </si>
  <si>
    <t>Horses</t>
  </si>
  <si>
    <t>Decreases due to consumption / sales</t>
  </si>
  <si>
    <t>Decreases due to consumption</t>
  </si>
  <si>
    <t>11.2  Aggregate gain / (loss) on Biological Assets</t>
  </si>
  <si>
    <t>Rand per kg on the open market</t>
  </si>
  <si>
    <t>The average weight of cattle per class</t>
  </si>
  <si>
    <t>11.2  Agricultural Produce</t>
  </si>
  <si>
    <t>11.2  Impairment of Biological Assets</t>
  </si>
  <si>
    <t>Impairment losses on Biological Assets exist predominantly due to market prices. The remainder of impaired items of Biological Assets is as a result of stolen/lost cattle.</t>
  </si>
  <si>
    <t>Sundry debtors</t>
  </si>
  <si>
    <t>Unknown Deposits</t>
  </si>
  <si>
    <t>18.2  Other Conditional Receipts</t>
  </si>
  <si>
    <t>24.1  Housing Development Fund</t>
  </si>
  <si>
    <t>25.1  C.O.I.D. Reserve</t>
  </si>
  <si>
    <t>25.2  Revaluation Reserve</t>
  </si>
  <si>
    <t>Other Fin Liabilities</t>
  </si>
  <si>
    <t>Capital Development Fund</t>
  </si>
  <si>
    <t>The cost of water production for the year amounted to R3,51 per kilolitre (2011: R3,51 per kilolitre) in Zastron, R2,88 per kilolitre (2011: R2.88 per kilolitre) in Rouxville and R2,02 per kilolitre (R2,02 per kilolitre) in Smithfield.</t>
  </si>
  <si>
    <t>Current Assets - Trade and other receivables from non- exchange transactions (Equitable share receivable)</t>
  </si>
  <si>
    <t>Current Assets - Trade and other receivables from non- exchange transactions (Rates)</t>
  </si>
  <si>
    <t>8.4  Intangible Assets measured after recognition using the Revaluation Model</t>
  </si>
  <si>
    <t>8.5  Revaluation Surplus attributable to Intangible Assets</t>
  </si>
  <si>
    <t>The risks and rewards of ownership in respect of the IT Equipment will transfer to the municipality at the conclusion of the agreement. The total lease liability of the mayor's car confine a material amount of the fair value of the vehicle.</t>
  </si>
  <si>
    <t xml:space="preserve">     - Installments are payable monthly in advance</t>
  </si>
  <si>
    <t>36 months</t>
  </si>
  <si>
    <t>(i) Gestetner (IT Equipment)</t>
  </si>
  <si>
    <t>(ii)  Sharp (IT Equipment)</t>
  </si>
  <si>
    <t>60 months</t>
  </si>
  <si>
    <t>(ii)  Mayor's vehicle</t>
  </si>
  <si>
    <t>0 months</t>
  </si>
  <si>
    <t xml:space="preserve">NT Grant - MIG; </t>
  </si>
  <si>
    <t xml:space="preserve">NT Grant - MFMA;Finance FMG    </t>
  </si>
  <si>
    <t>GOGTA Grant</t>
  </si>
  <si>
    <t>26.2  Provincial: Health Subsidies</t>
  </si>
  <si>
    <t>CCA Assets &amp; Creditors difference</t>
  </si>
  <si>
    <t>26.8  National: Department Sport and Development</t>
  </si>
  <si>
    <t xml:space="preserve">This grant emanates from prior financial years and the municipality is in the process of confirming the
existence of a liability to the funders of the grant. Currently no evidence supports the possibility of
repayment of the grant, hence no movement in the balance over the past three financial years.
</t>
  </si>
  <si>
    <t xml:space="preserve">This grant emanates from prior financial years and the municipality is in the process of confirming the
existence of a liability to the funders of the grant. Currently no evidence supports the possibility of
repayment of the grant, hence no movement in the balance over the past four financial years.
</t>
  </si>
  <si>
    <t>Gravel Sales</t>
  </si>
  <si>
    <t>Photostats</t>
  </si>
  <si>
    <t>Rates Certificates</t>
  </si>
  <si>
    <t>The Councillor occupying the positions of Mayor/Speaker of the municipality serve in a full-time capacity.  They are provided with office accommodation and secretarial support at the expense of the municipality in order to enable them to perform their official duties.</t>
  </si>
  <si>
    <t>The Mayor has use of a vehicle leased from the Government Garage for official duties.</t>
  </si>
  <si>
    <t>Contracted Services - Valuations</t>
  </si>
  <si>
    <t>Contracted Services - Consulting and professional fees</t>
  </si>
  <si>
    <t>Cattle Feed</t>
  </si>
  <si>
    <t>Computer Software Licenses</t>
  </si>
  <si>
    <t>Consumables</t>
  </si>
  <si>
    <t>Fines &amp; Penalties</t>
  </si>
  <si>
    <t>Fuel &amp; Oil</t>
  </si>
  <si>
    <t>Magazines, books and periodicals</t>
  </si>
  <si>
    <t>Medical Expenses</t>
  </si>
  <si>
    <t>Motor vehicle expenses</t>
  </si>
  <si>
    <t>Postage and Courier</t>
  </si>
  <si>
    <t>Pauper burials</t>
  </si>
  <si>
    <t>Printing &amp; Stationary</t>
  </si>
  <si>
    <t>Royalties and license fees</t>
  </si>
  <si>
    <t>Special Programmes</t>
  </si>
  <si>
    <t>Subscription Fees</t>
  </si>
  <si>
    <t>Contracted Services - Security Services</t>
  </si>
  <si>
    <t>24.9  Provincial: Spatial Development</t>
  </si>
  <si>
    <t>24.10 Provincial: Unknown Grant</t>
  </si>
  <si>
    <t>24.11 Provincial: Rouxville Water</t>
  </si>
  <si>
    <t>24.12 Provincial - Salary Managers</t>
  </si>
  <si>
    <t>24.13 Provincial: Salary Temp Workers</t>
  </si>
  <si>
    <t>24.14  Provincial - PHP Housing</t>
  </si>
  <si>
    <t>Capitalisation of prior period asset</t>
  </si>
  <si>
    <t xml:space="preserve">         Receivables from Non-exchange Transcations</t>
  </si>
  <si>
    <r>
      <t xml:space="preserve">The Accounting Standard for </t>
    </r>
    <r>
      <rPr>
        <i/>
        <sz val="11"/>
        <rFont val="Arial"/>
        <family val="2"/>
      </rPr>
      <t>Inventory</t>
    </r>
    <r>
      <rPr>
        <sz val="11"/>
        <rFont val="Arial"/>
        <family val="2"/>
      </rPr>
      <t xml:space="preserve"> was not recognised in the Annual Financial Statements of the municipality as at 30 June 2010 in terms of GRAP 12.  The full net liabilities have been recognised retrospectively in the Annual Financial Statements.</t>
    </r>
  </si>
  <si>
    <t>The prior year figures of Inventory and Accumulated have been restated to correctly disclose Water Inventory held by the municipality in terms of GRAP 12.</t>
  </si>
  <si>
    <t xml:space="preserve">     Adjustment forConsumable Stores carried at 30 June</t>
  </si>
  <si>
    <t>Recognition of Consumable Stores from General Expenses</t>
  </si>
  <si>
    <t>Finance</t>
  </si>
  <si>
    <t>Recognition of Current Portion</t>
  </si>
  <si>
    <t>Recognition of Non-Current Portion</t>
  </si>
  <si>
    <t>Restatement of Current Portion</t>
  </si>
  <si>
    <t>Restatement of Non-Current Portion</t>
  </si>
  <si>
    <t>The prior year figures of Finance Lease Liabilities and Accumulated Surplus have been restated to correctly disclose the monies held by the municipality in terms of GRAP 13.</t>
  </si>
  <si>
    <t>Liabilities</t>
  </si>
  <si>
    <t>41.9  Reclassification of Consumer Debtors, Current Portion of Long-term Receivables,</t>
  </si>
  <si>
    <t xml:space="preserve">         Long-term Receivables and Accumulated Surplus:</t>
  </si>
  <si>
    <t>The municipality manages its capital to ensure that the municipality will be able to continue as a going concern while delivering sustainable services to consumers through the optimisation of the debt and equity balance.  The municipality’s overall strategy remains unchanged from 2010/2011.</t>
  </si>
  <si>
    <t>Councillor Lekhula L</t>
  </si>
  <si>
    <t>Councillor Letele MA</t>
  </si>
  <si>
    <t>Councillor Thuhlo RJ</t>
  </si>
  <si>
    <t>Councillor Majenge BS</t>
  </si>
  <si>
    <t>Councillor Sehanka MJ</t>
  </si>
  <si>
    <t>Councillor Riddle IS</t>
  </si>
  <si>
    <t>Councillor Shasha AM</t>
  </si>
  <si>
    <t>Journal 1</t>
  </si>
  <si>
    <t>Journal 2</t>
  </si>
  <si>
    <t>Bad Debts</t>
  </si>
  <si>
    <t>Journal 3</t>
  </si>
  <si>
    <t>Journal 4</t>
  </si>
  <si>
    <t>Journal 5</t>
  </si>
  <si>
    <t>Journal 6</t>
  </si>
  <si>
    <t>Journal 7</t>
  </si>
  <si>
    <t>Journal 8</t>
  </si>
  <si>
    <t>Credit balances</t>
  </si>
  <si>
    <t>Provision for bad debt</t>
  </si>
  <si>
    <t>Debtors adjustments</t>
  </si>
  <si>
    <t>Write-off of Grant Receivable</t>
  </si>
  <si>
    <t>Write-off of unspent conditional grants</t>
  </si>
  <si>
    <t>Grants received to Revenue</t>
  </si>
  <si>
    <t>Recognition of Inventory from General Expenses</t>
  </si>
  <si>
    <t>Profit/Loss for the year</t>
  </si>
  <si>
    <t>Impairment of Rates</t>
  </si>
  <si>
    <t>Acquisitions during the Year (Calves born)</t>
  </si>
  <si>
    <t>Losses during the Year</t>
  </si>
  <si>
    <t>Journal 9</t>
  </si>
  <si>
    <t>Cattle Consumption</t>
  </si>
  <si>
    <t>Gains on Fair Value adjustments</t>
  </si>
  <si>
    <t>Cattle; Fair Value Gain/Loss</t>
  </si>
  <si>
    <t xml:space="preserve">Cattle; Consumption </t>
  </si>
  <si>
    <t>Cattle; Impairments</t>
  </si>
  <si>
    <t>0507/6553/0013</t>
  </si>
  <si>
    <t>0507/6553/0014</t>
  </si>
  <si>
    <t>Cattle additions</t>
  </si>
  <si>
    <t>Cattle Losses</t>
  </si>
  <si>
    <t>Cattle movements</t>
  </si>
  <si>
    <t>Cattle Fair Value adjustment Loss</t>
  </si>
  <si>
    <t>Journal 10</t>
  </si>
  <si>
    <t>Unknown Deposits Update</t>
  </si>
  <si>
    <t>Journal 11</t>
  </si>
  <si>
    <t>From Grants to Assets/Expenses</t>
  </si>
  <si>
    <t>National: INEPG</t>
  </si>
  <si>
    <t>Reclassification of amounts accounted for as "Unknown Grants Received"</t>
  </si>
  <si>
    <t>Reclassification of Unconditional Grants Received not accounted for as Revenue</t>
  </si>
  <si>
    <t>Software expenses</t>
  </si>
  <si>
    <t xml:space="preserve">Reclasification to contracted services </t>
  </si>
  <si>
    <t>G/L NO</t>
  </si>
  <si>
    <t>DESCRIPTION</t>
  </si>
  <si>
    <t>2010/2011</t>
  </si>
  <si>
    <t>2011/2012</t>
  </si>
  <si>
    <t>Audit Outcome</t>
  </si>
  <si>
    <t>Actuals</t>
  </si>
  <si>
    <t>Adjusted</t>
  </si>
  <si>
    <t>Full year forecast</t>
  </si>
  <si>
    <t>COUNCIL &amp; EXECUTIVE</t>
  </si>
  <si>
    <t>Actual M07</t>
  </si>
  <si>
    <t>0101</t>
  </si>
  <si>
    <t>OFFICE OF THE MAYOR/SPEAKER</t>
  </si>
  <si>
    <t>TRANSFER RECOGNSED - OPERATIONAL</t>
  </si>
  <si>
    <t>Equitqble share - Salaries &amp; Operating Expenditure</t>
  </si>
  <si>
    <t>Equitqble share - Remuneration of Councillors</t>
  </si>
  <si>
    <t>TOTAL TRANSFER  RECOGNISED - OPERATIONAL</t>
  </si>
  <si>
    <t>TOTAL OPERATING REVENUE</t>
  </si>
  <si>
    <t>Performance Bon</t>
  </si>
  <si>
    <t>Allowance - Tel</t>
  </si>
  <si>
    <t>Allowance - Oth</t>
  </si>
  <si>
    <t>Allowance - Veh</t>
  </si>
  <si>
    <t>Industrial Coun</t>
  </si>
  <si>
    <t>Skills Developm</t>
  </si>
  <si>
    <t>Compensation Co</t>
  </si>
  <si>
    <t>Medical Aid Fun</t>
  </si>
  <si>
    <t>TOTAL EMPLOYEE RELATED COSTS</t>
  </si>
  <si>
    <t>Councillors - Allowance</t>
  </si>
  <si>
    <t>Councillors - Telephone</t>
  </si>
  <si>
    <t>Councillors - Travelling</t>
  </si>
  <si>
    <t>Councillors - Skills</t>
  </si>
  <si>
    <t>Councillors - Medical</t>
  </si>
  <si>
    <t>Councillors - Pension</t>
  </si>
  <si>
    <t>TOTAL REMUNERATION OF COUNCILLORS</t>
  </si>
  <si>
    <t xml:space="preserve">DONATIONS  </t>
  </si>
  <si>
    <t>Donations</t>
  </si>
  <si>
    <t>TOTAL DONATIONS</t>
  </si>
  <si>
    <t>OTHER EXPENDITURE</t>
  </si>
  <si>
    <t>Project -  Ward</t>
  </si>
  <si>
    <t>Printing &amp; Stat</t>
  </si>
  <si>
    <t>Special Program</t>
  </si>
  <si>
    <t>Mayor Entertain</t>
  </si>
  <si>
    <t>Ward Committees</t>
  </si>
  <si>
    <t>Vehicle License</t>
  </si>
  <si>
    <t>License &amp; Inter</t>
  </si>
  <si>
    <t>Membership Fees</t>
  </si>
  <si>
    <t>Inventory (tool</t>
  </si>
  <si>
    <t>Subsistence &amp; T</t>
  </si>
  <si>
    <t>Telephone Charg</t>
  </si>
  <si>
    <t>Election Costs;</t>
  </si>
  <si>
    <t>Insurance - Ext</t>
  </si>
  <si>
    <t>Fuel &amp; Oil - Ve</t>
  </si>
  <si>
    <t>TOTAL OTHER EXPENDITURE</t>
  </si>
  <si>
    <t>REPAIRS &amp; MAINTENANCE</t>
  </si>
  <si>
    <t>R/M - Furniture</t>
  </si>
  <si>
    <t>R/M - Vehicles</t>
  </si>
  <si>
    <t>TOTAL REPAIRS &amp; MAINTENANCE</t>
  </si>
  <si>
    <t>CONTRIBUTION TO/FROM PROVISIONS</t>
  </si>
  <si>
    <t>Contr - Leave R</t>
  </si>
  <si>
    <t>Contr Fund - Pr</t>
  </si>
  <si>
    <t>TOTAL CONTRIBUTION TO/FROM PROVISIONS</t>
  </si>
  <si>
    <t>TOTAL OPERATING EXPENDITURE</t>
  </si>
  <si>
    <t>SURPLUS/(DEFICIT)</t>
  </si>
  <si>
    <t>EXECUTIVE &amp; COUNCIL</t>
  </si>
  <si>
    <t>0102</t>
  </si>
  <si>
    <t>MUNICIPAL MANAGER</t>
  </si>
  <si>
    <t>TRANSFER RECOGNISED - OPERATIONAL</t>
  </si>
  <si>
    <t>NT Grant - Equitable share</t>
  </si>
  <si>
    <t>Prov Gov - Man</t>
  </si>
  <si>
    <t>TOTAL TRANSFER RECOGNISED - OPERATIONAL</t>
  </si>
  <si>
    <t>Housing Subsidy</t>
  </si>
  <si>
    <t>Project - Perfo</t>
  </si>
  <si>
    <t>Publications;</t>
  </si>
  <si>
    <t>CCA - Vehicles,</t>
  </si>
  <si>
    <t>Professional Se</t>
  </si>
  <si>
    <t>SURPLUS/(DEFICT)</t>
  </si>
  <si>
    <t>0201</t>
  </si>
  <si>
    <t>BUDGET &amp; TREASURY</t>
  </si>
  <si>
    <t>Property Finance</t>
  </si>
  <si>
    <t>Rebate - Proper</t>
  </si>
  <si>
    <t>Discount - Rate</t>
  </si>
  <si>
    <t>TOTAL PROPERTY RATES</t>
  </si>
  <si>
    <t>RENTAL OF FACILITIES &amp; EQUIPMENT</t>
  </si>
  <si>
    <t>Vodacom Rental;</t>
  </si>
  <si>
    <t>TOTAL RENTAL OF FACILITIES &amp; EQUIPMENT</t>
  </si>
  <si>
    <t>INTEREST EARNED - EXTERNAL INVESTMENT</t>
  </si>
  <si>
    <t>Interest - Inve</t>
  </si>
  <si>
    <t>Interest - Bank</t>
  </si>
  <si>
    <t>TOTAL INTEREST EARNED - EXT INVESTMENT</t>
  </si>
  <si>
    <t>INTEREST EARNER - OUTSTANDING DEBTORS</t>
  </si>
  <si>
    <t>Interest on Arr</t>
  </si>
  <si>
    <t>TOTAL INTEREST EARNED - OUTSTANDING DEBT</t>
  </si>
  <si>
    <t>DIVIDENDS RECEIVED</t>
  </si>
  <si>
    <t>Dividends Recei</t>
  </si>
  <si>
    <t>Dividends;</t>
  </si>
  <si>
    <t>TOTAL DIVIDENDS RECEIVED</t>
  </si>
  <si>
    <t>TRANFER RECOGNISED - OPERATIONAL</t>
  </si>
  <si>
    <t>NT Grant - Equi</t>
  </si>
  <si>
    <t>Chief Financial O</t>
  </si>
  <si>
    <t>NT Grant - MFMA</t>
  </si>
  <si>
    <t>Provincial Government - COGTA</t>
  </si>
  <si>
    <t>TOTAL TRANFER RECOGNISED - OPERATIONAL</t>
  </si>
  <si>
    <t>Rates Certifica</t>
  </si>
  <si>
    <t>Discount Receiv</t>
  </si>
  <si>
    <t>Sundry Income;</t>
  </si>
  <si>
    <t>Administration</t>
  </si>
  <si>
    <t>Legal Fees;</t>
  </si>
  <si>
    <t>Commission Rece</t>
  </si>
  <si>
    <t>TOTAL OTHER REVENUE</t>
  </si>
  <si>
    <t>TOTAL OPEARTING REVENUE</t>
  </si>
  <si>
    <t>Temporary Worke</t>
  </si>
  <si>
    <t>DEBT IMPAIRMENT</t>
  </si>
  <si>
    <t>TOTAL DEBT IMPAIRMENT</t>
  </si>
  <si>
    <t>DEPRECIATION &amp; ASSET IMPAIRMENT</t>
  </si>
  <si>
    <t>Depreciation;</t>
  </si>
  <si>
    <t>TOTAL DEPRECIATION &amp; ASSET IMPAIRMENT</t>
  </si>
  <si>
    <t>INTEREST EXPENSE - EXTERNAL BORROWINGS</t>
  </si>
  <si>
    <t>Interest Extern</t>
  </si>
  <si>
    <t>TOTLA INTEREST EXPENSE - EXT BORROWINGS</t>
  </si>
  <si>
    <t>GRANTS &amp; SUBSIDIES</t>
  </si>
  <si>
    <t>Equitable share</t>
  </si>
  <si>
    <t>Project FMG</t>
  </si>
  <si>
    <t>TOTAL GRANTS &amp; SUBSIDIES</t>
  </si>
  <si>
    <t>Arrears Contrib</t>
  </si>
  <si>
    <t>Rental Payments</t>
  </si>
  <si>
    <t>Project - FMG;</t>
  </si>
  <si>
    <t>Bank Charges;</t>
  </si>
  <si>
    <t>Fines &amp; Penalti</t>
  </si>
  <si>
    <t>Computer Softwa</t>
  </si>
  <si>
    <t>Audit Fees;</t>
  </si>
  <si>
    <t>Security Servic</t>
  </si>
  <si>
    <t>Legal Costs;</t>
  </si>
  <si>
    <t>Rent - Equipmen</t>
  </si>
  <si>
    <t>Interest Bank O</t>
  </si>
  <si>
    <t>Interim Valuati</t>
  </si>
  <si>
    <t>CCA - Furniture</t>
  </si>
  <si>
    <t>Investment Adju</t>
  </si>
  <si>
    <t>REPAIRS &amp; MAINTENACE</t>
  </si>
  <si>
    <t>R/M - Tools &amp; E</t>
  </si>
  <si>
    <t>Contr - Bad Deb</t>
  </si>
  <si>
    <t>Contr - CDF;</t>
  </si>
  <si>
    <t>TOTAL CONTRIBUTIONS TO/FROM PROVISIONS</t>
  </si>
  <si>
    <t>0202</t>
  </si>
  <si>
    <t>HUMAN RESOURCE</t>
  </si>
  <si>
    <t>Work Study;</t>
  </si>
  <si>
    <t>0203</t>
  </si>
  <si>
    <t>INFORMATION TECHNOLOGY</t>
  </si>
  <si>
    <t>0204</t>
  </si>
  <si>
    <t>PROPERTY SERVICE</t>
  </si>
  <si>
    <t>Rent - Building</t>
  </si>
  <si>
    <t>Council Property</t>
  </si>
  <si>
    <t>Rent - Camps;</t>
  </si>
  <si>
    <t>Camps</t>
  </si>
  <si>
    <t>R/M - Buildings</t>
  </si>
  <si>
    <t>0205</t>
  </si>
  <si>
    <t>OTHER ADMINISTRATION</t>
  </si>
  <si>
    <t>Manager Administr</t>
  </si>
  <si>
    <t>Manager Technical</t>
  </si>
  <si>
    <t>Internal Auditor</t>
  </si>
  <si>
    <t>NT Grant - MSIG</t>
  </si>
  <si>
    <t>TRANSFER RECOGNISED - CAPITAL</t>
  </si>
  <si>
    <t>Prov Gov - DWAF</t>
  </si>
  <si>
    <t>TOTAL TRANSFER RECOGNISED - CAPITAL</t>
  </si>
  <si>
    <t>Medical - PJS V</t>
  </si>
  <si>
    <t>MIG Repayment;</t>
  </si>
  <si>
    <t>DWAF Repayment;</t>
  </si>
  <si>
    <t>MSIG Expenses</t>
  </si>
  <si>
    <t>Audit Committee</t>
  </si>
  <si>
    <t>Rent - Office E</t>
  </si>
  <si>
    <t>Cleaning Materi</t>
  </si>
  <si>
    <t>Uniforms &amp; Prot</t>
  </si>
  <si>
    <t>MSIG - Expenses</t>
  </si>
  <si>
    <t>Internal Audit Fees</t>
  </si>
  <si>
    <t>0301</t>
  </si>
  <si>
    <t>PLANNING &amp; DEVELOPMENT</t>
  </si>
  <si>
    <t>Prov Gov - Spat</t>
  </si>
  <si>
    <t xml:space="preserve">OTHER EXPENDITURE </t>
  </si>
  <si>
    <t>Project - Youth</t>
  </si>
  <si>
    <t>Project - Rural</t>
  </si>
  <si>
    <t>Project - LED S</t>
  </si>
  <si>
    <t>Project - LED Y</t>
  </si>
  <si>
    <t>Material &amp; Stor</t>
  </si>
  <si>
    <t>Tourism;</t>
  </si>
  <si>
    <t>0501</t>
  </si>
  <si>
    <t>LIBRARIES &amp; ARCHIVES</t>
  </si>
  <si>
    <t xml:space="preserve">FINES  </t>
  </si>
  <si>
    <t>Fines Library;</t>
  </si>
  <si>
    <t>TOTAL FINES</t>
  </si>
  <si>
    <t>Fees - Lost Lib</t>
  </si>
  <si>
    <t>TOTAL REVENUE</t>
  </si>
  <si>
    <t>Lost Library Bo</t>
  </si>
  <si>
    <t>0503</t>
  </si>
  <si>
    <t>COMMUNITY HALLS &amp; FACILITIES</t>
  </si>
  <si>
    <t>Rent - Crockery</t>
  </si>
  <si>
    <t>TOTAL RENTAL OF FACILITIES &amp; EQUIMENT</t>
  </si>
  <si>
    <t>INTEREST EXPENSES - EXTERNAL BORROWINGS</t>
  </si>
  <si>
    <t>TOTAL INTEREST EXPENSES - EXT BORROWINGS</t>
  </si>
  <si>
    <t>REDEMPTION - EXTERNAL</t>
  </si>
  <si>
    <t>Redemption - Ex</t>
  </si>
  <si>
    <t>TOTAL REDEMPTION - EXTERNAL</t>
  </si>
  <si>
    <t>Operating Licen</t>
  </si>
  <si>
    <t>Electricity Pur</t>
  </si>
  <si>
    <t>CCA - Tools &amp; E</t>
  </si>
  <si>
    <t>CCA - Town Hall</t>
  </si>
  <si>
    <t>CCA - Community</t>
  </si>
  <si>
    <t>0504</t>
  </si>
  <si>
    <t>CEMETERIES &amp; CREMATORIUMS</t>
  </si>
  <si>
    <t>R/M - Grounds/G</t>
  </si>
  <si>
    <t>SURPLUS/(DEFICIT)\</t>
  </si>
  <si>
    <t>0507</t>
  </si>
  <si>
    <t>OTHER COMMUNITY SERVICES</t>
  </si>
  <si>
    <t>Manager Comm Serv</t>
  </si>
  <si>
    <t>Community Service</t>
  </si>
  <si>
    <t>Sale of cattle;</t>
  </si>
  <si>
    <t>Cattle Farming</t>
  </si>
  <si>
    <t xml:space="preserve"> </t>
  </si>
  <si>
    <t>Cattle Feed;</t>
  </si>
  <si>
    <t xml:space="preserve">TOTAL OTHER EXPENDITURE </t>
  </si>
  <si>
    <t>R/M - Caravan P</t>
  </si>
  <si>
    <t>0601</t>
  </si>
  <si>
    <t>LICENCES &amp; PERMITS</t>
  </si>
  <si>
    <t>TOTAL LICENCES &amp; PERMITS</t>
  </si>
  <si>
    <t xml:space="preserve">TRANSFER RECOGNISED - OPERATIONAL </t>
  </si>
  <si>
    <t xml:space="preserve">TOTAL TRANSFER RECOGNISED - OPERATIONAL </t>
  </si>
  <si>
    <t>Building Plan &amp;</t>
  </si>
  <si>
    <t>0701</t>
  </si>
  <si>
    <t>POLICE, TRAFFIC &amp; STREET PARKING</t>
  </si>
  <si>
    <t>FINES</t>
  </si>
  <si>
    <t>R/M - Traffic &amp;</t>
  </si>
  <si>
    <t>0702</t>
  </si>
  <si>
    <t>FIRE FIGHTING &amp; PROTECTION</t>
  </si>
  <si>
    <t>0704</t>
  </si>
  <si>
    <t>PUBLIC SAFETY - CONTROL OF ANIMALS</t>
  </si>
  <si>
    <t>Sales - Pound (</t>
  </si>
  <si>
    <t>TOTAL OPERATION EXPENDITURE</t>
  </si>
  <si>
    <t>0801</t>
  </si>
  <si>
    <t>SPORTS &amp; RECREATION</t>
  </si>
  <si>
    <t>Rent - Sport Fi</t>
  </si>
  <si>
    <t>Sport Ground</t>
  </si>
  <si>
    <t>Rent - Caravan</t>
  </si>
  <si>
    <t>REDEMPTION PAYMENT</t>
  </si>
  <si>
    <t>TOTAL REDEMPTION PAYMENT</t>
  </si>
  <si>
    <t>CCA - Infrastru</t>
  </si>
  <si>
    <t>R/M - Sport Fie</t>
  </si>
  <si>
    <t>0903</t>
  </si>
  <si>
    <t>ENVIRONMENTAL PROTECTION</t>
  </si>
  <si>
    <t>Subsidy - Dept</t>
  </si>
  <si>
    <t>WASTE WATER MANAGEMENT</t>
  </si>
  <si>
    <t>Sewerage Levies</t>
  </si>
  <si>
    <t>TOTAL SERVICE CHARGES</t>
  </si>
  <si>
    <t>Regional Bulk Infrastructure</t>
  </si>
  <si>
    <t>Sewerage Blocka</t>
  </si>
  <si>
    <t>Allowance Stand</t>
  </si>
  <si>
    <t>DEPRECIATION &amp; ASSET IMPAIREMENT</t>
  </si>
  <si>
    <t>TOTAL DEPRECIATION &amp; ASSET IMPAIREMENT</t>
  </si>
  <si>
    <t>Interest - DBSA</t>
  </si>
  <si>
    <t>Redemption - DBSA</t>
  </si>
  <si>
    <t>Regional Bulk Infrastructure Projects</t>
  </si>
  <si>
    <t>MIG - Expenses;</t>
  </si>
  <si>
    <t>R/M - Plant &amp; E</t>
  </si>
  <si>
    <t>R/M - Sewerage</t>
  </si>
  <si>
    <t>DESCRIPTION NOT FOUND</t>
  </si>
  <si>
    <t>SubTotal</t>
  </si>
  <si>
    <t>WASTE MANAGEMENT</t>
  </si>
  <si>
    <t>Tools &amp; Accesso</t>
  </si>
  <si>
    <t>R/M - Dumping S</t>
  </si>
  <si>
    <t>ROADS TRANSPORT</t>
  </si>
  <si>
    <t>Rent - Plant &amp;</t>
  </si>
  <si>
    <t>NT Grant - EPWP</t>
  </si>
  <si>
    <t>Xhariep District Municipality</t>
  </si>
  <si>
    <t>Finance Lease;</t>
  </si>
  <si>
    <t>R/M - Roads &amp; S</t>
  </si>
  <si>
    <t>WATER DISTRIBUTION</t>
  </si>
  <si>
    <t>Drum Sales;</t>
  </si>
  <si>
    <t>Free Basic Wate</t>
  </si>
  <si>
    <t>REDEMPTION PAYMENT - EXTERNAL</t>
  </si>
  <si>
    <t>TOTAL REDEMPTION PAYMENT - EXTERNAL</t>
  </si>
  <si>
    <t>Bulk Water Purc</t>
  </si>
  <si>
    <t>TOTAL BULK PURCHASES</t>
  </si>
  <si>
    <t>Free Basic Serv</t>
  </si>
  <si>
    <t xml:space="preserve">PMU </t>
  </si>
  <si>
    <t>Water Chemicals</t>
  </si>
  <si>
    <t>R/M - Stormwate</t>
  </si>
  <si>
    <t>R/M - Water Ret</t>
  </si>
  <si>
    <t>Transfer - Gov</t>
  </si>
  <si>
    <t>ELECTRICITY DISTRIBUTION</t>
  </si>
  <si>
    <t>Electricity Sal</t>
  </si>
  <si>
    <t>NT Grant - INEP</t>
  </si>
  <si>
    <t>Re-Connection F</t>
  </si>
  <si>
    <t>Free Basic Elec</t>
  </si>
  <si>
    <t>Interest - HP;</t>
  </si>
  <si>
    <t>Bulk Electricit</t>
  </si>
  <si>
    <t>Commision Vendo</t>
  </si>
  <si>
    <t>R/M - Street Li</t>
  </si>
  <si>
    <t>R/M - Meters;</t>
  </si>
  <si>
    <t>1. Explanations of how the adjustment budget affects the annual budget:</t>
  </si>
  <si>
    <t>- Employee related costs has decreased because I tried to use the salary budget to allign it with the adjustment budget, whereas in the annual budget it was just increased with 8.15%.</t>
  </si>
  <si>
    <t>- Remuneration of Councillors increased because of the implentation of upper limits.</t>
  </si>
  <si>
    <t>- There were no bad debts written off this financial year, debt impairment vote is only used to reimburse DBSA loan.</t>
  </si>
  <si>
    <t>- Interest expense is removed because the interest of DBSA loan is included in the debt impairment vote.</t>
  </si>
  <si>
    <t xml:space="preserve">- There was no budget for bulk purchases and it has to be included because it is used to pay free basic electricity costs, street lights costs and any other costs incurred in water reticulation </t>
  </si>
  <si>
    <t xml:space="preserve">   that are related to electricity.</t>
  </si>
  <si>
    <t>- Grants and Subsidies has decreased because the transactions of the grants vote are passed in the balance sheet vote.</t>
  </si>
  <si>
    <t xml:space="preserve">- Other expenditure has decreased because most the expenditure votes have been centralised, e.g. printing &amp; stationery, postage, uniform &amp; protectve clothing, cleaning materials, health </t>
  </si>
  <si>
    <t xml:space="preserve">   services, fuel &amp; oil votes, etc. The vote that has increased materially is the Subsistence &amp; Travelling vote in Electricity Distribution, Roads &amp; Streets, Waste Management, Waste Water</t>
  </si>
  <si>
    <t xml:space="preserve">   Management and Sports &amp; Recreation departments, because supervisors uses their own vehicles for their work related matters, as the municipality does not have enough vehicles.</t>
  </si>
  <si>
    <t>- Contribution to/from provisions didn't decrease materiallybecause the provision is for when an employee retires, dies or resigns.</t>
  </si>
  <si>
    <t>17.1  Post-retirement Health Care Benefits Liability</t>
  </si>
  <si>
    <t>18.1  Cleaning of Illegal Dumping</t>
  </si>
  <si>
    <t>18.2  Clearing of Alien Vegetation</t>
  </si>
  <si>
    <t>18.3  Long Service Awards</t>
  </si>
  <si>
    <t>GOVERNMENT GRANTS AND SUBSIDIES RECEIVED</t>
  </si>
  <si>
    <t>21.2  National: Equitable Share</t>
  </si>
  <si>
    <t>2011 Lease adjustment</t>
  </si>
  <si>
    <t>Journal 12</t>
  </si>
  <si>
    <t>Journal 13</t>
  </si>
  <si>
    <t>2012 Finance lease expenses</t>
  </si>
  <si>
    <t>Finance costs</t>
  </si>
  <si>
    <t>37.3  Reclassification of Service Charges and Grants and Subsidies Paid</t>
  </si>
  <si>
    <t>37.5  Reclassification of Expenditure</t>
  </si>
  <si>
    <t>37.6  Reclassification of Interest Earned, Impairment of Consumer Debtors, Provision for</t>
  </si>
  <si>
    <t>37.8  Reclassification of Revenue</t>
  </si>
  <si>
    <t xml:space="preserve">Local Authority Stock are shares held in OVK Operations Limited. 10 354 Ordinary Shares valued at R6.98 (2011: R4.40) per share and 9 948 Holding Shares valued at R4.06 (2011: R3.30) per share </t>
  </si>
  <si>
    <t>Gains/Losses on Investments</t>
  </si>
  <si>
    <t>Gains/Losses on investments</t>
  </si>
  <si>
    <t>Journal 14</t>
  </si>
  <si>
    <t>Fair Value adjustment of Shares</t>
  </si>
  <si>
    <t>Journal 15</t>
  </si>
  <si>
    <t>Salary entries from Grant votes</t>
  </si>
  <si>
    <t>48.6  Other Related Party Transactions</t>
  </si>
  <si>
    <t>49.2  Court Proceedings:</t>
  </si>
  <si>
    <t>49.4  Contingent Liabilities incurred arising from interests in Joint ventures:</t>
  </si>
  <si>
    <t>49.5  Municipality's share of Associates' Contingent Liabilities:</t>
  </si>
  <si>
    <t>Centlec - net equity adjustment</t>
  </si>
  <si>
    <t>Overstatement of grant debtor</t>
  </si>
  <si>
    <t>Capitalisation of prior year asset</t>
  </si>
  <si>
    <t>MIG Liability previously not recognised</t>
  </si>
  <si>
    <t>Other adjustments directly in equity</t>
  </si>
  <si>
    <t>ABSA Bank - Zastron Branch, Zastron - ChequeAccount Number 4052654487:</t>
  </si>
  <si>
    <t>Standard Bank - Zastron Branch, Zastron - ChequeAccount Number 041952766:</t>
  </si>
  <si>
    <t>First National Bank - Zastron Branch, Zastron - ChequeAccount Number 53593549308:</t>
  </si>
  <si>
    <t>Write off of the VAT differences in the prior period</t>
  </si>
  <si>
    <t>Journal 16</t>
  </si>
  <si>
    <t>Journal 17</t>
  </si>
  <si>
    <t>Consumable expenses moved to Inventory</t>
  </si>
  <si>
    <t>Journal 18</t>
  </si>
  <si>
    <t>INEP expenses to assets - Opening balance</t>
  </si>
  <si>
    <t>2011-2012 expenses to assets</t>
  </si>
  <si>
    <t>Journal 19</t>
  </si>
  <si>
    <t>CCA - Assets</t>
  </si>
  <si>
    <t>MOHOKARE LOCAL MUNICIPALITY</t>
  </si>
  <si>
    <t xml:space="preserve">OPERATING BUDGET </t>
  </si>
  <si>
    <t>2008/9</t>
  </si>
  <si>
    <t>CURRENT YEAR 2009/10</t>
  </si>
  <si>
    <t xml:space="preserve">2010/11 MEDIUM TERM REVEMUE &amp; 
EXPENDITURE FRAMEWORK
</t>
  </si>
  <si>
    <t>AUDITED
OUTCOME</t>
  </si>
  <si>
    <t>ORIGINAL
BUDGET</t>
  </si>
  <si>
    <t>ADJUSTED
BUDGET</t>
  </si>
  <si>
    <t>YTD
ACTUAL</t>
  </si>
  <si>
    <t>FULL YEAR
FORECAST</t>
  </si>
  <si>
    <t>AUDITED OUTCOME</t>
  </si>
  <si>
    <t>Oringinal Budget 2010/2011</t>
  </si>
  <si>
    <t>Adjustment Budget 2010/2011</t>
  </si>
  <si>
    <t>Full Year Forecast</t>
  </si>
  <si>
    <t>BUDGET 
YEAR +1
2011/12</t>
  </si>
  <si>
    <t>BUDGET
YEAR +2
2012/13</t>
  </si>
  <si>
    <t xml:space="preserve">COUNCIL &amp; EXECUTIVE </t>
  </si>
  <si>
    <t>TRANSFERS RECOGNISED - OPERATIONAL</t>
  </si>
  <si>
    <t>NT Grant</t>
  </si>
  <si>
    <t>Special Contribution Councillors' Remuneration</t>
  </si>
  <si>
    <t>TOTAL TRANSFERS RECOGNISED - OPERATIONAL</t>
  </si>
  <si>
    <t xml:space="preserve">REMUNERATION OF COUNCILLORS </t>
  </si>
  <si>
    <t>C UIF</t>
  </si>
  <si>
    <t>C Industrial Council Levy</t>
  </si>
  <si>
    <t>C SDL</t>
  </si>
  <si>
    <t>C Salaries</t>
  </si>
  <si>
    <t>C Allowance - Telephone</t>
  </si>
  <si>
    <t>C Allowance - Vehicle (Fixed)</t>
  </si>
  <si>
    <t>C Compensation Commissioner</t>
  </si>
  <si>
    <t>Councillors M</t>
  </si>
  <si>
    <t xml:space="preserve">TOTAL REMUNERATION OF COUNCILLORS </t>
  </si>
  <si>
    <t>Salaries</t>
  </si>
  <si>
    <t>Contributions Medical Aid</t>
  </si>
  <si>
    <t>Contributions Pension Fund</t>
  </si>
  <si>
    <t>Bonus</t>
  </si>
  <si>
    <t>Allowance - Telephone</t>
  </si>
  <si>
    <t>Overtime</t>
  </si>
  <si>
    <t>Allowance - Other</t>
  </si>
  <si>
    <t>SDL</t>
  </si>
  <si>
    <t>Allowance - Vehicle (Fixed)</t>
  </si>
  <si>
    <t>Compensation Commissioner</t>
  </si>
  <si>
    <t>REPAIRS AND MAINTENANCE</t>
  </si>
  <si>
    <t>Furniture &amp; Equipment</t>
  </si>
  <si>
    <t>Vehicles &amp; Equipment</t>
  </si>
  <si>
    <t>TOTAL REPAIRS AND MAINTENANCE</t>
  </si>
  <si>
    <t>Ward Committee Establishment</t>
  </si>
  <si>
    <t xml:space="preserve">Printing &amp; Stationery </t>
  </si>
  <si>
    <t>Disasters</t>
  </si>
  <si>
    <t>Entertainment Mayor</t>
  </si>
  <si>
    <t>Ward Committee Contributions</t>
  </si>
  <si>
    <t>Donations &amp; Grants</t>
  </si>
  <si>
    <t>Postage</t>
  </si>
  <si>
    <t>Vehicle Licenses</t>
  </si>
  <si>
    <t>License &amp; Internet Fees</t>
  </si>
  <si>
    <t>Training</t>
  </si>
  <si>
    <t>Subsistence &amp; Travelling</t>
  </si>
  <si>
    <t>Telephone Costs</t>
  </si>
  <si>
    <t>Refreshments</t>
  </si>
  <si>
    <t>Materials &amp; Consumables</t>
  </si>
  <si>
    <t>Grant Expenditure</t>
  </si>
  <si>
    <t>SUB-TOTAL OPERATING EXPENDITURE</t>
  </si>
  <si>
    <t>OFFICE OF THE MAYOR/SPEAKER (continued)</t>
  </si>
  <si>
    <t>TRANSFERS &amp; GRANTS</t>
  </si>
  <si>
    <t>Ex Income</t>
  </si>
  <si>
    <t>Leave Reserve</t>
  </si>
  <si>
    <t>Pro-rata Bonus</t>
  </si>
  <si>
    <t>CDF</t>
  </si>
  <si>
    <t>TOTAL TRANSFERS &amp; GRANTS</t>
  </si>
  <si>
    <t>TOTAL EXPENDITURE</t>
  </si>
  <si>
    <t>Provincial Grant - Managers' Remuneration</t>
  </si>
  <si>
    <t xml:space="preserve">M Salaries </t>
  </si>
  <si>
    <t>M Performance Bonus</t>
  </si>
  <si>
    <t xml:space="preserve">M Contributions Medical Aid </t>
  </si>
  <si>
    <t xml:space="preserve">M Contributions Pension Fund </t>
  </si>
  <si>
    <t xml:space="preserve">M UIF </t>
  </si>
  <si>
    <t xml:space="preserve">M Industrial Council Levy </t>
  </si>
  <si>
    <t xml:space="preserve">M Bonus </t>
  </si>
  <si>
    <t xml:space="preserve">M Allowance - Telephone </t>
  </si>
  <si>
    <t xml:space="preserve">M Housing Subsidy </t>
  </si>
  <si>
    <t xml:space="preserve">M Allowance - Other </t>
  </si>
  <si>
    <t xml:space="preserve">M SDL </t>
  </si>
  <si>
    <t>M Allowance - Vehicle (Fixed)</t>
  </si>
  <si>
    <t xml:space="preserve">M Compensation Commissioner </t>
  </si>
  <si>
    <t xml:space="preserve">Contributions Medical Aid </t>
  </si>
  <si>
    <t xml:space="preserve">Contributions Pension Fund </t>
  </si>
  <si>
    <t xml:space="preserve">UIF </t>
  </si>
  <si>
    <t xml:space="preserve">Industrial Council Levy </t>
  </si>
  <si>
    <t xml:space="preserve">Bonus </t>
  </si>
  <si>
    <t xml:space="preserve">Allowance - Telephone </t>
  </si>
  <si>
    <t xml:space="preserve">Housing Subsidy </t>
  </si>
  <si>
    <t xml:space="preserve">Overtime </t>
  </si>
  <si>
    <t xml:space="preserve">Allowance - Other </t>
  </si>
  <si>
    <t xml:space="preserve">SDL </t>
  </si>
  <si>
    <t xml:space="preserve">Allowance - Vehicle (Fixed) </t>
  </si>
  <si>
    <t xml:space="preserve">Compensation Commissioner </t>
  </si>
  <si>
    <t>Printing &amp; Stationery</t>
  </si>
  <si>
    <t>Publications</t>
  </si>
  <si>
    <t>OFFICE OF THE MUNICIPAL MANAGER</t>
  </si>
  <si>
    <t>MANAGER ADMINISTRATION</t>
  </si>
  <si>
    <t>M Salaries</t>
  </si>
  <si>
    <t>M Contributions Medical Aid</t>
  </si>
  <si>
    <t>M Contributions Pension Fund</t>
  </si>
  <si>
    <t>M UIF</t>
  </si>
  <si>
    <t>M Industrial Council Levy</t>
  </si>
  <si>
    <t>M Bonus</t>
  </si>
  <si>
    <t>M Allowance - Telephone</t>
  </si>
  <si>
    <t>M Housing Subsidy</t>
  </si>
  <si>
    <t>M Allowance - Other</t>
  </si>
  <si>
    <t>M SDL</t>
  </si>
  <si>
    <t>M Compensation Commissioner</t>
  </si>
  <si>
    <t>Contr - CDF</t>
  </si>
  <si>
    <t>MANAGER COMMUNITY SERVICES</t>
  </si>
  <si>
    <t>MANAGER TECHNICAL SERVICES</t>
  </si>
  <si>
    <t>DWARF</t>
  </si>
  <si>
    <t>MIG repayment</t>
  </si>
  <si>
    <t>FINANCIAL &amp; ADMINISTRATION SERVICES</t>
  </si>
  <si>
    <t>FINANCE</t>
  </si>
  <si>
    <t>INTEREST EARNED - EXTERNAL INVESTMENTS</t>
  </si>
  <si>
    <t>External Investments</t>
  </si>
  <si>
    <t>Discount Received</t>
  </si>
  <si>
    <t>TOTAL INTEREST EARNED - EXTERNAL INVESTMENTS</t>
  </si>
  <si>
    <t>Dividends - OVK</t>
  </si>
  <si>
    <t xml:space="preserve">National Government - FMG </t>
  </si>
  <si>
    <t>Photocopies &amp; Faxes</t>
  </si>
  <si>
    <t>Administration Fees</t>
  </si>
  <si>
    <t>Legal Fees</t>
  </si>
  <si>
    <t>Profit on sale</t>
  </si>
  <si>
    <t>Interns</t>
  </si>
  <si>
    <t>FINANCE CHARGES</t>
  </si>
  <si>
    <t>TOTAL FINANCE CHARGES</t>
  </si>
  <si>
    <t>FINANCE (continued)</t>
  </si>
  <si>
    <t>Project - FMG</t>
  </si>
  <si>
    <t>Rental - Equipment</t>
  </si>
  <si>
    <t>Expenses FMG &amp; Grant Audit Fees</t>
  </si>
  <si>
    <t>Capital Development Fund - FMG</t>
  </si>
  <si>
    <t>Equitable share - Council</t>
  </si>
  <si>
    <t>Equitable share - Electricity</t>
  </si>
  <si>
    <t>Equitable share - Administration</t>
  </si>
  <si>
    <t>Equitable share - Water</t>
  </si>
  <si>
    <t>Equitable share - Fire Fighting</t>
  </si>
  <si>
    <t>Equitable share - Libraries</t>
  </si>
  <si>
    <t>Equitable share - Refuse Removal</t>
  </si>
  <si>
    <t>Equitable share - Sewerage</t>
  </si>
  <si>
    <t>INTERNAL AUDIT</t>
  </si>
  <si>
    <t xml:space="preserve">Membership Fees </t>
  </si>
  <si>
    <t xml:space="preserve">Property rates: Farms </t>
  </si>
  <si>
    <t>Property rates: Businesses</t>
  </si>
  <si>
    <t>Property rates: Government</t>
  </si>
  <si>
    <t>Property rates: Residential &amp; Other</t>
  </si>
  <si>
    <t>Rates Levies</t>
  </si>
  <si>
    <t>Property rates: Silo's</t>
  </si>
  <si>
    <t xml:space="preserve">PROPERTY RATES PENALTIES </t>
  </si>
  <si>
    <t>Interest on Arrears</t>
  </si>
  <si>
    <t xml:space="preserve">TOTAL PROPERTY RATES PENALTIES </t>
  </si>
  <si>
    <t>INCOME FOREGONE</t>
  </si>
  <si>
    <t>Discount due to overcharge</t>
  </si>
  <si>
    <t>Rebates</t>
  </si>
  <si>
    <t>TOTAL INCOME FOREGONE</t>
  </si>
  <si>
    <t>Provision for Bad Debts</t>
  </si>
  <si>
    <t>Equitable Share - Indigent Share</t>
  </si>
  <si>
    <t>Valuation Costs</t>
  </si>
  <si>
    <t>Computer Costs</t>
  </si>
  <si>
    <t>LEASES</t>
  </si>
  <si>
    <t>TOTAL LEASES</t>
  </si>
  <si>
    <t>Feul and Oil</t>
  </si>
  <si>
    <t>0801/6552/0000</t>
  </si>
  <si>
    <t>1012/6552/0000</t>
  </si>
  <si>
    <t>1102/6552/0000</t>
  </si>
  <si>
    <t>1103/6552/0000</t>
  </si>
  <si>
    <t>DEPRECIATION</t>
  </si>
  <si>
    <t>HP</t>
  </si>
  <si>
    <t>TOTAL DEPRECIATION</t>
  </si>
  <si>
    <t>PROPERTY SERVICES</t>
  </si>
  <si>
    <t>COUNCIL PROPERTIES</t>
  </si>
  <si>
    <t>Rental: Buildings</t>
  </si>
  <si>
    <t xml:space="preserve">Rental: Community Hall </t>
  </si>
  <si>
    <t>Rental: Vodacom</t>
  </si>
  <si>
    <t>General Council</t>
  </si>
  <si>
    <t>0103/6803/0000</t>
  </si>
  <si>
    <t>0205/6803/0000</t>
  </si>
  <si>
    <t>Council Properties</t>
  </si>
  <si>
    <t>0206/6803/0000</t>
  </si>
  <si>
    <t>Information Technology</t>
  </si>
  <si>
    <t>0207/6803/0000</t>
  </si>
  <si>
    <t>0207/6808/0000</t>
  </si>
  <si>
    <t>IDP &amp; LED</t>
  </si>
  <si>
    <t>0502/6803/0000</t>
  </si>
  <si>
    <t>0503/6803/0000</t>
  </si>
  <si>
    <t>Community Halls</t>
  </si>
  <si>
    <t>0504/6802/0000</t>
  </si>
  <si>
    <t>0504/6813/0000</t>
  </si>
  <si>
    <t>Cemetries</t>
  </si>
  <si>
    <t>0505/6804/0000</t>
  </si>
  <si>
    <t>0505/6818/0000</t>
  </si>
  <si>
    <t>Pound</t>
  </si>
  <si>
    <t>0506/6804/0000</t>
  </si>
  <si>
    <t>Fire Fighting</t>
  </si>
  <si>
    <t>0701/6808/0000</t>
  </si>
  <si>
    <t>0801/6801/0000</t>
  </si>
  <si>
    <t>0801/6802/0000</t>
  </si>
  <si>
    <t>0801/6804/0000</t>
  </si>
  <si>
    <t>0801/6808/0000</t>
  </si>
  <si>
    <t>Sport Grounds</t>
  </si>
  <si>
    <t>0802/6801/0000</t>
  </si>
  <si>
    <t>0802/6802/0000</t>
  </si>
  <si>
    <t>0802/6805/0000</t>
  </si>
  <si>
    <t>Santitation</t>
  </si>
  <si>
    <t>1012/6802/0000</t>
  </si>
  <si>
    <t>1012/6804/0000</t>
  </si>
  <si>
    <t>1012/6808/0000</t>
  </si>
  <si>
    <t>1012/6810/0000</t>
  </si>
  <si>
    <t>1012/6815/0000</t>
  </si>
  <si>
    <t>Roads and Streets</t>
  </si>
  <si>
    <t>1102/6807/0000</t>
  </si>
  <si>
    <t>1102/6808/0000</t>
  </si>
  <si>
    <t>1103/6802/0000</t>
  </si>
  <si>
    <t>1103/6811/0000</t>
  </si>
  <si>
    <t>1401/6804/0000</t>
  </si>
  <si>
    <t>CCA - Furniture &amp; Office Equipment</t>
  </si>
  <si>
    <t xml:space="preserve">CAMPS </t>
  </si>
  <si>
    <t>HUMAN RESOURCES</t>
  </si>
  <si>
    <t>Advertisements</t>
  </si>
  <si>
    <t>Workstudy Investigation</t>
  </si>
  <si>
    <t>ADMINISTRATION (CORPORATE SERVICES)</t>
  </si>
  <si>
    <t>Medical Fund - PJS Vorster</t>
  </si>
  <si>
    <t>PMS</t>
  </si>
  <si>
    <t>ADMINISTRATION (CORPORATE SERVICES)(continued)</t>
  </si>
  <si>
    <t>IDP&amp; LED</t>
  </si>
  <si>
    <t>Provincial Gov: Human Settlement Grant</t>
  </si>
  <si>
    <t>Youth Development</t>
  </si>
  <si>
    <t>IDP</t>
  </si>
  <si>
    <t xml:space="preserve">LED </t>
  </si>
  <si>
    <t>Agricultural Development</t>
  </si>
  <si>
    <t>LED Strategy</t>
  </si>
  <si>
    <t>LED Youth</t>
  </si>
  <si>
    <t>SUB-TOTAL EXPENDITURE</t>
  </si>
  <si>
    <t>HEALTH</t>
  </si>
  <si>
    <t>ENVIRONMENTAL HEALTH</t>
  </si>
  <si>
    <t>Budget but get funds from Health</t>
  </si>
  <si>
    <t>Provincial Gov: Subsidy</t>
  </si>
  <si>
    <t>Telephone Charges</t>
  </si>
  <si>
    <t>COMMUNITY &amp; SOCIAL SERVICES</t>
  </si>
  <si>
    <t>COMMUNITY SERVICES</t>
  </si>
  <si>
    <t>LIBRARIES</t>
  </si>
  <si>
    <t>Books</t>
  </si>
  <si>
    <t>Lost Books</t>
  </si>
  <si>
    <t xml:space="preserve">SUB-TOTAL OPERATING REVENUE </t>
  </si>
  <si>
    <t>Equitable Share/Subsidy - Dept Arts &amp; Culture</t>
  </si>
  <si>
    <t>Industrial Council levy</t>
  </si>
  <si>
    <t>COMMUNITY HALLS</t>
  </si>
  <si>
    <t>Town Hall</t>
  </si>
  <si>
    <t>Crockery</t>
  </si>
  <si>
    <t>Tools &amp; Equipment</t>
  </si>
  <si>
    <t>Electricity Purchases</t>
  </si>
  <si>
    <t>Operating License</t>
  </si>
  <si>
    <t>Cleaning Materials</t>
  </si>
  <si>
    <t>Protective Clothing</t>
  </si>
  <si>
    <t>CEMETERIES</t>
  </si>
  <si>
    <t>Grave Fees</t>
  </si>
  <si>
    <t>Temporary Workers</t>
  </si>
  <si>
    <t>Fences</t>
  </si>
  <si>
    <t>Grounds/Gardens</t>
  </si>
  <si>
    <t>Pauper Burials</t>
  </si>
  <si>
    <t>PUBLIC &amp; PERSONNEL HOUSING</t>
  </si>
  <si>
    <t>Rental - Personnel Houses</t>
  </si>
  <si>
    <t>Permits</t>
  </si>
  <si>
    <t>Building Plan &amp; Inspection Fees</t>
  </si>
  <si>
    <t>Bad Debt</t>
  </si>
  <si>
    <t>PUBLIC SAFETY</t>
  </si>
  <si>
    <t>TRAFFIC</t>
  </si>
  <si>
    <t>Traffic &amp; Road Signs</t>
  </si>
  <si>
    <t>Collection Fees</t>
  </si>
  <si>
    <t>Campaigns</t>
  </si>
  <si>
    <t xml:space="preserve">Inventory </t>
  </si>
  <si>
    <t>FIRE FIGHTING</t>
  </si>
  <si>
    <t>Funds from DM</t>
  </si>
  <si>
    <t>Equitable Share/DM Subsidy</t>
  </si>
  <si>
    <t>POUND</t>
  </si>
  <si>
    <t xml:space="preserve">Sales </t>
  </si>
  <si>
    <t>SPORT &amp; RECREATION</t>
  </si>
  <si>
    <t>PARKS</t>
  </si>
  <si>
    <t>SPORT GROUNDS</t>
  </si>
  <si>
    <t>Caravan Park</t>
  </si>
  <si>
    <t>Sport Fields</t>
  </si>
  <si>
    <t>SOLID WASTE</t>
  </si>
  <si>
    <t>SERVICE CHARGES - REFUSE REVENUE</t>
  </si>
  <si>
    <t>Refuse Removal Levies</t>
  </si>
  <si>
    <t>TOTAL SERVICE CHARGES - REFUSE REVENUE</t>
  </si>
  <si>
    <t>SUB-TOTAL OPERATING REVENUE</t>
  </si>
  <si>
    <t>Dumping Site</t>
  </si>
  <si>
    <t>Plant &amp; Equipment</t>
  </si>
  <si>
    <t>Indigent Subsidies - Equitable Share</t>
  </si>
  <si>
    <t>SOLID WASTE (continued)</t>
  </si>
  <si>
    <t>SANITATION</t>
  </si>
  <si>
    <t>SERVICE CHARGES - SANITATION REVENUE</t>
  </si>
  <si>
    <t>TOTAL SERVICE CHARGES - SANITATION REVENUE</t>
  </si>
  <si>
    <t>Sewerage Blockages</t>
  </si>
  <si>
    <t>TRANSFERS RECOGNISED - CAPITAL</t>
  </si>
  <si>
    <t>BIG</t>
  </si>
  <si>
    <t>TOTAL TRANSFERS RECOGNISED - CAPITAL</t>
  </si>
  <si>
    <t>Plant &amp; equipment</t>
  </si>
  <si>
    <t>SANITATION (continued)</t>
  </si>
  <si>
    <t xml:space="preserve">DBSA </t>
  </si>
  <si>
    <t>CAPITAL EXPENDITURE - PROJECTS</t>
  </si>
  <si>
    <t>TOTAL CAPITAL EXPENDITURE - PROJECTS</t>
  </si>
  <si>
    <t>ROAD TRANSPORT</t>
  </si>
  <si>
    <t>ROADS &amp; STREETS</t>
  </si>
  <si>
    <t>Roads &amp; Stormwater</t>
  </si>
  <si>
    <t>ROADS &amp; STREETS (continued)</t>
  </si>
  <si>
    <t>TRANSFERS &amp; GRANTS - PROJECTS</t>
  </si>
  <si>
    <t>TOTAL TRANSFERS &amp; GRANTS - PROJECTS</t>
  </si>
  <si>
    <t>WATER</t>
  </si>
  <si>
    <t>WATER DISTRIBUTION &amp; STORAGE</t>
  </si>
  <si>
    <t>SERVICE CHARGES - WATER REVENUE</t>
  </si>
  <si>
    <t>Water Levies</t>
  </si>
  <si>
    <t>TOTAL SERVICE CHARGES - WATER REVENUE</t>
  </si>
  <si>
    <t>Connections</t>
  </si>
  <si>
    <t>Drum Sales</t>
  </si>
  <si>
    <t>FBW</t>
  </si>
  <si>
    <t xml:space="preserve">TRANSFERS RECOGNISED - OPERATIONAL </t>
  </si>
  <si>
    <t xml:space="preserve">TOTAL TRANSFERS RECOGNISED - OPERATIONAL </t>
  </si>
  <si>
    <t>Water Reticulation</t>
  </si>
  <si>
    <t>WATER DISTRIBUTION &amp; STORAGE (continued)</t>
  </si>
  <si>
    <t>ELECTRICITY</t>
  </si>
  <si>
    <t>SERVICE CHARGES - ELECTRICITY</t>
  </si>
  <si>
    <t>Sale of Pre-paid Electricity</t>
  </si>
  <si>
    <t>TOTAL SERVICE CHARGES - ELECTRICITY</t>
  </si>
  <si>
    <t>Reconnections etc</t>
  </si>
  <si>
    <t>Recovery of Sundry Services</t>
  </si>
  <si>
    <t>INOME FOREGONE</t>
  </si>
  <si>
    <t>FBE</t>
  </si>
  <si>
    <t>INEPG</t>
  </si>
  <si>
    <t>Network</t>
  </si>
  <si>
    <t>Street Lights</t>
  </si>
  <si>
    <t>Subsistence and travelling</t>
  </si>
  <si>
    <t>Commission Vendors</t>
  </si>
  <si>
    <t>ELECTRICITY DISTRIBUTION (continued)</t>
  </si>
  <si>
    <t>SUNDRY SERVICES</t>
  </si>
  <si>
    <t>CATTLE FARMING</t>
  </si>
  <si>
    <t>Sale of Cattle</t>
  </si>
  <si>
    <t xml:space="preserve">Salaries </t>
  </si>
  <si>
    <t>SUMMARY</t>
  </si>
  <si>
    <t>TRANSFERS RECOGNISED - EQUITABLE SHARE</t>
  </si>
  <si>
    <t>INCOME FOREGONE (DISCOUNT ON RATES)</t>
  </si>
  <si>
    <t xml:space="preserve">TOTAL OPERATING REVENUE </t>
  </si>
  <si>
    <t>SUB-TOTAL REVENUE</t>
  </si>
  <si>
    <t>TRANSFERS RECOGNISED - INT RECOVERIES</t>
  </si>
  <si>
    <t>TRANSFERS &amp; GRANTS - PROVISIONS</t>
  </si>
  <si>
    <t>EXPENDITURE (continued)</t>
  </si>
  <si>
    <t>TRANSFERS &amp; GRANTS - ASSETS</t>
  </si>
  <si>
    <t>TRANSFERS &amp; GRANTS - EQUITABLE SHARE</t>
  </si>
  <si>
    <t>SURPLUS/(DEFICIT) FOR THE YEAR</t>
  </si>
  <si>
    <t>Transfer to Government Grant Reserve</t>
  </si>
  <si>
    <t>Transfer to Capital Replacement Fund</t>
  </si>
  <si>
    <t>Transfer to External Financing Fund</t>
  </si>
  <si>
    <t>Transfer to Surplus/(Deficit)</t>
  </si>
  <si>
    <t>NET SURPLUS/(DEFICIT) FOR THE YEAR</t>
  </si>
  <si>
    <t>Control Total - Income</t>
  </si>
  <si>
    <t>Control Total - Expenses</t>
  </si>
  <si>
    <t>Control Total - Surplus/(Deficit)</t>
  </si>
  <si>
    <t>Contribution Pension Fund</t>
  </si>
  <si>
    <t>Contribution Medical Fund</t>
  </si>
  <si>
    <t>Housing Allowance</t>
  </si>
  <si>
    <t>Other Allowance</t>
  </si>
  <si>
    <t>Telephone Allowance</t>
  </si>
  <si>
    <t>Travel Allowance</t>
  </si>
  <si>
    <t>Medical PJS Vorster</t>
  </si>
  <si>
    <t>Managers</t>
  </si>
  <si>
    <t>Council</t>
  </si>
  <si>
    <t>Repairs &amp; Maintenance</t>
  </si>
  <si>
    <t>Grounds/gardens</t>
  </si>
  <si>
    <t>Community Hall</t>
  </si>
  <si>
    <t>Fire</t>
  </si>
  <si>
    <t>Sanitation</t>
  </si>
  <si>
    <t>Roads</t>
  </si>
  <si>
    <t>Conditional / Unconditional Grants</t>
  </si>
  <si>
    <r>
      <t xml:space="preserve">Furthermore, the comparative figures for </t>
    </r>
    <r>
      <rPr>
        <i/>
        <sz val="11"/>
        <rFont val="Arial"/>
        <family val="2"/>
      </rPr>
      <t>Government Grants and Subsidies</t>
    </r>
    <r>
      <rPr>
        <sz val="11"/>
        <rFont val="Arial"/>
        <family val="2"/>
      </rPr>
      <t xml:space="preserve"> have been restated to adhere to the provisions of GAMAP 9 (paragraphs 42 - 46), </t>
    </r>
    <r>
      <rPr>
        <i/>
        <sz val="11"/>
        <rFont val="Arial"/>
        <family val="2"/>
      </rPr>
      <t>Revenue</t>
    </r>
    <r>
      <rPr>
        <sz val="11"/>
        <rFont val="Arial"/>
        <family val="2"/>
      </rPr>
      <t xml:space="preserve"> on revenue from non-exchange transactions and ASB Directive 4.05.144.  Refer to Note 36.1 on "Correction of Error" for details of the restatement.</t>
    </r>
  </si>
  <si>
    <t>Total Closing Ba</t>
  </si>
  <si>
    <t>lances/SluitingSaldosTotaal:</t>
  </si>
  <si>
    <t>================</t>
  </si>
  <si>
    <t>===============================</t>
  </si>
  <si>
    <t xml:space="preserve">     Investments</t>
  </si>
  <si>
    <t>General Expenses - Auditors' Remuneration</t>
  </si>
  <si>
    <t>General expenses - Auditors' Remuneration</t>
  </si>
  <si>
    <t>General Expenses - Consulting and professional fees</t>
  </si>
  <si>
    <t>Non-Current Investments</t>
  </si>
  <si>
    <t>Shares - Investments</t>
  </si>
  <si>
    <t>Journal 20</t>
  </si>
  <si>
    <t>Adjustment for DBSA loan account</t>
  </si>
  <si>
    <t>DBSA Loan</t>
  </si>
  <si>
    <t>Bank overdraft</t>
  </si>
  <si>
    <r>
      <rPr>
        <i/>
        <sz val="11"/>
        <rFont val="Arial"/>
        <family val="2"/>
      </rPr>
      <t>Finance Costs</t>
    </r>
    <r>
      <rPr>
        <sz val="11"/>
        <rFont val="Arial"/>
        <family val="2"/>
      </rPr>
      <t xml:space="preserve"> have been restated to correctly classify expenditure incurred for Finance Costs, previously included in General Expenses.  Refer to Note 36.5 on "Correction of Error" for details of the restatement.</t>
    </r>
  </si>
  <si>
    <t>Investment in  Stock</t>
  </si>
  <si>
    <t xml:space="preserve">The municipality opted to develop an Accounting Policy based on GRAP 104, Financial Instruments.  The effect of this change in Accounting Policy is summarised in the following table that indicates the effect of the classification and measurement adjustments to the municipality's Financial Instruments as at 01 July 2011.
</t>
  </si>
  <si>
    <t>Journal 21</t>
  </si>
  <si>
    <t>Correcting bank accounts</t>
  </si>
  <si>
    <t xml:space="preserve">Interest - Creditor's Late payments            </t>
  </si>
  <si>
    <t>Journal 22</t>
  </si>
  <si>
    <t>Creditor's Interest</t>
  </si>
  <si>
    <t>Creditor's interest reclasification</t>
  </si>
  <si>
    <t>Reclassification of expenses to Interest expenses on Creditors</t>
  </si>
  <si>
    <t>Reclasification of rental expenses  for Finance leases</t>
  </si>
  <si>
    <t>Credit Notes received - current year</t>
  </si>
  <si>
    <t>Journal 23</t>
  </si>
  <si>
    <t>Correcting Sebata entry</t>
  </si>
  <si>
    <r>
      <t xml:space="preserve">Furthermore, </t>
    </r>
    <r>
      <rPr>
        <i/>
        <sz val="11"/>
        <rFont val="Arial"/>
        <family val="2"/>
      </rPr>
      <t>Inventory</t>
    </r>
    <r>
      <rPr>
        <sz val="11"/>
        <rFont val="Arial"/>
        <family val="2"/>
      </rPr>
      <t xml:space="preserve"> has been restated to adhere to the recognition provisions for Major Spare Parts held by the municipality in terms of GRAP 12.  Refer to Note 36.3 on "Change in Accounting Policy" for details of the restatement.</t>
    </r>
  </si>
  <si>
    <t>An amount of R12 086 909 (2011: R12 487 503) is attributable to Unspent Conditional Grants.</t>
  </si>
  <si>
    <t>Reclassification of amounts accounted for as "Unknown Grants Received"  - GRAP 23</t>
  </si>
  <si>
    <t>Reclassification of Amounts accounted for as "Grants Receivable"  - GRAP 23</t>
  </si>
  <si>
    <t xml:space="preserve">          Reclassification of Assets - Note 36.5</t>
  </si>
  <si>
    <t xml:space="preserve">          Recognition of Defined Benefit Liabilities - Note 36.6</t>
  </si>
  <si>
    <t>Bulk Purchases to Free Basic services</t>
  </si>
  <si>
    <t>Journal 24</t>
  </si>
  <si>
    <t>Finance Lease Liabilities are disclosed in Note 16.</t>
  </si>
  <si>
    <t>Investment in OVK Shares</t>
  </si>
  <si>
    <t>Shares in OVK</t>
  </si>
  <si>
    <t>OVK Shares</t>
  </si>
  <si>
    <t>The capital structure of the municipality consists of debt, which includes the Long-term Liabilities disclosed in Note 16, Cash and Cash Equivalents and Equity, comprising Funds, Reserves and Accumulated Surplus as disclosed in Note 19 and the Statement of Changes in Net Assets.</t>
  </si>
  <si>
    <t>Debt is defined as Long- and Short-term Liabilities, as detailed in Note 16</t>
  </si>
  <si>
    <t>No Zonal meters</t>
  </si>
  <si>
    <t>Journal 25</t>
  </si>
  <si>
    <t>Correcting salary journal from Temps to Employees</t>
  </si>
  <si>
    <t>Lekula L</t>
  </si>
  <si>
    <t>Lekhula Constructions</t>
  </si>
  <si>
    <t>Backward ET</t>
  </si>
  <si>
    <t>Matlakeng Charcoal Project</t>
  </si>
  <si>
    <t>Riddle IS</t>
  </si>
  <si>
    <t>EBRI Properties</t>
  </si>
  <si>
    <t>Tsoamotse MN</t>
  </si>
  <si>
    <t>Moedi Trading &amp; Reahlomela Construction</t>
  </si>
  <si>
    <t>Nqoko LV</t>
  </si>
  <si>
    <t>Info Com Biz Center &amp; Sabbath Business Consultancy</t>
  </si>
  <si>
    <t>Nkosi JV</t>
  </si>
  <si>
    <t>Cebisa Stationary and Supplies &amp; Sbusiso Printing and Stationary</t>
  </si>
  <si>
    <t>Panyani TC</t>
  </si>
  <si>
    <t>Uhlosi Trading, Uhlosi Guest House, PC Training and Business College &amp; Platinum Campus</t>
  </si>
  <si>
    <t>Official (CFO)</t>
  </si>
  <si>
    <t>Official (MM)</t>
  </si>
  <si>
    <t>The municipality used services renderded by the following companies, which are considered to be Related Parties:</t>
  </si>
  <si>
    <t>Uhlosi Guest House</t>
  </si>
  <si>
    <t>PC Training and Business College</t>
  </si>
  <si>
    <r>
      <rPr>
        <i/>
        <sz val="11"/>
        <rFont val="Arial"/>
        <family val="2"/>
      </rPr>
      <t>Government Grants and Subsidies</t>
    </r>
    <r>
      <rPr>
        <sz val="11"/>
        <rFont val="Arial"/>
        <family val="2"/>
      </rPr>
      <t xml:space="preserve"> have been restated to correctly classify revenue to be included in the category of Government Grants and Subsidies.  Refer to Note 36.1 on "Change in Accounting Policy" for details of the restatement.</t>
    </r>
  </si>
  <si>
    <t xml:space="preserve">Electricity sales;               </t>
  </si>
  <si>
    <t>No advances were made to employees.</t>
  </si>
  <si>
    <t>A maturity analysis for Financial Liabilities (where applicable) that shows the remaining undiscounted contractual maturities is disclosed in Notes 46.8 and 46.9 to the Annual Financial Statements.</t>
  </si>
  <si>
    <t>The municipality’s activities expose it primarily to the financial risks of changes in interest rates (see Note 46.7 below).  No formal policy exists to hedge volatilities in the interest rate market.</t>
  </si>
  <si>
    <t>Financial Assets and Liabilities that are sensitive to interest rate risk are cash and cash equivalents, investments, and loan payables.  The municipality is not exposed to interest rate risk on these financial instruments as the rates applicable are fixed interest rates.</t>
  </si>
  <si>
    <t>Consumer Debtors comprise of a large number of ratepayers, dispersed across different industries and geographical areas within the jurisdiction of the municipality. Consumer debtors are presented net of a provision for impairment.</t>
  </si>
  <si>
    <t xml:space="preserve">Trade Receivables consist of a large number of customers, spread across diverse industries in the geographical area of the municipality.  </t>
  </si>
  <si>
    <t>Other Debtors are individually evaluated annually at reporting date for impairment or discounting.  A report on the various categories of debtors is drafted to substantiate such evaluation and subsequent impairment / discounting, where applicable.</t>
  </si>
  <si>
    <t xml:space="preserve">Ultimate responsibility for liquidity risk management rests with the Council, which has built an appropriate liquidity risk management framework for the management of the municipality’s short, medium and long-term funding and liquidity management requirements.  The municipality manages liquidity risk by maintaining adequate reserves, banking facilities and reserve borrowing facilities, by continuously monitoring forecast and actual cash flows and matching the maturity profiles of financial assets and liabilities. </t>
  </si>
  <si>
    <t>- Finance lease liability</t>
  </si>
  <si>
    <t>- Centlec Capital Loans</t>
  </si>
  <si>
    <t>- DBSA</t>
  </si>
  <si>
    <t>- Creditors</t>
  </si>
  <si>
    <t>- Trade Receivables from Exchange Transactions</t>
  </si>
  <si>
    <t>- Trade Receivables from Non-exchange Transactions</t>
  </si>
  <si>
    <t>- Cash and Cash Equivalents</t>
  </si>
  <si>
    <t>- Call Deposits</t>
  </si>
  <si>
    <t>- Bank Account</t>
  </si>
  <si>
    <t>- Fixed Deposits</t>
  </si>
  <si>
    <t>- Finance Lease Receivables</t>
  </si>
  <si>
    <t>- Notice Deposits</t>
  </si>
  <si>
    <t>- OVK Shares</t>
  </si>
  <si>
    <t xml:space="preserve">     Old Mutual</t>
  </si>
  <si>
    <t>In terms of the MFMA, the municipality may not grant loans to its Councillors, Management, Staff and Public with effect from 1 July 2004.  No loans are receivable from Councillors, Management, Staff and Public.</t>
  </si>
  <si>
    <t xml:space="preserve">Compensation of Key Management Personnel and Councillors is set out in Notes 27 and 28 respectively, to the Annual Financial Statements. </t>
  </si>
  <si>
    <t>Finance Lease Liabilities relates to IT Equipment with lease terms of 3 years.  The effective interest rate on Finance Leases is between 8% and 11% (2011: 8% to 11%).  Capitalised Lease Liabilities are secured over the items of vehicles and equipment leased.</t>
  </si>
  <si>
    <t>Finance Leases relate to IT Equipment with lease terms not more than 5 years (2011: 5 years).  The effective interest rate on Finance Leases is between 8% and 11% (2011: 8% and 11%).</t>
  </si>
  <si>
    <t>Reclassification of interest on finance lease charges to Rental expenses</t>
  </si>
  <si>
    <t>Journal 26</t>
  </si>
  <si>
    <t>Property Rates are levied on the value of land and improvements, which valuation is performed every four years.  The last valuation came into effect on 1 July 2009.</t>
  </si>
  <si>
    <t>DBSA Loan Opening Balance Adjustment</t>
  </si>
  <si>
    <t>DBSA Loan Opening balance adjustment</t>
  </si>
  <si>
    <r>
      <t xml:space="preserve">Water Losses occur due to </t>
    </r>
    <r>
      <rPr>
        <i/>
        <sz val="11"/>
        <rFont val="Arial"/>
        <family val="2"/>
      </rPr>
      <t>inter alia</t>
    </r>
    <r>
      <rPr>
        <sz val="11"/>
        <rFont val="Arial"/>
        <family val="2"/>
      </rPr>
      <t>, leakages, the tampering of meters, the incorrect ratios used on bulk meters, faulty meters and illegal water connections.  The municipality is currently busy with an audit of bulk meters to find faulty meters and repair them.  The problem with tampered meters and illegal connections is an ongoing process, with regular action being taken against defaulters.  Faulty meters and leakages are replaced/repaired as soon as they are reported. The Loss on water distribution can not be calculated due to the fact that there are no zonal meters to determine the kilo-litres distributed.</t>
    </r>
  </si>
  <si>
    <t xml:space="preserve">     - Residential</t>
  </si>
  <si>
    <t xml:space="preserve">     - Business</t>
  </si>
  <si>
    <r>
      <t xml:space="preserve">Electricity Losses occur due to </t>
    </r>
    <r>
      <rPr>
        <i/>
        <sz val="11"/>
        <rFont val="Arial"/>
        <family val="2"/>
      </rPr>
      <t>inter alia</t>
    </r>
    <r>
      <rPr>
        <sz val="11"/>
        <rFont val="Arial"/>
        <family val="2"/>
      </rPr>
      <t>, the  tampering of meters, the incorrect ratios used on bulk meters, faulty meters and illegal electricity connections. The problem with tampered meters and illegal connections is an ongoing process, with regular action being taken against defaulters.  Faulty meters are replaced as soon as they are reported.</t>
    </r>
  </si>
  <si>
    <t>VAT journals</t>
  </si>
  <si>
    <t>Journal 27</t>
  </si>
  <si>
    <t>VAT RECEIVABLE / (PAYABLE)</t>
  </si>
  <si>
    <t>Vat Receivable / (Payable)</t>
  </si>
  <si>
    <t>Vat is payable on the receipts basis.  Only once payment is received from debtors, VAT is paid over to SARS.</t>
  </si>
  <si>
    <t>Journal 28</t>
  </si>
  <si>
    <t>Creditors adjustment journals (Blue Journal)</t>
  </si>
  <si>
    <t>Journal 29</t>
  </si>
  <si>
    <t>Creditors adjustment journals (Yellow Journal)</t>
  </si>
  <si>
    <t>Journal 30</t>
  </si>
  <si>
    <t>Creditors adjustment journals (Green Journal)</t>
  </si>
  <si>
    <t>Creditors adjustment journals (White Journal)</t>
  </si>
  <si>
    <t>Journal 31</t>
  </si>
  <si>
    <t xml:space="preserve">Interest - Finance lease           </t>
  </si>
  <si>
    <t>Staff leave</t>
  </si>
  <si>
    <r>
      <rPr>
        <i/>
        <sz val="11"/>
        <rFont val="Arial"/>
        <family val="2"/>
      </rPr>
      <t>Non-current Provisions</t>
    </r>
    <r>
      <rPr>
        <sz val="11"/>
        <rFont val="Arial"/>
        <family val="2"/>
      </rPr>
      <t xml:space="preserve"> have been restated to adhere to the disclosure provisions of IAS 19.  Refer to Note 35.6 on "Change in Accounting Policy" for details of the restatement.</t>
    </r>
  </si>
  <si>
    <t>Conditions still to be met - transferred to Liabilities</t>
  </si>
  <si>
    <t xml:space="preserve">Conditions still to be met - transferred to Liabilities </t>
  </si>
  <si>
    <r>
      <rPr>
        <i/>
        <sz val="11"/>
        <rFont val="Arial"/>
        <family val="2"/>
      </rPr>
      <t>Depreciation and Amortisation</t>
    </r>
    <r>
      <rPr>
        <sz val="11"/>
        <rFont val="Arial"/>
        <family val="2"/>
      </rPr>
      <t xml:space="preserve"> have been restated to correctly disclose the expense on Investment Property in terms of GRAP 16.  Refer to Note 37.2 on "Correction of Error" for details of the restatement.</t>
    </r>
  </si>
  <si>
    <r>
      <rPr>
        <i/>
        <sz val="11"/>
        <rFont val="Arial"/>
        <family val="2"/>
      </rPr>
      <t>Bulk Purchases</t>
    </r>
    <r>
      <rPr>
        <sz val="11"/>
        <rFont val="Arial"/>
        <family val="2"/>
      </rPr>
      <t xml:space="preserve"> have been restated to correctly classify expenditure incurred for Water Levy, now included in General Expenses.  Refer to Note 37.2 on "Correction of Error" for details of the restatement.</t>
    </r>
  </si>
  <si>
    <r>
      <t xml:space="preserve">Furthermore, </t>
    </r>
    <r>
      <rPr>
        <i/>
        <sz val="11"/>
        <rFont val="Arial"/>
        <family val="2"/>
      </rPr>
      <t>Bulk Purchases</t>
    </r>
    <r>
      <rPr>
        <sz val="11"/>
        <rFont val="Arial"/>
        <family val="2"/>
      </rPr>
      <t xml:space="preserve"> have been restated to adhere to the recognition provisions for Water Inventory held by the municipality in terms of GRAP 12.  Refer to Note 36.3 on "Change in Accounting Policy" for details of the restatement.</t>
    </r>
  </si>
  <si>
    <t>35.7  Reclassification of PPE, Investment Property and Intangible Assets</t>
  </si>
  <si>
    <t>35.8  Reclassification of Provision for Post-retirement Benefits, Provision for Long-term Service and</t>
  </si>
  <si>
    <t>The Financial Instruments of the municipalitity have been reclassified as disclosed in Note 35.3, Change in Accounting Policy.</t>
  </si>
  <si>
    <t>(i)     Unfair Dismissal Claim:</t>
  </si>
  <si>
    <t>Unfair Dismissal Claims has been issued against the Municipality. The claims are being handeled by N.P. Voyi Attorneys. The possible losses regarding these cases amount to R100 000.</t>
  </si>
  <si>
    <t>Journal 32</t>
  </si>
  <si>
    <t>Correction of Consbill entry between Salaries and Rebates</t>
  </si>
  <si>
    <t>Journal 33</t>
  </si>
  <si>
    <t>Correcting Equitable share entry to Cash control</t>
  </si>
  <si>
    <t>May deductions</t>
  </si>
  <si>
    <t>Director (TS)</t>
  </si>
  <si>
    <t>Director (CS)</t>
  </si>
  <si>
    <t>Write off of "VAT differences account" against prior periods</t>
  </si>
  <si>
    <t>Write off of VAT payable from prior periods</t>
  </si>
  <si>
    <t>Journal 34</t>
  </si>
  <si>
    <t>Correcting Cash Control Balance to Payroll Creditors</t>
  </si>
  <si>
    <t>Journal 35</t>
  </si>
  <si>
    <t>Correcting opening balance of investment properties</t>
  </si>
  <si>
    <t>Correction of Investment Property Value</t>
  </si>
  <si>
    <t>Recognition of Revaluation of Investment property during 2010-2011</t>
  </si>
  <si>
    <t>Reclassify Lease expenses for 2010-2011</t>
  </si>
  <si>
    <t>Reclassification of General Expenses to Inventory for 2010-2011: GRAP 12</t>
  </si>
  <si>
    <r>
      <rPr>
        <i/>
        <sz val="11"/>
        <rFont val="Arial"/>
        <family val="2"/>
      </rPr>
      <t>Property, Plant and Equipment</t>
    </r>
    <r>
      <rPr>
        <sz val="11"/>
        <rFont val="Arial"/>
        <family val="2"/>
      </rPr>
      <t xml:space="preserve"> of the municipality are now recognised in terms of GRAP 17, </t>
    </r>
    <r>
      <rPr>
        <i/>
        <sz val="11"/>
        <rFont val="Arial"/>
        <family val="2"/>
      </rPr>
      <t>Property, Plant and Equipment</t>
    </r>
    <r>
      <rPr>
        <sz val="11"/>
        <rFont val="Arial"/>
        <family val="2"/>
      </rPr>
      <t>, and implemented as at 30 June 2010.  As a result of the process of identifying, componentising and measuring assets, the values of the municipality's assets were adjusted to disclose the outcome of the physical verification.</t>
    </r>
  </si>
  <si>
    <t>Gain on Revaluation of the Assets to Income Statement</t>
  </si>
  <si>
    <t>Revaluation of assets through accumulated surplus</t>
  </si>
  <si>
    <t>Revaluation recognised for the 2010/2011 period</t>
  </si>
  <si>
    <t>Correction of opening balance through Accumulated Surplus</t>
  </si>
  <si>
    <t>The municipality holds servitudes in terms of Electricity, Sanitation and Water.  The carrying amount of the servitudes is R534 123                               (2011: R534 123).</t>
  </si>
  <si>
    <t xml:space="preserve">     Carrying Value of Servitudes: Electricity Distribution</t>
  </si>
  <si>
    <t>Refer to note 36, Correction of Error detailing the nature and amount of reporting period adjustments recognised during the period.</t>
  </si>
  <si>
    <t>Journal 36</t>
  </si>
  <si>
    <t>Correcting Creditor balance through Accumulated surplus</t>
  </si>
  <si>
    <t xml:space="preserve">Correction of Trade payable opening balance </t>
  </si>
  <si>
    <t>The balance represents Pension and Medical Aid contributions deducted from employees and councillors in the May 2012 payroll, as well as the municipality's contributions to these funds.  These amounts were paid during July 2012.</t>
  </si>
  <si>
    <t>May &amp; June Deductions</t>
  </si>
  <si>
    <t>The balance represents PAYE and UIF deducted from the May and June 2012 payroll.  These amounts were paid during July 2012.</t>
  </si>
  <si>
    <t>The municipality has developed a supply chain management policy which was only approved by Council in November 2011.</t>
  </si>
  <si>
    <t>WIP</t>
  </si>
  <si>
    <t>Housing - Cost</t>
  </si>
  <si>
    <t>Housing - AD</t>
  </si>
  <si>
    <t>Operational buildings - Cost</t>
  </si>
  <si>
    <t>Operational buildings - AD</t>
  </si>
  <si>
    <t>Community facilities - Cost</t>
  </si>
  <si>
    <t>Community facilities - AD</t>
  </si>
  <si>
    <t>Sport and Recreation facilities - Cost</t>
  </si>
  <si>
    <t>Sport and Recreation facilities - AD</t>
  </si>
  <si>
    <t>Electricity network - Cost</t>
  </si>
  <si>
    <t>Electricity network - AD</t>
  </si>
  <si>
    <t>Roads and Stormwater network - Cost</t>
  </si>
  <si>
    <t>Roads and Stormwater network - AD</t>
  </si>
  <si>
    <t>Sanitation network - Cost</t>
  </si>
  <si>
    <t>Sanitation network - AD</t>
  </si>
  <si>
    <t>Water supply network - Cost</t>
  </si>
  <si>
    <t>Water supply network - AD</t>
  </si>
  <si>
    <t>Journal 37</t>
  </si>
  <si>
    <t>2010-2011 Fixed assets adjustments</t>
  </si>
  <si>
    <t>Journal 38</t>
  </si>
  <si>
    <t>Bonus accrual for 2011-2012</t>
  </si>
  <si>
    <t>7.4  Change in Estimate - Useful Life of Property, Plant and Equipment reviewed</t>
  </si>
  <si>
    <t>7.5  Land and Buildings carried at Fair Value</t>
  </si>
  <si>
    <t>7.6  Compensation received for Losses</t>
  </si>
  <si>
    <r>
      <rPr>
        <i/>
        <sz val="11"/>
        <rFont val="Arial"/>
        <family val="2"/>
      </rPr>
      <t>Provisions</t>
    </r>
    <r>
      <rPr>
        <sz val="11"/>
        <rFont val="Arial"/>
        <family val="2"/>
      </rPr>
      <t xml:space="preserve"> have been restated to correctly classify amounts held for Staff Leave, previously included in Creditors.  Refer to Note 36.3 on "Correction of Error" for details of the restatement.</t>
    </r>
  </si>
  <si>
    <t xml:space="preserve">Correction of PPE balances </t>
  </si>
  <si>
    <t xml:space="preserve">The post was vacant during July 2011 until September 2011. The Acting Allowance that was paid for the period is included in the above costs..  </t>
  </si>
  <si>
    <t xml:space="preserve">The post was vacant during July 2011 until August 2011. The Acting Allowance that was paid for the period is included in the above costs.  </t>
  </si>
  <si>
    <t xml:space="preserve">The post was vacant from July 2011 until September 2011. The Acting Allowance that was paid for the period is included in the above costs.  </t>
  </si>
  <si>
    <t>Long term Liabilities - Landfill sites</t>
  </si>
  <si>
    <t>Landfill site provision - 2011</t>
  </si>
  <si>
    <t>Journal 39</t>
  </si>
  <si>
    <t>Recognition of interest expense on Landfill sites provision</t>
  </si>
  <si>
    <t xml:space="preserve">Provision for Landfill site rehabilitation </t>
  </si>
  <si>
    <t>Landfill site provision - 2012</t>
  </si>
  <si>
    <t>Journal 40</t>
  </si>
  <si>
    <t>Landfill sites Interest</t>
  </si>
  <si>
    <t>Recognition of depreciation for the year</t>
  </si>
  <si>
    <t>36.2  Reclassification of Revenue</t>
  </si>
  <si>
    <t>36.4  Reclassification of Revenue and Expenditure</t>
  </si>
  <si>
    <t>Reclassify Lease expenses</t>
  </si>
  <si>
    <t>2011-2012 Fixed Assets entries</t>
  </si>
  <si>
    <t>Journal 41</t>
  </si>
  <si>
    <t>Impairment on movable assets</t>
  </si>
  <si>
    <t>Journal 42</t>
  </si>
  <si>
    <t>Journal 43</t>
  </si>
  <si>
    <t>Expense of consumables</t>
  </si>
  <si>
    <t>The residual values, estimated useful lives and depreciation method were reviewed at 30 June 2012.  Adjustments to the residual values and usefull lives affect the amount of depreciation for the current year and is expected to affect future periods as well.  The adjustments are as follows:</t>
  </si>
  <si>
    <t>Restatement of cost</t>
  </si>
  <si>
    <t>Recognition of Accumulated Depreciation</t>
  </si>
  <si>
    <t>Recognition of Depreciation for 2010/11</t>
  </si>
  <si>
    <t>Adjustment - Recognition of Inventory</t>
  </si>
  <si>
    <t>The prior year figures of Creditors have been restated to correctly classify the outstanding balance as at 30 June 2012.</t>
  </si>
  <si>
    <t xml:space="preserve">     Adjustment of Grants Received through accumulated surplus</t>
  </si>
  <si>
    <t xml:space="preserve">     Adjustment of Trade Payables through accumulated surplus</t>
  </si>
  <si>
    <t>During the 2011/2012 financial year, the municipality acquired R40 000 of equipment under a finance lease.  This acquisition will be reflected in the Cash Flow Statement over the term of the finance lease via lease repayments.</t>
  </si>
  <si>
    <t>Journal 44</t>
  </si>
  <si>
    <t>Correction of Leave accrual</t>
  </si>
  <si>
    <t xml:space="preserve">Restating of the leave accrual </t>
  </si>
  <si>
    <t>The opening balances of the Leave Accrual and Accumulated Surplus have been restated to correctly disclose Employee Related Costs incurred in previous financial years.</t>
  </si>
  <si>
    <t>Leave Accrual</t>
  </si>
  <si>
    <t xml:space="preserve">Adjustment for Leave Accruals </t>
  </si>
  <si>
    <t>Journal 45</t>
  </si>
  <si>
    <t>Correction of loan amount from Centlec</t>
  </si>
  <si>
    <t>Other Loans are repaid over a period of 20  years and at an interest rate of 10% annum. Other Loans are secured over assets used to produce electricity.</t>
  </si>
  <si>
    <t>The municipality adopted the exempted portions of the following International Accounting Standards for the first time during the financial year 2011/12 in order to comply with the basis of preparation of the Annual Financial Statements as disclosed in Accounting Policy 1.  These have been implemented retrospectively as at 30 June 2012:</t>
  </si>
  <si>
    <t>Includes DWAF and Treasury</t>
  </si>
  <si>
    <t>Liability as at 1 July</t>
  </si>
  <si>
    <t>Finance cost expensed for the period</t>
  </si>
  <si>
    <t>Closing balance as 30 June</t>
  </si>
  <si>
    <t>In terms of the licencing of the landfill refuse site, the municipality will incur rehabilitation costs of R17 million to restore the site at the end of its useful life, estimated to be in 2015.  Provision has been made for the net present value of this cost, using the the average cost of borrowing interest rate.</t>
  </si>
  <si>
    <t>Liability raised for the year to Accumulated Surplus</t>
  </si>
  <si>
    <t>Correction of Intangible assets balance</t>
  </si>
  <si>
    <t>Amount included in fixed assets reclassified to Inventory</t>
  </si>
  <si>
    <t>Non-Current Assets - Held for Sale</t>
  </si>
  <si>
    <t>Journal 46</t>
  </si>
  <si>
    <t>Reclassification of PPE to Held-for-sale</t>
  </si>
  <si>
    <r>
      <rPr>
        <i/>
        <sz val="11"/>
        <rFont val="Arial"/>
        <family val="2"/>
      </rPr>
      <t>Receivables from Exchange Transactions</t>
    </r>
    <r>
      <rPr>
        <sz val="11"/>
        <rFont val="Arial"/>
        <family val="2"/>
      </rPr>
      <t xml:space="preserve"> have been restated to correctly classify amounts held for Assessment Rates Debtors, now included in Receivables from Non-exchange Transactions in terms of GRAP 104.  Refer to Note 36.2 on "Change in Accounting Policy" for details of the restatement.</t>
    </r>
  </si>
  <si>
    <t>4.1  Ageing of Receivables from Exchange Transactions</t>
  </si>
  <si>
    <t>4.2  Summary of Receivables from Exchange Transactions by Customer Classification</t>
  </si>
  <si>
    <t>4.3  Reconciliation of the Provision for Impairment</t>
  </si>
  <si>
    <t>4.4  Ageing of impaired Receivables from Exchange Transactions</t>
  </si>
  <si>
    <t>4.5  Derecognition of Financial Assets</t>
  </si>
  <si>
    <r>
      <t>Receivables from Non-exchange Transactions</t>
    </r>
    <r>
      <rPr>
        <sz val="11"/>
        <rFont val="Arial"/>
        <family val="2"/>
      </rPr>
      <t xml:space="preserve"> have been restated to correctly classify amounts held for Assessment Rates Debtors in terms of GRAP 104, previously included in Receivables from Exchange Transactions.  Refer to Note 36.2 on "Change in Accounting Policy" for details of the restatement.</t>
    </r>
  </si>
  <si>
    <t>5.1  Ageing of Receivables from Non-exchange Transactions</t>
  </si>
  <si>
    <t>5.2  Summary of Assessment Rates Debtors by Customer Classification</t>
  </si>
  <si>
    <t>5.3  Reconciliation of Provision for Impairment</t>
  </si>
  <si>
    <r>
      <t xml:space="preserve">The transactions for </t>
    </r>
    <r>
      <rPr>
        <i/>
        <sz val="11"/>
        <rFont val="Arial"/>
        <family val="2"/>
      </rPr>
      <t>Provision for Impairment</t>
    </r>
    <r>
      <rPr>
        <sz val="11"/>
        <rFont val="Arial"/>
        <family val="2"/>
      </rPr>
      <t xml:space="preserve"> have been restated to correctly classify amounts held for Assessment Rates Debtors, previously included in Receivables from Exchange Transactions, in terms of GRAP 104.  Refer to Note 36.2 on "Change in Accounting Policy" for details of the restatement.</t>
    </r>
  </si>
  <si>
    <t>7.1  Current Investment Deposits</t>
  </si>
  <si>
    <t>7.2  Bank Accounts</t>
  </si>
  <si>
    <t>7.3  Cash and Cash Equivalents</t>
  </si>
  <si>
    <r>
      <t xml:space="preserve">Furthermore, </t>
    </r>
    <r>
      <rPr>
        <i/>
        <sz val="11"/>
        <rFont val="Arial"/>
        <family val="2"/>
      </rPr>
      <t>Property, Plant and Equipment</t>
    </r>
    <r>
      <rPr>
        <sz val="11"/>
        <rFont val="Arial"/>
        <family val="2"/>
      </rPr>
      <t xml:space="preserve"> has been restated to correctly disclose the properties held in terms of GRAP 16.  Refer to Note 37.1 on "Ccorrection of Error" for details of the restatement.</t>
    </r>
  </si>
  <si>
    <t>8.1  Gross Carrying Amount of Property, Plant and Equipment that is fully depreciated</t>
  </si>
  <si>
    <t>8.2  Carrying Amount of Property, Plant and Equipment</t>
  </si>
  <si>
    <t xml:space="preserve">     Carrying Amount of PPE held for disposal/Transfer</t>
  </si>
  <si>
    <t xml:space="preserve">         held for disposal/Transfer</t>
  </si>
  <si>
    <t>The amount of R153 995 (2011: R0) disclosed for impairment losses on Property, Plant and Equipment is in respect of buildings and it's content that were damaged during riots.</t>
  </si>
  <si>
    <t>9.1  Intangible Assets with Indefinite Useful Lives</t>
  </si>
  <si>
    <t>9.2  Impairment of Intangible Assets</t>
  </si>
  <si>
    <r>
      <rPr>
        <i/>
        <sz val="11"/>
        <rFont val="Arial"/>
        <family val="2"/>
      </rPr>
      <t>Investment Property</t>
    </r>
    <r>
      <rPr>
        <sz val="11"/>
        <rFont val="Arial"/>
        <family val="2"/>
      </rPr>
      <t xml:space="preserve"> has been restated to correctly disclose the properties held as Investment Property in terms of GRAP 16.  Refer to Note 37 on "Correction od Error" for details of the restatement.</t>
    </r>
  </si>
  <si>
    <r>
      <rPr>
        <i/>
        <sz val="11"/>
        <rFont val="Arial"/>
        <family val="2"/>
      </rPr>
      <t>Inventory</t>
    </r>
    <r>
      <rPr>
        <sz val="11"/>
        <rFont val="Arial"/>
        <family val="2"/>
      </rPr>
      <t xml:space="preserve"> has been restated to adhere to the recognition provisions for Water Inventory held by the municipality in terms of GRAP 12.  Refer to Note 36.5 on "Change in Accounting Policy" for details of the restatement.</t>
    </r>
  </si>
  <si>
    <r>
      <t xml:space="preserve">The transactions for </t>
    </r>
    <r>
      <rPr>
        <i/>
        <sz val="11"/>
        <rFont val="Arial"/>
        <family val="2"/>
      </rPr>
      <t>Provision for Impairment</t>
    </r>
    <r>
      <rPr>
        <sz val="11"/>
        <rFont val="Arial"/>
        <family val="2"/>
      </rPr>
      <t xml:space="preserve"> have been restated to correctly classify amounts held for Assessment Rates Debtors, now included in Trade Receivables from Non-exchange Transactions, in terms of GRAP 104.  Refer to Note 36.2 on "Change in Accounting Policy" for details of the restatement.</t>
    </r>
  </si>
  <si>
    <t>10.1  Investment Property carried at Fair Value</t>
  </si>
  <si>
    <t>10.2  Impairment of Investment Property</t>
  </si>
  <si>
    <t>11.1  Biological Assets carried at Fair Value</t>
  </si>
  <si>
    <t>11.2 Non-financial Information</t>
  </si>
  <si>
    <t>Current Portion of Non-Current Provisions (See Note 18):</t>
  </si>
  <si>
    <t>16.1  Conditional Grants from Government</t>
  </si>
  <si>
    <t>See Note 21 for the reconciliation of Grants from Government.  The Unspent Grants are cashbacked by term deposits.  The municipality complied with the conditions attached to all grants received to the extent of revenue recognised.  No grants were withheld.</t>
  </si>
  <si>
    <t>17.1  Summary of Arrangements</t>
  </si>
  <si>
    <t>17.2  Obligations under Finance Lease Liabilities</t>
  </si>
  <si>
    <t>Other Loans (Centlec Capital Loans)</t>
  </si>
  <si>
    <t>18.1 Rehabilitation of Land-fill Sites</t>
  </si>
  <si>
    <r>
      <rPr>
        <i/>
        <sz val="11"/>
        <rFont val="Arial"/>
        <family val="2"/>
      </rPr>
      <t>Accumulated Surplus</t>
    </r>
    <r>
      <rPr>
        <sz val="11"/>
        <rFont val="Arial"/>
        <family val="2"/>
      </rPr>
      <t xml:space="preserve"> has been restated to correctly classify amounts held by the municipality as indicated below.  Refer to Note 36.1 "Change in Accounting Policy" for details of the restatements.</t>
    </r>
  </si>
  <si>
    <t xml:space="preserve">          Reclassification of Assets - Note 37.1</t>
  </si>
  <si>
    <t xml:space="preserve">          Reclassification of Creditors for Staff Leave Accrued - Note 37.2</t>
  </si>
  <si>
    <t xml:space="preserve">          Recognition of Inventory - Note 36.5</t>
  </si>
  <si>
    <t xml:space="preserve">          Reclassification of Receivables from Non-exchange Transactions for Services Rendered - Note 36.2</t>
  </si>
  <si>
    <t xml:space="preserve">          Reclassification of Unspent Conditional Grants - Note 37.2</t>
  </si>
  <si>
    <t xml:space="preserve">          Reclassification of Provision for Landfill Sites - Note 37.5</t>
  </si>
  <si>
    <r>
      <t xml:space="preserve">Furthermore, </t>
    </r>
    <r>
      <rPr>
        <i/>
        <sz val="11"/>
        <rFont val="Arial"/>
        <family val="2"/>
      </rPr>
      <t>Accumulated Surplus</t>
    </r>
    <r>
      <rPr>
        <sz val="11"/>
        <rFont val="Arial"/>
        <family val="2"/>
      </rPr>
      <t xml:space="preserve"> has been restated to correctly classify amounts held for Unspent Conditional Grants and Receipts.  Refer to Note 37.2on "Correction of Error" for details of the restatement.</t>
    </r>
  </si>
  <si>
    <t xml:space="preserve">          Restatement of Creditors Balances - Note 37</t>
  </si>
  <si>
    <t>21.1  National: Equitable Share (Unconditional)</t>
  </si>
  <si>
    <t>21.2  National: FMG Grant (Unconditional)</t>
  </si>
  <si>
    <t>21.3  National: MIG Funds (Conditional)</t>
  </si>
  <si>
    <t>21.4  National: MSIG Funds (Unconditional)</t>
  </si>
  <si>
    <t>21.5  National: Department Water Affairs and Forestry (DWAF) (Unconditional)</t>
  </si>
  <si>
    <t>21.6  National: Integrated National Electrification Programme Grant (INEPG) (Conditional)</t>
  </si>
  <si>
    <t>21.7  Provincial: Treasury (Unconditional)</t>
  </si>
  <si>
    <t>21.9 Changes in levels of Government Grants</t>
  </si>
  <si>
    <t>The amounts disclosed above for Other Revenue are in respect of services, other than described in Notes 20 to 25, rendered which are billed to or paid for by the users as the services are required according to approved tariffs.</t>
  </si>
  <si>
    <t>30.1  Impairment Losses on Fixed Assets</t>
  </si>
  <si>
    <t>30.2  Impairment Losses on Financial Assets</t>
  </si>
  <si>
    <t>30.3  Impairment of Revenue</t>
  </si>
  <si>
    <r>
      <rPr>
        <i/>
        <sz val="11"/>
        <rFont val="Arial"/>
        <family val="2"/>
      </rPr>
      <t>Contracted Services</t>
    </r>
    <r>
      <rPr>
        <sz val="11"/>
        <rFont val="Arial"/>
        <family val="2"/>
      </rPr>
      <t xml:space="preserve"> have been restated to correctly classify expenditure incurred during the previous financial year, previously accrued for in General Expenses.  Refer to Note 36.5 on "Change in Accounting Policy" for details of the restatement.</t>
    </r>
  </si>
  <si>
    <t>35.1  Material Losses</t>
  </si>
  <si>
    <r>
      <t xml:space="preserve">The amounts disclosed above for </t>
    </r>
    <r>
      <rPr>
        <b/>
        <sz val="11"/>
        <rFont val="Arial"/>
        <family val="2"/>
      </rPr>
      <t>Electricity and Water Losses</t>
    </r>
    <r>
      <rPr>
        <sz val="11"/>
        <rFont val="Arial"/>
        <family val="2"/>
      </rPr>
      <t xml:space="preserve"> are in respect of costs incurred in the general management of the municipality and not directly attributable to a specific service or class of expense.</t>
    </r>
  </si>
  <si>
    <t>36.1  Reclassification of Accumulated Surplus</t>
  </si>
  <si>
    <t>36.2  Reclassification of Trade Receivables from Exchange Transcations and  Trade to</t>
  </si>
  <si>
    <t>36.3  Reclassification of Financial Instruments</t>
  </si>
  <si>
    <t>Adjustment for Inventory - Note 36.5</t>
  </si>
  <si>
    <t>Adjustment for Revenue Rebates - Note 30</t>
  </si>
  <si>
    <t>Adjustment for Finance Lease Payments - Note 36.5</t>
  </si>
  <si>
    <t>Adjustment for Assets - Note 37.1</t>
  </si>
  <si>
    <t>Adjustment for Provision for Landfill Sites - Note 37.5</t>
  </si>
  <si>
    <t>36.5  Reclassification of Inventory,  General Expensesand Accumulated Surplus</t>
  </si>
  <si>
    <t>36.6  Reclassification of Finance Lease Liabilities, and Accumulated Surplus</t>
  </si>
  <si>
    <t>37.1  Reclassification of Property, Plant &amp; Equipment, Investment Property,</t>
  </si>
  <si>
    <t>37.2  Reclassification of Creditors, Other Debtors, Repairs &amp; Maintenance, Contracted</t>
  </si>
  <si>
    <t>37.3  Reclassification of Other Debtors, Creditors, Unspent Conditional Grants and Accumulated</t>
  </si>
  <si>
    <t>37.4  Opening Balances have been restated as follows</t>
  </si>
  <si>
    <t>37.5 Landfill sites provision</t>
  </si>
  <si>
    <t>38.1  Depreciation Expenditure:</t>
  </si>
  <si>
    <t>Long-term Liabilities (See Note 17)</t>
  </si>
  <si>
    <t>43.1  Unauthorised Expenditure</t>
  </si>
  <si>
    <t>43.2  Fruitless and Wasteful Expenditure</t>
  </si>
  <si>
    <t>43.3  Irregular Expenditure</t>
  </si>
  <si>
    <t>44.1  Contributions to organised local government - SALGA</t>
  </si>
  <si>
    <t>44.2  Audit Fees</t>
  </si>
  <si>
    <t>44.3  VAT</t>
  </si>
  <si>
    <t>44.4  PAYE, Skills Development Levy and UIF</t>
  </si>
  <si>
    <t>44.5  Pension and Medical Aid Deductions</t>
  </si>
  <si>
    <t>44.6  Councillor's arrear Consumer Accounts</t>
  </si>
  <si>
    <t>44.7  Non-Compliance with Chapter 11 of the Municipal Finance Management Act</t>
  </si>
  <si>
    <t>44.8  Deviation from, and ratification of minor breaches of, the Procurement Processes</t>
  </si>
  <si>
    <t>44.9  Bulk Electricity and Water Losses in terms of Section 125 (2)(d)(i) of the MFMA</t>
  </si>
  <si>
    <t>45.1  Capital Commitments</t>
  </si>
  <si>
    <t>45.2  Lease Commitments</t>
  </si>
  <si>
    <t>45.3  Other Commitments</t>
  </si>
  <si>
    <t>46.1  Classification</t>
  </si>
  <si>
    <t>46.2  Fair Value</t>
  </si>
  <si>
    <t>46.3  Capital Risk Management</t>
  </si>
  <si>
    <t>46.4  Financial Risk Management Objectives</t>
  </si>
  <si>
    <t>46.5  Significant Risks</t>
  </si>
  <si>
    <t>46.6  Market Risk</t>
  </si>
  <si>
    <t>46.6.1  Foreign Currency Risk Management</t>
  </si>
  <si>
    <t>46.6.2  Interest Rate Risk Management</t>
  </si>
  <si>
    <t>46.7  Credit Risk Management</t>
  </si>
  <si>
    <t>46.8  Liquidity Risk Management</t>
  </si>
  <si>
    <t>46.9  Effective Interest Rates and Repricing Analysis</t>
  </si>
  <si>
    <t>46.10  Other Price Risks</t>
  </si>
  <si>
    <t>48.1  Interest of Related Parties</t>
  </si>
  <si>
    <t>48.2  Services rendered to Related Parties</t>
  </si>
  <si>
    <t>48.3  Loans granted to Related Parties</t>
  </si>
  <si>
    <t>48.4  Compensation of Related Parties</t>
  </si>
  <si>
    <t>48.5  Purchases from Related Parties</t>
  </si>
  <si>
    <t>49.1  Guarantees:</t>
  </si>
  <si>
    <t>49.3  Insurance Claims:</t>
  </si>
  <si>
    <t>50.1  Insurance Claims:</t>
  </si>
  <si>
    <t>50.2  Court Proceedings:</t>
  </si>
  <si>
    <t>50.3  Faulty Goods Claim:</t>
  </si>
  <si>
    <t>53.1  Electricity Function:</t>
  </si>
  <si>
    <t>53.2  Primary Health Care Function:</t>
  </si>
  <si>
    <t>53.3  Flood Damages:</t>
  </si>
  <si>
    <t>Depreciation &amp; Impairment</t>
  </si>
  <si>
    <t>Loss on Disposal</t>
  </si>
  <si>
    <t>Cash receipts from Ratepayers, Government and Other</t>
  </si>
  <si>
    <t>Cash paid to suppliers and Employees</t>
  </si>
  <si>
    <t>Prior Period Adjustments:</t>
  </si>
  <si>
    <t xml:space="preserve">     Fair value adjustments on Property, Plant and Equipment</t>
  </si>
  <si>
    <t xml:space="preserve">     Other Movements on Property, Plant and Equipment</t>
  </si>
  <si>
    <t xml:space="preserve">     Other Movements on Intangible Assets</t>
  </si>
  <si>
    <t xml:space="preserve">     Other Movements on Investment Properties</t>
  </si>
  <si>
    <t xml:space="preserve">     Other Movements on Biological Assets</t>
  </si>
  <si>
    <t xml:space="preserve">     Investment Income</t>
  </si>
  <si>
    <t xml:space="preserve">     Finance costs</t>
  </si>
  <si>
    <t>Decrease/(Increase) in Other Debtors</t>
  </si>
  <si>
    <t>Decrease/(Increase) in Consumer Debtors</t>
  </si>
  <si>
    <t>Decrease/(Increase) in Sundry Debtors</t>
  </si>
  <si>
    <t xml:space="preserve">     Impairment losses on Property, Plant and Equipment</t>
  </si>
  <si>
    <t xml:space="preserve">     Loss on Disposal of Buildings</t>
  </si>
  <si>
    <t>Rebate included under impairments for actual results</t>
  </si>
  <si>
    <t>More fines received</t>
  </si>
  <si>
    <t>Mistake in water billing during the year</t>
  </si>
  <si>
    <t>VAT received</t>
  </si>
  <si>
    <t>Debtors impairment increase</t>
  </si>
  <si>
    <t>Landfill site provisions</t>
  </si>
  <si>
    <t>General expenses - Centlec</t>
  </si>
  <si>
    <t>Service costs</t>
  </si>
  <si>
    <t>Centlec General Expenses</t>
  </si>
  <si>
    <t>Electricity (Centlec)</t>
  </si>
  <si>
    <t>Finance costs incurred by Centlec</t>
  </si>
  <si>
    <t>Centlec Service Expenses</t>
  </si>
  <si>
    <t>Centlec Sundry Income</t>
  </si>
  <si>
    <t>Journal 47</t>
  </si>
  <si>
    <t>Centlec I/S consolidation</t>
  </si>
  <si>
    <t>Centlec Service Costs</t>
  </si>
  <si>
    <t>Centlec RM</t>
  </si>
  <si>
    <t>Centlec Interest Expense</t>
  </si>
  <si>
    <t>Centlec Other Inc</t>
  </si>
  <si>
    <t>Electricity Sales</t>
  </si>
  <si>
    <t>CENTLEC</t>
  </si>
  <si>
    <t>Journal 48</t>
  </si>
  <si>
    <t>Centlec PY adjustments</t>
  </si>
  <si>
    <t>Centlec consolidated results for 2010-2011</t>
  </si>
  <si>
    <t>Receivable as at 1 July</t>
  </si>
  <si>
    <t>Adjustment to Accumulated Surplus</t>
  </si>
  <si>
    <t>37.6 VAT</t>
  </si>
  <si>
    <t>VAT payable for the year</t>
  </si>
  <si>
    <t>VAT receivable for the year</t>
  </si>
  <si>
    <t xml:space="preserve">    Centlec Operations</t>
  </si>
  <si>
    <t>The debt-to-equity ratio, is reflected at 3,16%, increasing to3,76%.  This low ratio is as a result of the Municipality not entering in a large number of Loans and making full use of Government Grants received.</t>
  </si>
  <si>
    <t>2011/2012 Actual</t>
  </si>
  <si>
    <t>Budget &amp; Treasury</t>
  </si>
  <si>
    <t>Property Service</t>
  </si>
  <si>
    <t>Other Administration</t>
  </si>
  <si>
    <t>Planning &amp; Development</t>
  </si>
  <si>
    <t>Other Community services</t>
  </si>
  <si>
    <t>Police &amp; Traffic</t>
  </si>
  <si>
    <t>Water Waste Management</t>
  </si>
  <si>
    <t>2010/2011ACTUAL</t>
  </si>
  <si>
    <t>Other Human Resources</t>
  </si>
  <si>
    <t>Other Admin</t>
  </si>
  <si>
    <t>Other Community</t>
  </si>
  <si>
    <t>Waste Water Management</t>
  </si>
  <si>
    <t>Property Services</t>
  </si>
  <si>
    <t>Clinics</t>
  </si>
  <si>
    <t>Water Storage</t>
  </si>
  <si>
    <t>Electricity Distribution</t>
  </si>
  <si>
    <t>Child Care</t>
  </si>
  <si>
    <t>Capital Expenditures</t>
  </si>
  <si>
    <t>1001/5455/0000</t>
  </si>
  <si>
    <t>Compensation Commissioner;</t>
  </si>
  <si>
    <t>Prov Gov - Man Remuneration;</t>
  </si>
  <si>
    <t>Salaries;Property Finance</t>
  </si>
  <si>
    <t>Annual Bonus;Property Financ</t>
  </si>
  <si>
    <t>Housing Subsidy ;Chief Finan</t>
  </si>
  <si>
    <t>Housing Subsidy ;Property Fi</t>
  </si>
  <si>
    <t>Overtime;Property Finance</t>
  </si>
  <si>
    <t>Allowance - Other;Finance</t>
  </si>
  <si>
    <t>Allowance - Vehicle;Property</t>
  </si>
  <si>
    <t>Industrial Council Levy;Prop</t>
  </si>
  <si>
    <t>Skills Development Levy;Prop</t>
  </si>
  <si>
    <t>Compensation Commissioner;Ch</t>
  </si>
  <si>
    <t>Compensation Commissioner;Fi</t>
  </si>
  <si>
    <t>Medical Aid Fund;Property Fi</t>
  </si>
  <si>
    <t>Pension Fund ;Property Finan</t>
  </si>
  <si>
    <t>UIF;Property Finance</t>
  </si>
  <si>
    <t>Project - FMG;Finance</t>
  </si>
  <si>
    <t>Subsistence &amp; Traveling;Prop</t>
  </si>
  <si>
    <t>Telephone Charges;Property F</t>
  </si>
  <si>
    <t>Contr - CDF;Chief Financial</t>
  </si>
  <si>
    <t>Administration Fees;Finance</t>
  </si>
  <si>
    <t>Insurance - External;Council</t>
  </si>
  <si>
    <t>Annual Bonus;Internal Audito</t>
  </si>
  <si>
    <t>Housing Subsidy ;Manager Adm</t>
  </si>
  <si>
    <t>Housing Subsidy ;Manager Tec</t>
  </si>
  <si>
    <t>Compensation Commissioner;Ma</t>
  </si>
  <si>
    <t>Compensation Commissioner;In</t>
  </si>
  <si>
    <t>Compensation Commissioner;Ad</t>
  </si>
  <si>
    <t>Medical Aid Fund;Manager Tec</t>
  </si>
  <si>
    <t>Medical - PJS Vorster;Admini</t>
  </si>
  <si>
    <t>Postage;Internal Auditor</t>
  </si>
  <si>
    <t>Membership Fees;Internal Aud</t>
  </si>
  <si>
    <t>MSIG - Expenses;Administrati</t>
  </si>
  <si>
    <t>Project - Youth Development;</t>
  </si>
  <si>
    <t>Lost Library Books;</t>
  </si>
  <si>
    <t>Operating License;</t>
  </si>
  <si>
    <t>Housing Subsidy ;Manager Com</t>
  </si>
  <si>
    <t>Compensation Commissioner;Co</t>
  </si>
  <si>
    <t>Printing &amp; Stationary;Commun</t>
  </si>
  <si>
    <t>Postage;Community Services</t>
  </si>
  <si>
    <t>Housing Subsidy ;Sport Groun</t>
  </si>
  <si>
    <t>Allowance - Other;Sport Grou</t>
  </si>
  <si>
    <t>Compensation Commissioner;Pa</t>
  </si>
  <si>
    <t>Compensation Commissioner;Sp</t>
  </si>
  <si>
    <t>Insurance - External;Parks</t>
  </si>
  <si>
    <t>Fuel &amp; Oil - Vehicles;Parks</t>
  </si>
  <si>
    <t>Consumables;Parks</t>
  </si>
  <si>
    <t>Electricity Purchases;Parks</t>
  </si>
  <si>
    <t>R/M - Buildings;Parks</t>
  </si>
  <si>
    <t>R/M - Tools &amp; Equipment;Spor</t>
  </si>
  <si>
    <t>Sundry Income;Parks</t>
  </si>
  <si>
    <t>Insurance - External;</t>
  </si>
  <si>
    <t>R/M - Dumping Site;</t>
  </si>
  <si>
    <t>Rent - Equipment;</t>
  </si>
  <si>
    <t>Redemption - External Loans;</t>
  </si>
  <si>
    <t>Commision Vendors;</t>
  </si>
  <si>
    <t>R/M - Street Lights;</t>
  </si>
  <si>
    <t>During the year the municipality rendered services to related parties that are related to the municipality in the form of Rates, Sevices and Sundry charges which is in the normal flow of business.</t>
  </si>
  <si>
    <t xml:space="preserve">The amounts outstanding are unsecured and will be settled in cash.  Consumer Deposits were received from Councillors, the Municipal Manager and Section 57 Personnel. </t>
  </si>
  <si>
    <t>The services rendered to Related Parties are charged at approved tariffs that were advertised to the public.</t>
  </si>
  <si>
    <t>Operational buildings Total</t>
  </si>
  <si>
    <t>Community facilities</t>
  </si>
  <si>
    <t>Sanitation network</t>
  </si>
  <si>
    <t>Supply network</t>
  </si>
  <si>
    <t>Office furniture</t>
  </si>
  <si>
    <t>Emergency / rescue equipment</t>
  </si>
  <si>
    <t>Fire fighting equipment / fire hoses</t>
  </si>
  <si>
    <t>Tables &amp; desks</t>
  </si>
  <si>
    <t>Chairs and couches</t>
  </si>
  <si>
    <t>Cabinets &amp; cupboards</t>
  </si>
  <si>
    <t>Other furniture and fittings</t>
  </si>
  <si>
    <t>Shelving and bookcases</t>
  </si>
  <si>
    <t>Headboards</t>
  </si>
  <si>
    <t>Trailers and accessories</t>
  </si>
  <si>
    <t>Trucks, buses and ldv's</t>
  </si>
  <si>
    <t>Passenger vehicles</t>
  </si>
  <si>
    <t>Domestic equipment</t>
  </si>
  <si>
    <t>Computer hardware</t>
  </si>
  <si>
    <t>Office machines</t>
  </si>
  <si>
    <t>Office equipment - other</t>
  </si>
  <si>
    <t>Audiovisual equipment</t>
  </si>
  <si>
    <t>Air conditioners</t>
  </si>
  <si>
    <t>Musical instruments</t>
  </si>
  <si>
    <t>Lawnmowers / gardening equipment</t>
  </si>
  <si>
    <t>Plant and equipment - other</t>
  </si>
  <si>
    <t>Workshop equipment and tools</t>
  </si>
  <si>
    <t>Radio equipment</t>
  </si>
  <si>
    <t>Lab equipment</t>
  </si>
  <si>
    <t xml:space="preserve">                      -</t>
  </si>
  <si>
    <t>Gain on Fair value adjustment</t>
  </si>
  <si>
    <t xml:space="preserve">More fines issued than anticipated </t>
  </si>
  <si>
    <t>More rental of facilities than expected</t>
  </si>
  <si>
    <t>Fair value gains not budgeted for</t>
  </si>
  <si>
    <t>VAT payments were received that were not budgeted for</t>
  </si>
  <si>
    <t>Depreciation not budgeted for</t>
  </si>
  <si>
    <t>Change in accounting policy regarding Debt Impairment</t>
  </si>
  <si>
    <t>Less repairs &amp; Maintenance required than budgeted for</t>
  </si>
  <si>
    <t>Interest charge on Landfill sites provision not budgeted for</t>
  </si>
  <si>
    <t>Centlec Purchases not budgeted for</t>
  </si>
  <si>
    <t>Water services billed incorrectly &amp; Electricity sales not budgeted for.</t>
  </si>
  <si>
    <t>Increase in electricity costs provided to indigents</t>
  </si>
  <si>
    <t>Centlec General expenses not budgeted for</t>
  </si>
  <si>
    <t>Loss of building due to vandalism not expected</t>
  </si>
  <si>
    <t>Gestetner &amp; Sharp</t>
  </si>
  <si>
    <t>Prime</t>
  </si>
  <si>
    <t>Centlec Capital Loan</t>
  </si>
  <si>
    <t>40021201 to 40027483</t>
  </si>
  <si>
    <t>Ledger Vote</t>
  </si>
  <si>
    <t xml:space="preserve">Compensation Commissioner;  </t>
  </si>
  <si>
    <t>Project -  Ward Committee Es</t>
  </si>
  <si>
    <t xml:space="preserve">Special Programs Unit;      </t>
  </si>
  <si>
    <t xml:space="preserve">Ward Committees;            </t>
  </si>
  <si>
    <t xml:space="preserve">Membership Fees;            </t>
  </si>
  <si>
    <t xml:space="preserve">Entertainment;              </t>
  </si>
  <si>
    <t xml:space="preserve">Training;                   </t>
  </si>
  <si>
    <t xml:space="preserve">Election Costs;             </t>
  </si>
  <si>
    <t xml:space="preserve">Insurance - External;       </t>
  </si>
  <si>
    <t xml:space="preserve">Publications;               </t>
  </si>
  <si>
    <t xml:space="preserve">Salaries;Finance            </t>
  </si>
  <si>
    <t xml:space="preserve">Salaries;Property Finance   </t>
  </si>
  <si>
    <t xml:space="preserve">Annual Bonus;Finance        </t>
  </si>
  <si>
    <t xml:space="preserve">Allowance - Telephone;Chief </t>
  </si>
  <si>
    <t>Allowance - Telephone;Proper</t>
  </si>
  <si>
    <t xml:space="preserve">Housing Subsidy ;Finance    </t>
  </si>
  <si>
    <t xml:space="preserve">Overtime;Finance            </t>
  </si>
  <si>
    <t xml:space="preserve">Overtime;Property Finance   </t>
  </si>
  <si>
    <t>Allowance - Other;Chief Fina</t>
  </si>
  <si>
    <t xml:space="preserve">Allowance - Other;Finance   </t>
  </si>
  <si>
    <t>Allowance - Other;Property F</t>
  </si>
  <si>
    <t xml:space="preserve">Allowance - Vehicle;Finance </t>
  </si>
  <si>
    <t>Compensation Commissioner;Pr</t>
  </si>
  <si>
    <t xml:space="preserve">Medical Aid Fund;Finance    </t>
  </si>
  <si>
    <t xml:space="preserve">Pension Fund ;Finance       </t>
  </si>
  <si>
    <t xml:space="preserve">UIF;Chief Financial Officer </t>
  </si>
  <si>
    <t xml:space="preserve">UIF;Finance                 </t>
  </si>
  <si>
    <t xml:space="preserve">UIF;Property Finance        </t>
  </si>
  <si>
    <t xml:space="preserve">Bad Debts;Property Finance  </t>
  </si>
  <si>
    <t>Depreciation;Property Financ</t>
  </si>
  <si>
    <t xml:space="preserve">Rental-Other;Finance        </t>
  </si>
  <si>
    <t>Equitable Share-Indigent Sha</t>
  </si>
  <si>
    <t>Equitable share - Council;Fi</t>
  </si>
  <si>
    <t>Equitable share - Water;Fina</t>
  </si>
  <si>
    <t>Equitable share - Fire Fight</t>
  </si>
  <si>
    <t>Equitable share - Refuse Rem</t>
  </si>
  <si>
    <t>Equitable share - Sewerage;F</t>
  </si>
  <si>
    <t>Rental Payments;Property Fin</t>
  </si>
  <si>
    <t xml:space="preserve">Project - FMG;Finance       </t>
  </si>
  <si>
    <t xml:space="preserve">Printing &amp; Stationary;Chief </t>
  </si>
  <si>
    <t>Printing &amp; Stationary;Proper</t>
  </si>
  <si>
    <t xml:space="preserve">Security Services;Finance   </t>
  </si>
  <si>
    <t xml:space="preserve">Postage;Finance             </t>
  </si>
  <si>
    <t xml:space="preserve">Postage;Property Finance    </t>
  </si>
  <si>
    <t xml:space="preserve">Health Services;Finance     </t>
  </si>
  <si>
    <t xml:space="preserve">Legal Costs;Finance         </t>
  </si>
  <si>
    <t xml:space="preserve">Membership Fees;Finance     </t>
  </si>
  <si>
    <t xml:space="preserve">Training;Finance            </t>
  </si>
  <si>
    <t xml:space="preserve">Training;Property Finance   </t>
  </si>
  <si>
    <t xml:space="preserve">Computer Costs;Finance      </t>
  </si>
  <si>
    <t xml:space="preserve">Telephone Charges;Finance   </t>
  </si>
  <si>
    <t xml:space="preserve">Consumables;Finance         </t>
  </si>
  <si>
    <t>R/M - Tools &amp; Equipment;Prop</t>
  </si>
  <si>
    <t>R/M - Vehicles &amp; Equipment;F</t>
  </si>
  <si>
    <t xml:space="preserve">Contr - Bad Debts;Finance   </t>
  </si>
  <si>
    <t>Contr - Leave Reserve;Proper</t>
  </si>
  <si>
    <t xml:space="preserve">Contr - CDF;Chief Financial </t>
  </si>
  <si>
    <t>Discount - Rates Overchaged;</t>
  </si>
  <si>
    <t xml:space="preserve">Vodacom Rental;Finance      </t>
  </si>
  <si>
    <t>Interest - Investments;Finan</t>
  </si>
  <si>
    <t xml:space="preserve">NT Grant - MFMA;Finance     </t>
  </si>
  <si>
    <t xml:space="preserve">Discount Received;Finance   </t>
  </si>
  <si>
    <t xml:space="preserve">Photostats;Finance          </t>
  </si>
  <si>
    <t xml:space="preserve">Administration Fees;Finance </t>
  </si>
  <si>
    <t xml:space="preserve">Commission Received;Finance </t>
  </si>
  <si>
    <t xml:space="preserve">Vat Received;Finance        </t>
  </si>
  <si>
    <t xml:space="preserve">Work Study;                 </t>
  </si>
  <si>
    <t xml:space="preserve">Advertisements;             </t>
  </si>
  <si>
    <t xml:space="preserve">Salaries;Camps              </t>
  </si>
  <si>
    <t>Industrial Council Levy;Camp</t>
  </si>
  <si>
    <t xml:space="preserve">Medical Aid Fund;Camps      </t>
  </si>
  <si>
    <t xml:space="preserve">Pension Fund ;Camps         </t>
  </si>
  <si>
    <t xml:space="preserve">UIF;Camps                   </t>
  </si>
  <si>
    <t>Subsistence &amp; Traveling;Camp</t>
  </si>
  <si>
    <t>R/M - Tools &amp; Equipment;Coun</t>
  </si>
  <si>
    <t>R/M - Fencing;Council Proper</t>
  </si>
  <si>
    <t>R/M - Sport Fields;Council P</t>
  </si>
  <si>
    <t>R/M - Stormwater;Council Pro</t>
  </si>
  <si>
    <t>R/M - Roads &amp; Streets;Counci</t>
  </si>
  <si>
    <t>R/M - Vehicles &amp; Equipment;C</t>
  </si>
  <si>
    <t>R/M - Water Reticulation;Cou</t>
  </si>
  <si>
    <t>R/M - Dumping Site;Council P</t>
  </si>
  <si>
    <t>R/M - Traffic &amp; Road Signs;C</t>
  </si>
  <si>
    <t>R/M - General ;Council Prope</t>
  </si>
  <si>
    <t xml:space="preserve">R/M - Street Lights;Council </t>
  </si>
  <si>
    <t>R/M - Plant &amp; Equipment;Coun</t>
  </si>
  <si>
    <t>R/M - Network;Council Proper</t>
  </si>
  <si>
    <t>R/M - Meters;Council Propert</t>
  </si>
  <si>
    <t>R/M - Grounds/Gardens;Counci</t>
  </si>
  <si>
    <t xml:space="preserve">Rent - Camps;Camps          </t>
  </si>
  <si>
    <t xml:space="preserve">Salaries;Internal Auditor   </t>
  </si>
  <si>
    <t xml:space="preserve">Salaries;Administration     </t>
  </si>
  <si>
    <t>Performance Bonus;Manager Ad</t>
  </si>
  <si>
    <t>Performance Bonus;Manager Te</t>
  </si>
  <si>
    <t xml:space="preserve">Annual Bonus;Administration </t>
  </si>
  <si>
    <t xml:space="preserve">Overtime;Administration     </t>
  </si>
  <si>
    <t>Allowance - Other;Manager Ad</t>
  </si>
  <si>
    <t>Allowance - Other;Manager Te</t>
  </si>
  <si>
    <t>Allowance - Other;Administra</t>
  </si>
  <si>
    <t xml:space="preserve">Allowance - Vehicle;Manager </t>
  </si>
  <si>
    <t xml:space="preserve">UIF;Manager Administration  </t>
  </si>
  <si>
    <t xml:space="preserve">UIF;Internal Auditor        </t>
  </si>
  <si>
    <t xml:space="preserve">UIF;Administration          </t>
  </si>
  <si>
    <t>MIG Repayment;Manager Techni</t>
  </si>
  <si>
    <t>DWAF Repayment;Manager Techn</t>
  </si>
  <si>
    <t>Project - Performance Man;Ad</t>
  </si>
  <si>
    <t>Printing &amp; Stationary;Intern</t>
  </si>
  <si>
    <t>Publications;Manager Adminis</t>
  </si>
  <si>
    <t>Publications;Manager Technic</t>
  </si>
  <si>
    <t>Publications;Internal Audito</t>
  </si>
  <si>
    <t xml:space="preserve">Postage;Internal Auditor    </t>
  </si>
  <si>
    <t xml:space="preserve">Postage;Administration      </t>
  </si>
  <si>
    <t>Entertainment;Manager Techni</t>
  </si>
  <si>
    <t xml:space="preserve">Training;Internal Auditor   </t>
  </si>
  <si>
    <t>Computer Costs;Administratio</t>
  </si>
  <si>
    <t>Fuel &amp; Oil - Vehicles;Admini</t>
  </si>
  <si>
    <t>Consumables;Internal Auditor</t>
  </si>
  <si>
    <t xml:space="preserve">Consumables;Administration  </t>
  </si>
  <si>
    <t>R/M - Buildings;Administrati</t>
  </si>
  <si>
    <t>NT Grant - MIG;Manager Techn</t>
  </si>
  <si>
    <t>Prov Gov - DWAF;Manager Tech</t>
  </si>
  <si>
    <t>Sundry Income;Administration</t>
  </si>
  <si>
    <t xml:space="preserve">Legal Fees;Administration   </t>
  </si>
  <si>
    <t xml:space="preserve">Project - FMG;              </t>
  </si>
  <si>
    <t xml:space="preserve">Project - Rural Agriculture </t>
  </si>
  <si>
    <t xml:space="preserve">Project - LED Strategy;     </t>
  </si>
  <si>
    <t xml:space="preserve">Project - LED Youth;        </t>
  </si>
  <si>
    <t xml:space="preserve">Material &amp; Stores;          </t>
  </si>
  <si>
    <t xml:space="preserve">Tourism;                    </t>
  </si>
  <si>
    <t xml:space="preserve">Prov Gov - Spatial Plan;    </t>
  </si>
  <si>
    <t xml:space="preserve">Security Services;          </t>
  </si>
  <si>
    <t xml:space="preserve">Lost Library Books;         </t>
  </si>
  <si>
    <t xml:space="preserve">Fines Library;              </t>
  </si>
  <si>
    <t xml:space="preserve">Fees - Lost Library Books ; </t>
  </si>
  <si>
    <t xml:space="preserve">Interest External Loans;    </t>
  </si>
  <si>
    <t xml:space="preserve">Operating License;          </t>
  </si>
  <si>
    <t xml:space="preserve">CCA - Town Hall &amp; Ward Off; </t>
  </si>
  <si>
    <t xml:space="preserve">CCA - Community Halls;      </t>
  </si>
  <si>
    <t xml:space="preserve">Temporary Workers;          </t>
  </si>
  <si>
    <t xml:space="preserve">Salaries;Community Services </t>
  </si>
  <si>
    <t xml:space="preserve">Salaries;Cattle Farming     </t>
  </si>
  <si>
    <t>Annual Bonus;Manager Comm Se</t>
  </si>
  <si>
    <t xml:space="preserve">Annual Bonus;Cattle Farming </t>
  </si>
  <si>
    <t>Allowance - Telephone;Cattle</t>
  </si>
  <si>
    <t xml:space="preserve">Overtime;Cattle Farming     </t>
  </si>
  <si>
    <t>Allowance - Other;Manager Co</t>
  </si>
  <si>
    <t xml:space="preserve">Allowance - Other;Community </t>
  </si>
  <si>
    <t>Allowance - Other;Cattle Far</t>
  </si>
  <si>
    <t>Industrial Council Levy;Catt</t>
  </si>
  <si>
    <t>Medical Aid Fund;Cattle Farm</t>
  </si>
  <si>
    <t>Pension Fund ;Cattle Farming</t>
  </si>
  <si>
    <t xml:space="preserve">UIF;Manager Comm Services   </t>
  </si>
  <si>
    <t xml:space="preserve">UIF;Community Services      </t>
  </si>
  <si>
    <t xml:space="preserve">UIF;Cattle Farming          </t>
  </si>
  <si>
    <t>Publications;Manager Comm Se</t>
  </si>
  <si>
    <t xml:space="preserve">Postage;Community Services  </t>
  </si>
  <si>
    <t xml:space="preserve">Training;Community Services </t>
  </si>
  <si>
    <t xml:space="preserve">Telephone Charges;Community </t>
  </si>
  <si>
    <t>R/M - Caravan Park;Community</t>
  </si>
  <si>
    <t xml:space="preserve">Legal Costs;                </t>
  </si>
  <si>
    <t xml:space="preserve">Sundry Income;              </t>
  </si>
  <si>
    <t xml:space="preserve">Rent - Equipment;           </t>
  </si>
  <si>
    <t xml:space="preserve">Cattle Feed;                </t>
  </si>
  <si>
    <t xml:space="preserve">Sales - Pound (Auctions);   </t>
  </si>
  <si>
    <t xml:space="preserve">Salaries;Parks              </t>
  </si>
  <si>
    <t xml:space="preserve">Salaries;Sport Ground       </t>
  </si>
  <si>
    <t xml:space="preserve">Annual Bonus;Parks          </t>
  </si>
  <si>
    <t xml:space="preserve">Annual Bonus;Sport Ground   </t>
  </si>
  <si>
    <t xml:space="preserve">Allowance - Telephone;Parks </t>
  </si>
  <si>
    <t xml:space="preserve">Housing Subsidy ;Parks      </t>
  </si>
  <si>
    <t xml:space="preserve">Overtime;Parks              </t>
  </si>
  <si>
    <t xml:space="preserve">Overtime;Sport Ground       </t>
  </si>
  <si>
    <t xml:space="preserve">Allowance - Other;Parks     </t>
  </si>
  <si>
    <t xml:space="preserve">Temporary Workers;Parks     </t>
  </si>
  <si>
    <t xml:space="preserve">Medical Aid Fund;Parks      </t>
  </si>
  <si>
    <t xml:space="preserve">Pension Fund ;Parks         </t>
  </si>
  <si>
    <t xml:space="preserve">Pension Fund ;Sport Ground  </t>
  </si>
  <si>
    <t xml:space="preserve">UIF;Parks                   </t>
  </si>
  <si>
    <t xml:space="preserve">UIF;Sport Ground            </t>
  </si>
  <si>
    <t xml:space="preserve">Advertisements;Parks        </t>
  </si>
  <si>
    <t xml:space="preserve">Printing &amp; Stationary;Parks </t>
  </si>
  <si>
    <t xml:space="preserve">Security Services;Parks     </t>
  </si>
  <si>
    <t xml:space="preserve">Training;Parks              </t>
  </si>
  <si>
    <t xml:space="preserve">Insurance - External;Parks  </t>
  </si>
  <si>
    <t xml:space="preserve">Fuel &amp; Oil - Vehicles;Parks </t>
  </si>
  <si>
    <t xml:space="preserve">Consumables;Parks           </t>
  </si>
  <si>
    <t xml:space="preserve">Electricity Purchases;Parks </t>
  </si>
  <si>
    <t>CCA - Infrastructure;Sport G</t>
  </si>
  <si>
    <t xml:space="preserve">R/M - Buildings;Parks       </t>
  </si>
  <si>
    <t xml:space="preserve">R/M - Fencing;Parks         </t>
  </si>
  <si>
    <t xml:space="preserve">R/M - General ;Parks        </t>
  </si>
  <si>
    <t xml:space="preserve">Contr - Leave Reserve;Parks </t>
  </si>
  <si>
    <t xml:space="preserve">Contr - Leave Reserve;Sport </t>
  </si>
  <si>
    <t>Rent - Sport Fields;Sport Gr</t>
  </si>
  <si>
    <t xml:space="preserve">Rent - Caravan Park;Parks   </t>
  </si>
  <si>
    <t xml:space="preserve">Sundry Income;Parks         </t>
  </si>
  <si>
    <t xml:space="preserve">Subsidy - Dept of Health;   </t>
  </si>
  <si>
    <t xml:space="preserve">Depreciation;               </t>
  </si>
  <si>
    <t xml:space="preserve">CCA - Infrastructure;       </t>
  </si>
  <si>
    <t xml:space="preserve">MIG - Expenses;             </t>
  </si>
  <si>
    <t xml:space="preserve">R/M - Sewerage;             </t>
  </si>
  <si>
    <t xml:space="preserve">Contr - Bad Debts;          </t>
  </si>
  <si>
    <t xml:space="preserve">Tools &amp; Accessories;        </t>
  </si>
  <si>
    <t xml:space="preserve">R/M - Dumping Site;         </t>
  </si>
  <si>
    <t xml:space="preserve">Finance Lease;              </t>
  </si>
  <si>
    <t xml:space="preserve">Free Basic Services;        </t>
  </si>
  <si>
    <t xml:space="preserve">R/M - Stormwater;           </t>
  </si>
  <si>
    <t>Transfer - Gov Grant Reserve</t>
  </si>
  <si>
    <t xml:space="preserve">Drum Sales;                 </t>
  </si>
  <si>
    <t xml:space="preserve">Interest - HP;              </t>
  </si>
  <si>
    <t xml:space="preserve">Commision Vendors;          </t>
  </si>
  <si>
    <t xml:space="preserve">R/M - Street Lights;        </t>
  </si>
  <si>
    <t xml:space="preserve">R/M - Meters;               </t>
  </si>
  <si>
    <t xml:space="preserve">Electricity Sales;          </t>
  </si>
  <si>
    <t xml:space="preserve">Electricity Sales Pre-paid; </t>
  </si>
  <si>
    <t xml:space="preserve">Re-Connection Fees;         </t>
  </si>
  <si>
    <t xml:space="preserve">C/Deposist Electricity;     </t>
  </si>
  <si>
    <t>Consumer Deposits - Centlec;</t>
  </si>
  <si>
    <t>Provision for rehabilitation</t>
  </si>
  <si>
    <t xml:space="preserve">Charcoal Project;           </t>
  </si>
  <si>
    <t xml:space="preserve">Creditors - DM;             </t>
  </si>
  <si>
    <t xml:space="preserve">Creditors - SARS;           </t>
  </si>
  <si>
    <t xml:space="preserve">Creditors - UIF;            </t>
  </si>
  <si>
    <t xml:space="preserve">Creditors - WCC;            </t>
  </si>
  <si>
    <t xml:space="preserve">Sundry Creditors;           </t>
  </si>
  <si>
    <t xml:space="preserve">UIF Creditors;              </t>
  </si>
  <si>
    <t xml:space="preserve"> VAT Differences;           </t>
  </si>
  <si>
    <t>6071/N505/AUGU</t>
  </si>
  <si>
    <t>Cash Control Acc (Daily);Aug</t>
  </si>
  <si>
    <t>Admin Offices(Rietpoort);Dep</t>
  </si>
  <si>
    <t xml:space="preserve">Admin Offices;Depreciation  </t>
  </si>
  <si>
    <t xml:space="preserve">Brewery Tavern;Depreciation </t>
  </si>
  <si>
    <t xml:space="preserve">Camps &amp; Pound;Depreciation  </t>
  </si>
  <si>
    <t>Civil Buildings;Depreciation</t>
  </si>
  <si>
    <t xml:space="preserve">Commonage;Depreciation      </t>
  </si>
  <si>
    <t xml:space="preserve">Community Hall;Depreciation </t>
  </si>
  <si>
    <t xml:space="preserve">Disaster Management;        </t>
  </si>
  <si>
    <t>Disaster Management;Deprecia</t>
  </si>
  <si>
    <t xml:space="preserve">Electricity;Depreciation    </t>
  </si>
  <si>
    <t xml:space="preserve">Fire Brigade;Depreciation   </t>
  </si>
  <si>
    <t xml:space="preserve">Land Survey;Depreciation    </t>
  </si>
  <si>
    <t xml:space="preserve">Library;                    </t>
  </si>
  <si>
    <t xml:space="preserve">Library;Depreciation        </t>
  </si>
  <si>
    <t xml:space="preserve">Museum;Depreciation         </t>
  </si>
  <si>
    <t>Personnel Housing;Depreciati</t>
  </si>
  <si>
    <t xml:space="preserve">Properties;Depreciation     </t>
  </si>
  <si>
    <t xml:space="preserve">Public Health;Depreciation  </t>
  </si>
  <si>
    <t>Public Works(Mofulatshepe);D</t>
  </si>
  <si>
    <t xml:space="preserve">Public Works;Depreciation   </t>
  </si>
  <si>
    <t xml:space="preserve">Refuse Removal;Depreciation </t>
  </si>
  <si>
    <t xml:space="preserve">Rietpoort;Depreciation      </t>
  </si>
  <si>
    <t>Roleleathunya Housing;Deprec</t>
  </si>
  <si>
    <t>Rouxville Housing;Depreciati</t>
  </si>
  <si>
    <t xml:space="preserve">Sewerage;Depreciation       </t>
  </si>
  <si>
    <t>Sports Facilities;Depreciati</t>
  </si>
  <si>
    <t>Sub-economical Housing;Depre</t>
  </si>
  <si>
    <t>Sundry Assets(Mofulatshepe);</t>
  </si>
  <si>
    <t xml:space="preserve">Tavern;                     </t>
  </si>
  <si>
    <t xml:space="preserve">Tavern;Depreciation         </t>
  </si>
  <si>
    <t xml:space="preserve">Town Hall &amp; Offices;        </t>
  </si>
  <si>
    <t>Town Hall &amp; Offices;Deprecia</t>
  </si>
  <si>
    <t xml:space="preserve">Traffic;                    </t>
  </si>
  <si>
    <t xml:space="preserve">Traffic;Depreciation        </t>
  </si>
  <si>
    <t xml:space="preserve">Uitkoms Housing;            </t>
  </si>
  <si>
    <t>Uitkoms Housing;Depreciation</t>
  </si>
  <si>
    <t xml:space="preserve">Unsold Erven;               </t>
  </si>
  <si>
    <t xml:space="preserve">Unsold Erven;Depreciation   </t>
  </si>
  <si>
    <t xml:space="preserve">Vacant Houses;              </t>
  </si>
  <si>
    <t xml:space="preserve">Vacant Houses;Depreciation  </t>
  </si>
  <si>
    <t xml:space="preserve">Vehicles &amp; Equipment;       </t>
  </si>
  <si>
    <t>Vehicles &amp; Equipment;Depreci</t>
  </si>
  <si>
    <t xml:space="preserve">Water;Depreciation          </t>
  </si>
  <si>
    <t>Land held for unspecified us</t>
  </si>
  <si>
    <t xml:space="preserve">Buildings leased out;       </t>
  </si>
  <si>
    <t xml:space="preserve">Non-current Assets held for </t>
  </si>
  <si>
    <t xml:space="preserve">Land held to be sold;       </t>
  </si>
  <si>
    <t xml:space="preserve">Bad Debt - VAT;             </t>
  </si>
  <si>
    <t xml:space="preserve">Elec Deposit - Escom;       </t>
  </si>
  <si>
    <t xml:space="preserve">Fuel Deposit - Excel;       </t>
  </si>
  <si>
    <t xml:space="preserve">Interns - Xariep DM;        </t>
  </si>
  <si>
    <t xml:space="preserve">PAYE Owing - Personnel;     </t>
  </si>
  <si>
    <t xml:space="preserve">Prov Hosp Refund;           </t>
  </si>
  <si>
    <t xml:space="preserve">Salary Debtors;             </t>
  </si>
  <si>
    <t xml:space="preserve">UIF Debtors;                </t>
  </si>
  <si>
    <t>Journal 49</t>
  </si>
  <si>
    <t>Long service award accrual</t>
  </si>
  <si>
    <t>Long Service Bonus Accrual</t>
  </si>
  <si>
    <t>Procurement</t>
  </si>
  <si>
    <t>Year 2011/2012</t>
  </si>
  <si>
    <t>The following deviations from the tender stipulations in terms of the municipality's Supply Chain Management Policy were ratified by the Municipal Manager and will be reported to Council:</t>
  </si>
  <si>
    <t>Only two quotes were obtained</t>
  </si>
  <si>
    <t>2 Occasions during the year amounting to R33 313.60</t>
  </si>
  <si>
    <t>2 Occasions</t>
  </si>
  <si>
    <t>14 July 2011</t>
  </si>
  <si>
    <t>Marwin Marketing</t>
  </si>
  <si>
    <t>Tender was awarded to the highest bidder.</t>
  </si>
  <si>
    <t>1 Iccasion during the year amounting to R107 781.3</t>
  </si>
  <si>
    <t>30 Occasions</t>
  </si>
  <si>
    <t>No quotation obtained</t>
  </si>
  <si>
    <t>30 Occasions during the year amounting to R336 049.56</t>
  </si>
  <si>
    <t>32 Occasions</t>
  </si>
  <si>
    <t>Only one quote obtained</t>
  </si>
  <si>
    <t>32 Occasions during the year amounting to R308 886.42</t>
  </si>
  <si>
    <t>Certain councillors belong to the Pension Fund for Municipal Councillors.</t>
  </si>
  <si>
    <t>The total expense recognised in the Statement of Financial Performance of R3,8 million (2011: R4,1 million) represents contributions payable to these plans by the municipality at rates specified in the rules of the plans.  These contributions have been expensed.</t>
  </si>
  <si>
    <t>Cape Joint Pension Fund:</t>
  </si>
  <si>
    <t>The scheme is subject to an annual actuarial valuation.  The last statutory valuation was performed as at 30 June 2011.</t>
  </si>
  <si>
    <t>The statutory valuation performed as at 30 June 2011 revealed that the investment reserve of the fund amounted to R67,977 (30 June 2010: R190,464) million, with a funding level of 98,1% (30 June 2010: 100,0%).  The contribution rate paid by the members (9,00%) and the municipalities (18,00%) is sufficient to fund the benefits accruing from the fund in the future.</t>
  </si>
  <si>
    <t>Cape Joint Retirement Fund:</t>
  </si>
  <si>
    <t>The scheme is subject to an annual actuarial valuation.  The last statutory valuation was performed as at 30 June 2010.</t>
  </si>
  <si>
    <t>The statutory valuation performed as at 30 June 2010 revealed that the assets of the fund amounted to R7 740,205 (30 June 2009: R6 419,440) million, with funding levels of 99,9% and 100,3% (30 June 2009: 100,8% and 131,9%) for the Share Account and the Pensions Account respectively.  The contribution rate paid by the members (9,00%) and the municipalities (18,00%) is sufficient to fund the benefits accruing from the fund in the future.</t>
  </si>
  <si>
    <t>The statutory valuation performed as at 30 June 2010 revealed that the assets of the fund amounted to R1 483, 786 381 (30 June 2009: R1 341, 935 205) million. The contribution rate paid by the members (13,75%) and the municipalities (15,00%) is sufficient to fund the benefits accruing from the fund in the future.</t>
  </si>
  <si>
    <t>SALA Pension Fund:</t>
  </si>
  <si>
    <t>The statutory valuation performed as at 30 June 2010 revealed that the assets of the fund amounted to R7 110,3 (30 June 2009: R6 303,7) million, with funding levels of 96,0% (30 June 2009: 96,0%). The contribution rate paid by the members (8,6%) and Council (20,78%) is sufficient to fund the benefits accruing from the fund in the future.</t>
  </si>
  <si>
    <t>SAMWU Pension Fund:</t>
  </si>
  <si>
    <t>No details could be provided for the fund and of any valuation performed.</t>
  </si>
  <si>
    <t>The contribution rate paid by the members (7,50%) and Council (18,00%) is sufficient to fund the benefits accruing from the fund in the future.</t>
  </si>
  <si>
    <t>(i)     On 30 May 2012 the Council adopted the 2012/13 to 2015/16 Budget.  This four-year Medium Term Revenue and Expenditure Framework (MTREF) to support the ongoing delivery of municipal services to residents reflected that the Budget was cash-backed over the three-year period.</t>
  </si>
  <si>
    <t>(iv)     As the municipality has the power to levy fees, tariffs and charges, this will result in an ongoing inflow of revenue to support the ongoing delivery of municipal services.  Certain key financial ratios, such as liquidity, cost coverage, debtors’ collection rates and creditors’ payment terms are closely monitored and the necessary corrective actions instituted.</t>
  </si>
  <si>
    <t xml:space="preserve">(iii)     Strict daily cash management processes are embedded in the municipality’s operations to manage and monitor all actual cash inflows and cash outflows in terms of the cash-flow forecast supporting the Budget.  The cash management processes is complemented by monthly reporting, highlighting the actual cash position, including the associated risks and remedial actions to be instituted. The bank overdraft position of the Municipality at year end is due to the cashbook reconciliation being in overdraft while the actual bank account has a positive balance. </t>
  </si>
  <si>
    <t>ii)     Dispute with SARS.</t>
  </si>
  <si>
    <t>A dispute with SARS existed at the finacncial year end. This relates to tax payable for the 2006 and 2007 financial year ends.</t>
  </si>
  <si>
    <t>Adjustment for SALA Creditor not recorded</t>
  </si>
  <si>
    <t>Adjustment relating to Centlec capital loan amounts</t>
  </si>
  <si>
    <t>Inventories - Consumables</t>
  </si>
  <si>
    <t>Inventories - Erven held for transfer</t>
  </si>
  <si>
    <t>INVENTORIES - CONSUMABLES</t>
  </si>
  <si>
    <t>INVENTORIES - ERVEN HELD FOR TRANSFER</t>
  </si>
  <si>
    <t>Erven held for transfer</t>
  </si>
  <si>
    <t>8.3 Assets pledged as security</t>
  </si>
  <si>
    <t>8.4 Impairment of Property, Plant and Equipment</t>
  </si>
  <si>
    <t>21.7COGTA Grant (Unconditional)</t>
  </si>
  <si>
    <t>Correction of erven held for transfer to Inventory</t>
  </si>
  <si>
    <t>Decrease/(Increase) in Inventories - Erven held for transfer</t>
  </si>
  <si>
    <t>Decrease/(Increase) in Inventories - Consumables</t>
  </si>
  <si>
    <t>Borrowings</t>
  </si>
  <si>
    <t>Centlec adjustment - New TB (Prior period adjustments)</t>
  </si>
  <si>
    <t>Centlec adjustment - New TB (CY Movements)</t>
  </si>
  <si>
    <t>Interest received Centlec</t>
  </si>
  <si>
    <t>Centlec Interest received</t>
  </si>
  <si>
    <t>Centlec Payable</t>
  </si>
  <si>
    <t>Tyres purchased included in Grants paid - Correctional journal</t>
  </si>
  <si>
    <t>Opening balance adjustment - Investment Property Adjustment (Com 6 nr 6)</t>
  </si>
  <si>
    <t>Current year movement adjustment - Investment Property Adjustment (Com 6 nr 6)</t>
  </si>
  <si>
    <t>Cost price adjustment (PY) - Investment Property Adjustment (Com 6 nr 6)</t>
  </si>
  <si>
    <t>Cost price adjustment (transfer) - Investment Property Adjustment (Com 6 nr 6)</t>
  </si>
  <si>
    <t>Consbill Correction - Consbill Errors (Com 3 nr 1)</t>
  </si>
  <si>
    <t>Payroll creditors opening balance adjustment - Grant Correction (Exception outstanding)</t>
  </si>
  <si>
    <t>Creditors and Grants Adjustments (Exception outstanding)</t>
  </si>
  <si>
    <t>Centlec Creditors Opening balance adjustment (Exception outstanding)</t>
  </si>
  <si>
    <t>Adjustment of current year Centlec loans through Grant received vote (Exception outstanding)</t>
  </si>
  <si>
    <t>Adjusting journal (opening balance) to move held for sale to inventories (Com 6 nr 6)</t>
  </si>
  <si>
    <t>Adjusting CY movement for assets to Inventory - Land held for transfer (Com 6 nr 6)</t>
  </si>
  <si>
    <t>VAT on movables additions (Com 9 nr 9)</t>
  </si>
  <si>
    <t>WIP additions in wrong period - PY adjustment (Com 9 nr 7)</t>
  </si>
  <si>
    <t>WIP additions in wrong period - CY adjustment (Com 9 nr 7)</t>
  </si>
  <si>
    <t>Water levies problem</t>
  </si>
  <si>
    <t>Total INVENTORIES - ERVEN HELD FOR TRANSFER</t>
  </si>
  <si>
    <t>Net INVENTORIES - ERVEN HELD FOR TRANSFER</t>
  </si>
  <si>
    <t>3.1  Erven Held-for-Transfer</t>
  </si>
  <si>
    <t>Cash control corrections - PY</t>
  </si>
  <si>
    <t>Cash control corrections CY</t>
  </si>
  <si>
    <t>Assessment Rates Rebates</t>
  </si>
  <si>
    <t>VAT opening balance adjustments</t>
  </si>
  <si>
    <t>VAT payment received</t>
  </si>
  <si>
    <t>Correction of Error (Note 36)</t>
  </si>
  <si>
    <t>Change in Accounting Policy (Note 36)</t>
  </si>
  <si>
    <t>Asset additions accounted for in the incorrect period</t>
  </si>
  <si>
    <t xml:space="preserve">     Asset additions recorded in incorrect period</t>
  </si>
  <si>
    <t>Traffic fines incorrectly posted - Should be contingent liability</t>
  </si>
  <si>
    <t>(iii)     Keoratile traffic solutions</t>
  </si>
  <si>
    <t>Dispute between Mohokare Municipality and Keoratile traffic solutions.</t>
  </si>
  <si>
    <t>Judgement taken against client for professional services rendered</t>
  </si>
  <si>
    <t>Legal services against the Municipality for services rendered</t>
  </si>
  <si>
    <t>Sikhula Mo Trading CC</t>
  </si>
  <si>
    <t>Ms Buyeye</t>
  </si>
  <si>
    <t>Ke Ya Hola Trading</t>
  </si>
  <si>
    <t>Mr Ntseno</t>
  </si>
  <si>
    <t>Consumer deposits</t>
  </si>
  <si>
    <t>Consumable Inventory Expensed during the financial period</t>
  </si>
  <si>
    <t>Journal 19 A</t>
  </si>
  <si>
    <t>Prior period adjustment</t>
  </si>
  <si>
    <t>Creditors from prior period</t>
  </si>
  <si>
    <t>Assets delivered after year end.</t>
  </si>
  <si>
    <t>Bulk Purchases of electricity exceeding budget(R2 453 960)</t>
  </si>
  <si>
    <t>Laeseof vehicle resulting in fruitless &amp; Wastefull expenses(R158 769)</t>
  </si>
  <si>
    <t>Employee travel claim not economical (R3 187)</t>
  </si>
  <si>
    <t>Salaries paid above minimum salary scales(R95 061)</t>
  </si>
  <si>
    <t>Interest on late payment - Loan account (R13 153)</t>
  </si>
  <si>
    <t>Bulk purchases, Interest paid (R6 759)</t>
  </si>
  <si>
    <t>Lease agreement entered into for more tha three years                   ( R700 514)</t>
  </si>
  <si>
    <t>Contract has been cancelled after three years ending 30 June 2012 and will be reviewed by Management</t>
  </si>
  <si>
    <t>Prepayment of assets purchased (R404 000)</t>
  </si>
  <si>
    <t>Deviation from tender process (Various) (R12 416 471)</t>
  </si>
  <si>
    <t>Deviation from quotation process (R8 440 429)</t>
  </si>
  <si>
    <t>Contract Management (R35 680)</t>
  </si>
  <si>
    <t>Budget is based on actual payments, additions are based on date of delivery</t>
  </si>
  <si>
    <t>(iii)     Professional services rendered</t>
  </si>
  <si>
    <t>(iv)     Legal Services</t>
  </si>
  <si>
    <t>VAT adjustment for prior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</si>
</sst>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_(* \(#,##0\);_(* &quot;-&quot;_);_(@_)"/>
    <numFmt numFmtId="43" formatCode="_(* #,##0.00_);_(* \(#,##0.00\);_(* &quot;-&quot;??_);_(@_)"/>
    <numFmt numFmtId="164" formatCode="&quot;R&quot;\ #,##0;&quot;R&quot;\ \-#,##0"/>
    <numFmt numFmtId="165" formatCode="&quot;R&quot;\ #,##0.00;[Red]&quot;R&quot;\ \-#,##0.00"/>
    <numFmt numFmtId="166" formatCode="_ * #,##0_ ;_ * \-#,##0_ ;_ * &quot;-&quot;_ ;_ @_ "/>
    <numFmt numFmtId="167" formatCode="_ * #,##0.00_ ;_ * \-#,##0.00_ ;_ * &quot;-&quot;??_ ;_ @_ "/>
    <numFmt numFmtId="168" formatCode="_ * #,##0_ ;_ * \-#,##0_ ;_ * &quot;-&quot;??_ ;_ @_ "/>
    <numFmt numFmtId="169" formatCode="&quot;  &quot;\ #,##0.00_);\(&quot;  &quot;\ #,##0.00\)"/>
    <numFmt numFmtId="170" formatCode="&quot;  &quot;\ #&quot; &quot;##0_);\(&quot;  &quot;\ #&quot; &quot;##0\)"/>
    <numFmt numFmtId="171" formatCode="#,###,###.00;\-#,###,###.00"/>
    <numFmt numFmtId="172" formatCode="&quot;R&quot;\ #,##0"/>
    <numFmt numFmtId="173" formatCode="#,##0.00_ ;\-#,##0.00\ "/>
    <numFmt numFmtId="174" formatCode="_(* #,##0_);_(* \(#,##0\);_(* &quot;0&quot;_);_(@_)"/>
    <numFmt numFmtId="175" formatCode="#,##0.00;\(#,##0.00\)"/>
    <numFmt numFmtId="176" formatCode="_(* #,##0.00_);_(* \(#,##0.00\);_(* &quot;-&quot;_);_(@_)"/>
    <numFmt numFmtId="177" formatCode="_(* #,##0.00_);_(* \(#,##0.00\);_(* &quot;0.00-&quot;_);_(@_)"/>
    <numFmt numFmtId="178" formatCode="_ * #,##0.00_ ;_ * \-#,##0.00_ ;_ * &quot;0.00&quot;_ ;_ @_ "/>
    <numFmt numFmtId="179" formatCode="_ * #,##0_ ;_ * \(#,##0\);_ * &quot;-&quot;?_ ;_ @_ "/>
    <numFmt numFmtId="180" formatCode="#,##0.0000"/>
    <numFmt numFmtId="181" formatCode="&quot;R&quot;\ #,##0.00"/>
    <numFmt numFmtId="182" formatCode="_(* #,##0.00_);_(* \(#,##0.00\);_(* &quot;0.00&quot;_);_(@_)"/>
    <numFmt numFmtId="183" formatCode="_ [$R-1C09]\ * #,##0_ ;_ [$R-1C09]\ * \-#,##0_ ;_ [$R-1C09]\ * &quot;-&quot;??_ ;_ @_ "/>
    <numFmt numFmtId="184" formatCode="_(* #,##0_);_(* \(#,##0\);_(* &quot;-&quot;??_);_(@\)"/>
    <numFmt numFmtId="185" formatCode="[$-409]d\-mmm\-yy;@"/>
    <numFmt numFmtId="186" formatCode="_ [$R-1C09]\ * #,##0.00_ ;_ [$R-1C09]\ * \-#,##0.00_ ;_ [$R-1C09]\ * &quot;-&quot;??_ ;_ @_ "/>
    <numFmt numFmtId="187" formatCode="#,##0;\-#,##0;&quot;-&quot;"/>
    <numFmt numFmtId="188" formatCode="#,##0.00;\-#,##0.00;&quot;-&quot;"/>
    <numFmt numFmtId="189" formatCode="#,##0%;\-#,##0%;&quot;- &quot;"/>
    <numFmt numFmtId="190" formatCode="#,##0.0%;\-#,##0.0%;&quot;- &quot;"/>
    <numFmt numFmtId="191" formatCode="#,##0.00%;\-#,##0.00%;&quot;- &quot;"/>
    <numFmt numFmtId="192" formatCode="#,##0.0;\-#,##0.0;&quot;-&quot;"/>
    <numFmt numFmtId="193" formatCode="\$#,##0\ ;\(\$#,##0\)"/>
    <numFmt numFmtId="194" formatCode="_ [$€]\ * #,##0.00_ ;_ [$€]\ * \-#,##0.00_ ;_ [$€]\ * &quot;-&quot;??_ ;_ @_ "/>
    <numFmt numFmtId="195" formatCode="_([$€-2]* #,##0.00_);_([$€-2]* \(#,##0.00\);_([$€-2]* &quot;-&quot;??_)"/>
    <numFmt numFmtId="196" formatCode="0%;\(0%\)"/>
    <numFmt numFmtId="197" formatCode="\ \ @"/>
    <numFmt numFmtId="198" formatCode="\ \ \ \ @"/>
    <numFmt numFmtId="199" formatCode="[$-1C09]dd\ mmmm\ yyyy;@"/>
    <numFmt numFmtId="200" formatCode="_(&quot;R&quot;* #,##0_);_(&quot;R&quot;* \(#,##0\);_(* &quot;-&quot;??_)"/>
    <numFmt numFmtId="201" formatCode="_(* #,##0_);_(* \(#,##0\);_(&quot;-&quot;??_)"/>
    <numFmt numFmtId="202" formatCode="_(* #,###,_);_(* \(#,###,,\);_(&quot;-&quot;??_)"/>
    <numFmt numFmtId="203" formatCode="_([$€-2]\ * #,##0.00_);_([$€-2]\ * \(#,##0.00\);_([$€-2]\ * &quot;-&quot;??_)"/>
    <numFmt numFmtId="204" formatCode="_(&quot;R&quot;* #,##0.00_);_(&quot;R&quot;* \(#,##0.00\);_(&quot;R&quot;* &quot;-&quot;??_);_(@_)"/>
    <numFmt numFmtId="205" formatCode="0_ ;\-0\ "/>
    <numFmt numFmtId="206" formatCode="_(* #,##0_);_(* \(#,##0\);_(* &quot;-&quot;??_);_(@_)"/>
    <numFmt numFmtId="207" formatCode="_(* #,##0.000_);_(* \(#,##0.000\);_(* &quot;-&quot;??_);_(@_)"/>
    <numFmt numFmtId="208" formatCode="0.00000"/>
    <numFmt numFmtId="209" formatCode="_ * #,##0.000_ ;_ * \-#,##0.000_ ;_ * &quot;-&quot;??_ ;_ @_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Helv"/>
    </font>
    <font>
      <b/>
      <sz val="14"/>
      <name val="Helv"/>
    </font>
    <font>
      <sz val="18"/>
      <color indexed="13"/>
      <name val="Helv"/>
    </font>
    <font>
      <sz val="9"/>
      <name val="Helv"/>
    </font>
    <font>
      <sz val="12"/>
      <name val="Helv"/>
    </font>
    <font>
      <sz val="10"/>
      <name val="Helv"/>
    </font>
    <font>
      <sz val="16"/>
      <name val="Arial"/>
      <family val="2"/>
    </font>
    <font>
      <sz val="12"/>
      <name val="Arial"/>
      <family val="2"/>
    </font>
    <font>
      <sz val="8"/>
      <name val="Arial"/>
      <family val="2"/>
    </font>
    <font>
      <sz val="10"/>
      <name val="Arial"/>
      <family val="2"/>
    </font>
    <font>
      <b/>
      <sz val="12"/>
      <name val="Arial"/>
      <family val="2"/>
    </font>
    <font>
      <b/>
      <sz val="18"/>
      <name val="Arial"/>
      <family val="2"/>
    </font>
    <font>
      <b/>
      <sz val="14"/>
      <name val="Arial"/>
      <family val="2"/>
    </font>
    <font>
      <sz val="14"/>
      <name val="Arial"/>
      <family val="2"/>
    </font>
    <font>
      <b/>
      <sz val="16"/>
      <name val="Arial"/>
      <family val="2"/>
    </font>
    <font>
      <sz val="11"/>
      <name val="Arial"/>
      <family val="2"/>
    </font>
    <font>
      <b/>
      <sz val="11"/>
      <name val="Arial"/>
      <family val="2"/>
    </font>
    <font>
      <b/>
      <u/>
      <sz val="11"/>
      <name val="Arial"/>
      <family val="2"/>
    </font>
    <font>
      <i/>
      <sz val="11"/>
      <name val="Arial"/>
      <family val="2"/>
    </font>
    <font>
      <sz val="11"/>
      <name val="Times New Roman"/>
      <family val="1"/>
    </font>
    <font>
      <sz val="11"/>
      <color indexed="9"/>
      <name val="Arial"/>
      <family val="2"/>
    </font>
    <font>
      <b/>
      <i/>
      <sz val="11"/>
      <name val="Arial"/>
      <family val="2"/>
    </font>
    <font>
      <u/>
      <sz val="11"/>
      <name val="Arial"/>
      <family val="2"/>
    </font>
    <font>
      <b/>
      <sz val="10"/>
      <name val="Arial"/>
      <family val="2"/>
    </font>
    <font>
      <sz val="11"/>
      <color indexed="8"/>
      <name val="Arial"/>
      <family val="2"/>
    </font>
    <font>
      <b/>
      <sz val="11"/>
      <color indexed="8"/>
      <name val="ARIAL"/>
      <family val="2"/>
    </font>
    <font>
      <b/>
      <i/>
      <u/>
      <sz val="11"/>
      <name val="Arial"/>
      <family val="2"/>
    </font>
    <font>
      <i/>
      <sz val="10"/>
      <name val="Arial"/>
      <family val="2"/>
    </font>
    <font>
      <sz val="11"/>
      <color indexed="10"/>
      <name val="Arial"/>
      <family val="2"/>
    </font>
    <font>
      <b/>
      <i/>
      <sz val="10"/>
      <name val="Arial"/>
      <family val="2"/>
    </font>
    <font>
      <b/>
      <u/>
      <sz val="10"/>
      <name val="Arial"/>
      <family val="2"/>
    </font>
    <font>
      <sz val="15"/>
      <name val="Arial"/>
      <family val="2"/>
    </font>
    <font>
      <b/>
      <sz val="10"/>
      <name val="Arial Cyr"/>
      <family val="2"/>
      <charset val="204"/>
    </font>
    <font>
      <sz val="10"/>
      <name val="Arial Cyr"/>
      <charset val="204"/>
    </font>
    <font>
      <sz val="10"/>
      <color indexed="17"/>
      <name val="Arial Cyr"/>
      <family val="2"/>
      <charset val="204"/>
    </font>
    <font>
      <i/>
      <u/>
      <sz val="11"/>
      <name val="Arial"/>
      <family val="2"/>
    </font>
    <font>
      <sz val="11"/>
      <name val="Tahoma"/>
      <family val="2"/>
    </font>
    <font>
      <sz val="10"/>
      <color indexed="8"/>
      <name val="Arial Cyr"/>
      <family val="2"/>
      <charset val="204"/>
    </font>
    <font>
      <sz val="11"/>
      <name val="Calibri"/>
      <family val="2"/>
    </font>
    <font>
      <sz val="10.5"/>
      <name val="Arial"/>
      <family val="2"/>
    </font>
    <font>
      <b/>
      <sz val="10"/>
      <name val="Arial Narrow"/>
      <family val="2"/>
    </font>
    <font>
      <sz val="10"/>
      <name val="Arial Narrow"/>
      <family val="2"/>
    </font>
    <font>
      <sz val="10"/>
      <color indexed="8"/>
      <name val="Arial Narrow"/>
      <family val="2"/>
    </font>
    <font>
      <b/>
      <u/>
      <sz val="10"/>
      <name val="Arial Narrow"/>
      <family val="2"/>
    </font>
    <font>
      <u/>
      <sz val="10"/>
      <name val="Arial Narrow"/>
      <family val="2"/>
    </font>
    <font>
      <sz val="11"/>
      <color theme="0"/>
      <name val="Arial"/>
      <family val="2"/>
    </font>
    <font>
      <b/>
      <sz val="11"/>
      <color theme="0"/>
      <name val="Arial"/>
      <family val="2"/>
    </font>
    <font>
      <b/>
      <u/>
      <sz val="11"/>
      <color theme="0"/>
      <name val="Arial"/>
      <family val="2"/>
    </font>
    <font>
      <sz val="10"/>
      <color theme="0"/>
      <name val="Arial"/>
      <family val="2"/>
    </font>
    <font>
      <b/>
      <sz val="10"/>
      <color rgb="FFFF0000"/>
      <name val="Arial"/>
      <family val="2"/>
    </font>
    <font>
      <b/>
      <sz val="10"/>
      <color rgb="FFFF0000"/>
      <name val="Arial Narrow"/>
      <family val="2"/>
    </font>
    <font>
      <sz val="10"/>
      <color rgb="FFFF0000"/>
      <name val="Arial Narrow"/>
      <family val="2"/>
    </font>
    <font>
      <b/>
      <sz val="11"/>
      <color rgb="FFFF0000"/>
      <name val="Arial"/>
      <family val="2"/>
    </font>
    <font>
      <sz val="11"/>
      <color theme="0"/>
      <name val="Calibri"/>
      <family val="2"/>
      <scheme val="minor"/>
    </font>
    <font>
      <sz val="10"/>
      <color rgb="FF000000"/>
      <name val="Arial"/>
      <family val="2"/>
    </font>
    <font>
      <b/>
      <sz val="12"/>
      <color theme="1"/>
      <name val="Calibri"/>
      <family val="2"/>
      <scheme val="minor"/>
    </font>
    <font>
      <sz val="12"/>
      <color theme="1"/>
      <name val="Calibri"/>
      <family val="2"/>
      <scheme val="minor"/>
    </font>
    <font>
      <sz val="12"/>
      <color theme="0"/>
      <name val="Calibri"/>
      <family val="2"/>
      <scheme val="minor"/>
    </font>
    <font>
      <sz val="12"/>
      <name val="Calibri"/>
      <family val="2"/>
      <scheme val="minor"/>
    </font>
    <font>
      <sz val="10"/>
      <color indexed="8"/>
      <name val="Arial"/>
      <family val="2"/>
    </font>
    <font>
      <sz val="11"/>
      <color indexed="8"/>
      <name val="Calibri"/>
      <family val="2"/>
    </font>
    <font>
      <sz val="10"/>
      <name val="Verdana"/>
      <family val="2"/>
    </font>
    <font>
      <sz val="10"/>
      <color indexed="12"/>
      <name val="Arial"/>
      <family val="2"/>
    </font>
    <font>
      <u/>
      <sz val="10"/>
      <color indexed="12"/>
      <name val="Arial"/>
      <family val="2"/>
    </font>
    <font>
      <u/>
      <sz val="11"/>
      <color theme="10"/>
      <name val="Calibri"/>
      <family val="2"/>
    </font>
    <font>
      <sz val="10"/>
      <color indexed="14"/>
      <name val="Arial"/>
      <family val="2"/>
    </font>
    <font>
      <sz val="10"/>
      <color indexed="72"/>
      <name val="MS Sans Serif"/>
      <family val="2"/>
    </font>
    <font>
      <sz val="10"/>
      <color indexed="10"/>
      <name val="Arial"/>
      <family val="2"/>
    </font>
    <font>
      <sz val="10"/>
      <name val="Courier"/>
      <family val="3"/>
    </font>
    <font>
      <sz val="12"/>
      <color theme="0"/>
      <name val="Arial"/>
      <family val="2"/>
    </font>
    <font>
      <sz val="11"/>
      <color rgb="FFA1A1A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sz val="16"/>
      <color theme="0" tint="-0.34998626667073579"/>
      <name val="Arial"/>
      <family val="2"/>
    </font>
    <font>
      <sz val="14"/>
      <color theme="0" tint="-0.34998626667073579"/>
      <name val="Arial"/>
      <family val="2"/>
    </font>
    <font>
      <sz val="11"/>
      <color theme="0" tint="-0.34998626667073579"/>
      <name val="Arial"/>
      <family val="2"/>
    </font>
    <font>
      <u/>
      <sz val="10"/>
      <color theme="10"/>
      <name val="Arial"/>
      <family val="2"/>
    </font>
    <font>
      <sz val="10"/>
      <color rgb="FFFF0000"/>
      <name val="Arial"/>
      <family val="2"/>
    </font>
    <font>
      <sz val="11"/>
      <color rgb="FFFF0000"/>
      <name val="Arial"/>
      <family val="2"/>
    </font>
    <font>
      <b/>
      <sz val="9"/>
      <name val="Arial"/>
      <family val="2"/>
    </font>
    <font>
      <sz val="9"/>
      <name val="Arial"/>
      <family val="2"/>
    </font>
    <font>
      <sz val="10"/>
      <color theme="0" tint="-4.9989318521683403E-2"/>
      <name val="Arial"/>
      <family val="2"/>
    </font>
    <font>
      <sz val="10"/>
      <color theme="1"/>
      <name val="Calibri"/>
      <family val="2"/>
      <scheme val="minor"/>
    </font>
    <font>
      <b/>
      <sz val="11"/>
      <color indexed="8"/>
      <name val="Calibri"/>
      <family val="2"/>
      <scheme val="minor"/>
    </font>
    <font>
      <sz val="10"/>
      <color theme="1"/>
      <name val="Arial"/>
      <family val="2"/>
    </font>
    <font>
      <sz val="10"/>
      <name val="Calibri"/>
      <family val="2"/>
      <scheme val="minor"/>
    </font>
    <font>
      <b/>
      <u val="singleAccounting"/>
      <sz val="11"/>
      <name val="Arial"/>
      <family val="2"/>
    </font>
    <font>
      <sz val="8"/>
      <color theme="1"/>
      <name val="Calibri"/>
      <family val="2"/>
      <scheme val="minor"/>
    </font>
    <font>
      <b/>
      <sz val="8"/>
      <color theme="1"/>
      <name val="Calibri"/>
      <family val="2"/>
      <scheme val="minor"/>
    </font>
    <font>
      <sz val="8"/>
      <color theme="1"/>
      <name val="Arial"/>
      <family val="2"/>
    </font>
    <font>
      <b/>
      <sz val="11"/>
      <color theme="1"/>
      <name val="Arial"/>
      <family val="2"/>
    </font>
    <font>
      <sz val="11"/>
      <color theme="1"/>
      <name val="Arial"/>
      <family val="2"/>
    </font>
    <font>
      <b/>
      <sz val="8"/>
      <color theme="1"/>
      <name val="Arial"/>
      <family val="2"/>
    </font>
    <font>
      <sz val="11"/>
      <color theme="1"/>
      <name val="Times New Roman"/>
      <family val="1"/>
    </font>
    <font>
      <b/>
      <sz val="8"/>
      <name val="Arial"/>
      <family val="2"/>
    </font>
    <font>
      <i/>
      <sz val="8"/>
      <name val="Arial"/>
      <family val="2"/>
    </font>
    <font>
      <b/>
      <i/>
      <sz val="8"/>
      <name val="Arial"/>
      <family val="2"/>
    </font>
    <font>
      <b/>
      <sz val="10"/>
      <color theme="1"/>
      <name val="Calibri"/>
      <family val="2"/>
      <scheme val="minor"/>
    </font>
    <font>
      <sz val="11"/>
      <color theme="9" tint="-0.249977111117893"/>
      <name val="Times New Roman"/>
      <family val="1"/>
    </font>
  </fonts>
  <fills count="99">
    <fill>
      <patternFill patternType="none"/>
    </fill>
    <fill>
      <patternFill patternType="gray125"/>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theme="3" tint="0.79998168889431442"/>
        <bgColor indexed="64"/>
      </patternFill>
    </fill>
    <fill>
      <patternFill patternType="solid">
        <fgColor rgb="FF92D050"/>
        <bgColor indexed="64"/>
      </patternFill>
    </fill>
    <fill>
      <patternFill patternType="solid">
        <fgColor rgb="FFC0C0C0"/>
        <bgColor indexed="64"/>
      </patternFill>
    </fill>
    <fill>
      <patternFill patternType="solid">
        <fgColor rgb="FFFFCC99"/>
        <bgColor indexed="64"/>
      </patternFill>
    </fill>
    <fill>
      <patternFill patternType="solid">
        <fgColor rgb="FFFFC000"/>
        <bgColor indexed="64"/>
      </patternFill>
    </fill>
    <fill>
      <patternFill patternType="solid">
        <fgColor rgb="FFCCFFFF"/>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9" tint="0.39994506668294322"/>
        <bgColor indexed="64"/>
      </patternFill>
    </fill>
    <fill>
      <patternFill patternType="solid">
        <fgColor theme="6" tint="0.39994506668294322"/>
        <bgColor indexed="64"/>
      </patternFill>
    </fill>
    <fill>
      <patternFill patternType="solid">
        <fgColor theme="2" tint="-0.24994659260841701"/>
        <bgColor indexed="64"/>
      </patternFill>
    </fill>
    <fill>
      <patternFill patternType="solid">
        <fgColor rgb="FFFF0000"/>
        <bgColor indexed="64"/>
      </patternFill>
    </fill>
    <fill>
      <patternFill patternType="solid">
        <fgColor theme="7" tint="0.39994506668294322"/>
        <bgColor indexed="64"/>
      </patternFill>
    </fill>
    <fill>
      <patternFill patternType="solid">
        <fgColor rgb="FFFFFF00"/>
        <bgColor indexed="64"/>
      </patternFill>
    </fill>
    <fill>
      <patternFill patternType="solid">
        <fgColor rgb="FFFFFF9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bgColor indexed="64"/>
      </patternFill>
    </fill>
    <fill>
      <patternFill patternType="solid">
        <fgColor theme="0"/>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39997558519241921"/>
        <bgColor indexed="64"/>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0" tint="-0.499984740745262"/>
        <bgColor indexed="64"/>
      </patternFill>
    </fill>
    <fill>
      <patternFill patternType="solid">
        <fgColor theme="4" tint="0.59996337778862885"/>
        <bgColor indexed="64"/>
      </patternFill>
    </fill>
    <fill>
      <patternFill patternType="solid">
        <fgColor rgb="FF00FF00"/>
        <bgColor indexed="64"/>
      </patternFill>
    </fill>
    <fill>
      <patternFill patternType="solid">
        <fgColor rgb="FF00B0F0"/>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66"/>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7030A0"/>
        <bgColor indexed="64"/>
      </patternFill>
    </fill>
    <fill>
      <patternFill patternType="solid">
        <fgColor theme="8" tint="-0.499984740745262"/>
        <bgColor indexed="64"/>
      </patternFill>
    </fill>
  </fills>
  <borders count="164">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bottom/>
      <diagonal/>
    </border>
    <border>
      <left/>
      <right style="double">
        <color indexed="64"/>
      </right>
      <top/>
      <bottom/>
      <diagonal/>
    </border>
    <border>
      <left/>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uble">
        <color indexed="64"/>
      </right>
      <top/>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64"/>
      </right>
      <top/>
      <bottom style="medium">
        <color indexed="64"/>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double">
        <color indexed="64"/>
      </bottom>
      <diagonal/>
    </border>
    <border>
      <left style="medium">
        <color indexed="64"/>
      </left>
      <right/>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bottom style="medium">
        <color indexed="64"/>
      </bottom>
      <diagonal/>
    </border>
    <border>
      <left style="medium">
        <color auto="1"/>
      </left>
      <right style="medium">
        <color auto="1"/>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974">
    <xf numFmtId="0" fontId="0" fillId="0" borderId="0"/>
    <xf numFmtId="167" fontId="5" fillId="0" borderId="0" applyFont="0" applyFill="0" applyBorder="0" applyAlignment="0" applyProtection="0"/>
    <xf numFmtId="167" fontId="5" fillId="0" borderId="0" applyFont="0" applyFill="0" applyBorder="0" applyAlignment="0" applyProtection="0"/>
    <xf numFmtId="0" fontId="6" fillId="0" borderId="0"/>
    <xf numFmtId="0" fontId="6" fillId="0" borderId="1"/>
    <xf numFmtId="0" fontId="7" fillId="2" borderId="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9" fillId="0" borderId="0"/>
    <xf numFmtId="39" fontId="10" fillId="0" borderId="0"/>
    <xf numFmtId="169" fontId="11" fillId="0" borderId="0"/>
    <xf numFmtId="0" fontId="6" fillId="0" borderId="0"/>
    <xf numFmtId="9" fontId="5" fillId="0" borderId="0" applyFont="0" applyFill="0" applyBorder="0" applyAlignment="0" applyProtection="0"/>
    <xf numFmtId="0" fontId="6" fillId="0" borderId="0"/>
    <xf numFmtId="0" fontId="6" fillId="0" borderId="1"/>
    <xf numFmtId="0" fontId="8" fillId="3" borderId="0"/>
    <xf numFmtId="0" fontId="7" fillId="0" borderId="2"/>
    <xf numFmtId="0" fontId="7" fillId="0" borderId="1"/>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187" fontId="65" fillId="0" borderId="0" applyFill="0" applyBorder="0" applyAlignment="0"/>
    <xf numFmtId="188" fontId="65" fillId="0" borderId="0" applyFill="0" applyBorder="0" applyAlignment="0"/>
    <xf numFmtId="189" fontId="65" fillId="0" borderId="0" applyFill="0" applyBorder="0" applyAlignment="0"/>
    <xf numFmtId="190" fontId="65" fillId="0" borderId="0" applyFill="0" applyBorder="0" applyAlignment="0"/>
    <xf numFmtId="191" fontId="65" fillId="0" borderId="0" applyFill="0" applyBorder="0" applyAlignment="0"/>
    <xf numFmtId="187" fontId="65" fillId="0" borderId="0" applyFill="0" applyBorder="0" applyAlignment="0"/>
    <xf numFmtId="192" fontId="65" fillId="0" borderId="0" applyFill="0" applyBorder="0" applyAlignment="0"/>
    <xf numFmtId="188" fontId="65" fillId="0" borderId="0" applyFill="0" applyBorder="0" applyAlignment="0"/>
    <xf numFmtId="166" fontId="5" fillId="0" borderId="0" applyFont="0" applyFill="0" applyBorder="0" applyAlignment="0" applyProtection="0"/>
    <xf numFmtId="187" fontId="5" fillId="0" borderId="0" applyFont="0" applyFill="0" applyBorder="0" applyAlignment="0" applyProtection="0"/>
    <xf numFmtId="167" fontId="6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5"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4" fillId="0" borderId="0" applyFont="0" applyFill="0" applyBorder="0" applyAlignment="0" applyProtection="0"/>
    <xf numFmtId="167" fontId="66" fillId="0" borderId="0" applyFont="0" applyFill="0" applyBorder="0" applyAlignment="0" applyProtection="0"/>
    <xf numFmtId="167" fontId="4"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167" fontId="66" fillId="0" borderId="0" applyFont="0" applyFill="0" applyBorder="0" applyAlignment="0" applyProtection="0"/>
    <xf numFmtId="167" fontId="5" fillId="0" borderId="0" applyFont="0" applyFill="0" applyBorder="0" applyAlignment="0" applyProtection="0"/>
    <xf numFmtId="167" fontId="67" fillId="0" borderId="0" applyFont="0" applyFill="0" applyBorder="0" applyAlignment="0" applyProtection="0"/>
    <xf numFmtId="167" fontId="5"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3" fontId="5" fillId="0" borderId="0" applyFont="0" applyFill="0" applyBorder="0" applyAlignment="0" applyProtection="0"/>
    <xf numFmtId="188" fontId="5" fillId="0" borderId="0" applyFont="0" applyFill="0" applyBorder="0" applyAlignment="0" applyProtection="0"/>
    <xf numFmtId="193"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4" fontId="5" fillId="0" borderId="0" applyFont="0" applyFill="0" applyBorder="0" applyAlignment="0" applyProtection="0"/>
    <xf numFmtId="14" fontId="65" fillId="0" borderId="0" applyFill="0" applyBorder="0" applyAlignment="0"/>
    <xf numFmtId="187" fontId="68" fillId="0" borderId="0" applyFill="0" applyBorder="0" applyAlignment="0"/>
    <xf numFmtId="188" fontId="68" fillId="0" borderId="0" applyFill="0" applyBorder="0" applyAlignment="0"/>
    <xf numFmtId="187" fontId="68" fillId="0" borderId="0" applyFill="0" applyBorder="0" applyAlignment="0"/>
    <xf numFmtId="192" fontId="68" fillId="0" borderId="0" applyFill="0" applyBorder="0" applyAlignment="0"/>
    <xf numFmtId="188" fontId="68" fillId="0" borderId="0" applyFill="0" applyBorder="0" applyAlignment="0"/>
    <xf numFmtId="194" fontId="5" fillId="0" borderId="0" applyFont="0" applyFill="0" applyBorder="0" applyAlignment="0" applyProtection="0"/>
    <xf numFmtId="195" fontId="5" fillId="0" borderId="0" applyFont="0" applyFill="0" applyBorder="0" applyAlignment="0" applyProtection="0"/>
    <xf numFmtId="2" fontId="5" fillId="0" borderId="0" applyFont="0" applyFill="0" applyBorder="0" applyAlignment="0" applyProtection="0"/>
    <xf numFmtId="38" fontId="14" fillId="7" borderId="0" applyNumberFormat="0" applyBorder="0" applyAlignment="0" applyProtection="0"/>
    <xf numFmtId="0" fontId="16" fillId="0" borderId="128" applyNumberFormat="0" applyAlignment="0" applyProtection="0">
      <alignment horizontal="left" vertical="center"/>
    </xf>
    <xf numFmtId="0" fontId="16" fillId="0" borderId="40">
      <alignment horizontal="left" vertical="center"/>
    </xf>
    <xf numFmtId="0" fontId="17" fillId="0" borderId="0" applyFont="0" applyFill="0" applyBorder="0" applyAlignment="0" applyProtection="0"/>
    <xf numFmtId="0" fontId="16" fillId="0" borderId="0" applyFon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0" fontId="14" fillId="46" borderId="38" applyNumberFormat="0" applyBorder="0" applyAlignment="0" applyProtection="0"/>
    <xf numFmtId="187" fontId="71" fillId="0" borderId="0" applyFill="0" applyBorder="0" applyAlignment="0"/>
    <xf numFmtId="188" fontId="71" fillId="0" borderId="0" applyFill="0" applyBorder="0" applyAlignment="0"/>
    <xf numFmtId="187" fontId="71" fillId="0" borderId="0" applyFill="0" applyBorder="0" applyAlignment="0"/>
    <xf numFmtId="192" fontId="71" fillId="0" borderId="0" applyFill="0" applyBorder="0" applyAlignment="0"/>
    <xf numFmtId="188" fontId="71" fillId="0" borderId="0" applyFill="0" applyBorder="0" applyAlignment="0"/>
    <xf numFmtId="0" fontId="4" fillId="0" borderId="0"/>
    <xf numFmtId="0" fontId="67"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14" fillId="0" borderId="0"/>
    <xf numFmtId="0" fontId="1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72" fillId="0" borderId="0"/>
    <xf numFmtId="0" fontId="14" fillId="0" borderId="0"/>
    <xf numFmtId="0" fontId="5" fillId="0" borderId="0"/>
    <xf numFmtId="0" fontId="14" fillId="0" borderId="0"/>
    <xf numFmtId="0" fontId="5"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5" fillId="0" borderId="0"/>
    <xf numFmtId="0" fontId="72" fillId="0" borderId="0"/>
    <xf numFmtId="0" fontId="5" fillId="0" borderId="0"/>
    <xf numFmtId="0" fontId="4" fillId="0" borderId="0"/>
    <xf numFmtId="0" fontId="5" fillId="0" borderId="0"/>
    <xf numFmtId="0" fontId="5" fillId="0" borderId="0"/>
    <xf numFmtId="0" fontId="4" fillId="0" borderId="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4" fillId="25" borderId="134" applyNumberFormat="0" applyFont="0" applyAlignment="0" applyProtection="0"/>
    <xf numFmtId="0" fontId="4" fillId="25" borderId="134" applyNumberFormat="0" applyFont="0" applyAlignment="0" applyProtection="0"/>
    <xf numFmtId="0" fontId="4"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0" fontId="66" fillId="25" borderId="134" applyNumberFormat="0" applyFont="0" applyAlignment="0" applyProtection="0"/>
    <xf numFmtId="191" fontId="5" fillId="0" borderId="0" applyFont="0" applyFill="0" applyBorder="0" applyAlignment="0" applyProtection="0"/>
    <xf numFmtId="196"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7" fontId="73" fillId="0" borderId="0" applyFill="0" applyBorder="0" applyAlignment="0"/>
    <xf numFmtId="188" fontId="73" fillId="0" borderId="0" applyFill="0" applyBorder="0" applyAlignment="0"/>
    <xf numFmtId="187" fontId="73" fillId="0" borderId="0" applyFill="0" applyBorder="0" applyAlignment="0"/>
    <xf numFmtId="192" fontId="73" fillId="0" borderId="0" applyFill="0" applyBorder="0" applyAlignment="0"/>
    <xf numFmtId="188" fontId="73" fillId="0" borderId="0" applyFill="0" applyBorder="0" applyAlignment="0"/>
    <xf numFmtId="0" fontId="74" fillId="0" borderId="0"/>
    <xf numFmtId="49" fontId="65" fillId="0" borderId="0" applyFill="0" applyBorder="0" applyAlignment="0"/>
    <xf numFmtId="197" fontId="65" fillId="0" borderId="0" applyFill="0" applyBorder="0" applyAlignment="0"/>
    <xf numFmtId="198" fontId="65" fillId="0" borderId="0" applyFill="0" applyBorder="0" applyAlignment="0"/>
    <xf numFmtId="0" fontId="5" fillId="0" borderId="0" applyFont="0" applyFill="0" applyBorder="0" applyAlignment="0" applyProtection="0"/>
    <xf numFmtId="0" fontId="7" fillId="0" borderId="2"/>
    <xf numFmtId="0" fontId="7" fillId="0" borderId="2"/>
    <xf numFmtId="0" fontId="77" fillId="0" borderId="0" applyNumberFormat="0" applyFill="0" applyBorder="0" applyAlignment="0" applyProtection="0"/>
    <xf numFmtId="0" fontId="78" fillId="0" borderId="135" applyNumberFormat="0" applyFill="0" applyAlignment="0" applyProtection="0"/>
    <xf numFmtId="0" fontId="79" fillId="0" borderId="136" applyNumberFormat="0" applyFill="0" applyAlignment="0" applyProtection="0"/>
    <xf numFmtId="0" fontId="80" fillId="0" borderId="137" applyNumberFormat="0" applyFill="0" applyAlignment="0" applyProtection="0"/>
    <xf numFmtId="0" fontId="80" fillId="0" borderId="0" applyNumberFormat="0" applyFill="0" applyBorder="0" applyAlignment="0" applyProtection="0"/>
    <xf numFmtId="0" fontId="81" fillId="49" borderId="0" applyNumberFormat="0" applyBorder="0" applyAlignment="0" applyProtection="0"/>
    <xf numFmtId="0" fontId="82" fillId="50" borderId="0" applyNumberFormat="0" applyBorder="0" applyAlignment="0" applyProtection="0"/>
    <xf numFmtId="0" fontId="83" fillId="51" borderId="0" applyNumberFormat="0" applyBorder="0" applyAlignment="0" applyProtection="0"/>
    <xf numFmtId="0" fontId="84" fillId="52" borderId="138" applyNumberFormat="0" applyAlignment="0" applyProtection="0"/>
    <xf numFmtId="0" fontId="85" fillId="53" borderId="139" applyNumberFormat="0" applyAlignment="0" applyProtection="0"/>
    <xf numFmtId="0" fontId="86" fillId="53" borderId="138" applyNumberFormat="0" applyAlignment="0" applyProtection="0"/>
    <xf numFmtId="0" fontId="87" fillId="0" borderId="140" applyNumberFormat="0" applyFill="0" applyAlignment="0" applyProtection="0"/>
    <xf numFmtId="0" fontId="88" fillId="54" borderId="141"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142" applyNumberFormat="0" applyFill="0" applyAlignment="0" applyProtection="0"/>
    <xf numFmtId="0" fontId="59" fillId="5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59" fillId="56" borderId="0" applyNumberFormat="0" applyBorder="0" applyAlignment="0" applyProtection="0"/>
    <xf numFmtId="0" fontId="59" fillId="5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9" fillId="58" borderId="0" applyNumberFormat="0" applyBorder="0" applyAlignment="0" applyProtection="0"/>
    <xf numFmtId="0" fontId="59" fillId="5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59" fillId="60" borderId="0" applyNumberFormat="0" applyBorder="0" applyAlignment="0" applyProtection="0"/>
    <xf numFmtId="0" fontId="59" fillId="6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59" fillId="62" borderId="0" applyNumberFormat="0" applyBorder="0" applyAlignment="0" applyProtection="0"/>
    <xf numFmtId="0" fontId="59" fillId="6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59" fillId="64" borderId="0" applyNumberFormat="0" applyBorder="0" applyAlignment="0" applyProtection="0"/>
    <xf numFmtId="0" fontId="59" fillId="6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59" fillId="66" borderId="0" applyNumberFormat="0" applyBorder="0" applyAlignment="0" applyProtection="0"/>
    <xf numFmtId="0" fontId="3" fillId="0" borderId="0"/>
    <xf numFmtId="0" fontId="3" fillId="0" borderId="0"/>
    <xf numFmtId="0" fontId="3" fillId="25" borderId="134" applyNumberFormat="0" applyFont="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3"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5" fillId="0" borderId="0" applyFont="0" applyFill="0" applyBorder="0" applyAlignment="0" applyProtection="0"/>
    <xf numFmtId="167" fontId="3" fillId="0" borderId="0" applyFont="0" applyFill="0" applyBorder="0" applyAlignment="0" applyProtection="0"/>
    <xf numFmtId="0" fontId="70" fillId="0" borderId="0" applyNumberFormat="0" applyFill="0" applyBorder="0" applyAlignment="0" applyProtection="0">
      <alignment vertical="top"/>
      <protection locked="0"/>
    </xf>
    <xf numFmtId="0" fontId="66" fillId="39" borderId="0" applyNumberFormat="0" applyBorder="0" applyAlignment="0" applyProtection="0"/>
    <xf numFmtId="0" fontId="66" fillId="39" borderId="0" applyNumberFormat="0" applyBorder="0" applyAlignment="0" applyProtection="0"/>
    <xf numFmtId="0" fontId="3" fillId="26"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3" fillId="28"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3" fillId="30"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3" fillId="32"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3" fillId="34"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3" fillId="36"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3" fillId="27"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3" fillId="2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3" fillId="31"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3" fillId="33"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3" fillId="35"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3" fillId="37"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0" fontId="59" fillId="56"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59" fillId="58"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59" fillId="60"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59" fillId="62"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59" fillId="6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59" fillId="66"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59" fillId="55"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59" fillId="5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59" fillId="59"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59" fillId="61"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59" fillId="63"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59" fillId="65"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82" fillId="50" borderId="0" applyNumberFormat="0" applyBorder="0" applyAlignment="0" applyProtection="0"/>
    <xf numFmtId="0" fontId="94" fillId="79" borderId="143" applyNumberFormat="0" applyAlignment="0" applyProtection="0"/>
    <xf numFmtId="0" fontId="94" fillId="79" borderId="143" applyNumberFormat="0" applyAlignment="0" applyProtection="0"/>
    <xf numFmtId="0" fontId="86" fillId="53" borderId="138" applyNumberFormat="0" applyAlignment="0" applyProtection="0"/>
    <xf numFmtId="0" fontId="95" fillId="80" borderId="144" applyNumberFormat="0" applyAlignment="0" applyProtection="0"/>
    <xf numFmtId="0" fontId="95" fillId="80" borderId="144" applyNumberFormat="0" applyAlignment="0" applyProtection="0"/>
    <xf numFmtId="0" fontId="88" fillId="54" borderId="14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0" fillId="0" borderId="0" applyNumberFormat="0" applyFill="0" applyBorder="0" applyAlignment="0" applyProtection="0"/>
    <xf numFmtId="0" fontId="97" fillId="41" borderId="0" applyNumberFormat="0" applyBorder="0" applyAlignment="0" applyProtection="0"/>
    <xf numFmtId="0" fontId="97" fillId="41" borderId="0" applyNumberFormat="0" applyBorder="0" applyAlignment="0" applyProtection="0"/>
    <xf numFmtId="0" fontId="81" fillId="49" borderId="0" applyNumberFormat="0" applyBorder="0" applyAlignment="0" applyProtection="0"/>
    <xf numFmtId="0" fontId="98" fillId="0" borderId="145" applyNumberFormat="0" applyFill="0" applyAlignment="0" applyProtection="0"/>
    <xf numFmtId="0" fontId="98" fillId="0" borderId="145" applyNumberFormat="0" applyFill="0" applyAlignment="0" applyProtection="0"/>
    <xf numFmtId="0" fontId="78" fillId="0" borderId="135" applyNumberFormat="0" applyFill="0" applyAlignment="0" applyProtection="0"/>
    <xf numFmtId="0" fontId="99" fillId="0" borderId="146" applyNumberFormat="0" applyFill="0" applyAlignment="0" applyProtection="0"/>
    <xf numFmtId="0" fontId="99" fillId="0" borderId="146" applyNumberFormat="0" applyFill="0" applyAlignment="0" applyProtection="0"/>
    <xf numFmtId="0" fontId="79" fillId="0" borderId="136" applyNumberFormat="0" applyFill="0" applyAlignment="0" applyProtection="0"/>
    <xf numFmtId="0" fontId="100" fillId="0" borderId="147" applyNumberFormat="0" applyFill="0" applyAlignment="0" applyProtection="0"/>
    <xf numFmtId="0" fontId="100" fillId="0" borderId="147" applyNumberFormat="0" applyFill="0" applyAlignment="0" applyProtection="0"/>
    <xf numFmtId="0" fontId="80" fillId="0" borderId="137"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80" fillId="0" borderId="0" applyNumberFormat="0" applyFill="0" applyBorder="0" applyAlignment="0" applyProtection="0"/>
    <xf numFmtId="0" fontId="101" fillId="69" borderId="143" applyNumberFormat="0" applyAlignment="0" applyProtection="0"/>
    <xf numFmtId="0" fontId="101" fillId="69" borderId="143" applyNumberFormat="0" applyAlignment="0" applyProtection="0"/>
    <xf numFmtId="0" fontId="84" fillId="52" borderId="138" applyNumberFormat="0" applyAlignment="0" applyProtection="0"/>
    <xf numFmtId="0" fontId="102" fillId="0" borderId="148" applyNumberFormat="0" applyFill="0" applyAlignment="0" applyProtection="0"/>
    <xf numFmtId="0" fontId="102" fillId="0" borderId="148" applyNumberFormat="0" applyFill="0" applyAlignment="0" applyProtection="0"/>
    <xf numFmtId="0" fontId="87" fillId="0" borderId="140" applyNumberFormat="0" applyFill="0" applyAlignment="0" applyProtection="0"/>
    <xf numFmtId="0" fontId="103" fillId="81" borderId="0" applyNumberFormat="0" applyBorder="0" applyAlignment="0" applyProtection="0"/>
    <xf numFmtId="0" fontId="103" fillId="81" borderId="0" applyNumberFormat="0" applyBorder="0" applyAlignment="0" applyProtection="0"/>
    <xf numFmtId="0" fontId="83" fillId="51" borderId="0" applyNumberFormat="0" applyBorder="0" applyAlignment="0" applyProtection="0"/>
    <xf numFmtId="0" fontId="3" fillId="0" borderId="0"/>
    <xf numFmtId="0" fontId="5" fillId="82" borderId="149" applyNumberFormat="0" applyFont="0" applyAlignment="0" applyProtection="0"/>
    <xf numFmtId="0" fontId="5" fillId="82" borderId="149" applyNumberFormat="0" applyFont="0" applyAlignment="0" applyProtection="0"/>
    <xf numFmtId="0" fontId="3" fillId="25" borderId="134" applyNumberFormat="0" applyFont="0" applyAlignment="0" applyProtection="0"/>
    <xf numFmtId="0" fontId="104" fillId="79" borderId="150" applyNumberFormat="0" applyAlignment="0" applyProtection="0"/>
    <xf numFmtId="0" fontId="104" fillId="79" borderId="150" applyNumberFormat="0" applyAlignment="0" applyProtection="0"/>
    <xf numFmtId="0" fontId="85" fillId="53" borderId="13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77" fillId="0" borderId="0" applyNumberFormat="0" applyFill="0" applyBorder="0" applyAlignment="0" applyProtection="0"/>
    <xf numFmtId="0" fontId="106" fillId="0" borderId="151" applyNumberFormat="0" applyFill="0" applyAlignment="0" applyProtection="0"/>
    <xf numFmtId="0" fontId="106" fillId="0" borderId="151" applyNumberFormat="0" applyFill="0" applyAlignment="0" applyProtection="0"/>
    <xf numFmtId="0" fontId="91" fillId="0" borderId="142"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89" fillId="0" borderId="0" applyNumberFormat="0" applyFill="0" applyBorder="0" applyAlignment="0" applyProtection="0"/>
    <xf numFmtId="202" fontId="2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167" fontId="3" fillId="0" borderId="0" applyFont="0" applyFill="0" applyBorder="0" applyAlignment="0" applyProtection="0"/>
    <xf numFmtId="0" fontId="5" fillId="0" borderId="0"/>
    <xf numFmtId="201" fontId="21" fillId="0" borderId="0" applyFont="0" applyFill="0" applyBorder="0" applyAlignment="0" applyProtection="0"/>
    <xf numFmtId="0" fontId="109" fillId="0" borderId="0"/>
    <xf numFmtId="0" fontId="108" fillId="0" borderId="0"/>
    <xf numFmtId="0" fontId="66" fillId="0" borderId="0"/>
    <xf numFmtId="0" fontId="5" fillId="0" borderId="0"/>
    <xf numFmtId="0" fontId="3" fillId="0" borderId="0"/>
    <xf numFmtId="43" fontId="5" fillId="0" borderId="0" applyFont="0" applyFill="0" applyBorder="0" applyAlignment="0" applyProtection="0"/>
    <xf numFmtId="200" fontId="21" fillId="0" borderId="0" applyFont="0" applyFill="0" applyBorder="0" applyAlignment="0" applyProtection="0"/>
    <xf numFmtId="203" fontId="5" fillId="0" borderId="0" applyFont="0" applyFill="0" applyBorder="0" applyAlignment="0" applyProtection="0"/>
    <xf numFmtId="204" fontId="5" fillId="0" borderId="0" applyFont="0" applyFill="0" applyBorder="0" applyAlignment="0" applyProtection="0"/>
    <xf numFmtId="0" fontId="5"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113" fillId="0" borderId="0" applyNumberFormat="0" applyFill="0" applyBorder="0" applyAlignment="0" applyProtection="0">
      <alignment vertical="top"/>
      <protection locked="0"/>
    </xf>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3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32"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134" applyNumberFormat="0" applyFont="0" applyAlignment="0" applyProtection="0"/>
    <xf numFmtId="0" fontId="2" fillId="25" borderId="134" applyNumberFormat="0" applyFont="0" applyAlignment="0" applyProtection="0"/>
    <xf numFmtId="0" fontId="2" fillId="25" borderId="134" applyNumberFormat="0" applyFont="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25" borderId="134" applyNumberFormat="0" applyFont="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0" borderId="0"/>
    <xf numFmtId="0" fontId="2" fillId="25" borderId="134" applyNumberFormat="0" applyFont="0" applyAlignment="0" applyProtection="0"/>
    <xf numFmtId="167" fontId="2" fillId="0" borderId="0" applyFont="0" applyFill="0" applyBorder="0" applyAlignment="0" applyProtection="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1" fillId="0" borderId="0"/>
    <xf numFmtId="167" fontId="1" fillId="0" borderId="0" applyFont="0" applyFill="0" applyBorder="0" applyAlignment="0" applyProtection="0"/>
  </cellStyleXfs>
  <cellXfs count="3116">
    <xf numFmtId="0" fontId="0" fillId="0" borderId="0" xfId="0"/>
    <xf numFmtId="0" fontId="13" fillId="0" borderId="0" xfId="0" applyFont="1"/>
    <xf numFmtId="4" fontId="13" fillId="0" borderId="0" xfId="0" applyNumberFormat="1" applyFont="1"/>
    <xf numFmtId="3" fontId="13" fillId="0" borderId="0" xfId="0" applyNumberFormat="1" applyFont="1"/>
    <xf numFmtId="174" fontId="12" fillId="0" borderId="0" xfId="0" applyNumberFormat="1" applyFont="1" applyBorder="1" applyAlignment="1"/>
    <xf numFmtId="0" fontId="15" fillId="0" borderId="0" xfId="0" applyFont="1"/>
    <xf numFmtId="0" fontId="13" fillId="0" borderId="3" xfId="0" applyFont="1" applyBorder="1"/>
    <xf numFmtId="0" fontId="16" fillId="0" borderId="4" xfId="0" applyFont="1" applyBorder="1"/>
    <xf numFmtId="0" fontId="13" fillId="0" borderId="4" xfId="0" applyFont="1" applyBorder="1"/>
    <xf numFmtId="0" fontId="13" fillId="0" borderId="5" xfId="0" applyFont="1" applyBorder="1"/>
    <xf numFmtId="0" fontId="13" fillId="0" borderId="6" xfId="0" applyFont="1" applyBorder="1"/>
    <xf numFmtId="0" fontId="16" fillId="0" borderId="0" xfId="0" applyFont="1" applyBorder="1"/>
    <xf numFmtId="0" fontId="13" fillId="0" borderId="0" xfId="0" applyFont="1" applyBorder="1"/>
    <xf numFmtId="0" fontId="13" fillId="0" borderId="7" xfId="0" applyFont="1" applyBorder="1"/>
    <xf numFmtId="0" fontId="13" fillId="0" borderId="8" xfId="0" applyFont="1" applyBorder="1"/>
    <xf numFmtId="0" fontId="16" fillId="0" borderId="9" xfId="0" applyFont="1" applyBorder="1"/>
    <xf numFmtId="0" fontId="13" fillId="0" borderId="10" xfId="0" applyFont="1" applyBorder="1"/>
    <xf numFmtId="0" fontId="16" fillId="0" borderId="0" xfId="0" applyFont="1"/>
    <xf numFmtId="0" fontId="19" fillId="0" borderId="0" xfId="0" applyFont="1"/>
    <xf numFmtId="0" fontId="15" fillId="0" borderId="0" xfId="0" applyFont="1" applyAlignment="1">
      <alignment horizontal="center"/>
    </xf>
    <xf numFmtId="4" fontId="12" fillId="0" borderId="0" xfId="0" applyNumberFormat="1" applyFont="1" applyBorder="1"/>
    <xf numFmtId="174" fontId="13" fillId="0" borderId="0" xfId="0" applyNumberFormat="1" applyFont="1" applyBorder="1"/>
    <xf numFmtId="3" fontId="16" fillId="0" borderId="0" xfId="0" applyNumberFormat="1" applyFont="1" applyFill="1" applyBorder="1" applyAlignment="1">
      <alignment horizontal="center"/>
    </xf>
    <xf numFmtId="174" fontId="13" fillId="0" borderId="0" xfId="0" applyNumberFormat="1" applyFont="1"/>
    <xf numFmtId="169" fontId="13" fillId="0" borderId="0" xfId="17" applyFont="1"/>
    <xf numFmtId="174" fontId="13" fillId="0" borderId="0" xfId="17" applyNumberFormat="1" applyFont="1"/>
    <xf numFmtId="0" fontId="16" fillId="0" borderId="0" xfId="17" applyNumberFormat="1" applyFont="1" applyAlignment="1">
      <alignment horizontal="center"/>
    </xf>
    <xf numFmtId="169" fontId="21" fillId="0" borderId="11" xfId="17" applyFont="1" applyBorder="1"/>
    <xf numFmtId="41" fontId="21" fillId="0" borderId="0" xfId="1" applyNumberFormat="1" applyFont="1" applyBorder="1" applyProtection="1"/>
    <xf numFmtId="174" fontId="21" fillId="0" borderId="0" xfId="1" applyNumberFormat="1" applyFont="1" applyBorder="1" applyProtection="1"/>
    <xf numFmtId="41" fontId="21" fillId="5" borderId="0" xfId="1" applyNumberFormat="1" applyFont="1" applyFill="1" applyBorder="1" applyProtection="1"/>
    <xf numFmtId="169" fontId="21" fillId="0" borderId="12" xfId="17" applyFont="1" applyBorder="1"/>
    <xf numFmtId="169" fontId="21" fillId="0" borderId="0" xfId="17" applyFont="1"/>
    <xf numFmtId="41" fontId="22" fillId="0" borderId="13" xfId="1" applyNumberFormat="1" applyFont="1" applyBorder="1" applyProtection="1"/>
    <xf numFmtId="174" fontId="22" fillId="0" borderId="0" xfId="1" applyNumberFormat="1" applyFont="1" applyBorder="1" applyProtection="1"/>
    <xf numFmtId="41" fontId="22" fillId="5" borderId="13" xfId="1" applyNumberFormat="1" applyFont="1" applyFill="1" applyBorder="1" applyProtection="1"/>
    <xf numFmtId="0" fontId="22" fillId="0" borderId="0" xfId="1" applyNumberFormat="1" applyFont="1" applyBorder="1" applyAlignment="1" applyProtection="1">
      <alignment horizontal="center"/>
    </xf>
    <xf numFmtId="174" fontId="21" fillId="5" borderId="0" xfId="1" applyNumberFormat="1" applyFont="1" applyFill="1" applyBorder="1" applyProtection="1"/>
    <xf numFmtId="168" fontId="21" fillId="0" borderId="0" xfId="1" applyNumberFormat="1" applyFont="1" applyBorder="1" applyProtection="1"/>
    <xf numFmtId="169" fontId="21" fillId="0" borderId="14" xfId="17" applyFont="1" applyBorder="1"/>
    <xf numFmtId="168" fontId="22" fillId="0" borderId="15" xfId="1" applyNumberFormat="1" applyFont="1" applyFill="1" applyBorder="1" applyProtection="1"/>
    <xf numFmtId="0" fontId="22" fillId="0" borderId="15" xfId="1" applyNumberFormat="1" applyFont="1" applyFill="1" applyBorder="1" applyAlignment="1" applyProtection="1">
      <alignment horizontal="center"/>
    </xf>
    <xf numFmtId="169" fontId="21" fillId="0" borderId="16" xfId="17" applyFont="1" applyBorder="1"/>
    <xf numFmtId="0" fontId="20" fillId="0" borderId="0" xfId="0" applyFont="1" applyBorder="1" applyAlignment="1">
      <alignment horizontal="center"/>
    </xf>
    <xf numFmtId="174" fontId="15" fillId="0" borderId="0" xfId="0" applyNumberFormat="1" applyFont="1"/>
    <xf numFmtId="4" fontId="15" fillId="0" borderId="0" xfId="0" applyNumberFormat="1" applyFont="1"/>
    <xf numFmtId="0" fontId="21" fillId="0" borderId="0" xfId="0" applyFont="1" applyAlignment="1">
      <alignment horizontal="center" vertical="center"/>
    </xf>
    <xf numFmtId="0" fontId="12" fillId="0" borderId="0" xfId="0" applyFont="1" applyBorder="1" applyAlignment="1"/>
    <xf numFmtId="0" fontId="21" fillId="0" borderId="0" xfId="0" applyFont="1" applyFill="1" applyBorder="1"/>
    <xf numFmtId="49" fontId="22" fillId="0" borderId="0" xfId="0" applyNumberFormat="1" applyFont="1" applyFill="1" applyBorder="1" applyAlignment="1"/>
    <xf numFmtId="0" fontId="22" fillId="0" borderId="0" xfId="0" applyFont="1" applyFill="1" applyBorder="1"/>
    <xf numFmtId="4" fontId="15" fillId="0" borderId="0" xfId="0" applyNumberFormat="1" applyFont="1" applyBorder="1"/>
    <xf numFmtId="169" fontId="15" fillId="0" borderId="0" xfId="17" applyFont="1"/>
    <xf numFmtId="0" fontId="22" fillId="0" borderId="0" xfId="0" applyFont="1" applyFill="1" applyBorder="1" applyAlignment="1">
      <alignment horizontal="center"/>
    </xf>
    <xf numFmtId="0" fontId="21" fillId="10" borderId="0" xfId="0" applyFont="1" applyFill="1" applyBorder="1"/>
    <xf numFmtId="167" fontId="21" fillId="0" borderId="0" xfId="0" applyNumberFormat="1" applyFont="1" applyFill="1" applyBorder="1"/>
    <xf numFmtId="0" fontId="21" fillId="0" borderId="0" xfId="0" applyFont="1" applyFill="1" applyBorder="1" applyAlignment="1">
      <alignment vertical="top" wrapText="1"/>
    </xf>
    <xf numFmtId="3" fontId="21" fillId="0" borderId="0" xfId="0" applyNumberFormat="1" applyFont="1" applyFill="1" applyBorder="1"/>
    <xf numFmtId="41" fontId="21" fillId="0" borderId="0" xfId="1" applyNumberFormat="1" applyFont="1" applyFill="1" applyBorder="1"/>
    <xf numFmtId="168" fontId="21" fillId="0" borderId="0" xfId="1" applyNumberFormat="1" applyFont="1" applyFill="1" applyBorder="1"/>
    <xf numFmtId="0" fontId="21" fillId="0" borderId="0" xfId="0" applyFont="1" applyFill="1" applyBorder="1" applyAlignment="1">
      <alignment horizontal="center"/>
    </xf>
    <xf numFmtId="0" fontId="21" fillId="0" borderId="0" xfId="0" quotePrefix="1" applyFont="1" applyFill="1" applyBorder="1"/>
    <xf numFmtId="0" fontId="21" fillId="0" borderId="20" xfId="0" applyFont="1" applyBorder="1"/>
    <xf numFmtId="0" fontId="21" fillId="0" borderId="21" xfId="0" applyFont="1" applyBorder="1"/>
    <xf numFmtId="174" fontId="21" fillId="0" borderId="21" xfId="0" applyNumberFormat="1" applyFont="1" applyBorder="1"/>
    <xf numFmtId="0" fontId="21" fillId="0" borderId="22" xfId="0" applyFont="1" applyBorder="1"/>
    <xf numFmtId="0" fontId="21" fillId="0" borderId="0" xfId="0" applyFont="1"/>
    <xf numFmtId="0" fontId="21" fillId="0" borderId="11" xfId="0" applyFont="1" applyBorder="1"/>
    <xf numFmtId="0" fontId="21" fillId="0" borderId="0" xfId="0" applyFont="1" applyBorder="1"/>
    <xf numFmtId="174" fontId="21" fillId="5" borderId="0" xfId="0" applyNumberFormat="1" applyFont="1" applyFill="1" applyBorder="1" applyAlignment="1"/>
    <xf numFmtId="174" fontId="22" fillId="5" borderId="0" xfId="0" applyNumberFormat="1" applyFont="1" applyFill="1" applyBorder="1" applyAlignment="1">
      <alignment horizontal="center"/>
    </xf>
    <xf numFmtId="174" fontId="23" fillId="5" borderId="0" xfId="0" applyNumberFormat="1" applyFont="1" applyFill="1" applyBorder="1" applyAlignment="1">
      <alignment horizontal="right"/>
    </xf>
    <xf numFmtId="174" fontId="21" fillId="0" borderId="0" xfId="0" applyNumberFormat="1" applyFont="1" applyBorder="1" applyAlignment="1">
      <alignment horizontal="center"/>
    </xf>
    <xf numFmtId="174" fontId="22" fillId="0" borderId="0" xfId="0" applyNumberFormat="1" applyFont="1" applyBorder="1" applyAlignment="1">
      <alignment horizontal="center"/>
    </xf>
    <xf numFmtId="0" fontId="22" fillId="0" borderId="0" xfId="0" applyFont="1" applyBorder="1"/>
    <xf numFmtId="174" fontId="21" fillId="0" borderId="0" xfId="0" applyNumberFormat="1" applyFont="1" applyBorder="1" applyAlignment="1"/>
    <xf numFmtId="174" fontId="23" fillId="0" borderId="0" xfId="0" applyNumberFormat="1" applyFont="1" applyBorder="1" applyAlignment="1">
      <alignment horizontal="right"/>
    </xf>
    <xf numFmtId="179" fontId="21" fillId="5" borderId="0" xfId="1" applyNumberFormat="1" applyFont="1" applyFill="1" applyBorder="1" applyAlignment="1">
      <alignment horizontal="right"/>
    </xf>
    <xf numFmtId="179" fontId="21" fillId="0" borderId="0" xfId="0" applyNumberFormat="1" applyFont="1" applyBorder="1" applyAlignment="1">
      <alignment horizontal="center"/>
    </xf>
    <xf numFmtId="179" fontId="21" fillId="0" borderId="0" xfId="1" applyNumberFormat="1" applyFont="1" applyBorder="1" applyAlignment="1">
      <alignment horizontal="right"/>
    </xf>
    <xf numFmtId="179" fontId="21" fillId="5" borderId="0" xfId="0" applyNumberFormat="1" applyFont="1" applyFill="1" applyBorder="1" applyAlignment="1"/>
    <xf numFmtId="179" fontId="21" fillId="0" borderId="0" xfId="0" applyNumberFormat="1" applyFont="1" applyBorder="1" applyAlignment="1">
      <alignment horizontal="right"/>
    </xf>
    <xf numFmtId="179" fontId="21" fillId="5" borderId="0" xfId="1" applyNumberFormat="1" applyFont="1" applyFill="1" applyBorder="1" applyAlignment="1"/>
    <xf numFmtId="179" fontId="22" fillId="5" borderId="24" xfId="1" applyNumberFormat="1" applyFont="1" applyFill="1" applyBorder="1" applyAlignment="1">
      <alignment horizontal="right"/>
    </xf>
    <xf numFmtId="179" fontId="22" fillId="0" borderId="0" xfId="0" applyNumberFormat="1" applyFont="1" applyBorder="1" applyAlignment="1">
      <alignment horizontal="center"/>
    </xf>
    <xf numFmtId="179" fontId="22" fillId="0" borderId="24" xfId="1" applyNumberFormat="1" applyFont="1" applyBorder="1" applyAlignment="1">
      <alignment horizontal="right"/>
    </xf>
    <xf numFmtId="179" fontId="23" fillId="5" borderId="0" xfId="0" applyNumberFormat="1" applyFont="1" applyFill="1" applyBorder="1" applyAlignment="1">
      <alignment horizontal="right"/>
    </xf>
    <xf numFmtId="179" fontId="23" fillId="0" borderId="0" xfId="0" applyNumberFormat="1" applyFont="1" applyBorder="1" applyAlignment="1">
      <alignment horizontal="right"/>
    </xf>
    <xf numFmtId="179" fontId="21" fillId="5" borderId="0" xfId="0" applyNumberFormat="1" applyFont="1" applyFill="1" applyBorder="1"/>
    <xf numFmtId="179" fontId="21" fillId="0" borderId="0" xfId="0" applyNumberFormat="1" applyFont="1" applyBorder="1"/>
    <xf numFmtId="0" fontId="21" fillId="0" borderId="12" xfId="0" applyFont="1" applyBorder="1"/>
    <xf numFmtId="179" fontId="22" fillId="5" borderId="24" xfId="1" applyNumberFormat="1" applyFont="1" applyFill="1" applyBorder="1"/>
    <xf numFmtId="179" fontId="22" fillId="0" borderId="0" xfId="0" applyNumberFormat="1" applyFont="1" applyBorder="1"/>
    <xf numFmtId="179" fontId="21" fillId="5" borderId="0" xfId="1" applyNumberFormat="1" applyFont="1" applyFill="1" applyBorder="1"/>
    <xf numFmtId="37" fontId="21" fillId="0" borderId="0" xfId="0" applyNumberFormat="1" applyFont="1"/>
    <xf numFmtId="179" fontId="22" fillId="5" borderId="24" xfId="0" applyNumberFormat="1" applyFont="1" applyFill="1" applyBorder="1"/>
    <xf numFmtId="179" fontId="22" fillId="0" borderId="24" xfId="0" applyNumberFormat="1" applyFont="1" applyFill="1" applyBorder="1"/>
    <xf numFmtId="4" fontId="21" fillId="6" borderId="0" xfId="0" applyNumberFormat="1" applyFont="1" applyFill="1" applyBorder="1" applyAlignment="1">
      <alignment horizontal="right"/>
    </xf>
    <xf numFmtId="4" fontId="21" fillId="0" borderId="0" xfId="0" applyNumberFormat="1" applyFont="1" applyBorder="1" applyAlignment="1">
      <alignment horizontal="right"/>
    </xf>
    <xf numFmtId="179" fontId="21" fillId="5" borderId="25" xfId="0" applyNumberFormat="1" applyFont="1" applyFill="1" applyBorder="1"/>
    <xf numFmtId="179" fontId="21" fillId="0" borderId="25" xfId="1" applyNumberFormat="1" applyFont="1" applyBorder="1" applyAlignment="1">
      <alignment horizontal="right"/>
    </xf>
    <xf numFmtId="179" fontId="21" fillId="5" borderId="26" xfId="0" applyNumberFormat="1" applyFont="1" applyFill="1" applyBorder="1"/>
    <xf numFmtId="179" fontId="21" fillId="0" borderId="26" xfId="1" applyNumberFormat="1" applyFont="1" applyBorder="1" applyAlignment="1">
      <alignment horizontal="right"/>
    </xf>
    <xf numFmtId="0" fontId="21" fillId="0" borderId="14" xfId="0" applyFont="1" applyBorder="1"/>
    <xf numFmtId="174" fontId="21" fillId="5" borderId="15" xfId="0" applyNumberFormat="1" applyFont="1" applyFill="1" applyBorder="1"/>
    <xf numFmtId="174" fontId="21" fillId="0" borderId="15" xfId="0" applyNumberFormat="1" applyFont="1" applyBorder="1"/>
    <xf numFmtId="174" fontId="21" fillId="0" borderId="0" xfId="0" applyNumberFormat="1" applyFont="1"/>
    <xf numFmtId="174" fontId="21" fillId="0" borderId="0" xfId="0" applyNumberFormat="1" applyFont="1" applyBorder="1"/>
    <xf numFmtId="0" fontId="21" fillId="0" borderId="0" xfId="0" applyFont="1" applyAlignment="1">
      <alignment horizontal="center"/>
    </xf>
    <xf numFmtId="0" fontId="22" fillId="0" borderId="0" xfId="0" applyFont="1" applyAlignment="1">
      <alignment horizontal="center"/>
    </xf>
    <xf numFmtId="0" fontId="22" fillId="4" borderId="30" xfId="0" applyFont="1" applyFill="1" applyBorder="1" applyAlignment="1">
      <alignment horizontal="center"/>
    </xf>
    <xf numFmtId="41" fontId="21" fillId="0" borderId="30" xfId="0" applyNumberFormat="1" applyFont="1" applyBorder="1"/>
    <xf numFmtId="41" fontId="21" fillId="0" borderId="26" xfId="0" applyNumberFormat="1" applyFont="1" applyBorder="1"/>
    <xf numFmtId="0" fontId="22" fillId="0" borderId="30" xfId="0" applyFont="1" applyBorder="1"/>
    <xf numFmtId="4" fontId="21" fillId="0" borderId="20" xfId="0" applyNumberFormat="1" applyFont="1" applyBorder="1"/>
    <xf numFmtId="4" fontId="21" fillId="0" borderId="21" xfId="0" applyNumberFormat="1" applyFont="1" applyBorder="1"/>
    <xf numFmtId="174" fontId="21" fillId="0" borderId="22" xfId="0" applyNumberFormat="1" applyFont="1" applyBorder="1"/>
    <xf numFmtId="4" fontId="21" fillId="0" borderId="0" xfId="0" applyNumberFormat="1" applyFont="1"/>
    <xf numFmtId="4" fontId="21" fillId="0" borderId="11" xfId="0" applyNumberFormat="1" applyFont="1" applyBorder="1" applyAlignment="1">
      <alignment horizontal="center"/>
    </xf>
    <xf numFmtId="4" fontId="21" fillId="0" borderId="0" xfId="0" applyNumberFormat="1" applyFont="1" applyBorder="1" applyAlignment="1">
      <alignment horizontal="center"/>
    </xf>
    <xf numFmtId="174" fontId="21" fillId="0" borderId="12" xfId="0" applyNumberFormat="1" applyFont="1" applyBorder="1" applyAlignment="1">
      <alignment horizontal="center"/>
    </xf>
    <xf numFmtId="4" fontId="21" fillId="0" borderId="0" xfId="0" applyNumberFormat="1" applyFont="1" applyAlignment="1">
      <alignment horizontal="center"/>
    </xf>
    <xf numFmtId="4" fontId="21" fillId="0" borderId="11" xfId="0" applyNumberFormat="1" applyFont="1" applyBorder="1"/>
    <xf numFmtId="4" fontId="21" fillId="0" borderId="0" xfId="0" applyNumberFormat="1" applyFont="1" applyBorder="1"/>
    <xf numFmtId="174" fontId="21" fillId="5" borderId="0" xfId="1" applyNumberFormat="1" applyFont="1" applyFill="1" applyBorder="1" applyAlignment="1">
      <alignment horizontal="right"/>
    </xf>
    <xf numFmtId="174" fontId="21" fillId="5" borderId="0" xfId="1" applyNumberFormat="1" applyFont="1" applyFill="1" applyBorder="1"/>
    <xf numFmtId="174" fontId="21" fillId="0" borderId="0" xfId="1" applyNumberFormat="1" applyFont="1" applyBorder="1" applyAlignment="1">
      <alignment horizontal="right"/>
    </xf>
    <xf numFmtId="174" fontId="21" fillId="0" borderId="12" xfId="0" applyNumberFormat="1" applyFont="1" applyBorder="1"/>
    <xf numFmtId="41" fontId="22" fillId="5" borderId="23" xfId="1" applyNumberFormat="1" applyFont="1" applyFill="1" applyBorder="1" applyAlignment="1">
      <alignment horizontal="right"/>
    </xf>
    <xf numFmtId="174" fontId="22" fillId="0" borderId="0" xfId="0" applyNumberFormat="1" applyFont="1" applyBorder="1"/>
    <xf numFmtId="41" fontId="22" fillId="0" borderId="23" xfId="1" applyNumberFormat="1" applyFont="1" applyBorder="1" applyAlignment="1">
      <alignment horizontal="right"/>
    </xf>
    <xf numFmtId="41" fontId="21" fillId="5" borderId="25" xfId="1" applyNumberFormat="1" applyFont="1" applyFill="1" applyBorder="1" applyAlignment="1">
      <alignment horizontal="right"/>
    </xf>
    <xf numFmtId="41" fontId="21" fillId="0" borderId="25" xfId="1" applyNumberFormat="1" applyFont="1" applyBorder="1" applyAlignment="1">
      <alignment horizontal="right"/>
    </xf>
    <xf numFmtId="41" fontId="21" fillId="5" borderId="30" xfId="1" applyNumberFormat="1" applyFont="1" applyFill="1" applyBorder="1" applyAlignment="1">
      <alignment horizontal="right"/>
    </xf>
    <xf numFmtId="41" fontId="21" fillId="0" borderId="30" xfId="1" applyNumberFormat="1" applyFont="1" applyBorder="1" applyAlignment="1">
      <alignment horizontal="right"/>
    </xf>
    <xf numFmtId="3" fontId="22" fillId="0" borderId="0" xfId="0" applyNumberFormat="1" applyFont="1" applyFill="1" applyBorder="1" applyAlignment="1">
      <alignment horizontal="center"/>
    </xf>
    <xf numFmtId="41" fontId="21" fillId="5" borderId="26" xfId="1" applyNumberFormat="1" applyFont="1" applyFill="1" applyBorder="1" applyAlignment="1">
      <alignment horizontal="right"/>
    </xf>
    <xf numFmtId="41" fontId="21" fillId="0" borderId="26" xfId="1" applyNumberFormat="1" applyFont="1" applyBorder="1" applyAlignment="1">
      <alignment horizontal="right"/>
    </xf>
    <xf numFmtId="41" fontId="21" fillId="5" borderId="0" xfId="1" applyNumberFormat="1" applyFont="1" applyFill="1" applyBorder="1" applyAlignment="1">
      <alignment horizontal="right"/>
    </xf>
    <xf numFmtId="41" fontId="21" fillId="0" borderId="0" xfId="1" applyNumberFormat="1" applyFont="1" applyBorder="1" applyAlignment="1">
      <alignment horizontal="right"/>
    </xf>
    <xf numFmtId="41" fontId="22" fillId="5" borderId="0" xfId="1" applyNumberFormat="1" applyFont="1" applyFill="1" applyBorder="1" applyAlignment="1">
      <alignment horizontal="right"/>
    </xf>
    <xf numFmtId="41" fontId="22" fillId="0" borderId="0" xfId="1" applyNumberFormat="1" applyFont="1" applyBorder="1" applyAlignment="1">
      <alignment horizontal="right"/>
    </xf>
    <xf numFmtId="4" fontId="21" fillId="0" borderId="0" xfId="0" quotePrefix="1" applyNumberFormat="1" applyFont="1"/>
    <xf numFmtId="41" fontId="21" fillId="5" borderId="0" xfId="0" applyNumberFormat="1" applyFont="1" applyFill="1" applyBorder="1" applyAlignment="1">
      <alignment horizontal="right"/>
    </xf>
    <xf numFmtId="41" fontId="21" fillId="0" borderId="0" xfId="0" applyNumberFormat="1" applyFont="1" applyBorder="1" applyAlignment="1">
      <alignment horizontal="right"/>
    </xf>
    <xf numFmtId="41" fontId="22" fillId="5" borderId="24" xfId="1" applyNumberFormat="1" applyFont="1" applyFill="1" applyBorder="1" applyAlignment="1">
      <alignment horizontal="right"/>
    </xf>
    <xf numFmtId="41" fontId="22" fillId="0" borderId="24" xfId="1" applyNumberFormat="1" applyFont="1" applyBorder="1" applyAlignment="1">
      <alignment horizontal="right"/>
    </xf>
    <xf numFmtId="3" fontId="22" fillId="0" borderId="0" xfId="0" applyNumberFormat="1" applyFont="1" applyBorder="1" applyAlignment="1">
      <alignment horizontal="center"/>
    </xf>
    <xf numFmtId="4" fontId="21" fillId="0" borderId="14" xfId="0" applyNumberFormat="1" applyFont="1" applyBorder="1"/>
    <xf numFmtId="4" fontId="22" fillId="0" borderId="15" xfId="0" applyNumberFormat="1" applyFont="1" applyBorder="1"/>
    <xf numFmtId="3" fontId="22" fillId="0" borderId="15" xfId="0" applyNumberFormat="1" applyFont="1" applyBorder="1" applyAlignment="1">
      <alignment horizontal="center"/>
    </xf>
    <xf numFmtId="174" fontId="22" fillId="5" borderId="15" xfId="1" applyNumberFormat="1" applyFont="1" applyFill="1" applyBorder="1" applyAlignment="1">
      <alignment horizontal="right"/>
    </xf>
    <xf numFmtId="174" fontId="22" fillId="0" borderId="15" xfId="0" applyNumberFormat="1" applyFont="1" applyBorder="1"/>
    <xf numFmtId="41" fontId="22" fillId="0" borderId="15" xfId="1" applyNumberFormat="1" applyFont="1" applyBorder="1" applyAlignment="1">
      <alignment horizontal="right"/>
    </xf>
    <xf numFmtId="174" fontId="21" fillId="0" borderId="16" xfId="0" applyNumberFormat="1" applyFont="1" applyBorder="1"/>
    <xf numFmtId="169" fontId="12" fillId="0" borderId="0" xfId="17" applyFont="1" applyBorder="1"/>
    <xf numFmtId="169" fontId="21" fillId="0" borderId="20" xfId="17" applyFont="1" applyBorder="1"/>
    <xf numFmtId="174" fontId="21" fillId="0" borderId="21" xfId="18" applyNumberFormat="1" applyFont="1" applyBorder="1"/>
    <xf numFmtId="0" fontId="21" fillId="0" borderId="21" xfId="18" applyFont="1" applyBorder="1"/>
    <xf numFmtId="0" fontId="22" fillId="0" borderId="21" xfId="18" applyNumberFormat="1" applyFont="1" applyBorder="1" applyAlignment="1">
      <alignment horizontal="center"/>
    </xf>
    <xf numFmtId="169" fontId="21" fillId="0" borderId="22" xfId="17" applyFont="1" applyBorder="1"/>
    <xf numFmtId="169" fontId="21" fillId="0" borderId="0" xfId="17" applyFont="1" applyBorder="1"/>
    <xf numFmtId="174" fontId="22" fillId="0" borderId="0" xfId="18" quotePrefix="1" applyNumberFormat="1" applyFont="1" applyBorder="1" applyAlignment="1">
      <alignment horizontal="center"/>
    </xf>
    <xf numFmtId="174" fontId="22" fillId="0" borderId="0" xfId="1" applyNumberFormat="1" applyFont="1" applyBorder="1" applyAlignment="1">
      <alignment horizontal="center"/>
    </xf>
    <xf numFmtId="174" fontId="21" fillId="0" borderId="0" xfId="1" applyNumberFormat="1" applyFont="1" applyBorder="1"/>
    <xf numFmtId="174" fontId="22" fillId="5" borderId="0" xfId="1" applyNumberFormat="1" applyFont="1" applyFill="1" applyBorder="1" applyAlignment="1">
      <alignment horizontal="center"/>
    </xf>
    <xf numFmtId="41" fontId="21" fillId="0" borderId="0" xfId="1" applyNumberFormat="1" applyFont="1" applyBorder="1"/>
    <xf numFmtId="41" fontId="21" fillId="5" borderId="0" xfId="1" applyNumberFormat="1" applyFont="1" applyFill="1" applyBorder="1"/>
    <xf numFmtId="168" fontId="21" fillId="0" borderId="0" xfId="1" applyNumberFormat="1" applyFont="1" applyBorder="1"/>
    <xf numFmtId="41" fontId="21" fillId="5" borderId="23" xfId="1" applyNumberFormat="1" applyFont="1" applyFill="1" applyBorder="1" applyAlignment="1">
      <alignment horizontal="right"/>
    </xf>
    <xf numFmtId="41" fontId="22" fillId="0" borderId="24" xfId="1" applyNumberFormat="1" applyFont="1" applyBorder="1"/>
    <xf numFmtId="174" fontId="22" fillId="0" borderId="0" xfId="1" applyNumberFormat="1" applyFont="1" applyBorder="1"/>
    <xf numFmtId="41" fontId="22" fillId="5" borderId="24" xfId="1" applyNumberFormat="1" applyFont="1" applyFill="1" applyBorder="1"/>
    <xf numFmtId="169" fontId="22" fillId="0" borderId="11" xfId="17" applyFont="1" applyBorder="1"/>
    <xf numFmtId="169" fontId="22" fillId="0" borderId="12" xfId="17" applyFont="1" applyBorder="1"/>
    <xf numFmtId="169" fontId="22" fillId="0" borderId="0" xfId="17" applyFont="1"/>
    <xf numFmtId="41" fontId="22" fillId="0" borderId="24" xfId="1" applyNumberFormat="1" applyFont="1" applyBorder="1" applyProtection="1"/>
    <xf numFmtId="41" fontId="22" fillId="5" borderId="24" xfId="1" applyNumberFormat="1" applyFont="1" applyFill="1" applyBorder="1" applyProtection="1"/>
    <xf numFmtId="4" fontId="25" fillId="0" borderId="15" xfId="1" applyNumberFormat="1" applyFont="1" applyFill="1" applyBorder="1"/>
    <xf numFmtId="174" fontId="21" fillId="0" borderId="15" xfId="18" applyNumberFormat="1" applyFont="1" applyBorder="1" applyProtection="1"/>
    <xf numFmtId="4" fontId="22" fillId="0" borderId="19" xfId="0" applyNumberFormat="1" applyFont="1" applyBorder="1" applyAlignment="1">
      <alignment horizontal="center" wrapText="1"/>
    </xf>
    <xf numFmtId="0" fontId="21" fillId="0" borderId="33" xfId="0" applyFont="1" applyBorder="1"/>
    <xf numFmtId="4" fontId="21" fillId="0" borderId="34" xfId="0" applyNumberFormat="1" applyFont="1" applyBorder="1"/>
    <xf numFmtId="41" fontId="21" fillId="0" borderId="34" xfId="0" applyNumberFormat="1" applyFont="1" applyBorder="1"/>
    <xf numFmtId="0" fontId="21" fillId="0" borderId="33" xfId="0" applyFont="1" applyFill="1" applyBorder="1"/>
    <xf numFmtId="0" fontId="21" fillId="0" borderId="30" xfId="0" applyFont="1" applyFill="1" applyBorder="1"/>
    <xf numFmtId="41" fontId="21" fillId="0" borderId="30" xfId="0" applyNumberFormat="1" applyFont="1" applyFill="1" applyBorder="1"/>
    <xf numFmtId="41" fontId="21" fillId="0" borderId="34" xfId="0" applyNumberFormat="1" applyFont="1" applyFill="1" applyBorder="1"/>
    <xf numFmtId="0" fontId="21" fillId="0" borderId="0" xfId="0" applyFont="1" applyFill="1"/>
    <xf numFmtId="41" fontId="22" fillId="0" borderId="38" xfId="0" applyNumberFormat="1" applyFont="1" applyBorder="1"/>
    <xf numFmtId="41" fontId="21" fillId="0" borderId="34" xfId="0" applyNumberFormat="1" applyFont="1" applyBorder="1" applyAlignment="1">
      <alignment horizontal="right"/>
    </xf>
    <xf numFmtId="41" fontId="22" fillId="0" borderId="39" xfId="0" applyNumberFormat="1" applyFont="1" applyBorder="1"/>
    <xf numFmtId="41" fontId="22" fillId="0" borderId="34" xfId="0" applyNumberFormat="1" applyFont="1" applyBorder="1"/>
    <xf numFmtId="43" fontId="21" fillId="0" borderId="25" xfId="0" applyNumberFormat="1" applyFont="1" applyBorder="1"/>
    <xf numFmtId="41" fontId="21" fillId="5" borderId="30" xfId="0" applyNumberFormat="1" applyFont="1" applyFill="1" applyBorder="1"/>
    <xf numFmtId="41" fontId="22" fillId="0" borderId="34" xfId="0" applyNumberFormat="1" applyFont="1" applyFill="1" applyBorder="1"/>
    <xf numFmtId="0" fontId="21" fillId="0" borderId="35" xfId="0" applyFont="1" applyBorder="1"/>
    <xf numFmtId="4" fontId="21" fillId="0" borderId="37" xfId="0" applyNumberFormat="1" applyFont="1" applyFill="1" applyBorder="1"/>
    <xf numFmtId="0" fontId="12" fillId="0" borderId="0" xfId="0" applyFont="1"/>
    <xf numFmtId="41" fontId="21" fillId="0" borderId="0" xfId="0" applyNumberFormat="1" applyFont="1" applyFill="1" applyBorder="1"/>
    <xf numFmtId="41" fontId="23" fillId="0" borderId="0" xfId="0" applyNumberFormat="1" applyFont="1" applyFill="1" applyBorder="1" applyAlignment="1">
      <alignment horizontal="right"/>
    </xf>
    <xf numFmtId="37" fontId="21" fillId="0" borderId="0" xfId="0" applyNumberFormat="1" applyFont="1" applyFill="1" applyBorder="1"/>
    <xf numFmtId="41" fontId="22" fillId="0" borderId="24" xfId="0" applyNumberFormat="1" applyFont="1" applyFill="1" applyBorder="1"/>
    <xf numFmtId="41" fontId="21" fillId="0" borderId="28" xfId="1" applyNumberFormat="1" applyFont="1" applyFill="1" applyBorder="1"/>
    <xf numFmtId="41" fontId="22" fillId="0" borderId="24" xfId="1" applyNumberFormat="1" applyFont="1" applyFill="1" applyBorder="1"/>
    <xf numFmtId="10" fontId="21" fillId="0" borderId="0" xfId="1" applyNumberFormat="1" applyFont="1" applyFill="1" applyBorder="1"/>
    <xf numFmtId="41" fontId="21" fillId="0" borderId="0" xfId="0" applyNumberFormat="1" applyFont="1" applyFill="1" applyBorder="1" applyAlignment="1">
      <alignment horizontal="right"/>
    </xf>
    <xf numFmtId="0" fontId="21" fillId="0" borderId="0" xfId="0" applyFont="1" applyFill="1" applyBorder="1" applyAlignment="1">
      <alignment horizontal="right"/>
    </xf>
    <xf numFmtId="174" fontId="21" fillId="0" borderId="0" xfId="0" applyNumberFormat="1" applyFont="1" applyFill="1" applyBorder="1"/>
    <xf numFmtId="41" fontId="22" fillId="0" borderId="0" xfId="0" applyNumberFormat="1" applyFont="1" applyFill="1" applyBorder="1" applyAlignment="1">
      <alignment horizontal="center"/>
    </xf>
    <xf numFmtId="0" fontId="23" fillId="0" borderId="0" xfId="0" applyFont="1" applyFill="1" applyBorder="1" applyAlignment="1">
      <alignment horizontal="right"/>
    </xf>
    <xf numFmtId="0" fontId="22" fillId="0" borderId="0" xfId="0" quotePrefix="1" applyFont="1" applyFill="1" applyBorder="1" applyAlignment="1">
      <alignment horizontal="center"/>
    </xf>
    <xf numFmtId="41" fontId="21" fillId="0" borderId="23" xfId="1" applyNumberFormat="1" applyFont="1" applyFill="1" applyBorder="1"/>
    <xf numFmtId="41" fontId="21" fillId="0" borderId="25" xfId="1" applyNumberFormat="1" applyFont="1" applyFill="1" applyBorder="1"/>
    <xf numFmtId="41" fontId="21" fillId="0" borderId="30" xfId="1" applyNumberFormat="1" applyFont="1" applyFill="1" applyBorder="1"/>
    <xf numFmtId="41" fontId="21" fillId="0" borderId="26" xfId="1" applyNumberFormat="1" applyFont="1" applyFill="1" applyBorder="1"/>
    <xf numFmtId="41" fontId="21" fillId="0" borderId="40" xfId="1" applyNumberFormat="1" applyFont="1" applyFill="1" applyBorder="1"/>
    <xf numFmtId="4" fontId="21" fillId="0" borderId="0" xfId="1" applyNumberFormat="1" applyFont="1" applyFill="1" applyBorder="1"/>
    <xf numFmtId="174" fontId="21" fillId="0" borderId="0" xfId="1" applyNumberFormat="1" applyFont="1" applyFill="1" applyBorder="1"/>
    <xf numFmtId="3" fontId="22" fillId="0" borderId="0" xfId="0" applyNumberFormat="1" applyFont="1" applyFill="1" applyBorder="1"/>
    <xf numFmtId="41" fontId="28" fillId="0" borderId="0" xfId="0" applyNumberFormat="1" applyFont="1" applyFill="1" applyBorder="1" applyAlignment="1">
      <alignment horizontal="right"/>
    </xf>
    <xf numFmtId="41" fontId="21" fillId="0" borderId="23" xfId="0" applyNumberFormat="1" applyFont="1" applyFill="1" applyBorder="1" applyAlignment="1">
      <alignment horizontal="right"/>
    </xf>
    <xf numFmtId="41" fontId="22" fillId="0" borderId="24" xfId="0" applyNumberFormat="1" applyFont="1" applyFill="1" applyBorder="1" applyAlignment="1">
      <alignment horizontal="right"/>
    </xf>
    <xf numFmtId="0" fontId="22" fillId="0" borderId="0" xfId="0" applyFont="1" applyFill="1" applyBorder="1" applyAlignment="1">
      <alignment horizontal="center" vertical="center" wrapText="1"/>
    </xf>
    <xf numFmtId="41" fontId="22" fillId="0" borderId="0" xfId="1" applyNumberFormat="1" applyFont="1" applyFill="1" applyBorder="1"/>
    <xf numFmtId="168" fontId="22" fillId="0" borderId="0" xfId="1" applyNumberFormat="1" applyFont="1" applyFill="1" applyBorder="1"/>
    <xf numFmtId="41" fontId="22" fillId="0" borderId="15" xfId="1" applyNumberFormat="1" applyFont="1" applyFill="1" applyBorder="1"/>
    <xf numFmtId="41" fontId="21" fillId="0" borderId="30" xfId="0" applyNumberFormat="1" applyFont="1" applyFill="1" applyBorder="1" applyAlignment="1">
      <alignment horizontal="right"/>
    </xf>
    <xf numFmtId="41" fontId="21" fillId="0" borderId="26" xfId="0" applyNumberFormat="1" applyFont="1" applyFill="1" applyBorder="1" applyAlignment="1">
      <alignment horizontal="right"/>
    </xf>
    <xf numFmtId="0" fontId="27" fillId="0" borderId="0" xfId="0" applyFont="1" applyFill="1" applyBorder="1"/>
    <xf numFmtId="0" fontId="15" fillId="0" borderId="0" xfId="0" applyFont="1" applyFill="1" applyBorder="1"/>
    <xf numFmtId="177" fontId="15" fillId="0" borderId="0" xfId="0" applyNumberFormat="1" applyFont="1" applyFill="1" applyBorder="1"/>
    <xf numFmtId="0" fontId="29" fillId="0" borderId="0" xfId="0" applyFont="1" applyFill="1" applyBorder="1" applyAlignment="1">
      <alignment horizontal="center"/>
    </xf>
    <xf numFmtId="167" fontId="15" fillId="0" borderId="0" xfId="0" applyNumberFormat="1" applyFont="1" applyFill="1" applyBorder="1"/>
    <xf numFmtId="0" fontId="29" fillId="0" borderId="0" xfId="0" applyFont="1" applyFill="1" applyBorder="1"/>
    <xf numFmtId="177" fontId="29" fillId="0" borderId="0" xfId="0" applyNumberFormat="1" applyFont="1" applyFill="1" applyBorder="1"/>
    <xf numFmtId="177" fontId="29" fillId="0" borderId="24" xfId="1" applyNumberFormat="1" applyFont="1" applyFill="1" applyBorder="1"/>
    <xf numFmtId="174" fontId="22" fillId="0" borderId="0" xfId="0" applyNumberFormat="1" applyFont="1" applyFill="1" applyBorder="1" applyAlignment="1">
      <alignment horizontal="center"/>
    </xf>
    <xf numFmtId="174" fontId="23" fillId="0" borderId="0" xfId="0" applyNumberFormat="1" applyFont="1" applyFill="1" applyBorder="1" applyAlignment="1">
      <alignment horizontal="right"/>
    </xf>
    <xf numFmtId="41" fontId="22" fillId="0" borderId="23" xfId="1" applyNumberFormat="1" applyFont="1" applyFill="1" applyBorder="1"/>
    <xf numFmtId="0" fontId="16" fillId="0" borderId="0" xfId="0" quotePrefix="1" applyFont="1" applyBorder="1" applyAlignment="1">
      <alignment horizontal="center"/>
    </xf>
    <xf numFmtId="3" fontId="13" fillId="0" borderId="0" xfId="0" applyNumberFormat="1" applyFont="1" applyBorder="1"/>
    <xf numFmtId="4" fontId="21" fillId="0" borderId="28" xfId="1" applyNumberFormat="1" applyFont="1" applyFill="1" applyBorder="1"/>
    <xf numFmtId="41" fontId="21" fillId="0" borderId="15" xfId="1" applyNumberFormat="1" applyFont="1" applyFill="1" applyBorder="1"/>
    <xf numFmtId="41" fontId="26" fillId="0" borderId="0" xfId="1" applyNumberFormat="1" applyFont="1" applyFill="1" applyBorder="1"/>
    <xf numFmtId="0" fontId="21" fillId="0" borderId="0" xfId="0" quotePrefix="1" applyFont="1" applyFill="1" applyBorder="1" applyAlignment="1">
      <alignment horizontal="center"/>
    </xf>
    <xf numFmtId="41" fontId="21" fillId="0" borderId="23" xfId="0" applyNumberFormat="1" applyFont="1" applyFill="1" applyBorder="1"/>
    <xf numFmtId="41" fontId="21" fillId="0" borderId="25" xfId="0" applyNumberFormat="1" applyFont="1" applyFill="1" applyBorder="1"/>
    <xf numFmtId="41" fontId="21" fillId="0" borderId="26" xfId="0" applyNumberFormat="1" applyFont="1" applyFill="1" applyBorder="1"/>
    <xf numFmtId="0" fontId="22" fillId="0" borderId="0" xfId="0" applyFont="1" applyFill="1" applyBorder="1" applyAlignment="1">
      <alignment horizontal="left"/>
    </xf>
    <xf numFmtId="41" fontId="21" fillId="0" borderId="28" xfId="0" applyNumberFormat="1" applyFont="1" applyFill="1" applyBorder="1"/>
    <xf numFmtId="41" fontId="22" fillId="0" borderId="0" xfId="0" applyNumberFormat="1" applyFont="1" applyFill="1" applyBorder="1"/>
    <xf numFmtId="43" fontId="21" fillId="0" borderId="0" xfId="0" applyNumberFormat="1" applyFont="1" applyFill="1" applyBorder="1"/>
    <xf numFmtId="41" fontId="21" fillId="0" borderId="0" xfId="0" applyNumberFormat="1" applyFont="1" applyFill="1" applyBorder="1" applyAlignment="1">
      <alignment horizontal="center"/>
    </xf>
    <xf numFmtId="0" fontId="22" fillId="0" borderId="0" xfId="14" applyFont="1" applyFill="1" applyBorder="1"/>
    <xf numFmtId="3" fontId="21" fillId="0" borderId="0" xfId="1" applyNumberFormat="1" applyFont="1" applyFill="1" applyBorder="1" applyProtection="1"/>
    <xf numFmtId="0" fontId="21" fillId="0" borderId="0" xfId="14" applyFont="1" applyFill="1" applyBorder="1"/>
    <xf numFmtId="41" fontId="21" fillId="0" borderId="0" xfId="1" applyNumberFormat="1" applyFont="1" applyFill="1" applyBorder="1" applyProtection="1"/>
    <xf numFmtId="41" fontId="21" fillId="0" borderId="0" xfId="14" applyNumberFormat="1" applyFont="1" applyFill="1" applyBorder="1"/>
    <xf numFmtId="0" fontId="21" fillId="0" borderId="0" xfId="14" applyFont="1" applyFill="1" applyBorder="1" applyProtection="1"/>
    <xf numFmtId="0" fontId="22" fillId="0" borderId="0" xfId="14" applyFont="1" applyFill="1" applyBorder="1" applyProtection="1"/>
    <xf numFmtId="0" fontId="24" fillId="0" borderId="0" xfId="14" applyFont="1" applyFill="1" applyBorder="1" applyProtection="1"/>
    <xf numFmtId="41" fontId="21" fillId="0" borderId="21" xfId="1" applyNumberFormat="1" applyFont="1" applyFill="1" applyBorder="1" applyProtection="1"/>
    <xf numFmtId="41" fontId="22" fillId="0" borderId="24" xfId="1" applyNumberFormat="1" applyFont="1" applyFill="1" applyBorder="1" applyProtection="1"/>
    <xf numFmtId="41" fontId="22" fillId="0" borderId="0" xfId="14" applyNumberFormat="1" applyFont="1" applyFill="1" applyBorder="1"/>
    <xf numFmtId="177" fontId="21" fillId="0" borderId="0" xfId="1" applyNumberFormat="1" applyFont="1" applyFill="1" applyBorder="1"/>
    <xf numFmtId="41" fontId="22" fillId="0" borderId="0" xfId="1" applyNumberFormat="1" applyFont="1" applyFill="1" applyBorder="1" applyAlignment="1">
      <alignment horizontal="center"/>
    </xf>
    <xf numFmtId="3" fontId="21" fillId="0" borderId="0" xfId="1" applyNumberFormat="1" applyFont="1" applyFill="1" applyBorder="1"/>
    <xf numFmtId="37" fontId="21" fillId="0" borderId="0" xfId="1" applyNumberFormat="1" applyFont="1" applyFill="1" applyBorder="1"/>
    <xf numFmtId="37" fontId="23" fillId="0" borderId="0" xfId="0" applyNumberFormat="1" applyFont="1" applyFill="1" applyBorder="1" applyAlignment="1">
      <alignment horizontal="right"/>
    </xf>
    <xf numFmtId="41" fontId="21" fillId="0" borderId="0" xfId="0" applyNumberFormat="1" applyFont="1" applyFill="1" applyBorder="1" applyAlignment="1"/>
    <xf numFmtId="177" fontId="21" fillId="0" borderId="0" xfId="0" applyNumberFormat="1" applyFont="1" applyFill="1" applyBorder="1" applyAlignment="1">
      <alignment horizontal="right"/>
    </xf>
    <xf numFmtId="41" fontId="22" fillId="0" borderId="28" xfId="0" applyNumberFormat="1" applyFont="1" applyFill="1" applyBorder="1"/>
    <xf numFmtId="0" fontId="22" fillId="7" borderId="40" xfId="0" applyFont="1" applyFill="1" applyBorder="1" applyAlignment="1">
      <alignment horizontal="center"/>
    </xf>
    <xf numFmtId="0" fontId="24" fillId="0" borderId="40" xfId="0" applyFont="1" applyFill="1" applyBorder="1" applyAlignment="1"/>
    <xf numFmtId="37" fontId="22" fillId="0" borderId="0" xfId="0" applyNumberFormat="1" applyFont="1" applyFill="1" applyBorder="1"/>
    <xf numFmtId="37" fontId="22" fillId="0" borderId="0" xfId="0" quotePrefix="1" applyNumberFormat="1" applyFont="1" applyFill="1" applyBorder="1"/>
    <xf numFmtId="37" fontId="22" fillId="0" borderId="0" xfId="0" quotePrefix="1" applyNumberFormat="1" applyFont="1" applyFill="1" applyBorder="1" applyAlignment="1">
      <alignment horizontal="center"/>
    </xf>
    <xf numFmtId="37" fontId="21" fillId="0" borderId="0" xfId="0" quotePrefix="1" applyNumberFormat="1" applyFont="1" applyFill="1" applyBorder="1"/>
    <xf numFmtId="37" fontId="24" fillId="0" borderId="0" xfId="0" applyNumberFormat="1" applyFont="1" applyFill="1" applyBorder="1"/>
    <xf numFmtId="41" fontId="21" fillId="0" borderId="24" xfId="0" applyNumberFormat="1" applyFont="1" applyFill="1" applyBorder="1"/>
    <xf numFmtId="49" fontId="29" fillId="0" borderId="0" xfId="0" applyNumberFormat="1" applyFont="1" applyFill="1" applyBorder="1" applyAlignment="1">
      <alignment horizontal="center"/>
    </xf>
    <xf numFmtId="167" fontId="29" fillId="0" borderId="0" xfId="0" applyNumberFormat="1" applyFont="1" applyFill="1" applyBorder="1" applyAlignment="1">
      <alignment horizontal="center"/>
    </xf>
    <xf numFmtId="167" fontId="29" fillId="0" borderId="24" xfId="0" applyNumberFormat="1" applyFont="1" applyFill="1" applyBorder="1"/>
    <xf numFmtId="0" fontId="15" fillId="0" borderId="0" xfId="0" applyFont="1" applyFill="1" applyBorder="1" applyAlignment="1">
      <alignment horizontal="center"/>
    </xf>
    <xf numFmtId="41" fontId="28" fillId="0" borderId="0" xfId="0" applyNumberFormat="1" applyFont="1" applyFill="1" applyBorder="1" applyAlignment="1">
      <alignment horizontal="center"/>
    </xf>
    <xf numFmtId="41" fontId="21" fillId="11" borderId="0" xfId="0" applyNumberFormat="1" applyFont="1" applyFill="1" applyBorder="1"/>
    <xf numFmtId="41" fontId="51" fillId="0" borderId="0" xfId="0" applyNumberFormat="1" applyFont="1" applyFill="1" applyBorder="1"/>
    <xf numFmtId="37" fontId="21" fillId="0" borderId="0" xfId="0" applyNumberFormat="1" applyFont="1" applyFill="1" applyBorder="1" applyAlignment="1">
      <alignment horizontal="right"/>
    </xf>
    <xf numFmtId="3" fontId="27" fillId="0" borderId="0" xfId="0" applyNumberFormat="1" applyFont="1" applyFill="1" applyBorder="1"/>
    <xf numFmtId="37" fontId="32" fillId="0" borderId="0" xfId="0" applyNumberFormat="1" applyFont="1" applyFill="1" applyBorder="1" applyAlignment="1">
      <alignment horizontal="right"/>
    </xf>
    <xf numFmtId="41" fontId="22" fillId="0" borderId="15" xfId="1" applyNumberFormat="1" applyFont="1" applyFill="1" applyBorder="1" applyAlignment="1"/>
    <xf numFmtId="37" fontId="27" fillId="0" borderId="0" xfId="0" applyNumberFormat="1" applyFont="1" applyFill="1" applyBorder="1"/>
    <xf numFmtId="0" fontId="22" fillId="12" borderId="41" xfId="0" applyFont="1" applyFill="1" applyBorder="1" applyAlignment="1">
      <alignment horizontal="center"/>
    </xf>
    <xf numFmtId="0" fontId="22" fillId="12" borderId="42" xfId="0" applyFont="1" applyFill="1" applyBorder="1" applyAlignment="1">
      <alignment horizontal="center"/>
    </xf>
    <xf numFmtId="0" fontId="22" fillId="12" borderId="43" xfId="0" applyFont="1" applyFill="1" applyBorder="1" applyAlignment="1">
      <alignment horizontal="center"/>
    </xf>
    <xf numFmtId="0" fontId="15" fillId="0" borderId="0" xfId="0" applyFont="1" applyFill="1"/>
    <xf numFmtId="3" fontId="29" fillId="0" borderId="0" xfId="0" applyNumberFormat="1" applyFont="1" applyFill="1" applyBorder="1" applyAlignment="1">
      <alignment horizontal="center"/>
    </xf>
    <xf numFmtId="3" fontId="15" fillId="0" borderId="0" xfId="0" applyNumberFormat="1" applyFont="1" applyBorder="1"/>
    <xf numFmtId="0" fontId="35" fillId="0" borderId="0" xfId="0" applyFont="1" applyFill="1" applyBorder="1"/>
    <xf numFmtId="0" fontId="29" fillId="0" borderId="0" xfId="0" quotePrefix="1" applyFont="1" applyFill="1" applyBorder="1" applyAlignment="1">
      <alignment horizontal="center"/>
    </xf>
    <xf numFmtId="41" fontId="29" fillId="0" borderId="0" xfId="0" applyNumberFormat="1" applyFont="1" applyFill="1" applyBorder="1" applyAlignment="1">
      <alignment horizontal="center"/>
    </xf>
    <xf numFmtId="41" fontId="29" fillId="0" borderId="0" xfId="2" applyNumberFormat="1" applyFont="1" applyFill="1" applyBorder="1" applyAlignment="1">
      <alignment horizontal="center"/>
    </xf>
    <xf numFmtId="0" fontId="29" fillId="0" borderId="18" xfId="0" applyFont="1" applyFill="1" applyBorder="1" applyAlignment="1">
      <alignment horizontal="center"/>
    </xf>
    <xf numFmtId="3" fontId="29" fillId="0" borderId="18" xfId="1" applyNumberFormat="1" applyFont="1" applyFill="1" applyBorder="1" applyAlignment="1">
      <alignment horizontal="center"/>
    </xf>
    <xf numFmtId="3" fontId="29" fillId="0" borderId="4" xfId="1" applyNumberFormat="1" applyFont="1" applyFill="1" applyBorder="1" applyAlignment="1">
      <alignment horizontal="center"/>
    </xf>
    <xf numFmtId="168" fontId="29" fillId="0" borderId="18" xfId="1" quotePrefix="1" applyNumberFormat="1" applyFont="1" applyFill="1" applyBorder="1" applyAlignment="1">
      <alignment horizontal="center"/>
    </xf>
    <xf numFmtId="3" fontId="29" fillId="0" borderId="18" xfId="1" quotePrefix="1" applyNumberFormat="1" applyFont="1" applyFill="1" applyBorder="1" applyAlignment="1">
      <alignment horizontal="center"/>
    </xf>
    <xf numFmtId="3" fontId="29" fillId="0" borderId="19" xfId="1" applyNumberFormat="1" applyFont="1" applyFill="1" applyBorder="1" applyAlignment="1">
      <alignment horizontal="center"/>
    </xf>
    <xf numFmtId="0" fontId="29" fillId="0" borderId="30" xfId="0" applyFont="1" applyFill="1" applyBorder="1" applyAlignment="1">
      <alignment horizontal="center"/>
    </xf>
    <xf numFmtId="3" fontId="29" fillId="0" borderId="30" xfId="0" applyNumberFormat="1" applyFont="1" applyFill="1" applyBorder="1" applyAlignment="1">
      <alignment horizontal="center"/>
    </xf>
    <xf numFmtId="3" fontId="29" fillId="0" borderId="0" xfId="1" applyNumberFormat="1" applyFont="1" applyFill="1" applyBorder="1" applyAlignment="1">
      <alignment horizontal="center"/>
    </xf>
    <xf numFmtId="168" fontId="29" fillId="0" borderId="30" xfId="1" applyNumberFormat="1" applyFont="1" applyFill="1" applyBorder="1" applyAlignment="1">
      <alignment horizontal="center"/>
    </xf>
    <xf numFmtId="0" fontId="29" fillId="0" borderId="19" xfId="0" applyFont="1" applyFill="1" applyBorder="1" applyAlignment="1">
      <alignment horizontal="center"/>
    </xf>
    <xf numFmtId="3" fontId="29" fillId="0" borderId="30" xfId="1" applyNumberFormat="1" applyFont="1" applyFill="1" applyBorder="1" applyAlignment="1">
      <alignment horizontal="center"/>
    </xf>
    <xf numFmtId="0" fontId="29" fillId="0" borderId="6" xfId="0" applyFont="1" applyFill="1" applyBorder="1"/>
    <xf numFmtId="0" fontId="29" fillId="0" borderId="46" xfId="0" applyFont="1" applyFill="1" applyBorder="1"/>
    <xf numFmtId="41" fontId="29" fillId="0" borderId="50" xfId="0" applyNumberFormat="1" applyFont="1" applyFill="1" applyBorder="1"/>
    <xf numFmtId="41" fontId="29" fillId="0" borderId="13" xfId="0" applyNumberFormat="1" applyFont="1" applyFill="1" applyBorder="1"/>
    <xf numFmtId="41" fontId="29" fillId="0" borderId="51" xfId="0" applyNumberFormat="1" applyFont="1" applyFill="1" applyBorder="1"/>
    <xf numFmtId="41" fontId="51" fillId="0" borderId="0" xfId="1" applyNumberFormat="1" applyFont="1" applyFill="1" applyBorder="1"/>
    <xf numFmtId="39" fontId="13" fillId="0" borderId="0" xfId="16" applyFont="1" applyBorder="1"/>
    <xf numFmtId="39" fontId="13" fillId="0" borderId="0" xfId="16" applyNumberFormat="1" applyFont="1" applyBorder="1"/>
    <xf numFmtId="39" fontId="13" fillId="0" borderId="0" xfId="16" applyFont="1" applyBorder="1" applyAlignment="1">
      <alignment horizontal="center"/>
    </xf>
    <xf numFmtId="0" fontId="13" fillId="0" borderId="0" xfId="16" applyNumberFormat="1" applyFont="1" applyBorder="1" applyAlignment="1">
      <alignment horizontal="center"/>
    </xf>
    <xf numFmtId="39" fontId="37" fillId="0" borderId="0" xfId="16" applyFont="1" applyBorder="1"/>
    <xf numFmtId="39" fontId="37" fillId="0" borderId="0" xfId="16" applyNumberFormat="1" applyFont="1" applyBorder="1"/>
    <xf numFmtId="39" fontId="29" fillId="4" borderId="17" xfId="16" applyFont="1" applyFill="1" applyBorder="1"/>
    <xf numFmtId="39" fontId="29" fillId="4" borderId="18" xfId="16" applyFont="1" applyFill="1" applyBorder="1" applyAlignment="1">
      <alignment horizontal="center"/>
    </xf>
    <xf numFmtId="0" fontId="29" fillId="4" borderId="18" xfId="16" applyNumberFormat="1" applyFont="1" applyFill="1" applyBorder="1" applyAlignment="1">
      <alignment horizontal="center"/>
    </xf>
    <xf numFmtId="39" fontId="29" fillId="4" borderId="19" xfId="16" applyFont="1" applyFill="1" applyBorder="1" applyAlignment="1">
      <alignment horizontal="center"/>
    </xf>
    <xf numFmtId="39" fontId="15" fillId="0" borderId="0" xfId="16" applyFont="1" applyBorder="1"/>
    <xf numFmtId="39" fontId="29" fillId="4" borderId="17" xfId="16" applyFont="1" applyFill="1" applyBorder="1" applyAlignment="1">
      <alignment horizontal="center"/>
    </xf>
    <xf numFmtId="39" fontId="29" fillId="0" borderId="0" xfId="16" applyNumberFormat="1" applyFont="1" applyBorder="1" applyAlignment="1">
      <alignment horizontal="center"/>
    </xf>
    <xf numFmtId="39" fontId="29" fillId="4" borderId="33" xfId="16" applyFont="1" applyFill="1" applyBorder="1" applyAlignment="1">
      <alignment horizontal="center"/>
    </xf>
    <xf numFmtId="39" fontId="29" fillId="4" borderId="30" xfId="16" applyFont="1" applyFill="1" applyBorder="1" applyAlignment="1">
      <alignment horizontal="center"/>
    </xf>
    <xf numFmtId="0" fontId="29" fillId="4" borderId="30" xfId="16" applyNumberFormat="1" applyFont="1" applyFill="1" applyBorder="1" applyAlignment="1">
      <alignment horizontal="center"/>
    </xf>
    <xf numFmtId="39" fontId="29" fillId="4" borderId="34" xfId="16" applyFont="1" applyFill="1" applyBorder="1" applyAlignment="1">
      <alignment horizontal="center"/>
    </xf>
    <xf numFmtId="39" fontId="29" fillId="4" borderId="35" xfId="16" applyFont="1" applyFill="1" applyBorder="1"/>
    <xf numFmtId="39" fontId="29" fillId="4" borderId="36" xfId="16" applyFont="1" applyFill="1" applyBorder="1" applyAlignment="1">
      <alignment horizontal="center"/>
    </xf>
    <xf numFmtId="0" fontId="29" fillId="4" borderId="36" xfId="16" applyNumberFormat="1" applyFont="1" applyFill="1" applyBorder="1" applyAlignment="1">
      <alignment horizontal="center"/>
    </xf>
    <xf numFmtId="39" fontId="29" fillId="4" borderId="36" xfId="16" quotePrefix="1" applyFont="1" applyFill="1" applyBorder="1" applyAlignment="1">
      <alignment horizontal="center"/>
    </xf>
    <xf numFmtId="39" fontId="29" fillId="4" borderId="37" xfId="16" applyFont="1" applyFill="1" applyBorder="1" applyAlignment="1">
      <alignment horizontal="center"/>
    </xf>
    <xf numFmtId="39" fontId="29" fillId="4" borderId="35" xfId="16" applyFont="1" applyFill="1" applyBorder="1" applyAlignment="1">
      <alignment horizontal="center"/>
    </xf>
    <xf numFmtId="39" fontId="29" fillId="0" borderId="0" xfId="16" quotePrefix="1" applyNumberFormat="1" applyFont="1" applyBorder="1" applyAlignment="1">
      <alignment horizontal="center"/>
    </xf>
    <xf numFmtId="39" fontId="29" fillId="0" borderId="17" xfId="16" applyFont="1" applyBorder="1"/>
    <xf numFmtId="39" fontId="29" fillId="0" borderId="18" xfId="16" applyFont="1" applyBorder="1" applyAlignment="1">
      <alignment horizontal="center"/>
    </xf>
    <xf numFmtId="0" fontId="29" fillId="0" borderId="18" xfId="16" applyNumberFormat="1" applyFont="1" applyBorder="1" applyAlignment="1">
      <alignment horizontal="center"/>
    </xf>
    <xf numFmtId="39" fontId="29" fillId="0" borderId="19" xfId="16" applyFont="1" applyBorder="1" applyAlignment="1">
      <alignment horizontal="center"/>
    </xf>
    <xf numFmtId="39" fontId="29" fillId="0" borderId="33" xfId="16" applyFont="1" applyBorder="1" applyAlignment="1">
      <alignment horizontal="center"/>
    </xf>
    <xf numFmtId="39" fontId="29" fillId="0" borderId="34" xfId="16" applyFont="1" applyBorder="1" applyAlignment="1">
      <alignment horizontal="center"/>
    </xf>
    <xf numFmtId="39" fontId="15" fillId="0" borderId="0" xfId="16" applyNumberFormat="1" applyFont="1" applyBorder="1"/>
    <xf numFmtId="39" fontId="29" fillId="0" borderId="33" xfId="16" applyFont="1" applyBorder="1"/>
    <xf numFmtId="41" fontId="15" fillId="0" borderId="30" xfId="16" applyNumberFormat="1" applyFont="1" applyBorder="1" applyProtection="1"/>
    <xf numFmtId="39" fontId="15" fillId="0" borderId="30" xfId="16" applyFont="1" applyBorder="1" applyAlignment="1">
      <alignment horizontal="center"/>
    </xf>
    <xf numFmtId="0" fontId="15" fillId="0" borderId="30" xfId="16" applyNumberFormat="1" applyFont="1" applyBorder="1" applyAlignment="1">
      <alignment horizontal="center"/>
    </xf>
    <xf numFmtId="41" fontId="15" fillId="0" borderId="34" xfId="16" applyNumberFormat="1" applyFont="1" applyBorder="1" applyProtection="1"/>
    <xf numFmtId="41" fontId="15" fillId="0" borderId="0" xfId="16" applyNumberFormat="1" applyFont="1" applyBorder="1"/>
    <xf numFmtId="41" fontId="15" fillId="0" borderId="33" xfId="16" applyNumberFormat="1" applyFont="1" applyBorder="1"/>
    <xf numFmtId="41" fontId="15" fillId="0" borderId="34" xfId="16" applyNumberFormat="1" applyFont="1" applyBorder="1"/>
    <xf numFmtId="171" fontId="15" fillId="0" borderId="0" xfId="16" applyNumberFormat="1" applyFont="1" applyBorder="1"/>
    <xf numFmtId="171" fontId="15" fillId="0" borderId="33" xfId="16" applyNumberFormat="1" applyFont="1" applyBorder="1"/>
    <xf numFmtId="10" fontId="15" fillId="0" borderId="30" xfId="16" applyNumberFormat="1" applyFont="1" applyBorder="1" applyAlignment="1">
      <alignment horizontal="center"/>
    </xf>
    <xf numFmtId="171" fontId="29" fillId="0" borderId="33" xfId="16" applyNumberFormat="1" applyFont="1" applyBorder="1"/>
    <xf numFmtId="41" fontId="29" fillId="0" borderId="38" xfId="16" applyNumberFormat="1" applyFont="1" applyBorder="1" applyProtection="1"/>
    <xf numFmtId="10" fontId="29" fillId="0" borderId="30" xfId="16" applyNumberFormat="1" applyFont="1" applyBorder="1" applyAlignment="1">
      <alignment horizontal="center"/>
    </xf>
    <xf numFmtId="0" fontId="29" fillId="0" borderId="30" xfId="16" applyNumberFormat="1" applyFont="1" applyBorder="1" applyAlignment="1">
      <alignment horizontal="center"/>
    </xf>
    <xf numFmtId="41" fontId="29" fillId="0" borderId="54" xfId="16" applyNumberFormat="1" applyFont="1" applyBorder="1" applyProtection="1"/>
    <xf numFmtId="41" fontId="29" fillId="0" borderId="55" xfId="16" applyNumberFormat="1" applyFont="1" applyBorder="1" applyProtection="1"/>
    <xf numFmtId="39" fontId="29" fillId="0" borderId="0" xfId="16" applyNumberFormat="1" applyFont="1" applyBorder="1"/>
    <xf numFmtId="41" fontId="15" fillId="0" borderId="56" xfId="16" applyNumberFormat="1" applyFont="1" applyBorder="1"/>
    <xf numFmtId="41" fontId="15" fillId="0" borderId="49" xfId="16" applyNumberFormat="1" applyFont="1" applyBorder="1"/>
    <xf numFmtId="171" fontId="29" fillId="0" borderId="35" xfId="16" applyNumberFormat="1" applyFont="1" applyBorder="1"/>
    <xf numFmtId="41" fontId="29" fillId="0" borderId="57" xfId="16" applyNumberFormat="1" applyFont="1" applyBorder="1" applyProtection="1"/>
    <xf numFmtId="10" fontId="15" fillId="0" borderId="36" xfId="16" applyNumberFormat="1" applyFont="1" applyBorder="1" applyAlignment="1">
      <alignment horizontal="center"/>
    </xf>
    <xf numFmtId="0" fontId="15" fillId="0" borderId="36" xfId="16" applyNumberFormat="1" applyFont="1" applyBorder="1" applyAlignment="1">
      <alignment horizontal="center"/>
    </xf>
    <xf numFmtId="41" fontId="29" fillId="0" borderId="58" xfId="16" applyNumberFormat="1" applyFont="1" applyBorder="1" applyProtection="1"/>
    <xf numFmtId="41" fontId="29" fillId="0" borderId="59" xfId="16" applyNumberFormat="1" applyFont="1" applyBorder="1" applyProtection="1"/>
    <xf numFmtId="171" fontId="29" fillId="0" borderId="0" xfId="16" applyNumberFormat="1" applyFont="1" applyBorder="1"/>
    <xf numFmtId="39" fontId="15" fillId="0" borderId="0" xfId="16" applyNumberFormat="1" applyFont="1" applyBorder="1" applyProtection="1"/>
    <xf numFmtId="39" fontId="15" fillId="0" borderId="0" xfId="16" applyNumberFormat="1" applyFont="1" applyBorder="1" applyAlignment="1" applyProtection="1">
      <alignment horizontal="center"/>
    </xf>
    <xf numFmtId="0" fontId="15" fillId="0" borderId="0" xfId="16" applyNumberFormat="1" applyFont="1" applyBorder="1" applyAlignment="1" applyProtection="1">
      <alignment horizontal="center"/>
    </xf>
    <xf numFmtId="39" fontId="15" fillId="0" borderId="0" xfId="16" applyFont="1" applyBorder="1" applyAlignment="1">
      <alignment horizontal="center"/>
    </xf>
    <xf numFmtId="0" fontId="15" fillId="0" borderId="0" xfId="16" applyNumberFormat="1" applyFont="1" applyBorder="1" applyAlignment="1">
      <alignment horizontal="center"/>
    </xf>
    <xf numFmtId="39" fontId="15" fillId="10" borderId="0" xfId="16" applyFont="1" applyFill="1" applyBorder="1"/>
    <xf numFmtId="39" fontId="15" fillId="10" borderId="0" xfId="16" applyFont="1" applyFill="1" applyBorder="1" applyAlignment="1">
      <alignment vertical="top" wrapText="1"/>
    </xf>
    <xf numFmtId="0" fontId="18" fillId="0" borderId="0" xfId="0" applyFont="1" applyBorder="1" applyAlignment="1">
      <alignment horizontal="center"/>
    </xf>
    <xf numFmtId="4" fontId="19" fillId="0" borderId="0" xfId="0" applyNumberFormat="1" applyFont="1" applyBorder="1"/>
    <xf numFmtId="174" fontId="19" fillId="0" borderId="0" xfId="0" applyNumberFormat="1" applyFont="1" applyBorder="1" applyAlignment="1"/>
    <xf numFmtId="169" fontId="19" fillId="0" borderId="0" xfId="17" applyFont="1" applyBorder="1"/>
    <xf numFmtId="0" fontId="19" fillId="0" borderId="15" xfId="0" applyFont="1" applyBorder="1" applyAlignment="1"/>
    <xf numFmtId="3" fontId="22" fillId="4" borderId="5" xfId="0" applyNumberFormat="1" applyFont="1" applyFill="1" applyBorder="1" applyAlignment="1">
      <alignment horizontal="center"/>
    </xf>
    <xf numFmtId="3" fontId="22" fillId="4" borderId="60" xfId="0" applyNumberFormat="1" applyFont="1" applyFill="1" applyBorder="1" applyAlignment="1">
      <alignment horizontal="center"/>
    </xf>
    <xf numFmtId="3" fontId="22" fillId="4" borderId="61" xfId="0" applyNumberFormat="1" applyFont="1" applyFill="1" applyBorder="1" applyAlignment="1">
      <alignment horizontal="center"/>
    </xf>
    <xf numFmtId="3" fontId="22" fillId="4" borderId="62" xfId="0" applyNumberFormat="1" applyFont="1" applyFill="1" applyBorder="1" applyAlignment="1">
      <alignment horizontal="center"/>
    </xf>
    <xf numFmtId="3" fontId="22" fillId="4" borderId="7" xfId="0" applyNumberFormat="1" applyFont="1" applyFill="1" applyBorder="1" applyAlignment="1">
      <alignment horizontal="center"/>
    </xf>
    <xf numFmtId="3" fontId="22" fillId="4" borderId="63" xfId="0" applyNumberFormat="1" applyFont="1" applyFill="1" applyBorder="1" applyAlignment="1">
      <alignment horizontal="center"/>
    </xf>
    <xf numFmtId="3" fontId="22" fillId="4" borderId="64" xfId="0" applyNumberFormat="1" applyFont="1" applyFill="1" applyBorder="1" applyAlignment="1">
      <alignment horizontal="center"/>
    </xf>
    <xf numFmtId="3" fontId="22" fillId="4" borderId="65" xfId="0" applyNumberFormat="1" applyFont="1" applyFill="1" applyBorder="1" applyAlignment="1">
      <alignment horizontal="center"/>
    </xf>
    <xf numFmtId="3" fontId="22" fillId="4" borderId="10" xfId="0" applyNumberFormat="1" applyFont="1" applyFill="1" applyBorder="1" applyAlignment="1">
      <alignment horizontal="center"/>
    </xf>
    <xf numFmtId="3" fontId="22" fillId="0" borderId="66" xfId="0" applyNumberFormat="1" applyFont="1" applyBorder="1" applyAlignment="1">
      <alignment horizontal="center"/>
    </xf>
    <xf numFmtId="3" fontId="22" fillId="0" borderId="18" xfId="0" applyNumberFormat="1" applyFont="1" applyBorder="1" applyAlignment="1">
      <alignment horizontal="center"/>
    </xf>
    <xf numFmtId="3" fontId="22" fillId="5" borderId="67" xfId="0" applyNumberFormat="1" applyFont="1" applyFill="1" applyBorder="1" applyAlignment="1">
      <alignment horizontal="center"/>
    </xf>
    <xf numFmtId="3" fontId="22" fillId="8" borderId="66" xfId="0" applyNumberFormat="1" applyFont="1" applyFill="1" applyBorder="1" applyAlignment="1">
      <alignment horizontal="center"/>
    </xf>
    <xf numFmtId="3" fontId="22" fillId="8" borderId="18" xfId="0" applyNumberFormat="1" applyFont="1" applyFill="1" applyBorder="1" applyAlignment="1">
      <alignment horizontal="center"/>
    </xf>
    <xf numFmtId="3" fontId="22" fillId="5" borderId="5" xfId="0" applyNumberFormat="1" applyFont="1" applyFill="1" applyBorder="1" applyAlignment="1">
      <alignment horizontal="center"/>
    </xf>
    <xf numFmtId="3" fontId="22" fillId="5" borderId="60" xfId="0" applyNumberFormat="1" applyFont="1" applyFill="1" applyBorder="1" applyAlignment="1">
      <alignment horizontal="center"/>
    </xf>
    <xf numFmtId="0" fontId="22" fillId="0" borderId="6" xfId="0" applyFont="1" applyBorder="1"/>
    <xf numFmtId="176" fontId="21" fillId="0" borderId="68" xfId="0" applyNumberFormat="1" applyFont="1" applyBorder="1"/>
    <xf numFmtId="176" fontId="21" fillId="0" borderId="30" xfId="0" applyNumberFormat="1" applyFont="1" applyBorder="1"/>
    <xf numFmtId="176" fontId="21" fillId="5" borderId="69" xfId="0" applyNumberFormat="1" applyFont="1" applyFill="1" applyBorder="1"/>
    <xf numFmtId="176" fontId="21" fillId="8" borderId="68" xfId="0" applyNumberFormat="1" applyFont="1" applyFill="1" applyBorder="1"/>
    <xf numFmtId="176" fontId="21" fillId="8" borderId="30" xfId="0" applyNumberFormat="1" applyFont="1" applyFill="1" applyBorder="1"/>
    <xf numFmtId="176" fontId="21" fillId="5" borderId="7" xfId="0" applyNumberFormat="1" applyFont="1" applyFill="1" applyBorder="1"/>
    <xf numFmtId="3" fontId="21" fillId="5" borderId="63" xfId="0" applyNumberFormat="1" applyFont="1" applyFill="1" applyBorder="1" applyAlignment="1">
      <alignment horizontal="center"/>
    </xf>
    <xf numFmtId="0" fontId="21" fillId="0" borderId="6" xfId="0" applyFont="1" applyBorder="1"/>
    <xf numFmtId="41" fontId="21" fillId="0" borderId="68" xfId="0" applyNumberFormat="1" applyFont="1" applyBorder="1"/>
    <xf numFmtId="41" fontId="21" fillId="5" borderId="69" xfId="0" applyNumberFormat="1" applyFont="1" applyFill="1" applyBorder="1"/>
    <xf numFmtId="41" fontId="21" fillId="8" borderId="68" xfId="0" applyNumberFormat="1" applyFont="1" applyFill="1" applyBorder="1"/>
    <xf numFmtId="41" fontId="21" fillId="8" borderId="30" xfId="0" applyNumberFormat="1" applyFont="1" applyFill="1" applyBorder="1"/>
    <xf numFmtId="41" fontId="21" fillId="5" borderId="7" xfId="0" applyNumberFormat="1" applyFont="1" applyFill="1" applyBorder="1"/>
    <xf numFmtId="41" fontId="22" fillId="0" borderId="0" xfId="0" applyNumberFormat="1" applyFont="1" applyBorder="1" applyAlignment="1">
      <alignment horizontal="center"/>
    </xf>
    <xf numFmtId="41" fontId="21" fillId="5" borderId="63" xfId="0" applyNumberFormat="1" applyFont="1" applyFill="1" applyBorder="1" applyAlignment="1">
      <alignment horizontal="center"/>
    </xf>
    <xf numFmtId="41" fontId="21" fillId="0" borderId="0" xfId="0" applyNumberFormat="1" applyFont="1" applyBorder="1"/>
    <xf numFmtId="41" fontId="21" fillId="5" borderId="63" xfId="0" applyNumberFormat="1" applyFont="1" applyFill="1" applyBorder="1"/>
    <xf numFmtId="41" fontId="22" fillId="0" borderId="70" xfId="0" applyNumberFormat="1" applyFont="1" applyBorder="1"/>
    <xf numFmtId="41" fontId="22" fillId="5" borderId="71" xfId="0" applyNumberFormat="1" applyFont="1" applyFill="1" applyBorder="1"/>
    <xf numFmtId="41" fontId="22" fillId="8" borderId="70" xfId="0" applyNumberFormat="1" applyFont="1" applyFill="1" applyBorder="1"/>
    <xf numFmtId="41" fontId="22" fillId="8" borderId="38" xfId="0" applyNumberFormat="1" applyFont="1" applyFill="1" applyBorder="1"/>
    <xf numFmtId="41" fontId="22" fillId="5" borderId="72" xfId="0" applyNumberFormat="1" applyFont="1" applyFill="1" applyBorder="1"/>
    <xf numFmtId="41" fontId="22" fillId="5" borderId="73" xfId="0" applyNumberFormat="1" applyFont="1" applyFill="1" applyBorder="1"/>
    <xf numFmtId="3" fontId="22" fillId="5" borderId="63" xfId="0" applyNumberFormat="1" applyFont="1" applyFill="1" applyBorder="1" applyAlignment="1">
      <alignment horizontal="center"/>
    </xf>
    <xf numFmtId="3" fontId="21" fillId="0" borderId="68" xfId="0" applyNumberFormat="1" applyFont="1" applyBorder="1"/>
    <xf numFmtId="3" fontId="21" fillId="0" borderId="30" xfId="0" applyNumberFormat="1" applyFont="1" applyBorder="1"/>
    <xf numFmtId="3" fontId="21" fillId="5" borderId="69" xfId="0" applyNumberFormat="1" applyFont="1" applyFill="1" applyBorder="1"/>
    <xf numFmtId="3" fontId="21" fillId="8" borderId="68" xfId="0" applyNumberFormat="1" applyFont="1" applyFill="1" applyBorder="1"/>
    <xf numFmtId="3" fontId="21" fillId="8" borderId="30" xfId="0" applyNumberFormat="1" applyFont="1" applyFill="1" applyBorder="1"/>
    <xf numFmtId="3" fontId="21" fillId="5" borderId="7" xfId="0" applyNumberFormat="1" applyFont="1" applyFill="1" applyBorder="1"/>
    <xf numFmtId="3" fontId="21" fillId="0" borderId="0" xfId="0" applyNumberFormat="1" applyFont="1" applyBorder="1"/>
    <xf numFmtId="3" fontId="21" fillId="5" borderId="63" xfId="0" applyNumberFormat="1" applyFont="1" applyFill="1" applyBorder="1"/>
    <xf numFmtId="41" fontId="22" fillId="0" borderId="0" xfId="0" applyNumberFormat="1" applyFont="1" applyBorder="1"/>
    <xf numFmtId="41" fontId="21" fillId="13" borderId="68" xfId="0" applyNumberFormat="1" applyFont="1" applyFill="1" applyBorder="1"/>
    <xf numFmtId="41" fontId="22" fillId="0" borderId="74" xfId="0" applyNumberFormat="1" applyFont="1" applyBorder="1" applyAlignment="1">
      <alignment horizontal="center"/>
    </xf>
    <xf numFmtId="41" fontId="22" fillId="5" borderId="75" xfId="0" applyNumberFormat="1" applyFont="1" applyFill="1" applyBorder="1"/>
    <xf numFmtId="41" fontId="22" fillId="8" borderId="74" xfId="0" applyNumberFormat="1" applyFont="1" applyFill="1" applyBorder="1"/>
    <xf numFmtId="41" fontId="22" fillId="8" borderId="39" xfId="0" applyNumberFormat="1" applyFont="1" applyFill="1" applyBorder="1"/>
    <xf numFmtId="41" fontId="22" fillId="0" borderId="74" xfId="0" applyNumberFormat="1" applyFont="1" applyBorder="1"/>
    <xf numFmtId="41" fontId="22" fillId="5" borderId="76" xfId="0" applyNumberFormat="1" applyFont="1" applyFill="1" applyBorder="1"/>
    <xf numFmtId="41" fontId="22" fillId="5" borderId="77" xfId="0" applyNumberFormat="1" applyFont="1" applyFill="1" applyBorder="1"/>
    <xf numFmtId="0" fontId="21" fillId="0" borderId="8" xfId="0" applyFont="1" applyBorder="1"/>
    <xf numFmtId="173" fontId="21" fillId="0" borderId="64" xfId="0" applyNumberFormat="1" applyFont="1" applyBorder="1"/>
    <xf numFmtId="173" fontId="21" fillId="0" borderId="36" xfId="0" applyNumberFormat="1" applyFont="1" applyBorder="1"/>
    <xf numFmtId="173" fontId="21" fillId="5" borderId="65" xfId="0" applyNumberFormat="1" applyFont="1" applyFill="1" applyBorder="1"/>
    <xf numFmtId="173" fontId="21" fillId="8" borderId="64" xfId="0" applyNumberFormat="1" applyFont="1" applyFill="1" applyBorder="1"/>
    <xf numFmtId="173" fontId="21" fillId="8" borderId="36" xfId="0" applyNumberFormat="1" applyFont="1" applyFill="1" applyBorder="1"/>
    <xf numFmtId="173" fontId="21" fillId="5" borderId="10" xfId="0" applyNumberFormat="1" applyFont="1" applyFill="1" applyBorder="1"/>
    <xf numFmtId="173" fontId="21" fillId="0" borderId="23" xfId="0" applyNumberFormat="1" applyFont="1" applyBorder="1"/>
    <xf numFmtId="173" fontId="21" fillId="5" borderId="78" xfId="0" applyNumberFormat="1" applyFont="1" applyFill="1" applyBorder="1"/>
    <xf numFmtId="173" fontId="21" fillId="0" borderId="0" xfId="0" applyNumberFormat="1" applyFont="1"/>
    <xf numFmtId="3" fontId="21" fillId="0" borderId="0" xfId="0" applyNumberFormat="1" applyFont="1"/>
    <xf numFmtId="0" fontId="21" fillId="0" borderId="79" xfId="0" applyFont="1" applyBorder="1"/>
    <xf numFmtId="173" fontId="21" fillId="0" borderId="80" xfId="0" applyNumberFormat="1" applyFont="1" applyBorder="1"/>
    <xf numFmtId="173" fontId="21" fillId="0" borderId="81" xfId="0" applyNumberFormat="1" applyFont="1" applyBorder="1"/>
    <xf numFmtId="173" fontId="21" fillId="5" borderId="82" xfId="0" applyNumberFormat="1" applyFont="1" applyFill="1" applyBorder="1"/>
    <xf numFmtId="173" fontId="21" fillId="8" borderId="80" xfId="0" applyNumberFormat="1" applyFont="1" applyFill="1" applyBorder="1"/>
    <xf numFmtId="173" fontId="21" fillId="8" borderId="81" xfId="0" applyNumberFormat="1" applyFont="1" applyFill="1" applyBorder="1"/>
    <xf numFmtId="173" fontId="21" fillId="5" borderId="83" xfId="0" applyNumberFormat="1" applyFont="1" applyFill="1" applyBorder="1"/>
    <xf numFmtId="0" fontId="22" fillId="0" borderId="84" xfId="0" applyFont="1" applyBorder="1"/>
    <xf numFmtId="176" fontId="13" fillId="0" borderId="0" xfId="0" applyNumberFormat="1" applyFont="1"/>
    <xf numFmtId="173" fontId="15" fillId="0" borderId="0" xfId="0" applyNumberFormat="1" applyFont="1"/>
    <xf numFmtId="176" fontId="15" fillId="0" borderId="0" xfId="0" applyNumberFormat="1" applyFont="1"/>
    <xf numFmtId="3" fontId="15" fillId="0" borderId="0" xfId="0" applyNumberFormat="1" applyFont="1"/>
    <xf numFmtId="0" fontId="29" fillId="4" borderId="3" xfId="0" applyFont="1" applyFill="1" applyBorder="1" applyAlignment="1">
      <alignment horizontal="center"/>
    </xf>
    <xf numFmtId="0" fontId="29" fillId="4" borderId="85" xfId="0" applyFont="1" applyFill="1" applyBorder="1" applyAlignment="1">
      <alignment horizontal="center"/>
    </xf>
    <xf numFmtId="3" fontId="29" fillId="4" borderId="5" xfId="0" applyNumberFormat="1" applyFont="1" applyFill="1" applyBorder="1" applyAlignment="1">
      <alignment horizontal="center"/>
    </xf>
    <xf numFmtId="176" fontId="29" fillId="0" borderId="0" xfId="0" applyNumberFormat="1" applyFont="1" applyAlignment="1">
      <alignment horizontal="center"/>
    </xf>
    <xf numFmtId="0" fontId="29" fillId="0" borderId="0" xfId="0" applyFont="1" applyAlignment="1">
      <alignment horizontal="center"/>
    </xf>
    <xf numFmtId="0" fontId="29" fillId="4" borderId="6" xfId="0" applyFont="1" applyFill="1" applyBorder="1" applyAlignment="1">
      <alignment horizontal="center"/>
    </xf>
    <xf numFmtId="0" fontId="29" fillId="4" borderId="86" xfId="0" applyFont="1" applyFill="1" applyBorder="1" applyAlignment="1">
      <alignment horizontal="center"/>
    </xf>
    <xf numFmtId="3" fontId="29" fillId="4" borderId="61" xfId="0" applyNumberFormat="1" applyFont="1" applyFill="1" applyBorder="1" applyAlignment="1">
      <alignment horizontal="center"/>
    </xf>
    <xf numFmtId="3" fontId="29" fillId="4" borderId="62" xfId="0" applyNumberFormat="1" applyFont="1" applyFill="1" applyBorder="1" applyAlignment="1">
      <alignment horizontal="center"/>
    </xf>
    <xf numFmtId="3" fontId="29" fillId="4" borderId="7" xfId="0" applyNumberFormat="1" applyFont="1" applyFill="1" applyBorder="1" applyAlignment="1">
      <alignment horizontal="center"/>
    </xf>
    <xf numFmtId="0" fontId="29" fillId="4" borderId="8" xfId="0" applyFont="1" applyFill="1" applyBorder="1" applyAlignment="1">
      <alignment horizontal="center"/>
    </xf>
    <xf numFmtId="0" fontId="29" fillId="4" borderId="87" xfId="0" applyFont="1" applyFill="1" applyBorder="1" applyAlignment="1">
      <alignment horizontal="center"/>
    </xf>
    <xf numFmtId="3" fontId="29" fillId="4" borderId="64" xfId="0" applyNumberFormat="1" applyFont="1" applyFill="1" applyBorder="1" applyAlignment="1">
      <alignment horizontal="center"/>
    </xf>
    <xf numFmtId="3" fontId="29" fillId="4" borderId="65" xfId="0" applyNumberFormat="1" applyFont="1" applyFill="1" applyBorder="1" applyAlignment="1">
      <alignment horizontal="center"/>
    </xf>
    <xf numFmtId="3" fontId="29" fillId="4" borderId="10" xfId="0" applyNumberFormat="1" applyFont="1" applyFill="1" applyBorder="1" applyAlignment="1">
      <alignment horizontal="center"/>
    </xf>
    <xf numFmtId="0" fontId="29" fillId="0" borderId="3" xfId="0" applyFont="1" applyBorder="1" applyAlignment="1">
      <alignment horizontal="center"/>
    </xf>
    <xf numFmtId="0" fontId="29" fillId="0" borderId="85" xfId="0" applyFont="1" applyBorder="1" applyAlignment="1">
      <alignment horizontal="center"/>
    </xf>
    <xf numFmtId="3" fontId="29" fillId="0" borderId="66" xfId="0" applyNumberFormat="1" applyFont="1" applyBorder="1" applyAlignment="1">
      <alignment horizontal="center"/>
    </xf>
    <xf numFmtId="3" fontId="29" fillId="0" borderId="18" xfId="0" applyNumberFormat="1" applyFont="1" applyBorder="1" applyAlignment="1">
      <alignment horizontal="center"/>
    </xf>
    <xf numFmtId="3" fontId="29" fillId="5" borderId="67" xfId="0" applyNumberFormat="1" applyFont="1" applyFill="1" applyBorder="1" applyAlignment="1">
      <alignment horizontal="center"/>
    </xf>
    <xf numFmtId="3" fontId="29" fillId="5" borderId="5" xfId="0" applyNumberFormat="1" applyFont="1" applyFill="1" applyBorder="1" applyAlignment="1">
      <alignment horizontal="center"/>
    </xf>
    <xf numFmtId="0" fontId="29" fillId="0" borderId="6" xfId="0" applyFont="1" applyBorder="1"/>
    <xf numFmtId="0" fontId="29" fillId="0" borderId="86" xfId="0" applyFont="1" applyBorder="1" applyAlignment="1">
      <alignment horizontal="center"/>
    </xf>
    <xf numFmtId="3" fontId="29" fillId="0" borderId="68" xfId="0" applyNumberFormat="1" applyFont="1" applyBorder="1"/>
    <xf numFmtId="3" fontId="29" fillId="0" borderId="30" xfId="0" applyNumberFormat="1" applyFont="1" applyBorder="1"/>
    <xf numFmtId="3" fontId="15" fillId="0" borderId="30" xfId="0" applyNumberFormat="1" applyFont="1" applyBorder="1"/>
    <xf numFmtId="3" fontId="15" fillId="5" borderId="69" xfId="0" applyNumberFormat="1" applyFont="1" applyFill="1" applyBorder="1"/>
    <xf numFmtId="3" fontId="15" fillId="0" borderId="68" xfId="0" applyNumberFormat="1" applyFont="1" applyBorder="1"/>
    <xf numFmtId="3" fontId="15" fillId="5" borderId="7" xfId="0" applyNumberFormat="1" applyFont="1" applyFill="1" applyBorder="1"/>
    <xf numFmtId="0" fontId="15" fillId="0" borderId="6" xfId="0" applyFont="1" applyBorder="1"/>
    <xf numFmtId="0" fontId="15" fillId="0" borderId="86" xfId="0" applyFont="1" applyBorder="1" applyAlignment="1">
      <alignment horizontal="center"/>
    </xf>
    <xf numFmtId="41" fontId="15" fillId="0" borderId="68" xfId="0" applyNumberFormat="1" applyFont="1" applyBorder="1"/>
    <xf numFmtId="41" fontId="15" fillId="0" borderId="30" xfId="0" applyNumberFormat="1" applyFont="1" applyBorder="1"/>
    <xf numFmtId="41" fontId="15" fillId="5" borderId="69" xfId="0" applyNumberFormat="1" applyFont="1" applyFill="1" applyBorder="1"/>
    <xf numFmtId="41" fontId="15" fillId="5" borderId="7" xfId="0" applyNumberFormat="1" applyFont="1" applyFill="1" applyBorder="1"/>
    <xf numFmtId="0" fontId="33" fillId="8" borderId="6" xfId="0" applyFont="1" applyFill="1" applyBorder="1"/>
    <xf numFmtId="0" fontId="33" fillId="8" borderId="86" xfId="0" applyFont="1" applyFill="1" applyBorder="1" applyAlignment="1">
      <alignment horizontal="center"/>
    </xf>
    <xf numFmtId="41" fontId="33" fillId="8" borderId="68" xfId="0" applyNumberFormat="1" applyFont="1" applyFill="1" applyBorder="1"/>
    <xf numFmtId="41" fontId="33" fillId="8" borderId="30" xfId="0" applyNumberFormat="1" applyFont="1" applyFill="1" applyBorder="1"/>
    <xf numFmtId="41" fontId="33" fillId="8" borderId="69" xfId="0" applyNumberFormat="1" applyFont="1" applyFill="1" applyBorder="1"/>
    <xf numFmtId="41" fontId="33" fillId="8" borderId="7" xfId="0" applyNumberFormat="1" applyFont="1" applyFill="1" applyBorder="1"/>
    <xf numFmtId="176" fontId="15" fillId="0" borderId="0" xfId="0" applyNumberFormat="1" applyFont="1" applyFill="1"/>
    <xf numFmtId="0" fontId="33" fillId="8" borderId="86" xfId="0" quotePrefix="1" applyFont="1" applyFill="1" applyBorder="1" applyAlignment="1">
      <alignment horizontal="center"/>
    </xf>
    <xf numFmtId="0" fontId="29" fillId="0" borderId="0" xfId="0" applyFont="1"/>
    <xf numFmtId="41" fontId="15" fillId="0" borderId="88" xfId="0" applyNumberFormat="1" applyFont="1" applyBorder="1"/>
    <xf numFmtId="41" fontId="15" fillId="0" borderId="26" xfId="0" applyNumberFormat="1" applyFont="1" applyBorder="1"/>
    <xf numFmtId="41" fontId="29" fillId="0" borderId="74" xfId="0" applyNumberFormat="1" applyFont="1" applyBorder="1"/>
    <xf numFmtId="41" fontId="29" fillId="0" borderId="39" xfId="0" applyNumberFormat="1" applyFont="1" applyBorder="1"/>
    <xf numFmtId="41" fontId="29" fillId="5" borderId="75" xfId="0" applyNumberFormat="1" applyFont="1" applyFill="1" applyBorder="1"/>
    <xf numFmtId="41" fontId="29" fillId="5" borderId="76" xfId="0" applyNumberFormat="1" applyFont="1" applyFill="1" applyBorder="1"/>
    <xf numFmtId="0" fontId="15" fillId="0" borderId="8" xfId="0" applyFont="1" applyBorder="1"/>
    <xf numFmtId="0" fontId="15" fillId="0" borderId="87" xfId="0" applyFont="1" applyBorder="1" applyAlignment="1">
      <alignment horizontal="center"/>
    </xf>
    <xf numFmtId="3" fontId="15" fillId="0" borderId="89" xfId="0" applyNumberFormat="1" applyFont="1" applyBorder="1"/>
    <xf numFmtId="3" fontId="15" fillId="0" borderId="90" xfId="0" applyNumberFormat="1" applyFont="1" applyBorder="1"/>
    <xf numFmtId="3" fontId="15" fillId="5" borderId="91" xfId="0" applyNumberFormat="1" applyFont="1" applyFill="1" applyBorder="1"/>
    <xf numFmtId="3" fontId="15" fillId="5" borderId="92" xfId="0" applyNumberFormat="1" applyFont="1" applyFill="1" applyBorder="1"/>
    <xf numFmtId="0" fontId="29" fillId="4" borderId="18" xfId="0" applyFont="1" applyFill="1" applyBorder="1" applyAlignment="1">
      <alignment horizontal="center"/>
    </xf>
    <xf numFmtId="3" fontId="29" fillId="4" borderId="33" xfId="0" applyNumberFormat="1" applyFont="1" applyFill="1" applyBorder="1" applyAlignment="1">
      <alignment horizontal="center"/>
    </xf>
    <xf numFmtId="3" fontId="29" fillId="4" borderId="46" xfId="0" applyNumberFormat="1" applyFont="1" applyFill="1" applyBorder="1" applyAlignment="1">
      <alignment horizontal="center"/>
    </xf>
    <xf numFmtId="3" fontId="29" fillId="4" borderId="30" xfId="0" applyNumberFormat="1" applyFont="1" applyFill="1" applyBorder="1" applyAlignment="1">
      <alignment horizontal="center"/>
    </xf>
    <xf numFmtId="0" fontId="29" fillId="4" borderId="30" xfId="0" applyFont="1" applyFill="1" applyBorder="1" applyAlignment="1">
      <alignment horizontal="center"/>
    </xf>
    <xf numFmtId="3" fontId="29" fillId="4" borderId="34" xfId="0" applyNumberFormat="1" applyFont="1" applyFill="1" applyBorder="1" applyAlignment="1">
      <alignment horizontal="center"/>
    </xf>
    <xf numFmtId="3" fontId="29" fillId="4" borderId="35" xfId="0" applyNumberFormat="1" applyFont="1" applyFill="1" applyBorder="1" applyAlignment="1">
      <alignment horizontal="center"/>
    </xf>
    <xf numFmtId="3" fontId="29" fillId="4" borderId="45" xfId="0" applyNumberFormat="1" applyFont="1" applyFill="1" applyBorder="1" applyAlignment="1">
      <alignment horizontal="center"/>
    </xf>
    <xf numFmtId="3" fontId="29" fillId="4" borderId="36" xfId="0" applyNumberFormat="1" applyFont="1" applyFill="1" applyBorder="1" applyAlignment="1">
      <alignment horizontal="center"/>
    </xf>
    <xf numFmtId="0" fontId="29" fillId="4" borderId="36" xfId="0" applyFont="1" applyFill="1" applyBorder="1" applyAlignment="1">
      <alignment horizontal="center"/>
    </xf>
    <xf numFmtId="3" fontId="29" fillId="4" borderId="37" xfId="0" applyNumberFormat="1" applyFont="1" applyFill="1" applyBorder="1" applyAlignment="1">
      <alignment horizontal="center"/>
    </xf>
    <xf numFmtId="3" fontId="29" fillId="0" borderId="17" xfId="0" applyNumberFormat="1" applyFont="1" applyBorder="1" applyAlignment="1">
      <alignment horizontal="center"/>
    </xf>
    <xf numFmtId="0" fontId="15" fillId="0" borderId="18" xfId="0" applyFont="1" applyBorder="1"/>
    <xf numFmtId="3" fontId="29" fillId="0" borderId="19" xfId="0" applyNumberFormat="1" applyFont="1" applyBorder="1" applyAlignment="1">
      <alignment horizontal="center"/>
    </xf>
    <xf numFmtId="3" fontId="29" fillId="0" borderId="33" xfId="0" applyNumberFormat="1" applyFont="1" applyBorder="1" applyAlignment="1">
      <alignment horizontal="center"/>
    </xf>
    <xf numFmtId="3" fontId="29" fillId="0" borderId="30" xfId="0" applyNumberFormat="1" applyFont="1" applyBorder="1" applyAlignment="1">
      <alignment horizontal="center"/>
    </xf>
    <xf numFmtId="0" fontId="15" fillId="0" borderId="30" xfId="0" applyFont="1" applyBorder="1"/>
    <xf numFmtId="3" fontId="29" fillId="0" borderId="34" xfId="0" applyNumberFormat="1" applyFont="1" applyBorder="1" applyAlignment="1">
      <alignment horizontal="center"/>
    </xf>
    <xf numFmtId="41" fontId="15" fillId="0" borderId="33" xfId="0" applyNumberFormat="1" applyFont="1" applyBorder="1"/>
    <xf numFmtId="37" fontId="15" fillId="0" borderId="30" xfId="0" applyNumberFormat="1" applyFont="1" applyBorder="1"/>
    <xf numFmtId="41" fontId="15" fillId="0" borderId="34" xfId="0" applyNumberFormat="1" applyFont="1" applyBorder="1"/>
    <xf numFmtId="41" fontId="33" fillId="8" borderId="33" xfId="0" applyNumberFormat="1" applyFont="1" applyFill="1" applyBorder="1"/>
    <xf numFmtId="0" fontId="33" fillId="8" borderId="30" xfId="0" applyFont="1" applyFill="1" applyBorder="1"/>
    <xf numFmtId="0" fontId="33" fillId="8" borderId="30" xfId="0" quotePrefix="1" applyFont="1" applyFill="1" applyBorder="1" applyAlignment="1">
      <alignment horizontal="center"/>
    </xf>
    <xf numFmtId="41" fontId="33" fillId="8" borderId="34" xfId="0" applyNumberFormat="1" applyFont="1" applyFill="1" applyBorder="1"/>
    <xf numFmtId="0" fontId="33" fillId="8" borderId="30" xfId="0" applyFont="1" applyFill="1" applyBorder="1" applyAlignment="1">
      <alignment horizontal="center"/>
    </xf>
    <xf numFmtId="41" fontId="29" fillId="0" borderId="55" xfId="0" applyNumberFormat="1" applyFont="1" applyBorder="1"/>
    <xf numFmtId="41" fontId="29" fillId="0" borderId="38" xfId="0" applyNumberFormat="1" applyFont="1" applyBorder="1"/>
    <xf numFmtId="41" fontId="29" fillId="0" borderId="93" xfId="0" applyNumberFormat="1" applyFont="1" applyBorder="1"/>
    <xf numFmtId="37" fontId="29" fillId="0" borderId="30" xfId="0" applyNumberFormat="1" applyFont="1" applyBorder="1"/>
    <xf numFmtId="41" fontId="29" fillId="0" borderId="94" xfId="0" applyNumberFormat="1" applyFont="1" applyBorder="1"/>
    <xf numFmtId="3" fontId="15" fillId="0" borderId="35" xfId="0" applyNumberFormat="1" applyFont="1" applyBorder="1"/>
    <xf numFmtId="3" fontId="15" fillId="0" borderId="36" xfId="0" applyNumberFormat="1" applyFont="1" applyBorder="1"/>
    <xf numFmtId="0" fontId="15" fillId="0" borderId="36" xfId="0" applyFont="1" applyBorder="1"/>
    <xf numFmtId="3" fontId="15" fillId="0" borderId="37" xfId="0" applyNumberFormat="1" applyFont="1" applyBorder="1"/>
    <xf numFmtId="15" fontId="20" fillId="0" borderId="9" xfId="0" applyNumberFormat="1" applyFont="1" applyBorder="1" applyAlignment="1">
      <alignment horizontal="centerContinuous"/>
    </xf>
    <xf numFmtId="3" fontId="13" fillId="0" borderId="9" xfId="0" applyNumberFormat="1" applyFont="1" applyBorder="1" applyAlignment="1">
      <alignment horizontal="centerContinuous"/>
    </xf>
    <xf numFmtId="4" fontId="13" fillId="0" borderId="9" xfId="0" applyNumberFormat="1" applyFont="1" applyBorder="1" applyAlignment="1">
      <alignment horizontal="centerContinuous"/>
    </xf>
    <xf numFmtId="0" fontId="13" fillId="0" borderId="9" xfId="0" applyFont="1" applyBorder="1" applyAlignment="1">
      <alignment horizontal="centerContinuous"/>
    </xf>
    <xf numFmtId="3" fontId="22" fillId="4" borderId="18" xfId="0" quotePrefix="1" applyNumberFormat="1" applyFont="1" applyFill="1" applyBorder="1" applyAlignment="1">
      <alignment horizontal="center"/>
    </xf>
    <xf numFmtId="0" fontId="22" fillId="4" borderId="19" xfId="0" applyFont="1" applyFill="1" applyBorder="1" applyAlignment="1">
      <alignment horizontal="center"/>
    </xf>
    <xf numFmtId="3" fontId="22" fillId="4" borderId="36" xfId="0" applyNumberFormat="1" applyFont="1" applyFill="1" applyBorder="1" applyAlignment="1">
      <alignment horizontal="center"/>
    </xf>
    <xf numFmtId="4" fontId="22" fillId="4" borderId="36" xfId="0" applyNumberFormat="1" applyFont="1" applyFill="1" applyBorder="1" applyAlignment="1">
      <alignment horizontal="center"/>
    </xf>
    <xf numFmtId="0" fontId="22" fillId="4" borderId="37" xfId="0" applyFont="1" applyFill="1" applyBorder="1" applyAlignment="1">
      <alignment horizontal="center"/>
    </xf>
    <xf numFmtId="0" fontId="21" fillId="0" borderId="3" xfId="0" applyFont="1" applyBorder="1"/>
    <xf numFmtId="4" fontId="22" fillId="0" borderId="18" xfId="0" applyNumberFormat="1" applyFont="1" applyBorder="1" applyAlignment="1">
      <alignment horizontal="center"/>
    </xf>
    <xf numFmtId="0" fontId="21" fillId="0" borderId="19" xfId="0" applyFont="1" applyBorder="1"/>
    <xf numFmtId="168" fontId="22" fillId="0" borderId="6" xfId="1" applyNumberFormat="1" applyFont="1" applyBorder="1"/>
    <xf numFmtId="4" fontId="21" fillId="0" borderId="30" xfId="0" applyNumberFormat="1" applyFont="1" applyBorder="1"/>
    <xf numFmtId="0" fontId="21" fillId="0" borderId="34" xfId="0" applyFont="1" applyBorder="1"/>
    <xf numFmtId="168" fontId="21" fillId="0" borderId="6" xfId="1" applyNumberFormat="1" applyFont="1" applyBorder="1"/>
    <xf numFmtId="175" fontId="21" fillId="0" borderId="30" xfId="0" applyNumberFormat="1" applyFont="1" applyBorder="1"/>
    <xf numFmtId="0" fontId="21" fillId="0" borderId="34" xfId="0" applyFont="1" applyFill="1" applyBorder="1"/>
    <xf numFmtId="175" fontId="22" fillId="0" borderId="39" xfId="0" applyNumberFormat="1" applyFont="1" applyBorder="1"/>
    <xf numFmtId="168" fontId="21" fillId="0" borderId="6" xfId="1" applyNumberFormat="1" applyFont="1" applyBorder="1" applyProtection="1"/>
    <xf numFmtId="168" fontId="22" fillId="0" borderId="6" xfId="1" applyNumberFormat="1" applyFont="1" applyBorder="1" applyAlignment="1" applyProtection="1">
      <alignment horizontal="left"/>
    </xf>
    <xf numFmtId="41" fontId="22" fillId="0" borderId="95" xfId="0" applyNumberFormat="1" applyFont="1" applyBorder="1"/>
    <xf numFmtId="175" fontId="22" fillId="0" borderId="95" xfId="0" applyNumberFormat="1" applyFont="1" applyBorder="1"/>
    <xf numFmtId="168" fontId="22" fillId="0" borderId="6" xfId="1" applyNumberFormat="1" applyFont="1" applyBorder="1" applyProtection="1"/>
    <xf numFmtId="41" fontId="22" fillId="0" borderId="96" xfId="0" applyNumberFormat="1" applyFont="1" applyBorder="1"/>
    <xf numFmtId="175" fontId="22" fillId="0" borderId="96" xfId="0" applyNumberFormat="1" applyFont="1" applyBorder="1"/>
    <xf numFmtId="168" fontId="21" fillId="0" borderId="8" xfId="1" applyNumberFormat="1" applyFont="1" applyBorder="1" applyProtection="1"/>
    <xf numFmtId="3" fontId="21" fillId="0" borderId="36" xfId="0" applyNumberFormat="1" applyFont="1" applyBorder="1"/>
    <xf numFmtId="4" fontId="21" fillId="0" borderId="36" xfId="0" applyNumberFormat="1" applyFont="1" applyBorder="1"/>
    <xf numFmtId="0" fontId="21" fillId="0" borderId="37" xfId="0" applyFont="1" applyBorder="1"/>
    <xf numFmtId="0" fontId="18" fillId="0" borderId="9" xfId="0" applyFont="1" applyBorder="1" applyAlignment="1">
      <alignment horizontal="centerContinuous"/>
    </xf>
    <xf numFmtId="3" fontId="18" fillId="0" borderId="9" xfId="0" applyNumberFormat="1" applyFont="1" applyBorder="1" applyAlignment="1">
      <alignment horizontal="centerContinuous"/>
    </xf>
    <xf numFmtId="4" fontId="18" fillId="0" borderId="9" xfId="0" applyNumberFormat="1" applyFont="1" applyBorder="1" applyAlignment="1">
      <alignment horizontal="centerContinuous"/>
    </xf>
    <xf numFmtId="3" fontId="22" fillId="4" borderId="30" xfId="0" quotePrefix="1" applyNumberFormat="1" applyFont="1" applyFill="1" applyBorder="1" applyAlignment="1">
      <alignment horizontal="center"/>
    </xf>
    <xf numFmtId="0" fontId="22" fillId="4" borderId="34" xfId="0" applyFont="1" applyFill="1" applyBorder="1" applyAlignment="1">
      <alignment horizontal="center"/>
    </xf>
    <xf numFmtId="3" fontId="22" fillId="4" borderId="30" xfId="0" applyNumberFormat="1" applyFont="1" applyFill="1" applyBorder="1" applyAlignment="1">
      <alignment horizontal="center"/>
    </xf>
    <xf numFmtId="0" fontId="12" fillId="0" borderId="9" xfId="0" applyFont="1" applyBorder="1"/>
    <xf numFmtId="0" fontId="18" fillId="0" borderId="9" xfId="0" applyFont="1" applyBorder="1"/>
    <xf numFmtId="3" fontId="21" fillId="4" borderId="34" xfId="0" applyNumberFormat="1" applyFont="1" applyFill="1" applyBorder="1"/>
    <xf numFmtId="0" fontId="21" fillId="5" borderId="97" xfId="0" applyFont="1" applyFill="1" applyBorder="1"/>
    <xf numFmtId="3" fontId="21" fillId="5" borderId="98" xfId="0" applyNumberFormat="1" applyFont="1" applyFill="1" applyBorder="1" applyAlignment="1">
      <alignment horizontal="center"/>
    </xf>
    <xf numFmtId="3" fontId="21" fillId="5" borderId="42" xfId="0" applyNumberFormat="1" applyFont="1" applyFill="1" applyBorder="1" applyAlignment="1">
      <alignment horizontal="center"/>
    </xf>
    <xf numFmtId="3" fontId="21" fillId="5" borderId="99" xfId="0" applyNumberFormat="1" applyFont="1" applyFill="1" applyBorder="1" applyAlignment="1">
      <alignment horizontal="center"/>
    </xf>
    <xf numFmtId="3" fontId="21" fillId="5" borderId="100" xfId="0" applyNumberFormat="1" applyFont="1" applyFill="1" applyBorder="1" applyAlignment="1">
      <alignment horizontal="center"/>
    </xf>
    <xf numFmtId="3" fontId="21" fillId="5" borderId="101" xfId="0" applyNumberFormat="1" applyFont="1" applyFill="1" applyBorder="1" applyAlignment="1">
      <alignment horizontal="center"/>
    </xf>
    <xf numFmtId="3" fontId="21" fillId="5" borderId="43" xfId="0" applyNumberFormat="1" applyFont="1" applyFill="1" applyBorder="1" applyAlignment="1">
      <alignment horizontal="right"/>
    </xf>
    <xf numFmtId="0" fontId="21" fillId="0" borderId="102" xfId="0" applyFont="1" applyBorder="1"/>
    <xf numFmtId="3" fontId="21" fillId="0" borderId="21" xfId="0" applyNumberFormat="1" applyFont="1" applyBorder="1" applyAlignment="1">
      <alignment horizontal="right"/>
    </xf>
    <xf numFmtId="3" fontId="21" fillId="9" borderId="21" xfId="0" applyNumberFormat="1" applyFont="1" applyFill="1" applyBorder="1" applyAlignment="1">
      <alignment horizontal="right"/>
    </xf>
    <xf numFmtId="3" fontId="21" fillId="0" borderId="103" xfId="0" applyNumberFormat="1" applyFont="1" applyBorder="1" applyAlignment="1">
      <alignment horizontal="right"/>
    </xf>
    <xf numFmtId="3" fontId="21" fillId="0" borderId="9" xfId="0" applyNumberFormat="1" applyFont="1" applyBorder="1" applyAlignment="1">
      <alignment horizontal="right"/>
    </xf>
    <xf numFmtId="3" fontId="21" fillId="0" borderId="10" xfId="0" applyNumberFormat="1" applyFont="1" applyBorder="1" applyAlignment="1">
      <alignment horizontal="right"/>
    </xf>
    <xf numFmtId="41" fontId="51" fillId="0" borderId="0" xfId="0" applyNumberFormat="1" applyFont="1" applyFill="1" applyBorder="1" applyAlignment="1"/>
    <xf numFmtId="41" fontId="29" fillId="0" borderId="24" xfId="1" applyNumberFormat="1" applyFont="1" applyFill="1" applyBorder="1" applyProtection="1"/>
    <xf numFmtId="41" fontId="15" fillId="0" borderId="0" xfId="1" applyNumberFormat="1" applyFont="1" applyFill="1" applyBorder="1"/>
    <xf numFmtId="41" fontId="29" fillId="0" borderId="28" xfId="1" applyNumberFormat="1" applyFont="1" applyFill="1" applyBorder="1"/>
    <xf numFmtId="167" fontId="29" fillId="0" borderId="0" xfId="0" applyNumberFormat="1" applyFont="1" applyFill="1" applyBorder="1"/>
    <xf numFmtId="41" fontId="29" fillId="0" borderId="24" xfId="1" applyNumberFormat="1" applyFont="1" applyFill="1" applyBorder="1"/>
    <xf numFmtId="177" fontId="35" fillId="0" borderId="0" xfId="0" applyNumberFormat="1" applyFont="1" applyFill="1" applyBorder="1"/>
    <xf numFmtId="43" fontId="29" fillId="10" borderId="24" xfId="1" applyNumberFormat="1" applyFont="1" applyFill="1" applyBorder="1"/>
    <xf numFmtId="177" fontId="29" fillId="0" borderId="24" xfId="1" applyNumberFormat="1" applyFont="1" applyFill="1" applyBorder="1" applyProtection="1"/>
    <xf numFmtId="173" fontId="21" fillId="5" borderId="104" xfId="0" applyNumberFormat="1" applyFont="1" applyFill="1" applyBorder="1"/>
    <xf numFmtId="0" fontId="21" fillId="11" borderId="0" xfId="0" applyFont="1" applyFill="1" applyBorder="1"/>
    <xf numFmtId="3" fontId="21" fillId="11" borderId="0" xfId="0" applyNumberFormat="1" applyFont="1" applyFill="1" applyBorder="1"/>
    <xf numFmtId="41" fontId="23" fillId="11" borderId="0" xfId="0" applyNumberFormat="1" applyFont="1" applyFill="1" applyBorder="1" applyAlignment="1">
      <alignment horizontal="right"/>
    </xf>
    <xf numFmtId="0" fontId="23" fillId="11" borderId="0" xfId="0" applyFont="1" applyFill="1" applyBorder="1" applyAlignment="1">
      <alignment horizontal="right"/>
    </xf>
    <xf numFmtId="41" fontId="21" fillId="11" borderId="0" xfId="0" applyNumberFormat="1" applyFont="1" applyFill="1" applyBorder="1" applyAlignment="1">
      <alignment horizontal="center"/>
    </xf>
    <xf numFmtId="41" fontId="21" fillId="11" borderId="0" xfId="1" applyNumberFormat="1" applyFont="1" applyFill="1" applyBorder="1"/>
    <xf numFmtId="168" fontId="21" fillId="11" borderId="0" xfId="1" applyNumberFormat="1" applyFont="1" applyFill="1" applyBorder="1"/>
    <xf numFmtId="0" fontId="21" fillId="11" borderId="0" xfId="0" applyFont="1" applyFill="1" applyBorder="1" applyAlignment="1">
      <alignment vertical="top" wrapText="1"/>
    </xf>
    <xf numFmtId="37" fontId="21" fillId="11" borderId="0" xfId="0" applyNumberFormat="1" applyFont="1" applyFill="1" applyBorder="1"/>
    <xf numFmtId="0" fontId="21" fillId="11" borderId="0" xfId="0" applyFont="1" applyFill="1" applyBorder="1" applyAlignment="1">
      <alignment horizontal="center"/>
    </xf>
    <xf numFmtId="167" fontId="22" fillId="0" borderId="0" xfId="0" applyNumberFormat="1" applyFont="1" applyFill="1" applyBorder="1"/>
    <xf numFmtId="0" fontId="15" fillId="14" borderId="20" xfId="0" applyFont="1" applyFill="1" applyBorder="1"/>
    <xf numFmtId="0" fontId="15" fillId="14" borderId="21" xfId="0" applyFont="1" applyFill="1" applyBorder="1"/>
    <xf numFmtId="3" fontId="15" fillId="14" borderId="21" xfId="0" applyNumberFormat="1" applyFont="1" applyFill="1" applyBorder="1"/>
    <xf numFmtId="41" fontId="15" fillId="14" borderId="21" xfId="1" applyNumberFormat="1" applyFont="1" applyFill="1" applyBorder="1"/>
    <xf numFmtId="41" fontId="36" fillId="14" borderId="21" xfId="0" applyNumberFormat="1" applyFont="1" applyFill="1" applyBorder="1" applyAlignment="1">
      <alignment horizontal="right"/>
    </xf>
    <xf numFmtId="0" fontId="15" fillId="14" borderId="22" xfId="0" applyFont="1" applyFill="1" applyBorder="1"/>
    <xf numFmtId="0" fontId="21" fillId="14" borderId="11" xfId="0" applyFont="1" applyFill="1" applyBorder="1"/>
    <xf numFmtId="0" fontId="21" fillId="14" borderId="12" xfId="0" applyFont="1" applyFill="1" applyBorder="1"/>
    <xf numFmtId="10" fontId="0" fillId="0" borderId="110" xfId="19" applyNumberFormat="1" applyFont="1" applyFill="1" applyBorder="1"/>
    <xf numFmtId="0" fontId="15" fillId="14" borderId="11" xfId="0" applyFont="1" applyFill="1" applyBorder="1"/>
    <xf numFmtId="3" fontId="15" fillId="0" borderId="0" xfId="0" applyNumberFormat="1" applyFont="1" applyFill="1" applyBorder="1"/>
    <xf numFmtId="41" fontId="36" fillId="0" borderId="0" xfId="0" applyNumberFormat="1" applyFont="1" applyFill="1" applyBorder="1" applyAlignment="1">
      <alignment horizontal="right"/>
    </xf>
    <xf numFmtId="0" fontId="15" fillId="14" borderId="12" xfId="0" applyFont="1" applyFill="1" applyBorder="1"/>
    <xf numFmtId="0" fontId="15" fillId="14" borderId="14" xfId="0" applyFont="1" applyFill="1" applyBorder="1"/>
    <xf numFmtId="0" fontId="15" fillId="14" borderId="15" xfId="0" applyFont="1" applyFill="1" applyBorder="1"/>
    <xf numFmtId="3" fontId="15" fillId="14" borderId="15" xfId="0" applyNumberFormat="1" applyFont="1" applyFill="1" applyBorder="1"/>
    <xf numFmtId="41" fontId="15" fillId="14" borderId="15" xfId="1" applyNumberFormat="1" applyFont="1" applyFill="1" applyBorder="1"/>
    <xf numFmtId="41" fontId="36" fillId="14" borderId="15" xfId="0" applyNumberFormat="1" applyFont="1" applyFill="1" applyBorder="1" applyAlignment="1">
      <alignment horizontal="right"/>
    </xf>
    <xf numFmtId="0" fontId="15" fillId="14" borderId="16" xfId="0" applyFont="1" applyFill="1" applyBorder="1"/>
    <xf numFmtId="0" fontId="21" fillId="14" borderId="0" xfId="0" applyFont="1" applyFill="1" applyBorder="1"/>
    <xf numFmtId="3" fontId="21" fillId="14" borderId="0" xfId="0" applyNumberFormat="1" applyFont="1" applyFill="1" applyBorder="1"/>
    <xf numFmtId="41" fontId="23" fillId="14" borderId="0" xfId="0" applyNumberFormat="1" applyFont="1" applyFill="1" applyBorder="1" applyAlignment="1">
      <alignment horizontal="right"/>
    </xf>
    <xf numFmtId="41" fontId="21" fillId="14" borderId="0" xfId="1" applyNumberFormat="1" applyFont="1" applyFill="1" applyBorder="1"/>
    <xf numFmtId="0" fontId="22" fillId="14" borderId="0" xfId="0" applyFont="1" applyFill="1" applyBorder="1"/>
    <xf numFmtId="174" fontId="21" fillId="14" borderId="0" xfId="1" applyNumberFormat="1" applyFont="1" applyFill="1" applyBorder="1"/>
    <xf numFmtId="41" fontId="21" fillId="14" borderId="0" xfId="0" applyNumberFormat="1" applyFont="1" applyFill="1" applyBorder="1"/>
    <xf numFmtId="168" fontId="22" fillId="14" borderId="0" xfId="1" applyNumberFormat="1" applyFont="1" applyFill="1" applyBorder="1"/>
    <xf numFmtId="41" fontId="21" fillId="14" borderId="0" xfId="0" applyNumberFormat="1" applyFont="1" applyFill="1" applyBorder="1" applyAlignment="1">
      <alignment horizontal="right"/>
    </xf>
    <xf numFmtId="0" fontId="23" fillId="14" borderId="0" xfId="0" applyFont="1" applyFill="1" applyBorder="1" applyAlignment="1">
      <alignment horizontal="right"/>
    </xf>
    <xf numFmtId="41" fontId="21" fillId="0" borderId="28" xfId="0" applyNumberFormat="1" applyFont="1" applyFill="1" applyBorder="1" applyAlignment="1">
      <alignment horizontal="right"/>
    </xf>
    <xf numFmtId="41" fontId="22" fillId="0" borderId="0" xfId="0" applyNumberFormat="1" applyFont="1" applyFill="1" applyBorder="1" applyAlignment="1">
      <alignment horizontal="right"/>
    </xf>
    <xf numFmtId="41" fontId="22" fillId="0" borderId="28" xfId="1" applyNumberFormat="1" applyFont="1" applyFill="1" applyBorder="1"/>
    <xf numFmtId="41" fontId="21" fillId="14" borderId="30" xfId="1" applyNumberFormat="1" applyFont="1" applyFill="1" applyBorder="1"/>
    <xf numFmtId="41" fontId="22" fillId="14" borderId="0" xfId="0" applyNumberFormat="1" applyFont="1" applyFill="1" applyBorder="1" applyAlignment="1">
      <alignment horizontal="center"/>
    </xf>
    <xf numFmtId="41" fontId="21" fillId="14" borderId="24" xfId="0" applyNumberFormat="1" applyFont="1" applyFill="1" applyBorder="1"/>
    <xf numFmtId="0" fontId="27" fillId="0" borderId="0" xfId="0" applyFont="1" applyFill="1" applyBorder="1" applyAlignment="1">
      <alignment vertical="top"/>
    </xf>
    <xf numFmtId="0" fontId="22" fillId="0" borderId="0" xfId="0" applyFont="1" applyFill="1" applyBorder="1" applyAlignment="1">
      <alignment vertical="top"/>
    </xf>
    <xf numFmtId="41" fontId="21" fillId="14" borderId="30" xfId="0" applyNumberFormat="1" applyFont="1" applyFill="1" applyBorder="1"/>
    <xf numFmtId="169" fontId="21" fillId="14" borderId="11" xfId="17" applyFont="1" applyFill="1" applyBorder="1"/>
    <xf numFmtId="169" fontId="21" fillId="14" borderId="12" xfId="17" applyFont="1" applyFill="1" applyBorder="1"/>
    <xf numFmtId="41" fontId="21" fillId="14" borderId="0" xfId="1" applyNumberFormat="1" applyFont="1" applyFill="1" applyBorder="1" applyProtection="1"/>
    <xf numFmtId="174" fontId="21" fillId="14" borderId="0" xfId="1" applyNumberFormat="1" applyFont="1" applyFill="1" applyBorder="1" applyProtection="1"/>
    <xf numFmtId="41" fontId="28" fillId="11" borderId="0" xfId="0" applyNumberFormat="1" applyFont="1" applyFill="1" applyBorder="1" applyAlignment="1">
      <alignment horizontal="center"/>
    </xf>
    <xf numFmtId="177" fontId="22" fillId="0" borderId="0" xfId="1" applyNumberFormat="1" applyFont="1" applyFill="1" applyBorder="1"/>
    <xf numFmtId="173" fontId="21" fillId="8" borderId="68" xfId="0" applyNumberFormat="1" applyFont="1" applyFill="1" applyBorder="1"/>
    <xf numFmtId="173" fontId="21" fillId="8" borderId="30" xfId="0" applyNumberFormat="1" applyFont="1" applyFill="1" applyBorder="1"/>
    <xf numFmtId="173" fontId="21" fillId="5" borderId="69" xfId="0" applyNumberFormat="1" applyFont="1" applyFill="1" applyBorder="1"/>
    <xf numFmtId="41" fontId="21" fillId="13" borderId="30" xfId="0" applyNumberFormat="1" applyFont="1" applyFill="1" applyBorder="1"/>
    <xf numFmtId="3" fontId="22" fillId="4" borderId="57" xfId="0" applyNumberFormat="1" applyFont="1" applyFill="1" applyBorder="1" applyAlignment="1">
      <alignment horizontal="center" vertical="center"/>
    </xf>
    <xf numFmtId="3" fontId="22" fillId="0" borderId="18" xfId="0" applyNumberFormat="1" applyFont="1" applyFill="1" applyBorder="1" applyAlignment="1">
      <alignment horizontal="center"/>
    </xf>
    <xf numFmtId="176" fontId="21" fillId="0" borderId="30" xfId="0" applyNumberFormat="1" applyFont="1" applyFill="1" applyBorder="1"/>
    <xf numFmtId="41" fontId="22" fillId="0" borderId="38" xfId="0" applyNumberFormat="1" applyFont="1" applyFill="1" applyBorder="1"/>
    <xf numFmtId="173" fontId="21" fillId="0" borderId="30" xfId="0" applyNumberFormat="1" applyFont="1" applyFill="1" applyBorder="1"/>
    <xf numFmtId="3" fontId="21" fillId="0" borderId="30" xfId="0" applyNumberFormat="1" applyFont="1" applyFill="1" applyBorder="1"/>
    <xf numFmtId="41" fontId="22" fillId="0" borderId="39" xfId="0" applyNumberFormat="1" applyFont="1" applyFill="1" applyBorder="1"/>
    <xf numFmtId="173" fontId="21" fillId="0" borderId="36" xfId="0" applyNumberFormat="1" applyFont="1" applyFill="1" applyBorder="1"/>
    <xf numFmtId="173" fontId="21" fillId="0" borderId="81" xfId="0" applyNumberFormat="1" applyFont="1" applyFill="1" applyBorder="1"/>
    <xf numFmtId="49" fontId="22" fillId="4" borderId="78" xfId="0" applyNumberFormat="1" applyFont="1" applyFill="1" applyBorder="1" applyAlignment="1">
      <alignment horizontal="center"/>
    </xf>
    <xf numFmtId="173" fontId="21" fillId="8" borderId="111" xfId="0" applyNumberFormat="1" applyFont="1" applyFill="1" applyBorder="1"/>
    <xf numFmtId="173" fontId="21" fillId="8" borderId="112" xfId="0" applyNumberFormat="1" applyFont="1" applyFill="1" applyBorder="1"/>
    <xf numFmtId="173" fontId="21" fillId="5" borderId="113" xfId="0" applyNumberFormat="1" applyFont="1" applyFill="1" applyBorder="1"/>
    <xf numFmtId="41" fontId="15" fillId="14" borderId="30" xfId="16" applyNumberFormat="1" applyFont="1" applyFill="1" applyBorder="1" applyProtection="1"/>
    <xf numFmtId="0" fontId="15" fillId="14" borderId="30" xfId="16" applyNumberFormat="1" applyFont="1" applyFill="1" applyBorder="1" applyAlignment="1">
      <alignment horizontal="center"/>
    </xf>
    <xf numFmtId="41" fontId="15" fillId="14" borderId="34" xfId="16" applyNumberFormat="1" applyFont="1" applyFill="1" applyBorder="1" applyProtection="1"/>
    <xf numFmtId="41" fontId="15" fillId="14" borderId="0" xfId="16" applyNumberFormat="1" applyFont="1" applyFill="1" applyBorder="1"/>
    <xf numFmtId="41" fontId="15" fillId="14" borderId="33" xfId="16" applyNumberFormat="1" applyFont="1" applyFill="1" applyBorder="1"/>
    <xf numFmtId="41" fontId="15" fillId="14" borderId="34" xfId="16" applyNumberFormat="1" applyFont="1" applyFill="1" applyBorder="1"/>
    <xf numFmtId="171" fontId="15" fillId="14" borderId="33" xfId="16" applyNumberFormat="1" applyFont="1" applyFill="1" applyBorder="1"/>
    <xf numFmtId="10" fontId="15" fillId="14" borderId="30" xfId="16" applyNumberFormat="1" applyFont="1" applyFill="1" applyBorder="1" applyAlignment="1">
      <alignment horizontal="center"/>
    </xf>
    <xf numFmtId="168" fontId="21" fillId="14" borderId="6" xfId="1" applyNumberFormat="1" applyFont="1" applyFill="1" applyBorder="1"/>
    <xf numFmtId="175" fontId="21" fillId="14" borderId="30" xfId="0" applyNumberFormat="1" applyFont="1" applyFill="1" applyBorder="1"/>
    <xf numFmtId="0" fontId="21" fillId="14" borderId="34" xfId="0" applyFont="1" applyFill="1" applyBorder="1"/>
    <xf numFmtId="168" fontId="21" fillId="14" borderId="6" xfId="1" applyNumberFormat="1" applyFont="1" applyFill="1" applyBorder="1" applyAlignment="1"/>
    <xf numFmtId="168" fontId="21" fillId="14" borderId="6" xfId="1" applyNumberFormat="1" applyFont="1" applyFill="1" applyBorder="1" applyProtection="1"/>
    <xf numFmtId="175" fontId="21" fillId="0" borderId="30" xfId="0" applyNumberFormat="1" applyFont="1" applyFill="1" applyBorder="1"/>
    <xf numFmtId="41" fontId="21" fillId="14" borderId="21" xfId="1" applyNumberFormat="1" applyFont="1" applyFill="1" applyBorder="1" applyProtection="1"/>
    <xf numFmtId="41" fontId="22" fillId="14" borderId="0" xfId="1" applyNumberFormat="1" applyFont="1" applyFill="1" applyBorder="1" applyProtection="1"/>
    <xf numFmtId="174" fontId="22" fillId="14" borderId="0" xfId="1" applyNumberFormat="1" applyFont="1" applyFill="1" applyBorder="1" applyProtection="1"/>
    <xf numFmtId="3" fontId="52" fillId="0" borderId="0" xfId="0" applyNumberFormat="1" applyFont="1" applyFill="1" applyBorder="1"/>
    <xf numFmtId="174" fontId="53" fillId="0" borderId="0" xfId="0" applyNumberFormat="1" applyFont="1" applyFill="1" applyBorder="1" applyAlignment="1">
      <alignment horizontal="right"/>
    </xf>
    <xf numFmtId="39" fontId="15" fillId="0" borderId="0" xfId="16" applyFont="1" applyFill="1" applyBorder="1"/>
    <xf numFmtId="39" fontId="15" fillId="0" borderId="0" xfId="16" applyFont="1" applyFill="1" applyBorder="1" applyAlignment="1">
      <alignment horizontal="center"/>
    </xf>
    <xf numFmtId="0" fontId="15" fillId="0" borderId="0" xfId="16" applyNumberFormat="1" applyFont="1" applyFill="1" applyBorder="1" applyAlignment="1">
      <alignment horizontal="center"/>
    </xf>
    <xf numFmtId="39" fontId="15" fillId="0" borderId="0" xfId="16" applyNumberFormat="1" applyFont="1" applyFill="1" applyBorder="1"/>
    <xf numFmtId="39" fontId="29" fillId="0" borderId="0" xfId="16" applyFont="1" applyFill="1" applyBorder="1"/>
    <xf numFmtId="39" fontId="15" fillId="0" borderId="0" xfId="16" applyFont="1" applyFill="1" applyBorder="1" applyAlignment="1">
      <alignment vertical="top" wrapText="1"/>
    </xf>
    <xf numFmtId="41" fontId="22" fillId="0" borderId="0" xfId="1" quotePrefix="1" applyNumberFormat="1" applyFont="1" applyFill="1" applyBorder="1" applyAlignment="1">
      <alignment horizontal="center"/>
    </xf>
    <xf numFmtId="0" fontId="21" fillId="0" borderId="0" xfId="0" applyFont="1" applyFill="1" applyBorder="1" applyAlignment="1">
      <alignment horizontal="justify" vertical="top" wrapText="1"/>
    </xf>
    <xf numFmtId="41" fontId="21" fillId="0" borderId="23" xfId="1" applyNumberFormat="1" applyFont="1" applyBorder="1" applyAlignment="1">
      <alignment horizontal="right"/>
    </xf>
    <xf numFmtId="0" fontId="22" fillId="0" borderId="0" xfId="0" applyFont="1" applyFill="1" applyBorder="1" applyAlignment="1">
      <alignment horizontal="center" vertical="top" wrapText="1"/>
    </xf>
    <xf numFmtId="0" fontId="22" fillId="4" borderId="79" xfId="0" applyFont="1" applyFill="1" applyBorder="1" applyAlignment="1">
      <alignment horizontal="center"/>
    </xf>
    <xf numFmtId="0" fontId="22" fillId="4" borderId="85" xfId="0" applyFont="1" applyFill="1" applyBorder="1" applyAlignment="1">
      <alignment horizontal="center"/>
    </xf>
    <xf numFmtId="0" fontId="22" fillId="4" borderId="84" xfId="0" applyFont="1" applyFill="1" applyBorder="1" applyAlignment="1">
      <alignment horizontal="center"/>
    </xf>
    <xf numFmtId="0" fontId="22" fillId="4" borderId="86" xfId="0" applyFont="1" applyFill="1" applyBorder="1" applyAlignment="1">
      <alignment horizontal="center"/>
    </xf>
    <xf numFmtId="0" fontId="22" fillId="4" borderId="116" xfId="0" applyFont="1" applyFill="1" applyBorder="1" applyAlignment="1">
      <alignment horizontal="center"/>
    </xf>
    <xf numFmtId="0" fontId="22" fillId="4" borderId="87" xfId="0" applyFont="1" applyFill="1" applyBorder="1" applyAlignment="1">
      <alignment horizontal="center"/>
    </xf>
    <xf numFmtId="0" fontId="22" fillId="0" borderId="79" xfId="0" applyFont="1" applyBorder="1" applyAlignment="1">
      <alignment horizontal="center"/>
    </xf>
    <xf numFmtId="0" fontId="21" fillId="0" borderId="84" xfId="0" applyFont="1" applyBorder="1"/>
    <xf numFmtId="0" fontId="24" fillId="0" borderId="84" xfId="0" applyFont="1" applyBorder="1"/>
    <xf numFmtId="0" fontId="21" fillId="0" borderId="116" xfId="0" applyFont="1" applyBorder="1"/>
    <xf numFmtId="0" fontId="22" fillId="13" borderId="85" xfId="0" applyFont="1" applyFill="1" applyBorder="1" applyAlignment="1">
      <alignment horizontal="center"/>
    </xf>
    <xf numFmtId="49" fontId="22" fillId="0" borderId="0" xfId="0" quotePrefix="1" applyNumberFormat="1" applyFont="1" applyFill="1" applyBorder="1"/>
    <xf numFmtId="39" fontId="15" fillId="0" borderId="0" xfId="0" applyNumberFormat="1" applyFont="1" applyBorder="1"/>
    <xf numFmtId="39" fontId="19" fillId="0" borderId="0" xfId="0" applyNumberFormat="1" applyFont="1" applyBorder="1"/>
    <xf numFmtId="39" fontId="21" fillId="0" borderId="0" xfId="0" applyNumberFormat="1" applyFont="1"/>
    <xf numFmtId="39" fontId="15" fillId="0" borderId="0" xfId="0" applyNumberFormat="1" applyFont="1"/>
    <xf numFmtId="39" fontId="22" fillId="0" borderId="24" xfId="0" applyNumberFormat="1" applyFont="1" applyBorder="1"/>
    <xf numFmtId="39" fontId="22" fillId="0" borderId="0" xfId="0" applyNumberFormat="1" applyFont="1" applyAlignment="1">
      <alignment horizontal="center"/>
    </xf>
    <xf numFmtId="37" fontId="21" fillId="16" borderId="0" xfId="0" applyNumberFormat="1" applyFont="1" applyFill="1" applyBorder="1"/>
    <xf numFmtId="0" fontId="21" fillId="16" borderId="0" xfId="0" applyFont="1" applyFill="1" applyBorder="1"/>
    <xf numFmtId="3" fontId="21" fillId="16" borderId="0" xfId="0" applyNumberFormat="1" applyFont="1" applyFill="1" applyBorder="1"/>
    <xf numFmtId="41" fontId="21" fillId="16" borderId="0" xfId="1" applyNumberFormat="1" applyFont="1" applyFill="1" applyBorder="1"/>
    <xf numFmtId="41" fontId="23" fillId="16" borderId="0" xfId="0" applyNumberFormat="1" applyFont="1" applyFill="1" applyBorder="1" applyAlignment="1">
      <alignment horizontal="right"/>
    </xf>
    <xf numFmtId="0" fontId="22" fillId="16" borderId="0" xfId="0" applyFont="1" applyFill="1" applyBorder="1"/>
    <xf numFmtId="41" fontId="21" fillId="16" borderId="0" xfId="0" applyNumberFormat="1" applyFont="1" applyFill="1" applyBorder="1"/>
    <xf numFmtId="41" fontId="21" fillId="16" borderId="0" xfId="0" applyNumberFormat="1" applyFont="1" applyFill="1" applyBorder="1" applyAlignment="1">
      <alignment horizontal="right"/>
    </xf>
    <xf numFmtId="0" fontId="21" fillId="16" borderId="0" xfId="0" applyFont="1" applyFill="1" applyBorder="1" applyAlignment="1">
      <alignment horizontal="right"/>
    </xf>
    <xf numFmtId="10" fontId="22" fillId="0" borderId="13" xfId="1" applyNumberFormat="1" applyFont="1" applyFill="1" applyBorder="1"/>
    <xf numFmtId="168" fontId="21" fillId="16" borderId="0" xfId="1" applyNumberFormat="1" applyFont="1" applyFill="1" applyBorder="1"/>
    <xf numFmtId="0" fontId="23" fillId="16" borderId="0" xfId="0" applyFont="1" applyFill="1" applyBorder="1" applyAlignment="1">
      <alignment horizontal="right"/>
    </xf>
    <xf numFmtId="41" fontId="29" fillId="0" borderId="39" xfId="0" applyNumberFormat="1" applyFont="1" applyFill="1" applyBorder="1"/>
    <xf numFmtId="41" fontId="29" fillId="0" borderId="94" xfId="0" applyNumberFormat="1" applyFont="1" applyFill="1" applyBorder="1"/>
    <xf numFmtId="3" fontId="29" fillId="16" borderId="18" xfId="1" applyNumberFormat="1" applyFont="1" applyFill="1" applyBorder="1" applyAlignment="1">
      <alignment horizontal="center"/>
    </xf>
    <xf numFmtId="3" fontId="29" fillId="16" borderId="4" xfId="1" applyNumberFormat="1" applyFont="1" applyFill="1" applyBorder="1" applyAlignment="1">
      <alignment horizontal="center"/>
    </xf>
    <xf numFmtId="168" fontId="29" fillId="16" borderId="18" xfId="1" quotePrefix="1" applyNumberFormat="1" applyFont="1" applyFill="1" applyBorder="1" applyAlignment="1">
      <alignment horizontal="center"/>
    </xf>
    <xf numFmtId="3" fontId="29" fillId="16" borderId="18" xfId="1" quotePrefix="1" applyNumberFormat="1" applyFont="1" applyFill="1" applyBorder="1" applyAlignment="1">
      <alignment horizontal="center"/>
    </xf>
    <xf numFmtId="3" fontId="29" fillId="16" borderId="19" xfId="1" applyNumberFormat="1" applyFont="1" applyFill="1" applyBorder="1" applyAlignment="1">
      <alignment horizontal="center"/>
    </xf>
    <xf numFmtId="3" fontId="29" fillId="16" borderId="0" xfId="1" applyNumberFormat="1" applyFont="1" applyFill="1" applyBorder="1" applyAlignment="1">
      <alignment horizontal="center"/>
    </xf>
    <xf numFmtId="168" fontId="29" fillId="16" borderId="30" xfId="1" applyNumberFormat="1" applyFont="1" applyFill="1" applyBorder="1" applyAlignment="1">
      <alignment horizontal="center"/>
    </xf>
    <xf numFmtId="3" fontId="29" fillId="16" borderId="30" xfId="1" applyNumberFormat="1" applyFont="1" applyFill="1" applyBorder="1" applyAlignment="1">
      <alignment horizontal="center"/>
    </xf>
    <xf numFmtId="0" fontId="22" fillId="16" borderId="0" xfId="0" quotePrefix="1" applyFont="1" applyFill="1" applyBorder="1" applyAlignment="1">
      <alignment horizontal="center"/>
    </xf>
    <xf numFmtId="0" fontId="21" fillId="17" borderId="0" xfId="0" applyFont="1" applyFill="1" applyBorder="1"/>
    <xf numFmtId="0" fontId="21" fillId="17" borderId="0" xfId="0" applyFont="1" applyFill="1" applyBorder="1" applyAlignment="1">
      <alignment vertical="top" wrapText="1"/>
    </xf>
    <xf numFmtId="3" fontId="21" fillId="17" borderId="0" xfId="0" applyNumberFormat="1" applyFont="1" applyFill="1" applyBorder="1"/>
    <xf numFmtId="41" fontId="23" fillId="17" borderId="0" xfId="0" applyNumberFormat="1" applyFont="1" applyFill="1" applyBorder="1" applyAlignment="1">
      <alignment horizontal="right"/>
    </xf>
    <xf numFmtId="0" fontId="23" fillId="17" borderId="0" xfId="0" applyFont="1" applyFill="1" applyBorder="1" applyAlignment="1">
      <alignment horizontal="right"/>
    </xf>
    <xf numFmtId="41" fontId="22" fillId="0" borderId="24" xfId="0" applyNumberFormat="1" applyFont="1" applyFill="1" applyBorder="1" applyAlignment="1">
      <alignment horizontal="center"/>
    </xf>
    <xf numFmtId="41" fontId="21" fillId="17" borderId="0" xfId="0" applyNumberFormat="1" applyFont="1" applyFill="1" applyBorder="1" applyAlignment="1">
      <alignment horizontal="center"/>
    </xf>
    <xf numFmtId="0" fontId="22" fillId="17" borderId="0" xfId="0" applyFont="1" applyFill="1" applyBorder="1"/>
    <xf numFmtId="41" fontId="21" fillId="17" borderId="0" xfId="0" applyNumberFormat="1" applyFont="1" applyFill="1" applyBorder="1"/>
    <xf numFmtId="0" fontId="27" fillId="17" borderId="0" xfId="0" applyFont="1" applyFill="1" applyBorder="1"/>
    <xf numFmtId="168" fontId="21" fillId="17" borderId="0" xfId="1" applyNumberFormat="1" applyFont="1" applyFill="1" applyBorder="1"/>
    <xf numFmtId="0" fontId="22" fillId="17" borderId="0" xfId="0" quotePrefix="1" applyFont="1" applyFill="1" applyBorder="1" applyAlignment="1">
      <alignment horizontal="center"/>
    </xf>
    <xf numFmtId="41" fontId="21" fillId="17" borderId="0" xfId="1" applyNumberFormat="1" applyFont="1" applyFill="1" applyBorder="1"/>
    <xf numFmtId="41" fontId="22" fillId="17" borderId="0" xfId="1" applyNumberFormat="1" applyFont="1" applyFill="1" applyBorder="1"/>
    <xf numFmtId="37" fontId="21" fillId="17" borderId="0" xfId="0" applyNumberFormat="1" applyFont="1" applyFill="1" applyBorder="1"/>
    <xf numFmtId="177" fontId="21" fillId="17" borderId="0" xfId="1" applyNumberFormat="1" applyFont="1" applyFill="1" applyBorder="1"/>
    <xf numFmtId="0" fontId="22" fillId="13" borderId="86" xfId="0" applyFont="1" applyFill="1" applyBorder="1" applyAlignment="1">
      <alignment horizontal="center"/>
    </xf>
    <xf numFmtId="0" fontId="21" fillId="13" borderId="86" xfId="0" applyFont="1" applyFill="1" applyBorder="1" applyAlignment="1">
      <alignment horizontal="center"/>
    </xf>
    <xf numFmtId="0" fontId="24" fillId="13" borderId="86" xfId="0" applyFont="1" applyFill="1" applyBorder="1" applyAlignment="1">
      <alignment horizontal="center"/>
    </xf>
    <xf numFmtId="0" fontId="21" fillId="13" borderId="87" xfId="0" applyFont="1" applyFill="1" applyBorder="1" applyAlignment="1">
      <alignment horizontal="center"/>
    </xf>
    <xf numFmtId="0" fontId="21" fillId="13" borderId="85" xfId="0" applyFont="1" applyFill="1" applyBorder="1" applyAlignment="1">
      <alignment horizontal="center"/>
    </xf>
    <xf numFmtId="0" fontId="13" fillId="0" borderId="0" xfId="0" applyFont="1" applyAlignment="1">
      <alignment horizontal="center"/>
    </xf>
    <xf numFmtId="0" fontId="21" fillId="0" borderId="84" xfId="0" applyFont="1" applyFill="1" applyBorder="1"/>
    <xf numFmtId="167" fontId="29" fillId="0" borderId="24" xfId="1" applyNumberFormat="1" applyFont="1" applyFill="1" applyBorder="1" applyProtection="1"/>
    <xf numFmtId="3" fontId="22" fillId="0" borderId="0" xfId="0" applyNumberFormat="1" applyFont="1" applyFill="1" applyBorder="1" applyAlignment="1">
      <alignment horizontal="center" vertical="center"/>
    </xf>
    <xf numFmtId="3" fontId="21" fillId="0" borderId="0" xfId="0" applyNumberFormat="1" applyFont="1" applyFill="1" applyBorder="1" applyAlignment="1">
      <alignment vertical="center"/>
    </xf>
    <xf numFmtId="39" fontId="29" fillId="16" borderId="0" xfId="16" applyFont="1" applyFill="1" applyBorder="1"/>
    <xf numFmtId="39" fontId="15" fillId="16" borderId="0" xfId="16" applyFont="1" applyFill="1" applyBorder="1"/>
    <xf numFmtId="39" fontId="15" fillId="16" borderId="0" xfId="16" applyFont="1" applyFill="1" applyBorder="1" applyAlignment="1">
      <alignment horizontal="center"/>
    </xf>
    <xf numFmtId="0" fontId="15" fillId="16" borderId="0" xfId="16" applyNumberFormat="1" applyFont="1" applyFill="1" applyBorder="1" applyAlignment="1">
      <alignment horizontal="center"/>
    </xf>
    <xf numFmtId="43" fontId="21" fillId="0" borderId="0" xfId="1" applyNumberFormat="1" applyFont="1" applyFill="1" applyBorder="1"/>
    <xf numFmtId="3" fontId="21" fillId="0" borderId="118" xfId="0" applyNumberFormat="1" applyFont="1" applyFill="1" applyBorder="1"/>
    <xf numFmtId="0" fontId="15" fillId="0" borderId="17" xfId="0" applyFont="1" applyBorder="1"/>
    <xf numFmtId="37" fontId="15" fillId="0" borderId="66" xfId="0" applyNumberFormat="1" applyFont="1" applyBorder="1" applyAlignment="1">
      <alignment horizontal="right"/>
    </xf>
    <xf numFmtId="37" fontId="15" fillId="0" borderId="18" xfId="0" applyNumberFormat="1" applyFont="1" applyBorder="1" applyAlignment="1">
      <alignment horizontal="right"/>
    </xf>
    <xf numFmtId="37" fontId="15" fillId="0" borderId="67" xfId="0" applyNumberFormat="1" applyFont="1" applyBorder="1" applyAlignment="1">
      <alignment horizontal="right"/>
    </xf>
    <xf numFmtId="3" fontId="15" fillId="0" borderId="44" xfId="0" applyNumberFormat="1" applyFont="1" applyBorder="1" applyAlignment="1">
      <alignment horizontal="right"/>
    </xf>
    <xf numFmtId="3" fontId="15" fillId="9" borderId="18" xfId="0" applyNumberFormat="1" applyFont="1" applyFill="1" applyBorder="1" applyAlignment="1">
      <alignment horizontal="right"/>
    </xf>
    <xf numFmtId="3" fontId="15" fillId="0" borderId="19" xfId="0" applyNumberFormat="1" applyFont="1" applyBorder="1" applyAlignment="1">
      <alignment horizontal="right"/>
    </xf>
    <xf numFmtId="0" fontId="15" fillId="0" borderId="33" xfId="0" applyFont="1" applyBorder="1" applyAlignment="1">
      <alignment horizontal="left"/>
    </xf>
    <xf numFmtId="37" fontId="15" fillId="0" borderId="68" xfId="0" applyNumberFormat="1" applyFont="1" applyBorder="1" applyAlignment="1">
      <alignment horizontal="right"/>
    </xf>
    <xf numFmtId="37" fontId="15" fillId="0" borderId="30" xfId="0" applyNumberFormat="1" applyFont="1" applyBorder="1" applyAlignment="1">
      <alignment horizontal="right"/>
    </xf>
    <xf numFmtId="37" fontId="15" fillId="0" borderId="69" xfId="0" applyNumberFormat="1" applyFont="1" applyBorder="1" applyAlignment="1">
      <alignment horizontal="right"/>
    </xf>
    <xf numFmtId="37" fontId="15" fillId="0" borderId="68" xfId="0" applyNumberFormat="1" applyFont="1" applyBorder="1" applyAlignment="1">
      <alignment horizontal="center"/>
    </xf>
    <xf numFmtId="37" fontId="15" fillId="0" borderId="30" xfId="0" applyNumberFormat="1" applyFont="1" applyBorder="1" applyAlignment="1">
      <alignment horizontal="center"/>
    </xf>
    <xf numFmtId="37" fontId="15" fillId="0" borderId="69" xfId="0" applyNumberFormat="1" applyFont="1" applyBorder="1" applyAlignment="1">
      <alignment horizontal="center"/>
    </xf>
    <xf numFmtId="3" fontId="15" fillId="0" borderId="46" xfId="0" applyNumberFormat="1" applyFont="1" applyBorder="1" applyAlignment="1">
      <alignment horizontal="center"/>
    </xf>
    <xf numFmtId="3" fontId="15" fillId="9" borderId="30" xfId="0" applyNumberFormat="1" applyFont="1" applyFill="1" applyBorder="1" applyAlignment="1">
      <alignment horizontal="center"/>
    </xf>
    <xf numFmtId="3" fontId="15" fillId="0" borderId="34" xfId="0" quotePrefix="1" applyNumberFormat="1" applyFont="1" applyBorder="1" applyAlignment="1">
      <alignment horizontal="center"/>
    </xf>
    <xf numFmtId="0" fontId="15" fillId="14" borderId="33" xfId="0" applyFont="1" applyFill="1" applyBorder="1" applyAlignment="1">
      <alignment horizontal="left"/>
    </xf>
    <xf numFmtId="37" fontId="15" fillId="14" borderId="68" xfId="0" applyNumberFormat="1" applyFont="1" applyFill="1" applyBorder="1" applyAlignment="1">
      <alignment horizontal="right"/>
    </xf>
    <xf numFmtId="37" fontId="15" fillId="14" borderId="30" xfId="0" applyNumberFormat="1" applyFont="1" applyFill="1" applyBorder="1" applyAlignment="1">
      <alignment horizontal="right"/>
    </xf>
    <xf numFmtId="37" fontId="15" fillId="14" borderId="69" xfId="0" applyNumberFormat="1" applyFont="1" applyFill="1" applyBorder="1" applyAlignment="1">
      <alignment horizontal="right"/>
    </xf>
    <xf numFmtId="37" fontId="15" fillId="14" borderId="68" xfId="0" applyNumberFormat="1" applyFont="1" applyFill="1" applyBorder="1" applyAlignment="1">
      <alignment horizontal="center"/>
    </xf>
    <xf numFmtId="37" fontId="15" fillId="14" borderId="30" xfId="0" applyNumberFormat="1" applyFont="1" applyFill="1" applyBorder="1" applyAlignment="1">
      <alignment horizontal="center"/>
    </xf>
    <xf numFmtId="37" fontId="15" fillId="14" borderId="69" xfId="0" applyNumberFormat="1" applyFont="1" applyFill="1" applyBorder="1" applyAlignment="1">
      <alignment horizontal="center"/>
    </xf>
    <xf numFmtId="3" fontId="15" fillId="14" borderId="46" xfId="0" applyNumberFormat="1" applyFont="1" applyFill="1" applyBorder="1" applyAlignment="1">
      <alignment horizontal="center"/>
    </xf>
    <xf numFmtId="0" fontId="15" fillId="0" borderId="119" xfId="0" applyFont="1" applyBorder="1"/>
    <xf numFmtId="37" fontId="15" fillId="0" borderId="88" xfId="0" applyNumberFormat="1" applyFont="1" applyBorder="1" applyAlignment="1">
      <alignment horizontal="right"/>
    </xf>
    <xf numFmtId="37" fontId="15" fillId="0" borderId="26" xfId="0" applyNumberFormat="1" applyFont="1" applyBorder="1" applyAlignment="1">
      <alignment horizontal="right"/>
    </xf>
    <xf numFmtId="37" fontId="15" fillId="0" borderId="120" xfId="0" applyNumberFormat="1" applyFont="1" applyBorder="1" applyAlignment="1">
      <alignment horizontal="right"/>
    </xf>
    <xf numFmtId="3" fontId="15" fillId="0" borderId="32" xfId="0" applyNumberFormat="1" applyFont="1" applyBorder="1" applyAlignment="1">
      <alignment horizontal="right"/>
    </xf>
    <xf numFmtId="3" fontId="15" fillId="9" borderId="26" xfId="0" applyNumberFormat="1" applyFont="1" applyFill="1" applyBorder="1" applyAlignment="1">
      <alignment horizontal="right"/>
    </xf>
    <xf numFmtId="3" fontId="15" fillId="0" borderId="47" xfId="0" applyNumberFormat="1" applyFont="1" applyBorder="1" applyAlignment="1">
      <alignment horizontal="right"/>
    </xf>
    <xf numFmtId="0" fontId="29" fillId="0" borderId="93" xfId="0" applyFont="1" applyBorder="1"/>
    <xf numFmtId="37" fontId="29" fillId="0" borderId="74" xfId="0" applyNumberFormat="1" applyFont="1" applyBorder="1" applyAlignment="1">
      <alignment horizontal="right"/>
    </xf>
    <xf numFmtId="37" fontId="29" fillId="0" borderId="39" xfId="0" applyNumberFormat="1" applyFont="1" applyBorder="1" applyAlignment="1">
      <alignment horizontal="right"/>
    </xf>
    <xf numFmtId="37" fontId="29" fillId="0" borderId="75" xfId="0" applyNumberFormat="1" applyFont="1" applyBorder="1" applyAlignment="1">
      <alignment horizontal="right"/>
    </xf>
    <xf numFmtId="3" fontId="29" fillId="0" borderId="121" xfId="0" applyNumberFormat="1" applyFont="1" applyBorder="1" applyAlignment="1">
      <alignment horizontal="right"/>
    </xf>
    <xf numFmtId="3" fontId="29" fillId="9" borderId="39" xfId="0" applyNumberFormat="1" applyFont="1" applyFill="1" applyBorder="1" applyAlignment="1">
      <alignment horizontal="right"/>
    </xf>
    <xf numFmtId="3" fontId="29" fillId="0" borderId="94" xfId="0" applyNumberFormat="1" applyFont="1" applyBorder="1" applyAlignment="1">
      <alignment horizontal="right"/>
    </xf>
    <xf numFmtId="41" fontId="22" fillId="0" borderId="13" xfId="1" applyNumberFormat="1" applyFont="1" applyFill="1" applyBorder="1"/>
    <xf numFmtId="41" fontId="21" fillId="0" borderId="36" xfId="0" applyNumberFormat="1" applyFont="1" applyFill="1" applyBorder="1"/>
    <xf numFmtId="168" fontId="21" fillId="0" borderId="6" xfId="1" applyNumberFormat="1" applyFont="1" applyFill="1" applyBorder="1"/>
    <xf numFmtId="170" fontId="30" fillId="0" borderId="0" xfId="15" applyNumberFormat="1" applyFont="1" applyFill="1" applyBorder="1" applyProtection="1"/>
    <xf numFmtId="0" fontId="41" fillId="0" borderId="0" xfId="0" applyFont="1" applyFill="1" applyBorder="1"/>
    <xf numFmtId="41" fontId="21" fillId="0" borderId="0" xfId="0" quotePrefix="1" applyNumberFormat="1" applyFont="1" applyFill="1" applyBorder="1" applyAlignment="1">
      <alignment horizontal="right"/>
    </xf>
    <xf numFmtId="41" fontId="22" fillId="0" borderId="40" xfId="0" applyNumberFormat="1" applyFont="1" applyFill="1" applyBorder="1"/>
    <xf numFmtId="0" fontId="21" fillId="16" borderId="0" xfId="0" applyFont="1" applyFill="1" applyBorder="1" applyAlignment="1">
      <alignment vertical="top" wrapText="1"/>
    </xf>
    <xf numFmtId="0" fontId="21" fillId="0" borderId="0" xfId="0" applyFont="1" applyFill="1" applyBorder="1" applyAlignment="1">
      <alignment vertical="top"/>
    </xf>
    <xf numFmtId="169" fontId="21" fillId="0" borderId="11" xfId="17" applyFont="1" applyFill="1" applyBorder="1"/>
    <xf numFmtId="41" fontId="21" fillId="15" borderId="0" xfId="1" applyNumberFormat="1" applyFont="1" applyFill="1" applyBorder="1"/>
    <xf numFmtId="41" fontId="21" fillId="15" borderId="23" xfId="1" applyNumberFormat="1" applyFont="1" applyFill="1" applyBorder="1" applyAlignment="1">
      <alignment horizontal="right"/>
    </xf>
    <xf numFmtId="41" fontId="21" fillId="15" borderId="25" xfId="1" applyNumberFormat="1" applyFont="1" applyFill="1" applyBorder="1" applyAlignment="1">
      <alignment horizontal="right"/>
    </xf>
    <xf numFmtId="41" fontId="21" fillId="15" borderId="26" xfId="1" applyNumberFormat="1" applyFont="1" applyFill="1" applyBorder="1" applyAlignment="1">
      <alignment horizontal="right"/>
    </xf>
    <xf numFmtId="0" fontId="22" fillId="0" borderId="0" xfId="1" quotePrefix="1" applyNumberFormat="1" applyFont="1" applyFill="1" applyBorder="1" applyAlignment="1">
      <alignment horizontal="center"/>
    </xf>
    <xf numFmtId="169" fontId="21" fillId="0" borderId="12" xfId="17" applyFont="1" applyFill="1" applyBorder="1"/>
    <xf numFmtId="178" fontId="29" fillId="0" borderId="0" xfId="0" applyNumberFormat="1" applyFont="1" applyFill="1" applyBorder="1" applyAlignment="1">
      <alignment horizontal="center"/>
    </xf>
    <xf numFmtId="0" fontId="35" fillId="0" borderId="0" xfId="0" applyFont="1" applyFill="1" applyBorder="1" applyAlignment="1">
      <alignment horizontal="center"/>
    </xf>
    <xf numFmtId="171" fontId="15" fillId="0" borderId="33" xfId="16" applyNumberFormat="1" applyFont="1" applyFill="1" applyBorder="1"/>
    <xf numFmtId="41" fontId="15" fillId="0" borderId="30" xfId="16" applyNumberFormat="1" applyFont="1" applyFill="1" applyBorder="1" applyProtection="1"/>
    <xf numFmtId="10" fontId="15" fillId="0" borderId="30" xfId="16" applyNumberFormat="1" applyFont="1" applyFill="1" applyBorder="1" applyAlignment="1">
      <alignment horizontal="center"/>
    </xf>
    <xf numFmtId="0" fontId="15" fillId="0" borderId="30" xfId="16" applyNumberFormat="1" applyFont="1" applyFill="1" applyBorder="1" applyAlignment="1">
      <alignment horizontal="center"/>
    </xf>
    <xf numFmtId="41" fontId="15" fillId="0" borderId="34" xfId="16" applyNumberFormat="1" applyFont="1" applyFill="1" applyBorder="1" applyProtection="1"/>
    <xf numFmtId="41" fontId="15" fillId="0" borderId="0" xfId="16" applyNumberFormat="1" applyFont="1" applyFill="1" applyBorder="1"/>
    <xf numFmtId="41" fontId="15" fillId="0" borderId="33" xfId="16" applyNumberFormat="1" applyFont="1" applyFill="1" applyBorder="1"/>
    <xf numFmtId="41" fontId="15" fillId="0" borderId="34" xfId="16" applyNumberFormat="1" applyFont="1" applyFill="1" applyBorder="1"/>
    <xf numFmtId="171" fontId="15" fillId="0" borderId="0" xfId="16" applyNumberFormat="1" applyFont="1" applyFill="1" applyBorder="1"/>
    <xf numFmtId="171" fontId="29" fillId="0" borderId="33" xfId="16" applyNumberFormat="1" applyFont="1" applyFill="1" applyBorder="1"/>
    <xf numFmtId="41" fontId="29" fillId="0" borderId="38" xfId="16" applyNumberFormat="1" applyFont="1" applyFill="1" applyBorder="1" applyProtection="1"/>
    <xf numFmtId="10" fontId="29" fillId="0" borderId="30" xfId="16" applyNumberFormat="1" applyFont="1" applyFill="1" applyBorder="1" applyAlignment="1">
      <alignment horizontal="center"/>
    </xf>
    <xf numFmtId="0" fontId="29" fillId="0" borderId="30" xfId="16" applyNumberFormat="1" applyFont="1" applyFill="1" applyBorder="1" applyAlignment="1">
      <alignment horizontal="center"/>
    </xf>
    <xf numFmtId="41" fontId="29" fillId="0" borderId="54" xfId="16" applyNumberFormat="1" applyFont="1" applyFill="1" applyBorder="1" applyProtection="1"/>
    <xf numFmtId="41" fontId="29" fillId="0" borderId="55" xfId="16" applyNumberFormat="1" applyFont="1" applyFill="1" applyBorder="1" applyProtection="1"/>
    <xf numFmtId="39" fontId="29" fillId="0" borderId="0" xfId="16" applyNumberFormat="1" applyFont="1" applyFill="1" applyBorder="1"/>
    <xf numFmtId="41" fontId="15" fillId="0" borderId="56" xfId="16" applyNumberFormat="1" applyFont="1" applyFill="1" applyBorder="1"/>
    <xf numFmtId="41" fontId="15" fillId="0" borderId="49" xfId="16" applyNumberFormat="1" applyFont="1" applyFill="1" applyBorder="1"/>
    <xf numFmtId="39" fontId="29" fillId="0" borderId="33" xfId="16" applyFont="1" applyFill="1" applyBorder="1"/>
    <xf numFmtId="39" fontId="15" fillId="0" borderId="30" xfId="16" applyFont="1" applyFill="1" applyBorder="1" applyAlignment="1">
      <alignment horizontal="center"/>
    </xf>
    <xf numFmtId="41" fontId="21" fillId="0" borderId="25" xfId="0" applyNumberFormat="1" applyFont="1" applyBorder="1"/>
    <xf numFmtId="0" fontId="21" fillId="0" borderId="46" xfId="0" applyFont="1" applyBorder="1"/>
    <xf numFmtId="0" fontId="21" fillId="16" borderId="0" xfId="0" applyFont="1" applyFill="1"/>
    <xf numFmtId="0" fontId="21" fillId="17" borderId="0" xfId="0" applyFont="1" applyFill="1"/>
    <xf numFmtId="0" fontId="21" fillId="0" borderId="46" xfId="0" applyFont="1" applyFill="1" applyBorder="1"/>
    <xf numFmtId="0" fontId="21" fillId="0" borderId="23" xfId="0" applyFont="1" applyFill="1" applyBorder="1"/>
    <xf numFmtId="0" fontId="22" fillId="0" borderId="0" xfId="0" quotePrefix="1" applyFont="1" applyBorder="1" applyAlignment="1">
      <alignment horizontal="center"/>
    </xf>
    <xf numFmtId="3" fontId="22" fillId="0" borderId="0" xfId="1" applyNumberFormat="1" applyFont="1" applyBorder="1" applyAlignment="1">
      <alignment horizontal="center"/>
    </xf>
    <xf numFmtId="0" fontId="22" fillId="4" borderId="3" xfId="0" applyFont="1" applyFill="1" applyBorder="1"/>
    <xf numFmtId="0" fontId="21" fillId="4" borderId="44" xfId="0" applyFont="1" applyFill="1" applyBorder="1"/>
    <xf numFmtId="0" fontId="22" fillId="4" borderId="4" xfId="0" applyFont="1" applyFill="1" applyBorder="1" applyAlignment="1">
      <alignment horizontal="center"/>
    </xf>
    <xf numFmtId="0" fontId="22" fillId="4" borderId="18" xfId="0" applyFont="1" applyFill="1" applyBorder="1" applyAlignment="1">
      <alignment horizontal="center"/>
    </xf>
    <xf numFmtId="3" fontId="22" fillId="4" borderId="4" xfId="0" applyNumberFormat="1" applyFont="1" applyFill="1" applyBorder="1" applyAlignment="1">
      <alignment horizontal="center"/>
    </xf>
    <xf numFmtId="3" fontId="22" fillId="4" borderId="18" xfId="1" applyNumberFormat="1" applyFont="1" applyFill="1" applyBorder="1" applyAlignment="1">
      <alignment horizontal="center"/>
    </xf>
    <xf numFmtId="3" fontId="22" fillId="4" borderId="4" xfId="1" applyNumberFormat="1" applyFont="1" applyFill="1" applyBorder="1" applyAlignment="1">
      <alignment horizontal="center"/>
    </xf>
    <xf numFmtId="168" fontId="22" fillId="4" borderId="18" xfId="1" applyNumberFormat="1" applyFont="1" applyFill="1" applyBorder="1" applyAlignment="1">
      <alignment horizontal="center"/>
    </xf>
    <xf numFmtId="3" fontId="22" fillId="4" borderId="19" xfId="1" applyNumberFormat="1" applyFont="1" applyFill="1" applyBorder="1" applyAlignment="1">
      <alignment horizontal="center"/>
    </xf>
    <xf numFmtId="0" fontId="22" fillId="4" borderId="0" xfId="0" applyFont="1" applyFill="1" applyBorder="1" applyAlignment="1">
      <alignment horizontal="center"/>
    </xf>
    <xf numFmtId="3" fontId="22" fillId="4" borderId="0" xfId="0" applyNumberFormat="1" applyFont="1" applyFill="1" applyBorder="1" applyAlignment="1">
      <alignment horizontal="center"/>
    </xf>
    <xf numFmtId="168" fontId="22" fillId="4" borderId="30" xfId="1" applyNumberFormat="1" applyFont="1" applyFill="1" applyBorder="1" applyAlignment="1">
      <alignment horizontal="center"/>
    </xf>
    <xf numFmtId="0" fontId="21" fillId="4" borderId="8" xfId="0" applyFont="1" applyFill="1" applyBorder="1"/>
    <xf numFmtId="0" fontId="21" fillId="4" borderId="45" xfId="0" applyFont="1" applyFill="1" applyBorder="1"/>
    <xf numFmtId="0" fontId="22" fillId="4" borderId="9" xfId="0" applyFont="1" applyFill="1" applyBorder="1" applyAlignment="1">
      <alignment horizontal="center"/>
    </xf>
    <xf numFmtId="0" fontId="22" fillId="4" borderId="36" xfId="0" applyFont="1" applyFill="1" applyBorder="1" applyAlignment="1">
      <alignment horizontal="center"/>
    </xf>
    <xf numFmtId="168" fontId="22" fillId="4" borderId="36" xfId="1" applyNumberFormat="1" applyFont="1" applyFill="1" applyBorder="1" applyAlignment="1">
      <alignment horizontal="center"/>
    </xf>
    <xf numFmtId="0" fontId="21" fillId="4" borderId="37" xfId="0" applyFont="1" applyFill="1" applyBorder="1"/>
    <xf numFmtId="0" fontId="21" fillId="0" borderId="3" xfId="0" applyFont="1" applyFill="1" applyBorder="1"/>
    <xf numFmtId="0" fontId="21" fillId="0" borderId="44" xfId="0" applyFont="1" applyFill="1" applyBorder="1"/>
    <xf numFmtId="0" fontId="22" fillId="0" borderId="18" xfId="0" applyFont="1" applyFill="1" applyBorder="1" applyAlignment="1">
      <alignment horizontal="center"/>
    </xf>
    <xf numFmtId="0" fontId="22" fillId="0" borderId="4" xfId="0" applyFont="1" applyFill="1" applyBorder="1" applyAlignment="1">
      <alignment horizontal="center"/>
    </xf>
    <xf numFmtId="0" fontId="22" fillId="0" borderId="19" xfId="0" applyFont="1" applyFill="1" applyBorder="1" applyAlignment="1">
      <alignment horizontal="center"/>
    </xf>
    <xf numFmtId="0" fontId="21" fillId="0" borderId="6" xfId="0" applyFont="1" applyFill="1" applyBorder="1"/>
    <xf numFmtId="168" fontId="21" fillId="0" borderId="30" xfId="1" applyNumberFormat="1" applyFont="1" applyFill="1" applyBorder="1"/>
    <xf numFmtId="41" fontId="22" fillId="0" borderId="31" xfId="0" applyNumberFormat="1" applyFont="1" applyBorder="1"/>
    <xf numFmtId="41" fontId="22" fillId="0" borderId="47" xfId="0" applyNumberFormat="1" applyFont="1" applyBorder="1"/>
    <xf numFmtId="41" fontId="21" fillId="5" borderId="114" xfId="0" applyNumberFormat="1" applyFont="1" applyFill="1" applyBorder="1"/>
    <xf numFmtId="41" fontId="21" fillId="5" borderId="54" xfId="0" applyNumberFormat="1" applyFont="1" applyFill="1" applyBorder="1"/>
    <xf numFmtId="0" fontId="24" fillId="0" borderId="6" xfId="0" applyFont="1" applyBorder="1"/>
    <xf numFmtId="0" fontId="24" fillId="0" borderId="46" xfId="0" applyFont="1" applyBorder="1"/>
    <xf numFmtId="41" fontId="24" fillId="18" borderId="27" xfId="0" applyNumberFormat="1" applyFont="1" applyFill="1" applyBorder="1"/>
    <xf numFmtId="41" fontId="24" fillId="18" borderId="25" xfId="0" applyNumberFormat="1" applyFont="1" applyFill="1" applyBorder="1"/>
    <xf numFmtId="41" fontId="24" fillId="18" borderId="28" xfId="0" applyNumberFormat="1" applyFont="1" applyFill="1" applyBorder="1" applyAlignment="1">
      <alignment horizontal="right"/>
    </xf>
    <xf numFmtId="41" fontId="24" fillId="18" borderId="25" xfId="2" applyNumberFormat="1" applyFont="1" applyFill="1" applyBorder="1"/>
    <xf numFmtId="41" fontId="24" fillId="18" borderId="49" xfId="0" applyNumberFormat="1" applyFont="1" applyFill="1" applyBorder="1"/>
    <xf numFmtId="0" fontId="24" fillId="0" borderId="0" xfId="0" applyFont="1"/>
    <xf numFmtId="41" fontId="24" fillId="18" borderId="26" xfId="0" applyNumberFormat="1" applyFont="1" applyFill="1" applyBorder="1"/>
    <xf numFmtId="41" fontId="24" fillId="18" borderId="23" xfId="0" applyNumberFormat="1" applyFont="1" applyFill="1" applyBorder="1"/>
    <xf numFmtId="41" fontId="24" fillId="18" borderId="47" xfId="0" applyNumberFormat="1" applyFont="1" applyFill="1" applyBorder="1"/>
    <xf numFmtId="41" fontId="21" fillId="5" borderId="27" xfId="0" applyNumberFormat="1" applyFont="1" applyFill="1" applyBorder="1"/>
    <xf numFmtId="41" fontId="21" fillId="5" borderId="25" xfId="0" applyNumberFormat="1" applyFont="1" applyFill="1" applyBorder="1"/>
    <xf numFmtId="41" fontId="21" fillId="5" borderId="28" xfId="0" applyNumberFormat="1" applyFont="1" applyFill="1" applyBorder="1" applyAlignment="1"/>
    <xf numFmtId="41" fontId="21" fillId="5" borderId="25" xfId="2" applyNumberFormat="1" applyFont="1" applyFill="1" applyBorder="1"/>
    <xf numFmtId="41" fontId="21" fillId="5" borderId="49" xfId="0" applyNumberFormat="1" applyFont="1" applyFill="1" applyBorder="1"/>
    <xf numFmtId="41" fontId="21" fillId="5" borderId="0" xfId="0" applyNumberFormat="1" applyFont="1" applyFill="1" applyBorder="1"/>
    <xf numFmtId="41" fontId="21" fillId="5" borderId="30" xfId="2" applyNumberFormat="1" applyFont="1" applyFill="1" applyBorder="1"/>
    <xf numFmtId="41" fontId="21" fillId="5" borderId="34" xfId="0" applyNumberFormat="1" applyFont="1" applyFill="1" applyBorder="1"/>
    <xf numFmtId="41" fontId="21" fillId="0" borderId="0" xfId="2" applyNumberFormat="1" applyFont="1" applyBorder="1"/>
    <xf numFmtId="41" fontId="21" fillId="0" borderId="47" xfId="0" applyNumberFormat="1" applyFont="1" applyBorder="1"/>
    <xf numFmtId="41" fontId="21" fillId="0" borderId="28" xfId="0" applyNumberFormat="1" applyFont="1" applyBorder="1"/>
    <xf numFmtId="41" fontId="21" fillId="0" borderId="49" xfId="0" applyNumberFormat="1" applyFont="1" applyBorder="1"/>
    <xf numFmtId="41" fontId="21" fillId="5" borderId="28" xfId="0" applyNumberFormat="1" applyFont="1" applyFill="1" applyBorder="1"/>
    <xf numFmtId="41" fontId="21" fillId="5" borderId="48" xfId="0" applyNumberFormat="1" applyFont="1" applyFill="1" applyBorder="1"/>
    <xf numFmtId="41" fontId="21" fillId="0" borderId="30" xfId="2" applyNumberFormat="1" applyFont="1" applyBorder="1"/>
    <xf numFmtId="41" fontId="21" fillId="5" borderId="26" xfId="0" applyNumberFormat="1" applyFont="1" applyFill="1" applyBorder="1"/>
    <xf numFmtId="41" fontId="24" fillId="18" borderId="53" xfId="0" applyNumberFormat="1" applyFont="1" applyFill="1" applyBorder="1"/>
    <xf numFmtId="41" fontId="24" fillId="18" borderId="37" xfId="0" applyNumberFormat="1" applyFont="1" applyFill="1" applyBorder="1"/>
    <xf numFmtId="0" fontId="21" fillId="0" borderId="4" xfId="0" applyFont="1" applyBorder="1"/>
    <xf numFmtId="169" fontId="21" fillId="0" borderId="4" xfId="0" applyNumberFormat="1" applyFont="1" applyBorder="1"/>
    <xf numFmtId="41" fontId="22" fillId="0" borderId="0" xfId="2" applyNumberFormat="1" applyFont="1" applyBorder="1" applyAlignment="1">
      <alignment horizontal="center"/>
    </xf>
    <xf numFmtId="0" fontId="22" fillId="0" borderId="9" xfId="0" applyFont="1" applyBorder="1"/>
    <xf numFmtId="0" fontId="21" fillId="0" borderId="9" xfId="0" applyFont="1" applyBorder="1"/>
    <xf numFmtId="3" fontId="22" fillId="0" borderId="9" xfId="0" applyNumberFormat="1" applyFont="1" applyFill="1" applyBorder="1" applyAlignment="1">
      <alignment horizontal="center"/>
    </xf>
    <xf numFmtId="3" fontId="22" fillId="0" borderId="9" xfId="1" applyNumberFormat="1" applyFont="1" applyBorder="1" applyAlignment="1">
      <alignment horizontal="center"/>
    </xf>
    <xf numFmtId="168" fontId="21" fillId="0" borderId="9" xfId="1" applyNumberFormat="1" applyFont="1" applyBorder="1"/>
    <xf numFmtId="41" fontId="21" fillId="0" borderId="30" xfId="2" applyNumberFormat="1" applyFont="1" applyFill="1" applyBorder="1"/>
    <xf numFmtId="0" fontId="24" fillId="0" borderId="8" xfId="0" applyFont="1" applyBorder="1"/>
    <xf numFmtId="0" fontId="24" fillId="0" borderId="45" xfId="0" applyFont="1" applyBorder="1"/>
    <xf numFmtId="41" fontId="21" fillId="16" borderId="0" xfId="0" applyNumberFormat="1" applyFont="1" applyFill="1" applyBorder="1" applyAlignment="1">
      <alignment horizontal="center"/>
    </xf>
    <xf numFmtId="49" fontId="22" fillId="0" borderId="0" xfId="0" quotePrefix="1" applyNumberFormat="1" applyFont="1" applyBorder="1" applyAlignment="1">
      <alignment horizontal="center"/>
    </xf>
    <xf numFmtId="174" fontId="21" fillId="0" borderId="12" xfId="0" applyNumberFormat="1" applyFont="1" applyBorder="1" applyAlignment="1"/>
    <xf numFmtId="4" fontId="21" fillId="0" borderId="15" xfId="0" applyNumberFormat="1" applyFont="1" applyBorder="1"/>
    <xf numFmtId="41" fontId="21" fillId="17" borderId="0" xfId="0" applyNumberFormat="1" applyFont="1" applyFill="1" applyBorder="1" applyAlignment="1"/>
    <xf numFmtId="10" fontId="38" fillId="19" borderId="123" xfId="19" applyNumberFormat="1" applyFont="1" applyFill="1" applyBorder="1"/>
    <xf numFmtId="10" fontId="39" fillId="20" borderId="110" xfId="19" applyNumberFormat="1" applyFont="1" applyFill="1" applyBorder="1"/>
    <xf numFmtId="3" fontId="51" fillId="0" borderId="0" xfId="0" applyNumberFormat="1" applyFont="1" applyFill="1" applyBorder="1"/>
    <xf numFmtId="0" fontId="51" fillId="0" borderId="0" xfId="0" applyFont="1" applyFill="1" applyBorder="1"/>
    <xf numFmtId="41" fontId="51" fillId="0" borderId="0" xfId="0" applyNumberFormat="1" applyFont="1" applyFill="1" applyBorder="1" applyAlignment="1">
      <alignment horizontal="right"/>
    </xf>
    <xf numFmtId="41" fontId="22" fillId="14" borderId="0" xfId="0" applyNumberFormat="1" applyFont="1" applyFill="1" applyBorder="1" applyAlignment="1">
      <alignment horizontal="right"/>
    </xf>
    <xf numFmtId="43" fontId="15" fillId="0" borderId="0" xfId="0" applyNumberFormat="1" applyFont="1"/>
    <xf numFmtId="41" fontId="21" fillId="5" borderId="28" xfId="1" applyNumberFormat="1" applyFont="1" applyFill="1" applyBorder="1" applyAlignment="1">
      <alignment horizontal="right"/>
    </xf>
    <xf numFmtId="41" fontId="21" fillId="0" borderId="28" xfId="1" applyNumberFormat="1" applyFont="1" applyBorder="1" applyAlignment="1">
      <alignment horizontal="right"/>
    </xf>
    <xf numFmtId="41" fontId="28" fillId="16" borderId="0" xfId="0" applyNumberFormat="1" applyFont="1" applyFill="1" applyBorder="1" applyAlignment="1">
      <alignment horizontal="center"/>
    </xf>
    <xf numFmtId="168" fontId="21" fillId="0" borderId="6" xfId="1" applyNumberFormat="1" applyFont="1" applyFill="1" applyBorder="1" applyAlignment="1"/>
    <xf numFmtId="37" fontId="23" fillId="11" borderId="0" xfId="0" applyNumberFormat="1" applyFont="1" applyFill="1" applyBorder="1" applyAlignment="1">
      <alignment horizontal="right"/>
    </xf>
    <xf numFmtId="37" fontId="22" fillId="0" borderId="0" xfId="0" applyNumberFormat="1" applyFont="1" applyFill="1" applyBorder="1" applyAlignment="1">
      <alignment horizontal="center"/>
    </xf>
    <xf numFmtId="41" fontId="21" fillId="0" borderId="0" xfId="1" applyNumberFormat="1" applyFont="1" applyFill="1" applyBorder="1" applyAlignment="1">
      <alignment horizontal="center"/>
    </xf>
    <xf numFmtId="41" fontId="21" fillId="5" borderId="78" xfId="0" applyNumberFormat="1" applyFont="1" applyFill="1" applyBorder="1"/>
    <xf numFmtId="4" fontId="21" fillId="0" borderId="40" xfId="1" applyNumberFormat="1" applyFont="1" applyFill="1" applyBorder="1"/>
    <xf numFmtId="3" fontId="21" fillId="0" borderId="0" xfId="0" applyNumberFormat="1" applyFont="1" applyFill="1" applyBorder="1" applyAlignment="1">
      <alignment horizontal="center"/>
    </xf>
    <xf numFmtId="41" fontId="24" fillId="0" borderId="38" xfId="0" quotePrefix="1" applyNumberFormat="1" applyFont="1" applyFill="1" applyBorder="1" applyAlignment="1">
      <alignment horizontal="center"/>
    </xf>
    <xf numFmtId="3" fontId="24" fillId="0" borderId="38" xfId="0" quotePrefix="1" applyNumberFormat="1" applyFont="1" applyFill="1" applyBorder="1" applyAlignment="1">
      <alignment horizontal="center"/>
    </xf>
    <xf numFmtId="3" fontId="22" fillId="12" borderId="38" xfId="0" applyNumberFormat="1" applyFont="1" applyFill="1" applyBorder="1" applyAlignment="1">
      <alignment horizontal="center"/>
    </xf>
    <xf numFmtId="41" fontId="23" fillId="0" borderId="30" xfId="0" applyNumberFormat="1" applyFont="1" applyFill="1" applyBorder="1" applyAlignment="1">
      <alignment horizontal="right"/>
    </xf>
    <xf numFmtId="0" fontId="21" fillId="22" borderId="0" xfId="0" applyFont="1" applyFill="1" applyBorder="1"/>
    <xf numFmtId="0" fontId="23" fillId="22" borderId="0" xfId="0" applyFont="1" applyFill="1" applyBorder="1" applyAlignment="1">
      <alignment horizontal="right"/>
    </xf>
    <xf numFmtId="3" fontId="21" fillId="22" borderId="0" xfId="0" applyNumberFormat="1" applyFont="1" applyFill="1" applyBorder="1"/>
    <xf numFmtId="41" fontId="23" fillId="22" borderId="0" xfId="0" applyNumberFormat="1" applyFont="1" applyFill="1" applyBorder="1" applyAlignment="1">
      <alignment horizontal="right"/>
    </xf>
    <xf numFmtId="177" fontId="55" fillId="0" borderId="0" xfId="0" applyNumberFormat="1" applyFont="1" applyFill="1" applyBorder="1"/>
    <xf numFmtId="9" fontId="21" fillId="0" borderId="0" xfId="1" applyNumberFormat="1" applyFont="1" applyFill="1" applyBorder="1"/>
    <xf numFmtId="41" fontId="52" fillId="0" borderId="0" xfId="0" applyNumberFormat="1" applyFont="1" applyFill="1" applyBorder="1"/>
    <xf numFmtId="0" fontId="52" fillId="0" borderId="0" xfId="0" applyFont="1" applyFill="1" applyBorder="1"/>
    <xf numFmtId="41" fontId="22" fillId="17" borderId="28" xfId="1" applyNumberFormat="1" applyFont="1" applyFill="1" applyBorder="1"/>
    <xf numFmtId="3" fontId="22" fillId="17" borderId="0" xfId="0" applyNumberFormat="1" applyFont="1" applyFill="1" applyBorder="1"/>
    <xf numFmtId="41" fontId="23" fillId="0" borderId="0" xfId="0" applyNumberFormat="1" applyFont="1" applyFill="1" applyBorder="1" applyAlignment="1">
      <alignment horizontal="center"/>
    </xf>
    <xf numFmtId="3" fontId="21" fillId="5" borderId="99" xfId="0" applyNumberFormat="1" applyFont="1" applyFill="1" applyBorder="1" applyAlignment="1">
      <alignment horizontal="right"/>
    </xf>
    <xf numFmtId="3" fontId="15" fillId="0" borderId="67" xfId="0" applyNumberFormat="1" applyFont="1" applyBorder="1" applyAlignment="1">
      <alignment horizontal="right"/>
    </xf>
    <xf numFmtId="3" fontId="15" fillId="0" borderId="69" xfId="0" applyNumberFormat="1" applyFont="1" applyBorder="1" applyAlignment="1">
      <alignment horizontal="center"/>
    </xf>
    <xf numFmtId="3" fontId="15" fillId="14" borderId="69" xfId="0" applyNumberFormat="1" applyFont="1" applyFill="1" applyBorder="1" applyAlignment="1">
      <alignment horizontal="center"/>
    </xf>
    <xf numFmtId="3" fontId="15" fillId="0" borderId="120" xfId="0" applyNumberFormat="1" applyFont="1" applyBorder="1" applyAlignment="1">
      <alignment horizontal="center"/>
    </xf>
    <xf numFmtId="3" fontId="29" fillId="0" borderId="75" xfId="0" applyNumberFormat="1" applyFont="1" applyBorder="1" applyAlignment="1">
      <alignment horizontal="right"/>
    </xf>
    <xf numFmtId="10" fontId="21" fillId="0" borderId="0" xfId="0" applyNumberFormat="1" applyFont="1" applyFill="1" applyBorder="1"/>
    <xf numFmtId="37" fontId="21" fillId="14" borderId="0" xfId="0" applyNumberFormat="1" applyFont="1" applyFill="1" applyBorder="1" applyAlignment="1">
      <alignment horizontal="right"/>
    </xf>
    <xf numFmtId="0" fontId="45" fillId="0" borderId="19" xfId="0" applyFont="1" applyBorder="1"/>
    <xf numFmtId="0" fontId="45" fillId="0" borderId="7" xfId="0" applyFont="1" applyBorder="1"/>
    <xf numFmtId="0" fontId="45" fillId="0" borderId="7" xfId="0" applyFont="1" applyFill="1" applyBorder="1"/>
    <xf numFmtId="0" fontId="45" fillId="0" borderId="10" xfId="0" applyFont="1" applyBorder="1"/>
    <xf numFmtId="0" fontId="56" fillId="0" borderId="0" xfId="0" applyFont="1" applyBorder="1"/>
    <xf numFmtId="0" fontId="47" fillId="0" borderId="0" xfId="0" applyFont="1" applyBorder="1"/>
    <xf numFmtId="3" fontId="47" fillId="0" borderId="0" xfId="0" applyNumberFormat="1" applyFont="1" applyFill="1" applyBorder="1"/>
    <xf numFmtId="41" fontId="47" fillId="0" borderId="0" xfId="1" applyNumberFormat="1" applyFont="1" applyFill="1" applyBorder="1"/>
    <xf numFmtId="0" fontId="46" fillId="19" borderId="123" xfId="0" applyFont="1" applyFill="1" applyBorder="1"/>
    <xf numFmtId="0" fontId="46" fillId="19" borderId="123" xfId="0" applyFont="1" applyFill="1" applyBorder="1" applyAlignment="1">
      <alignment horizontal="center"/>
    </xf>
    <xf numFmtId="3" fontId="47" fillId="0" borderId="63" xfId="0" applyNumberFormat="1" applyFont="1" applyFill="1" applyBorder="1"/>
    <xf numFmtId="185" fontId="47" fillId="0" borderId="107" xfId="0" applyNumberFormat="1" applyFont="1" applyBorder="1"/>
    <xf numFmtId="10" fontId="47" fillId="0" borderId="106" xfId="0" applyNumberFormat="1" applyFont="1" applyBorder="1" applyAlignment="1">
      <alignment horizontal="center"/>
    </xf>
    <xf numFmtId="10" fontId="47" fillId="0" borderId="107" xfId="0" applyNumberFormat="1" applyFont="1" applyBorder="1" applyAlignment="1">
      <alignment horizontal="center"/>
    </xf>
    <xf numFmtId="185" fontId="47" fillId="0" borderId="110" xfId="0" applyNumberFormat="1" applyFont="1" applyBorder="1"/>
    <xf numFmtId="10" fontId="47" fillId="0" borderId="109" xfId="0" applyNumberFormat="1" applyFont="1" applyBorder="1" applyAlignment="1">
      <alignment horizontal="center"/>
    </xf>
    <xf numFmtId="10" fontId="47" fillId="0" borderId="110" xfId="0" applyNumberFormat="1" applyFont="1" applyBorder="1" applyAlignment="1">
      <alignment horizontal="center"/>
    </xf>
    <xf numFmtId="10" fontId="47" fillId="0" borderId="110" xfId="0" applyNumberFormat="1" applyFont="1" applyFill="1" applyBorder="1" applyAlignment="1">
      <alignment horizontal="center"/>
    </xf>
    <xf numFmtId="0" fontId="46" fillId="20" borderId="73" xfId="0" applyFont="1" applyFill="1" applyBorder="1"/>
    <xf numFmtId="0" fontId="47" fillId="20" borderId="73" xfId="0" applyFont="1" applyFill="1" applyBorder="1"/>
    <xf numFmtId="1" fontId="46" fillId="20" borderId="73" xfId="19" applyNumberFormat="1" applyFont="1" applyFill="1" applyBorder="1" applyAlignment="1">
      <alignment horizontal="center"/>
    </xf>
    <xf numFmtId="10" fontId="46" fillId="20" borderId="73" xfId="19" applyNumberFormat="1" applyFont="1" applyFill="1" applyBorder="1" applyAlignment="1">
      <alignment horizontal="center"/>
    </xf>
    <xf numFmtId="0" fontId="46" fillId="19" borderId="3" xfId="0" applyFont="1" applyFill="1" applyBorder="1"/>
    <xf numFmtId="0" fontId="46" fillId="19" borderId="5" xfId="0" applyFont="1" applyFill="1" applyBorder="1" applyAlignment="1">
      <alignment horizontal="center"/>
    </xf>
    <xf numFmtId="0" fontId="46" fillId="19" borderId="8" xfId="0" applyFont="1" applyFill="1" applyBorder="1"/>
    <xf numFmtId="0" fontId="46" fillId="19" borderId="10" xfId="0" applyFont="1" applyFill="1" applyBorder="1" applyAlignment="1">
      <alignment horizontal="center"/>
    </xf>
    <xf numFmtId="0" fontId="46" fillId="19" borderId="125" xfId="0" applyFont="1" applyFill="1" applyBorder="1" applyAlignment="1">
      <alignment horizontal="center"/>
    </xf>
    <xf numFmtId="3" fontId="47" fillId="0" borderId="28" xfId="0" applyNumberFormat="1" applyFont="1" applyFill="1" applyBorder="1"/>
    <xf numFmtId="1" fontId="47" fillId="23" borderId="106" xfId="0" applyNumberFormat="1" applyFont="1" applyFill="1" applyBorder="1" applyAlignment="1">
      <alignment horizontal="center"/>
    </xf>
    <xf numFmtId="1" fontId="47" fillId="23" borderId="107" xfId="0" applyNumberFormat="1" applyFont="1" applyFill="1" applyBorder="1" applyAlignment="1">
      <alignment horizontal="center"/>
    </xf>
    <xf numFmtId="0" fontId="55" fillId="0" borderId="0" xfId="0" applyFont="1" applyFill="1" applyBorder="1"/>
    <xf numFmtId="1" fontId="47" fillId="23" borderId="110" xfId="0" applyNumberFormat="1" applyFont="1" applyFill="1" applyBorder="1" applyAlignment="1">
      <alignment horizontal="center"/>
    </xf>
    <xf numFmtId="0" fontId="47" fillId="20" borderId="125" xfId="0" applyFont="1" applyFill="1" applyBorder="1"/>
    <xf numFmtId="1" fontId="46" fillId="20" borderId="125" xfId="19" applyNumberFormat="1" applyFont="1" applyFill="1" applyBorder="1" applyAlignment="1">
      <alignment horizontal="center"/>
    </xf>
    <xf numFmtId="10" fontId="46" fillId="20" borderId="125" xfId="19" applyNumberFormat="1" applyFont="1" applyFill="1" applyBorder="1" applyAlignment="1">
      <alignment horizontal="center"/>
    </xf>
    <xf numFmtId="0" fontId="46" fillId="19" borderId="97" xfId="0" applyFont="1" applyFill="1" applyBorder="1"/>
    <xf numFmtId="0" fontId="46" fillId="19" borderId="124" xfId="0" applyFont="1" applyFill="1" applyBorder="1"/>
    <xf numFmtId="0" fontId="47" fillId="0" borderId="6" xfId="0" applyFont="1" applyBorder="1"/>
    <xf numFmtId="0" fontId="47" fillId="0" borderId="7" xfId="0" applyFont="1" applyBorder="1"/>
    <xf numFmtId="183" fontId="48" fillId="0" borderId="63" xfId="0" applyNumberFormat="1" applyFont="1" applyBorder="1"/>
    <xf numFmtId="183" fontId="48" fillId="0" borderId="63" xfId="0" applyNumberFormat="1" applyFont="1" applyBorder="1" applyAlignment="1">
      <alignment horizontal="center"/>
    </xf>
    <xf numFmtId="186" fontId="48" fillId="0" borderId="63" xfId="0" applyNumberFormat="1" applyFont="1" applyBorder="1"/>
    <xf numFmtId="186" fontId="47" fillId="0" borderId="0" xfId="0" applyNumberFormat="1" applyFont="1" applyFill="1" applyBorder="1"/>
    <xf numFmtId="0" fontId="46" fillId="20" borderId="8" xfId="0" applyFont="1" applyFill="1" applyBorder="1"/>
    <xf numFmtId="0" fontId="47" fillId="20" borderId="10" xfId="0" applyFont="1" applyFill="1" applyBorder="1"/>
    <xf numFmtId="0" fontId="47" fillId="20" borderId="78" xfId="0" applyFont="1" applyFill="1" applyBorder="1"/>
    <xf numFmtId="184" fontId="47" fillId="20" borderId="78" xfId="0" applyNumberFormat="1" applyFont="1" applyFill="1" applyBorder="1"/>
    <xf numFmtId="184" fontId="47" fillId="0" borderId="0" xfId="0" applyNumberFormat="1" applyFont="1" applyFill="1" applyBorder="1"/>
    <xf numFmtId="186" fontId="46" fillId="20" borderId="125" xfId="0" applyNumberFormat="1" applyFont="1" applyFill="1" applyBorder="1"/>
    <xf numFmtId="186" fontId="49" fillId="0" borderId="0" xfId="0" applyNumberFormat="1" applyFont="1" applyFill="1" applyBorder="1" applyAlignment="1">
      <alignment horizontal="right"/>
    </xf>
    <xf numFmtId="0" fontId="47" fillId="0" borderId="0" xfId="0" applyFont="1" applyFill="1" applyBorder="1"/>
    <xf numFmtId="41" fontId="49" fillId="0" borderId="0" xfId="0" applyNumberFormat="1" applyFont="1" applyFill="1" applyBorder="1" applyAlignment="1">
      <alignment horizontal="right"/>
    </xf>
    <xf numFmtId="0" fontId="48" fillId="0" borderId="63" xfId="0" applyNumberFormat="1" applyFont="1" applyBorder="1"/>
    <xf numFmtId="0" fontId="47" fillId="0" borderId="0" xfId="0" applyNumberFormat="1" applyFont="1" applyFill="1" applyBorder="1"/>
    <xf numFmtId="0" fontId="46" fillId="0" borderId="6" xfId="0" applyFont="1" applyBorder="1"/>
    <xf numFmtId="165" fontId="48" fillId="0" borderId="63" xfId="0" applyNumberFormat="1" applyFont="1" applyBorder="1"/>
    <xf numFmtId="186" fontId="57" fillId="0" borderId="63" xfId="0" applyNumberFormat="1" applyFont="1" applyBorder="1"/>
    <xf numFmtId="0" fontId="47" fillId="0" borderId="8" xfId="0" applyFont="1" applyBorder="1"/>
    <xf numFmtId="0" fontId="47" fillId="0" borderId="10" xfId="0" applyFont="1" applyBorder="1"/>
    <xf numFmtId="183" fontId="48" fillId="0" borderId="78" xfId="0" applyNumberFormat="1" applyFont="1" applyBorder="1"/>
    <xf numFmtId="186" fontId="56" fillId="19" borderId="123" xfId="0" applyNumberFormat="1" applyFont="1" applyFill="1" applyBorder="1"/>
    <xf numFmtId="0" fontId="47" fillId="20" borderId="78" xfId="0" applyFont="1" applyFill="1" applyBorder="1" applyAlignment="1">
      <alignment horizontal="center"/>
    </xf>
    <xf numFmtId="43" fontId="21" fillId="0" borderId="0" xfId="0" applyNumberFormat="1" applyFont="1" applyAlignment="1">
      <alignment horizontal="center"/>
    </xf>
    <xf numFmtId="0" fontId="0" fillId="0" borderId="0" xfId="0"/>
    <xf numFmtId="0" fontId="54" fillId="0" borderId="0" xfId="25" applyFont="1"/>
    <xf numFmtId="49" fontId="61" fillId="0" borderId="0" xfId="25" applyNumberFormat="1" applyFont="1"/>
    <xf numFmtId="49" fontId="62" fillId="0" borderId="0" xfId="25" applyNumberFormat="1" applyFont="1" applyAlignment="1"/>
    <xf numFmtId="0" fontId="62" fillId="0" borderId="0" xfId="25" applyFont="1" applyAlignment="1"/>
    <xf numFmtId="0" fontId="5" fillId="0" borderId="0" xfId="25"/>
    <xf numFmtId="0" fontId="63" fillId="0" borderId="0" xfId="25" applyFont="1"/>
    <xf numFmtId="0" fontId="64" fillId="38" borderId="38" xfId="26" applyNumberFormat="1" applyFont="1" applyFill="1" applyBorder="1" applyAlignment="1">
      <alignment horizontal="center"/>
    </xf>
    <xf numFmtId="0" fontId="64" fillId="38" borderId="38" xfId="27" applyNumberFormat="1" applyFont="1" applyFill="1" applyBorder="1" applyAlignment="1">
      <alignment horizontal="center"/>
    </xf>
    <xf numFmtId="0" fontId="64" fillId="38" borderId="38" xfId="28" applyNumberFormat="1" applyFont="1" applyFill="1" applyBorder="1" applyAlignment="1">
      <alignment horizontal="center"/>
    </xf>
    <xf numFmtId="0" fontId="64" fillId="38" borderId="38" xfId="29" applyNumberFormat="1" applyFont="1" applyFill="1" applyBorder="1" applyAlignment="1">
      <alignment horizontal="center"/>
    </xf>
    <xf numFmtId="0" fontId="64" fillId="38" borderId="38" xfId="30" applyNumberFormat="1" applyFont="1" applyFill="1" applyBorder="1" applyAlignment="1">
      <alignment horizontal="center"/>
    </xf>
    <xf numFmtId="0" fontId="64" fillId="38" borderId="38" xfId="31" applyNumberFormat="1" applyFont="1" applyFill="1" applyBorder="1" applyAlignment="1">
      <alignment horizontal="center"/>
    </xf>
    <xf numFmtId="0" fontId="64" fillId="38" borderId="38" xfId="32" applyNumberFormat="1" applyFont="1" applyFill="1" applyBorder="1" applyAlignment="1">
      <alignment horizontal="center"/>
    </xf>
    <xf numFmtId="0" fontId="64" fillId="38" borderId="38" xfId="33" applyNumberFormat="1" applyFont="1" applyFill="1" applyBorder="1" applyAlignment="1">
      <alignment horizontal="center"/>
    </xf>
    <xf numFmtId="0" fontId="64" fillId="38" borderId="38" xfId="34" applyNumberFormat="1" applyFont="1" applyFill="1" applyBorder="1" applyAlignment="1">
      <alignment horizontal="center"/>
    </xf>
    <xf numFmtId="0" fontId="64" fillId="38" borderId="38" xfId="35" applyNumberFormat="1" applyFont="1" applyFill="1" applyBorder="1" applyAlignment="1">
      <alignment horizontal="center"/>
    </xf>
    <xf numFmtId="0" fontId="64" fillId="38" borderId="38" xfId="36" applyNumberFormat="1" applyFont="1" applyFill="1" applyBorder="1" applyAlignment="1">
      <alignment horizontal="center"/>
    </xf>
    <xf numFmtId="0" fontId="64" fillId="38" borderId="38" xfId="37" applyNumberFormat="1" applyFont="1" applyFill="1" applyBorder="1" applyAlignment="1">
      <alignment horizontal="center"/>
    </xf>
    <xf numFmtId="0" fontId="64" fillId="38" borderId="38" xfId="38" applyNumberFormat="1" applyFont="1" applyFill="1" applyBorder="1" applyAlignment="1">
      <alignment horizontal="center"/>
    </xf>
    <xf numFmtId="0" fontId="64" fillId="38" borderId="38" xfId="39" applyNumberFormat="1" applyFont="1" applyFill="1" applyBorder="1" applyAlignment="1">
      <alignment horizontal="center"/>
    </xf>
    <xf numFmtId="0" fontId="64" fillId="38" borderId="38" xfId="40" applyNumberFormat="1" applyFont="1" applyFill="1" applyBorder="1" applyAlignment="1">
      <alignment horizontal="center"/>
    </xf>
    <xf numFmtId="0" fontId="64" fillId="38" borderId="38" xfId="41" applyNumberFormat="1" applyFont="1" applyFill="1" applyBorder="1" applyAlignment="1">
      <alignment horizontal="center"/>
    </xf>
    <xf numFmtId="0" fontId="64" fillId="38" borderId="38" xfId="42" applyNumberFormat="1" applyFont="1" applyFill="1" applyBorder="1" applyAlignment="1">
      <alignment horizontal="center"/>
    </xf>
    <xf numFmtId="0" fontId="64" fillId="38" borderId="38" xfId="43" applyNumberFormat="1" applyFont="1" applyFill="1" applyBorder="1" applyAlignment="1">
      <alignment horizontal="center"/>
    </xf>
    <xf numFmtId="0" fontId="64" fillId="38" borderId="38" xfId="45" quotePrefix="1" applyNumberFormat="1" applyFont="1" applyFill="1" applyBorder="1" applyAlignment="1">
      <alignment horizontal="center"/>
    </xf>
    <xf numFmtId="0" fontId="62" fillId="0" borderId="0" xfId="25" applyFont="1"/>
    <xf numFmtId="0" fontId="64" fillId="38" borderId="38" xfId="46" quotePrefix="1" applyNumberFormat="1" applyFont="1" applyFill="1" applyBorder="1" applyAlignment="1">
      <alignment horizontal="center"/>
    </xf>
    <xf numFmtId="0" fontId="64" fillId="38" borderId="38" xfId="47" applyNumberFormat="1" applyFont="1" applyFill="1" applyBorder="1" applyAlignment="1">
      <alignment horizontal="center"/>
    </xf>
    <xf numFmtId="0" fontId="64" fillId="38" borderId="38" xfId="46" applyNumberFormat="1" applyFont="1" applyFill="1" applyBorder="1" applyAlignment="1">
      <alignment horizontal="center"/>
    </xf>
    <xf numFmtId="0" fontId="64" fillId="38" borderId="38" xfId="47" quotePrefix="1" applyNumberFormat="1" applyFont="1" applyFill="1" applyBorder="1" applyAlignment="1">
      <alignment horizontal="center"/>
    </xf>
    <xf numFmtId="0" fontId="5" fillId="38" borderId="38" xfId="25" applyFill="1" applyBorder="1"/>
    <xf numFmtId="0" fontId="13" fillId="24" borderId="38" xfId="0" applyFont="1" applyFill="1" applyBorder="1"/>
    <xf numFmtId="0" fontId="13" fillId="21" borderId="38" xfId="0" applyFont="1" applyFill="1" applyBorder="1"/>
    <xf numFmtId="0" fontId="13" fillId="14" borderId="38" xfId="0" applyFont="1" applyFill="1" applyBorder="1"/>
    <xf numFmtId="0" fontId="13" fillId="11" borderId="38" xfId="0" applyFont="1" applyFill="1" applyBorder="1"/>
    <xf numFmtId="0" fontId="5" fillId="0" borderId="48" xfId="0" applyFont="1" applyFill="1" applyBorder="1" applyAlignment="1"/>
    <xf numFmtId="0" fontId="5" fillId="0" borderId="30" xfId="0" applyFont="1" applyFill="1" applyBorder="1" applyAlignment="1"/>
    <xf numFmtId="0" fontId="29" fillId="0" borderId="48" xfId="0" applyFont="1" applyFill="1" applyBorder="1" applyAlignment="1"/>
    <xf numFmtId="0" fontId="29" fillId="0" borderId="30" xfId="0" applyFont="1" applyFill="1" applyBorder="1" applyAlignment="1"/>
    <xf numFmtId="0" fontId="21" fillId="0" borderId="48" xfId="0" applyFont="1" applyFill="1" applyBorder="1" applyAlignment="1"/>
    <xf numFmtId="0" fontId="21" fillId="0" borderId="30" xfId="0" applyFont="1" applyFill="1" applyBorder="1" applyAlignment="1"/>
    <xf numFmtId="167" fontId="5" fillId="0" borderId="48" xfId="0" applyNumberFormat="1" applyFont="1" applyFill="1" applyBorder="1" applyAlignment="1"/>
    <xf numFmtId="178" fontId="5" fillId="0" borderId="48" xfId="0" applyNumberFormat="1" applyFont="1" applyFill="1" applyBorder="1" applyAlignment="1"/>
    <xf numFmtId="0" fontId="5" fillId="0" borderId="48" xfId="0" applyFont="1" applyFill="1" applyBorder="1" applyAlignment="1">
      <alignment horizontal="center"/>
    </xf>
    <xf numFmtId="49" fontId="5" fillId="0" borderId="48" xfId="0" applyNumberFormat="1" applyFont="1" applyFill="1" applyBorder="1" applyAlignment="1">
      <alignment horizontal="center"/>
    </xf>
    <xf numFmtId="0" fontId="5" fillId="0" borderId="48" xfId="14" applyFont="1" applyFill="1" applyBorder="1" applyAlignment="1"/>
    <xf numFmtId="0" fontId="5" fillId="0" borderId="30" xfId="14" applyFont="1" applyFill="1" applyBorder="1" applyAlignment="1"/>
    <xf numFmtId="0" fontId="21" fillId="0" borderId="30" xfId="14" applyFont="1" applyFill="1" applyBorder="1" applyAlignment="1"/>
    <xf numFmtId="0" fontId="5" fillId="0" borderId="30" xfId="0" applyFont="1" applyFill="1" applyBorder="1" applyAlignment="1">
      <alignment horizontal="left"/>
    </xf>
    <xf numFmtId="0" fontId="5" fillId="0" borderId="30" xfId="0" applyFont="1" applyFill="1" applyBorder="1"/>
    <xf numFmtId="0" fontId="5" fillId="0" borderId="46" xfId="0" applyFont="1" applyFill="1" applyBorder="1"/>
    <xf numFmtId="0" fontId="29" fillId="0" borderId="30" xfId="0" applyFont="1" applyFill="1" applyBorder="1" applyAlignment="1">
      <alignment horizontal="left"/>
    </xf>
    <xf numFmtId="0" fontId="29" fillId="0" borderId="30" xfId="0" applyFont="1" applyFill="1" applyBorder="1"/>
    <xf numFmtId="167" fontId="5" fillId="0" borderId="30" xfId="0" applyNumberFormat="1" applyFont="1" applyFill="1" applyBorder="1" applyAlignment="1">
      <alignment horizontal="left"/>
    </xf>
    <xf numFmtId="167" fontId="29" fillId="0" borderId="30" xfId="0" applyNumberFormat="1" applyFont="1" applyFill="1" applyBorder="1" applyAlignment="1">
      <alignment horizontal="left"/>
    </xf>
    <xf numFmtId="178" fontId="5" fillId="0" borderId="30" xfId="0" applyNumberFormat="1" applyFont="1" applyFill="1" applyBorder="1" applyAlignment="1">
      <alignment horizontal="left"/>
    </xf>
    <xf numFmtId="167" fontId="5" fillId="0" borderId="30" xfId="14" applyNumberFormat="1" applyFont="1" applyFill="1" applyBorder="1" applyAlignment="1">
      <alignment horizontal="left"/>
    </xf>
    <xf numFmtId="0" fontId="5" fillId="0" borderId="30" xfId="14" applyFont="1" applyFill="1" applyBorder="1"/>
    <xf numFmtId="0" fontId="5" fillId="0" borderId="46" xfId="14" applyFont="1" applyFill="1" applyBorder="1"/>
    <xf numFmtId="49" fontId="29" fillId="0" borderId="30" xfId="0" applyNumberFormat="1" applyFont="1" applyFill="1" applyBorder="1" applyAlignment="1">
      <alignment horizontal="left"/>
    </xf>
    <xf numFmtId="0" fontId="5" fillId="0" borderId="30" xfId="14" applyFont="1" applyFill="1" applyBorder="1" applyAlignment="1">
      <alignment horizontal="left"/>
    </xf>
    <xf numFmtId="178" fontId="29" fillId="0" borderId="30" xfId="0" applyNumberFormat="1" applyFont="1" applyFill="1" applyBorder="1" applyAlignment="1">
      <alignment horizontal="left"/>
    </xf>
    <xf numFmtId="167" fontId="5" fillId="10" borderId="30" xfId="0" applyNumberFormat="1" applyFont="1" applyFill="1" applyBorder="1" applyAlignment="1">
      <alignment horizontal="left"/>
    </xf>
    <xf numFmtId="0" fontId="5" fillId="10" borderId="30" xfId="0" applyFont="1" applyFill="1" applyBorder="1"/>
    <xf numFmtId="0" fontId="5" fillId="10" borderId="46" xfId="0" applyFont="1" applyFill="1" applyBorder="1"/>
    <xf numFmtId="0" fontId="5" fillId="0" borderId="0" xfId="0" applyFont="1"/>
    <xf numFmtId="0" fontId="22" fillId="0" borderId="30" xfId="0" applyFont="1" applyFill="1" applyBorder="1"/>
    <xf numFmtId="49" fontId="75" fillId="0" borderId="0" xfId="0" applyNumberFormat="1" applyFont="1"/>
    <xf numFmtId="169" fontId="76" fillId="0" borderId="0" xfId="17" applyFont="1"/>
    <xf numFmtId="0" fontId="5" fillId="17" borderId="48" xfId="0" applyFont="1" applyFill="1" applyBorder="1" applyAlignment="1"/>
    <xf numFmtId="0" fontId="5" fillId="17" borderId="30" xfId="0" applyFont="1" applyFill="1" applyBorder="1" applyAlignment="1"/>
    <xf numFmtId="0" fontId="5" fillId="0" borderId="0" xfId="0" applyFont="1" applyFill="1" applyBorder="1"/>
    <xf numFmtId="167" fontId="5" fillId="0" borderId="0" xfId="0" applyNumberFormat="1" applyFont="1" applyFill="1" applyBorder="1"/>
    <xf numFmtId="0" fontId="5" fillId="17" borderId="0" xfId="0" applyFont="1" applyFill="1" applyBorder="1"/>
    <xf numFmtId="167" fontId="5" fillId="17" borderId="0" xfId="0" applyNumberFormat="1" applyFont="1" applyFill="1" applyBorder="1"/>
    <xf numFmtId="0" fontId="13" fillId="0" borderId="0" xfId="0" applyFont="1" applyFill="1" applyBorder="1"/>
    <xf numFmtId="0" fontId="13" fillId="17" borderId="38" xfId="0" applyFont="1" applyFill="1" applyBorder="1"/>
    <xf numFmtId="0" fontId="24" fillId="48" borderId="0" xfId="0" applyFont="1" applyFill="1"/>
    <xf numFmtId="0" fontId="21" fillId="48" borderId="0" xfId="0" applyFont="1" applyFill="1"/>
    <xf numFmtId="0" fontId="21" fillId="67" borderId="0" xfId="0" applyFont="1" applyFill="1" applyBorder="1"/>
    <xf numFmtId="0" fontId="13" fillId="83" borderId="27" xfId="0" applyFont="1" applyFill="1" applyBorder="1"/>
    <xf numFmtId="0" fontId="13" fillId="83" borderId="29" xfId="0" applyFont="1" applyFill="1" applyBorder="1"/>
    <xf numFmtId="0" fontId="13" fillId="83" borderId="28" xfId="0" applyFont="1" applyFill="1" applyBorder="1"/>
    <xf numFmtId="0" fontId="13" fillId="83" borderId="32" xfId="0" applyFont="1" applyFill="1" applyBorder="1"/>
    <xf numFmtId="0" fontId="5" fillId="0" borderId="0" xfId="0" applyFont="1" applyFill="1" applyBorder="1" applyAlignment="1">
      <alignment horizontal="center"/>
    </xf>
    <xf numFmtId="177" fontId="5" fillId="0" borderId="0" xfId="0" applyNumberFormat="1" applyFont="1" applyFill="1" applyBorder="1"/>
    <xf numFmtId="0" fontId="13" fillId="83" borderId="23" xfId="0" applyFont="1" applyFill="1" applyBorder="1"/>
    <xf numFmtId="167" fontId="5" fillId="0" borderId="0" xfId="0" applyNumberFormat="1" applyFont="1" applyFill="1" applyBorder="1" applyAlignment="1">
      <alignment horizontal="center"/>
    </xf>
    <xf numFmtId="0" fontId="13" fillId="83" borderId="31" xfId="0" applyFont="1" applyFill="1" applyBorder="1"/>
    <xf numFmtId="0" fontId="22" fillId="0" borderId="0" xfId="0" applyFont="1" applyFill="1" applyBorder="1" applyAlignment="1">
      <alignment horizontal="center"/>
    </xf>
    <xf numFmtId="0" fontId="22" fillId="0" borderId="0" xfId="0" applyFont="1" applyFill="1" applyBorder="1" applyAlignment="1">
      <alignment horizontal="center"/>
    </xf>
    <xf numFmtId="49" fontId="22" fillId="0" borderId="0" xfId="0" quotePrefix="1" applyNumberFormat="1" applyFont="1" applyFill="1" applyBorder="1" applyAlignment="1">
      <alignment horizontal="center"/>
    </xf>
    <xf numFmtId="0" fontId="13" fillId="0" borderId="0" xfId="0" applyNumberFormat="1" applyFont="1" applyBorder="1"/>
    <xf numFmtId="0" fontId="13" fillId="0" borderId="0" xfId="0" applyNumberFormat="1" applyFont="1"/>
    <xf numFmtId="0" fontId="75" fillId="0" borderId="0" xfId="0" applyNumberFormat="1" applyFont="1" applyBorder="1"/>
    <xf numFmtId="0" fontId="13" fillId="0" borderId="9" xfId="0" applyNumberFormat="1" applyFont="1" applyFill="1" applyBorder="1"/>
    <xf numFmtId="0" fontId="13" fillId="0" borderId="0" xfId="0" applyNumberFormat="1" applyFont="1" applyBorder="1" applyAlignment="1">
      <alignment horizontal="left"/>
    </xf>
    <xf numFmtId="199" fontId="13" fillId="0" borderId="0" xfId="0" applyNumberFormat="1" applyFont="1" applyBorder="1" applyAlignment="1">
      <alignment horizontal="left"/>
    </xf>
    <xf numFmtId="0" fontId="13" fillId="83" borderId="38" xfId="0" applyNumberFormat="1" applyFont="1" applyFill="1" applyBorder="1"/>
    <xf numFmtId="199" fontId="13" fillId="83" borderId="38" xfId="0" applyNumberFormat="1" applyFont="1" applyFill="1" applyBorder="1" applyAlignment="1">
      <alignment horizontal="left"/>
    </xf>
    <xf numFmtId="199" fontId="22" fillId="0" borderId="0" xfId="0" quotePrefix="1" applyNumberFormat="1" applyFont="1" applyBorder="1" applyAlignment="1">
      <alignment horizontal="left"/>
    </xf>
    <xf numFmtId="0" fontId="22" fillId="17" borderId="30" xfId="0" applyFont="1" applyFill="1" applyBorder="1"/>
    <xf numFmtId="0" fontId="22" fillId="14" borderId="30" xfId="0" applyFont="1" applyFill="1" applyBorder="1"/>
    <xf numFmtId="49" fontId="22" fillId="0" borderId="0" xfId="0" applyNumberFormat="1" applyFont="1" applyFill="1" applyBorder="1"/>
    <xf numFmtId="49" fontId="21" fillId="0" borderId="0" xfId="0" applyNumberFormat="1" applyFont="1" applyFill="1" applyBorder="1"/>
    <xf numFmtId="49" fontId="21" fillId="0" borderId="0" xfId="0" applyNumberFormat="1" applyFont="1" applyFill="1" applyBorder="1" applyAlignment="1">
      <alignment horizontal="center"/>
    </xf>
    <xf numFmtId="49" fontId="21" fillId="14" borderId="0" xfId="0" applyNumberFormat="1" applyFont="1" applyFill="1" applyBorder="1"/>
    <xf numFmtId="49" fontId="21" fillId="11" borderId="0" xfId="0" applyNumberFormat="1" applyFont="1" applyFill="1" applyBorder="1"/>
    <xf numFmtId="49" fontId="21" fillId="16" borderId="0" xfId="0" applyNumberFormat="1" applyFont="1" applyFill="1" applyBorder="1"/>
    <xf numFmtId="49" fontId="22" fillId="14" borderId="0" xfId="0" applyNumberFormat="1" applyFont="1" applyFill="1" applyBorder="1"/>
    <xf numFmtId="49" fontId="21" fillId="17" borderId="0" xfId="0" applyNumberFormat="1" applyFont="1" applyFill="1" applyBorder="1"/>
    <xf numFmtId="49" fontId="15" fillId="14" borderId="20" xfId="0" applyNumberFormat="1" applyFont="1" applyFill="1" applyBorder="1"/>
    <xf numFmtId="49" fontId="21" fillId="14" borderId="11" xfId="0" applyNumberFormat="1" applyFont="1" applyFill="1" applyBorder="1"/>
    <xf numFmtId="49" fontId="15" fillId="14" borderId="11" xfId="0" applyNumberFormat="1" applyFont="1" applyFill="1" applyBorder="1"/>
    <xf numFmtId="49" fontId="15" fillId="14" borderId="14" xfId="0" applyNumberFormat="1" applyFont="1" applyFill="1" applyBorder="1"/>
    <xf numFmtId="49" fontId="21" fillId="22" borderId="0" xfId="0" applyNumberFormat="1" applyFont="1" applyFill="1" applyBorder="1"/>
    <xf numFmtId="49" fontId="21" fillId="0" borderId="0" xfId="0" quotePrefix="1" applyNumberFormat="1" applyFont="1" applyFill="1" applyBorder="1" applyAlignment="1">
      <alignment horizontal="center"/>
    </xf>
    <xf numFmtId="49" fontId="22" fillId="0" borderId="0" xfId="14" quotePrefix="1" applyNumberFormat="1" applyFont="1" applyFill="1" applyBorder="1" applyAlignment="1" applyProtection="1">
      <alignment horizontal="center"/>
    </xf>
    <xf numFmtId="49" fontId="21" fillId="0" borderId="0" xfId="14" applyNumberFormat="1" applyFont="1" applyFill="1" applyBorder="1" applyProtection="1"/>
    <xf numFmtId="49" fontId="22" fillId="0" borderId="0" xfId="14" applyNumberFormat="1" applyFont="1" applyFill="1" applyBorder="1" applyProtection="1"/>
    <xf numFmtId="199" fontId="75" fillId="0" borderId="0" xfId="0" applyNumberFormat="1" applyFont="1" applyBorder="1" applyAlignment="1">
      <alignment horizontal="left"/>
    </xf>
    <xf numFmtId="0" fontId="22" fillId="11" borderId="30" xfId="0" applyFont="1" applyFill="1" applyBorder="1"/>
    <xf numFmtId="49" fontId="22" fillId="0" borderId="0" xfId="0" applyNumberFormat="1" applyFont="1" applyAlignment="1">
      <alignment horizontal="center"/>
    </xf>
    <xf numFmtId="49" fontId="22" fillId="0" borderId="0" xfId="14" applyNumberFormat="1" applyFont="1" applyFill="1" applyBorder="1" applyAlignment="1" applyProtection="1">
      <alignment horizontal="center"/>
    </xf>
    <xf numFmtId="14" fontId="75" fillId="0" borderId="0" xfId="0" applyNumberFormat="1" applyFont="1" applyBorder="1"/>
    <xf numFmtId="0" fontId="75" fillId="0" borderId="7" xfId="0" applyFont="1" applyBorder="1"/>
    <xf numFmtId="0" fontId="75" fillId="0" borderId="4" xfId="0" applyNumberFormat="1" applyFont="1" applyBorder="1"/>
    <xf numFmtId="49" fontId="22" fillId="0" borderId="0" xfId="0" quotePrefix="1" applyNumberFormat="1" applyFont="1" applyFill="1" applyBorder="1" applyAlignment="1">
      <alignment horizontal="center"/>
    </xf>
    <xf numFmtId="49" fontId="22" fillId="0" borderId="0" xfId="0" applyNumberFormat="1" applyFont="1" applyFill="1" applyBorder="1" applyAlignment="1">
      <alignment horizontal="center"/>
    </xf>
    <xf numFmtId="0" fontId="13" fillId="22" borderId="38" xfId="0" applyFont="1" applyFill="1" applyBorder="1"/>
    <xf numFmtId="0" fontId="13" fillId="84" borderId="38" xfId="0" applyFont="1" applyFill="1" applyBorder="1"/>
    <xf numFmtId="49" fontId="29" fillId="0" borderId="0" xfId="0" quotePrefix="1" applyNumberFormat="1" applyFont="1" applyFill="1" applyBorder="1" applyAlignment="1">
      <alignment horizontal="center"/>
    </xf>
    <xf numFmtId="0" fontId="110" fillId="0" borderId="0" xfId="0" applyFont="1"/>
    <xf numFmtId="0" fontId="111" fillId="0" borderId="0" xfId="0" applyFont="1"/>
    <xf numFmtId="0" fontId="112" fillId="0" borderId="0" xfId="0" applyFont="1" applyAlignment="1">
      <alignment horizontal="center" vertical="center"/>
    </xf>
    <xf numFmtId="0" fontId="112" fillId="0" borderId="0" xfId="0" applyFont="1"/>
    <xf numFmtId="0" fontId="112" fillId="0" borderId="0" xfId="0" applyFont="1" applyFill="1"/>
    <xf numFmtId="43" fontId="112" fillId="0" borderId="0" xfId="0" applyNumberFormat="1" applyFont="1"/>
    <xf numFmtId="41" fontId="22" fillId="0" borderId="0" xfId="0" applyNumberFormat="1" applyFont="1" applyFill="1" applyBorder="1" applyAlignment="1">
      <alignment horizontal="center"/>
    </xf>
    <xf numFmtId="37" fontId="23" fillId="14" borderId="0" xfId="0" applyNumberFormat="1" applyFont="1" applyFill="1" applyBorder="1" applyAlignment="1">
      <alignment horizontal="right"/>
    </xf>
    <xf numFmtId="0" fontId="64" fillId="38" borderId="38" xfId="701" applyFont="1" applyFill="1" applyBorder="1" applyAlignment="1" applyProtection="1"/>
    <xf numFmtId="37" fontId="64" fillId="38" borderId="38" xfId="701" applyNumberFormat="1" applyFont="1" applyFill="1" applyBorder="1" applyAlignment="1" applyProtection="1"/>
    <xf numFmtId="49" fontId="64" fillId="38" borderId="38" xfId="701" applyNumberFormat="1" applyFont="1" applyFill="1" applyBorder="1" applyAlignment="1" applyProtection="1"/>
    <xf numFmtId="0" fontId="21" fillId="0" borderId="0" xfId="0" applyFont="1" applyFill="1" applyBorder="1" applyAlignment="1">
      <alignment horizontal="justify" vertical="top" wrapText="1"/>
    </xf>
    <xf numFmtId="0" fontId="22" fillId="0" borderId="0" xfId="0" applyFont="1" applyFill="1" applyBorder="1" applyAlignment="1">
      <alignment horizontal="center"/>
    </xf>
    <xf numFmtId="41" fontId="22" fillId="0" borderId="0" xfId="0" applyNumberFormat="1" applyFont="1" applyFill="1" applyBorder="1" applyAlignment="1">
      <alignment horizontal="center"/>
    </xf>
    <xf numFmtId="0" fontId="5" fillId="0" borderId="0" xfId="0" applyFont="1" applyFill="1"/>
    <xf numFmtId="1" fontId="22" fillId="0" borderId="0" xfId="0" applyNumberFormat="1" applyFont="1" applyBorder="1" applyAlignment="1">
      <alignment horizontal="center"/>
    </xf>
    <xf numFmtId="1" fontId="22" fillId="5" borderId="0" xfId="0" quotePrefix="1" applyNumberFormat="1" applyFont="1" applyFill="1" applyBorder="1" applyAlignment="1">
      <alignment horizontal="center"/>
    </xf>
    <xf numFmtId="178" fontId="5" fillId="17" borderId="0" xfId="0" applyNumberFormat="1" applyFont="1" applyFill="1" applyBorder="1"/>
    <xf numFmtId="178" fontId="5" fillId="0" borderId="0" xfId="0" applyNumberFormat="1" applyFont="1" applyFill="1" applyBorder="1"/>
    <xf numFmtId="0" fontId="114" fillId="0" borderId="0" xfId="0" applyFont="1" applyFill="1" applyAlignment="1">
      <alignment vertical="top" wrapText="1"/>
    </xf>
    <xf numFmtId="177" fontId="114" fillId="0" borderId="0" xfId="0" applyNumberFormat="1" applyFont="1" applyFill="1" applyBorder="1"/>
    <xf numFmtId="177" fontId="114" fillId="17" borderId="0" xfId="0" applyNumberFormat="1" applyFont="1" applyFill="1" applyBorder="1"/>
    <xf numFmtId="0" fontId="5" fillId="0" borderId="0" xfId="0" applyFont="1" applyAlignment="1">
      <alignment vertical="top" wrapText="1"/>
    </xf>
    <xf numFmtId="0" fontId="114" fillId="0" borderId="0" xfId="0" applyFont="1" applyFill="1" applyBorder="1"/>
    <xf numFmtId="0" fontId="114" fillId="11" borderId="0" xfId="0" applyFont="1" applyFill="1" applyBorder="1"/>
    <xf numFmtId="41" fontId="29" fillId="0" borderId="0" xfId="1" applyNumberFormat="1" applyFont="1" applyFill="1" applyBorder="1"/>
    <xf numFmtId="0" fontId="114" fillId="0" borderId="0" xfId="0" applyFont="1" applyFill="1" applyBorder="1" applyAlignment="1">
      <alignment vertical="top" wrapText="1"/>
    </xf>
    <xf numFmtId="0" fontId="21" fillId="20" borderId="0" xfId="0" applyFont="1" applyFill="1" applyBorder="1"/>
    <xf numFmtId="41" fontId="21" fillId="20" borderId="0" xfId="0" applyNumberFormat="1" applyFont="1" applyFill="1" applyBorder="1"/>
    <xf numFmtId="1" fontId="22" fillId="14" borderId="0" xfId="0" quotePrefix="1" applyNumberFormat="1" applyFont="1" applyFill="1" applyBorder="1" applyAlignment="1">
      <alignment horizontal="center"/>
    </xf>
    <xf numFmtId="1" fontId="29" fillId="0" borderId="0" xfId="0" quotePrefix="1" applyNumberFormat="1" applyFont="1" applyFill="1" applyBorder="1" applyAlignment="1">
      <alignment horizontal="center"/>
    </xf>
    <xf numFmtId="3" fontId="21" fillId="20" borderId="0" xfId="0" applyNumberFormat="1" applyFont="1" applyFill="1" applyBorder="1"/>
    <xf numFmtId="177" fontId="114" fillId="0" borderId="0" xfId="0" applyNumberFormat="1" applyFont="1" applyFill="1" applyBorder="1" applyAlignment="1">
      <alignment vertical="top"/>
    </xf>
    <xf numFmtId="41" fontId="22" fillId="0" borderId="0" xfId="0" applyNumberFormat="1" applyFont="1" applyFill="1" applyBorder="1" applyAlignment="1">
      <alignment horizontal="center"/>
    </xf>
    <xf numFmtId="0" fontId="22" fillId="0" borderId="0" xfId="0" applyFont="1" applyFill="1" applyBorder="1" applyAlignment="1">
      <alignment horizontal="center"/>
    </xf>
    <xf numFmtId="167" fontId="5" fillId="14" borderId="0" xfId="0" applyNumberFormat="1" applyFont="1" applyFill="1" applyBorder="1"/>
    <xf numFmtId="0" fontId="5" fillId="14" borderId="30" xfId="0" applyFont="1" applyFill="1" applyBorder="1" applyAlignment="1"/>
    <xf numFmtId="0" fontId="21" fillId="14" borderId="30" xfId="0" applyFont="1" applyFill="1" applyBorder="1" applyAlignment="1"/>
    <xf numFmtId="0" fontId="21" fillId="14" borderId="30" xfId="0" applyFont="1" applyFill="1" applyBorder="1"/>
    <xf numFmtId="41" fontId="21" fillId="11" borderId="0" xfId="0" applyNumberFormat="1" applyFont="1" applyFill="1" applyBorder="1" applyAlignment="1">
      <alignment vertical="top" wrapText="1"/>
    </xf>
    <xf numFmtId="177" fontId="114" fillId="14" borderId="0" xfId="0" applyNumberFormat="1" applyFont="1" applyFill="1" applyBorder="1"/>
    <xf numFmtId="0" fontId="24" fillId="20" borderId="6" xfId="0" applyFont="1" applyFill="1" applyBorder="1"/>
    <xf numFmtId="15" fontId="21" fillId="20" borderId="46" xfId="0" applyNumberFormat="1" applyFont="1" applyFill="1" applyBorder="1"/>
    <xf numFmtId="41" fontId="24" fillId="20" borderId="30" xfId="0" applyNumberFormat="1" applyFont="1" applyFill="1" applyBorder="1"/>
    <xf numFmtId="41" fontId="24" fillId="20" borderId="0" xfId="0" applyNumberFormat="1" applyFont="1" applyFill="1" applyBorder="1" applyAlignment="1">
      <alignment horizontal="right"/>
    </xf>
    <xf numFmtId="41" fontId="24" fillId="20" borderId="30" xfId="2" applyNumberFormat="1" applyFont="1" applyFill="1" applyBorder="1"/>
    <xf numFmtId="41" fontId="24" fillId="20" borderId="34" xfId="0" applyNumberFormat="1" applyFont="1" applyFill="1" applyBorder="1"/>
    <xf numFmtId="0" fontId="21" fillId="0" borderId="4" xfId="0" applyFont="1" applyFill="1" applyBorder="1"/>
    <xf numFmtId="169" fontId="21" fillId="0" borderId="4" xfId="0" applyNumberFormat="1" applyFont="1" applyFill="1" applyBorder="1"/>
    <xf numFmtId="0" fontId="13" fillId="0" borderId="0" xfId="0" applyFont="1" applyFill="1"/>
    <xf numFmtId="0" fontId="114" fillId="0" borderId="0" xfId="0" applyFont="1" applyAlignment="1">
      <alignment vertical="top" wrapText="1"/>
    </xf>
    <xf numFmtId="1" fontId="22" fillId="0" borderId="0" xfId="0" applyNumberFormat="1" applyFont="1" applyFill="1" applyBorder="1" applyAlignment="1">
      <alignment horizontal="center"/>
    </xf>
    <xf numFmtId="1" fontId="29" fillId="0" borderId="0" xfId="0" applyNumberFormat="1" applyFont="1" applyFill="1" applyBorder="1" applyAlignment="1">
      <alignment horizontal="center"/>
    </xf>
    <xf numFmtId="0" fontId="22" fillId="0" borderId="0" xfId="0" applyFont="1" applyFill="1" applyBorder="1" applyAlignment="1">
      <alignment horizontal="center"/>
    </xf>
    <xf numFmtId="0" fontId="21" fillId="0" borderId="0" xfId="0" applyFont="1" applyFill="1" applyBorder="1" applyAlignment="1">
      <alignment horizontal="justify" wrapText="1"/>
    </xf>
    <xf numFmtId="41" fontId="22" fillId="0" borderId="0" xfId="0" applyNumberFormat="1" applyFont="1" applyFill="1" applyBorder="1" applyAlignment="1">
      <alignment horizontal="center"/>
    </xf>
    <xf numFmtId="41" fontId="21" fillId="0" borderId="0" xfId="1" applyNumberFormat="1" applyFont="1" applyFill="1" applyBorder="1" applyAlignment="1"/>
    <xf numFmtId="0" fontId="114" fillId="0" borderId="0" xfId="0" applyFont="1" applyAlignment="1">
      <alignment vertical="top"/>
    </xf>
    <xf numFmtId="41" fontId="21" fillId="20" borderId="0" xfId="1" applyNumberFormat="1" applyFont="1" applyFill="1" applyBorder="1"/>
    <xf numFmtId="41" fontId="21" fillId="20" borderId="26" xfId="1" applyNumberFormat="1" applyFont="1" applyFill="1" applyBorder="1"/>
    <xf numFmtId="41" fontId="22" fillId="0" borderId="0" xfId="0" applyNumberFormat="1" applyFont="1" applyFill="1" applyBorder="1" applyAlignment="1">
      <alignment horizontal="center"/>
    </xf>
    <xf numFmtId="41" fontId="21" fillId="0" borderId="0" xfId="1" applyNumberFormat="1" applyFont="1" applyFill="1" applyBorder="1" applyAlignment="1"/>
    <xf numFmtId="0" fontId="114" fillId="0" borderId="0" xfId="0" applyFont="1" applyFill="1" applyAlignment="1">
      <alignment vertical="top"/>
    </xf>
    <xf numFmtId="0" fontId="114" fillId="0" borderId="0" xfId="0" applyFont="1" applyFill="1" applyBorder="1" applyAlignment="1">
      <alignment vertical="top"/>
    </xf>
    <xf numFmtId="168" fontId="21" fillId="20" borderId="0" xfId="1" applyNumberFormat="1" applyFont="1" applyFill="1" applyBorder="1"/>
    <xf numFmtId="41" fontId="21" fillId="20" borderId="30" xfId="1" applyNumberFormat="1" applyFont="1" applyFill="1" applyBorder="1"/>
    <xf numFmtId="0" fontId="21" fillId="20" borderId="0" xfId="0" quotePrefix="1" applyFont="1" applyFill="1" applyBorder="1"/>
    <xf numFmtId="0" fontId="22" fillId="0" borderId="0" xfId="0" applyFont="1" applyFill="1" applyBorder="1" applyAlignment="1">
      <alignment horizontal="center"/>
    </xf>
    <xf numFmtId="41" fontId="22" fillId="0" borderId="0" xfId="0" applyNumberFormat="1" applyFont="1" applyFill="1" applyBorder="1" applyAlignment="1">
      <alignment horizontal="center"/>
    </xf>
    <xf numFmtId="1" fontId="22" fillId="0" borderId="0" xfId="0" quotePrefix="1" applyNumberFormat="1" applyFont="1" applyFill="1" applyBorder="1" applyAlignment="1">
      <alignment horizontal="center"/>
    </xf>
    <xf numFmtId="41" fontId="22" fillId="0" borderId="0" xfId="0" applyNumberFormat="1" applyFont="1" applyFill="1" applyBorder="1" applyAlignment="1">
      <alignment horizontal="center"/>
    </xf>
    <xf numFmtId="0" fontId="22" fillId="0" borderId="0" xfId="0" applyFont="1" applyFill="1" applyBorder="1" applyAlignment="1">
      <alignment horizontal="center"/>
    </xf>
    <xf numFmtId="0" fontId="29" fillId="0" borderId="46" xfId="0" applyFont="1" applyFill="1" applyBorder="1" applyAlignment="1">
      <alignment horizontal="center"/>
    </xf>
    <xf numFmtId="49" fontId="22" fillId="0" borderId="0" xfId="0" applyNumberFormat="1" applyFont="1" applyFill="1" applyBorder="1" applyAlignment="1">
      <alignment horizontal="center"/>
    </xf>
    <xf numFmtId="0" fontId="22" fillId="0" borderId="0" xfId="0" quotePrefix="1" applyNumberFormat="1" applyFont="1" applyFill="1" applyBorder="1"/>
    <xf numFmtId="41" fontId="21" fillId="14" borderId="23" xfId="0" applyNumberFormat="1" applyFont="1" applyFill="1" applyBorder="1"/>
    <xf numFmtId="41" fontId="21" fillId="14" borderId="26" xfId="0" applyNumberFormat="1" applyFont="1" applyFill="1" applyBorder="1"/>
    <xf numFmtId="205" fontId="29" fillId="0" borderId="0" xfId="0" applyNumberFormat="1" applyFont="1" applyFill="1" applyBorder="1" applyAlignment="1">
      <alignment horizontal="center"/>
    </xf>
    <xf numFmtId="49" fontId="29" fillId="0" borderId="0" xfId="0" applyNumberFormat="1" applyFont="1" applyFill="1" applyBorder="1"/>
    <xf numFmtId="41" fontId="5" fillId="0" borderId="0" xfId="2" applyNumberFormat="1" applyFont="1" applyFill="1" applyBorder="1"/>
    <xf numFmtId="41" fontId="5" fillId="0" borderId="0" xfId="0" applyNumberFormat="1" applyFont="1" applyFill="1" applyBorder="1"/>
    <xf numFmtId="0" fontId="5" fillId="0" borderId="3" xfId="0" applyFont="1" applyFill="1" applyBorder="1"/>
    <xf numFmtId="0" fontId="5" fillId="0" borderId="44" xfId="0" applyFont="1" applyFill="1" applyBorder="1"/>
    <xf numFmtId="168" fontId="5" fillId="0" borderId="30" xfId="1" applyNumberFormat="1" applyFont="1" applyFill="1" applyBorder="1"/>
    <xf numFmtId="0" fontId="5" fillId="0" borderId="48" xfId="0" applyFont="1" applyFill="1" applyBorder="1"/>
    <xf numFmtId="0" fontId="5" fillId="0" borderId="34" xfId="0" applyFont="1" applyFill="1" applyBorder="1"/>
    <xf numFmtId="41" fontId="29" fillId="0" borderId="30" xfId="0" applyNumberFormat="1" applyFont="1" applyFill="1" applyBorder="1"/>
    <xf numFmtId="41" fontId="29" fillId="0" borderId="48" xfId="0" applyNumberFormat="1" applyFont="1" applyFill="1" applyBorder="1"/>
    <xf numFmtId="41" fontId="29" fillId="0" borderId="34" xfId="0" applyNumberFormat="1" applyFont="1" applyFill="1" applyBorder="1"/>
    <xf numFmtId="0" fontId="5" fillId="0" borderId="6" xfId="0" applyFont="1" applyFill="1" applyBorder="1"/>
    <xf numFmtId="41" fontId="5" fillId="0" borderId="30" xfId="0" applyNumberFormat="1" applyFont="1" applyFill="1" applyBorder="1" applyAlignment="1">
      <alignment horizontal="center"/>
    </xf>
    <xf numFmtId="41" fontId="5" fillId="0" borderId="0" xfId="2" applyNumberFormat="1" applyFont="1" applyFill="1" applyBorder="1" applyAlignment="1">
      <alignment horizontal="center"/>
    </xf>
    <xf numFmtId="41" fontId="5" fillId="0" borderId="30" xfId="2" applyNumberFormat="1" applyFont="1" applyFill="1" applyBorder="1"/>
    <xf numFmtId="41" fontId="5" fillId="0" borderId="48" xfId="2" applyNumberFormat="1" applyFont="1" applyFill="1" applyBorder="1"/>
    <xf numFmtId="41" fontId="5" fillId="0" borderId="30" xfId="0" applyNumberFormat="1" applyFont="1" applyFill="1" applyBorder="1" applyAlignment="1"/>
    <xf numFmtId="41" fontId="5" fillId="0" borderId="0" xfId="2" applyNumberFormat="1" applyFont="1" applyFill="1" applyBorder="1" applyAlignment="1"/>
    <xf numFmtId="41" fontId="5" fillId="0" borderId="38" xfId="0" applyNumberFormat="1" applyFont="1" applyFill="1" applyBorder="1" applyAlignment="1"/>
    <xf numFmtId="41" fontId="5" fillId="0" borderId="40" xfId="2" applyNumberFormat="1" applyFont="1" applyFill="1" applyBorder="1" applyAlignment="1"/>
    <xf numFmtId="41" fontId="5" fillId="0" borderId="38" xfId="2" applyNumberFormat="1" applyFont="1" applyFill="1" applyBorder="1"/>
    <xf numFmtId="41" fontId="5" fillId="0" borderId="114" xfId="2" applyNumberFormat="1" applyFont="1" applyFill="1" applyBorder="1"/>
    <xf numFmtId="41" fontId="5" fillId="0" borderId="30" xfId="0" applyNumberFormat="1" applyFont="1" applyFill="1" applyBorder="1"/>
    <xf numFmtId="41" fontId="5" fillId="0" borderId="48" xfId="0" applyNumberFormat="1" applyFont="1" applyFill="1" applyBorder="1"/>
    <xf numFmtId="41" fontId="5" fillId="0" borderId="26" xfId="0" applyNumberFormat="1" applyFont="1" applyFill="1" applyBorder="1" applyAlignment="1"/>
    <xf numFmtId="41" fontId="5" fillId="0" borderId="23" xfId="2" applyNumberFormat="1" applyFont="1" applyFill="1" applyBorder="1" applyAlignment="1"/>
    <xf numFmtId="41" fontId="5" fillId="0" borderId="26" xfId="2" applyNumberFormat="1" applyFont="1" applyFill="1" applyBorder="1"/>
    <xf numFmtId="41" fontId="5" fillId="0" borderId="31" xfId="2" applyNumberFormat="1" applyFont="1" applyFill="1" applyBorder="1"/>
    <xf numFmtId="15" fontId="29" fillId="0" borderId="46" xfId="0" quotePrefix="1" applyNumberFormat="1" applyFont="1" applyFill="1" applyBorder="1"/>
    <xf numFmtId="41" fontId="29" fillId="0" borderId="152" xfId="0" applyNumberFormat="1" applyFont="1" applyFill="1" applyBorder="1"/>
    <xf numFmtId="0" fontId="5" fillId="0" borderId="8" xfId="0" applyFont="1" applyFill="1" applyBorder="1"/>
    <xf numFmtId="41" fontId="5" fillId="0" borderId="36" xfId="0" applyNumberFormat="1" applyFont="1" applyFill="1" applyBorder="1"/>
    <xf numFmtId="41" fontId="29" fillId="0" borderId="0" xfId="0" applyNumberFormat="1" applyFont="1" applyFill="1" applyBorder="1"/>
    <xf numFmtId="41" fontId="29" fillId="0" borderId="46" xfId="0" applyNumberFormat="1" applyFont="1" applyFill="1" applyBorder="1"/>
    <xf numFmtId="168" fontId="5" fillId="0" borderId="0" xfId="1" applyNumberFormat="1" applyFont="1" applyFill="1" applyBorder="1"/>
    <xf numFmtId="41" fontId="29" fillId="0" borderId="48" xfId="2" applyNumberFormat="1" applyFont="1" applyFill="1" applyBorder="1"/>
    <xf numFmtId="41" fontId="5" fillId="0" borderId="48" xfId="0" applyNumberFormat="1" applyFont="1" applyFill="1" applyBorder="1" applyAlignment="1">
      <alignment horizontal="center"/>
    </xf>
    <xf numFmtId="41" fontId="29" fillId="0" borderId="34" xfId="2" applyNumberFormat="1" applyFont="1" applyFill="1" applyBorder="1" applyAlignment="1">
      <alignment horizontal="center"/>
    </xf>
    <xf numFmtId="41" fontId="5" fillId="0" borderId="0" xfId="0" applyNumberFormat="1" applyFont="1" applyFill="1" applyBorder="1" applyAlignment="1">
      <alignment horizontal="center"/>
    </xf>
    <xf numFmtId="41" fontId="5" fillId="0" borderId="46" xfId="2" applyNumberFormat="1" applyFont="1" applyFill="1" applyBorder="1"/>
    <xf numFmtId="41" fontId="5" fillId="0" borderId="0" xfId="0" applyNumberFormat="1" applyFont="1" applyFill="1" applyBorder="1" applyAlignment="1"/>
    <xf numFmtId="41" fontId="5" fillId="0" borderId="48" xfId="0" applyNumberFormat="1" applyFont="1" applyFill="1" applyBorder="1" applyAlignment="1"/>
    <xf numFmtId="41" fontId="5" fillId="0" borderId="34" xfId="2" applyNumberFormat="1" applyFont="1" applyFill="1" applyBorder="1" applyAlignment="1"/>
    <xf numFmtId="41" fontId="5" fillId="0" borderId="46" xfId="0" applyNumberFormat="1" applyFont="1" applyFill="1" applyBorder="1"/>
    <xf numFmtId="41" fontId="5" fillId="0" borderId="34" xfId="2" applyNumberFormat="1" applyFont="1" applyFill="1" applyBorder="1"/>
    <xf numFmtId="41" fontId="5" fillId="0" borderId="34" xfId="0" applyNumberFormat="1" applyFont="1" applyFill="1" applyBorder="1" applyAlignment="1">
      <alignment horizontal="center"/>
    </xf>
    <xf numFmtId="0" fontId="5" fillId="0" borderId="9" xfId="0" applyFont="1" applyFill="1" applyBorder="1"/>
    <xf numFmtId="41" fontId="5" fillId="0" borderId="9" xfId="0" applyNumberFormat="1" applyFont="1" applyFill="1" applyBorder="1"/>
    <xf numFmtId="41" fontId="5" fillId="0" borderId="9" xfId="2" applyNumberFormat="1" applyFont="1" applyFill="1" applyBorder="1"/>
    <xf numFmtId="41" fontId="5" fillId="0" borderId="45" xfId="0" applyNumberFormat="1" applyFont="1" applyFill="1" applyBorder="1"/>
    <xf numFmtId="182" fontId="29" fillId="0" borderId="48" xfId="0" applyNumberFormat="1" applyFont="1" applyFill="1" applyBorder="1"/>
    <xf numFmtId="182" fontId="29" fillId="0" borderId="34" xfId="0" applyNumberFormat="1" applyFont="1" applyFill="1" applyBorder="1"/>
    <xf numFmtId="182" fontId="5" fillId="0" borderId="48" xfId="2" applyNumberFormat="1" applyFont="1" applyFill="1" applyBorder="1"/>
    <xf numFmtId="182" fontId="5" fillId="0" borderId="34" xfId="0" applyNumberFormat="1" applyFont="1" applyFill="1" applyBorder="1"/>
    <xf numFmtId="182" fontId="5" fillId="0" borderId="114" xfId="0" applyNumberFormat="1" applyFont="1" applyFill="1" applyBorder="1"/>
    <xf numFmtId="182" fontId="5" fillId="0" borderId="54" xfId="0" applyNumberFormat="1" applyFont="1" applyFill="1" applyBorder="1"/>
    <xf numFmtId="182" fontId="5" fillId="0" borderId="48" xfId="0" applyNumberFormat="1" applyFont="1" applyFill="1" applyBorder="1"/>
    <xf numFmtId="182" fontId="29" fillId="0" borderId="51" xfId="0" applyNumberFormat="1" applyFont="1" applyFill="1" applyBorder="1"/>
    <xf numFmtId="182" fontId="29" fillId="0" borderId="52" xfId="0" applyNumberFormat="1" applyFont="1" applyFill="1" applyBorder="1"/>
    <xf numFmtId="0" fontId="29" fillId="0" borderId="0" xfId="0" applyNumberFormat="1" applyFont="1" applyFill="1" applyBorder="1"/>
    <xf numFmtId="41" fontId="5" fillId="0" borderId="38" xfId="0" applyNumberFormat="1" applyFont="1" applyFill="1" applyBorder="1"/>
    <xf numFmtId="41" fontId="5" fillId="0" borderId="40" xfId="2" applyNumberFormat="1" applyFont="1" applyFill="1" applyBorder="1"/>
    <xf numFmtId="41" fontId="29" fillId="0" borderId="50" xfId="0" applyNumberFormat="1" applyFont="1" applyFill="1" applyBorder="1" applyAlignment="1"/>
    <xf numFmtId="41" fontId="29" fillId="0" borderId="13" xfId="2" applyNumberFormat="1" applyFont="1" applyFill="1" applyBorder="1" applyAlignment="1"/>
    <xf numFmtId="41" fontId="29" fillId="0" borderId="50" xfId="2" applyNumberFormat="1" applyFont="1" applyFill="1" applyBorder="1"/>
    <xf numFmtId="41" fontId="29" fillId="0" borderId="51" xfId="2" applyNumberFormat="1" applyFont="1" applyFill="1" applyBorder="1"/>
    <xf numFmtId="41" fontId="5" fillId="0" borderId="25" xfId="0" applyNumberFormat="1" applyFont="1" applyFill="1" applyBorder="1"/>
    <xf numFmtId="41" fontId="5" fillId="0" borderId="28" xfId="2" applyNumberFormat="1" applyFont="1" applyFill="1" applyBorder="1"/>
    <xf numFmtId="41" fontId="5" fillId="0" borderId="25" xfId="2" applyNumberFormat="1" applyFont="1" applyFill="1" applyBorder="1"/>
    <xf numFmtId="41" fontId="5" fillId="0" borderId="27" xfId="0" applyNumberFormat="1" applyFont="1" applyFill="1" applyBorder="1"/>
    <xf numFmtId="41" fontId="5" fillId="0" borderId="27" xfId="2" applyNumberFormat="1" applyFont="1" applyFill="1" applyBorder="1"/>
    <xf numFmtId="182" fontId="5" fillId="0" borderId="27" xfId="2" applyNumberFormat="1" applyFont="1" applyFill="1" applyBorder="1"/>
    <xf numFmtId="182" fontId="5" fillId="0" borderId="49" xfId="0" applyNumberFormat="1" applyFont="1" applyFill="1" applyBorder="1"/>
    <xf numFmtId="182" fontId="5" fillId="0" borderId="27" xfId="0" applyNumberFormat="1" applyFont="1" applyFill="1" applyBorder="1"/>
    <xf numFmtId="176" fontId="29" fillId="0" borderId="117" xfId="0" applyNumberFormat="1" applyFont="1" applyFill="1" applyBorder="1"/>
    <xf numFmtId="176" fontId="29" fillId="0" borderId="94" xfId="0" applyNumberFormat="1" applyFont="1" applyFill="1" applyBorder="1"/>
    <xf numFmtId="0" fontId="22" fillId="20" borderId="0" xfId="0" applyFont="1" applyFill="1" applyBorder="1"/>
    <xf numFmtId="177" fontId="21" fillId="20" borderId="0" xfId="1" applyNumberFormat="1" applyFont="1" applyFill="1" applyBorder="1"/>
    <xf numFmtId="41" fontId="22" fillId="20" borderId="24" xfId="0" applyNumberFormat="1" applyFont="1" applyFill="1" applyBorder="1"/>
    <xf numFmtId="0" fontId="5" fillId="0" borderId="153" xfId="0" applyFont="1" applyFill="1" applyBorder="1"/>
    <xf numFmtId="0" fontId="5" fillId="0" borderId="32" xfId="0" applyFont="1" applyFill="1" applyBorder="1"/>
    <xf numFmtId="41" fontId="5" fillId="0" borderId="26" xfId="0" applyNumberFormat="1" applyFont="1" applyFill="1" applyBorder="1"/>
    <xf numFmtId="41" fontId="5" fillId="0" borderId="31" xfId="0" applyNumberFormat="1" applyFont="1" applyFill="1" applyBorder="1"/>
    <xf numFmtId="182" fontId="5" fillId="0" borderId="31" xfId="0" applyNumberFormat="1" applyFont="1" applyFill="1" applyBorder="1"/>
    <xf numFmtId="182" fontId="5" fillId="0" borderId="47" xfId="0" applyNumberFormat="1" applyFont="1" applyFill="1" applyBorder="1"/>
    <xf numFmtId="0" fontId="5" fillId="0" borderId="28" xfId="0" applyFont="1" applyFill="1" applyBorder="1"/>
    <xf numFmtId="3" fontId="29" fillId="0" borderId="28" xfId="0" applyNumberFormat="1" applyFont="1" applyFill="1" applyBorder="1" applyAlignment="1">
      <alignment horizontal="center"/>
    </xf>
    <xf numFmtId="0" fontId="29" fillId="0" borderId="154" xfId="0" quotePrefix="1" applyFont="1" applyFill="1" applyBorder="1" applyAlignment="1">
      <alignment horizontal="center"/>
    </xf>
    <xf numFmtId="0" fontId="5" fillId="0" borderId="155" xfId="0" applyFont="1" applyFill="1" applyBorder="1"/>
    <xf numFmtId="0" fontId="5" fillId="0" borderId="156" xfId="0" applyFont="1" applyFill="1" applyBorder="1"/>
    <xf numFmtId="0" fontId="5" fillId="0" borderId="158" xfId="0" applyFont="1" applyFill="1" applyBorder="1"/>
    <xf numFmtId="0" fontId="5" fillId="0" borderId="7" xfId="0" applyFont="1" applyFill="1" applyBorder="1"/>
    <xf numFmtId="3" fontId="5" fillId="0" borderId="156" xfId="0" applyNumberFormat="1" applyFont="1" applyFill="1" applyBorder="1" applyAlignment="1">
      <alignment horizontal="center"/>
    </xf>
    <xf numFmtId="0" fontId="5" fillId="0" borderId="6" xfId="0" quotePrefix="1" applyFont="1" applyFill="1" applyBorder="1" applyAlignment="1">
      <alignment wrapText="1"/>
    </xf>
    <xf numFmtId="0" fontId="5" fillId="0" borderId="157" xfId="0" quotePrefix="1" applyFont="1" applyFill="1" applyBorder="1" applyAlignment="1">
      <alignment horizontal="center"/>
    </xf>
    <xf numFmtId="41" fontId="5" fillId="0" borderId="7" xfId="2" applyNumberFormat="1" applyFont="1" applyFill="1" applyBorder="1" applyAlignment="1"/>
    <xf numFmtId="0" fontId="5" fillId="0" borderId="0" xfId="0" quotePrefix="1" applyFont="1" applyFill="1" applyBorder="1"/>
    <xf numFmtId="167" fontId="5" fillId="0" borderId="0" xfId="0" applyNumberFormat="1" applyFont="1" applyFill="1"/>
    <xf numFmtId="4" fontId="15" fillId="0" borderId="9" xfId="0" applyNumberFormat="1" applyFont="1" applyBorder="1"/>
    <xf numFmtId="3" fontId="13" fillId="0" borderId="9" xfId="0" applyNumberFormat="1" applyFont="1" applyBorder="1"/>
    <xf numFmtId="0" fontId="22" fillId="4" borderId="30" xfId="0" quotePrefix="1" applyNumberFormat="1" applyFont="1" applyFill="1" applyBorder="1" applyAlignment="1">
      <alignment horizontal="center"/>
    </xf>
    <xf numFmtId="0" fontId="22" fillId="4" borderId="18" xfId="0" quotePrefix="1" applyNumberFormat="1" applyFont="1" applyFill="1" applyBorder="1" applyAlignment="1">
      <alignment horizontal="center"/>
    </xf>
    <xf numFmtId="0" fontId="114" fillId="11" borderId="0" xfId="0" applyFont="1" applyFill="1" applyBorder="1" applyAlignment="1">
      <alignment vertical="top" wrapText="1"/>
    </xf>
    <xf numFmtId="167" fontId="5" fillId="11" borderId="48" xfId="0" applyNumberFormat="1" applyFont="1" applyFill="1" applyBorder="1" applyAlignment="1"/>
    <xf numFmtId="0" fontId="5" fillId="11" borderId="30" xfId="0" applyFont="1" applyFill="1" applyBorder="1" applyAlignment="1"/>
    <xf numFmtId="0" fontId="21" fillId="11" borderId="30" xfId="0" applyFont="1" applyFill="1" applyBorder="1" applyAlignment="1"/>
    <xf numFmtId="0" fontId="22" fillId="4" borderId="30" xfId="0" applyFont="1" applyFill="1" applyBorder="1" applyAlignment="1">
      <alignment horizontal="center"/>
    </xf>
    <xf numFmtId="0" fontId="64" fillId="38" borderId="38" xfId="0" applyFont="1" applyFill="1" applyBorder="1"/>
    <xf numFmtId="0" fontId="118" fillId="38" borderId="38" xfId="25" applyFont="1" applyFill="1" applyBorder="1"/>
    <xf numFmtId="0" fontId="22" fillId="4" borderId="156" xfId="0" applyFont="1" applyFill="1" applyBorder="1" applyAlignment="1">
      <alignment horizontal="center"/>
    </xf>
    <xf numFmtId="41" fontId="22" fillId="0" borderId="23" xfId="0" applyNumberFormat="1" applyFont="1" applyBorder="1"/>
    <xf numFmtId="41" fontId="21" fillId="5" borderId="40" xfId="0" applyNumberFormat="1" applyFont="1" applyFill="1" applyBorder="1"/>
    <xf numFmtId="41" fontId="24" fillId="18" borderId="28" xfId="0" applyNumberFormat="1" applyFont="1" applyFill="1" applyBorder="1"/>
    <xf numFmtId="41" fontId="21" fillId="5" borderId="46" xfId="0" applyNumberFormat="1" applyFont="1" applyFill="1" applyBorder="1"/>
    <xf numFmtId="41" fontId="24" fillId="20" borderId="0" xfId="0" applyNumberFormat="1" applyFont="1" applyFill="1" applyBorder="1"/>
    <xf numFmtId="41" fontId="21" fillId="0" borderId="32" xfId="0" applyNumberFormat="1" applyFont="1" applyBorder="1"/>
    <xf numFmtId="41" fontId="21" fillId="5" borderId="32" xfId="0" applyNumberFormat="1" applyFont="1" applyFill="1" applyBorder="1"/>
    <xf numFmtId="41" fontId="24" fillId="18" borderId="156" xfId="0" applyNumberFormat="1" applyFont="1" applyFill="1" applyBorder="1"/>
    <xf numFmtId="0" fontId="22" fillId="4" borderId="159" xfId="0" applyFont="1" applyFill="1" applyBorder="1" applyAlignment="1">
      <alignment horizontal="center"/>
    </xf>
    <xf numFmtId="41" fontId="22" fillId="0" borderId="26" xfId="0" applyNumberFormat="1" applyFont="1" applyBorder="1"/>
    <xf numFmtId="41" fontId="21" fillId="5" borderId="38" xfId="0" applyNumberFormat="1" applyFont="1" applyFill="1" applyBorder="1"/>
    <xf numFmtId="41" fontId="24" fillId="18" borderId="159" xfId="0" applyNumberFormat="1" applyFont="1" applyFill="1" applyBorder="1"/>
    <xf numFmtId="0" fontId="13" fillId="20" borderId="38" xfId="0" applyFont="1" applyFill="1" applyBorder="1"/>
    <xf numFmtId="0" fontId="13" fillId="0" borderId="157" xfId="0" applyFont="1" applyBorder="1"/>
    <xf numFmtId="0" fontId="13" fillId="0" borderId="156" xfId="0" applyFont="1" applyBorder="1"/>
    <xf numFmtId="0" fontId="13" fillId="0" borderId="158" xfId="0" applyFont="1" applyBorder="1"/>
    <xf numFmtId="0" fontId="13" fillId="0" borderId="60" xfId="0" applyFont="1" applyBorder="1"/>
    <xf numFmtId="0" fontId="13" fillId="0" borderId="63" xfId="0" applyFont="1" applyBorder="1"/>
    <xf numFmtId="0" fontId="13" fillId="0" borderId="160" xfId="0" applyFont="1" applyBorder="1"/>
    <xf numFmtId="182" fontId="21" fillId="0" borderId="30" xfId="0" applyNumberFormat="1" applyFont="1" applyBorder="1"/>
    <xf numFmtId="1" fontId="29" fillId="4" borderId="17" xfId="0" quotePrefix="1" applyNumberFormat="1" applyFont="1" applyFill="1" applyBorder="1" applyAlignment="1">
      <alignment horizontal="center"/>
    </xf>
    <xf numFmtId="1" fontId="29" fillId="4" borderId="18" xfId="0" quotePrefix="1" applyNumberFormat="1" applyFont="1" applyFill="1" applyBorder="1" applyAlignment="1">
      <alignment horizontal="center"/>
    </xf>
    <xf numFmtId="1" fontId="29" fillId="4" borderId="19" xfId="0" quotePrefix="1" applyNumberFormat="1" applyFont="1" applyFill="1" applyBorder="1" applyAlignment="1">
      <alignment horizontal="center"/>
    </xf>
    <xf numFmtId="4" fontId="21" fillId="14" borderId="11" xfId="0" applyNumberFormat="1" applyFont="1" applyFill="1" applyBorder="1"/>
    <xf numFmtId="41" fontId="21" fillId="14" borderId="30" xfId="1" applyNumberFormat="1" applyFont="1" applyFill="1" applyBorder="1" applyAlignment="1">
      <alignment horizontal="right"/>
    </xf>
    <xf numFmtId="174" fontId="21" fillId="14" borderId="0" xfId="0" applyNumberFormat="1" applyFont="1" applyFill="1" applyBorder="1"/>
    <xf numFmtId="4" fontId="21" fillId="14" borderId="0" xfId="0" applyNumberFormat="1" applyFont="1" applyFill="1" applyBorder="1"/>
    <xf numFmtId="3" fontId="22" fillId="14" borderId="0" xfId="0" applyNumberFormat="1" applyFont="1" applyFill="1" applyBorder="1" applyAlignment="1">
      <alignment horizontal="center"/>
    </xf>
    <xf numFmtId="174" fontId="21" fillId="14" borderId="12" xfId="0" applyNumberFormat="1" applyFont="1" applyFill="1" applyBorder="1"/>
    <xf numFmtId="41" fontId="21" fillId="14" borderId="26" xfId="1" applyNumberFormat="1" applyFont="1" applyFill="1" applyBorder="1" applyAlignment="1">
      <alignment horizontal="right"/>
    </xf>
    <xf numFmtId="41" fontId="21" fillId="14" borderId="25" xfId="1" applyNumberFormat="1" applyFont="1" applyFill="1" applyBorder="1" applyAlignment="1">
      <alignment horizontal="right"/>
    </xf>
    <xf numFmtId="1" fontId="22" fillId="0" borderId="0" xfId="18" quotePrefix="1" applyNumberFormat="1" applyFont="1" applyBorder="1" applyAlignment="1">
      <alignment horizontal="center"/>
    </xf>
    <xf numFmtId="1" fontId="22" fillId="5" borderId="0" xfId="18" quotePrefix="1" applyNumberFormat="1" applyFont="1" applyFill="1" applyBorder="1" applyAlignment="1">
      <alignment horizontal="center"/>
    </xf>
    <xf numFmtId="168" fontId="21" fillId="14" borderId="0" xfId="1" applyNumberFormat="1" applyFont="1" applyFill="1" applyBorder="1"/>
    <xf numFmtId="0" fontId="21" fillId="14" borderId="33" xfId="0" applyFont="1" applyFill="1" applyBorder="1"/>
    <xf numFmtId="41" fontId="21" fillId="14" borderId="30" xfId="0" applyNumberFormat="1" applyFont="1" applyFill="1" applyBorder="1" applyAlignment="1">
      <alignment horizontal="right"/>
    </xf>
    <xf numFmtId="41" fontId="21" fillId="14" borderId="34" xfId="0" applyNumberFormat="1" applyFont="1" applyFill="1" applyBorder="1" applyAlignment="1">
      <alignment horizontal="right"/>
    </xf>
    <xf numFmtId="177" fontId="29" fillId="0" borderId="0" xfId="0" applyNumberFormat="1" applyFont="1" applyFill="1" applyBorder="1" applyAlignment="1">
      <alignment horizontal="center"/>
    </xf>
    <xf numFmtId="41" fontId="21" fillId="14" borderId="34" xfId="0" applyNumberFormat="1" applyFont="1" applyFill="1" applyBorder="1"/>
    <xf numFmtId="179" fontId="21" fillId="14" borderId="0" xfId="1" applyNumberFormat="1" applyFont="1" applyFill="1" applyBorder="1" applyAlignment="1">
      <alignment horizontal="right"/>
    </xf>
    <xf numFmtId="179" fontId="21" fillId="14" borderId="0" xfId="0" applyNumberFormat="1" applyFont="1" applyFill="1" applyBorder="1" applyAlignment="1">
      <alignment horizontal="center"/>
    </xf>
    <xf numFmtId="0" fontId="22" fillId="14" borderId="0" xfId="0" applyFont="1" applyFill="1" applyBorder="1" applyAlignment="1">
      <alignment horizontal="center"/>
    </xf>
    <xf numFmtId="179" fontId="21" fillId="14" borderId="0" xfId="0" applyNumberFormat="1" applyFont="1" applyFill="1" applyBorder="1"/>
    <xf numFmtId="179" fontId="21" fillId="14" borderId="0" xfId="1" applyNumberFormat="1" applyFont="1" applyFill="1" applyBorder="1"/>
    <xf numFmtId="0" fontId="12" fillId="0" borderId="0" xfId="0" applyFont="1" applyBorder="1"/>
    <xf numFmtId="0" fontId="19" fillId="0" borderId="0" xfId="0" applyFont="1" applyBorder="1"/>
    <xf numFmtId="0" fontId="19" fillId="0" borderId="0" xfId="0" applyFont="1" applyBorder="1" applyAlignment="1"/>
    <xf numFmtId="0" fontId="29" fillId="22" borderId="3" xfId="0" quotePrefix="1" applyFont="1" applyFill="1" applyBorder="1" applyAlignment="1">
      <alignment horizontal="center"/>
    </xf>
    <xf numFmtId="0" fontId="29" fillId="22" borderId="6" xfId="0" quotePrefix="1" applyFont="1" applyFill="1" applyBorder="1" applyAlignment="1">
      <alignment horizontal="center"/>
    </xf>
    <xf numFmtId="0" fontId="29" fillId="22" borderId="157" xfId="0" quotePrefix="1" applyFont="1" applyFill="1" applyBorder="1" applyAlignment="1">
      <alignment horizontal="center"/>
    </xf>
    <xf numFmtId="3" fontId="116" fillId="24" borderId="18" xfId="1" applyNumberFormat="1" applyFont="1" applyFill="1" applyBorder="1" applyAlignment="1">
      <alignment horizontal="center"/>
    </xf>
    <xf numFmtId="3" fontId="116" fillId="24" borderId="4" xfId="1" applyNumberFormat="1" applyFont="1" applyFill="1" applyBorder="1" applyAlignment="1">
      <alignment horizontal="center"/>
    </xf>
    <xf numFmtId="3" fontId="116" fillId="24" borderId="18" xfId="1" quotePrefix="1" applyNumberFormat="1" applyFont="1" applyFill="1" applyBorder="1" applyAlignment="1">
      <alignment horizontal="center"/>
    </xf>
    <xf numFmtId="16" fontId="116" fillId="24" borderId="18" xfId="0" quotePrefix="1" applyNumberFormat="1" applyFont="1" applyFill="1" applyBorder="1" applyAlignment="1">
      <alignment horizontal="center"/>
    </xf>
    <xf numFmtId="16" fontId="116" fillId="24" borderId="122" xfId="0" quotePrefix="1" applyNumberFormat="1" applyFont="1" applyFill="1" applyBorder="1" applyAlignment="1">
      <alignment horizontal="center"/>
    </xf>
    <xf numFmtId="3" fontId="116" fillId="24" borderId="19" xfId="1" applyNumberFormat="1" applyFont="1" applyFill="1" applyBorder="1" applyAlignment="1">
      <alignment horizontal="center"/>
    </xf>
    <xf numFmtId="3" fontId="116" fillId="24" borderId="30" xfId="0" applyNumberFormat="1" applyFont="1" applyFill="1" applyBorder="1" applyAlignment="1">
      <alignment horizontal="center"/>
    </xf>
    <xf numFmtId="3" fontId="116" fillId="24" borderId="0" xfId="1" applyNumberFormat="1" applyFont="1" applyFill="1" applyBorder="1" applyAlignment="1">
      <alignment horizontal="center"/>
    </xf>
    <xf numFmtId="0" fontId="116" fillId="24" borderId="30" xfId="0" applyFont="1" applyFill="1" applyBorder="1" applyAlignment="1">
      <alignment horizontal="center"/>
    </xf>
    <xf numFmtId="0" fontId="116" fillId="24" borderId="48" xfId="0" applyFont="1" applyFill="1" applyBorder="1" applyAlignment="1">
      <alignment horizontal="center"/>
    </xf>
    <xf numFmtId="0" fontId="116" fillId="24" borderId="34" xfId="0" applyFont="1" applyFill="1" applyBorder="1" applyAlignment="1">
      <alignment horizontal="center"/>
    </xf>
    <xf numFmtId="3" fontId="116" fillId="24" borderId="159" xfId="0" applyNumberFormat="1" applyFont="1" applyFill="1" applyBorder="1" applyAlignment="1">
      <alignment horizontal="center"/>
    </xf>
    <xf numFmtId="3" fontId="116" fillId="24" borderId="156" xfId="1" applyNumberFormat="1" applyFont="1" applyFill="1" applyBorder="1" applyAlignment="1">
      <alignment horizontal="center"/>
    </xf>
    <xf numFmtId="0" fontId="116" fillId="24" borderId="159" xfId="0" applyFont="1" applyFill="1" applyBorder="1" applyAlignment="1">
      <alignment horizontal="center"/>
    </xf>
    <xf numFmtId="0" fontId="116" fillId="24" borderId="162" xfId="0" applyFont="1" applyFill="1" applyBorder="1" applyAlignment="1">
      <alignment horizontal="center"/>
    </xf>
    <xf numFmtId="0" fontId="116" fillId="24" borderId="163" xfId="0" applyFont="1" applyFill="1" applyBorder="1" applyAlignment="1">
      <alignment horizontal="center"/>
    </xf>
    <xf numFmtId="0" fontId="27" fillId="0" borderId="6" xfId="0" applyFont="1" applyFill="1" applyBorder="1"/>
    <xf numFmtId="0" fontId="21" fillId="11" borderId="0" xfId="0" applyFont="1" applyFill="1" applyBorder="1" applyAlignment="1">
      <alignment horizontal="left" wrapText="1"/>
    </xf>
    <xf numFmtId="0" fontId="21" fillId="11" borderId="0" xfId="0" applyFont="1" applyFill="1" applyBorder="1" applyAlignment="1">
      <alignment horizontal="left"/>
    </xf>
    <xf numFmtId="170" fontId="30" fillId="14" borderId="0" xfId="15" applyNumberFormat="1" applyFont="1" applyFill="1" applyBorder="1" applyProtection="1"/>
    <xf numFmtId="41" fontId="21" fillId="14" borderId="23" xfId="1" applyNumberFormat="1" applyFont="1" applyFill="1" applyBorder="1"/>
    <xf numFmtId="170" fontId="31" fillId="14" borderId="0" xfId="15" applyNumberFormat="1" applyFont="1" applyFill="1" applyBorder="1" applyProtection="1"/>
    <xf numFmtId="3" fontId="22" fillId="14" borderId="0" xfId="0" applyNumberFormat="1" applyFont="1" applyFill="1" applyBorder="1"/>
    <xf numFmtId="41" fontId="22" fillId="14" borderId="0" xfId="1" applyNumberFormat="1" applyFont="1" applyFill="1" applyBorder="1"/>
    <xf numFmtId="0" fontId="27" fillId="14" borderId="0" xfId="0" applyFont="1" applyFill="1" applyBorder="1"/>
    <xf numFmtId="41" fontId="22" fillId="14" borderId="24" xfId="1" applyNumberFormat="1" applyFont="1" applyFill="1" applyBorder="1"/>
    <xf numFmtId="0" fontId="21" fillId="0" borderId="0" xfId="0" applyFont="1" applyFill="1" applyBorder="1" applyAlignment="1">
      <alignment horizontal="justify" vertical="top" wrapText="1"/>
    </xf>
    <xf numFmtId="0" fontId="21" fillId="14" borderId="0" xfId="0" applyFont="1" applyFill="1" applyBorder="1" applyAlignment="1">
      <alignment horizontal="justify" vertical="top" wrapText="1"/>
    </xf>
    <xf numFmtId="177" fontId="29" fillId="0" borderId="0" xfId="0" applyNumberFormat="1" applyFont="1" applyFill="1" applyBorder="1" applyAlignment="1">
      <alignment horizontal="center"/>
    </xf>
    <xf numFmtId="0" fontId="29" fillId="0" borderId="46" xfId="0" applyFont="1" applyFill="1" applyBorder="1" applyAlignment="1">
      <alignment horizontal="center"/>
    </xf>
    <xf numFmtId="0" fontId="21" fillId="14" borderId="23" xfId="0" applyFont="1" applyFill="1" applyBorder="1"/>
    <xf numFmtId="3" fontId="21" fillId="14" borderId="30" xfId="0" applyNumberFormat="1" applyFont="1" applyFill="1" applyBorder="1"/>
    <xf numFmtId="41" fontId="23" fillId="14" borderId="30" xfId="0" applyNumberFormat="1" applyFont="1" applyFill="1" applyBorder="1" applyAlignment="1">
      <alignment horizontal="right"/>
    </xf>
    <xf numFmtId="41" fontId="22" fillId="14" borderId="39" xfId="0" applyNumberFormat="1" applyFont="1" applyFill="1" applyBorder="1"/>
    <xf numFmtId="41" fontId="22" fillId="16" borderId="24" xfId="0" applyNumberFormat="1" applyFont="1" applyFill="1" applyBorder="1"/>
    <xf numFmtId="49" fontId="21" fillId="0" borderId="0" xfId="14" quotePrefix="1" applyNumberFormat="1" applyFont="1" applyFill="1" applyBorder="1" applyAlignment="1" applyProtection="1">
      <alignment horizontal="center"/>
    </xf>
    <xf numFmtId="177" fontId="5" fillId="0" borderId="0" xfId="14" applyNumberFormat="1" applyFont="1" applyFill="1" applyBorder="1"/>
    <xf numFmtId="167" fontId="5" fillId="0" borderId="0" xfId="14" applyNumberFormat="1" applyFont="1" applyFill="1" applyBorder="1"/>
    <xf numFmtId="167" fontId="5" fillId="0" borderId="0" xfId="1" applyNumberFormat="1" applyFont="1" applyFill="1" applyBorder="1" applyProtection="1"/>
    <xf numFmtId="182" fontId="5" fillId="0" borderId="0" xfId="0" applyNumberFormat="1" applyFont="1" applyFill="1" applyBorder="1"/>
    <xf numFmtId="41" fontId="5" fillId="0" borderId="0" xfId="1" applyNumberFormat="1" applyFont="1" applyFill="1" applyBorder="1"/>
    <xf numFmtId="41" fontId="5" fillId="0" borderId="23" xfId="1" applyNumberFormat="1" applyFont="1" applyFill="1" applyBorder="1"/>
    <xf numFmtId="4" fontId="5" fillId="0" borderId="0" xfId="1" applyNumberFormat="1" applyFont="1" applyFill="1" applyBorder="1"/>
    <xf numFmtId="177" fontId="5" fillId="11" borderId="0" xfId="0" applyNumberFormat="1" applyFont="1" applyFill="1" applyBorder="1"/>
    <xf numFmtId="0" fontId="5" fillId="11" borderId="0" xfId="0" applyFont="1" applyFill="1" applyBorder="1"/>
    <xf numFmtId="177" fontId="5" fillId="17" borderId="0" xfId="0" applyNumberFormat="1" applyFont="1" applyFill="1" applyBorder="1"/>
    <xf numFmtId="0" fontId="5" fillId="0" borderId="0" xfId="0" applyFont="1" applyFill="1" applyBorder="1" applyAlignment="1">
      <alignment vertical="top" wrapText="1"/>
    </xf>
    <xf numFmtId="167" fontId="5" fillId="0" borderId="21" xfId="1" applyNumberFormat="1" applyFont="1" applyFill="1" applyBorder="1" applyProtection="1"/>
    <xf numFmtId="167" fontId="5" fillId="0" borderId="15" xfId="1" applyNumberFormat="1" applyFont="1" applyFill="1" applyBorder="1" applyProtection="1"/>
    <xf numFmtId="167" fontId="5" fillId="0" borderId="24" xfId="1" applyNumberFormat="1" applyFont="1" applyFill="1" applyBorder="1" applyProtection="1"/>
    <xf numFmtId="0" fontId="5" fillId="0" borderId="0" xfId="0" applyFont="1" applyFill="1" applyAlignment="1">
      <alignment vertical="top" wrapText="1"/>
    </xf>
    <xf numFmtId="43" fontId="5" fillId="0" borderId="0" xfId="0" applyNumberFormat="1" applyFont="1" applyFill="1" applyBorder="1"/>
    <xf numFmtId="177" fontId="5" fillId="0" borderId="0" xfId="0" applyNumberFormat="1" applyFont="1" applyFill="1" applyBorder="1" applyAlignment="1">
      <alignment horizontal="right"/>
    </xf>
    <xf numFmtId="177" fontId="5" fillId="17" borderId="25" xfId="0" applyNumberFormat="1" applyFont="1" applyFill="1" applyBorder="1" applyAlignment="1">
      <alignment horizontal="right"/>
    </xf>
    <xf numFmtId="177" fontId="5" fillId="17" borderId="26" xfId="0" applyNumberFormat="1" applyFont="1" applyFill="1" applyBorder="1" applyAlignment="1">
      <alignment horizontal="right"/>
    </xf>
    <xf numFmtId="177" fontId="29" fillId="0" borderId="24" xfId="0" applyNumberFormat="1" applyFont="1" applyFill="1" applyBorder="1" applyAlignment="1">
      <alignment horizontal="right"/>
    </xf>
    <xf numFmtId="177" fontId="5" fillId="0" borderId="23" xfId="0" applyNumberFormat="1" applyFont="1" applyFill="1" applyBorder="1"/>
    <xf numFmtId="177" fontId="5" fillId="0" borderId="25" xfId="0" applyNumberFormat="1" applyFont="1" applyFill="1" applyBorder="1"/>
    <xf numFmtId="177" fontId="5" fillId="0" borderId="30" xfId="0" applyNumberFormat="1" applyFont="1" applyFill="1" applyBorder="1"/>
    <xf numFmtId="177" fontId="5" fillId="0" borderId="26" xfId="0" applyNumberFormat="1" applyFont="1" applyFill="1" applyBorder="1"/>
    <xf numFmtId="177" fontId="5" fillId="17" borderId="25" xfId="0" applyNumberFormat="1" applyFont="1" applyFill="1" applyBorder="1"/>
    <xf numFmtId="177" fontId="5" fillId="17" borderId="30" xfId="0" applyNumberFormat="1" applyFont="1" applyFill="1" applyBorder="1"/>
    <xf numFmtId="177" fontId="5" fillId="17" borderId="26" xfId="0" applyNumberFormat="1" applyFont="1" applyFill="1" applyBorder="1"/>
    <xf numFmtId="177" fontId="29" fillId="0" borderId="24" xfId="0" applyNumberFormat="1" applyFont="1" applyFill="1" applyBorder="1"/>
    <xf numFmtId="177" fontId="5" fillId="17" borderId="25" xfId="1" applyNumberFormat="1" applyFont="1" applyFill="1" applyBorder="1"/>
    <xf numFmtId="177" fontId="5" fillId="17" borderId="26" xfId="1" applyNumberFormat="1" applyFont="1" applyFill="1" applyBorder="1"/>
    <xf numFmtId="177" fontId="29" fillId="0" borderId="15" xfId="1" applyNumberFormat="1" applyFont="1" applyFill="1" applyBorder="1"/>
    <xf numFmtId="177" fontId="5" fillId="0" borderId="0" xfId="1" applyNumberFormat="1" applyFont="1" applyFill="1" applyBorder="1"/>
    <xf numFmtId="49" fontId="21" fillId="14" borderId="0" xfId="14" applyNumberFormat="1" applyFont="1" applyFill="1" applyBorder="1" applyProtection="1"/>
    <xf numFmtId="0" fontId="21" fillId="14" borderId="0" xfId="14" applyFont="1" applyFill="1" applyBorder="1" applyProtection="1"/>
    <xf numFmtId="3" fontId="21" fillId="14" borderId="0" xfId="1" applyNumberFormat="1" applyFont="1" applyFill="1" applyBorder="1" applyProtection="1"/>
    <xf numFmtId="0" fontId="21" fillId="14" borderId="0" xfId="14" applyFont="1" applyFill="1" applyBorder="1"/>
    <xf numFmtId="41" fontId="21" fillId="14" borderId="0" xfId="14" applyNumberFormat="1" applyFont="1" applyFill="1" applyBorder="1"/>
    <xf numFmtId="37" fontId="21" fillId="14" borderId="0" xfId="0" applyNumberFormat="1" applyFont="1" applyFill="1" applyBorder="1"/>
    <xf numFmtId="169" fontId="5" fillId="0" borderId="0" xfId="0" applyNumberFormat="1" applyFont="1"/>
    <xf numFmtId="169" fontId="114" fillId="0" borderId="0" xfId="0" applyNumberFormat="1" applyFont="1"/>
    <xf numFmtId="169" fontId="33" fillId="0" borderId="0" xfId="0" applyNumberFormat="1" applyFont="1"/>
    <xf numFmtId="41" fontId="5" fillId="0" borderId="0" xfId="0" applyNumberFormat="1" applyFont="1"/>
    <xf numFmtId="41" fontId="33" fillId="0" borderId="0" xfId="0" applyNumberFormat="1" applyFont="1"/>
    <xf numFmtId="0" fontId="33" fillId="0" borderId="0" xfId="0" applyFont="1"/>
    <xf numFmtId="169" fontId="33" fillId="48" borderId="0" xfId="0" applyNumberFormat="1" applyFont="1" applyFill="1"/>
    <xf numFmtId="41" fontId="33" fillId="48" borderId="0" xfId="0" applyNumberFormat="1" applyFont="1" applyFill="1"/>
    <xf numFmtId="0" fontId="33" fillId="48" borderId="0" xfId="0" applyFont="1" applyFill="1"/>
    <xf numFmtId="169" fontId="5" fillId="0" borderId="0" xfId="0" applyNumberFormat="1" applyFont="1" applyFill="1"/>
    <xf numFmtId="169" fontId="54" fillId="0" borderId="0" xfId="0" applyNumberFormat="1" applyFont="1" applyFill="1"/>
    <xf numFmtId="0" fontId="54" fillId="0" borderId="0" xfId="0" applyFont="1" applyFill="1"/>
    <xf numFmtId="169" fontId="5" fillId="48" borderId="0" xfId="0" applyNumberFormat="1" applyFont="1" applyFill="1"/>
    <xf numFmtId="169" fontId="5" fillId="0" borderId="0" xfId="0" applyNumberFormat="1" applyFont="1" applyAlignment="1">
      <alignment wrapText="1"/>
    </xf>
    <xf numFmtId="0" fontId="5" fillId="0" borderId="30" xfId="0" applyFont="1" applyBorder="1"/>
    <xf numFmtId="0" fontId="33" fillId="0" borderId="30" xfId="0" applyFont="1" applyBorder="1"/>
    <xf numFmtId="0" fontId="33" fillId="48" borderId="30" xfId="0" applyFont="1" applyFill="1" applyBorder="1"/>
    <xf numFmtId="41" fontId="21" fillId="14" borderId="0" xfId="0" applyNumberFormat="1" applyFont="1" applyFill="1" applyBorder="1" applyAlignment="1">
      <alignment horizontal="center"/>
    </xf>
    <xf numFmtId="41" fontId="28" fillId="14" borderId="0" xfId="0" applyNumberFormat="1" applyFont="1" applyFill="1" applyBorder="1" applyAlignment="1">
      <alignment horizontal="center"/>
    </xf>
    <xf numFmtId="10" fontId="21" fillId="16" borderId="0" xfId="0" applyNumberFormat="1" applyFont="1" applyFill="1" applyBorder="1" applyAlignment="1">
      <alignment horizontal="right"/>
    </xf>
    <xf numFmtId="41" fontId="21" fillId="16" borderId="24" xfId="0" applyNumberFormat="1" applyFont="1" applyFill="1" applyBorder="1" applyAlignment="1">
      <alignment horizontal="center"/>
    </xf>
    <xf numFmtId="41" fontId="22" fillId="14" borderId="24" xfId="0" applyNumberFormat="1" applyFont="1" applyFill="1" applyBorder="1" applyAlignment="1">
      <alignment horizontal="right"/>
    </xf>
    <xf numFmtId="4" fontId="21" fillId="14" borderId="0" xfId="1" applyNumberFormat="1" applyFont="1" applyFill="1" applyBorder="1"/>
    <xf numFmtId="0" fontId="52" fillId="0" borderId="0" xfId="0" applyFont="1" applyFill="1" applyBorder="1" applyAlignment="1">
      <alignment horizontal="center" vertical="top" wrapText="1"/>
    </xf>
    <xf numFmtId="0" fontId="51" fillId="0" borderId="0" xfId="0" applyFont="1" applyFill="1" applyBorder="1" applyAlignment="1">
      <alignment vertical="top" wrapText="1"/>
    </xf>
    <xf numFmtId="41" fontId="52" fillId="0" borderId="0" xfId="1" applyNumberFormat="1" applyFont="1" applyFill="1" applyBorder="1"/>
    <xf numFmtId="4" fontId="51" fillId="0" borderId="0" xfId="1" applyNumberFormat="1" applyFont="1" applyFill="1" applyBorder="1"/>
    <xf numFmtId="0" fontId="51" fillId="0" borderId="0" xfId="0" applyFont="1" applyFill="1" applyBorder="1" applyAlignment="1">
      <alignment horizontal="justify" vertical="top" wrapText="1"/>
    </xf>
    <xf numFmtId="41" fontId="51" fillId="14" borderId="0" xfId="1" applyNumberFormat="1" applyFont="1" applyFill="1" applyBorder="1"/>
    <xf numFmtId="41" fontId="21" fillId="14" borderId="26" xfId="1" applyNumberFormat="1" applyFont="1" applyFill="1" applyBorder="1"/>
    <xf numFmtId="49" fontId="22" fillId="0" borderId="0" xfId="0" applyNumberFormat="1" applyFont="1" applyFill="1" applyBorder="1" applyAlignment="1">
      <alignment horizontal="center"/>
    </xf>
    <xf numFmtId="41" fontId="28" fillId="17" borderId="0" xfId="0" applyNumberFormat="1" applyFont="1" applyFill="1" applyBorder="1" applyAlignment="1">
      <alignment horizontal="center"/>
    </xf>
    <xf numFmtId="41" fontId="22" fillId="17" borderId="24" xfId="0" applyNumberFormat="1" applyFont="1" applyFill="1" applyBorder="1" applyAlignment="1">
      <alignment horizontal="right"/>
    </xf>
    <xf numFmtId="41" fontId="22" fillId="17" borderId="24" xfId="0" applyNumberFormat="1" applyFont="1" applyFill="1" applyBorder="1"/>
    <xf numFmtId="4" fontId="21" fillId="17" borderId="0" xfId="1" applyNumberFormat="1" applyFont="1" applyFill="1" applyBorder="1"/>
    <xf numFmtId="41" fontId="22" fillId="17" borderId="0" xfId="0" applyNumberFormat="1" applyFont="1" applyFill="1" applyBorder="1" applyAlignment="1">
      <alignment horizontal="center"/>
    </xf>
    <xf numFmtId="41" fontId="21" fillId="17" borderId="0" xfId="0" applyNumberFormat="1" applyFont="1" applyFill="1" applyBorder="1" applyAlignment="1">
      <alignment horizontal="right"/>
    </xf>
    <xf numFmtId="174" fontId="21" fillId="17" borderId="0" xfId="1" applyNumberFormat="1" applyFont="1" applyFill="1" applyBorder="1"/>
    <xf numFmtId="0" fontId="21" fillId="17" borderId="0" xfId="0" applyFont="1" applyFill="1" applyBorder="1" applyAlignment="1">
      <alignment horizontal="right"/>
    </xf>
    <xf numFmtId="41" fontId="22" fillId="14" borderId="24" xfId="0" applyNumberFormat="1" applyFont="1" applyFill="1" applyBorder="1"/>
    <xf numFmtId="0" fontId="21" fillId="14" borderId="0" xfId="0" applyFont="1" applyFill="1" applyBorder="1" applyAlignment="1">
      <alignment vertical="top" wrapText="1"/>
    </xf>
    <xf numFmtId="0" fontId="22" fillId="14" borderId="0" xfId="0" applyFont="1" applyFill="1" applyBorder="1" applyAlignment="1">
      <alignment horizontal="center" vertical="top" wrapText="1"/>
    </xf>
    <xf numFmtId="41" fontId="21" fillId="14" borderId="25" xfId="1" applyNumberFormat="1" applyFont="1" applyFill="1" applyBorder="1"/>
    <xf numFmtId="4" fontId="21" fillId="14" borderId="28" xfId="1" applyNumberFormat="1" applyFont="1" applyFill="1" applyBorder="1"/>
    <xf numFmtId="1" fontId="22" fillId="14" borderId="0" xfId="0" applyNumberFormat="1" applyFont="1" applyFill="1" applyBorder="1" applyAlignment="1">
      <alignment horizontal="center"/>
    </xf>
    <xf numFmtId="0" fontId="21" fillId="14" borderId="0" xfId="0" applyFont="1" applyFill="1" applyBorder="1" applyAlignment="1">
      <alignment horizontal="right"/>
    </xf>
    <xf numFmtId="10" fontId="21" fillId="14" borderId="0" xfId="0" applyNumberFormat="1" applyFont="1" applyFill="1" applyBorder="1" applyAlignment="1">
      <alignment horizontal="right"/>
    </xf>
    <xf numFmtId="0" fontId="21" fillId="14" borderId="0" xfId="0" quotePrefix="1" applyFont="1" applyFill="1" applyBorder="1"/>
    <xf numFmtId="43" fontId="21" fillId="14" borderId="0" xfId="0" applyNumberFormat="1" applyFont="1" applyFill="1" applyBorder="1" applyAlignment="1">
      <alignment horizontal="center"/>
    </xf>
    <xf numFmtId="0" fontId="24" fillId="14" borderId="0" xfId="14" applyFont="1" applyFill="1" applyBorder="1" applyProtection="1"/>
    <xf numFmtId="0" fontId="21" fillId="14" borderId="0" xfId="0" quotePrefix="1" applyFont="1" applyFill="1" applyBorder="1" applyAlignment="1">
      <alignment horizontal="center"/>
    </xf>
    <xf numFmtId="41" fontId="22" fillId="14" borderId="15" xfId="1" applyNumberFormat="1" applyFont="1" applyFill="1" applyBorder="1"/>
    <xf numFmtId="0" fontId="22" fillId="14" borderId="0" xfId="0" quotePrefix="1" applyFont="1" applyFill="1" applyBorder="1" applyAlignment="1">
      <alignment horizontal="center"/>
    </xf>
    <xf numFmtId="0" fontId="22" fillId="14" borderId="0" xfId="0" applyFont="1" applyFill="1" applyBorder="1" applyAlignment="1">
      <alignment horizontal="center" vertical="center"/>
    </xf>
    <xf numFmtId="49" fontId="22" fillId="14" borderId="0" xfId="0" quotePrefix="1" applyNumberFormat="1" applyFont="1" applyFill="1" applyBorder="1" applyAlignment="1">
      <alignment horizontal="center"/>
    </xf>
    <xf numFmtId="3" fontId="22" fillId="14" borderId="0" xfId="0" quotePrefix="1" applyNumberFormat="1" applyFont="1" applyFill="1" applyBorder="1" applyAlignment="1">
      <alignment horizontal="center"/>
    </xf>
    <xf numFmtId="10" fontId="21" fillId="14" borderId="0" xfId="0" applyNumberFormat="1" applyFont="1" applyFill="1" applyBorder="1"/>
    <xf numFmtId="0" fontId="22" fillId="14" borderId="0" xfId="0" applyFont="1" applyFill="1" applyBorder="1" applyAlignment="1">
      <alignment horizontal="left"/>
    </xf>
    <xf numFmtId="41" fontId="21" fillId="14" borderId="28" xfId="0" applyNumberFormat="1" applyFont="1" applyFill="1" applyBorder="1"/>
    <xf numFmtId="41" fontId="21" fillId="14" borderId="25" xfId="0" applyNumberFormat="1" applyFont="1" applyFill="1" applyBorder="1"/>
    <xf numFmtId="41" fontId="21" fillId="14" borderId="40" xfId="1" applyNumberFormat="1" applyFont="1" applyFill="1" applyBorder="1"/>
    <xf numFmtId="0" fontId="21" fillId="14" borderId="0" xfId="0" applyFont="1" applyFill="1" applyBorder="1" applyAlignment="1">
      <alignment horizontal="left" indent="2"/>
    </xf>
    <xf numFmtId="49" fontId="22" fillId="14" borderId="0" xfId="0" applyNumberFormat="1" applyFont="1" applyFill="1" applyBorder="1" applyAlignment="1">
      <alignment horizontal="center"/>
    </xf>
    <xf numFmtId="177" fontId="21" fillId="14" borderId="0" xfId="1" applyNumberFormat="1" applyFont="1" applyFill="1" applyBorder="1"/>
    <xf numFmtId="41" fontId="21" fillId="14" borderId="0" xfId="0" applyNumberFormat="1" applyFont="1" applyFill="1" applyBorder="1" applyAlignment="1"/>
    <xf numFmtId="0" fontId="52" fillId="0" borderId="0" xfId="0" applyFont="1" applyFill="1" applyBorder="1" applyAlignment="1">
      <alignment horizontal="center" vertical="center" wrapText="1"/>
    </xf>
    <xf numFmtId="174" fontId="52" fillId="0" borderId="0" xfId="0" applyNumberFormat="1" applyFont="1" applyFill="1" applyBorder="1" applyAlignment="1">
      <alignment horizontal="center"/>
    </xf>
    <xf numFmtId="41" fontId="52" fillId="0" borderId="0" xfId="0" applyNumberFormat="1" applyFont="1" applyFill="1" applyBorder="1" applyAlignment="1">
      <alignment horizontal="right"/>
    </xf>
    <xf numFmtId="167" fontId="5" fillId="0" borderId="24" xfId="0" applyNumberFormat="1" applyFont="1" applyFill="1" applyBorder="1"/>
    <xf numFmtId="41" fontId="29" fillId="0" borderId="23" xfId="1" applyNumberFormat="1" applyFont="1" applyFill="1" applyBorder="1"/>
    <xf numFmtId="41" fontId="5" fillId="0" borderId="25" xfId="1" applyNumberFormat="1" applyFont="1" applyFill="1" applyBorder="1"/>
    <xf numFmtId="41" fontId="5" fillId="0" borderId="30" xfId="1" applyNumberFormat="1" applyFont="1" applyFill="1" applyBorder="1"/>
    <xf numFmtId="41" fontId="5" fillId="14" borderId="30" xfId="1" applyNumberFormat="1" applyFont="1" applyFill="1" applyBorder="1"/>
    <xf numFmtId="41" fontId="5" fillId="0" borderId="26" xfId="1" applyNumberFormat="1" applyFont="1" applyFill="1" applyBorder="1"/>
    <xf numFmtId="41" fontId="5" fillId="0" borderId="28" xfId="1" applyNumberFormat="1" applyFont="1" applyFill="1" applyBorder="1"/>
    <xf numFmtId="41" fontId="5" fillId="0" borderId="40" xfId="1" applyNumberFormat="1" applyFont="1" applyFill="1" applyBorder="1"/>
    <xf numFmtId="177" fontId="5" fillId="0" borderId="23" xfId="0" applyNumberFormat="1" applyFont="1" applyFill="1" applyBorder="1" applyAlignment="1">
      <alignment horizontal="right"/>
    </xf>
    <xf numFmtId="177" fontId="5" fillId="0" borderId="28"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1" applyNumberFormat="1" applyFont="1" applyFill="1" applyBorder="1" applyAlignment="1">
      <alignment horizontal="right"/>
    </xf>
    <xf numFmtId="180" fontId="5" fillId="0" borderId="0" xfId="0" applyNumberFormat="1" applyFont="1" applyFill="1" applyBorder="1"/>
    <xf numFmtId="0" fontId="119" fillId="0" borderId="0" xfId="482" applyFont="1"/>
    <xf numFmtId="0" fontId="119" fillId="0" borderId="0" xfId="482" applyFont="1" applyFill="1"/>
    <xf numFmtId="177" fontId="5" fillId="10" borderId="0" xfId="0" applyNumberFormat="1" applyFont="1" applyFill="1" applyBorder="1"/>
    <xf numFmtId="177" fontId="5" fillId="0" borderId="0" xfId="0" applyNumberFormat="1" applyFont="1" applyFill="1" applyBorder="1" applyAlignment="1">
      <alignment vertical="top"/>
    </xf>
    <xf numFmtId="4" fontId="5" fillId="0" borderId="0" xfId="0" applyNumberFormat="1" applyFont="1" applyFill="1" applyBorder="1"/>
    <xf numFmtId="177" fontId="5" fillId="0" borderId="0" xfId="0" applyNumberFormat="1" applyFont="1" applyFill="1" applyBorder="1" applyAlignment="1">
      <alignment horizontal="center"/>
    </xf>
    <xf numFmtId="0" fontId="5" fillId="0" borderId="0" xfId="14" applyFont="1" applyFill="1" applyBorder="1"/>
    <xf numFmtId="0" fontId="5" fillId="0" borderId="0" xfId="14" applyFont="1" applyFill="1" applyBorder="1" applyAlignment="1">
      <alignment horizontal="center"/>
    </xf>
    <xf numFmtId="0" fontId="29" fillId="0" borderId="30" xfId="14" applyFont="1" applyFill="1" applyBorder="1"/>
    <xf numFmtId="178" fontId="5" fillId="0" borderId="0" xfId="0" applyNumberFormat="1" applyFont="1" applyFill="1" applyBorder="1" applyAlignment="1">
      <alignment horizontal="center"/>
    </xf>
    <xf numFmtId="0" fontId="5" fillId="0" borderId="0" xfId="0" applyFont="1" applyFill="1" applyBorder="1" applyAlignment="1"/>
    <xf numFmtId="0" fontId="5" fillId="0" borderId="0" xfId="0" applyFont="1" applyFill="1" applyAlignment="1">
      <alignment vertical="top"/>
    </xf>
    <xf numFmtId="167" fontId="5" fillId="0" borderId="0" xfId="14" applyNumberFormat="1" applyFont="1" applyFill="1" applyBorder="1" applyAlignment="1">
      <alignment horizontal="center"/>
    </xf>
    <xf numFmtId="0" fontId="5" fillId="0" borderId="30" xfId="322" applyFont="1" applyBorder="1" applyAlignment="1"/>
    <xf numFmtId="0" fontId="5" fillId="47" borderId="30" xfId="322" applyFont="1" applyFill="1" applyBorder="1" applyAlignment="1">
      <alignment horizontal="left"/>
    </xf>
    <xf numFmtId="0" fontId="5" fillId="0" borderId="30" xfId="322" applyFont="1" applyFill="1" applyBorder="1" applyAlignment="1"/>
    <xf numFmtId="0" fontId="5" fillId="0" borderId="30" xfId="322" applyFont="1" applyFill="1" applyBorder="1" applyAlignment="1">
      <alignment horizontal="left"/>
    </xf>
    <xf numFmtId="177" fontId="5" fillId="0" borderId="0" xfId="0" quotePrefix="1" applyNumberFormat="1" applyFont="1" applyFill="1" applyBorder="1"/>
    <xf numFmtId="0" fontId="119" fillId="0" borderId="0" xfId="700" applyFont="1" applyFill="1" applyBorder="1" applyAlignment="1">
      <alignment horizontal="left" indent="2" shrinkToFit="1"/>
    </xf>
    <xf numFmtId="0" fontId="119" fillId="47" borderId="0" xfId="700" applyFont="1" applyFill="1" applyBorder="1" applyAlignment="1">
      <alignment horizontal="left" indent="2" shrinkToFit="1"/>
    </xf>
    <xf numFmtId="0" fontId="35" fillId="0" borderId="30" xfId="0" applyFont="1" applyFill="1" applyBorder="1"/>
    <xf numFmtId="0" fontId="5" fillId="10" borderId="0" xfId="0" applyFont="1" applyFill="1" applyBorder="1"/>
    <xf numFmtId="0" fontId="5" fillId="10" borderId="0" xfId="0" applyFont="1" applyFill="1" applyBorder="1" applyAlignment="1">
      <alignment horizontal="center"/>
    </xf>
    <xf numFmtId="0" fontId="29" fillId="10" borderId="30" xfId="0" applyFont="1" applyFill="1" applyBorder="1"/>
    <xf numFmtId="43" fontId="5" fillId="10" borderId="0" xfId="0" applyNumberFormat="1" applyFont="1" applyFill="1" applyBorder="1"/>
    <xf numFmtId="0" fontId="24" fillId="0" borderId="40" xfId="0" applyFont="1" applyFill="1" applyBorder="1" applyAlignment="1"/>
    <xf numFmtId="174" fontId="22" fillId="14" borderId="0" xfId="0" applyNumberFormat="1" applyFont="1" applyFill="1" applyBorder="1" applyAlignment="1">
      <alignment horizontal="center"/>
    </xf>
    <xf numFmtId="174" fontId="23" fillId="14" borderId="0" xfId="0" applyNumberFormat="1" applyFont="1" applyFill="1" applyBorder="1" applyAlignment="1">
      <alignment horizontal="right"/>
    </xf>
    <xf numFmtId="41" fontId="21" fillId="14" borderId="0" xfId="1" applyNumberFormat="1" applyFont="1" applyFill="1" applyBorder="1" applyAlignment="1">
      <alignment horizontal="right"/>
    </xf>
    <xf numFmtId="0" fontId="0" fillId="0" borderId="0" xfId="0" applyFill="1" applyAlignment="1">
      <alignment vertical="top" wrapText="1"/>
    </xf>
    <xf numFmtId="0" fontId="0" fillId="11" borderId="0" xfId="0" applyFill="1" applyAlignment="1">
      <alignment vertical="top" wrapText="1"/>
    </xf>
    <xf numFmtId="0" fontId="0" fillId="17" borderId="0" xfId="0" applyFill="1" applyAlignment="1">
      <alignment vertical="top" wrapText="1"/>
    </xf>
    <xf numFmtId="37" fontId="23" fillId="17" borderId="0" xfId="0" applyNumberFormat="1" applyFont="1" applyFill="1" applyBorder="1" applyAlignment="1">
      <alignment horizontal="right"/>
    </xf>
    <xf numFmtId="41" fontId="22" fillId="14" borderId="0" xfId="0" applyNumberFormat="1" applyFont="1" applyFill="1" applyBorder="1"/>
    <xf numFmtId="177" fontId="29" fillId="0" borderId="0" xfId="0" applyNumberFormat="1" applyFont="1" applyFill="1" applyBorder="1" applyAlignment="1">
      <alignment horizontal="center"/>
    </xf>
    <xf numFmtId="37" fontId="21" fillId="14" borderId="0" xfId="1" applyNumberFormat="1" applyFont="1" applyFill="1" applyBorder="1"/>
    <xf numFmtId="41" fontId="21" fillId="17" borderId="25" xfId="1" applyNumberFormat="1" applyFont="1" applyFill="1" applyBorder="1"/>
    <xf numFmtId="41" fontId="21" fillId="17" borderId="30" xfId="1" applyNumberFormat="1" applyFont="1" applyFill="1" applyBorder="1"/>
    <xf numFmtId="37" fontId="23" fillId="16" borderId="0" xfId="0" applyNumberFormat="1" applyFont="1" applyFill="1" applyBorder="1" applyAlignment="1">
      <alignment horizontal="right"/>
    </xf>
    <xf numFmtId="3" fontId="27" fillId="17" borderId="0" xfId="0" applyNumberFormat="1" applyFont="1" applyFill="1" applyBorder="1"/>
    <xf numFmtId="41" fontId="22" fillId="17" borderId="15" xfId="1" applyNumberFormat="1" applyFont="1" applyFill="1" applyBorder="1"/>
    <xf numFmtId="37" fontId="32" fillId="17" borderId="0" xfId="0" applyNumberFormat="1" applyFont="1" applyFill="1" applyBorder="1" applyAlignment="1">
      <alignment horizontal="right"/>
    </xf>
    <xf numFmtId="0" fontId="21" fillId="14" borderId="0" xfId="0" applyFont="1" applyFill="1" applyBorder="1" applyAlignment="1">
      <alignment wrapText="1"/>
    </xf>
    <xf numFmtId="41" fontId="22" fillId="14" borderId="24" xfId="1" applyNumberFormat="1" applyFont="1" applyFill="1" applyBorder="1" applyAlignment="1"/>
    <xf numFmtId="41" fontId="21" fillId="14" borderId="0" xfId="1" applyNumberFormat="1" applyFont="1" applyFill="1" applyBorder="1" applyAlignment="1"/>
    <xf numFmtId="0" fontId="21" fillId="17" borderId="0" xfId="0" applyFont="1" applyFill="1" applyBorder="1" applyAlignment="1">
      <alignment horizontal="center"/>
    </xf>
    <xf numFmtId="174" fontId="21" fillId="17" borderId="0" xfId="0" applyNumberFormat="1" applyFont="1" applyFill="1" applyBorder="1"/>
    <xf numFmtId="0" fontId="22" fillId="17" borderId="0" xfId="0" applyFont="1" applyFill="1" applyBorder="1" applyAlignment="1">
      <alignment horizontal="center" vertical="center" wrapText="1"/>
    </xf>
    <xf numFmtId="168" fontId="22" fillId="17" borderId="0" xfId="1" applyNumberFormat="1" applyFont="1" applyFill="1" applyBorder="1"/>
    <xf numFmtId="174" fontId="22" fillId="17" borderId="0" xfId="0" applyNumberFormat="1" applyFont="1" applyFill="1" applyBorder="1" applyAlignment="1">
      <alignment horizontal="center"/>
    </xf>
    <xf numFmtId="174" fontId="23" fillId="17" borderId="0" xfId="0" applyNumberFormat="1" applyFont="1" applyFill="1" applyBorder="1" applyAlignment="1">
      <alignment horizontal="right"/>
    </xf>
    <xf numFmtId="49" fontId="22" fillId="17" borderId="0" xfId="0" quotePrefix="1" applyNumberFormat="1" applyFont="1" applyFill="1" applyBorder="1"/>
    <xf numFmtId="41" fontId="22" fillId="17" borderId="24" xfId="1" applyNumberFormat="1" applyFont="1" applyFill="1" applyBorder="1" applyAlignment="1"/>
    <xf numFmtId="41" fontId="21" fillId="17" borderId="0" xfId="1" applyNumberFormat="1" applyFont="1" applyFill="1" applyBorder="1" applyAlignment="1"/>
    <xf numFmtId="41" fontId="22" fillId="17" borderId="23" xfId="1" applyNumberFormat="1" applyFont="1" applyFill="1" applyBorder="1"/>
    <xf numFmtId="41" fontId="21" fillId="17" borderId="26" xfId="1" applyNumberFormat="1" applyFont="1" applyFill="1" applyBorder="1"/>
    <xf numFmtId="41" fontId="21" fillId="17" borderId="40" xfId="1" applyNumberFormat="1" applyFont="1" applyFill="1" applyBorder="1"/>
    <xf numFmtId="167" fontId="114" fillId="0" borderId="0" xfId="0" applyNumberFormat="1" applyFont="1" applyFill="1" applyBorder="1"/>
    <xf numFmtId="174" fontId="21" fillId="0" borderId="0" xfId="0" applyNumberFormat="1" applyFont="1" applyBorder="1" applyAlignment="1">
      <alignment horizontal="center"/>
    </xf>
    <xf numFmtId="174" fontId="21" fillId="0" borderId="0" xfId="0" applyNumberFormat="1" applyFont="1" applyBorder="1" applyAlignment="1">
      <alignment horizontal="center"/>
    </xf>
    <xf numFmtId="49" fontId="22" fillId="0" borderId="0" xfId="0" applyNumberFormat="1" applyFont="1" applyFill="1" applyBorder="1" applyAlignment="1">
      <alignment horizontal="center"/>
    </xf>
    <xf numFmtId="0" fontId="12" fillId="0" borderId="30" xfId="0" applyFont="1" applyBorder="1"/>
    <xf numFmtId="0" fontId="19" fillId="0" borderId="30" xfId="0" applyFont="1" applyBorder="1"/>
    <xf numFmtId="3" fontId="22" fillId="0" borderId="0" xfId="0" applyNumberFormat="1" applyFont="1" applyAlignment="1">
      <alignment horizontal="center"/>
    </xf>
    <xf numFmtId="0" fontId="22" fillId="5" borderId="0" xfId="0" applyNumberFormat="1" applyFont="1" applyFill="1" applyBorder="1" applyAlignment="1">
      <alignment horizontal="center"/>
    </xf>
    <xf numFmtId="41" fontId="21" fillId="15" borderId="0" xfId="1" applyNumberFormat="1" applyFont="1" applyFill="1" applyBorder="1" applyAlignment="1">
      <alignment horizontal="right"/>
    </xf>
    <xf numFmtId="41" fontId="22" fillId="5" borderId="0" xfId="1" applyNumberFormat="1" applyFont="1" applyFill="1" applyBorder="1"/>
    <xf numFmtId="41" fontId="22" fillId="5" borderId="0" xfId="1" applyNumberFormat="1" applyFont="1" applyFill="1" applyBorder="1" applyProtection="1"/>
    <xf numFmtId="169" fontId="15" fillId="0" borderId="0" xfId="17" applyFont="1" applyBorder="1"/>
    <xf numFmtId="3" fontId="22" fillId="4" borderId="156" xfId="0" applyNumberFormat="1" applyFont="1" applyFill="1" applyBorder="1" applyAlignment="1">
      <alignment horizontal="center"/>
    </xf>
    <xf numFmtId="41" fontId="21" fillId="0" borderId="31" xfId="0" applyNumberFormat="1" applyFont="1" applyBorder="1"/>
    <xf numFmtId="41" fontId="21" fillId="5" borderId="31" xfId="0" applyNumberFormat="1" applyFont="1" applyFill="1" applyBorder="1"/>
    <xf numFmtId="41" fontId="24" fillId="18" borderId="162" xfId="0" applyNumberFormat="1" applyFont="1" applyFill="1" applyBorder="1"/>
    <xf numFmtId="3" fontId="22" fillId="4" borderId="30" xfId="1" applyNumberFormat="1" applyFont="1" applyFill="1" applyBorder="1" applyAlignment="1">
      <alignment horizontal="center"/>
    </xf>
    <xf numFmtId="3" fontId="22" fillId="4" borderId="159" xfId="1" applyNumberFormat="1" applyFont="1" applyFill="1" applyBorder="1" applyAlignment="1">
      <alignment horizontal="center"/>
    </xf>
    <xf numFmtId="3" fontId="22" fillId="0" borderId="30" xfId="1" applyNumberFormat="1" applyFont="1" applyFill="1" applyBorder="1" applyAlignment="1">
      <alignment horizontal="center"/>
    </xf>
    <xf numFmtId="41" fontId="24" fillId="18" borderId="25" xfId="2" applyNumberFormat="1" applyFont="1" applyFill="1" applyBorder="1" applyAlignment="1">
      <alignment horizontal="center"/>
    </xf>
    <xf numFmtId="41" fontId="21" fillId="5" borderId="25" xfId="2" applyNumberFormat="1" applyFont="1" applyFill="1" applyBorder="1" applyAlignment="1"/>
    <xf numFmtId="41" fontId="21" fillId="5" borderId="30" xfId="2" applyNumberFormat="1" applyFont="1" applyFill="1" applyBorder="1" applyAlignment="1">
      <alignment horizontal="right"/>
    </xf>
    <xf numFmtId="41" fontId="21" fillId="0" borderId="25" xfId="2" applyNumberFormat="1" applyFont="1" applyBorder="1"/>
    <xf numFmtId="41" fontId="24" fillId="20" borderId="30" xfId="2" applyNumberFormat="1" applyFont="1" applyFill="1" applyBorder="1" applyAlignment="1">
      <alignment horizontal="center"/>
    </xf>
    <xf numFmtId="41" fontId="22" fillId="0" borderId="30" xfId="2" applyNumberFormat="1" applyFont="1" applyFill="1" applyBorder="1" applyAlignment="1">
      <alignment horizontal="center"/>
    </xf>
    <xf numFmtId="177" fontId="5" fillId="0" borderId="0" xfId="178" applyNumberFormat="1" applyFont="1" applyFill="1" applyBorder="1"/>
    <xf numFmtId="167" fontId="5" fillId="0" borderId="0" xfId="178" applyNumberFormat="1" applyFont="1" applyFill="1" applyBorder="1" applyAlignment="1">
      <alignment horizontal="center"/>
    </xf>
    <xf numFmtId="0" fontId="5" fillId="0" borderId="30" xfId="178" applyFont="1" applyFill="1" applyBorder="1" applyAlignment="1">
      <alignment horizontal="left"/>
    </xf>
    <xf numFmtId="0" fontId="5" fillId="0" borderId="30" xfId="178" applyFont="1" applyFill="1" applyBorder="1"/>
    <xf numFmtId="0" fontId="5" fillId="0" borderId="46" xfId="178" applyFont="1" applyFill="1" applyBorder="1"/>
    <xf numFmtId="0" fontId="21" fillId="0" borderId="0" xfId="178" applyFont="1" applyFill="1" applyBorder="1"/>
    <xf numFmtId="0" fontId="22" fillId="0" borderId="30" xfId="178" applyFont="1" applyFill="1" applyBorder="1"/>
    <xf numFmtId="0" fontId="29" fillId="0" borderId="30" xfId="178" applyFont="1" applyFill="1" applyBorder="1"/>
    <xf numFmtId="0" fontId="22" fillId="0" borderId="0" xfId="178" applyFont="1" applyFill="1" applyBorder="1"/>
    <xf numFmtId="3" fontId="21" fillId="0" borderId="0" xfId="178" applyNumberFormat="1" applyFont="1" applyFill="1" applyBorder="1"/>
    <xf numFmtId="41" fontId="21" fillId="0" borderId="0" xfId="178" applyNumberFormat="1" applyFont="1" applyFill="1" applyBorder="1"/>
    <xf numFmtId="0" fontId="22" fillId="0" borderId="0" xfId="178" applyFont="1" applyFill="1" applyBorder="1" applyAlignment="1">
      <alignment horizontal="center"/>
    </xf>
    <xf numFmtId="41" fontId="22" fillId="0" borderId="0" xfId="178" applyNumberFormat="1" applyFont="1" applyFill="1" applyBorder="1" applyAlignment="1">
      <alignment horizontal="center"/>
    </xf>
    <xf numFmtId="41" fontId="23" fillId="0" borderId="0" xfId="178" applyNumberFormat="1" applyFont="1" applyFill="1" applyBorder="1" applyAlignment="1">
      <alignment horizontal="right"/>
    </xf>
    <xf numFmtId="0" fontId="23" fillId="0" borderId="0" xfId="178" applyFont="1" applyFill="1" applyBorder="1" applyAlignment="1">
      <alignment horizontal="right"/>
    </xf>
    <xf numFmtId="37" fontId="21" fillId="0" borderId="0" xfId="178" applyNumberFormat="1" applyFont="1" applyFill="1" applyBorder="1"/>
    <xf numFmtId="0" fontId="5" fillId="0" borderId="0" xfId="178" applyFont="1" applyFill="1" applyBorder="1" applyAlignment="1">
      <alignment horizontal="center"/>
    </xf>
    <xf numFmtId="0" fontId="27" fillId="0" borderId="0" xfId="178" applyFont="1" applyFill="1" applyBorder="1"/>
    <xf numFmtId="0" fontId="114" fillId="0" borderId="0" xfId="178" applyFont="1" applyFill="1" applyBorder="1"/>
    <xf numFmtId="49" fontId="21" fillId="22" borderId="0" xfId="178" applyNumberFormat="1" applyFont="1" applyFill="1" applyBorder="1"/>
    <xf numFmtId="0" fontId="23" fillId="22" borderId="0" xfId="178" applyFont="1" applyFill="1" applyBorder="1" applyAlignment="1">
      <alignment horizontal="right"/>
    </xf>
    <xf numFmtId="0" fontId="5" fillId="0" borderId="0" xfId="178" applyFont="1" applyFill="1" applyBorder="1"/>
    <xf numFmtId="0" fontId="5" fillId="0" borderId="48" xfId="178" applyFont="1" applyFill="1" applyBorder="1" applyAlignment="1"/>
    <xf numFmtId="0" fontId="5" fillId="0" borderId="30" xfId="178" applyFont="1" applyFill="1" applyBorder="1" applyAlignment="1"/>
    <xf numFmtId="0" fontId="21" fillId="0" borderId="48" xfId="178" applyFont="1" applyFill="1" applyBorder="1" applyAlignment="1"/>
    <xf numFmtId="0" fontId="21" fillId="0" borderId="30" xfId="178" applyFont="1" applyFill="1" applyBorder="1" applyAlignment="1"/>
    <xf numFmtId="167" fontId="5" fillId="0" borderId="30" xfId="178" applyNumberFormat="1" applyFont="1" applyFill="1" applyBorder="1" applyAlignment="1">
      <alignment horizontal="left"/>
    </xf>
    <xf numFmtId="182" fontId="5" fillId="0" borderId="0" xfId="178" applyNumberFormat="1" applyFont="1" applyFill="1" applyBorder="1"/>
    <xf numFmtId="41" fontId="21" fillId="0" borderId="24" xfId="178" applyNumberFormat="1" applyFont="1" applyFill="1" applyBorder="1"/>
    <xf numFmtId="41" fontId="22" fillId="0" borderId="24" xfId="178" applyNumberFormat="1" applyFont="1" applyFill="1" applyBorder="1"/>
    <xf numFmtId="41" fontId="21" fillId="0" borderId="0" xfId="178" applyNumberFormat="1" applyFont="1" applyFill="1" applyBorder="1" applyAlignment="1"/>
    <xf numFmtId="0" fontId="114" fillId="0" borderId="0" xfId="178" applyFont="1" applyAlignment="1">
      <alignment vertical="top"/>
    </xf>
    <xf numFmtId="0" fontId="23" fillId="0" borderId="0" xfId="178" applyFont="1" applyFill="1" applyBorder="1"/>
    <xf numFmtId="0" fontId="5" fillId="0" borderId="0" xfId="178" applyFont="1" applyAlignment="1">
      <alignment vertical="top" wrapText="1"/>
    </xf>
    <xf numFmtId="0" fontId="5" fillId="0" borderId="0" xfId="178" applyFont="1" applyFill="1" applyAlignment="1">
      <alignment vertical="top" wrapText="1"/>
    </xf>
    <xf numFmtId="0" fontId="114" fillId="0" borderId="0" xfId="178" applyFont="1" applyAlignment="1">
      <alignment vertical="top" wrapText="1"/>
    </xf>
    <xf numFmtId="37" fontId="21" fillId="11" borderId="0" xfId="178" applyNumberFormat="1" applyFont="1" applyFill="1" applyBorder="1"/>
    <xf numFmtId="37" fontId="21" fillId="22" borderId="0" xfId="178" applyNumberFormat="1" applyFont="1" applyFill="1" applyBorder="1"/>
    <xf numFmtId="3" fontId="21" fillId="11" borderId="0" xfId="178" applyNumberFormat="1" applyFont="1" applyFill="1" applyBorder="1"/>
    <xf numFmtId="0" fontId="21" fillId="11" borderId="0" xfId="178" applyFont="1" applyFill="1" applyBorder="1"/>
    <xf numFmtId="41" fontId="23" fillId="11" borderId="0" xfId="178" applyNumberFormat="1" applyFont="1" applyFill="1" applyBorder="1" applyAlignment="1">
      <alignment horizontal="right"/>
    </xf>
    <xf numFmtId="0" fontId="21" fillId="17" borderId="0" xfId="178" applyFont="1" applyFill="1" applyBorder="1"/>
    <xf numFmtId="0" fontId="5" fillId="0" borderId="0" xfId="178" applyFont="1" applyAlignment="1">
      <alignment vertical="top"/>
    </xf>
    <xf numFmtId="49" fontId="22" fillId="0" borderId="0" xfId="178" quotePrefix="1" applyNumberFormat="1" applyFont="1" applyFill="1" applyBorder="1" applyAlignment="1"/>
    <xf numFmtId="15" fontId="22" fillId="0" borderId="0" xfId="178" quotePrefix="1" applyNumberFormat="1" applyFont="1" applyFill="1" applyBorder="1"/>
    <xf numFmtId="0" fontId="22" fillId="0" borderId="0" xfId="178" applyFont="1" applyFill="1" applyBorder="1" applyAlignment="1">
      <alignment horizontal="left"/>
    </xf>
    <xf numFmtId="0" fontId="22" fillId="0" borderId="0" xfId="178" quotePrefix="1" applyFont="1" applyFill="1" applyBorder="1" applyAlignment="1">
      <alignment horizontal="center"/>
    </xf>
    <xf numFmtId="0" fontId="21" fillId="21" borderId="0" xfId="178" applyFont="1" applyFill="1" applyBorder="1"/>
    <xf numFmtId="49" fontId="29" fillId="0" borderId="30" xfId="178" applyNumberFormat="1" applyFont="1" applyFill="1" applyBorder="1" applyAlignment="1">
      <alignment horizontal="left"/>
    </xf>
    <xf numFmtId="167" fontId="29" fillId="0" borderId="30" xfId="178" applyNumberFormat="1" applyFont="1" applyFill="1" applyBorder="1" applyAlignment="1">
      <alignment horizontal="left"/>
    </xf>
    <xf numFmtId="0" fontId="29" fillId="0" borderId="46" xfId="178" applyFont="1" applyFill="1" applyBorder="1"/>
    <xf numFmtId="1" fontId="22" fillId="0" borderId="0" xfId="178" quotePrefix="1" applyNumberFormat="1" applyFont="1" applyFill="1" applyBorder="1" applyAlignment="1">
      <alignment horizontal="center"/>
    </xf>
    <xf numFmtId="0" fontId="29" fillId="0" borderId="0" xfId="178" applyFont="1" applyFill="1" applyBorder="1" applyAlignment="1">
      <alignment horizontal="center"/>
    </xf>
    <xf numFmtId="1" fontId="29" fillId="0" borderId="0" xfId="178" quotePrefix="1" applyNumberFormat="1" applyFont="1" applyFill="1" applyBorder="1" applyAlignment="1">
      <alignment horizontal="center"/>
    </xf>
    <xf numFmtId="177" fontId="29" fillId="0" borderId="0" xfId="178" applyNumberFormat="1" applyFont="1" applyFill="1" applyBorder="1" applyAlignment="1">
      <alignment horizontal="center"/>
    </xf>
    <xf numFmtId="3" fontId="22" fillId="0" borderId="0" xfId="178" applyNumberFormat="1" applyFont="1" applyFill="1" applyBorder="1"/>
    <xf numFmtId="0" fontId="29" fillId="0" borderId="0" xfId="178" applyFont="1" applyFill="1" applyBorder="1"/>
    <xf numFmtId="177" fontId="29" fillId="0" borderId="0" xfId="178" applyNumberFormat="1" applyFont="1" applyFill="1" applyBorder="1"/>
    <xf numFmtId="0" fontId="21" fillId="0" borderId="0" xfId="178" applyFont="1" applyAlignment="1">
      <alignment vertical="top" wrapText="1"/>
    </xf>
    <xf numFmtId="177" fontId="21" fillId="0" borderId="0" xfId="178" applyNumberFormat="1" applyFont="1" applyFill="1" applyBorder="1"/>
    <xf numFmtId="0" fontId="21" fillId="0" borderId="0" xfId="178" quotePrefix="1" applyFont="1" applyFill="1" applyBorder="1" applyAlignment="1">
      <alignment horizontal="justify" vertical="top" wrapText="1"/>
    </xf>
    <xf numFmtId="0" fontId="21" fillId="0" borderId="0" xfId="178" applyFont="1" applyFill="1" applyBorder="1" applyAlignment="1">
      <alignment horizontal="justify" vertical="top" wrapText="1"/>
    </xf>
    <xf numFmtId="0" fontId="114" fillId="0" borderId="0" xfId="178" applyFont="1" applyFill="1" applyAlignment="1">
      <alignment vertical="top"/>
    </xf>
    <xf numFmtId="0" fontId="114" fillId="0" borderId="0" xfId="178" applyFont="1" applyFill="1" applyAlignment="1">
      <alignment vertical="top" wrapText="1"/>
    </xf>
    <xf numFmtId="37" fontId="21" fillId="17" borderId="0" xfId="178" applyNumberFormat="1" applyFont="1" applyFill="1" applyBorder="1"/>
    <xf numFmtId="0" fontId="24" fillId="0" borderId="0" xfId="178" applyFont="1" applyFill="1" applyBorder="1"/>
    <xf numFmtId="177" fontId="29" fillId="0" borderId="15" xfId="178" applyNumberFormat="1" applyFont="1" applyFill="1" applyBorder="1"/>
    <xf numFmtId="3" fontId="21" fillId="17" borderId="0" xfId="178" applyNumberFormat="1" applyFont="1" applyFill="1" applyBorder="1"/>
    <xf numFmtId="0" fontId="5" fillId="14" borderId="20" xfId="178" applyFont="1" applyFill="1" applyBorder="1"/>
    <xf numFmtId="0" fontId="5" fillId="14" borderId="21" xfId="178" applyFont="1" applyFill="1" applyBorder="1"/>
    <xf numFmtId="3" fontId="5" fillId="14" borderId="21" xfId="178" applyNumberFormat="1" applyFont="1" applyFill="1" applyBorder="1"/>
    <xf numFmtId="41" fontId="5" fillId="14" borderId="21" xfId="1" applyNumberFormat="1" applyFont="1" applyFill="1" applyBorder="1"/>
    <xf numFmtId="41" fontId="36" fillId="14" borderId="21" xfId="178" applyNumberFormat="1" applyFont="1" applyFill="1" applyBorder="1" applyAlignment="1">
      <alignment horizontal="right"/>
    </xf>
    <xf numFmtId="0" fontId="5" fillId="14" borderId="22" xfId="178" applyFont="1" applyFill="1" applyBorder="1"/>
    <xf numFmtId="0" fontId="21" fillId="14" borderId="11" xfId="178" applyFont="1" applyFill="1" applyBorder="1"/>
    <xf numFmtId="0" fontId="21" fillId="14" borderId="12" xfId="178" applyFont="1" applyFill="1" applyBorder="1"/>
    <xf numFmtId="0" fontId="5" fillId="0" borderId="0" xfId="178" applyBorder="1"/>
    <xf numFmtId="49" fontId="29" fillId="16" borderId="0" xfId="178" applyNumberFormat="1" applyFont="1" applyFill="1" applyBorder="1"/>
    <xf numFmtId="0" fontId="5" fillId="16" borderId="0" xfId="178" applyFill="1" applyBorder="1"/>
    <xf numFmtId="3" fontId="21" fillId="16" borderId="0" xfId="178" applyNumberFormat="1" applyFont="1" applyFill="1" applyBorder="1"/>
    <xf numFmtId="37" fontId="29" fillId="0" borderId="0" xfId="178" quotePrefix="1" applyNumberFormat="1" applyFont="1" applyFill="1" applyBorder="1"/>
    <xf numFmtId="0" fontId="38" fillId="19" borderId="123" xfId="178" applyFont="1" applyFill="1" applyBorder="1"/>
    <xf numFmtId="0" fontId="38" fillId="0" borderId="0" xfId="178" applyFont="1" applyFill="1" applyBorder="1"/>
    <xf numFmtId="0" fontId="38" fillId="19" borderId="97" xfId="178" applyFont="1" applyFill="1" applyBorder="1"/>
    <xf numFmtId="0" fontId="38" fillId="19" borderId="124" xfId="178" applyFont="1" applyFill="1" applyBorder="1"/>
    <xf numFmtId="3" fontId="21" fillId="0" borderId="63" xfId="178" applyNumberFormat="1" applyFont="1" applyFill="1" applyBorder="1"/>
    <xf numFmtId="0" fontId="38" fillId="19" borderId="123" xfId="178" applyFont="1" applyFill="1" applyBorder="1" applyAlignment="1">
      <alignment horizontal="center"/>
    </xf>
    <xf numFmtId="0" fontId="5" fillId="0" borderId="105" xfId="178" applyBorder="1"/>
    <xf numFmtId="0" fontId="5" fillId="0" borderId="106" xfId="178" applyBorder="1"/>
    <xf numFmtId="183" fontId="5" fillId="0" borderId="107" xfId="178" applyNumberFormat="1" applyBorder="1"/>
    <xf numFmtId="0" fontId="5" fillId="0" borderId="108" xfId="178" applyBorder="1"/>
    <xf numFmtId="0" fontId="5" fillId="0" borderId="109" xfId="178" applyBorder="1"/>
    <xf numFmtId="183" fontId="5" fillId="0" borderId="110" xfId="178" applyNumberFormat="1" applyFill="1" applyBorder="1"/>
    <xf numFmtId="0" fontId="5" fillId="20" borderId="108" xfId="178" applyFont="1" applyFill="1" applyBorder="1"/>
    <xf numFmtId="0" fontId="5" fillId="20" borderId="109" xfId="178" applyFill="1" applyBorder="1"/>
    <xf numFmtId="0" fontId="5" fillId="0" borderId="6" xfId="178" applyBorder="1"/>
    <xf numFmtId="0" fontId="5" fillId="0" borderId="7" xfId="178" applyBorder="1"/>
    <xf numFmtId="183" fontId="43" fillId="0" borderId="63" xfId="178" applyNumberFormat="1" applyFont="1" applyBorder="1"/>
    <xf numFmtId="183" fontId="40" fillId="0" borderId="63" xfId="178" applyNumberFormat="1" applyFont="1" applyBorder="1"/>
    <xf numFmtId="0" fontId="5" fillId="0" borderId="6" xfId="178" applyFont="1" applyBorder="1"/>
    <xf numFmtId="183" fontId="43" fillId="0" borderId="63" xfId="178" applyNumberFormat="1" applyFont="1" applyFill="1" applyBorder="1"/>
    <xf numFmtId="183" fontId="40" fillId="0" borderId="63" xfId="178" applyNumberFormat="1" applyFont="1" applyFill="1" applyBorder="1"/>
    <xf numFmtId="0" fontId="5" fillId="0" borderId="157" xfId="178" applyBorder="1"/>
    <xf numFmtId="0" fontId="5" fillId="0" borderId="158" xfId="178" applyBorder="1"/>
    <xf numFmtId="183" fontId="43" fillId="0" borderId="160" xfId="178" applyNumberFormat="1" applyFont="1" applyBorder="1"/>
    <xf numFmtId="183" fontId="40" fillId="0" borderId="160" xfId="178" applyNumberFormat="1" applyFont="1" applyBorder="1"/>
    <xf numFmtId="0" fontId="5" fillId="14" borderId="11" xfId="178" applyFont="1" applyFill="1" applyBorder="1"/>
    <xf numFmtId="0" fontId="5" fillId="0" borderId="3" xfId="178" applyFont="1" applyFill="1" applyBorder="1"/>
    <xf numFmtId="0" fontId="5" fillId="0" borderId="5" xfId="178" applyFont="1" applyFill="1" applyBorder="1"/>
    <xf numFmtId="3" fontId="5" fillId="0" borderId="0" xfId="178" applyNumberFormat="1" applyFont="1" applyFill="1" applyBorder="1"/>
    <xf numFmtId="183" fontId="5" fillId="0" borderId="60" xfId="178" applyNumberFormat="1" applyFont="1" applyFill="1" applyBorder="1"/>
    <xf numFmtId="0" fontId="5" fillId="0" borderId="60" xfId="178" applyFont="1" applyFill="1" applyBorder="1"/>
    <xf numFmtId="41" fontId="36" fillId="0" borderId="0" xfId="178" applyNumberFormat="1" applyFont="1" applyFill="1" applyBorder="1" applyAlignment="1">
      <alignment horizontal="right"/>
    </xf>
    <xf numFmtId="0" fontId="5" fillId="14" borderId="12" xfId="178" applyFont="1" applyFill="1" applyBorder="1"/>
    <xf numFmtId="0" fontId="5" fillId="20" borderId="157" xfId="178" applyFont="1" applyFill="1" applyBorder="1"/>
    <xf numFmtId="0" fontId="5" fillId="20" borderId="158" xfId="178" applyFont="1" applyFill="1" applyBorder="1"/>
    <xf numFmtId="0" fontId="5" fillId="20" borderId="160" xfId="178" applyFont="1" applyFill="1" applyBorder="1"/>
    <xf numFmtId="184" fontId="5" fillId="20" borderId="160" xfId="178" applyNumberFormat="1" applyFont="1" applyFill="1" applyBorder="1"/>
    <xf numFmtId="184" fontId="5" fillId="0" borderId="0" xfId="178" applyNumberFormat="1" applyFont="1" applyFill="1" applyBorder="1"/>
    <xf numFmtId="49" fontId="29" fillId="0" borderId="156" xfId="178" applyNumberFormat="1" applyFont="1" applyFill="1" applyBorder="1" applyAlignment="1"/>
    <xf numFmtId="37" fontId="5" fillId="14" borderId="11" xfId="178" applyNumberFormat="1" applyFont="1" applyFill="1" applyBorder="1"/>
    <xf numFmtId="37" fontId="5" fillId="14" borderId="12" xfId="178" applyNumberFormat="1" applyFont="1" applyFill="1" applyBorder="1"/>
    <xf numFmtId="0" fontId="5" fillId="14" borderId="14" xfId="178" applyFont="1" applyFill="1" applyBorder="1"/>
    <xf numFmtId="0" fontId="5" fillId="14" borderId="15" xfId="178" applyFont="1" applyFill="1" applyBorder="1"/>
    <xf numFmtId="3" fontId="5" fillId="14" borderId="15" xfId="178" applyNumberFormat="1" applyFont="1" applyFill="1" applyBorder="1"/>
    <xf numFmtId="41" fontId="5" fillId="14" borderId="15" xfId="1" applyNumberFormat="1" applyFont="1" applyFill="1" applyBorder="1"/>
    <xf numFmtId="41" fontId="36" fillId="14" borderId="15" xfId="178" applyNumberFormat="1" applyFont="1" applyFill="1" applyBorder="1" applyAlignment="1">
      <alignment horizontal="right"/>
    </xf>
    <xf numFmtId="0" fontId="5" fillId="14" borderId="16" xfId="178" applyFont="1" applyFill="1" applyBorder="1"/>
    <xf numFmtId="0" fontId="5" fillId="0" borderId="105" xfId="178" applyFont="1" applyBorder="1"/>
    <xf numFmtId="0" fontId="5" fillId="0" borderId="108" xfId="178" applyFont="1" applyBorder="1"/>
    <xf numFmtId="0" fontId="23" fillId="17" borderId="0" xfId="178" applyFont="1" applyFill="1" applyBorder="1"/>
    <xf numFmtId="0" fontId="22" fillId="17" borderId="0" xfId="178" applyFont="1" applyFill="1" applyBorder="1"/>
    <xf numFmtId="41" fontId="21" fillId="17" borderId="0" xfId="178" applyNumberFormat="1" applyFont="1" applyFill="1" applyBorder="1"/>
    <xf numFmtId="0" fontId="115" fillId="0" borderId="0" xfId="178" applyFont="1" applyAlignment="1">
      <alignment vertical="top"/>
    </xf>
    <xf numFmtId="0" fontId="115" fillId="0" borderId="0" xfId="178" applyFont="1" applyAlignment="1">
      <alignment vertical="top" wrapText="1"/>
    </xf>
    <xf numFmtId="0" fontId="115" fillId="0" borderId="0" xfId="178" applyFont="1" applyFill="1" applyAlignment="1">
      <alignment vertical="top" wrapText="1"/>
    </xf>
    <xf numFmtId="0" fontId="21" fillId="0" borderId="0" xfId="178" applyFont="1" applyFill="1" applyAlignment="1">
      <alignment vertical="top" wrapText="1"/>
    </xf>
    <xf numFmtId="0" fontId="44" fillId="0" borderId="0" xfId="178" applyFont="1" applyFill="1" applyBorder="1" applyAlignment="1">
      <alignment horizontal="left"/>
    </xf>
    <xf numFmtId="177" fontId="22" fillId="0" borderId="0" xfId="178" applyNumberFormat="1" applyFont="1" applyFill="1" applyBorder="1" applyAlignment="1">
      <alignment horizontal="center"/>
    </xf>
    <xf numFmtId="177" fontId="114" fillId="0" borderId="0" xfId="178" applyNumberFormat="1" applyFont="1" applyFill="1" applyBorder="1"/>
    <xf numFmtId="41" fontId="22" fillId="0" borderId="24" xfId="178" applyNumberFormat="1" applyFont="1" applyFill="1" applyBorder="1" applyAlignment="1">
      <alignment horizontal="right"/>
    </xf>
    <xf numFmtId="41" fontId="22" fillId="0" borderId="0" xfId="178" quotePrefix="1" applyNumberFormat="1" applyFont="1" applyFill="1" applyBorder="1" applyAlignment="1">
      <alignment horizontal="center"/>
    </xf>
    <xf numFmtId="37" fontId="21" fillId="0" borderId="0" xfId="178" quotePrefix="1" applyNumberFormat="1" applyFont="1" applyFill="1" applyBorder="1"/>
    <xf numFmtId="9" fontId="21" fillId="0" borderId="0" xfId="178" applyNumberFormat="1" applyFont="1" applyFill="1" applyBorder="1"/>
    <xf numFmtId="10" fontId="21" fillId="0" borderId="0" xfId="178" applyNumberFormat="1" applyFont="1" applyFill="1" applyBorder="1"/>
    <xf numFmtId="10" fontId="22" fillId="0" borderId="24" xfId="178" applyNumberFormat="1" applyFont="1" applyFill="1" applyBorder="1" applyAlignment="1">
      <alignment horizontal="right"/>
    </xf>
    <xf numFmtId="41" fontId="21" fillId="0" borderId="24" xfId="178" applyNumberFormat="1" applyFont="1" applyFill="1" applyBorder="1" applyAlignment="1">
      <alignment horizontal="right"/>
    </xf>
    <xf numFmtId="10" fontId="5" fillId="0" borderId="24" xfId="178" applyNumberFormat="1" applyFont="1" applyFill="1" applyBorder="1"/>
    <xf numFmtId="167" fontId="21" fillId="0" borderId="0" xfId="178" applyNumberFormat="1" applyFont="1" applyFill="1" applyBorder="1"/>
    <xf numFmtId="169" fontId="5" fillId="0" borderId="0" xfId="178" applyNumberFormat="1" applyFont="1" applyFill="1"/>
    <xf numFmtId="0" fontId="5" fillId="0" borderId="0" xfId="178" applyFont="1" applyFill="1"/>
    <xf numFmtId="169" fontId="29" fillId="0" borderId="0" xfId="178" applyNumberFormat="1" applyFont="1" applyFill="1" applyAlignment="1">
      <alignment horizontal="center"/>
    </xf>
    <xf numFmtId="0" fontId="29" fillId="0" borderId="0" xfId="178" quotePrefix="1" applyFont="1" applyBorder="1" applyAlignment="1">
      <alignment horizontal="center"/>
    </xf>
    <xf numFmtId="0" fontId="29" fillId="0" borderId="0" xfId="178" applyFont="1" applyBorder="1"/>
    <xf numFmtId="0" fontId="5" fillId="0" borderId="0" xfId="178" applyFont="1" applyBorder="1"/>
    <xf numFmtId="3" fontId="29" fillId="0" borderId="0" xfId="178" applyNumberFormat="1" applyFont="1" applyFill="1" applyBorder="1" applyAlignment="1">
      <alignment horizontal="center"/>
    </xf>
    <xf numFmtId="3" fontId="5" fillId="0" borderId="0" xfId="178" applyNumberFormat="1" applyFont="1" applyBorder="1"/>
    <xf numFmtId="0" fontId="5" fillId="0" borderId="0" xfId="178" applyFont="1"/>
    <xf numFmtId="37" fontId="29" fillId="0" borderId="0" xfId="178" quotePrefix="1" applyNumberFormat="1" applyFont="1" applyFill="1" applyBorder="1" applyAlignment="1">
      <alignment horizontal="center"/>
    </xf>
    <xf numFmtId="3" fontId="29" fillId="0" borderId="0" xfId="178" applyNumberFormat="1" applyFont="1" applyBorder="1" applyAlignment="1">
      <alignment horizontal="center"/>
    </xf>
    <xf numFmtId="0" fontId="35" fillId="0" borderId="0" xfId="178" applyFont="1" applyFill="1" applyBorder="1"/>
    <xf numFmtId="0" fontId="29" fillId="0" borderId="0" xfId="178" quotePrefix="1" applyFont="1" applyFill="1" applyBorder="1" applyAlignment="1">
      <alignment horizontal="center"/>
    </xf>
    <xf numFmtId="0" fontId="36" fillId="0" borderId="0" xfId="178" applyFont="1" applyFill="1"/>
    <xf numFmtId="0" fontId="29" fillId="0" borderId="3" xfId="178" applyFont="1" applyFill="1" applyBorder="1"/>
    <xf numFmtId="0" fontId="5" fillId="0" borderId="44" xfId="178" applyFont="1" applyFill="1" applyBorder="1"/>
    <xf numFmtId="0" fontId="29" fillId="0" borderId="18" xfId="178" applyFont="1" applyFill="1" applyBorder="1" applyAlignment="1">
      <alignment horizontal="center"/>
    </xf>
    <xf numFmtId="3" fontId="29" fillId="0" borderId="4" xfId="178" applyNumberFormat="1" applyFont="1" applyFill="1" applyBorder="1" applyAlignment="1">
      <alignment horizontal="center"/>
    </xf>
    <xf numFmtId="16" fontId="29" fillId="0" borderId="18" xfId="178" quotePrefix="1" applyNumberFormat="1" applyFont="1" applyFill="1" applyBorder="1" applyAlignment="1">
      <alignment horizontal="center"/>
    </xf>
    <xf numFmtId="169" fontId="114" fillId="0" borderId="0" xfId="178" applyNumberFormat="1" applyFont="1" applyFill="1"/>
    <xf numFmtId="0" fontId="5" fillId="0" borderId="0" xfId="178" applyFont="1" applyFill="1" applyAlignment="1">
      <alignment vertical="top"/>
    </xf>
    <xf numFmtId="0" fontId="29" fillId="0" borderId="30" xfId="178" applyFont="1" applyFill="1" applyBorder="1" applyAlignment="1">
      <alignment horizontal="center"/>
    </xf>
    <xf numFmtId="3" fontId="29" fillId="0" borderId="30" xfId="178" applyNumberFormat="1" applyFont="1" applyFill="1" applyBorder="1" applyAlignment="1">
      <alignment horizontal="center"/>
    </xf>
    <xf numFmtId="0" fontId="29" fillId="0" borderId="34" xfId="178" applyFont="1" applyFill="1" applyBorder="1" applyAlignment="1">
      <alignment horizontal="center"/>
    </xf>
    <xf numFmtId="0" fontId="5" fillId="0" borderId="157" xfId="178" applyFont="1" applyFill="1" applyBorder="1"/>
    <xf numFmtId="0" fontId="5" fillId="0" borderId="161" xfId="178" applyFont="1" applyFill="1" applyBorder="1"/>
    <xf numFmtId="0" fontId="29" fillId="0" borderId="159" xfId="178" applyFont="1" applyFill="1" applyBorder="1" applyAlignment="1">
      <alignment horizontal="center"/>
    </xf>
    <xf numFmtId="3" fontId="29" fillId="0" borderId="156" xfId="178" applyNumberFormat="1" applyFont="1" applyFill="1" applyBorder="1" applyAlignment="1">
      <alignment horizontal="center"/>
    </xf>
    <xf numFmtId="3" fontId="29" fillId="0" borderId="159" xfId="178" applyNumberFormat="1" applyFont="1" applyFill="1" applyBorder="1" applyAlignment="1">
      <alignment horizontal="center"/>
    </xf>
    <xf numFmtId="3" fontId="29" fillId="0" borderId="156" xfId="1" applyNumberFormat="1" applyFont="1" applyFill="1" applyBorder="1" applyAlignment="1">
      <alignment horizontal="center"/>
    </xf>
    <xf numFmtId="168" fontId="29" fillId="0" borderId="159" xfId="1" applyNumberFormat="1" applyFont="1" applyFill="1" applyBorder="1" applyAlignment="1">
      <alignment horizontal="center"/>
    </xf>
    <xf numFmtId="0" fontId="29" fillId="0" borderId="163" xfId="178" applyFont="1" applyFill="1" applyBorder="1" applyAlignment="1">
      <alignment horizontal="center"/>
    </xf>
    <xf numFmtId="0" fontId="29" fillId="0" borderId="0" xfId="178" applyFont="1" applyFill="1" applyAlignment="1">
      <alignment horizontal="center"/>
    </xf>
    <xf numFmtId="1" fontId="29" fillId="0" borderId="18" xfId="178" quotePrefix="1" applyNumberFormat="1" applyFont="1" applyFill="1" applyBorder="1" applyAlignment="1">
      <alignment horizontal="center"/>
    </xf>
    <xf numFmtId="10" fontId="29" fillId="0" borderId="18" xfId="178" quotePrefix="1" applyNumberFormat="1" applyFont="1" applyFill="1" applyBorder="1" applyAlignment="1">
      <alignment horizontal="center"/>
    </xf>
    <xf numFmtId="0" fontId="29" fillId="0" borderId="19" xfId="178" applyFont="1" applyFill="1" applyBorder="1" applyAlignment="1">
      <alignment horizontal="center"/>
    </xf>
    <xf numFmtId="0" fontId="5" fillId="0" borderId="0" xfId="178" applyFont="1" applyFill="1" applyAlignment="1"/>
    <xf numFmtId="0" fontId="5" fillId="0" borderId="6" xfId="178" applyFont="1" applyFill="1" applyBorder="1"/>
    <xf numFmtId="1" fontId="5" fillId="0" borderId="30" xfId="178" applyNumberFormat="1" applyFont="1" applyFill="1" applyBorder="1" applyAlignment="1">
      <alignment horizontal="center"/>
    </xf>
    <xf numFmtId="10" fontId="29" fillId="0" borderId="30" xfId="178" applyNumberFormat="1" applyFont="1" applyFill="1" applyBorder="1" applyAlignment="1">
      <alignment horizontal="center"/>
    </xf>
    <xf numFmtId="0" fontId="5" fillId="0" borderId="34" xfId="178" applyFont="1" applyFill="1" applyBorder="1"/>
    <xf numFmtId="0" fontId="29" fillId="0" borderId="6" xfId="178" applyFont="1" applyFill="1" applyBorder="1"/>
    <xf numFmtId="49" fontId="29" fillId="0" borderId="0" xfId="178" quotePrefix="1" applyNumberFormat="1" applyFont="1" applyFill="1" applyBorder="1"/>
    <xf numFmtId="10" fontId="5" fillId="0" borderId="0" xfId="178" applyNumberFormat="1" applyFont="1" applyFill="1" applyBorder="1" applyAlignment="1">
      <alignment horizontal="center"/>
    </xf>
    <xf numFmtId="41" fontId="5" fillId="0" borderId="30" xfId="178" applyNumberFormat="1" applyFont="1" applyFill="1" applyBorder="1"/>
    <xf numFmtId="41" fontId="5" fillId="0" borderId="48" xfId="178" applyNumberFormat="1" applyFont="1" applyFill="1" applyBorder="1"/>
    <xf numFmtId="41" fontId="5" fillId="0" borderId="34" xfId="178" applyNumberFormat="1" applyFont="1" applyFill="1" applyBorder="1"/>
    <xf numFmtId="41" fontId="5" fillId="0" borderId="30" xfId="178" applyNumberFormat="1" applyFont="1" applyFill="1" applyBorder="1" applyAlignment="1">
      <alignment horizontal="center"/>
    </xf>
    <xf numFmtId="41" fontId="5" fillId="0" borderId="30" xfId="2" applyNumberFormat="1" applyFont="1" applyFill="1" applyBorder="1" applyAlignment="1">
      <alignment horizontal="center"/>
    </xf>
    <xf numFmtId="41" fontId="5" fillId="0" borderId="0" xfId="178" applyNumberFormat="1" applyFont="1" applyFill="1" applyAlignment="1"/>
    <xf numFmtId="0" fontId="5" fillId="20" borderId="6" xfId="178" applyFont="1" applyFill="1" applyBorder="1"/>
    <xf numFmtId="0" fontId="5" fillId="20" borderId="46" xfId="178" applyFont="1" applyFill="1" applyBorder="1"/>
    <xf numFmtId="1" fontId="5" fillId="20" borderId="30" xfId="178" applyNumberFormat="1" applyFont="1" applyFill="1" applyBorder="1" applyAlignment="1">
      <alignment horizontal="center"/>
    </xf>
    <xf numFmtId="10" fontId="5" fillId="20" borderId="0" xfId="178" applyNumberFormat="1" applyFont="1" applyFill="1" applyBorder="1" applyAlignment="1">
      <alignment horizontal="center"/>
    </xf>
    <xf numFmtId="41" fontId="5" fillId="20" borderId="30" xfId="178" applyNumberFormat="1" applyFont="1" applyFill="1" applyBorder="1" applyAlignment="1">
      <alignment horizontal="center"/>
    </xf>
    <xf numFmtId="41" fontId="5" fillId="20" borderId="30" xfId="2" applyNumberFormat="1" applyFont="1" applyFill="1" applyBorder="1" applyAlignment="1">
      <alignment horizontal="center"/>
    </xf>
    <xf numFmtId="41" fontId="5" fillId="20" borderId="30" xfId="2" applyNumberFormat="1" applyFont="1" applyFill="1" applyBorder="1"/>
    <xf numFmtId="41" fontId="5" fillId="20" borderId="34" xfId="178" applyNumberFormat="1" applyFont="1" applyFill="1" applyBorder="1"/>
    <xf numFmtId="0" fontId="5" fillId="17" borderId="6" xfId="178" applyFont="1" applyFill="1" applyBorder="1"/>
    <xf numFmtId="0" fontId="5" fillId="17" borderId="46" xfId="178" applyFont="1" applyFill="1" applyBorder="1"/>
    <xf numFmtId="1" fontId="5" fillId="17" borderId="30" xfId="178" applyNumberFormat="1" applyFont="1" applyFill="1" applyBorder="1" applyAlignment="1">
      <alignment horizontal="center"/>
    </xf>
    <xf numFmtId="10" fontId="5" fillId="17" borderId="0" xfId="178" applyNumberFormat="1" applyFont="1" applyFill="1" applyBorder="1" applyAlignment="1">
      <alignment horizontal="center"/>
    </xf>
    <xf numFmtId="41" fontId="5" fillId="17" borderId="30" xfId="178" applyNumberFormat="1" applyFont="1" applyFill="1" applyBorder="1" applyAlignment="1">
      <alignment horizontal="center"/>
    </xf>
    <xf numFmtId="41" fontId="5" fillId="17" borderId="30" xfId="2" applyNumberFormat="1" applyFont="1" applyFill="1" applyBorder="1" applyAlignment="1">
      <alignment horizontal="center"/>
    </xf>
    <xf numFmtId="41" fontId="5" fillId="17" borderId="30" xfId="2" applyNumberFormat="1" applyFont="1" applyFill="1" applyBorder="1"/>
    <xf numFmtId="41" fontId="5" fillId="17" borderId="34" xfId="178" applyNumberFormat="1" applyFont="1" applyFill="1" applyBorder="1"/>
    <xf numFmtId="41" fontId="5" fillId="17" borderId="26" xfId="178" applyNumberFormat="1" applyFont="1" applyFill="1" applyBorder="1" applyAlignment="1"/>
    <xf numFmtId="41" fontId="5" fillId="17" borderId="23" xfId="2" applyNumberFormat="1" applyFont="1" applyFill="1" applyBorder="1" applyAlignment="1"/>
    <xf numFmtId="41" fontId="5" fillId="17" borderId="26" xfId="2" applyNumberFormat="1" applyFont="1" applyFill="1" applyBorder="1"/>
    <xf numFmtId="41" fontId="5" fillId="17" borderId="31" xfId="2" applyNumberFormat="1" applyFont="1" applyFill="1" applyBorder="1"/>
    <xf numFmtId="41" fontId="5" fillId="17" borderId="47" xfId="178" applyNumberFormat="1" applyFont="1" applyFill="1" applyBorder="1"/>
    <xf numFmtId="1" fontId="29" fillId="0" borderId="30" xfId="178" applyNumberFormat="1" applyFont="1" applyFill="1" applyBorder="1" applyAlignment="1">
      <alignment horizontal="center"/>
    </xf>
    <xf numFmtId="10" fontId="29" fillId="0" borderId="0" xfId="178" applyNumberFormat="1" applyFont="1" applyFill="1" applyBorder="1" applyAlignment="1">
      <alignment horizontal="center"/>
    </xf>
    <xf numFmtId="41" fontId="29" fillId="0" borderId="39" xfId="178" applyNumberFormat="1" applyFont="1" applyFill="1" applyBorder="1"/>
    <xf numFmtId="41" fontId="29" fillId="0" borderId="24" xfId="178" applyNumberFormat="1" applyFont="1" applyFill="1" applyBorder="1"/>
    <xf numFmtId="41" fontId="29" fillId="0" borderId="117" xfId="178" applyNumberFormat="1" applyFont="1" applyFill="1" applyBorder="1"/>
    <xf numFmtId="41" fontId="29" fillId="0" borderId="94" xfId="178" applyNumberFormat="1" applyFont="1" applyFill="1" applyBorder="1"/>
    <xf numFmtId="1" fontId="5" fillId="0" borderId="159" xfId="178" applyNumberFormat="1" applyFont="1" applyFill="1" applyBorder="1" applyAlignment="1">
      <alignment horizontal="center"/>
    </xf>
    <xf numFmtId="10" fontId="5" fillId="0" borderId="159" xfId="178" applyNumberFormat="1" applyFont="1" applyFill="1" applyBorder="1" applyAlignment="1">
      <alignment horizontal="center"/>
    </xf>
    <xf numFmtId="169" fontId="5" fillId="0" borderId="159" xfId="178" applyNumberFormat="1" applyFont="1" applyFill="1" applyBorder="1"/>
    <xf numFmtId="41" fontId="54" fillId="0" borderId="159" xfId="178" applyNumberFormat="1" applyFont="1" applyFill="1" applyBorder="1"/>
    <xf numFmtId="41" fontId="54" fillId="0" borderId="162" xfId="178" applyNumberFormat="1" applyFont="1" applyFill="1" applyBorder="1"/>
    <xf numFmtId="41" fontId="54" fillId="0" borderId="163" xfId="178" applyNumberFormat="1" applyFont="1" applyFill="1" applyBorder="1"/>
    <xf numFmtId="0" fontId="29" fillId="17" borderId="0" xfId="178" quotePrefix="1" applyFont="1" applyFill="1" applyBorder="1" applyAlignment="1">
      <alignment horizontal="center"/>
    </xf>
    <xf numFmtId="0" fontId="5" fillId="17" borderId="0" xfId="178" applyFont="1" applyFill="1"/>
    <xf numFmtId="41" fontId="5" fillId="0" borderId="0" xfId="178" applyNumberFormat="1" applyFont="1" applyFill="1"/>
    <xf numFmtId="41" fontId="5" fillId="0" borderId="26" xfId="178" applyNumberFormat="1" applyFont="1" applyFill="1" applyBorder="1" applyAlignment="1"/>
    <xf numFmtId="41" fontId="5" fillId="0" borderId="47" xfId="178" applyNumberFormat="1" applyFont="1" applyFill="1" applyBorder="1"/>
    <xf numFmtId="41" fontId="5" fillId="0" borderId="159" xfId="178" applyNumberFormat="1" applyFont="1" applyFill="1" applyBorder="1"/>
    <xf numFmtId="41" fontId="5" fillId="0" borderId="162" xfId="178" applyNumberFormat="1" applyFont="1" applyFill="1" applyBorder="1"/>
    <xf numFmtId="41" fontId="5" fillId="0" borderId="163" xfId="178" applyNumberFormat="1" applyFont="1" applyFill="1" applyBorder="1"/>
    <xf numFmtId="169" fontId="29" fillId="0" borderId="0" xfId="178" applyNumberFormat="1" applyFont="1" applyFill="1"/>
    <xf numFmtId="0" fontId="29" fillId="16" borderId="0" xfId="178" quotePrefix="1" applyFont="1" applyFill="1" applyBorder="1" applyAlignment="1">
      <alignment horizontal="center"/>
    </xf>
    <xf numFmtId="0" fontId="5" fillId="16" borderId="0" xfId="178" applyFont="1" applyFill="1"/>
    <xf numFmtId="0" fontId="29" fillId="16" borderId="3" xfId="178" applyFont="1" applyFill="1" applyBorder="1"/>
    <xf numFmtId="0" fontId="5" fillId="16" borderId="4" xfId="178" applyFont="1" applyFill="1" applyBorder="1"/>
    <xf numFmtId="0" fontId="29" fillId="16" borderId="4" xfId="178" applyFont="1" applyFill="1" applyBorder="1" applyAlignment="1">
      <alignment horizontal="center"/>
    </xf>
    <xf numFmtId="3" fontId="29" fillId="16" borderId="44" xfId="178" applyNumberFormat="1" applyFont="1" applyFill="1" applyBorder="1" applyAlignment="1">
      <alignment horizontal="center"/>
    </xf>
    <xf numFmtId="16" fontId="29" fillId="16" borderId="18" xfId="178" quotePrefix="1" applyNumberFormat="1" applyFont="1" applyFill="1" applyBorder="1" applyAlignment="1">
      <alignment horizontal="center"/>
    </xf>
    <xf numFmtId="0" fontId="29" fillId="16" borderId="0" xfId="178" applyFont="1" applyFill="1" applyBorder="1" applyAlignment="1">
      <alignment horizontal="center"/>
    </xf>
    <xf numFmtId="3" fontId="29" fillId="16" borderId="46" xfId="178" applyNumberFormat="1" applyFont="1" applyFill="1" applyBorder="1" applyAlignment="1">
      <alignment horizontal="center"/>
    </xf>
    <xf numFmtId="3" fontId="29" fillId="16" borderId="30" xfId="178" applyNumberFormat="1" applyFont="1" applyFill="1" applyBorder="1" applyAlignment="1">
      <alignment horizontal="center"/>
    </xf>
    <xf numFmtId="0" fontId="29" fillId="16" borderId="30" xfId="178" applyFont="1" applyFill="1" applyBorder="1" applyAlignment="1">
      <alignment horizontal="center"/>
    </xf>
    <xf numFmtId="0" fontId="29" fillId="16" borderId="34" xfId="178" applyFont="1" applyFill="1" applyBorder="1" applyAlignment="1">
      <alignment horizontal="center"/>
    </xf>
    <xf numFmtId="0" fontId="5" fillId="16" borderId="157" xfId="178" applyFont="1" applyFill="1" applyBorder="1"/>
    <xf numFmtId="0" fontId="5" fillId="16" borderId="156" xfId="178" applyFont="1" applyFill="1" applyBorder="1"/>
    <xf numFmtId="0" fontId="29" fillId="16" borderId="156" xfId="178" applyFont="1" applyFill="1" applyBorder="1" applyAlignment="1">
      <alignment horizontal="center"/>
    </xf>
    <xf numFmtId="3" fontId="29" fillId="16" borderId="161" xfId="178" applyNumberFormat="1" applyFont="1" applyFill="1" applyBorder="1" applyAlignment="1">
      <alignment horizontal="center"/>
    </xf>
    <xf numFmtId="3" fontId="29" fillId="16" borderId="159" xfId="178" applyNumberFormat="1" applyFont="1" applyFill="1" applyBorder="1" applyAlignment="1">
      <alignment horizontal="center"/>
    </xf>
    <xf numFmtId="3" fontId="29" fillId="16" borderId="156" xfId="1" applyNumberFormat="1" applyFont="1" applyFill="1" applyBorder="1" applyAlignment="1">
      <alignment horizontal="center"/>
    </xf>
    <xf numFmtId="168" fontId="29" fillId="16" borderId="159" xfId="1" applyNumberFormat="1" applyFont="1" applyFill="1" applyBorder="1" applyAlignment="1">
      <alignment horizontal="center"/>
    </xf>
    <xf numFmtId="0" fontId="29" fillId="16" borderId="159" xfId="178" applyFont="1" applyFill="1" applyBorder="1" applyAlignment="1">
      <alignment horizontal="center"/>
    </xf>
    <xf numFmtId="0" fontId="29" fillId="16" borderId="163" xfId="178" applyFont="1" applyFill="1" applyBorder="1" applyAlignment="1">
      <alignment horizontal="center"/>
    </xf>
    <xf numFmtId="0" fontId="5" fillId="16" borderId="3" xfId="178" applyFont="1" applyFill="1" applyBorder="1"/>
    <xf numFmtId="1" fontId="29" fillId="16" borderId="4" xfId="178" quotePrefix="1" applyNumberFormat="1" applyFont="1" applyFill="1" applyBorder="1" applyAlignment="1">
      <alignment horizontal="center"/>
    </xf>
    <xf numFmtId="10" fontId="29" fillId="16" borderId="44" xfId="178" quotePrefix="1" applyNumberFormat="1" applyFont="1" applyFill="1" applyBorder="1" applyAlignment="1">
      <alignment horizontal="center"/>
    </xf>
    <xf numFmtId="0" fontId="29" fillId="16" borderId="18" xfId="178" applyFont="1" applyFill="1" applyBorder="1" applyAlignment="1">
      <alignment horizontal="center"/>
    </xf>
    <xf numFmtId="0" fontId="29" fillId="16" borderId="19" xfId="178" applyFont="1" applyFill="1" applyBorder="1" applyAlignment="1">
      <alignment horizontal="center"/>
    </xf>
    <xf numFmtId="0" fontId="5" fillId="16" borderId="6" xfId="178" applyFont="1" applyFill="1" applyBorder="1"/>
    <xf numFmtId="0" fontId="5" fillId="16" borderId="0" xfId="178" applyFont="1" applyFill="1" applyBorder="1"/>
    <xf numFmtId="1" fontId="5" fillId="16" borderId="0" xfId="178" applyNumberFormat="1" applyFont="1" applyFill="1" applyBorder="1" applyAlignment="1">
      <alignment horizontal="center"/>
    </xf>
    <xf numFmtId="10" fontId="29" fillId="16" borderId="46" xfId="178" applyNumberFormat="1" applyFont="1" applyFill="1" applyBorder="1" applyAlignment="1">
      <alignment horizontal="center"/>
    </xf>
    <xf numFmtId="168" fontId="5" fillId="16" borderId="30" xfId="1" applyNumberFormat="1" applyFont="1" applyFill="1" applyBorder="1"/>
    <xf numFmtId="0" fontId="5" fillId="16" borderId="30" xfId="178" applyFont="1" applyFill="1" applyBorder="1"/>
    <xf numFmtId="0" fontId="5" fillId="16" borderId="34" xfId="178" applyFont="1" applyFill="1" applyBorder="1"/>
    <xf numFmtId="0" fontId="29" fillId="16" borderId="6" xfId="178" applyFont="1" applyFill="1" applyBorder="1"/>
    <xf numFmtId="49" fontId="29" fillId="16" borderId="0" xfId="178" quotePrefix="1" applyNumberFormat="1" applyFont="1" applyFill="1" applyBorder="1"/>
    <xf numFmtId="10" fontId="5" fillId="16" borderId="46" xfId="178" applyNumberFormat="1" applyFont="1" applyFill="1" applyBorder="1" applyAlignment="1">
      <alignment horizontal="center"/>
    </xf>
    <xf numFmtId="41" fontId="5" fillId="16" borderId="30" xfId="178" applyNumberFormat="1" applyFont="1" applyFill="1" applyBorder="1"/>
    <xf numFmtId="41" fontId="5" fillId="16" borderId="0" xfId="2" applyNumberFormat="1" applyFont="1" applyFill="1" applyBorder="1"/>
    <xf numFmtId="41" fontId="5" fillId="16" borderId="48" xfId="178" applyNumberFormat="1" applyFont="1" applyFill="1" applyBorder="1"/>
    <xf numFmtId="41" fontId="5" fillId="16" borderId="34" xfId="178" applyNumberFormat="1" applyFont="1" applyFill="1" applyBorder="1"/>
    <xf numFmtId="41" fontId="5" fillId="16" borderId="30" xfId="178" applyNumberFormat="1" applyFont="1" applyFill="1" applyBorder="1" applyAlignment="1">
      <alignment horizontal="center"/>
    </xf>
    <xf numFmtId="41" fontId="5" fillId="16" borderId="0" xfId="2" applyNumberFormat="1" applyFont="1" applyFill="1" applyBorder="1" applyAlignment="1">
      <alignment horizontal="center"/>
    </xf>
    <xf numFmtId="41" fontId="5" fillId="16" borderId="30" xfId="2" applyNumberFormat="1" applyFont="1" applyFill="1" applyBorder="1"/>
    <xf numFmtId="41" fontId="5" fillId="16" borderId="48" xfId="2" applyNumberFormat="1" applyFont="1" applyFill="1" applyBorder="1"/>
    <xf numFmtId="41" fontId="5" fillId="16" borderId="26" xfId="178" applyNumberFormat="1" applyFont="1" applyFill="1" applyBorder="1" applyAlignment="1"/>
    <xf numFmtId="41" fontId="5" fillId="16" borderId="23" xfId="2" applyNumberFormat="1" applyFont="1" applyFill="1" applyBorder="1" applyAlignment="1"/>
    <xf numFmtId="41" fontId="5" fillId="16" borderId="26" xfId="2" applyNumberFormat="1" applyFont="1" applyFill="1" applyBorder="1"/>
    <xf numFmtId="41" fontId="5" fillId="16" borderId="31" xfId="2" applyNumberFormat="1" applyFont="1" applyFill="1" applyBorder="1"/>
    <xf numFmtId="41" fontId="5" fillId="16" borderId="47" xfId="178" applyNumberFormat="1" applyFont="1" applyFill="1" applyBorder="1"/>
    <xf numFmtId="0" fontId="29" fillId="16" borderId="0" xfId="178" applyFont="1" applyFill="1" applyBorder="1"/>
    <xf numFmtId="1" fontId="29" fillId="16" borderId="0" xfId="178" applyNumberFormat="1" applyFont="1" applyFill="1" applyBorder="1" applyAlignment="1">
      <alignment horizontal="center"/>
    </xf>
    <xf numFmtId="41" fontId="29" fillId="16" borderId="39" xfId="178" applyNumberFormat="1" applyFont="1" applyFill="1" applyBorder="1"/>
    <xf numFmtId="41" fontId="29" fillId="16" borderId="24" xfId="178" applyNumberFormat="1" applyFont="1" applyFill="1" applyBorder="1"/>
    <xf numFmtId="41" fontId="29" fillId="16" borderId="117" xfId="178" applyNumberFormat="1" applyFont="1" applyFill="1" applyBorder="1"/>
    <xf numFmtId="41" fontId="29" fillId="16" borderId="94" xfId="178" applyNumberFormat="1" applyFont="1" applyFill="1" applyBorder="1"/>
    <xf numFmtId="1" fontId="5" fillId="16" borderId="156" xfId="178" applyNumberFormat="1" applyFont="1" applyFill="1" applyBorder="1" applyAlignment="1">
      <alignment horizontal="center"/>
    </xf>
    <xf numFmtId="10" fontId="5" fillId="16" borderId="161" xfId="178" applyNumberFormat="1" applyFont="1" applyFill="1" applyBorder="1" applyAlignment="1">
      <alignment horizontal="center"/>
    </xf>
    <xf numFmtId="41" fontId="5" fillId="16" borderId="159" xfId="178" applyNumberFormat="1" applyFont="1" applyFill="1" applyBorder="1"/>
    <xf numFmtId="41" fontId="5" fillId="16" borderId="162" xfId="178" applyNumberFormat="1" applyFont="1" applyFill="1" applyBorder="1"/>
    <xf numFmtId="41" fontId="5" fillId="16" borderId="163" xfId="178" applyNumberFormat="1" applyFont="1" applyFill="1" applyBorder="1"/>
    <xf numFmtId="41" fontId="5" fillId="0" borderId="0" xfId="178" applyNumberFormat="1" applyFont="1" applyFill="1" applyBorder="1"/>
    <xf numFmtId="41" fontId="29" fillId="0" borderId="0" xfId="178" applyNumberFormat="1" applyFont="1" applyFill="1" applyBorder="1" applyAlignment="1">
      <alignment horizontal="center"/>
    </xf>
    <xf numFmtId="41" fontId="29" fillId="0" borderId="26" xfId="178" applyNumberFormat="1" applyFont="1" applyFill="1" applyBorder="1"/>
    <xf numFmtId="41" fontId="29" fillId="0" borderId="47" xfId="178" applyNumberFormat="1" applyFont="1" applyFill="1" applyBorder="1"/>
    <xf numFmtId="0" fontId="5" fillId="14" borderId="6" xfId="178" applyFont="1" applyFill="1" applyBorder="1"/>
    <xf numFmtId="0" fontId="5" fillId="14" borderId="46" xfId="178" applyFont="1" applyFill="1" applyBorder="1"/>
    <xf numFmtId="1" fontId="5" fillId="14" borderId="30" xfId="178" applyNumberFormat="1" applyFont="1" applyFill="1" applyBorder="1" applyAlignment="1">
      <alignment horizontal="center"/>
    </xf>
    <xf numFmtId="10" fontId="5" fillId="14" borderId="46" xfId="178" applyNumberFormat="1" applyFont="1" applyFill="1" applyBorder="1" applyAlignment="1">
      <alignment horizontal="center"/>
    </xf>
    <xf numFmtId="41" fontId="5" fillId="14" borderId="30" xfId="178" applyNumberFormat="1" applyFont="1" applyFill="1" applyBorder="1" applyAlignment="1">
      <alignment horizontal="center"/>
    </xf>
    <xf numFmtId="41" fontId="5" fillId="14" borderId="0" xfId="2" applyNumberFormat="1" applyFont="1" applyFill="1" applyBorder="1" applyAlignment="1">
      <alignment horizontal="center"/>
    </xf>
    <xf numFmtId="41" fontId="5" fillId="14" borderId="30" xfId="2" applyNumberFormat="1" applyFont="1" applyFill="1" applyBorder="1"/>
    <xf numFmtId="41" fontId="5" fillId="14" borderId="48" xfId="2" applyNumberFormat="1" applyFont="1" applyFill="1" applyBorder="1"/>
    <xf numFmtId="41" fontId="5" fillId="14" borderId="34" xfId="178" applyNumberFormat="1" applyFont="1" applyFill="1" applyBorder="1"/>
    <xf numFmtId="10" fontId="5" fillId="14" borderId="0" xfId="178" applyNumberFormat="1" applyFont="1" applyFill="1" applyBorder="1" applyAlignment="1">
      <alignment horizontal="center"/>
    </xf>
    <xf numFmtId="41" fontId="5" fillId="14" borderId="26" xfId="178" applyNumberFormat="1" applyFont="1" applyFill="1" applyBorder="1" applyAlignment="1"/>
    <xf numFmtId="41" fontId="5" fillId="14" borderId="23" xfId="2" applyNumberFormat="1" applyFont="1" applyFill="1" applyBorder="1" applyAlignment="1"/>
    <xf numFmtId="41" fontId="5" fillId="14" borderId="26" xfId="2" applyNumberFormat="1" applyFont="1" applyFill="1" applyBorder="1"/>
    <xf numFmtId="41" fontId="5" fillId="14" borderId="31" xfId="2" applyNumberFormat="1" applyFont="1" applyFill="1" applyBorder="1"/>
    <xf numFmtId="41" fontId="5" fillId="14" borderId="47" xfId="178" applyNumberFormat="1" applyFont="1" applyFill="1" applyBorder="1"/>
    <xf numFmtId="41" fontId="5" fillId="0" borderId="25" xfId="178" applyNumberFormat="1" applyFont="1" applyFill="1" applyBorder="1"/>
    <xf numFmtId="41" fontId="5" fillId="0" borderId="27" xfId="178" applyNumberFormat="1" applyFont="1" applyFill="1" applyBorder="1"/>
    <xf numFmtId="41" fontId="5" fillId="0" borderId="49" xfId="178" applyNumberFormat="1" applyFont="1" applyFill="1" applyBorder="1"/>
    <xf numFmtId="41" fontId="29" fillId="0" borderId="50" xfId="178" applyNumberFormat="1" applyFont="1" applyFill="1" applyBorder="1"/>
    <xf numFmtId="41" fontId="29" fillId="0" borderId="13" xfId="178" applyNumberFormat="1" applyFont="1" applyFill="1" applyBorder="1"/>
    <xf numFmtId="41" fontId="29" fillId="0" borderId="51" xfId="178" applyNumberFormat="1" applyFont="1" applyFill="1" applyBorder="1"/>
    <xf numFmtId="41" fontId="29" fillId="0" borderId="52" xfId="178" applyNumberFormat="1" applyFont="1" applyFill="1" applyBorder="1"/>
    <xf numFmtId="1" fontId="5" fillId="0" borderId="0" xfId="178" applyNumberFormat="1" applyFont="1" applyFill="1" applyBorder="1" applyAlignment="1">
      <alignment horizontal="center"/>
    </xf>
    <xf numFmtId="169" fontId="5" fillId="0" borderId="0" xfId="178" applyNumberFormat="1" applyFont="1" applyFill="1" applyBorder="1"/>
    <xf numFmtId="3" fontId="29" fillId="0" borderId="159" xfId="1" applyNumberFormat="1" applyFont="1" applyFill="1" applyBorder="1" applyAlignment="1">
      <alignment horizontal="center"/>
    </xf>
    <xf numFmtId="0" fontId="21" fillId="0" borderId="0" xfId="0" applyFont="1" applyFill="1" applyBorder="1" applyAlignment="1">
      <alignment horizontal="justify" vertical="top" wrapText="1"/>
    </xf>
    <xf numFmtId="41" fontId="5" fillId="0" borderId="68" xfId="0" applyNumberFormat="1" applyFont="1" applyBorder="1"/>
    <xf numFmtId="41" fontId="5" fillId="0" borderId="30" xfId="0" applyNumberFormat="1" applyFont="1" applyBorder="1"/>
    <xf numFmtId="182" fontId="21" fillId="14" borderId="30" xfId="0" applyNumberFormat="1" applyFont="1" applyFill="1" applyBorder="1"/>
    <xf numFmtId="182" fontId="21" fillId="0" borderId="30" xfId="0" applyNumberFormat="1" applyFont="1" applyFill="1" applyBorder="1"/>
    <xf numFmtId="182" fontId="22" fillId="0" borderId="39" xfId="0" applyNumberFormat="1" applyFont="1" applyBorder="1"/>
    <xf numFmtId="182" fontId="22" fillId="0" borderId="95" xfId="0" applyNumberFormat="1" applyFont="1" applyBorder="1"/>
    <xf numFmtId="182" fontId="22" fillId="0" borderId="96" xfId="0" applyNumberFormat="1" applyFont="1" applyBorder="1"/>
    <xf numFmtId="182" fontId="21" fillId="0" borderId="36" xfId="0" applyNumberFormat="1" applyFont="1" applyBorder="1"/>
    <xf numFmtId="182" fontId="13" fillId="0" borderId="9" xfId="0" applyNumberFormat="1" applyFont="1" applyBorder="1"/>
    <xf numFmtId="0" fontId="0" fillId="0" borderId="0" xfId="0"/>
    <xf numFmtId="0" fontId="91" fillId="0" borderId="0" xfId="0" applyFont="1"/>
    <xf numFmtId="167" fontId="0" fillId="0" borderId="0" xfId="0" applyNumberFormat="1"/>
    <xf numFmtId="0" fontId="91" fillId="85" borderId="97" xfId="0" applyFont="1" applyFill="1" applyBorder="1" applyAlignment="1">
      <alignment horizontal="center"/>
    </xf>
    <xf numFmtId="0" fontId="91" fillId="85" borderId="128" xfId="0" applyFont="1" applyFill="1" applyBorder="1" applyAlignment="1">
      <alignment horizontal="center"/>
    </xf>
    <xf numFmtId="167" fontId="91" fillId="85" borderId="128" xfId="0" applyNumberFormat="1" applyFont="1" applyFill="1" applyBorder="1" applyAlignment="1">
      <alignment horizontal="center"/>
    </xf>
    <xf numFmtId="167" fontId="91" fillId="85" borderId="124" xfId="0" applyNumberFormat="1" applyFont="1" applyFill="1" applyBorder="1" applyAlignment="1">
      <alignment horizontal="center"/>
    </xf>
    <xf numFmtId="0" fontId="0" fillId="0" borderId="0" xfId="0"/>
    <xf numFmtId="0" fontId="5" fillId="87" borderId="0" xfId="687" applyFont="1" applyFill="1"/>
    <xf numFmtId="0" fontId="0" fillId="87" borderId="0" xfId="0" applyFill="1"/>
    <xf numFmtId="167" fontId="0" fillId="87" borderId="0" xfId="0" applyNumberFormat="1" applyFill="1"/>
    <xf numFmtId="0" fontId="0" fillId="0" borderId="0" xfId="0"/>
    <xf numFmtId="0" fontId="0" fillId="0" borderId="0" xfId="0"/>
    <xf numFmtId="167" fontId="0" fillId="0" borderId="0" xfId="1" applyFont="1"/>
    <xf numFmtId="0" fontId="21" fillId="0" borderId="0" xfId="0" applyFont="1" applyFill="1" applyBorder="1" applyAlignment="1"/>
    <xf numFmtId="0" fontId="0" fillId="0" borderId="0" xfId="0" applyFill="1"/>
    <xf numFmtId="167" fontId="0" fillId="0" borderId="0" xfId="0" applyNumberFormat="1" applyFill="1"/>
    <xf numFmtId="0" fontId="5" fillId="0" borderId="0" xfId="687" applyFont="1" applyFill="1"/>
    <xf numFmtId="41" fontId="21" fillId="86" borderId="30" xfId="1" applyNumberFormat="1" applyFont="1" applyFill="1" applyBorder="1"/>
    <xf numFmtId="41" fontId="21" fillId="86" borderId="0" xfId="1" applyNumberFormat="1" applyFont="1" applyFill="1" applyBorder="1"/>
    <xf numFmtId="0" fontId="119" fillId="11" borderId="0" xfId="0" applyFont="1" applyFill="1" applyBorder="1" applyAlignment="1">
      <alignment horizontal="center"/>
    </xf>
    <xf numFmtId="167" fontId="119" fillId="11" borderId="0" xfId="1" applyFont="1" applyFill="1"/>
    <xf numFmtId="167" fontId="119" fillId="11" borderId="0" xfId="1" applyFont="1" applyFill="1" applyAlignment="1">
      <alignment vertical="top"/>
    </xf>
    <xf numFmtId="0" fontId="119" fillId="88" borderId="0" xfId="0" applyFont="1" applyFill="1" applyBorder="1" applyAlignment="1">
      <alignment horizontal="center"/>
    </xf>
    <xf numFmtId="0" fontId="122" fillId="21" borderId="0" xfId="0" applyFont="1" applyFill="1" applyBorder="1" applyAlignment="1">
      <alignment horizontal="center"/>
    </xf>
    <xf numFmtId="167" fontId="122" fillId="11" borderId="0" xfId="1" applyFont="1" applyFill="1"/>
    <xf numFmtId="167" fontId="119" fillId="0" borderId="0" xfId="1" applyFont="1"/>
    <xf numFmtId="0" fontId="119" fillId="0" borderId="0" xfId="0" applyFont="1" applyAlignment="1">
      <alignment horizontal="center"/>
    </xf>
    <xf numFmtId="0" fontId="119" fillId="11" borderId="0" xfId="0" applyFont="1" applyFill="1" applyAlignment="1">
      <alignment horizontal="center"/>
    </xf>
    <xf numFmtId="167" fontId="119" fillId="86" borderId="0" xfId="1" applyFont="1" applyFill="1"/>
    <xf numFmtId="0" fontId="119" fillId="14" borderId="0" xfId="0" applyFont="1" applyFill="1" applyBorder="1" applyAlignment="1">
      <alignment horizontal="center"/>
    </xf>
    <xf numFmtId="167" fontId="119" fillId="14" borderId="0" xfId="1" applyFont="1" applyFill="1"/>
    <xf numFmtId="167" fontId="0" fillId="87" borderId="0" xfId="1" applyFont="1" applyFill="1" applyAlignment="1">
      <alignment horizontal="right"/>
    </xf>
    <xf numFmtId="167" fontId="0" fillId="0" borderId="0" xfId="1" applyFont="1" applyFill="1" applyAlignment="1">
      <alignment horizontal="right"/>
    </xf>
    <xf numFmtId="41" fontId="21" fillId="21" borderId="0" xfId="1" applyNumberFormat="1" applyFont="1" applyFill="1" applyBorder="1"/>
    <xf numFmtId="41" fontId="21" fillId="21" borderId="26" xfId="1" applyNumberFormat="1" applyFont="1" applyFill="1" applyBorder="1"/>
    <xf numFmtId="0" fontId="21" fillId="0" borderId="0" xfId="0" applyFont="1" applyFill="1" applyBorder="1" applyAlignment="1">
      <alignment horizontal="left" indent="1"/>
    </xf>
    <xf numFmtId="0" fontId="21" fillId="21" borderId="0" xfId="0" applyFont="1" applyFill="1" applyBorder="1"/>
    <xf numFmtId="41" fontId="21" fillId="21" borderId="23" xfId="1" applyNumberFormat="1" applyFont="1" applyFill="1" applyBorder="1"/>
    <xf numFmtId="41" fontId="22" fillId="21" borderId="28" xfId="1" applyNumberFormat="1" applyFont="1" applyFill="1" applyBorder="1"/>
    <xf numFmtId="41" fontId="22" fillId="21" borderId="0" xfId="1" applyNumberFormat="1" applyFont="1" applyFill="1" applyBorder="1"/>
    <xf numFmtId="41" fontId="22" fillId="21" borderId="24" xfId="1" applyNumberFormat="1" applyFont="1" applyFill="1" applyBorder="1"/>
    <xf numFmtId="41" fontId="21" fillId="21" borderId="13" xfId="1" applyNumberFormat="1" applyFont="1" applyFill="1" applyBorder="1"/>
    <xf numFmtId="41" fontId="22" fillId="21" borderId="13" xfId="1" applyNumberFormat="1" applyFont="1" applyFill="1" applyBorder="1"/>
    <xf numFmtId="41" fontId="21" fillId="21" borderId="30" xfId="0" applyNumberFormat="1" applyFont="1" applyFill="1" applyBorder="1"/>
    <xf numFmtId="41" fontId="21" fillId="21" borderId="26" xfId="0" applyNumberFormat="1" applyFont="1" applyFill="1" applyBorder="1"/>
    <xf numFmtId="41" fontId="21" fillId="86" borderId="30" xfId="0" applyNumberFormat="1" applyFont="1" applyFill="1" applyBorder="1"/>
    <xf numFmtId="41" fontId="21" fillId="86" borderId="30" xfId="0" applyNumberFormat="1" applyFont="1" applyFill="1" applyBorder="1" applyAlignment="1">
      <alignment horizontal="right"/>
    </xf>
    <xf numFmtId="0" fontId="21" fillId="0" borderId="0" xfId="0" applyFont="1" applyFill="1" applyBorder="1" applyAlignment="1">
      <alignment horizontal="justify" vertical="top" wrapText="1"/>
    </xf>
    <xf numFmtId="41" fontId="21" fillId="21" borderId="30" xfId="0" applyNumberFormat="1" applyFont="1" applyFill="1" applyBorder="1" applyAlignment="1">
      <alignment horizontal="right"/>
    </xf>
    <xf numFmtId="41" fontId="21" fillId="86" borderId="0" xfId="0" applyNumberFormat="1" applyFont="1" applyFill="1" applyBorder="1"/>
    <xf numFmtId="41" fontId="21" fillId="21" borderId="0" xfId="0" applyNumberFormat="1" applyFont="1" applyFill="1" applyBorder="1"/>
    <xf numFmtId="41" fontId="21" fillId="86" borderId="25" xfId="0" applyNumberFormat="1" applyFont="1" applyFill="1" applyBorder="1" applyAlignment="1">
      <alignment horizontal="right"/>
    </xf>
    <xf numFmtId="41" fontId="21" fillId="86" borderId="26" xfId="0" applyNumberFormat="1" applyFont="1" applyFill="1" applyBorder="1" applyAlignment="1">
      <alignment horizontal="right"/>
    </xf>
    <xf numFmtId="41" fontId="21" fillId="21" borderId="25" xfId="0" applyNumberFormat="1" applyFont="1" applyFill="1" applyBorder="1" applyAlignment="1">
      <alignment horizontal="right"/>
    </xf>
    <xf numFmtId="43" fontId="51" fillId="0" borderId="0" xfId="0" applyNumberFormat="1" applyFont="1" applyFill="1" applyBorder="1"/>
    <xf numFmtId="41" fontId="21" fillId="21" borderId="0" xfId="0" applyNumberFormat="1" applyFont="1" applyFill="1" applyBorder="1" applyAlignment="1">
      <alignment vertical="top" wrapText="1"/>
    </xf>
    <xf numFmtId="0" fontId="0" fillId="0" borderId="0" xfId="0"/>
    <xf numFmtId="167" fontId="0" fillId="0" borderId="0" xfId="1" applyFont="1" applyFill="1" applyBorder="1"/>
    <xf numFmtId="0" fontId="0" fillId="0" borderId="0" xfId="0" applyFont="1" applyFill="1"/>
    <xf numFmtId="0" fontId="0" fillId="21" borderId="0" xfId="0" applyFill="1"/>
    <xf numFmtId="168" fontId="0" fillId="0" borderId="0" xfId="0" applyNumberFormat="1"/>
    <xf numFmtId="168" fontId="91" fillId="85" borderId="128" xfId="0" applyNumberFormat="1" applyFont="1" applyFill="1" applyBorder="1" applyAlignment="1">
      <alignment horizontal="center"/>
    </xf>
    <xf numFmtId="168" fontId="0" fillId="0" borderId="0" xfId="1" applyNumberFormat="1" applyFont="1" applyFill="1" applyBorder="1"/>
    <xf numFmtId="168" fontId="0" fillId="0" borderId="40" xfId="1" applyNumberFormat="1" applyFont="1" applyFill="1" applyBorder="1"/>
    <xf numFmtId="168" fontId="0" fillId="0" borderId="0" xfId="0" applyNumberFormat="1" applyFill="1"/>
    <xf numFmtId="168" fontId="0" fillId="87" borderId="0" xfId="0" applyNumberFormat="1" applyFill="1"/>
    <xf numFmtId="174" fontId="51" fillId="0" borderId="0" xfId="1" applyNumberFormat="1" applyFont="1" applyFill="1" applyBorder="1"/>
    <xf numFmtId="3" fontId="21" fillId="21" borderId="0" xfId="0" applyNumberFormat="1" applyFont="1" applyFill="1" applyBorder="1"/>
    <xf numFmtId="41" fontId="21" fillId="21" borderId="0" xfId="0" applyNumberFormat="1" applyFont="1" applyFill="1" applyBorder="1" applyAlignment="1">
      <alignment horizontal="right"/>
    </xf>
    <xf numFmtId="41" fontId="21" fillId="21" borderId="25" xfId="1" applyNumberFormat="1" applyFont="1" applyFill="1" applyBorder="1"/>
    <xf numFmtId="0" fontId="22" fillId="21" borderId="0" xfId="0" quotePrefix="1" applyFont="1" applyFill="1" applyBorder="1" applyAlignment="1">
      <alignment horizontal="center"/>
    </xf>
    <xf numFmtId="0" fontId="22" fillId="21" borderId="0" xfId="0" applyFont="1" applyFill="1" applyBorder="1"/>
    <xf numFmtId="0" fontId="21" fillId="86" borderId="0" xfId="0" applyFont="1" applyFill="1" applyBorder="1"/>
    <xf numFmtId="3" fontId="21" fillId="86" borderId="0" xfId="0" applyNumberFormat="1" applyFont="1" applyFill="1" applyBorder="1"/>
    <xf numFmtId="0" fontId="27" fillId="86" borderId="0" xfId="0" applyFont="1" applyFill="1" applyBorder="1"/>
    <xf numFmtId="41" fontId="21" fillId="21" borderId="0" xfId="0" applyNumberFormat="1" applyFont="1" applyFill="1" applyBorder="1" applyAlignment="1">
      <alignment horizontal="center"/>
    </xf>
    <xf numFmtId="41" fontId="21" fillId="21" borderId="15" xfId="1" applyNumberFormat="1" applyFont="1" applyFill="1" applyBorder="1"/>
    <xf numFmtId="168" fontId="0" fillId="86" borderId="24" xfId="1" applyNumberFormat="1" applyFont="1" applyFill="1" applyBorder="1"/>
    <xf numFmtId="41" fontId="22" fillId="21" borderId="15" xfId="1" applyNumberFormat="1" applyFont="1" applyFill="1" applyBorder="1"/>
    <xf numFmtId="168" fontId="0" fillId="0" borderId="15" xfId="1" applyNumberFormat="1" applyFont="1" applyFill="1" applyBorder="1"/>
    <xf numFmtId="0" fontId="21" fillId="21" borderId="0" xfId="0" applyFont="1" applyFill="1" applyBorder="1" applyAlignment="1">
      <alignment vertical="top" wrapText="1"/>
    </xf>
    <xf numFmtId="41" fontId="22" fillId="21" borderId="24" xfId="0" applyNumberFormat="1" applyFont="1" applyFill="1" applyBorder="1" applyAlignment="1">
      <alignment horizontal="right"/>
    </xf>
    <xf numFmtId="41" fontId="23" fillId="21" borderId="0" xfId="0" applyNumberFormat="1" applyFont="1" applyFill="1" applyBorder="1" applyAlignment="1">
      <alignment horizontal="right"/>
    </xf>
    <xf numFmtId="172" fontId="21" fillId="21" borderId="0" xfId="0" applyNumberFormat="1" applyFont="1" applyFill="1" applyBorder="1" applyAlignment="1">
      <alignment horizontal="left"/>
    </xf>
    <xf numFmtId="0" fontId="21" fillId="21" borderId="0" xfId="0" quotePrefix="1" applyFont="1" applyFill="1" applyBorder="1"/>
    <xf numFmtId="10" fontId="21" fillId="21" borderId="0" xfId="0" applyNumberFormat="1" applyFont="1" applyFill="1" applyBorder="1" applyAlignment="1">
      <alignment horizontal="left"/>
    </xf>
    <xf numFmtId="181" fontId="21" fillId="21" borderId="0" xfId="0" applyNumberFormat="1" applyFont="1" applyFill="1" applyBorder="1" applyAlignment="1">
      <alignment horizontal="left"/>
    </xf>
    <xf numFmtId="168" fontId="0" fillId="0" borderId="24" xfId="0" applyNumberFormat="1" applyFill="1" applyBorder="1"/>
    <xf numFmtId="168" fontId="0" fillId="86" borderId="24" xfId="0" applyNumberFormat="1" applyFill="1" applyBorder="1"/>
    <xf numFmtId="0" fontId="33" fillId="0" borderId="0" xfId="687" applyFont="1" applyFill="1"/>
    <xf numFmtId="0" fontId="0" fillId="0" borderId="0" xfId="0"/>
    <xf numFmtId="9" fontId="5" fillId="0" borderId="0" xfId="19" applyFont="1" applyFill="1" applyBorder="1"/>
    <xf numFmtId="41" fontId="21" fillId="21" borderId="23" xfId="0" applyNumberFormat="1" applyFont="1" applyFill="1" applyBorder="1" applyAlignment="1">
      <alignment horizontal="right"/>
    </xf>
    <xf numFmtId="167" fontId="0" fillId="86" borderId="24" xfId="1" applyFont="1" applyFill="1" applyBorder="1" applyAlignment="1">
      <alignment horizontal="right"/>
    </xf>
    <xf numFmtId="41" fontId="21" fillId="86" borderId="0" xfId="1" applyNumberFormat="1" applyFont="1" applyFill="1" applyBorder="1" applyAlignment="1">
      <alignment horizontal="right"/>
    </xf>
    <xf numFmtId="167" fontId="0" fillId="21" borderId="0" xfId="1" applyFont="1" applyFill="1"/>
    <xf numFmtId="0" fontId="0" fillId="0" borderId="0" xfId="0" applyFont="1"/>
    <xf numFmtId="177" fontId="51" fillId="0" borderId="0" xfId="1" applyNumberFormat="1" applyFont="1" applyFill="1" applyBorder="1"/>
    <xf numFmtId="41" fontId="21" fillId="21" borderId="30" xfId="1" applyNumberFormat="1" applyFont="1" applyFill="1" applyBorder="1"/>
    <xf numFmtId="167" fontId="0" fillId="0" borderId="0" xfId="1" applyFont="1" applyFill="1" applyBorder="1" applyAlignment="1">
      <alignment horizontal="right"/>
    </xf>
    <xf numFmtId="167" fontId="0" fillId="0" borderId="38" xfId="1" applyFont="1" applyFill="1" applyBorder="1" applyAlignment="1">
      <alignment horizontal="right"/>
    </xf>
    <xf numFmtId="0" fontId="0" fillId="0" borderId="3" xfId="0" applyFill="1" applyBorder="1"/>
    <xf numFmtId="0" fontId="0" fillId="0" borderId="4" xfId="0" applyFill="1" applyBorder="1"/>
    <xf numFmtId="167" fontId="0" fillId="0" borderId="4" xfId="1" applyFont="1" applyFill="1" applyBorder="1" applyAlignment="1">
      <alignment horizontal="right"/>
    </xf>
    <xf numFmtId="167" fontId="0" fillId="0" borderId="4" xfId="0" applyNumberFormat="1" applyFill="1" applyBorder="1"/>
    <xf numFmtId="0" fontId="5" fillId="0" borderId="5" xfId="687" applyFont="1" applyFill="1" applyBorder="1"/>
    <xf numFmtId="0" fontId="0" fillId="0" borderId="6" xfId="0" applyFill="1" applyBorder="1"/>
    <xf numFmtId="0" fontId="0" fillId="0" borderId="0" xfId="0" applyFill="1" applyBorder="1"/>
    <xf numFmtId="167" fontId="0" fillId="0" borderId="0" xfId="0" applyNumberFormat="1" applyFill="1" applyBorder="1"/>
    <xf numFmtId="0" fontId="5" fillId="0" borderId="7" xfId="687" applyFont="1" applyFill="1" applyBorder="1"/>
    <xf numFmtId="0" fontId="0" fillId="0" borderId="157" xfId="0" applyFill="1" applyBorder="1"/>
    <xf numFmtId="0" fontId="0" fillId="0" borderId="156" xfId="0" applyFill="1" applyBorder="1"/>
    <xf numFmtId="167" fontId="0" fillId="0" borderId="156" xfId="1" applyFont="1" applyFill="1" applyBorder="1" applyAlignment="1">
      <alignment horizontal="right"/>
    </xf>
    <xf numFmtId="167" fontId="0" fillId="0" borderId="156" xfId="0" applyNumberFormat="1" applyFill="1" applyBorder="1"/>
    <xf numFmtId="0" fontId="5" fillId="0" borderId="158" xfId="687" applyFont="1" applyFill="1" applyBorder="1"/>
    <xf numFmtId="0" fontId="0" fillId="0" borderId="97" xfId="0" applyFill="1" applyBorder="1"/>
    <xf numFmtId="0" fontId="0" fillId="0" borderId="128" xfId="0" applyFill="1" applyBorder="1"/>
    <xf numFmtId="167" fontId="0" fillId="0" borderId="128" xfId="1" applyFont="1" applyFill="1" applyBorder="1" applyAlignment="1">
      <alignment horizontal="right"/>
    </xf>
    <xf numFmtId="167" fontId="0" fillId="0" borderId="128" xfId="0" applyNumberFormat="1" applyFill="1" applyBorder="1"/>
    <xf numFmtId="0" fontId="5" fillId="0" borderId="124" xfId="687" applyFont="1" applyFill="1" applyBorder="1"/>
    <xf numFmtId="167" fontId="0" fillId="0" borderId="15" xfId="1" applyFont="1" applyFill="1" applyBorder="1" applyAlignment="1">
      <alignment horizontal="right"/>
    </xf>
    <xf numFmtId="167" fontId="0" fillId="21" borderId="4" xfId="0" applyNumberFormat="1" applyFill="1" applyBorder="1"/>
    <xf numFmtId="167" fontId="0" fillId="21" borderId="0" xfId="1" applyFont="1" applyFill="1" applyBorder="1" applyAlignment="1">
      <alignment horizontal="right"/>
    </xf>
    <xf numFmtId="0" fontId="0" fillId="19" borderId="3" xfId="0" applyFill="1" applyBorder="1"/>
    <xf numFmtId="0" fontId="120" fillId="19" borderId="4" xfId="0" applyFont="1" applyFill="1" applyBorder="1"/>
    <xf numFmtId="168" fontId="0" fillId="19" borderId="4" xfId="0" applyNumberFormat="1" applyFill="1" applyBorder="1"/>
    <xf numFmtId="0" fontId="5" fillId="0" borderId="4" xfId="0" applyFont="1" applyFill="1" applyBorder="1"/>
    <xf numFmtId="0" fontId="5" fillId="0" borderId="157" xfId="0" applyFont="1" applyFill="1" applyBorder="1"/>
    <xf numFmtId="168" fontId="0" fillId="0" borderId="0" xfId="0" applyNumberFormat="1" applyFill="1" applyBorder="1"/>
    <xf numFmtId="167" fontId="0" fillId="0" borderId="15" xfId="1" applyFont="1" applyFill="1" applyBorder="1"/>
    <xf numFmtId="168" fontId="0" fillId="0" borderId="4" xfId="0" applyNumberFormat="1" applyFill="1" applyBorder="1"/>
    <xf numFmtId="168" fontId="0" fillId="0" borderId="156" xfId="0" applyNumberFormat="1" applyFill="1" applyBorder="1"/>
    <xf numFmtId="0" fontId="5" fillId="0" borderId="5" xfId="0" applyFont="1" applyFill="1" applyBorder="1"/>
    <xf numFmtId="0" fontId="121" fillId="0" borderId="7" xfId="0" applyFont="1" applyFill="1" applyBorder="1" applyAlignment="1"/>
    <xf numFmtId="168" fontId="0" fillId="0" borderId="15" xfId="1" applyNumberFormat="1" applyFont="1" applyFill="1" applyBorder="1" applyAlignment="1">
      <alignment horizontal="right"/>
    </xf>
    <xf numFmtId="168" fontId="5" fillId="87" borderId="0" xfId="0" applyNumberFormat="1" applyFont="1" applyFill="1"/>
    <xf numFmtId="168" fontId="0" fillId="87" borderId="0" xfId="1" applyNumberFormat="1" applyFont="1" applyFill="1"/>
    <xf numFmtId="168" fontId="0" fillId="87" borderId="38" xfId="0" applyNumberFormat="1" applyFill="1" applyBorder="1"/>
    <xf numFmtId="168" fontId="0" fillId="87" borderId="38" xfId="1" applyNumberFormat="1" applyFont="1" applyFill="1" applyBorder="1"/>
    <xf numFmtId="168" fontId="0" fillId="23" borderId="0" xfId="0" applyNumberFormat="1" applyFill="1" applyBorder="1"/>
    <xf numFmtId="0" fontId="22" fillId="0" borderId="0" xfId="0" applyFont="1" applyFill="1" applyBorder="1" applyAlignment="1">
      <alignment horizontal="center"/>
    </xf>
    <xf numFmtId="0" fontId="21" fillId="0" borderId="0" xfId="0" applyFont="1" applyFill="1" applyBorder="1" applyAlignment="1">
      <alignment horizontal="left" indent="2"/>
    </xf>
    <xf numFmtId="0" fontId="24" fillId="0" borderId="0" xfId="0" applyFont="1" applyFill="1" applyBorder="1" applyAlignment="1">
      <alignment horizontal="left" indent="2"/>
    </xf>
    <xf numFmtId="0" fontId="33" fillId="0" borderId="40" xfId="0" applyFont="1" applyFill="1" applyBorder="1" applyAlignment="1"/>
    <xf numFmtId="10" fontId="21" fillId="0" borderId="0" xfId="0" applyNumberFormat="1" applyFont="1" applyFill="1" applyBorder="1" applyAlignment="1">
      <alignment horizontal="right"/>
    </xf>
    <xf numFmtId="0" fontId="26" fillId="0" borderId="0" xfId="0" applyFont="1" applyFill="1" applyBorder="1"/>
    <xf numFmtId="3" fontId="26" fillId="0" borderId="0" xfId="0" applyNumberFormat="1" applyFont="1" applyFill="1" applyBorder="1"/>
    <xf numFmtId="41" fontId="21" fillId="0" borderId="0" xfId="0" applyNumberFormat="1" applyFont="1" applyFill="1" applyBorder="1" applyAlignment="1">
      <alignment vertical="top" wrapText="1"/>
    </xf>
    <xf numFmtId="3" fontId="22" fillId="0" borderId="15" xfId="0" applyNumberFormat="1" applyFont="1" applyFill="1" applyBorder="1"/>
    <xf numFmtId="10" fontId="21" fillId="0" borderId="0" xfId="0" applyNumberFormat="1" applyFont="1" applyFill="1" applyBorder="1" applyAlignment="1">
      <alignment horizontal="left"/>
    </xf>
    <xf numFmtId="181" fontId="21" fillId="0" borderId="0" xfId="0" applyNumberFormat="1" applyFont="1" applyFill="1" applyBorder="1" applyAlignment="1">
      <alignment horizontal="left"/>
    </xf>
    <xf numFmtId="10" fontId="21" fillId="21" borderId="0" xfId="1" applyNumberFormat="1" applyFont="1" applyFill="1" applyBorder="1"/>
    <xf numFmtId="41" fontId="21" fillId="21" borderId="28" xfId="1" applyNumberFormat="1" applyFont="1" applyFill="1" applyBorder="1"/>
    <xf numFmtId="10" fontId="21" fillId="21" borderId="0" xfId="0" applyNumberFormat="1" applyFont="1" applyFill="1" applyBorder="1"/>
    <xf numFmtId="41" fontId="21" fillId="21" borderId="25" xfId="0" applyNumberFormat="1" applyFont="1" applyFill="1" applyBorder="1" applyAlignment="1"/>
    <xf numFmtId="41" fontId="21" fillId="21" borderId="30" xfId="0" applyNumberFormat="1" applyFont="1" applyFill="1" applyBorder="1" applyAlignment="1"/>
    <xf numFmtId="0" fontId="21" fillId="21" borderId="0" xfId="14" applyFont="1" applyFill="1" applyBorder="1" applyProtection="1"/>
    <xf numFmtId="41" fontId="22" fillId="0" borderId="0" xfId="1" applyNumberFormat="1" applyFont="1" applyFill="1" applyBorder="1" applyAlignment="1"/>
    <xf numFmtId="41" fontId="123" fillId="0" borderId="0" xfId="1" applyNumberFormat="1" applyFont="1" applyFill="1" applyBorder="1" applyAlignment="1">
      <alignment horizontal="center"/>
    </xf>
    <xf numFmtId="41" fontId="21" fillId="21" borderId="0" xfId="0" applyNumberFormat="1" applyFont="1" applyFill="1" applyBorder="1" applyAlignment="1"/>
    <xf numFmtId="37" fontId="21" fillId="21" borderId="0" xfId="0" applyNumberFormat="1" applyFont="1" applyFill="1" applyBorder="1"/>
    <xf numFmtId="0" fontId="27" fillId="21" borderId="0" xfId="0" applyFont="1" applyFill="1" applyBorder="1" applyAlignment="1">
      <alignment vertical="top"/>
    </xf>
    <xf numFmtId="0" fontId="22" fillId="21" borderId="0" xfId="0" applyFont="1" applyFill="1" applyBorder="1" applyAlignment="1">
      <alignment vertical="top"/>
    </xf>
    <xf numFmtId="168" fontId="21" fillId="21" borderId="0" xfId="1" applyNumberFormat="1" applyFont="1" applyFill="1" applyBorder="1"/>
    <xf numFmtId="41" fontId="22" fillId="21" borderId="0" xfId="1" applyNumberFormat="1" applyFont="1" applyFill="1" applyBorder="1" applyAlignment="1">
      <alignment horizontal="center"/>
    </xf>
    <xf numFmtId="0" fontId="22" fillId="21" borderId="0" xfId="0" applyFont="1" applyFill="1" applyBorder="1" applyAlignment="1">
      <alignment vertical="center" wrapText="1"/>
    </xf>
    <xf numFmtId="0" fontId="24" fillId="21" borderId="0" xfId="0" applyFont="1" applyFill="1" applyBorder="1"/>
    <xf numFmtId="3" fontId="22" fillId="21" borderId="0" xfId="0" applyNumberFormat="1" applyFont="1" applyFill="1" applyBorder="1"/>
    <xf numFmtId="177" fontId="21" fillId="21" borderId="0" xfId="0" applyNumberFormat="1" applyFont="1" applyFill="1" applyBorder="1" applyAlignment="1">
      <alignment horizontal="right"/>
    </xf>
    <xf numFmtId="177" fontId="21" fillId="21" borderId="0" xfId="1" applyNumberFormat="1" applyFont="1" applyFill="1" applyBorder="1"/>
    <xf numFmtId="0" fontId="27" fillId="21" borderId="0" xfId="0" applyFont="1" applyFill="1" applyBorder="1"/>
    <xf numFmtId="3" fontId="22" fillId="0" borderId="24" xfId="0" applyNumberFormat="1" applyFont="1" applyFill="1" applyBorder="1"/>
    <xf numFmtId="41" fontId="22" fillId="21" borderId="0" xfId="1" quotePrefix="1" applyNumberFormat="1" applyFont="1" applyFill="1" applyBorder="1" applyAlignment="1">
      <alignment horizontal="center"/>
    </xf>
    <xf numFmtId="3" fontId="22" fillId="21" borderId="24" xfId="0" applyNumberFormat="1" applyFont="1" applyFill="1" applyBorder="1"/>
    <xf numFmtId="37" fontId="22" fillId="21" borderId="0" xfId="0" applyNumberFormat="1" applyFont="1" applyFill="1" applyBorder="1"/>
    <xf numFmtId="41" fontId="22" fillId="21" borderId="0" xfId="0" applyNumberFormat="1" applyFont="1" applyFill="1" applyBorder="1"/>
    <xf numFmtId="41" fontId="22" fillId="21" borderId="24" xfId="0" applyNumberFormat="1" applyFont="1" applyFill="1" applyBorder="1"/>
    <xf numFmtId="0" fontId="33" fillId="21" borderId="40" xfId="0" applyFont="1" applyFill="1" applyBorder="1" applyAlignment="1"/>
    <xf numFmtId="0" fontId="33" fillId="21" borderId="114" xfId="0" applyFont="1" applyFill="1" applyBorder="1" applyAlignment="1"/>
    <xf numFmtId="0" fontId="33" fillId="21" borderId="115" xfId="0" applyFont="1" applyFill="1" applyBorder="1" applyAlignment="1"/>
    <xf numFmtId="37" fontId="21" fillId="21" borderId="48" xfId="0" quotePrefix="1" applyNumberFormat="1" applyFont="1" applyFill="1" applyBorder="1"/>
    <xf numFmtId="180" fontId="21" fillId="21" borderId="0" xfId="1" applyNumberFormat="1" applyFont="1" applyFill="1" applyBorder="1"/>
    <xf numFmtId="41" fontId="21" fillId="21" borderId="46" xfId="1" applyNumberFormat="1" applyFont="1" applyFill="1" applyBorder="1"/>
    <xf numFmtId="37" fontId="21" fillId="21" borderId="31" xfId="0" quotePrefix="1" applyNumberFormat="1" applyFont="1" applyFill="1" applyBorder="1"/>
    <xf numFmtId="37" fontId="21" fillId="21" borderId="23" xfId="0" applyNumberFormat="1" applyFont="1" applyFill="1" applyBorder="1"/>
    <xf numFmtId="10" fontId="21" fillId="21" borderId="23" xfId="0" applyNumberFormat="1" applyFont="1" applyFill="1" applyBorder="1"/>
    <xf numFmtId="180" fontId="21" fillId="21" borderId="23" xfId="1" applyNumberFormat="1" applyFont="1" applyFill="1" applyBorder="1"/>
    <xf numFmtId="41" fontId="21" fillId="21" borderId="23" xfId="0" applyNumberFormat="1" applyFont="1" applyFill="1" applyBorder="1"/>
    <xf numFmtId="41" fontId="21" fillId="21" borderId="32" xfId="1" applyNumberFormat="1" applyFont="1" applyFill="1" applyBorder="1"/>
    <xf numFmtId="0" fontId="22" fillId="21" borderId="0" xfId="178" applyFont="1" applyFill="1" applyBorder="1"/>
    <xf numFmtId="3" fontId="21" fillId="21" borderId="0" xfId="178" applyNumberFormat="1" applyFont="1" applyFill="1" applyBorder="1"/>
    <xf numFmtId="41" fontId="23" fillId="21" borderId="0" xfId="178" applyNumberFormat="1" applyFont="1" applyFill="1" applyBorder="1" applyAlignment="1">
      <alignment horizontal="right"/>
    </xf>
    <xf numFmtId="41" fontId="21" fillId="21" borderId="24" xfId="178" applyNumberFormat="1" applyFont="1" applyFill="1" applyBorder="1"/>
    <xf numFmtId="41" fontId="21" fillId="21" borderId="0" xfId="178" applyNumberFormat="1" applyFont="1" applyFill="1" applyBorder="1"/>
    <xf numFmtId="0" fontId="21" fillId="86" borderId="0" xfId="178" applyFont="1" applyFill="1" applyBorder="1"/>
    <xf numFmtId="3" fontId="21" fillId="86" borderId="0" xfId="178" applyNumberFormat="1" applyFont="1" applyFill="1" applyBorder="1"/>
    <xf numFmtId="41" fontId="23" fillId="86" borderId="0" xfId="178" applyNumberFormat="1" applyFont="1" applyFill="1" applyBorder="1" applyAlignment="1">
      <alignment horizontal="right"/>
    </xf>
    <xf numFmtId="0" fontId="24" fillId="86" borderId="0" xfId="178" applyFont="1" applyFill="1" applyBorder="1"/>
    <xf numFmtId="1" fontId="29" fillId="86" borderId="30" xfId="178" applyNumberFormat="1" applyFont="1" applyFill="1" applyBorder="1" applyAlignment="1">
      <alignment horizontal="center"/>
    </xf>
    <xf numFmtId="41" fontId="51" fillId="21" borderId="0" xfId="1" applyNumberFormat="1" applyFont="1" applyFill="1" applyBorder="1"/>
    <xf numFmtId="37" fontId="21" fillId="21" borderId="0" xfId="0" applyNumberFormat="1" applyFont="1" applyFill="1" applyBorder="1" applyAlignment="1">
      <alignment vertical="top" wrapText="1"/>
    </xf>
    <xf numFmtId="37" fontId="27" fillId="21" borderId="0" xfId="0" applyNumberFormat="1" applyFont="1" applyFill="1" applyBorder="1"/>
    <xf numFmtId="4" fontId="21" fillId="21" borderId="0" xfId="1" applyNumberFormat="1" applyFont="1" applyFill="1" applyBorder="1"/>
    <xf numFmtId="174" fontId="21" fillId="21" borderId="0" xfId="1" applyNumberFormat="1" applyFont="1" applyFill="1" applyBorder="1"/>
    <xf numFmtId="37" fontId="21" fillId="21" borderId="0" xfId="0" quotePrefix="1" applyNumberFormat="1" applyFont="1" applyFill="1" applyBorder="1"/>
    <xf numFmtId="0" fontId="0" fillId="86" borderId="0" xfId="0" applyFill="1"/>
    <xf numFmtId="167" fontId="5" fillId="0" borderId="0" xfId="1" applyFont="1"/>
    <xf numFmtId="167" fontId="0" fillId="0" borderId="24" xfId="1" applyFont="1" applyBorder="1"/>
    <xf numFmtId="167" fontId="0" fillId="0" borderId="24" xfId="0" applyNumberFormat="1" applyBorder="1"/>
    <xf numFmtId="41" fontId="21" fillId="0" borderId="25" xfId="0" applyNumberFormat="1" applyFont="1" applyFill="1" applyBorder="1" applyAlignment="1">
      <alignment horizontal="right"/>
    </xf>
    <xf numFmtId="167" fontId="0" fillId="0" borderId="28" xfId="1" applyFont="1" applyBorder="1"/>
    <xf numFmtId="168" fontId="0" fillId="87" borderId="0" xfId="0" applyNumberFormat="1" applyFill="1" applyBorder="1"/>
    <xf numFmtId="168" fontId="0" fillId="89" borderId="0" xfId="0" applyNumberFormat="1" applyFill="1" applyBorder="1"/>
    <xf numFmtId="168" fontId="0" fillId="90" borderId="0" xfId="0" applyNumberFormat="1" applyFill="1" applyBorder="1"/>
    <xf numFmtId="168" fontId="0" fillId="15" borderId="0" xfId="0" applyNumberFormat="1" applyFill="1" applyBorder="1"/>
    <xf numFmtId="176" fontId="22" fillId="0" borderId="24" xfId="0" applyNumberFormat="1" applyFont="1" applyFill="1" applyBorder="1"/>
    <xf numFmtId="177" fontId="51" fillId="0" borderId="0" xfId="0" applyNumberFormat="1" applyFont="1" applyFill="1" applyBorder="1" applyAlignment="1">
      <alignment horizontal="right"/>
    </xf>
    <xf numFmtId="49" fontId="124" fillId="0" borderId="0" xfId="0" applyNumberFormat="1" applyFont="1"/>
    <xf numFmtId="0" fontId="124" fillId="0" borderId="0" xfId="0" applyFont="1"/>
    <xf numFmtId="167" fontId="0" fillId="87" borderId="0" xfId="1" applyFont="1" applyFill="1"/>
    <xf numFmtId="167" fontId="0" fillId="86" borderId="0" xfId="1" applyFont="1" applyFill="1"/>
    <xf numFmtId="49" fontId="125" fillId="0" borderId="0" xfId="0" applyNumberFormat="1" applyFont="1" applyBorder="1" applyAlignment="1">
      <alignment horizontal="center" vertical="center"/>
    </xf>
    <xf numFmtId="0" fontId="125" fillId="0" borderId="0" xfId="0" applyFont="1" applyBorder="1" applyAlignment="1">
      <alignment horizontal="center" vertical="center"/>
    </xf>
    <xf numFmtId="167" fontId="91" fillId="0" borderId="0" xfId="1" applyFont="1" applyBorder="1" applyAlignment="1">
      <alignment horizontal="center" vertical="center"/>
    </xf>
    <xf numFmtId="167" fontId="91" fillId="87" borderId="0" xfId="1" applyFont="1" applyFill="1" applyBorder="1" applyAlignment="1">
      <alignment horizontal="center" vertical="center"/>
    </xf>
    <xf numFmtId="167" fontId="91" fillId="86" borderId="0" xfId="1" applyFont="1" applyFill="1" applyBorder="1" applyAlignment="1">
      <alignment horizontal="center" vertical="center"/>
    </xf>
    <xf numFmtId="49" fontId="126" fillId="0" borderId="0" xfId="0" applyNumberFormat="1" applyFont="1"/>
    <xf numFmtId="0" fontId="127" fillId="0" borderId="0" xfId="0" applyFont="1"/>
    <xf numFmtId="167" fontId="128" fillId="0" borderId="0" xfId="1" applyFont="1"/>
    <xf numFmtId="167" fontId="128" fillId="87" borderId="0" xfId="1" applyFont="1" applyFill="1"/>
    <xf numFmtId="167" fontId="128" fillId="86" borderId="0" xfId="1" applyFont="1" applyFill="1"/>
    <xf numFmtId="49" fontId="127" fillId="0" borderId="0" xfId="0" applyNumberFormat="1" applyFont="1"/>
    <xf numFmtId="0" fontId="129" fillId="0" borderId="0" xfId="0" applyFont="1"/>
    <xf numFmtId="0" fontId="126" fillId="0" borderId="0" xfId="0" applyFont="1"/>
    <xf numFmtId="167" fontId="126" fillId="0" borderId="0" xfId="1" applyFont="1"/>
    <xf numFmtId="167" fontId="126" fillId="87" borderId="0" xfId="1" applyFont="1" applyFill="1"/>
    <xf numFmtId="167" fontId="126" fillId="86" borderId="0" xfId="1" applyFont="1" applyFill="1"/>
    <xf numFmtId="0" fontId="126" fillId="0" borderId="23" xfId="0" applyFont="1" applyBorder="1"/>
    <xf numFmtId="167" fontId="126" fillId="0" borderId="23" xfId="1" applyFont="1" applyBorder="1"/>
    <xf numFmtId="167" fontId="126" fillId="87" borderId="23" xfId="1" applyFont="1" applyFill="1" applyBorder="1"/>
    <xf numFmtId="167" fontId="126" fillId="86" borderId="23" xfId="1" applyFont="1" applyFill="1" applyBorder="1"/>
    <xf numFmtId="49" fontId="126" fillId="0" borderId="0" xfId="0" applyNumberFormat="1" applyFont="1" applyBorder="1"/>
    <xf numFmtId="0" fontId="129" fillId="0" borderId="0" xfId="0" applyFont="1" applyBorder="1"/>
    <xf numFmtId="167" fontId="126" fillId="0" borderId="0" xfId="1" applyFont="1" applyBorder="1"/>
    <xf numFmtId="167" fontId="126" fillId="87" borderId="0" xfId="1" applyFont="1" applyFill="1" applyBorder="1"/>
    <xf numFmtId="167" fontId="126" fillId="86" borderId="0" xfId="1" applyFont="1" applyFill="1" applyBorder="1"/>
    <xf numFmtId="0" fontId="128" fillId="0" borderId="0" xfId="0" applyFont="1"/>
    <xf numFmtId="0" fontId="126" fillId="0" borderId="0" xfId="0" applyFont="1" applyBorder="1"/>
    <xf numFmtId="0" fontId="14" fillId="0" borderId="0" xfId="25" applyFont="1" applyFill="1" applyBorder="1"/>
    <xf numFmtId="0" fontId="0" fillId="0" borderId="0" xfId="0" applyBorder="1"/>
    <xf numFmtId="0" fontId="0" fillId="0" borderId="23" xfId="0" applyBorder="1"/>
    <xf numFmtId="49" fontId="129" fillId="0" borderId="0" xfId="0" applyNumberFormat="1" applyFont="1"/>
    <xf numFmtId="0" fontId="128" fillId="87" borderId="0" xfId="0" applyFont="1" applyFill="1"/>
    <xf numFmtId="0" fontId="128" fillId="86" borderId="0" xfId="0" applyFont="1" applyFill="1"/>
    <xf numFmtId="49" fontId="130" fillId="0" borderId="0" xfId="0" applyNumberFormat="1" applyFont="1"/>
    <xf numFmtId="0" fontId="130" fillId="0" borderId="0" xfId="0" applyFont="1"/>
    <xf numFmtId="167" fontId="130" fillId="0" borderId="0" xfId="1" applyFont="1"/>
    <xf numFmtId="167" fontId="130" fillId="87" borderId="0" xfId="1" applyFont="1" applyFill="1"/>
    <xf numFmtId="167" fontId="130" fillId="86" borderId="0" xfId="1" applyFont="1" applyFill="1"/>
    <xf numFmtId="0" fontId="21" fillId="0" borderId="0" xfId="0" applyFont="1" applyFill="1" applyBorder="1" applyAlignment="1">
      <alignment horizontal="justify" vertical="top" wrapText="1"/>
    </xf>
    <xf numFmtId="168" fontId="21" fillId="0" borderId="30" xfId="0" applyNumberFormat="1" applyFont="1" applyFill="1" applyBorder="1" applyAlignment="1">
      <alignment horizontal="right"/>
    </xf>
    <xf numFmtId="168" fontId="21" fillId="0" borderId="0" xfId="0" applyNumberFormat="1" applyFont="1" applyFill="1" applyBorder="1"/>
    <xf numFmtId="41" fontId="21" fillId="0" borderId="38" xfId="0" applyNumberFormat="1" applyFont="1" applyFill="1" applyBorder="1" applyAlignment="1">
      <alignment horizontal="right"/>
    </xf>
    <xf numFmtId="41" fontId="52" fillId="0" borderId="0" xfId="0" applyNumberFormat="1" applyFont="1" applyFill="1" applyBorder="1" applyAlignment="1">
      <alignment horizontal="center"/>
    </xf>
    <xf numFmtId="41" fontId="21" fillId="0" borderId="38" xfId="1" applyNumberFormat="1" applyFont="1" applyFill="1" applyBorder="1"/>
    <xf numFmtId="167" fontId="0" fillId="0" borderId="156" xfId="1" applyFont="1" applyFill="1" applyBorder="1"/>
    <xf numFmtId="0" fontId="5" fillId="0" borderId="128" xfId="0" applyFont="1" applyFill="1" applyBorder="1"/>
    <xf numFmtId="167" fontId="0" fillId="0" borderId="15" xfId="1" applyNumberFormat="1" applyFont="1" applyFill="1" applyBorder="1"/>
    <xf numFmtId="167" fontId="0" fillId="0" borderId="5" xfId="0" applyNumberFormat="1" applyFill="1" applyBorder="1"/>
    <xf numFmtId="167" fontId="0" fillId="0" borderId="7" xfId="0" applyNumberFormat="1" applyFill="1" applyBorder="1"/>
    <xf numFmtId="167" fontId="0" fillId="0" borderId="158" xfId="0" applyNumberFormat="1" applyFill="1" applyBorder="1"/>
    <xf numFmtId="206" fontId="51" fillId="0" borderId="25" xfId="0" applyNumberFormat="1" applyFont="1" applyBorder="1"/>
    <xf numFmtId="43" fontId="51" fillId="0" borderId="25" xfId="0" applyNumberFormat="1" applyFont="1" applyBorder="1"/>
    <xf numFmtId="0" fontId="21" fillId="0" borderId="17" xfId="0" applyFont="1" applyFill="1" applyBorder="1"/>
    <xf numFmtId="0" fontId="21" fillId="0" borderId="18" xfId="0" applyFont="1" applyFill="1" applyBorder="1"/>
    <xf numFmtId="174" fontId="22" fillId="0" borderId="18" xfId="0" applyNumberFormat="1" applyFont="1" applyFill="1" applyBorder="1" applyAlignment="1">
      <alignment horizontal="center" wrapText="1"/>
    </xf>
    <xf numFmtId="49" fontId="22" fillId="0" borderId="30" xfId="0" quotePrefix="1" applyNumberFormat="1" applyFont="1" applyFill="1" applyBorder="1"/>
    <xf numFmtId="174" fontId="21" fillId="0" borderId="30" xfId="0" applyNumberFormat="1" applyFont="1" applyFill="1" applyBorder="1"/>
    <xf numFmtId="0" fontId="21" fillId="0" borderId="30" xfId="0" applyFont="1" applyFill="1" applyBorder="1" applyAlignment="1">
      <alignment horizontal="justify" vertical="center" wrapText="1"/>
    </xf>
    <xf numFmtId="0" fontId="21" fillId="0" borderId="36" xfId="0" applyFont="1" applyFill="1" applyBorder="1"/>
    <xf numFmtId="43" fontId="21" fillId="0" borderId="57" xfId="0" applyNumberFormat="1" applyFont="1" applyFill="1" applyBorder="1"/>
    <xf numFmtId="41" fontId="21" fillId="0" borderId="34" xfId="0" applyNumberFormat="1" applyFont="1" applyFill="1" applyBorder="1" applyAlignment="1">
      <alignment horizontal="right"/>
    </xf>
    <xf numFmtId="0" fontId="21" fillId="0" borderId="17" xfId="0" applyFont="1" applyFill="1" applyBorder="1" applyAlignment="1">
      <alignment horizontal="center" vertical="center"/>
    </xf>
    <xf numFmtId="4" fontId="22" fillId="0" borderId="19" xfId="0" applyNumberFormat="1" applyFont="1" applyFill="1" applyBorder="1" applyAlignment="1">
      <alignment horizontal="center" vertical="center"/>
    </xf>
    <xf numFmtId="0" fontId="21" fillId="0" borderId="33" xfId="0" applyFont="1" applyFill="1" applyBorder="1" applyAlignment="1">
      <alignment horizontal="center" vertical="center"/>
    </xf>
    <xf numFmtId="4" fontId="22" fillId="0" borderId="34" xfId="0" applyNumberFormat="1" applyFont="1" applyFill="1" applyBorder="1" applyAlignment="1">
      <alignment horizontal="center" vertical="center"/>
    </xf>
    <xf numFmtId="0" fontId="21" fillId="0" borderId="35" xfId="0" applyFont="1" applyFill="1" applyBorder="1" applyAlignment="1">
      <alignment horizontal="center" vertical="center"/>
    </xf>
    <xf numFmtId="4" fontId="22" fillId="0" borderId="37" xfId="0" applyNumberFormat="1" applyFont="1" applyFill="1" applyBorder="1" applyAlignment="1">
      <alignment horizontal="center" vertical="center"/>
    </xf>
    <xf numFmtId="174" fontId="22" fillId="91" borderId="18" xfId="0" applyNumberFormat="1" applyFont="1" applyFill="1" applyBorder="1" applyAlignment="1">
      <alignment horizontal="center" vertical="center"/>
    </xf>
    <xf numFmtId="174" fontId="22" fillId="91" borderId="126" xfId="0" applyNumberFormat="1" applyFont="1" applyFill="1" applyBorder="1" applyAlignment="1">
      <alignment vertical="center"/>
    </xf>
    <xf numFmtId="174" fontId="22" fillId="91" borderId="127" xfId="0" applyNumberFormat="1" applyFont="1" applyFill="1" applyBorder="1" applyAlignment="1">
      <alignment vertical="center"/>
    </xf>
    <xf numFmtId="174" fontId="22" fillId="91" borderId="25" xfId="0" applyNumberFormat="1" applyFont="1" applyFill="1" applyBorder="1" applyAlignment="1">
      <alignment horizontal="center" vertical="center"/>
    </xf>
    <xf numFmtId="174" fontId="22" fillId="91" borderId="30" xfId="0" applyNumberFormat="1" applyFont="1" applyFill="1" applyBorder="1" applyAlignment="1">
      <alignment horizontal="center" vertical="center"/>
    </xf>
    <xf numFmtId="174" fontId="22" fillId="91" borderId="36" xfId="0" applyNumberFormat="1" applyFont="1" applyFill="1" applyBorder="1" applyAlignment="1">
      <alignment horizontal="center" vertical="center"/>
    </xf>
    <xf numFmtId="167" fontId="0" fillId="0" borderId="0" xfId="1" applyFont="1" applyFill="1"/>
    <xf numFmtId="41" fontId="5" fillId="0" borderId="95" xfId="0" applyNumberFormat="1" applyFont="1" applyFill="1" applyBorder="1"/>
    <xf numFmtId="0" fontId="5" fillId="0" borderId="0" xfId="25" applyAlignment="1">
      <alignment horizontal="left"/>
    </xf>
    <xf numFmtId="0" fontId="5" fillId="0" borderId="0" xfId="25" applyFill="1" applyAlignment="1">
      <alignment horizontal="center"/>
    </xf>
    <xf numFmtId="0" fontId="5" fillId="0" borderId="0" xfId="25" applyFill="1"/>
    <xf numFmtId="0" fontId="14" fillId="0" borderId="0" xfId="25" applyFont="1"/>
    <xf numFmtId="0" fontId="22" fillId="0" borderId="0" xfId="25" applyFont="1" applyFill="1" applyAlignment="1">
      <alignment horizontal="center"/>
    </xf>
    <xf numFmtId="0" fontId="22" fillId="0" borderId="0" xfId="25" applyFont="1" applyAlignment="1"/>
    <xf numFmtId="0" fontId="22" fillId="0" borderId="0" xfId="25" applyFont="1" applyFill="1" applyAlignment="1"/>
    <xf numFmtId="0" fontId="131" fillId="0" borderId="0" xfId="25" applyFont="1" applyAlignment="1"/>
    <xf numFmtId="0" fontId="131" fillId="0" borderId="4" xfId="25" applyFont="1" applyBorder="1" applyAlignment="1">
      <alignment horizontal="center" vertical="center"/>
    </xf>
    <xf numFmtId="0" fontId="131" fillId="0" borderId="156" xfId="25" applyFont="1" applyBorder="1" applyAlignment="1">
      <alignment horizontal="center" vertical="center"/>
    </xf>
    <xf numFmtId="0" fontId="131" fillId="0" borderId="0" xfId="25" applyFont="1" applyBorder="1" applyAlignment="1">
      <alignment horizontal="left"/>
    </xf>
    <xf numFmtId="0" fontId="131" fillId="0" borderId="0" xfId="25" applyFont="1" applyFill="1" applyBorder="1" applyAlignment="1">
      <alignment horizontal="center"/>
    </xf>
    <xf numFmtId="49" fontId="131" fillId="0" borderId="0" xfId="117" applyNumberFormat="1" applyFont="1" applyFill="1" applyBorder="1" applyAlignment="1">
      <alignment horizontal="center"/>
    </xf>
    <xf numFmtId="0" fontId="16" fillId="0" borderId="0" xfId="25" applyFont="1" applyBorder="1" applyAlignment="1">
      <alignment horizontal="left"/>
    </xf>
    <xf numFmtId="0" fontId="16" fillId="0" borderId="0" xfId="25" applyFont="1" applyFill="1" applyBorder="1"/>
    <xf numFmtId="168" fontId="132" fillId="0" borderId="0" xfId="117" applyNumberFormat="1" applyFont="1" applyFill="1" applyBorder="1"/>
    <xf numFmtId="0" fontId="5" fillId="0" borderId="0" xfId="25" applyBorder="1"/>
    <xf numFmtId="0" fontId="5" fillId="0" borderId="0" xfId="25" applyFill="1" applyBorder="1"/>
    <xf numFmtId="0" fontId="14" fillId="0" borderId="0" xfId="25" applyFont="1" applyBorder="1"/>
    <xf numFmtId="0" fontId="22" fillId="0" borderId="0" xfId="25" applyFont="1" applyBorder="1" applyAlignment="1">
      <alignment horizontal="left"/>
    </xf>
    <xf numFmtId="0" fontId="22" fillId="0" borderId="0" xfId="25" applyFont="1" applyFill="1" applyBorder="1" applyAlignment="1"/>
    <xf numFmtId="0" fontId="5" fillId="0" borderId="0" xfId="25" applyBorder="1" applyAlignment="1">
      <alignment horizontal="left"/>
    </xf>
    <xf numFmtId="0" fontId="131" fillId="0" borderId="0" xfId="25" applyFont="1" applyFill="1" applyBorder="1" applyAlignment="1"/>
    <xf numFmtId="0" fontId="14" fillId="0" borderId="0" xfId="25" applyFont="1" applyBorder="1" applyAlignment="1">
      <alignment horizontal="left"/>
    </xf>
    <xf numFmtId="0" fontId="131" fillId="0" borderId="0" xfId="25" applyFont="1" applyFill="1" applyBorder="1"/>
    <xf numFmtId="0" fontId="14" fillId="0" borderId="0" xfId="25" applyFont="1" applyFill="1"/>
    <xf numFmtId="168" fontId="14" fillId="0" borderId="0" xfId="117" applyNumberFormat="1" applyFont="1" applyFill="1" applyBorder="1"/>
    <xf numFmtId="168" fontId="14" fillId="0" borderId="0" xfId="25" applyNumberFormat="1" applyFont="1"/>
    <xf numFmtId="0" fontId="14" fillId="0" borderId="23" xfId="25" applyFont="1" applyFill="1" applyBorder="1"/>
    <xf numFmtId="168" fontId="14" fillId="0" borderId="23" xfId="117" applyNumberFormat="1" applyFont="1" applyFill="1" applyBorder="1"/>
    <xf numFmtId="168" fontId="14" fillId="0" borderId="23" xfId="25" applyNumberFormat="1" applyFont="1" applyBorder="1"/>
    <xf numFmtId="168" fontId="131" fillId="0" borderId="0" xfId="25" applyNumberFormat="1" applyFont="1" applyFill="1" applyBorder="1"/>
    <xf numFmtId="0" fontId="131" fillId="0" borderId="23" xfId="25" applyFont="1" applyFill="1" applyBorder="1"/>
    <xf numFmtId="206" fontId="14" fillId="0" borderId="23" xfId="117" applyNumberFormat="1" applyFont="1" applyFill="1" applyBorder="1" applyAlignment="1">
      <alignment horizontal="center"/>
    </xf>
    <xf numFmtId="0" fontId="5" fillId="0" borderId="23" xfId="25" applyFill="1" applyBorder="1"/>
    <xf numFmtId="0" fontId="14" fillId="0" borderId="0" xfId="25" applyFont="1" applyFill="1" applyBorder="1" applyAlignment="1">
      <alignment horizontal="left"/>
    </xf>
    <xf numFmtId="0" fontId="131" fillId="0" borderId="15" xfId="25" applyFont="1" applyFill="1" applyBorder="1"/>
    <xf numFmtId="206" fontId="131" fillId="0" borderId="15" xfId="117" applyNumberFormat="1" applyFont="1" applyFill="1" applyBorder="1"/>
    <xf numFmtId="168" fontId="14" fillId="0" borderId="15" xfId="25" applyNumberFormat="1" applyFont="1" applyBorder="1"/>
    <xf numFmtId="0" fontId="5" fillId="0" borderId="0" xfId="25" applyFont="1" applyBorder="1" applyAlignment="1">
      <alignment horizontal="left"/>
    </xf>
    <xf numFmtId="0" fontId="5" fillId="0" borderId="0" xfId="25" applyFont="1" applyFill="1" applyBorder="1"/>
    <xf numFmtId="167" fontId="5" fillId="0" borderId="0" xfId="25" applyNumberFormat="1" applyFill="1"/>
    <xf numFmtId="168" fontId="131" fillId="0" borderId="0" xfId="25" applyNumberFormat="1" applyFont="1" applyFill="1" applyBorder="1" applyAlignment="1"/>
    <xf numFmtId="168" fontId="131" fillId="0" borderId="0" xfId="117" applyNumberFormat="1" applyFont="1" applyFill="1" applyBorder="1"/>
    <xf numFmtId="167" fontId="14" fillId="0" borderId="0" xfId="25" applyNumberFormat="1" applyFont="1" applyFill="1"/>
    <xf numFmtId="206" fontId="131" fillId="0" borderId="0" xfId="117" applyNumberFormat="1" applyFont="1" applyFill="1" applyBorder="1"/>
    <xf numFmtId="0" fontId="29" fillId="0" borderId="0" xfId="25" applyFont="1" applyFill="1" applyBorder="1" applyAlignment="1">
      <alignment horizontal="center"/>
    </xf>
    <xf numFmtId="0" fontId="14" fillId="0" borderId="0" xfId="25" applyFont="1" applyAlignment="1">
      <alignment horizontal="left"/>
    </xf>
    <xf numFmtId="168" fontId="131" fillId="0" borderId="15" xfId="117" applyNumberFormat="1" applyFont="1" applyFill="1" applyBorder="1"/>
    <xf numFmtId="206" fontId="131" fillId="0" borderId="15" xfId="25" applyNumberFormat="1" applyFont="1" applyFill="1" applyBorder="1"/>
    <xf numFmtId="206" fontId="131" fillId="0" borderId="0" xfId="25" applyNumberFormat="1" applyFont="1" applyFill="1" applyBorder="1"/>
    <xf numFmtId="0" fontId="29" fillId="0" borderId="0" xfId="25" applyFont="1" applyBorder="1" applyAlignment="1">
      <alignment horizontal="center"/>
    </xf>
    <xf numFmtId="0" fontId="35" fillId="0" borderId="0" xfId="25" applyFont="1" applyBorder="1" applyAlignment="1">
      <alignment horizontal="left"/>
    </xf>
    <xf numFmtId="0" fontId="35" fillId="0" borderId="0" xfId="25" applyFont="1" applyFill="1" applyBorder="1" applyAlignment="1"/>
    <xf numFmtId="0" fontId="133" fillId="0" borderId="0" xfId="25" applyFont="1" applyBorder="1" applyAlignment="1">
      <alignment horizontal="left"/>
    </xf>
    <xf numFmtId="0" fontId="133" fillId="0" borderId="0" xfId="25" applyFont="1" applyFill="1" applyBorder="1" applyAlignment="1"/>
    <xf numFmtId="168" fontId="131" fillId="0" borderId="23" xfId="117" applyNumberFormat="1" applyFont="1" applyFill="1" applyBorder="1"/>
    <xf numFmtId="0" fontId="14" fillId="0" borderId="23" xfId="25" applyFont="1" applyBorder="1"/>
    <xf numFmtId="206" fontId="14" fillId="0" borderId="0" xfId="117" applyNumberFormat="1" applyFont="1" applyFill="1" applyBorder="1"/>
    <xf numFmtId="0" fontId="22" fillId="0" borderId="0" xfId="25" applyFont="1" applyAlignment="1">
      <alignment horizontal="left"/>
    </xf>
    <xf numFmtId="0" fontId="22" fillId="0" borderId="0" xfId="25" applyFont="1" applyFill="1"/>
    <xf numFmtId="0" fontId="35" fillId="0" borderId="0" xfId="25" applyFont="1" applyAlignment="1">
      <alignment horizontal="left"/>
    </xf>
    <xf numFmtId="0" fontId="35" fillId="0" borderId="0" xfId="25" applyFont="1" applyFill="1" applyBorder="1"/>
    <xf numFmtId="0" fontId="29" fillId="0" borderId="0" xfId="25" applyFont="1" applyAlignment="1">
      <alignment horizontal="center"/>
    </xf>
    <xf numFmtId="0" fontId="22" fillId="0" borderId="0" xfId="25" applyFont="1" applyFill="1" applyBorder="1"/>
    <xf numFmtId="168" fontId="14" fillId="0" borderId="0" xfId="25" applyNumberFormat="1" applyFont="1" applyFill="1" applyBorder="1"/>
    <xf numFmtId="0" fontId="131" fillId="0" borderId="28" xfId="25" applyFont="1" applyFill="1" applyBorder="1"/>
    <xf numFmtId="206" fontId="131" fillId="0" borderId="28" xfId="117" applyNumberFormat="1" applyFont="1" applyFill="1" applyBorder="1"/>
    <xf numFmtId="0" fontId="16" fillId="0" borderId="0" xfId="25" applyFont="1" applyAlignment="1">
      <alignment horizontal="left"/>
    </xf>
    <xf numFmtId="206" fontId="14" fillId="0" borderId="0" xfId="117" applyNumberFormat="1" applyFont="1" applyFill="1" applyBorder="1" applyAlignment="1">
      <alignment horizontal="center"/>
    </xf>
    <xf numFmtId="206" fontId="131" fillId="0" borderId="0" xfId="117" applyNumberFormat="1" applyFont="1" applyFill="1" applyBorder="1" applyAlignment="1">
      <alignment horizontal="center"/>
    </xf>
    <xf numFmtId="0" fontId="5" fillId="0" borderId="0" xfId="25" applyFont="1" applyAlignment="1">
      <alignment horizontal="center"/>
    </xf>
    <xf numFmtId="0" fontId="131" fillId="0" borderId="0" xfId="25" applyFont="1" applyAlignment="1">
      <alignment horizontal="left"/>
    </xf>
    <xf numFmtId="0" fontId="35" fillId="0" borderId="0" xfId="25" applyFont="1" applyFill="1"/>
    <xf numFmtId="168" fontId="14" fillId="0" borderId="23" xfId="25" applyNumberFormat="1" applyFont="1" applyFill="1" applyBorder="1"/>
    <xf numFmtId="0" fontId="5" fillId="0" borderId="0" xfId="25" applyAlignment="1">
      <alignment horizontal="center"/>
    </xf>
    <xf numFmtId="167" fontId="5" fillId="0" borderId="0" xfId="25" applyNumberFormat="1" applyFill="1" applyBorder="1"/>
    <xf numFmtId="168" fontId="5" fillId="0" borderId="0" xfId="25" applyNumberFormat="1"/>
    <xf numFmtId="168" fontId="5" fillId="0" borderId="0" xfId="25" applyNumberFormat="1" applyFill="1" applyBorder="1"/>
    <xf numFmtId="207" fontId="14" fillId="0" borderId="0" xfId="117" applyNumberFormat="1" applyFont="1" applyFill="1" applyBorder="1" applyAlignment="1">
      <alignment horizontal="center"/>
    </xf>
    <xf numFmtId="167" fontId="14" fillId="0" borderId="0" xfId="117" applyNumberFormat="1" applyFont="1" applyFill="1" applyBorder="1"/>
    <xf numFmtId="43" fontId="131" fillId="0" borderId="0" xfId="117" applyNumberFormat="1" applyFont="1" applyFill="1" applyBorder="1" applyAlignment="1">
      <alignment horizontal="center"/>
    </xf>
    <xf numFmtId="43" fontId="14" fillId="0" borderId="0" xfId="117" applyNumberFormat="1" applyFont="1" applyFill="1" applyBorder="1"/>
    <xf numFmtId="0" fontId="14" fillId="0" borderId="0" xfId="25" applyFont="1" applyAlignment="1">
      <alignment horizontal="left" wrapText="1"/>
    </xf>
    <xf numFmtId="41" fontId="14" fillId="0" borderId="23" xfId="117" applyNumberFormat="1" applyFont="1" applyFill="1" applyBorder="1"/>
    <xf numFmtId="206" fontId="14" fillId="0" borderId="0" xfId="25" applyNumberFormat="1" applyFont="1"/>
    <xf numFmtId="206" fontId="131" fillId="0" borderId="0" xfId="25" applyNumberFormat="1" applyFont="1" applyFill="1" applyBorder="1" applyAlignment="1"/>
    <xf numFmtId="206" fontId="5" fillId="0" borderId="0" xfId="25" applyNumberFormat="1"/>
    <xf numFmtId="206" fontId="5" fillId="0" borderId="0" xfId="25" applyNumberFormat="1" applyBorder="1"/>
    <xf numFmtId="0" fontId="131" fillId="0" borderId="23" xfId="25" applyFont="1" applyFill="1" applyBorder="1" applyAlignment="1"/>
    <xf numFmtId="206" fontId="5" fillId="0" borderId="23" xfId="25" applyNumberFormat="1" applyBorder="1"/>
    <xf numFmtId="206" fontId="14" fillId="0" borderId="23" xfId="117" applyNumberFormat="1" applyFont="1" applyFill="1" applyBorder="1"/>
    <xf numFmtId="206" fontId="131" fillId="0" borderId="0" xfId="25" applyNumberFormat="1" applyFont="1" applyFill="1"/>
    <xf numFmtId="0" fontId="14" fillId="0" borderId="0" xfId="0" applyFont="1" applyFill="1"/>
    <xf numFmtId="167" fontId="14" fillId="0" borderId="0" xfId="1" applyFont="1" applyFill="1"/>
    <xf numFmtId="0" fontId="29" fillId="0" borderId="0" xfId="25" applyFont="1" applyBorder="1" applyAlignment="1">
      <alignment horizontal="left"/>
    </xf>
    <xf numFmtId="168" fontId="131" fillId="0" borderId="28" xfId="25" applyNumberFormat="1" applyFont="1" applyFill="1" applyBorder="1"/>
    <xf numFmtId="0" fontId="5" fillId="0" borderId="0" xfId="25" applyFont="1" applyAlignment="1">
      <alignment horizontal="left"/>
    </xf>
    <xf numFmtId="0" fontId="29" fillId="0" borderId="0" xfId="25" applyFont="1" applyAlignment="1">
      <alignment horizontal="left"/>
    </xf>
    <xf numFmtId="0" fontId="14" fillId="23" borderId="0" xfId="25" applyFont="1" applyFill="1" applyAlignment="1">
      <alignment horizontal="left"/>
    </xf>
    <xf numFmtId="0" fontId="131" fillId="23" borderId="0" xfId="25" applyFont="1" applyFill="1" applyBorder="1"/>
    <xf numFmtId="168" fontId="14" fillId="23" borderId="0" xfId="117" applyNumberFormat="1" applyFont="1" applyFill="1" applyBorder="1"/>
    <xf numFmtId="0" fontId="14" fillId="23" borderId="0" xfId="25" applyFont="1" applyFill="1" applyBorder="1"/>
    <xf numFmtId="0" fontId="14" fillId="23" borderId="0" xfId="0" applyFont="1" applyFill="1"/>
    <xf numFmtId="0" fontId="131" fillId="23" borderId="0" xfId="0" applyFont="1" applyFill="1"/>
    <xf numFmtId="168" fontId="131" fillId="23" borderId="0" xfId="117" applyNumberFormat="1" applyFont="1" applyFill="1" applyBorder="1"/>
    <xf numFmtId="167" fontId="131" fillId="0" borderId="0" xfId="1" applyFont="1" applyFill="1"/>
    <xf numFmtId="0" fontId="14" fillId="23" borderId="0" xfId="25" applyFont="1" applyFill="1" applyBorder="1" applyAlignment="1">
      <alignment horizontal="left"/>
    </xf>
    <xf numFmtId="0" fontId="131" fillId="23" borderId="0" xfId="25" applyFont="1" applyFill="1" applyBorder="1" applyAlignment="1">
      <alignment horizontal="left"/>
    </xf>
    <xf numFmtId="167" fontId="14" fillId="0" borderId="0" xfId="0" applyNumberFormat="1" applyFont="1" applyFill="1"/>
    <xf numFmtId="0" fontId="131" fillId="0" borderId="0" xfId="0" applyFont="1" applyFill="1"/>
    <xf numFmtId="168" fontId="131" fillId="0" borderId="28" xfId="117" applyNumberFormat="1" applyFont="1" applyFill="1" applyBorder="1"/>
    <xf numFmtId="0" fontId="14" fillId="0" borderId="0" xfId="25" applyFont="1" applyFill="1" applyBorder="1" applyAlignment="1"/>
    <xf numFmtId="0" fontId="14" fillId="0" borderId="23" xfId="25" applyFont="1" applyFill="1" applyBorder="1" applyAlignment="1"/>
    <xf numFmtId="206" fontId="131" fillId="0" borderId="28" xfId="117" applyNumberFormat="1" applyFont="1" applyFill="1" applyBorder="1" applyAlignment="1">
      <alignment horizontal="center"/>
    </xf>
    <xf numFmtId="0" fontId="16" fillId="0" borderId="0" xfId="25" applyFont="1" applyFill="1"/>
    <xf numFmtId="168" fontId="14" fillId="0" borderId="0" xfId="25" applyNumberFormat="1" applyFont="1" applyBorder="1"/>
    <xf numFmtId="206" fontId="131" fillId="0" borderId="23" xfId="117" applyNumberFormat="1" applyFont="1" applyFill="1" applyBorder="1"/>
    <xf numFmtId="0" fontId="14" fillId="87" borderId="0" xfId="25" applyFont="1" applyFill="1" applyAlignment="1">
      <alignment horizontal="left"/>
    </xf>
    <xf numFmtId="0" fontId="14" fillId="87" borderId="0" xfId="25" applyFont="1" applyFill="1" applyBorder="1"/>
    <xf numFmtId="206" fontId="14" fillId="87" borderId="0" xfId="117" applyNumberFormat="1" applyFont="1" applyFill="1" applyBorder="1" applyAlignment="1">
      <alignment horizontal="center"/>
    </xf>
    <xf numFmtId="168" fontId="14" fillId="87" borderId="0" xfId="117" applyNumberFormat="1" applyFont="1" applyFill="1" applyBorder="1"/>
    <xf numFmtId="0" fontId="5" fillId="0" borderId="15" xfId="25" applyFill="1" applyBorder="1"/>
    <xf numFmtId="0" fontId="16" fillId="0" borderId="0" xfId="25" applyFont="1" applyFill="1" applyBorder="1" applyAlignment="1"/>
    <xf numFmtId="206" fontId="131" fillId="0" borderId="23" xfId="117" applyNumberFormat="1" applyFont="1" applyFill="1" applyBorder="1" applyAlignment="1">
      <alignment horizontal="center"/>
    </xf>
    <xf numFmtId="43" fontId="5" fillId="0" borderId="0" xfId="25" applyNumberFormat="1" applyFill="1"/>
    <xf numFmtId="0" fontId="29" fillId="0" borderId="0" xfId="25" applyFont="1"/>
    <xf numFmtId="0" fontId="5" fillId="21" borderId="0" xfId="25" applyFill="1" applyAlignment="1">
      <alignment horizontal="left"/>
    </xf>
    <xf numFmtId="0" fontId="131" fillId="21" borderId="15" xfId="25" applyFont="1" applyFill="1" applyBorder="1"/>
    <xf numFmtId="206" fontId="131" fillId="21" borderId="15" xfId="25" applyNumberFormat="1" applyFont="1" applyFill="1" applyBorder="1"/>
    <xf numFmtId="0" fontId="5" fillId="0" borderId="23" xfId="25" applyBorder="1"/>
    <xf numFmtId="0" fontId="5" fillId="0" borderId="0" xfId="25" applyFont="1"/>
    <xf numFmtId="43" fontId="131" fillId="0" borderId="0" xfId="117" applyNumberFormat="1" applyFont="1" applyFill="1" applyBorder="1"/>
    <xf numFmtId="167" fontId="5" fillId="0" borderId="23" xfId="25" applyNumberFormat="1" applyFill="1" applyBorder="1"/>
    <xf numFmtId="0" fontId="36" fillId="0" borderId="0" xfId="25" applyFont="1" applyFill="1" applyBorder="1" applyAlignment="1"/>
    <xf numFmtId="0" fontId="133" fillId="0" borderId="0" xfId="25" applyFont="1" applyFill="1" applyBorder="1"/>
    <xf numFmtId="0" fontId="133" fillId="0" borderId="23" xfId="25" applyFont="1" applyFill="1" applyBorder="1"/>
    <xf numFmtId="206" fontId="14" fillId="0" borderId="23" xfId="25" applyNumberFormat="1" applyFont="1" applyBorder="1"/>
    <xf numFmtId="208" fontId="5" fillId="0" borderId="0" xfId="25" applyNumberFormat="1"/>
    <xf numFmtId="0" fontId="133" fillId="0" borderId="24" xfId="25" applyFont="1" applyFill="1" applyBorder="1"/>
    <xf numFmtId="206" fontId="131" fillId="0" borderId="24" xfId="117" applyNumberFormat="1" applyFont="1" applyFill="1" applyBorder="1"/>
    <xf numFmtId="206" fontId="5" fillId="0" borderId="0" xfId="25" applyNumberFormat="1" applyFont="1" applyFill="1" applyBorder="1"/>
    <xf numFmtId="168" fontId="5" fillId="0" borderId="23" xfId="25" applyNumberFormat="1" applyBorder="1"/>
    <xf numFmtId="209" fontId="14" fillId="0" borderId="0" xfId="117" applyNumberFormat="1" applyFont="1" applyFill="1" applyBorder="1"/>
    <xf numFmtId="0" fontId="29" fillId="0" borderId="0" xfId="25" applyFont="1" applyFill="1"/>
    <xf numFmtId="168" fontId="131" fillId="0" borderId="24" xfId="117" applyNumberFormat="1" applyFont="1" applyFill="1" applyBorder="1"/>
    <xf numFmtId="0" fontId="133" fillId="0" borderId="15" xfId="25" applyFont="1" applyFill="1" applyBorder="1"/>
    <xf numFmtId="43" fontId="131" fillId="0" borderId="0" xfId="25" applyNumberFormat="1" applyFont="1" applyFill="1" applyBorder="1"/>
    <xf numFmtId="206" fontId="131" fillId="0" borderId="24" xfId="25" applyNumberFormat="1" applyFont="1" applyFill="1" applyBorder="1"/>
    <xf numFmtId="168" fontId="5" fillId="0" borderId="0" xfId="25" applyNumberFormat="1" applyFill="1"/>
    <xf numFmtId="168" fontId="5" fillId="0" borderId="23" xfId="25" applyNumberFormat="1" applyFill="1" applyBorder="1"/>
    <xf numFmtId="41" fontId="21" fillId="0" borderId="15" xfId="0" applyNumberFormat="1" applyFont="1" applyFill="1" applyBorder="1"/>
    <xf numFmtId="206" fontId="14" fillId="21" borderId="0" xfId="117" applyNumberFormat="1" applyFont="1" applyFill="1" applyBorder="1" applyAlignment="1">
      <alignment horizontal="center"/>
    </xf>
    <xf numFmtId="206" fontId="14" fillId="21" borderId="0" xfId="117" applyNumberFormat="1" applyFont="1" applyFill="1" applyBorder="1"/>
    <xf numFmtId="206" fontId="131" fillId="21" borderId="0" xfId="117" applyNumberFormat="1" applyFont="1" applyFill="1" applyBorder="1"/>
    <xf numFmtId="168" fontId="14" fillId="21" borderId="0" xfId="117" applyNumberFormat="1" applyFont="1" applyFill="1" applyBorder="1"/>
    <xf numFmtId="206" fontId="14" fillId="23" borderId="0" xfId="117" applyNumberFormat="1" applyFont="1" applyFill="1" applyBorder="1"/>
    <xf numFmtId="167" fontId="0" fillId="86" borderId="0" xfId="0" applyNumberFormat="1" applyFill="1"/>
    <xf numFmtId="167" fontId="0" fillId="23" borderId="0" xfId="0" applyNumberFormat="1" applyFill="1"/>
    <xf numFmtId="41" fontId="21" fillId="21" borderId="15" xfId="0" applyNumberFormat="1" applyFont="1" applyFill="1" applyBorder="1"/>
    <xf numFmtId="41" fontId="21" fillId="0" borderId="15" xfId="1" applyNumberFormat="1" applyFont="1" applyFill="1" applyBorder="1" applyProtection="1"/>
    <xf numFmtId="41" fontId="21" fillId="0" borderId="0" xfId="1" quotePrefix="1" applyNumberFormat="1" applyFont="1" applyFill="1" applyBorder="1"/>
    <xf numFmtId="41" fontId="22" fillId="0" borderId="0" xfId="178" applyNumberFormat="1" applyFont="1" applyFill="1" applyBorder="1" applyAlignment="1">
      <alignment horizontal="center"/>
    </xf>
    <xf numFmtId="41" fontId="22" fillId="0" borderId="0" xfId="1" applyNumberFormat="1" applyFont="1" applyFill="1" applyBorder="1" applyAlignment="1">
      <alignment horizontal="center"/>
    </xf>
    <xf numFmtId="41" fontId="21" fillId="0" borderId="23" xfId="178" applyNumberFormat="1" applyFont="1" applyFill="1" applyBorder="1"/>
    <xf numFmtId="41" fontId="21" fillId="0" borderId="30" xfId="178" applyNumberFormat="1" applyFont="1" applyFill="1" applyBorder="1"/>
    <xf numFmtId="41" fontId="21" fillId="0" borderId="26" xfId="178" applyNumberFormat="1" applyFont="1" applyFill="1" applyBorder="1"/>
    <xf numFmtId="0" fontId="21" fillId="0" borderId="28" xfId="178" applyFont="1" applyFill="1" applyBorder="1"/>
    <xf numFmtId="41" fontId="21" fillId="0" borderId="25" xfId="178" applyNumberFormat="1" applyFont="1" applyFill="1" applyBorder="1"/>
    <xf numFmtId="0" fontId="42" fillId="0" borderId="0" xfId="0" applyFont="1" applyFill="1" applyAlignment="1">
      <alignment vertical="top"/>
    </xf>
    <xf numFmtId="0" fontId="5" fillId="0" borderId="33" xfId="0" applyFont="1" applyBorder="1" applyAlignment="1">
      <alignment horizontal="left"/>
    </xf>
    <xf numFmtId="4" fontId="21" fillId="0" borderId="0" xfId="0" applyNumberFormat="1" applyFont="1" applyFill="1" applyBorder="1" applyAlignment="1">
      <alignment horizontal="center"/>
    </xf>
    <xf numFmtId="4" fontId="22" fillId="0" borderId="0" xfId="0" applyNumberFormat="1" applyFont="1" applyFill="1" applyBorder="1" applyAlignment="1">
      <alignment horizontal="center"/>
    </xf>
    <xf numFmtId="4" fontId="21" fillId="0" borderId="0" xfId="0" applyNumberFormat="1" applyFont="1" applyFill="1" applyAlignment="1">
      <alignment horizontal="center"/>
    </xf>
    <xf numFmtId="4" fontId="22" fillId="0" borderId="0" xfId="0" applyNumberFormat="1" applyFont="1" applyFill="1" applyBorder="1"/>
    <xf numFmtId="41" fontId="21" fillId="0" borderId="0" xfId="1" applyNumberFormat="1" applyFont="1" applyFill="1" applyBorder="1" applyAlignment="1">
      <alignment horizontal="right"/>
    </xf>
    <xf numFmtId="4" fontId="21" fillId="0" borderId="0" xfId="0" applyNumberFormat="1" applyFont="1" applyFill="1" applyBorder="1"/>
    <xf numFmtId="41" fontId="22" fillId="0" borderId="23" xfId="1" applyNumberFormat="1" applyFont="1" applyFill="1" applyBorder="1" applyAlignment="1">
      <alignment horizontal="right"/>
    </xf>
    <xf numFmtId="174" fontId="22" fillId="0" borderId="0" xfId="0" applyNumberFormat="1" applyFont="1" applyFill="1" applyBorder="1"/>
    <xf numFmtId="41" fontId="21" fillId="0" borderId="25" xfId="1" applyNumberFormat="1" applyFont="1" applyFill="1" applyBorder="1" applyAlignment="1">
      <alignment horizontal="right"/>
    </xf>
    <xf numFmtId="41" fontId="21" fillId="0" borderId="30" xfId="1" applyNumberFormat="1" applyFont="1" applyFill="1" applyBorder="1" applyAlignment="1">
      <alignment horizontal="right"/>
    </xf>
    <xf numFmtId="41" fontId="21" fillId="0" borderId="26" xfId="1" applyNumberFormat="1" applyFont="1" applyFill="1" applyBorder="1" applyAlignment="1">
      <alignment horizontal="right"/>
    </xf>
    <xf numFmtId="41" fontId="22" fillId="0" borderId="0" xfId="1" applyNumberFormat="1" applyFont="1" applyFill="1" applyBorder="1" applyAlignment="1">
      <alignment horizontal="right"/>
    </xf>
    <xf numFmtId="41" fontId="22" fillId="0" borderId="24" xfId="1" applyNumberFormat="1" applyFont="1" applyFill="1" applyBorder="1" applyAlignment="1">
      <alignment horizontal="right"/>
    </xf>
    <xf numFmtId="174" fontId="21" fillId="0" borderId="0" xfId="1" applyNumberFormat="1" applyFont="1" applyFill="1" applyBorder="1" applyAlignment="1">
      <alignment horizontal="right"/>
    </xf>
    <xf numFmtId="41" fontId="21" fillId="0" borderId="28" xfId="1" applyNumberFormat="1" applyFont="1" applyFill="1" applyBorder="1" applyAlignment="1">
      <alignment horizontal="right"/>
    </xf>
    <xf numFmtId="0" fontId="22" fillId="0" borderId="0" xfId="18" applyFont="1" applyFill="1" applyBorder="1"/>
    <xf numFmtId="0" fontId="22" fillId="0" borderId="0" xfId="18" applyNumberFormat="1" applyFont="1" applyFill="1" applyBorder="1" applyAlignment="1">
      <alignment horizontal="center"/>
    </xf>
    <xf numFmtId="1" fontId="22" fillId="0" borderId="0" xfId="18" quotePrefix="1" applyNumberFormat="1" applyFont="1" applyFill="1" applyBorder="1" applyAlignment="1">
      <alignment horizontal="center"/>
    </xf>
    <xf numFmtId="174" fontId="22" fillId="0" borderId="0" xfId="18" quotePrefix="1" applyNumberFormat="1" applyFont="1" applyFill="1" applyBorder="1" applyAlignment="1">
      <alignment horizontal="center"/>
    </xf>
    <xf numFmtId="0" fontId="22" fillId="0" borderId="0" xfId="1" applyNumberFormat="1" applyFont="1" applyFill="1" applyBorder="1" applyAlignment="1">
      <alignment horizontal="center"/>
    </xf>
    <xf numFmtId="174" fontId="22" fillId="0" borderId="0" xfId="1" applyNumberFormat="1" applyFont="1" applyFill="1" applyBorder="1" applyAlignment="1">
      <alignment horizontal="center"/>
    </xf>
    <xf numFmtId="41" fontId="21" fillId="0" borderId="23" xfId="1" applyNumberFormat="1" applyFont="1" applyFill="1" applyBorder="1" applyAlignment="1">
      <alignment horizontal="right"/>
    </xf>
    <xf numFmtId="174" fontId="22" fillId="0" borderId="0" xfId="1" applyNumberFormat="1" applyFont="1" applyFill="1" applyBorder="1"/>
    <xf numFmtId="168" fontId="21" fillId="0" borderId="0" xfId="1" applyNumberFormat="1" applyFont="1" applyFill="1" applyBorder="1" applyProtection="1"/>
    <xf numFmtId="0" fontId="22" fillId="0" borderId="0" xfId="1" applyNumberFormat="1" applyFont="1" applyFill="1" applyBorder="1" applyAlignment="1" applyProtection="1">
      <alignment horizontal="center"/>
    </xf>
    <xf numFmtId="174" fontId="21" fillId="0" borderId="0" xfId="1" applyNumberFormat="1" applyFont="1" applyFill="1" applyBorder="1" applyProtection="1"/>
    <xf numFmtId="168" fontId="22" fillId="0" borderId="0" xfId="1" applyNumberFormat="1" applyFont="1" applyFill="1" applyBorder="1" applyAlignment="1" applyProtection="1">
      <alignment horizontal="left"/>
    </xf>
    <xf numFmtId="174" fontId="22" fillId="0" borderId="0" xfId="1" applyNumberFormat="1" applyFont="1" applyFill="1" applyBorder="1" applyProtection="1"/>
    <xf numFmtId="168" fontId="21" fillId="0" borderId="0" xfId="1" applyNumberFormat="1" applyFont="1" applyFill="1" applyBorder="1" applyAlignment="1" applyProtection="1">
      <alignment horizontal="left"/>
    </xf>
    <xf numFmtId="0" fontId="21" fillId="0" borderId="0" xfId="1" applyNumberFormat="1" applyFont="1" applyFill="1" applyBorder="1" applyAlignment="1" applyProtection="1">
      <alignment horizontal="center"/>
    </xf>
    <xf numFmtId="41" fontId="22" fillId="0" borderId="0" xfId="1" applyNumberFormat="1" applyFont="1" applyFill="1" applyBorder="1" applyProtection="1"/>
    <xf numFmtId="168" fontId="21" fillId="0" borderId="0" xfId="1" applyNumberFormat="1" applyFont="1" applyFill="1" applyBorder="1" applyAlignment="1" applyProtection="1">
      <alignment horizontal="justify" vertical="top"/>
    </xf>
    <xf numFmtId="168" fontId="22" fillId="0" borderId="0" xfId="1" applyNumberFormat="1" applyFont="1" applyFill="1" applyBorder="1" applyProtection="1"/>
    <xf numFmtId="41" fontId="22" fillId="0" borderId="13" xfId="1" applyNumberFormat="1" applyFont="1" applyFill="1" applyBorder="1" applyProtection="1"/>
    <xf numFmtId="0" fontId="21" fillId="21" borderId="0" xfId="0" applyFont="1" applyFill="1" applyBorder="1" applyAlignment="1">
      <alignment horizontal="left" indent="1"/>
    </xf>
    <xf numFmtId="1" fontId="5" fillId="21" borderId="30" xfId="178" applyNumberFormat="1" applyFont="1" applyFill="1" applyBorder="1" applyAlignment="1">
      <alignment horizontal="center"/>
    </xf>
    <xf numFmtId="10" fontId="5" fillId="21" borderId="0" xfId="178" applyNumberFormat="1" applyFont="1" applyFill="1" applyBorder="1" applyAlignment="1">
      <alignment horizontal="center"/>
    </xf>
    <xf numFmtId="41" fontId="5" fillId="21" borderId="30" xfId="178" applyNumberFormat="1" applyFont="1" applyFill="1" applyBorder="1" applyAlignment="1">
      <alignment horizontal="center"/>
    </xf>
    <xf numFmtId="41" fontId="5" fillId="21" borderId="30" xfId="2" applyNumberFormat="1" applyFont="1" applyFill="1" applyBorder="1" applyAlignment="1">
      <alignment horizontal="center"/>
    </xf>
    <xf numFmtId="41" fontId="5" fillId="21" borderId="30" xfId="2" applyNumberFormat="1" applyFont="1" applyFill="1" applyBorder="1"/>
    <xf numFmtId="41" fontId="5" fillId="21" borderId="34" xfId="178" applyNumberFormat="1" applyFont="1" applyFill="1" applyBorder="1"/>
    <xf numFmtId="0" fontId="5" fillId="21" borderId="46" xfId="178" quotePrefix="1" applyFont="1" applyFill="1" applyBorder="1" applyAlignment="1">
      <alignment horizontal="left" indent="1"/>
    </xf>
    <xf numFmtId="0" fontId="5" fillId="92" borderId="46" xfId="178" applyFont="1" applyFill="1" applyBorder="1"/>
    <xf numFmtId="1" fontId="5" fillId="92" borderId="30" xfId="178" applyNumberFormat="1" applyFont="1" applyFill="1" applyBorder="1" applyAlignment="1">
      <alignment horizontal="center"/>
    </xf>
    <xf numFmtId="41" fontId="5" fillId="92" borderId="30" xfId="178" applyNumberFormat="1" applyFont="1" applyFill="1" applyBorder="1" applyAlignment="1">
      <alignment horizontal="center"/>
    </xf>
    <xf numFmtId="41" fontId="5" fillId="92" borderId="30" xfId="2" applyNumberFormat="1" applyFont="1" applyFill="1" applyBorder="1" applyAlignment="1">
      <alignment horizontal="center"/>
    </xf>
    <xf numFmtId="41" fontId="5" fillId="92" borderId="30" xfId="2" applyNumberFormat="1" applyFont="1" applyFill="1" applyBorder="1"/>
    <xf numFmtId="41" fontId="5" fillId="92" borderId="34" xfId="178" applyNumberFormat="1" applyFont="1" applyFill="1" applyBorder="1"/>
    <xf numFmtId="0" fontId="5" fillId="92" borderId="46" xfId="178" quotePrefix="1" applyFont="1" applyFill="1" applyBorder="1" applyAlignment="1">
      <alignment horizontal="left" indent="1"/>
    </xf>
    <xf numFmtId="169" fontId="54" fillId="0" borderId="0" xfId="178" applyNumberFormat="1" applyFont="1" applyFill="1"/>
    <xf numFmtId="9" fontId="5" fillId="92" borderId="30" xfId="19" applyFont="1" applyFill="1" applyBorder="1" applyAlignment="1">
      <alignment horizontal="center"/>
    </xf>
    <xf numFmtId="169" fontId="54" fillId="0" borderId="159" xfId="178" applyNumberFormat="1" applyFont="1" applyFill="1" applyBorder="1"/>
    <xf numFmtId="167" fontId="0" fillId="0" borderId="4" xfId="1" applyFont="1" applyFill="1" applyBorder="1"/>
    <xf numFmtId="43" fontId="51" fillId="0" borderId="57" xfId="0" applyNumberFormat="1" applyFont="1" applyFill="1" applyBorder="1"/>
    <xf numFmtId="41" fontId="21" fillId="0" borderId="24" xfId="1" applyNumberFormat="1" applyFont="1" applyFill="1" applyBorder="1"/>
    <xf numFmtId="9" fontId="21" fillId="0" borderId="0" xfId="19" applyFont="1" applyFill="1" applyBorder="1"/>
    <xf numFmtId="37" fontId="21" fillId="0" borderId="15" xfId="0" applyNumberFormat="1" applyFont="1" applyFill="1" applyBorder="1"/>
    <xf numFmtId="180" fontId="21" fillId="0" borderId="15" xfId="1" applyNumberFormat="1" applyFont="1" applyFill="1" applyBorder="1"/>
    <xf numFmtId="37" fontId="21" fillId="0" borderId="28" xfId="0" applyNumberFormat="1" applyFont="1" applyFill="1" applyBorder="1"/>
    <xf numFmtId="37" fontId="21" fillId="0" borderId="23" xfId="0" applyNumberFormat="1" applyFont="1" applyFill="1" applyBorder="1"/>
    <xf numFmtId="37" fontId="21" fillId="0" borderId="27" xfId="0" quotePrefix="1" applyNumberFormat="1" applyFont="1" applyFill="1" applyBorder="1"/>
    <xf numFmtId="10" fontId="21" fillId="0" borderId="28" xfId="0" applyNumberFormat="1" applyFont="1" applyFill="1" applyBorder="1"/>
    <xf numFmtId="37" fontId="21" fillId="0" borderId="31" xfId="0" quotePrefix="1" applyNumberFormat="1" applyFont="1" applyFill="1" applyBorder="1"/>
    <xf numFmtId="10" fontId="21" fillId="0" borderId="23" xfId="0" applyNumberFormat="1" applyFont="1" applyFill="1" applyBorder="1"/>
    <xf numFmtId="180" fontId="21" fillId="0" borderId="28" xfId="1" applyNumberFormat="1" applyFont="1" applyFill="1" applyBorder="1"/>
    <xf numFmtId="41" fontId="21" fillId="0" borderId="29" xfId="1" applyNumberFormat="1" applyFont="1" applyFill="1" applyBorder="1"/>
    <xf numFmtId="180" fontId="21" fillId="0" borderId="23" xfId="1" applyNumberFormat="1" applyFont="1" applyFill="1" applyBorder="1"/>
    <xf numFmtId="41" fontId="21" fillId="0" borderId="32" xfId="1" applyNumberFormat="1" applyFont="1" applyFill="1" applyBorder="1"/>
    <xf numFmtId="41" fontId="21" fillId="0" borderId="30" xfId="0" applyNumberFormat="1" applyFont="1" applyFill="1" applyBorder="1" applyAlignment="1"/>
    <xf numFmtId="41" fontId="21" fillId="0" borderId="26" xfId="0" applyNumberFormat="1" applyFont="1" applyFill="1" applyBorder="1" applyAlignment="1"/>
    <xf numFmtId="37" fontId="21" fillId="0" borderId="0" xfId="0" applyNumberFormat="1" applyFont="1" applyFill="1" applyBorder="1" applyAlignment="1">
      <alignment vertical="top" wrapText="1"/>
    </xf>
    <xf numFmtId="37" fontId="21" fillId="0" borderId="0" xfId="0" applyNumberFormat="1" applyFont="1" applyFill="1" applyBorder="1" applyAlignment="1">
      <alignment horizontal="justify" vertical="top" wrapText="1"/>
    </xf>
    <xf numFmtId="41" fontId="22" fillId="0" borderId="0" xfId="1" applyNumberFormat="1" applyFont="1" applyFill="1" applyBorder="1" applyAlignment="1">
      <alignment horizontal="center"/>
    </xf>
    <xf numFmtId="177" fontId="115" fillId="0" borderId="0" xfId="1" applyNumberFormat="1" applyFont="1" applyFill="1" applyBorder="1"/>
    <xf numFmtId="168" fontId="24" fillId="18" borderId="25" xfId="1" applyNumberFormat="1" applyFont="1" applyFill="1" applyBorder="1" applyAlignment="1">
      <alignment horizontal="center"/>
    </xf>
    <xf numFmtId="41" fontId="24" fillId="20" borderId="31" xfId="0" applyNumberFormat="1" applyFont="1" applyFill="1" applyBorder="1"/>
    <xf numFmtId="41" fontId="24" fillId="20" borderId="26" xfId="0" applyNumberFormat="1" applyFont="1" applyFill="1" applyBorder="1"/>
    <xf numFmtId="41" fontId="24" fillId="20" borderId="23" xfId="0" applyNumberFormat="1" applyFont="1" applyFill="1" applyBorder="1" applyAlignment="1">
      <alignment horizontal="right"/>
    </xf>
    <xf numFmtId="41" fontId="24" fillId="20" borderId="26" xfId="2" applyNumberFormat="1" applyFont="1" applyFill="1" applyBorder="1" applyAlignment="1">
      <alignment horizontal="center"/>
    </xf>
    <xf numFmtId="41" fontId="24" fillId="20" borderId="26" xfId="2" applyNumberFormat="1" applyFont="1" applyFill="1" applyBorder="1"/>
    <xf numFmtId="41" fontId="24" fillId="20" borderId="47" xfId="0" applyNumberFormat="1" applyFont="1" applyFill="1" applyBorder="1"/>
    <xf numFmtId="167" fontId="0" fillId="15" borderId="0" xfId="1" applyFont="1" applyFill="1"/>
    <xf numFmtId="167" fontId="5" fillId="15" borderId="0" xfId="1" applyFont="1" applyFill="1"/>
    <xf numFmtId="167" fontId="0" fillId="15" borderId="28" xfId="1" applyFont="1" applyFill="1" applyBorder="1"/>
    <xf numFmtId="167" fontId="0" fillId="0" borderId="28" xfId="1" applyFont="1" applyFill="1" applyBorder="1"/>
    <xf numFmtId="41" fontId="21" fillId="93" borderId="0" xfId="0" applyNumberFormat="1" applyFont="1" applyFill="1" applyBorder="1" applyAlignment="1">
      <alignment horizontal="center"/>
    </xf>
    <xf numFmtId="168" fontId="0" fillId="0" borderId="128" xfId="0" applyNumberFormat="1" applyFill="1" applyBorder="1"/>
    <xf numFmtId="169" fontId="51" fillId="0" borderId="4" xfId="0" applyNumberFormat="1" applyFont="1" applyFill="1" applyBorder="1"/>
    <xf numFmtId="0" fontId="5" fillId="0" borderId="0" xfId="687" applyFont="1" applyFill="1" applyBorder="1"/>
    <xf numFmtId="168" fontId="119" fillId="11" borderId="0" xfId="1" applyNumberFormat="1" applyFont="1" applyFill="1"/>
    <xf numFmtId="168" fontId="0" fillId="0" borderId="24" xfId="1" applyNumberFormat="1" applyFont="1" applyFill="1" applyBorder="1"/>
    <xf numFmtId="174" fontId="21" fillId="0" borderId="0" xfId="0" applyNumberFormat="1" applyFont="1" applyFill="1" applyBorder="1" applyAlignment="1">
      <alignment horizontal="center"/>
    </xf>
    <xf numFmtId="0" fontId="22" fillId="0" borderId="0" xfId="0" applyFont="1" applyFill="1" applyBorder="1" applyAlignment="1">
      <alignment horizontal="center"/>
    </xf>
    <xf numFmtId="41" fontId="22" fillId="0" borderId="0" xfId="1" applyNumberFormat="1" applyFont="1" applyFill="1" applyBorder="1" applyAlignment="1">
      <alignment horizontal="center"/>
    </xf>
    <xf numFmtId="179" fontId="21" fillId="0" borderId="0" xfId="0" applyNumberFormat="1" applyFont="1"/>
    <xf numFmtId="0" fontId="21" fillId="0" borderId="12" xfId="0" applyFont="1" applyFill="1" applyBorder="1" applyAlignment="1"/>
    <xf numFmtId="0" fontId="21" fillId="0" borderId="12" xfId="0" applyFont="1" applyFill="1" applyBorder="1" applyAlignment="1">
      <alignment horizontal="center"/>
    </xf>
    <xf numFmtId="174" fontId="21" fillId="0" borderId="0" xfId="0" applyNumberFormat="1" applyFont="1" applyFill="1" applyBorder="1" applyAlignment="1"/>
    <xf numFmtId="179" fontId="21" fillId="0" borderId="0" xfId="1" applyNumberFormat="1" applyFont="1" applyFill="1" applyBorder="1" applyAlignment="1">
      <alignment horizontal="right"/>
    </xf>
    <xf numFmtId="179" fontId="21" fillId="0" borderId="0" xfId="0" applyNumberFormat="1" applyFont="1" applyFill="1" applyBorder="1" applyAlignment="1">
      <alignment horizontal="center"/>
    </xf>
    <xf numFmtId="168" fontId="21" fillId="0" borderId="0" xfId="1" applyNumberFormat="1" applyFont="1" applyFill="1" applyBorder="1" applyAlignment="1">
      <alignment horizontal="right"/>
    </xf>
    <xf numFmtId="179" fontId="21" fillId="0" borderId="0" xfId="0" applyNumberFormat="1" applyFont="1" applyFill="1" applyBorder="1" applyAlignment="1"/>
    <xf numFmtId="179" fontId="21" fillId="0" borderId="0" xfId="0" applyNumberFormat="1" applyFont="1" applyFill="1" applyBorder="1" applyAlignment="1">
      <alignment horizontal="right"/>
    </xf>
    <xf numFmtId="179" fontId="21" fillId="0" borderId="0" xfId="1" applyNumberFormat="1" applyFont="1" applyFill="1" applyBorder="1" applyAlignment="1"/>
    <xf numFmtId="179" fontId="22" fillId="0" borderId="24" xfId="1" applyNumberFormat="1" applyFont="1" applyFill="1" applyBorder="1" applyAlignment="1">
      <alignment horizontal="right"/>
    </xf>
    <xf numFmtId="179" fontId="22" fillId="0" borderId="0" xfId="0" applyNumberFormat="1" applyFont="1" applyFill="1" applyBorder="1" applyAlignment="1">
      <alignment horizontal="center"/>
    </xf>
    <xf numFmtId="179" fontId="23" fillId="0" borderId="0" xfId="0" applyNumberFormat="1" applyFont="1" applyFill="1" applyBorder="1" applyAlignment="1">
      <alignment horizontal="right"/>
    </xf>
    <xf numFmtId="179" fontId="21" fillId="0" borderId="0" xfId="0" applyNumberFormat="1" applyFont="1" applyFill="1" applyBorder="1"/>
    <xf numFmtId="0" fontId="21" fillId="0" borderId="12" xfId="0" applyFont="1" applyFill="1" applyBorder="1"/>
    <xf numFmtId="179" fontId="22" fillId="0" borderId="24" xfId="1" applyNumberFormat="1" applyFont="1" applyFill="1" applyBorder="1"/>
    <xf numFmtId="179" fontId="22" fillId="0" borderId="0" xfId="0" applyNumberFormat="1" applyFont="1" applyFill="1" applyBorder="1"/>
    <xf numFmtId="179" fontId="21" fillId="0" borderId="0" xfId="1" applyNumberFormat="1" applyFont="1" applyFill="1" applyBorder="1"/>
    <xf numFmtId="179" fontId="21" fillId="0" borderId="25" xfId="0" applyNumberFormat="1" applyFont="1" applyFill="1" applyBorder="1"/>
    <xf numFmtId="179" fontId="21" fillId="0" borderId="25" xfId="1" applyNumberFormat="1" applyFont="1" applyFill="1" applyBorder="1" applyAlignment="1">
      <alignment horizontal="right"/>
    </xf>
    <xf numFmtId="179" fontId="21" fillId="0" borderId="26" xfId="0" applyNumberFormat="1" applyFont="1" applyFill="1" applyBorder="1"/>
    <xf numFmtId="179" fontId="21" fillId="0" borderId="26" xfId="1" applyNumberFormat="1" applyFont="1" applyFill="1" applyBorder="1" applyAlignment="1">
      <alignment horizontal="right"/>
    </xf>
    <xf numFmtId="0" fontId="21" fillId="0" borderId="15" xfId="0" applyFont="1" applyFill="1" applyBorder="1"/>
    <xf numFmtId="0" fontId="22" fillId="0" borderId="15" xfId="0" applyFont="1" applyFill="1" applyBorder="1" applyAlignment="1">
      <alignment horizontal="center"/>
    </xf>
    <xf numFmtId="174" fontId="21" fillId="0" borderId="15" xfId="0" applyNumberFormat="1" applyFont="1" applyFill="1" applyBorder="1"/>
    <xf numFmtId="0" fontId="21" fillId="0" borderId="16" xfId="0" applyFont="1" applyFill="1" applyBorder="1"/>
    <xf numFmtId="0" fontId="21" fillId="94" borderId="0" xfId="0" applyFont="1" applyFill="1" applyBorder="1"/>
    <xf numFmtId="0" fontId="0" fillId="21" borderId="0" xfId="0" applyFill="1"/>
    <xf numFmtId="49" fontId="126" fillId="21" borderId="0" xfId="0" applyNumberFormat="1" applyFont="1" applyFill="1"/>
    <xf numFmtId="0" fontId="126" fillId="21" borderId="0" xfId="0" applyFont="1" applyFill="1"/>
    <xf numFmtId="167" fontId="126" fillId="21" borderId="0" xfId="1" applyFont="1" applyFill="1"/>
    <xf numFmtId="167" fontId="126" fillId="21" borderId="0" xfId="1" applyFont="1" applyFill="1" applyBorder="1"/>
    <xf numFmtId="0" fontId="126" fillId="21" borderId="23" xfId="0" applyFont="1" applyFill="1" applyBorder="1"/>
    <xf numFmtId="167" fontId="126" fillId="21" borderId="23" xfId="1" applyFont="1" applyFill="1" applyBorder="1"/>
    <xf numFmtId="49" fontId="126" fillId="21" borderId="0" xfId="0" applyNumberFormat="1" applyFont="1" applyFill="1" applyBorder="1"/>
    <xf numFmtId="0" fontId="126" fillId="21" borderId="0" xfId="0" applyFont="1" applyFill="1" applyBorder="1"/>
    <xf numFmtId="41" fontId="54" fillId="0" borderId="48" xfId="0" applyNumberFormat="1" applyFont="1" applyFill="1" applyBorder="1"/>
    <xf numFmtId="170" fontId="31" fillId="0" borderId="0" xfId="15" applyNumberFormat="1" applyFont="1" applyFill="1" applyBorder="1" applyProtection="1"/>
    <xf numFmtId="0" fontId="21" fillId="0" borderId="0" xfId="0" applyFont="1" applyFill="1" applyBorder="1" applyAlignment="1"/>
    <xf numFmtId="4" fontId="51" fillId="0" borderId="0" xfId="0" applyNumberFormat="1" applyFont="1" applyFill="1" applyBorder="1" applyAlignment="1">
      <alignment horizontal="right"/>
    </xf>
    <xf numFmtId="167" fontId="0" fillId="0" borderId="24" xfId="1" applyFont="1" applyFill="1" applyBorder="1" applyAlignment="1">
      <alignment horizontal="right"/>
    </xf>
    <xf numFmtId="49" fontId="126" fillId="23" borderId="0" xfId="0" applyNumberFormat="1" applyFont="1" applyFill="1"/>
    <xf numFmtId="0" fontId="129" fillId="23" borderId="0" xfId="0" applyFont="1" applyFill="1"/>
    <xf numFmtId="167" fontId="126" fillId="23" borderId="0" xfId="1" applyFont="1" applyFill="1"/>
    <xf numFmtId="0" fontId="0" fillId="23" borderId="0" xfId="0" applyFill="1"/>
    <xf numFmtId="0" fontId="129" fillId="23" borderId="15" xfId="0" applyFont="1" applyFill="1" applyBorder="1"/>
    <xf numFmtId="167" fontId="126" fillId="23" borderId="15" xfId="1" applyFont="1" applyFill="1" applyBorder="1"/>
    <xf numFmtId="167" fontId="128" fillId="23" borderId="0" xfId="1" applyFont="1" applyFill="1"/>
    <xf numFmtId="0" fontId="126" fillId="23" borderId="0" xfId="0" applyFont="1" applyFill="1"/>
    <xf numFmtId="0" fontId="129" fillId="23" borderId="0" xfId="0" applyFont="1" applyFill="1" applyBorder="1"/>
    <xf numFmtId="167" fontId="126" fillId="23" borderId="0" xfId="1" applyFont="1" applyFill="1" applyBorder="1"/>
    <xf numFmtId="0" fontId="0" fillId="23" borderId="4" xfId="0" applyFill="1" applyBorder="1"/>
    <xf numFmtId="0" fontId="0" fillId="23" borderId="6" xfId="0" applyFill="1" applyBorder="1"/>
    <xf numFmtId="0" fontId="0" fillId="23" borderId="0" xfId="0" applyFill="1" applyBorder="1"/>
    <xf numFmtId="0" fontId="5" fillId="23" borderId="6" xfId="0" applyFont="1" applyFill="1" applyBorder="1"/>
    <xf numFmtId="0" fontId="5" fillId="23" borderId="0" xfId="0" applyFont="1" applyFill="1" applyBorder="1"/>
    <xf numFmtId="0" fontId="5" fillId="23" borderId="97" xfId="0" applyFont="1" applyFill="1" applyBorder="1"/>
    <xf numFmtId="0" fontId="0" fillId="23" borderId="128" xfId="0" applyFill="1" applyBorder="1"/>
    <xf numFmtId="0" fontId="0" fillId="23" borderId="157" xfId="0" applyFill="1" applyBorder="1"/>
    <xf numFmtId="0" fontId="0" fillId="23" borderId="156" xfId="0" applyFill="1" applyBorder="1"/>
    <xf numFmtId="167" fontId="0" fillId="87" borderId="0" xfId="0" applyNumberFormat="1" applyFill="1" applyBorder="1"/>
    <xf numFmtId="0" fontId="0" fillId="14" borderId="0" xfId="0" applyFill="1"/>
    <xf numFmtId="167" fontId="0" fillId="14" borderId="0" xfId="1" applyFont="1" applyFill="1" applyAlignment="1">
      <alignment horizontal="right"/>
    </xf>
    <xf numFmtId="167" fontId="0" fillId="14" borderId="0" xfId="0" applyNumberFormat="1" applyFill="1"/>
    <xf numFmtId="0" fontId="5" fillId="14" borderId="0" xfId="687" applyFont="1" applyFill="1"/>
    <xf numFmtId="0" fontId="0" fillId="95" borderId="0" xfId="0" applyFill="1"/>
    <xf numFmtId="167" fontId="0" fillId="95" borderId="0" xfId="1" applyFont="1" applyFill="1" applyAlignment="1">
      <alignment horizontal="right"/>
    </xf>
    <xf numFmtId="167" fontId="0" fillId="95" borderId="0" xfId="0" applyNumberFormat="1" applyFill="1"/>
    <xf numFmtId="0" fontId="5" fillId="95" borderId="0" xfId="687" applyFont="1" applyFill="1"/>
    <xf numFmtId="167" fontId="0" fillId="86" borderId="0" xfId="0" applyNumberFormat="1" applyFill="1" applyBorder="1"/>
    <xf numFmtId="167" fontId="0" fillId="86" borderId="15" xfId="1" applyFont="1" applyFill="1" applyBorder="1" applyAlignment="1">
      <alignment horizontal="right"/>
    </xf>
    <xf numFmtId="0" fontId="5" fillId="14" borderId="0" xfId="0" applyFont="1" applyFill="1"/>
    <xf numFmtId="4" fontId="54" fillId="0" borderId="9" xfId="0" applyNumberFormat="1" applyFont="1" applyBorder="1"/>
    <xf numFmtId="0" fontId="2" fillId="0" borderId="0" xfId="754"/>
    <xf numFmtId="167" fontId="2" fillId="0" borderId="0" xfId="1" applyFont="1"/>
    <xf numFmtId="167" fontId="0" fillId="0" borderId="114" xfId="1" applyFont="1" applyFill="1" applyBorder="1" applyAlignment="1">
      <alignment horizontal="right"/>
    </xf>
    <xf numFmtId="167" fontId="0" fillId="0" borderId="114" xfId="0" applyNumberFormat="1" applyFill="1" applyBorder="1"/>
    <xf numFmtId="41" fontId="54" fillId="0" borderId="26" xfId="0" applyNumberFormat="1" applyFont="1" applyFill="1" applyBorder="1"/>
    <xf numFmtId="3" fontId="116" fillId="0" borderId="18" xfId="1" applyNumberFormat="1" applyFont="1" applyFill="1" applyBorder="1" applyAlignment="1">
      <alignment horizontal="center"/>
    </xf>
    <xf numFmtId="3" fontId="116" fillId="0" borderId="4" xfId="1" applyNumberFormat="1" applyFont="1" applyFill="1" applyBorder="1" applyAlignment="1">
      <alignment horizontal="center"/>
    </xf>
    <xf numFmtId="3" fontId="116" fillId="0" borderId="18" xfId="1" quotePrefix="1" applyNumberFormat="1" applyFont="1" applyFill="1" applyBorder="1" applyAlignment="1">
      <alignment horizontal="center"/>
    </xf>
    <xf numFmtId="16" fontId="116" fillId="0" borderId="18" xfId="0" quotePrefix="1" applyNumberFormat="1" applyFont="1" applyFill="1" applyBorder="1" applyAlignment="1">
      <alignment horizontal="center"/>
    </xf>
    <xf numFmtId="16" fontId="116" fillId="0" borderId="122" xfId="0" quotePrefix="1" applyNumberFormat="1" applyFont="1" applyFill="1" applyBorder="1" applyAlignment="1">
      <alignment horizontal="center"/>
    </xf>
    <xf numFmtId="3" fontId="116" fillId="0" borderId="19" xfId="1" applyNumberFormat="1" applyFont="1" applyFill="1" applyBorder="1" applyAlignment="1">
      <alignment horizontal="center"/>
    </xf>
    <xf numFmtId="3" fontId="116" fillId="0" borderId="30" xfId="0" applyNumberFormat="1" applyFont="1" applyFill="1" applyBorder="1" applyAlignment="1">
      <alignment horizontal="center"/>
    </xf>
    <xf numFmtId="3" fontId="116" fillId="0" borderId="0" xfId="1" applyNumberFormat="1" applyFont="1" applyFill="1" applyBorder="1" applyAlignment="1">
      <alignment horizontal="center"/>
    </xf>
    <xf numFmtId="0" fontId="116" fillId="0" borderId="30" xfId="0" applyFont="1" applyFill="1" applyBorder="1" applyAlignment="1">
      <alignment horizontal="center"/>
    </xf>
    <xf numFmtId="0" fontId="116" fillId="0" borderId="48" xfId="0" applyFont="1" applyFill="1" applyBorder="1" applyAlignment="1">
      <alignment horizontal="center"/>
    </xf>
    <xf numFmtId="0" fontId="116" fillId="0" borderId="34" xfId="0" applyFont="1" applyFill="1" applyBorder="1" applyAlignment="1">
      <alignment horizontal="center"/>
    </xf>
    <xf numFmtId="3" fontId="116" fillId="0" borderId="159" xfId="0" applyNumberFormat="1" applyFont="1" applyFill="1" applyBorder="1" applyAlignment="1">
      <alignment horizontal="center"/>
    </xf>
    <xf numFmtId="3" fontId="116" fillId="0" borderId="156" xfId="1" applyNumberFormat="1" applyFont="1" applyFill="1" applyBorder="1" applyAlignment="1">
      <alignment horizontal="center"/>
    </xf>
    <xf numFmtId="0" fontId="116" fillId="0" borderId="159" xfId="0" applyFont="1" applyFill="1" applyBorder="1" applyAlignment="1">
      <alignment horizontal="center"/>
    </xf>
    <xf numFmtId="0" fontId="116" fillId="0" borderId="162" xfId="0" applyFont="1" applyFill="1" applyBorder="1" applyAlignment="1">
      <alignment horizontal="center"/>
    </xf>
    <xf numFmtId="0" fontId="116" fillId="0" borderId="163" xfId="0" applyFont="1" applyFill="1" applyBorder="1" applyAlignment="1">
      <alignment horizontal="center"/>
    </xf>
    <xf numFmtId="41" fontId="21" fillId="86" borderId="63" xfId="0" applyNumberFormat="1" applyFont="1" applyFill="1" applyBorder="1" applyAlignment="1">
      <alignment horizontal="center"/>
    </xf>
    <xf numFmtId="0" fontId="22" fillId="86" borderId="0" xfId="0" applyFont="1" applyFill="1" applyAlignment="1">
      <alignment horizontal="center"/>
    </xf>
    <xf numFmtId="43" fontId="21" fillId="86" borderId="0" xfId="0" applyNumberFormat="1" applyFont="1" applyFill="1" applyAlignment="1">
      <alignment horizontal="center"/>
    </xf>
    <xf numFmtId="41" fontId="21" fillId="86" borderId="63" xfId="0" applyNumberFormat="1" applyFont="1" applyFill="1" applyBorder="1"/>
    <xf numFmtId="0" fontId="21" fillId="86" borderId="0" xfId="0" applyFont="1" applyFill="1"/>
    <xf numFmtId="3" fontId="21" fillId="86" borderId="63" xfId="0" applyNumberFormat="1" applyFont="1" applyFill="1" applyBorder="1"/>
    <xf numFmtId="173" fontId="51" fillId="5" borderId="10" xfId="0" applyNumberFormat="1" applyFont="1" applyFill="1" applyBorder="1"/>
    <xf numFmtId="0" fontId="22" fillId="0" borderId="79" xfId="0" applyFont="1" applyFill="1" applyBorder="1" applyAlignment="1">
      <alignment horizontal="center"/>
    </xf>
    <xf numFmtId="0" fontId="22" fillId="0" borderId="85" xfId="0" applyFont="1" applyFill="1" applyBorder="1" applyAlignment="1">
      <alignment horizontal="center"/>
    </xf>
    <xf numFmtId="3" fontId="22" fillId="0" borderId="66" xfId="0" applyNumberFormat="1" applyFont="1" applyFill="1" applyBorder="1" applyAlignment="1">
      <alignment horizontal="center"/>
    </xf>
    <xf numFmtId="3" fontId="22" fillId="0" borderId="67" xfId="0" applyNumberFormat="1" applyFont="1" applyFill="1" applyBorder="1" applyAlignment="1">
      <alignment horizontal="center"/>
    </xf>
    <xf numFmtId="0" fontId="22" fillId="0" borderId="84" xfId="0" applyFont="1" applyFill="1" applyBorder="1"/>
    <xf numFmtId="0" fontId="22" fillId="0" borderId="86" xfId="0" applyFont="1" applyFill="1" applyBorder="1" applyAlignment="1">
      <alignment horizontal="center"/>
    </xf>
    <xf numFmtId="176" fontId="21" fillId="0" borderId="68" xfId="0" applyNumberFormat="1" applyFont="1" applyFill="1" applyBorder="1"/>
    <xf numFmtId="176" fontId="21" fillId="0" borderId="69" xfId="0" applyNumberFormat="1" applyFont="1" applyFill="1" applyBorder="1"/>
    <xf numFmtId="0" fontId="21" fillId="0" borderId="86" xfId="0" applyFont="1" applyFill="1" applyBorder="1" applyAlignment="1">
      <alignment horizontal="center"/>
    </xf>
    <xf numFmtId="41" fontId="21" fillId="0" borderId="68" xfId="0" applyNumberFormat="1" applyFont="1" applyFill="1" applyBorder="1"/>
    <xf numFmtId="41" fontId="21" fillId="0" borderId="69" xfId="0" applyNumberFormat="1" applyFont="1" applyFill="1" applyBorder="1"/>
    <xf numFmtId="41" fontId="22" fillId="0" borderId="70" xfId="0" applyNumberFormat="1" applyFont="1" applyFill="1" applyBorder="1"/>
    <xf numFmtId="41" fontId="22" fillId="0" borderId="71" xfId="0" applyNumberFormat="1" applyFont="1" applyFill="1" applyBorder="1"/>
    <xf numFmtId="173" fontId="21" fillId="0" borderId="68" xfId="0" applyNumberFormat="1" applyFont="1" applyFill="1" applyBorder="1"/>
    <xf numFmtId="173" fontId="21" fillId="0" borderId="69" xfId="0" applyNumberFormat="1" applyFont="1" applyFill="1" applyBorder="1"/>
    <xf numFmtId="3" fontId="21" fillId="0" borderId="68" xfId="0" applyNumberFormat="1" applyFont="1" applyFill="1" applyBorder="1"/>
    <xf numFmtId="3" fontId="21" fillId="0" borderId="69" xfId="0" applyNumberFormat="1" applyFont="1" applyFill="1" applyBorder="1"/>
    <xf numFmtId="0" fontId="24" fillId="0" borderId="84" xfId="0" applyFont="1" applyFill="1" applyBorder="1"/>
    <xf numFmtId="0" fontId="24" fillId="0" borderId="86" xfId="0" applyFont="1" applyFill="1" applyBorder="1" applyAlignment="1">
      <alignment horizontal="center"/>
    </xf>
    <xf numFmtId="0" fontId="21" fillId="0" borderId="116" xfId="0" applyFont="1" applyFill="1" applyBorder="1"/>
    <xf numFmtId="0" fontId="21" fillId="0" borderId="87" xfId="0" applyFont="1" applyFill="1" applyBorder="1" applyAlignment="1">
      <alignment horizontal="center"/>
    </xf>
    <xf numFmtId="41" fontId="21" fillId="0" borderId="64" xfId="0" applyNumberFormat="1" applyFont="1" applyFill="1" applyBorder="1"/>
    <xf numFmtId="41" fontId="21" fillId="0" borderId="65" xfId="0" applyNumberFormat="1" applyFont="1" applyFill="1" applyBorder="1"/>
    <xf numFmtId="3" fontId="22" fillId="15" borderId="67" xfId="0" applyNumberFormat="1" applyFont="1" applyFill="1" applyBorder="1" applyAlignment="1">
      <alignment horizontal="center"/>
    </xf>
    <xf numFmtId="176" fontId="21" fillId="15" borderId="69" xfId="0" applyNumberFormat="1" applyFont="1" applyFill="1" applyBorder="1"/>
    <xf numFmtId="41" fontId="21" fillId="15" borderId="69" xfId="0" applyNumberFormat="1" applyFont="1" applyFill="1" applyBorder="1"/>
    <xf numFmtId="41" fontId="22" fillId="15" borderId="71" xfId="0" applyNumberFormat="1" applyFont="1" applyFill="1" applyBorder="1"/>
    <xf numFmtId="173" fontId="21" fillId="15" borderId="69" xfId="0" applyNumberFormat="1" applyFont="1" applyFill="1" applyBorder="1"/>
    <xf numFmtId="3" fontId="21" fillId="15" borderId="69" xfId="0" applyNumberFormat="1" applyFont="1" applyFill="1" applyBorder="1"/>
    <xf numFmtId="41" fontId="21" fillId="15" borderId="65" xfId="0" applyNumberFormat="1" applyFont="1" applyFill="1" applyBorder="1"/>
    <xf numFmtId="3" fontId="22" fillId="15" borderId="5" xfId="0" applyNumberFormat="1" applyFont="1" applyFill="1" applyBorder="1" applyAlignment="1">
      <alignment horizontal="center"/>
    </xf>
    <xf numFmtId="176" fontId="21" fillId="15" borderId="7" xfId="0" applyNumberFormat="1" applyFont="1" applyFill="1" applyBorder="1"/>
    <xf numFmtId="41" fontId="21" fillId="15" borderId="7" xfId="0" applyNumberFormat="1" applyFont="1" applyFill="1" applyBorder="1"/>
    <xf numFmtId="41" fontId="22" fillId="15" borderId="72" xfId="0" applyNumberFormat="1" applyFont="1" applyFill="1" applyBorder="1"/>
    <xf numFmtId="3" fontId="21" fillId="15" borderId="7" xfId="0" applyNumberFormat="1" applyFont="1" applyFill="1" applyBorder="1"/>
    <xf numFmtId="41" fontId="21" fillId="15" borderId="10" xfId="0" applyNumberFormat="1" applyFont="1" applyFill="1" applyBorder="1"/>
    <xf numFmtId="168" fontId="21" fillId="0" borderId="6" xfId="1" quotePrefix="1" applyNumberFormat="1" applyFont="1" applyFill="1" applyBorder="1"/>
    <xf numFmtId="168" fontId="21" fillId="0" borderId="6" xfId="1" applyNumberFormat="1" applyFont="1" applyFill="1" applyBorder="1" applyProtection="1"/>
    <xf numFmtId="37" fontId="15" fillId="0" borderId="30" xfId="0" applyNumberFormat="1" applyFont="1" applyFill="1" applyBorder="1" applyAlignment="1">
      <alignment horizontal="right"/>
    </xf>
    <xf numFmtId="37" fontId="15" fillId="0" borderId="69" xfId="0" applyNumberFormat="1" applyFont="1" applyFill="1" applyBorder="1" applyAlignment="1">
      <alignment horizontal="right"/>
    </xf>
    <xf numFmtId="37" fontId="15" fillId="0" borderId="68" xfId="0" applyNumberFormat="1" applyFont="1" applyFill="1" applyBorder="1" applyAlignment="1">
      <alignment horizontal="right"/>
    </xf>
    <xf numFmtId="37" fontId="15" fillId="0" borderId="30" xfId="0" applyNumberFormat="1" applyFont="1" applyFill="1" applyBorder="1" applyAlignment="1">
      <alignment horizontal="center"/>
    </xf>
    <xf numFmtId="37" fontId="15" fillId="0" borderId="69" xfId="0" applyNumberFormat="1" applyFont="1" applyFill="1" applyBorder="1" applyAlignment="1">
      <alignment horizontal="center"/>
    </xf>
    <xf numFmtId="41" fontId="15" fillId="86" borderId="0" xfId="16" applyNumberFormat="1" applyFont="1" applyFill="1" applyBorder="1"/>
    <xf numFmtId="41" fontId="15" fillId="86" borderId="33" xfId="16" applyNumberFormat="1" applyFont="1" applyFill="1" applyBorder="1"/>
    <xf numFmtId="41" fontId="15" fillId="86" borderId="34" xfId="16" applyNumberFormat="1" applyFont="1" applyFill="1" applyBorder="1"/>
    <xf numFmtId="171" fontId="15" fillId="86" borderId="0" xfId="16" applyNumberFormat="1" applyFont="1" applyFill="1" applyBorder="1"/>
    <xf numFmtId="39" fontId="15" fillId="86" borderId="0" xfId="16" applyNumberFormat="1" applyFont="1" applyFill="1" applyBorder="1"/>
    <xf numFmtId="171" fontId="5" fillId="0" borderId="33" xfId="16" applyNumberFormat="1" applyFont="1" applyFill="1" applyBorder="1"/>
    <xf numFmtId="10" fontId="5" fillId="0" borderId="30" xfId="16" applyNumberFormat="1" applyFont="1" applyFill="1" applyBorder="1" applyAlignment="1">
      <alignment horizontal="center"/>
    </xf>
    <xf numFmtId="171" fontId="5" fillId="0" borderId="33" xfId="16" applyNumberFormat="1" applyFont="1" applyFill="1" applyBorder="1" applyAlignment="1">
      <alignment vertical="center"/>
    </xf>
    <xf numFmtId="41" fontId="15" fillId="0" borderId="30" xfId="16" applyNumberFormat="1" applyFont="1" applyFill="1" applyBorder="1" applyAlignment="1" applyProtection="1">
      <alignment vertical="center"/>
    </xf>
    <xf numFmtId="10" fontId="15" fillId="0" borderId="30" xfId="16" applyNumberFormat="1" applyFont="1" applyFill="1" applyBorder="1" applyAlignment="1">
      <alignment horizontal="center" vertical="center"/>
    </xf>
    <xf numFmtId="0" fontId="5" fillId="0" borderId="30" xfId="16" applyNumberFormat="1" applyFont="1" applyFill="1" applyBorder="1" applyAlignment="1">
      <alignment horizontal="center" vertical="center" wrapText="1"/>
    </xf>
    <xf numFmtId="0" fontId="15" fillId="0" borderId="30" xfId="16" applyNumberFormat="1" applyFont="1" applyFill="1" applyBorder="1" applyAlignment="1">
      <alignment horizontal="center" vertical="center"/>
    </xf>
    <xf numFmtId="41" fontId="15" fillId="0" borderId="34" xfId="16" applyNumberFormat="1" applyFont="1" applyFill="1" applyBorder="1" applyAlignment="1" applyProtection="1">
      <alignment vertical="center"/>
    </xf>
    <xf numFmtId="167" fontId="0" fillId="14" borderId="0" xfId="1" applyFont="1" applyFill="1"/>
    <xf numFmtId="0" fontId="21" fillId="0" borderId="0" xfId="0" applyFont="1" applyFill="1" applyBorder="1" applyAlignment="1"/>
    <xf numFmtId="37" fontId="21" fillId="0" borderId="0" xfId="0" applyNumberFormat="1" applyFont="1" applyFill="1" applyBorder="1" applyAlignment="1">
      <alignment horizontal="justify" vertical="top" wrapText="1"/>
    </xf>
    <xf numFmtId="17" fontId="33" fillId="0" borderId="18" xfId="0" quotePrefix="1" applyNumberFormat="1" applyFont="1" applyFill="1" applyBorder="1" applyAlignment="1">
      <alignment vertical="top" wrapText="1"/>
    </xf>
    <xf numFmtId="43" fontId="33" fillId="0" borderId="19" xfId="1" applyNumberFormat="1" applyFont="1" applyFill="1" applyBorder="1" applyAlignment="1">
      <alignment vertical="top"/>
    </xf>
    <xf numFmtId="17" fontId="33" fillId="0" borderId="30" xfId="0" quotePrefix="1" applyNumberFormat="1" applyFont="1" applyFill="1" applyBorder="1" applyAlignment="1">
      <alignment vertical="top" wrapText="1"/>
    </xf>
    <xf numFmtId="0" fontId="33" fillId="0" borderId="34" xfId="0" applyFont="1" applyFill="1" applyBorder="1" applyAlignment="1">
      <alignment horizontal="center" vertical="top" wrapText="1"/>
    </xf>
    <xf numFmtId="17" fontId="33" fillId="0" borderId="26" xfId="0" quotePrefix="1" applyNumberFormat="1" applyFont="1" applyFill="1" applyBorder="1" applyAlignment="1">
      <alignment vertical="top" wrapText="1"/>
    </xf>
    <xf numFmtId="43" fontId="33" fillId="0" borderId="34" xfId="1" applyNumberFormat="1" applyFont="1" applyFill="1" applyBorder="1" applyAlignment="1">
      <alignment vertical="top"/>
    </xf>
    <xf numFmtId="0" fontId="33" fillId="0" borderId="114" xfId="0" applyFont="1" applyFill="1" applyBorder="1" applyAlignment="1"/>
    <xf numFmtId="0" fontId="33" fillId="0" borderId="115" xfId="0" applyFont="1" applyFill="1" applyBorder="1" applyAlignment="1"/>
    <xf numFmtId="0" fontId="1" fillId="0" borderId="0" xfId="972"/>
    <xf numFmtId="0" fontId="119" fillId="0" borderId="0" xfId="972" applyFont="1"/>
    <xf numFmtId="0" fontId="134" fillId="0" borderId="0" xfId="972" applyFont="1"/>
    <xf numFmtId="4" fontId="135" fillId="0" borderId="15" xfId="1" applyNumberFormat="1" applyFont="1" applyFill="1" applyBorder="1"/>
    <xf numFmtId="0" fontId="5" fillId="23" borderId="3" xfId="0" applyFont="1" applyFill="1" applyBorder="1"/>
    <xf numFmtId="168" fontId="0" fillId="21" borderId="0" xfId="0" applyNumberFormat="1" applyFill="1" applyBorder="1"/>
    <xf numFmtId="168" fontId="0" fillId="86" borderId="0" xfId="0" applyNumberFormat="1" applyFill="1" applyBorder="1"/>
    <xf numFmtId="168" fontId="0" fillId="96" borderId="0" xfId="0" applyNumberFormat="1" applyFill="1" applyBorder="1"/>
    <xf numFmtId="168" fontId="0" fillId="88" borderId="0" xfId="0" applyNumberFormat="1" applyFill="1" applyBorder="1"/>
    <xf numFmtId="168" fontId="0" fillId="97" borderId="0" xfId="0" applyNumberFormat="1" applyFill="1" applyBorder="1"/>
    <xf numFmtId="168" fontId="0" fillId="98" borderId="4" xfId="0" applyNumberFormat="1" applyFill="1" applyBorder="1"/>
    <xf numFmtId="41" fontId="115" fillId="0" borderId="0" xfId="1" applyNumberFormat="1" applyFont="1" applyFill="1" applyBorder="1"/>
    <xf numFmtId="37" fontId="21" fillId="0" borderId="0" xfId="0" applyNumberFormat="1" applyFont="1" applyFill="1" applyBorder="1" applyAlignment="1">
      <alignment horizontal="justify" vertical="top" wrapText="1"/>
    </xf>
    <xf numFmtId="167" fontId="5" fillId="14" borderId="0" xfId="1" applyFont="1" applyFill="1"/>
    <xf numFmtId="167" fontId="0" fillId="14" borderId="28" xfId="1" applyFont="1" applyFill="1" applyBorder="1"/>
    <xf numFmtId="168" fontId="0" fillId="14" borderId="0" xfId="1" applyNumberFormat="1" applyFont="1" applyFill="1"/>
    <xf numFmtId="167" fontId="15" fillId="0" borderId="0" xfId="1" applyFont="1"/>
    <xf numFmtId="173" fontId="115" fillId="0" borderId="64" xfId="0" applyNumberFormat="1" applyFont="1" applyBorder="1"/>
    <xf numFmtId="173" fontId="115" fillId="0" borderId="36" xfId="0" applyNumberFormat="1" applyFont="1" applyBorder="1"/>
    <xf numFmtId="173" fontId="115" fillId="8" borderId="64" xfId="0" applyNumberFormat="1" applyFont="1" applyFill="1" applyBorder="1"/>
    <xf numFmtId="173" fontId="115" fillId="8" borderId="36" xfId="0" applyNumberFormat="1" applyFont="1" applyFill="1" applyBorder="1"/>
    <xf numFmtId="173" fontId="115" fillId="0" borderId="36" xfId="0" applyNumberFormat="1" applyFont="1" applyFill="1" applyBorder="1"/>
    <xf numFmtId="173" fontId="115" fillId="5" borderId="65" xfId="0" applyNumberFormat="1" applyFont="1" applyFill="1" applyBorder="1"/>
    <xf numFmtId="41" fontId="21" fillId="86" borderId="0" xfId="0" applyNumberFormat="1" applyFont="1" applyFill="1"/>
    <xf numFmtId="167" fontId="21" fillId="86" borderId="0" xfId="0" applyNumberFormat="1" applyFont="1" applyFill="1"/>
    <xf numFmtId="0" fontId="33" fillId="0" borderId="114" xfId="0" applyFont="1" applyFill="1" applyBorder="1" applyAlignment="1"/>
    <xf numFmtId="0" fontId="33" fillId="0" borderId="115" xfId="0" applyFont="1" applyFill="1" applyBorder="1" applyAlignment="1"/>
    <xf numFmtId="0" fontId="33" fillId="0" borderId="40" xfId="0" applyFont="1" applyFill="1" applyBorder="1" applyAlignment="1"/>
    <xf numFmtId="0" fontId="24" fillId="0" borderId="114" xfId="0" applyFont="1" applyFill="1" applyBorder="1" applyAlignment="1"/>
    <xf numFmtId="0" fontId="24" fillId="0" borderId="115" xfId="0" applyFont="1" applyFill="1" applyBorder="1" applyAlignment="1"/>
    <xf numFmtId="0" fontId="24" fillId="0" borderId="40" xfId="0" applyFont="1" applyFill="1" applyBorder="1" applyAlignment="1"/>
    <xf numFmtId="167" fontId="91" fillId="47" borderId="0" xfId="1" applyFont="1" applyFill="1" applyBorder="1"/>
    <xf numFmtId="0" fontId="16" fillId="0" borderId="0" xfId="0" applyFont="1" applyAlignment="1">
      <alignment horizontal="center"/>
    </xf>
    <xf numFmtId="174" fontId="22" fillId="0" borderId="0" xfId="18" applyNumberFormat="1" applyFont="1" applyBorder="1" applyAlignment="1">
      <alignment horizontal="center"/>
    </xf>
    <xf numFmtId="174" fontId="21" fillId="0" borderId="0" xfId="0" applyNumberFormat="1" applyFont="1" applyBorder="1" applyAlignment="1">
      <alignment horizontal="center"/>
    </xf>
    <xf numFmtId="4" fontId="20" fillId="0" borderId="0" xfId="0" applyNumberFormat="1" applyFont="1" applyBorder="1" applyAlignment="1">
      <alignment horizontal="center"/>
    </xf>
    <xf numFmtId="4" fontId="18" fillId="0" borderId="15" xfId="0" applyNumberFormat="1" applyFont="1" applyBorder="1" applyAlignment="1">
      <alignment horizontal="center"/>
    </xf>
    <xf numFmtId="0" fontId="20" fillId="0" borderId="0" xfId="18" applyFont="1" applyBorder="1" applyAlignment="1">
      <alignment horizontal="center"/>
    </xf>
    <xf numFmtId="0" fontId="12" fillId="0" borderId="0" xfId="0" applyFont="1" applyBorder="1" applyAlignment="1">
      <alignment horizontal="center"/>
    </xf>
    <xf numFmtId="0" fontId="18" fillId="0" borderId="15" xfId="18" applyFont="1" applyBorder="1" applyAlignment="1">
      <alignment horizontal="center" shrinkToFit="1"/>
    </xf>
    <xf numFmtId="0" fontId="19" fillId="0" borderId="15" xfId="0" applyFont="1" applyBorder="1" applyAlignment="1">
      <alignment horizontal="center" shrinkToFit="1"/>
    </xf>
    <xf numFmtId="174" fontId="22" fillId="0" borderId="0" xfId="18" applyNumberFormat="1" applyFont="1" applyFill="1" applyBorder="1" applyAlignment="1">
      <alignment horizontal="center"/>
    </xf>
    <xf numFmtId="174" fontId="21" fillId="0" borderId="0" xfId="0" applyNumberFormat="1" applyFont="1" applyFill="1" applyBorder="1" applyAlignment="1">
      <alignment horizontal="center"/>
    </xf>
    <xf numFmtId="0" fontId="22" fillId="91" borderId="18" xfId="0" applyFont="1" applyFill="1" applyBorder="1" applyAlignment="1">
      <alignment horizontal="center" vertical="center"/>
    </xf>
    <xf numFmtId="0" fontId="22" fillId="91" borderId="30" xfId="0" applyFont="1" applyFill="1" applyBorder="1" applyAlignment="1">
      <alignment horizontal="center" vertical="center"/>
    </xf>
    <xf numFmtId="0" fontId="22" fillId="91" borderId="36" xfId="0" applyFont="1" applyFill="1" applyBorder="1" applyAlignment="1">
      <alignment horizontal="center" vertical="center"/>
    </xf>
    <xf numFmtId="0" fontId="20" fillId="0" borderId="0" xfId="0" applyFont="1" applyBorder="1" applyAlignment="1">
      <alignment horizontal="center"/>
    </xf>
    <xf numFmtId="0" fontId="18" fillId="0" borderId="9" xfId="0" applyFont="1" applyBorder="1" applyAlignment="1">
      <alignment horizontal="center"/>
    </xf>
    <xf numFmtId="0" fontId="18" fillId="0" borderId="15" xfId="0" applyFont="1" applyBorder="1" applyAlignment="1">
      <alignment horizontal="center"/>
    </xf>
    <xf numFmtId="0" fontId="5" fillId="0" borderId="0" xfId="0" quotePrefix="1" applyFont="1" applyFill="1" applyBorder="1" applyAlignment="1">
      <alignment horizontal="justify" wrapText="1"/>
    </xf>
    <xf numFmtId="0" fontId="5" fillId="0" borderId="7" xfId="0" quotePrefix="1" applyFont="1" applyFill="1" applyBorder="1" applyAlignment="1">
      <alignment horizontal="justify" wrapText="1"/>
    </xf>
    <xf numFmtId="0" fontId="116" fillId="24" borderId="19" xfId="1" applyNumberFormat="1" applyFont="1" applyFill="1" applyBorder="1" applyAlignment="1">
      <alignment horizontal="center" vertical="center" wrapText="1"/>
    </xf>
    <xf numFmtId="0" fontId="0" fillId="24" borderId="34" xfId="0" applyNumberFormat="1" applyFill="1" applyBorder="1" applyAlignment="1">
      <alignment horizontal="center" vertical="center" wrapText="1"/>
    </xf>
    <xf numFmtId="0" fontId="0" fillId="24" borderId="37" xfId="0" applyNumberFormat="1" applyFill="1" applyBorder="1" applyAlignment="1">
      <alignment horizontal="center" vertical="center" wrapText="1"/>
    </xf>
    <xf numFmtId="0" fontId="116" fillId="24" borderId="3" xfId="0" applyFont="1" applyFill="1" applyBorder="1" applyAlignment="1">
      <alignment horizontal="center" vertical="center"/>
    </xf>
    <xf numFmtId="0" fontId="116" fillId="24" borderId="4" xfId="0" applyFont="1" applyFill="1" applyBorder="1" applyAlignment="1">
      <alignment horizontal="center" vertical="center"/>
    </xf>
    <xf numFmtId="0" fontId="116" fillId="24" borderId="44" xfId="0" applyFont="1" applyFill="1" applyBorder="1" applyAlignment="1">
      <alignment horizontal="center" vertical="center"/>
    </xf>
    <xf numFmtId="0" fontId="116" fillId="24" borderId="6" xfId="0" applyFont="1" applyFill="1" applyBorder="1" applyAlignment="1">
      <alignment horizontal="center" vertical="center"/>
    </xf>
    <xf numFmtId="0" fontId="116" fillId="24" borderId="0" xfId="0" applyFont="1" applyFill="1" applyBorder="1" applyAlignment="1">
      <alignment horizontal="center" vertical="center"/>
    </xf>
    <xf numFmtId="0" fontId="116" fillId="24" borderId="46" xfId="0" applyFont="1" applyFill="1" applyBorder="1" applyAlignment="1">
      <alignment horizontal="center" vertical="center"/>
    </xf>
    <xf numFmtId="0" fontId="116" fillId="24" borderId="8" xfId="0" applyFont="1" applyFill="1" applyBorder="1" applyAlignment="1">
      <alignment horizontal="center" vertical="center"/>
    </xf>
    <xf numFmtId="0" fontId="116" fillId="24" borderId="9" xfId="0" applyFont="1" applyFill="1" applyBorder="1" applyAlignment="1">
      <alignment horizontal="center" vertical="center"/>
    </xf>
    <xf numFmtId="0" fontId="116" fillId="24" borderId="45" xfId="0" applyFont="1" applyFill="1" applyBorder="1" applyAlignment="1">
      <alignment horizontal="center" vertical="center"/>
    </xf>
    <xf numFmtId="0" fontId="116" fillId="24" borderId="18" xfId="1" quotePrefix="1" applyNumberFormat="1" applyFont="1" applyFill="1" applyBorder="1" applyAlignment="1">
      <alignment horizontal="center" vertical="center" wrapText="1"/>
    </xf>
    <xf numFmtId="0" fontId="117" fillId="24" borderId="30" xfId="0" applyNumberFormat="1" applyFont="1" applyFill="1" applyBorder="1" applyAlignment="1">
      <alignment horizontal="center" vertical="center" wrapText="1"/>
    </xf>
    <xf numFmtId="0" fontId="117" fillId="24" borderId="36" xfId="0" applyNumberFormat="1" applyFont="1" applyFill="1" applyBorder="1" applyAlignment="1">
      <alignment horizontal="center" vertical="center" wrapText="1"/>
    </xf>
    <xf numFmtId="168" fontId="116" fillId="24" borderId="18" xfId="1" quotePrefix="1" applyNumberFormat="1" applyFont="1" applyFill="1" applyBorder="1" applyAlignment="1">
      <alignment horizontal="center" vertical="center" wrapText="1"/>
    </xf>
    <xf numFmtId="0" fontId="117" fillId="24" borderId="30" xfId="0" applyFont="1" applyFill="1" applyBorder="1" applyAlignment="1">
      <alignment horizontal="center" vertical="center" wrapText="1"/>
    </xf>
    <xf numFmtId="0" fontId="117" fillId="24" borderId="36" xfId="0" applyFont="1" applyFill="1" applyBorder="1" applyAlignment="1">
      <alignment horizontal="center" vertical="center" wrapText="1"/>
    </xf>
    <xf numFmtId="0" fontId="18" fillId="0" borderId="0" xfId="0" applyFont="1" applyBorder="1" applyAlignment="1">
      <alignment horizontal="center"/>
    </xf>
    <xf numFmtId="0" fontId="29" fillId="0" borderId="6" xfId="0" applyFont="1" applyFill="1" applyBorder="1" applyAlignment="1">
      <alignment horizontal="justify" wrapText="1"/>
    </xf>
    <xf numFmtId="0" fontId="0" fillId="0" borderId="46" xfId="0" applyFill="1" applyBorder="1" applyAlignment="1">
      <alignment horizontal="justify" wrapText="1"/>
    </xf>
    <xf numFmtId="0" fontId="55" fillId="22" borderId="4" xfId="0" applyFont="1" applyFill="1" applyBorder="1" applyAlignment="1">
      <alignment horizontal="justify" vertical="top" wrapText="1"/>
    </xf>
    <xf numFmtId="0" fontId="55" fillId="22" borderId="5" xfId="0" applyFont="1" applyFill="1" applyBorder="1" applyAlignment="1">
      <alignment horizontal="justify" vertical="top" wrapText="1"/>
    </xf>
    <xf numFmtId="0" fontId="117" fillId="24" borderId="44" xfId="0" applyFont="1" applyFill="1" applyBorder="1" applyAlignment="1">
      <alignment horizontal="center" vertical="center"/>
    </xf>
    <xf numFmtId="0" fontId="117" fillId="24" borderId="6" xfId="0" applyFont="1" applyFill="1" applyBorder="1" applyAlignment="1">
      <alignment horizontal="center" vertical="center"/>
    </xf>
    <xf numFmtId="0" fontId="117" fillId="24" borderId="46" xfId="0" applyFont="1" applyFill="1" applyBorder="1" applyAlignment="1">
      <alignment horizontal="center" vertical="center"/>
    </xf>
    <xf numFmtId="0" fontId="117" fillId="24" borderId="157" xfId="0" applyFont="1" applyFill="1" applyBorder="1" applyAlignment="1">
      <alignment horizontal="center" vertical="center"/>
    </xf>
    <xf numFmtId="0" fontId="117" fillId="24" borderId="161" xfId="0" applyFont="1" applyFill="1" applyBorder="1" applyAlignment="1">
      <alignment horizontal="center" vertical="center"/>
    </xf>
    <xf numFmtId="0" fontId="117" fillId="24" borderId="159" xfId="0" applyFont="1" applyFill="1" applyBorder="1" applyAlignment="1">
      <alignment horizontal="center" vertical="center" wrapText="1"/>
    </xf>
    <xf numFmtId="0" fontId="5" fillId="22" borderId="0" xfId="0" applyFont="1" applyFill="1" applyBorder="1" applyAlignment="1">
      <alignment horizontal="justify" vertical="top" wrapText="1"/>
    </xf>
    <xf numFmtId="0" fontId="5" fillId="22" borderId="7" xfId="0" applyFont="1" applyFill="1" applyBorder="1" applyAlignment="1">
      <alignment horizontal="justify" vertical="top" wrapText="1"/>
    </xf>
    <xf numFmtId="0" fontId="5" fillId="22" borderId="156" xfId="0" applyFont="1" applyFill="1" applyBorder="1" applyAlignment="1">
      <alignment horizontal="justify" vertical="top" wrapText="1"/>
    </xf>
    <xf numFmtId="0" fontId="5" fillId="22" borderId="158" xfId="0" applyFont="1" applyFill="1" applyBorder="1" applyAlignment="1">
      <alignment horizontal="justify" vertical="top" wrapText="1"/>
    </xf>
    <xf numFmtId="0" fontId="5" fillId="0" borderId="6" xfId="0" quotePrefix="1" applyFont="1" applyFill="1" applyBorder="1" applyAlignment="1">
      <alignment horizontal="justify" wrapText="1"/>
    </xf>
    <xf numFmtId="0" fontId="116" fillId="0" borderId="3" xfId="0" applyFont="1" applyFill="1" applyBorder="1" applyAlignment="1">
      <alignment horizontal="center" vertical="center"/>
    </xf>
    <xf numFmtId="0" fontId="117" fillId="0" borderId="44" xfId="0" applyFont="1" applyFill="1" applyBorder="1" applyAlignment="1">
      <alignment horizontal="center" vertical="center"/>
    </xf>
    <xf numFmtId="0" fontId="117" fillId="0" borderId="6" xfId="0" applyFont="1" applyFill="1" applyBorder="1" applyAlignment="1">
      <alignment horizontal="center" vertical="center"/>
    </xf>
    <xf numFmtId="0" fontId="117" fillId="0" borderId="46" xfId="0" applyFont="1" applyFill="1" applyBorder="1" applyAlignment="1">
      <alignment horizontal="center" vertical="center"/>
    </xf>
    <xf numFmtId="0" fontId="117" fillId="0" borderId="157" xfId="0" applyFont="1" applyFill="1" applyBorder="1" applyAlignment="1">
      <alignment horizontal="center" vertical="center"/>
    </xf>
    <xf numFmtId="0" fontId="117" fillId="0" borderId="161" xfId="0" applyFont="1" applyFill="1" applyBorder="1" applyAlignment="1">
      <alignment horizontal="center" vertical="center"/>
    </xf>
    <xf numFmtId="168" fontId="116" fillId="0" borderId="18" xfId="1" quotePrefix="1" applyNumberFormat="1" applyFont="1" applyFill="1" applyBorder="1" applyAlignment="1">
      <alignment horizontal="center" vertical="center" wrapText="1"/>
    </xf>
    <xf numFmtId="0" fontId="117" fillId="0" borderId="30" xfId="0" applyFont="1" applyFill="1" applyBorder="1" applyAlignment="1">
      <alignment horizontal="center" vertical="center" wrapText="1"/>
    </xf>
    <xf numFmtId="0" fontId="117" fillId="0" borderId="159" xfId="0" applyFont="1" applyFill="1" applyBorder="1" applyAlignment="1">
      <alignment horizontal="center" vertical="center" wrapText="1"/>
    </xf>
    <xf numFmtId="0" fontId="0" fillId="0" borderId="46" xfId="0" applyBorder="1" applyAlignment="1">
      <alignment horizontal="justify" wrapText="1"/>
    </xf>
    <xf numFmtId="3" fontId="22" fillId="12" borderId="114" xfId="0" applyNumberFormat="1" applyFont="1" applyFill="1" applyBorder="1" applyAlignment="1">
      <alignment horizontal="center"/>
    </xf>
    <xf numFmtId="3" fontId="22" fillId="12" borderId="40" xfId="0" applyNumberFormat="1" applyFont="1" applyFill="1" applyBorder="1" applyAlignment="1">
      <alignment horizontal="center"/>
    </xf>
    <xf numFmtId="3" fontId="22" fillId="12" borderId="115" xfId="0" applyNumberFormat="1" applyFont="1" applyFill="1" applyBorder="1" applyAlignment="1">
      <alignment horizontal="center"/>
    </xf>
    <xf numFmtId="41" fontId="22" fillId="12" borderId="25" xfId="0" applyNumberFormat="1" applyFont="1" applyFill="1" applyBorder="1" applyAlignment="1">
      <alignment horizontal="center" vertical="center"/>
    </xf>
    <xf numFmtId="41" fontId="22" fillId="12" borderId="26" xfId="0" applyNumberFormat="1" applyFont="1" applyFill="1" applyBorder="1" applyAlignment="1">
      <alignment horizontal="center" vertical="center"/>
    </xf>
    <xf numFmtId="0" fontId="21" fillId="0" borderId="0" xfId="0" applyFont="1" applyFill="1" applyBorder="1" applyAlignment="1">
      <alignment horizontal="justify" vertical="top" wrapText="1"/>
    </xf>
    <xf numFmtId="0" fontId="21" fillId="21" borderId="0" xfId="0" applyFont="1" applyFill="1" applyBorder="1" applyAlignment="1">
      <alignment horizontal="justify" vertical="top" wrapText="1"/>
    </xf>
    <xf numFmtId="0" fontId="21" fillId="16" borderId="0" xfId="0" applyFont="1" applyFill="1" applyBorder="1" applyAlignment="1">
      <alignment horizontal="justify" vertical="top" wrapText="1"/>
    </xf>
    <xf numFmtId="0" fontId="21" fillId="22" borderId="0" xfId="0" applyFont="1" applyFill="1" applyBorder="1" applyAlignment="1">
      <alignment horizontal="justify" vertical="center" wrapText="1"/>
    </xf>
    <xf numFmtId="0" fontId="0" fillId="22" borderId="0" xfId="0" applyFill="1" applyAlignment="1">
      <alignment horizontal="justify" vertical="center" wrapText="1"/>
    </xf>
    <xf numFmtId="2" fontId="48" fillId="0" borderId="63" xfId="0" applyNumberFormat="1" applyFont="1" applyBorder="1" applyAlignment="1">
      <alignment horizontal="center" vertical="center"/>
    </xf>
    <xf numFmtId="49" fontId="46" fillId="19" borderId="129" xfId="0" applyNumberFormat="1" applyFont="1" applyFill="1" applyBorder="1" applyAlignment="1">
      <alignment horizontal="center"/>
    </xf>
    <xf numFmtId="0" fontId="46" fillId="19" borderId="127" xfId="0" applyNumberFormat="1" applyFont="1" applyFill="1" applyBorder="1" applyAlignment="1">
      <alignment horizontal="center"/>
    </xf>
    <xf numFmtId="0" fontId="46" fillId="19" borderId="83" xfId="0" applyNumberFormat="1" applyFont="1" applyFill="1" applyBorder="1" applyAlignment="1">
      <alignment horizontal="center"/>
    </xf>
    <xf numFmtId="0" fontId="47" fillId="0" borderId="7" xfId="0" quotePrefix="1" applyFont="1" applyBorder="1" applyAlignment="1">
      <alignment horizontal="center" vertical="center"/>
    </xf>
    <xf numFmtId="0" fontId="47" fillId="0" borderId="7" xfId="0" applyFont="1" applyBorder="1" applyAlignment="1">
      <alignment horizontal="center" vertical="center"/>
    </xf>
    <xf numFmtId="0" fontId="46" fillId="19" borderId="97" xfId="0" applyFont="1" applyFill="1" applyBorder="1" applyAlignment="1"/>
    <xf numFmtId="0" fontId="46" fillId="19" borderId="128" xfId="0" applyFont="1" applyFill="1" applyBorder="1" applyAlignment="1"/>
    <xf numFmtId="0" fontId="46" fillId="19" borderId="124" xfId="0" applyFont="1" applyFill="1" applyBorder="1" applyAlignment="1"/>
    <xf numFmtId="0" fontId="27" fillId="0" borderId="0" xfId="0" applyFont="1" applyFill="1" applyBorder="1" applyAlignment="1">
      <alignment horizontal="justify" vertical="top" wrapText="1"/>
    </xf>
    <xf numFmtId="0" fontId="21" fillId="11" borderId="0" xfId="0" applyFont="1" applyFill="1" applyBorder="1" applyAlignment="1">
      <alignment horizontal="justify" vertical="top" wrapText="1"/>
    </xf>
    <xf numFmtId="0" fontId="21" fillId="17" borderId="0" xfId="0" applyFont="1" applyFill="1" applyBorder="1" applyAlignment="1">
      <alignment horizontal="justify" vertical="top" wrapText="1"/>
    </xf>
    <xf numFmtId="0" fontId="24" fillId="0" borderId="0" xfId="0" applyFont="1" applyFill="1" applyBorder="1" applyAlignment="1">
      <alignment horizontal="justify" vertical="top" wrapText="1"/>
    </xf>
    <xf numFmtId="0" fontId="18" fillId="0" borderId="0" xfId="0" applyFont="1" applyFill="1" applyBorder="1" applyAlignment="1">
      <alignment horizontal="center"/>
    </xf>
    <xf numFmtId="0" fontId="19" fillId="0" borderId="0" xfId="0" applyFont="1" applyFill="1" applyBorder="1" applyAlignment="1">
      <alignment horizontal="center"/>
    </xf>
    <xf numFmtId="0" fontId="16" fillId="0" borderId="0" xfId="0" applyFont="1" applyFill="1" applyBorder="1" applyAlignment="1">
      <alignment horizontal="center"/>
    </xf>
    <xf numFmtId="0" fontId="13" fillId="0" borderId="0" xfId="0" applyFont="1" applyFill="1" applyBorder="1" applyAlignment="1">
      <alignment horizontal="center"/>
    </xf>
    <xf numFmtId="37" fontId="21" fillId="0" borderId="0" xfId="0" applyNumberFormat="1" applyFont="1" applyFill="1" applyBorder="1" applyAlignment="1">
      <alignment horizontal="justify" vertical="top" wrapText="1"/>
    </xf>
    <xf numFmtId="0" fontId="21" fillId="11" borderId="0" xfId="0" applyFont="1" applyFill="1" applyBorder="1" applyAlignment="1">
      <alignment horizontal="left" wrapText="1"/>
    </xf>
    <xf numFmtId="0" fontId="21" fillId="11" borderId="0" xfId="0" applyFont="1" applyFill="1" applyBorder="1" applyAlignment="1">
      <alignment horizontal="left"/>
    </xf>
    <xf numFmtId="0" fontId="0" fillId="17" borderId="0" xfId="0" applyFill="1" applyAlignment="1">
      <alignment horizontal="justify" vertical="top" wrapText="1"/>
    </xf>
    <xf numFmtId="0" fontId="21" fillId="86" borderId="0" xfId="0" applyFont="1" applyFill="1" applyBorder="1" applyAlignment="1">
      <alignment horizontal="justify" vertical="top" wrapText="1"/>
    </xf>
    <xf numFmtId="37" fontId="21" fillId="16" borderId="0" xfId="0" applyNumberFormat="1" applyFont="1" applyFill="1" applyBorder="1" applyAlignment="1">
      <alignment horizontal="justify" vertical="top" wrapText="1"/>
    </xf>
    <xf numFmtId="37" fontId="21" fillId="11" borderId="0" xfId="0" applyNumberFormat="1" applyFont="1" applyFill="1" applyBorder="1" applyAlignment="1">
      <alignment horizontal="justify" vertical="top" wrapText="1"/>
    </xf>
    <xf numFmtId="0" fontId="21" fillId="14" borderId="0" xfId="0" applyFont="1" applyFill="1" applyBorder="1" applyAlignment="1">
      <alignment horizontal="justify" vertical="top" wrapText="1"/>
    </xf>
    <xf numFmtId="0" fontId="21" fillId="0" borderId="0" xfId="0" applyFont="1" applyFill="1" applyBorder="1" applyAlignment="1">
      <alignment horizontal="justify" vertical="center" wrapText="1"/>
    </xf>
    <xf numFmtId="0" fontId="0" fillId="0" borderId="0" xfId="0" applyFill="1" applyAlignment="1">
      <alignment horizontal="justify" vertical="center" wrapText="1"/>
    </xf>
    <xf numFmtId="0" fontId="18" fillId="0" borderId="0" xfId="0" quotePrefix="1" applyFont="1" applyBorder="1" applyAlignment="1">
      <alignment horizontal="center"/>
    </xf>
    <xf numFmtId="0" fontId="21" fillId="17" borderId="0" xfId="0" applyFont="1" applyFill="1" applyBorder="1" applyAlignment="1">
      <alignment horizontal="justify" vertical="center" wrapText="1"/>
    </xf>
    <xf numFmtId="0" fontId="22" fillId="4" borderId="6" xfId="0" applyFont="1" applyFill="1" applyBorder="1" applyAlignment="1">
      <alignment horizontal="center"/>
    </xf>
    <xf numFmtId="0" fontId="22" fillId="4" borderId="46" xfId="0" applyFont="1" applyFill="1" applyBorder="1" applyAlignment="1">
      <alignment horizontal="center"/>
    </xf>
    <xf numFmtId="0" fontId="21" fillId="16" borderId="0" xfId="0" applyFont="1" applyFill="1" applyBorder="1" applyAlignment="1">
      <alignment horizontal="justify" vertical="center" wrapText="1"/>
    </xf>
    <xf numFmtId="0" fontId="0" fillId="0" borderId="0" xfId="0" applyAlignment="1">
      <alignment horizontal="justify" vertical="top" wrapText="1"/>
    </xf>
    <xf numFmtId="0" fontId="0" fillId="0" borderId="0" xfId="0" applyFill="1" applyAlignment="1">
      <alignment horizontal="justify" vertical="top" wrapText="1"/>
    </xf>
    <xf numFmtId="37" fontId="22" fillId="0" borderId="0" xfId="0" applyNumberFormat="1" applyFont="1" applyFill="1" applyBorder="1" applyAlignment="1">
      <alignment horizontal="justify" vertical="top" wrapText="1"/>
    </xf>
    <xf numFmtId="37" fontId="21" fillId="21" borderId="0" xfId="0" applyNumberFormat="1" applyFont="1" applyFill="1" applyBorder="1" applyAlignment="1">
      <alignment horizontal="justify" vertical="top" wrapText="1"/>
    </xf>
    <xf numFmtId="0" fontId="24" fillId="86" borderId="0" xfId="0" applyFont="1" applyFill="1" applyBorder="1" applyAlignment="1">
      <alignment horizontal="justify" vertical="top" wrapText="1"/>
    </xf>
    <xf numFmtId="0" fontId="22" fillId="0" borderId="0" xfId="0" applyFont="1" applyFill="1" applyBorder="1" applyAlignment="1">
      <alignment horizontal="center"/>
    </xf>
    <xf numFmtId="0" fontId="22" fillId="0" borderId="0" xfId="0" applyFont="1" applyFill="1" applyBorder="1" applyAlignment="1">
      <alignment horizontal="center" vertical="center" wrapText="1"/>
    </xf>
    <xf numFmtId="0" fontId="33" fillId="0" borderId="114" xfId="0" applyFont="1" applyFill="1" applyBorder="1" applyAlignment="1"/>
    <xf numFmtId="0" fontId="33" fillId="0" borderId="40" xfId="0" applyFont="1" applyFill="1" applyBorder="1" applyAlignment="1"/>
    <xf numFmtId="0" fontId="33" fillId="0" borderId="115" xfId="0" applyFont="1" applyFill="1" applyBorder="1" applyAlignment="1"/>
    <xf numFmtId="0" fontId="33" fillId="0" borderId="17" xfId="0" applyFont="1" applyFill="1" applyBorder="1" applyAlignment="1">
      <alignment vertical="top" wrapText="1"/>
    </xf>
    <xf numFmtId="0" fontId="33" fillId="0" borderId="33" xfId="0" applyFont="1" applyFill="1" applyBorder="1" applyAlignment="1">
      <alignment vertical="top" wrapText="1"/>
    </xf>
    <xf numFmtId="0" fontId="33" fillId="0" borderId="130" xfId="0" applyFont="1" applyFill="1" applyBorder="1" applyAlignment="1">
      <alignment horizontal="justify" vertical="top" wrapText="1"/>
    </xf>
    <xf numFmtId="0" fontId="33" fillId="0" borderId="24" xfId="0" applyFont="1" applyFill="1" applyBorder="1" applyAlignment="1">
      <alignment horizontal="justify" vertical="top" wrapText="1"/>
    </xf>
    <xf numFmtId="0" fontId="33" fillId="0" borderId="76" xfId="0" applyFont="1" applyFill="1" applyBorder="1" applyAlignment="1">
      <alignment horizontal="justify" vertical="top" wrapText="1"/>
    </xf>
    <xf numFmtId="41" fontId="52" fillId="0" borderId="0" xfId="1" applyNumberFormat="1" applyFont="1" applyFill="1" applyBorder="1" applyAlignment="1">
      <alignment horizontal="center" vertical="center" wrapText="1"/>
    </xf>
    <xf numFmtId="0" fontId="21" fillId="0" borderId="0" xfId="0" applyFont="1" applyFill="1" applyAlignment="1">
      <alignment horizontal="justify" vertical="top" wrapText="1"/>
    </xf>
    <xf numFmtId="0" fontId="21" fillId="21" borderId="0" xfId="0" applyFont="1" applyFill="1" applyBorder="1" applyAlignment="1">
      <alignment horizontal="justify" vertical="center" wrapText="1"/>
    </xf>
    <xf numFmtId="0" fontId="0" fillId="21" borderId="0" xfId="0" applyFill="1" applyAlignment="1">
      <alignment horizontal="justify" vertical="center" wrapText="1"/>
    </xf>
    <xf numFmtId="3" fontId="33" fillId="0" borderId="48" xfId="0" applyNumberFormat="1" applyFont="1" applyFill="1" applyBorder="1" applyAlignment="1">
      <alignment horizontal="justify" vertical="top" wrapText="1"/>
    </xf>
    <xf numFmtId="3" fontId="33" fillId="0" borderId="0" xfId="0" applyNumberFormat="1" applyFont="1" applyFill="1" applyBorder="1" applyAlignment="1">
      <alignment horizontal="justify" vertical="top" wrapText="1"/>
    </xf>
    <xf numFmtId="3" fontId="33" fillId="0" borderId="46" xfId="0" applyNumberFormat="1" applyFont="1" applyFill="1" applyBorder="1" applyAlignment="1">
      <alignment horizontal="justify" vertical="top" wrapText="1"/>
    </xf>
    <xf numFmtId="41" fontId="22" fillId="0" borderId="0" xfId="1" applyNumberFormat="1" applyFont="1" applyFill="1" applyBorder="1" applyAlignment="1">
      <alignment horizontal="center" vertical="center" wrapText="1"/>
    </xf>
    <xf numFmtId="37" fontId="21" fillId="17" borderId="0" xfId="0" applyNumberFormat="1" applyFont="1" applyFill="1" applyBorder="1" applyAlignment="1">
      <alignment horizontal="justify" vertical="top" wrapText="1"/>
    </xf>
    <xf numFmtId="37" fontId="21" fillId="86" borderId="0" xfId="0" applyNumberFormat="1" applyFont="1" applyFill="1" applyBorder="1" applyAlignment="1">
      <alignment horizontal="justify" vertical="top" wrapText="1"/>
    </xf>
    <xf numFmtId="41" fontId="22" fillId="21" borderId="0" xfId="1" applyNumberFormat="1" applyFont="1" applyFill="1" applyBorder="1" applyAlignment="1">
      <alignment horizontal="center" vertical="center" wrapText="1"/>
    </xf>
    <xf numFmtId="3" fontId="33" fillId="0" borderId="122" xfId="0" applyNumberFormat="1" applyFont="1" applyFill="1" applyBorder="1" applyAlignment="1">
      <alignment vertical="top" wrapText="1"/>
    </xf>
    <xf numFmtId="3" fontId="33" fillId="0" borderId="4" xfId="0" applyNumberFormat="1" applyFont="1" applyFill="1" applyBorder="1" applyAlignment="1">
      <alignment vertical="top" wrapText="1"/>
    </xf>
    <xf numFmtId="3" fontId="33" fillId="0" borderId="44" xfId="0" applyNumberFormat="1" applyFont="1" applyFill="1" applyBorder="1" applyAlignment="1">
      <alignment vertical="top" wrapText="1"/>
    </xf>
    <xf numFmtId="3" fontId="33" fillId="0" borderId="48" xfId="0" applyNumberFormat="1" applyFont="1" applyFill="1" applyBorder="1" applyAlignment="1">
      <alignment vertical="top" wrapText="1"/>
    </xf>
    <xf numFmtId="3" fontId="33" fillId="0" borderId="0" xfId="0" applyNumberFormat="1" applyFont="1" applyFill="1" applyBorder="1" applyAlignment="1">
      <alignment vertical="top" wrapText="1"/>
    </xf>
    <xf numFmtId="3" fontId="33" fillId="0" borderId="46" xfId="0" applyNumberFormat="1" applyFont="1" applyFill="1" applyBorder="1" applyAlignment="1">
      <alignment vertical="top" wrapText="1"/>
    </xf>
    <xf numFmtId="0" fontId="24" fillId="21" borderId="114" xfId="0" applyFont="1" applyFill="1" applyBorder="1" applyAlignment="1">
      <alignment horizontal="justify" wrapText="1"/>
    </xf>
    <xf numFmtId="0" fontId="24" fillId="21" borderId="115" xfId="0" applyFont="1" applyFill="1" applyBorder="1" applyAlignment="1">
      <alignment horizontal="justify" wrapText="1"/>
    </xf>
    <xf numFmtId="0" fontId="22" fillId="12" borderId="114" xfId="0" applyFont="1" applyFill="1" applyBorder="1" applyAlignment="1">
      <alignment horizontal="center"/>
    </xf>
    <xf numFmtId="0" fontId="22" fillId="7" borderId="40" xfId="0" applyFont="1" applyFill="1" applyBorder="1" applyAlignment="1">
      <alignment horizontal="center"/>
    </xf>
    <xf numFmtId="0" fontId="22" fillId="12" borderId="115" xfId="0" applyFont="1" applyFill="1" applyBorder="1" applyAlignment="1">
      <alignment horizontal="center"/>
    </xf>
    <xf numFmtId="0" fontId="33" fillId="21" borderId="114" xfId="0" applyFont="1" applyFill="1" applyBorder="1" applyAlignment="1"/>
    <xf numFmtId="0" fontId="33" fillId="21" borderId="40" xfId="0" applyFont="1" applyFill="1" applyBorder="1" applyAlignment="1"/>
    <xf numFmtId="0" fontId="33" fillId="21" borderId="115" xfId="0" applyFont="1" applyFill="1" applyBorder="1" applyAlignment="1"/>
    <xf numFmtId="3" fontId="33" fillId="0" borderId="122" xfId="0" applyNumberFormat="1" applyFont="1" applyFill="1" applyBorder="1" applyAlignment="1">
      <alignment horizontal="justify" vertical="top" wrapText="1"/>
    </xf>
    <xf numFmtId="3" fontId="33" fillId="0" borderId="4" xfId="0" applyNumberFormat="1" applyFont="1" applyFill="1" applyBorder="1" applyAlignment="1">
      <alignment horizontal="justify" vertical="top" wrapText="1"/>
    </xf>
    <xf numFmtId="3" fontId="33" fillId="0" borderId="44" xfId="0" applyNumberFormat="1" applyFont="1" applyFill="1" applyBorder="1" applyAlignment="1">
      <alignment horizontal="justify" vertical="top" wrapText="1"/>
    </xf>
    <xf numFmtId="0" fontId="24" fillId="0" borderId="114" xfId="0" applyFont="1" applyFill="1" applyBorder="1" applyAlignment="1">
      <alignment wrapText="1"/>
    </xf>
    <xf numFmtId="0" fontId="24" fillId="0" borderId="40" xfId="0" applyFont="1" applyFill="1" applyBorder="1" applyAlignment="1">
      <alignment wrapText="1"/>
    </xf>
    <xf numFmtId="0" fontId="24" fillId="0" borderId="115" xfId="0" applyFont="1" applyFill="1" applyBorder="1" applyAlignment="1">
      <alignment wrapText="1"/>
    </xf>
    <xf numFmtId="3" fontId="22" fillId="12" borderId="131" xfId="0" applyNumberFormat="1" applyFont="1" applyFill="1" applyBorder="1" applyAlignment="1">
      <alignment horizontal="center"/>
    </xf>
    <xf numFmtId="3" fontId="22" fillId="12" borderId="128" xfId="0" applyNumberFormat="1" applyFont="1" applyFill="1" applyBorder="1" applyAlignment="1">
      <alignment horizontal="center"/>
    </xf>
    <xf numFmtId="3" fontId="22" fillId="12" borderId="101" xfId="0" applyNumberFormat="1" applyFont="1" applyFill="1" applyBorder="1" applyAlignment="1">
      <alignment horizontal="center"/>
    </xf>
    <xf numFmtId="37" fontId="21" fillId="14" borderId="0" xfId="0" applyNumberFormat="1" applyFont="1" applyFill="1" applyBorder="1" applyAlignment="1">
      <alignment horizontal="justify" vertical="top" wrapText="1"/>
    </xf>
    <xf numFmtId="0" fontId="22" fillId="22" borderId="0" xfId="0" applyFont="1" applyFill="1" applyBorder="1" applyAlignment="1">
      <alignment horizontal="justify" vertical="top" wrapText="1"/>
    </xf>
    <xf numFmtId="0" fontId="22" fillId="21" borderId="0" xfId="0" applyFont="1" applyFill="1" applyBorder="1" applyAlignment="1">
      <alignment horizontal="justify" vertical="center" wrapText="1"/>
    </xf>
    <xf numFmtId="0" fontId="21" fillId="14" borderId="0" xfId="0" applyFont="1" applyFill="1" applyAlignment="1">
      <alignment horizontal="justify" vertical="top" wrapText="1"/>
    </xf>
    <xf numFmtId="0" fontId="24" fillId="0" borderId="114" xfId="0" applyFont="1" applyFill="1" applyBorder="1" applyAlignment="1">
      <alignment horizontal="justify" wrapText="1"/>
    </xf>
    <xf numFmtId="0" fontId="24" fillId="0" borderId="115" xfId="0" applyFont="1" applyFill="1" applyBorder="1" applyAlignment="1">
      <alignment horizontal="justify" wrapText="1"/>
    </xf>
    <xf numFmtId="0" fontId="24" fillId="21" borderId="40" xfId="0" applyFont="1" applyFill="1" applyBorder="1" applyAlignment="1">
      <alignment horizontal="justify" wrapText="1"/>
    </xf>
    <xf numFmtId="0" fontId="0" fillId="16" borderId="0" xfId="0" applyFill="1" applyAlignment="1">
      <alignment horizontal="justify" vertical="top" wrapText="1"/>
    </xf>
    <xf numFmtId="0" fontId="0" fillId="14" borderId="0" xfId="0" applyFill="1" applyAlignment="1">
      <alignment horizontal="justify" vertical="top" wrapText="1"/>
    </xf>
    <xf numFmtId="0" fontId="21" fillId="0" borderId="0" xfId="0" applyFont="1" applyFill="1" applyBorder="1" applyAlignment="1">
      <alignment horizontal="justify" wrapText="1"/>
    </xf>
    <xf numFmtId="0" fontId="0" fillId="0" borderId="0" xfId="0" applyFill="1" applyAlignment="1">
      <alignment horizontal="justify" wrapText="1"/>
    </xf>
    <xf numFmtId="0" fontId="58" fillId="22" borderId="0" xfId="0" applyFont="1" applyFill="1" applyBorder="1" applyAlignment="1">
      <alignment horizontal="justify" vertical="center" wrapText="1"/>
    </xf>
    <xf numFmtId="0" fontId="55" fillId="22" borderId="0" xfId="0" applyFont="1" applyFill="1" applyAlignment="1">
      <alignment horizontal="justify" vertical="center" wrapText="1"/>
    </xf>
    <xf numFmtId="0" fontId="22" fillId="14" borderId="0" xfId="0" applyFont="1" applyFill="1" applyBorder="1" applyAlignment="1">
      <alignment horizontal="center" vertical="center"/>
    </xf>
    <xf numFmtId="0" fontId="22" fillId="0" borderId="0" xfId="0" applyFont="1" applyFill="1" applyBorder="1" applyAlignment="1">
      <alignment horizontal="justify" vertical="top" wrapText="1"/>
    </xf>
    <xf numFmtId="0" fontId="21" fillId="14" borderId="0" xfId="0" applyFont="1" applyFill="1" applyBorder="1" applyAlignment="1">
      <alignment horizontal="justify" wrapText="1"/>
    </xf>
    <xf numFmtId="41" fontId="22" fillId="0" borderId="0" xfId="1" applyNumberFormat="1" applyFont="1" applyFill="1" applyBorder="1" applyAlignment="1">
      <alignment horizontal="center"/>
    </xf>
    <xf numFmtId="0" fontId="22" fillId="14" borderId="0" xfId="0" applyFont="1" applyFill="1" applyBorder="1" applyAlignment="1">
      <alignment horizontal="justify" vertical="top" wrapText="1"/>
    </xf>
    <xf numFmtId="41" fontId="22" fillId="14" borderId="0" xfId="0" applyNumberFormat="1" applyFont="1" applyFill="1" applyBorder="1" applyAlignment="1">
      <alignment horizontal="center" vertical="center" wrapText="1"/>
    </xf>
    <xf numFmtId="0" fontId="21" fillId="0" borderId="0" xfId="0" applyFont="1" applyFill="1" applyBorder="1" applyAlignment="1">
      <alignment horizontal="left" vertical="top" wrapText="1"/>
    </xf>
    <xf numFmtId="41" fontId="22" fillId="0" borderId="0" xfId="0" applyNumberFormat="1" applyFont="1" applyFill="1" applyBorder="1" applyAlignment="1">
      <alignment horizontal="center" vertical="center" wrapText="1"/>
    </xf>
    <xf numFmtId="0" fontId="0" fillId="21" borderId="0" xfId="0" applyFill="1" applyAlignment="1">
      <alignment horizontal="justify" vertical="top" wrapText="1"/>
    </xf>
    <xf numFmtId="0" fontId="21" fillId="22" borderId="0" xfId="178" applyFont="1" applyFill="1" applyBorder="1" applyAlignment="1">
      <alignment horizontal="justify" vertical="center" wrapText="1"/>
    </xf>
    <xf numFmtId="0" fontId="5" fillId="22" borderId="0" xfId="178" applyFill="1" applyAlignment="1">
      <alignment horizontal="justify" vertical="center" wrapText="1"/>
    </xf>
    <xf numFmtId="37" fontId="21" fillId="0" borderId="0" xfId="178" applyNumberFormat="1" applyFont="1" applyFill="1" applyBorder="1" applyAlignment="1">
      <alignment horizontal="justify" vertical="top" wrapText="1"/>
    </xf>
    <xf numFmtId="0" fontId="23" fillId="0" borderId="0" xfId="178" applyFont="1" applyFill="1" applyBorder="1" applyAlignment="1">
      <alignment horizontal="center"/>
    </xf>
    <xf numFmtId="0" fontId="24" fillId="0" borderId="114" xfId="0" applyFont="1" applyFill="1" applyBorder="1" applyAlignment="1"/>
    <xf numFmtId="0" fontId="24" fillId="0" borderId="115" xfId="0" applyFont="1" applyFill="1" applyBorder="1" applyAlignment="1"/>
    <xf numFmtId="0" fontId="24" fillId="0" borderId="40" xfId="0" applyFont="1" applyFill="1" applyBorder="1" applyAlignment="1"/>
    <xf numFmtId="0" fontId="22" fillId="0" borderId="0" xfId="0" applyFont="1" applyFill="1" applyBorder="1" applyAlignment="1">
      <alignment horizontal="justify" wrapText="1"/>
    </xf>
    <xf numFmtId="37" fontId="58" fillId="0" borderId="0" xfId="178" applyNumberFormat="1" applyFont="1" applyFill="1" applyBorder="1" applyAlignment="1">
      <alignment horizontal="justify" vertical="top" wrapText="1"/>
    </xf>
    <xf numFmtId="49" fontId="22" fillId="0" borderId="0" xfId="178" quotePrefix="1" applyNumberFormat="1" applyFont="1" applyFill="1" applyBorder="1" applyAlignment="1">
      <alignment horizontal="center"/>
    </xf>
    <xf numFmtId="41" fontId="22" fillId="0" borderId="0" xfId="178" applyNumberFormat="1" applyFont="1" applyFill="1" applyBorder="1" applyAlignment="1">
      <alignment horizontal="center"/>
    </xf>
    <xf numFmtId="0" fontId="21" fillId="0" borderId="0" xfId="178" applyFont="1" applyFill="1" applyBorder="1" applyAlignment="1">
      <alignment horizontal="justify" vertical="top" wrapText="1"/>
    </xf>
    <xf numFmtId="0" fontId="21" fillId="86" borderId="0" xfId="178" applyFont="1" applyFill="1" applyBorder="1" applyAlignment="1">
      <alignment horizontal="justify" vertical="top" wrapText="1"/>
    </xf>
    <xf numFmtId="37" fontId="21" fillId="86" borderId="0" xfId="178" applyNumberFormat="1" applyFont="1" applyFill="1" applyBorder="1" applyAlignment="1">
      <alignment horizontal="justify" vertical="top" wrapText="1"/>
    </xf>
    <xf numFmtId="37" fontId="21" fillId="11" borderId="0" xfId="178" applyNumberFormat="1" applyFont="1" applyFill="1" applyBorder="1" applyAlignment="1">
      <alignment horizontal="justify" vertical="top" wrapText="1"/>
    </xf>
    <xf numFmtId="37" fontId="58" fillId="22" borderId="0" xfId="178" applyNumberFormat="1" applyFont="1" applyFill="1" applyBorder="1" applyAlignment="1">
      <alignment horizontal="justify" vertical="top" wrapText="1"/>
    </xf>
    <xf numFmtId="37" fontId="21" fillId="22" borderId="0" xfId="178" applyNumberFormat="1" applyFont="1" applyFill="1" applyBorder="1" applyAlignment="1">
      <alignment horizontal="justify" vertical="top" wrapText="1"/>
    </xf>
    <xf numFmtId="0" fontId="38" fillId="19" borderId="97" xfId="178" applyFont="1" applyFill="1" applyBorder="1" applyAlignment="1"/>
    <xf numFmtId="0" fontId="38" fillId="19" borderId="128" xfId="178" applyFont="1" applyFill="1" applyBorder="1" applyAlignment="1"/>
    <xf numFmtId="0" fontId="38" fillId="19" borderId="124" xfId="178" applyFont="1" applyFill="1" applyBorder="1" applyAlignment="1"/>
    <xf numFmtId="37" fontId="5" fillId="0" borderId="0" xfId="178" applyNumberFormat="1" applyFont="1" applyFill="1" applyBorder="1" applyAlignment="1">
      <alignment horizontal="justify" vertical="top" wrapText="1"/>
    </xf>
    <xf numFmtId="177" fontId="29" fillId="0" borderId="0" xfId="178" applyNumberFormat="1" applyFont="1" applyFill="1" applyBorder="1" applyAlignment="1">
      <alignment horizontal="center"/>
    </xf>
    <xf numFmtId="41" fontId="22" fillId="0" borderId="0" xfId="178" applyNumberFormat="1" applyFont="1" applyFill="1" applyBorder="1" applyAlignment="1">
      <alignment horizontal="center" vertical="center"/>
    </xf>
    <xf numFmtId="0" fontId="5" fillId="0" borderId="0" xfId="178" applyFont="1" applyFill="1" applyBorder="1" applyAlignment="1">
      <alignment horizontal="justify" vertical="top" wrapText="1"/>
    </xf>
    <xf numFmtId="0" fontId="29" fillId="0" borderId="6" xfId="178" applyFont="1" applyFill="1" applyBorder="1" applyAlignment="1">
      <alignment horizontal="center"/>
    </xf>
    <xf numFmtId="0" fontId="29" fillId="0" borderId="46" xfId="178" applyFont="1" applyFill="1" applyBorder="1" applyAlignment="1">
      <alignment horizontal="center"/>
    </xf>
    <xf numFmtId="0" fontId="5" fillId="17" borderId="0" xfId="178" applyFont="1" applyFill="1" applyBorder="1" applyAlignment="1">
      <alignment horizontal="justify" vertical="top" wrapText="1"/>
    </xf>
    <xf numFmtId="0" fontId="5" fillId="16" borderId="0" xfId="178" applyFont="1" applyFill="1" applyBorder="1" applyAlignment="1">
      <alignment horizontal="justify" vertical="top" wrapText="1"/>
    </xf>
    <xf numFmtId="0" fontId="29" fillId="16" borderId="6" xfId="178" applyFont="1" applyFill="1" applyBorder="1" applyAlignment="1">
      <alignment horizontal="center"/>
    </xf>
    <xf numFmtId="0" fontId="29" fillId="16" borderId="0" xfId="178" applyFont="1" applyFill="1" applyBorder="1" applyAlignment="1">
      <alignment horizontal="center"/>
    </xf>
    <xf numFmtId="0" fontId="5" fillId="86" borderId="0" xfId="178" applyFont="1" applyFill="1" applyBorder="1" applyAlignment="1">
      <alignment horizontal="justify" vertical="top" wrapText="1"/>
    </xf>
    <xf numFmtId="0" fontId="18" fillId="0" borderId="0" xfId="178" applyFont="1" applyBorder="1" applyAlignment="1">
      <alignment horizontal="center"/>
    </xf>
    <xf numFmtId="0" fontId="16" fillId="0" borderId="0" xfId="178" applyFont="1" applyFill="1" applyBorder="1" applyAlignment="1">
      <alignment horizontal="center"/>
    </xf>
    <xf numFmtId="0" fontId="13" fillId="0" borderId="0" xfId="178" applyFont="1" applyFill="1" applyBorder="1" applyAlignment="1">
      <alignment horizontal="center"/>
    </xf>
    <xf numFmtId="3" fontId="22" fillId="0" borderId="0" xfId="0" applyNumberFormat="1" applyFont="1" applyFill="1" applyBorder="1" applyAlignment="1">
      <alignment horizontal="center" vertical="center"/>
    </xf>
    <xf numFmtId="0" fontId="119" fillId="0" borderId="0" xfId="972" applyFont="1" applyAlignment="1">
      <alignment horizontal="left" wrapText="1"/>
    </xf>
    <xf numFmtId="0" fontId="21" fillId="0" borderId="0" xfId="0" applyFont="1" applyFill="1" applyBorder="1" applyAlignment="1"/>
    <xf numFmtId="0" fontId="21" fillId="0" borderId="0" xfId="0" applyFont="1" applyFill="1" applyBorder="1" applyAlignment="1">
      <alignment horizontal="justify" vertical="top"/>
    </xf>
    <xf numFmtId="37" fontId="21" fillId="0" borderId="0" xfId="0" applyNumberFormat="1" applyFont="1" applyFill="1" applyBorder="1" applyAlignment="1">
      <alignment horizontal="justify" vertical="center" wrapText="1"/>
    </xf>
    <xf numFmtId="41" fontId="21" fillId="0" borderId="0" xfId="1" applyNumberFormat="1" applyFont="1" applyFill="1" applyBorder="1" applyAlignment="1"/>
    <xf numFmtId="37" fontId="21" fillId="21" borderId="0" xfId="0" applyNumberFormat="1" applyFont="1" applyFill="1" applyBorder="1" applyAlignment="1">
      <alignment horizontal="justify" vertical="center" wrapText="1"/>
    </xf>
    <xf numFmtId="37" fontId="21" fillId="86" borderId="0" xfId="0" applyNumberFormat="1" applyFont="1" applyFill="1" applyBorder="1" applyAlignment="1">
      <alignment horizontal="justify" vertical="center" wrapText="1"/>
    </xf>
    <xf numFmtId="37" fontId="21" fillId="21" borderId="0" xfId="0" quotePrefix="1" applyNumberFormat="1" applyFont="1" applyFill="1" applyBorder="1" applyAlignment="1">
      <alignment horizontal="justify" vertical="top" wrapText="1"/>
    </xf>
    <xf numFmtId="0" fontId="21" fillId="86" borderId="0" xfId="0" applyFont="1" applyFill="1" applyAlignment="1">
      <alignment horizontal="justify" vertical="top" wrapText="1"/>
    </xf>
    <xf numFmtId="39" fontId="15" fillId="16" borderId="0" xfId="16" applyFont="1" applyFill="1" applyBorder="1" applyAlignment="1">
      <alignment horizontal="justify" vertical="top" wrapText="1"/>
    </xf>
    <xf numFmtId="39" fontId="29" fillId="16" borderId="0" xfId="16" applyFont="1" applyFill="1" applyBorder="1" applyAlignment="1">
      <alignment horizontal="justify" vertical="top" wrapText="1"/>
    </xf>
    <xf numFmtId="39" fontId="15" fillId="0" borderId="0" xfId="16" applyFont="1" applyFill="1" applyBorder="1" applyAlignment="1">
      <alignment horizontal="center" vertical="top" wrapText="1"/>
    </xf>
    <xf numFmtId="39" fontId="18" fillId="0" borderId="0" xfId="16" applyFont="1" applyBorder="1" applyAlignment="1">
      <alignment horizontal="center"/>
    </xf>
    <xf numFmtId="0" fontId="19" fillId="0" borderId="0" xfId="0" applyFont="1" applyBorder="1" applyAlignment="1">
      <alignment horizontal="center"/>
    </xf>
    <xf numFmtId="0" fontId="19" fillId="0" borderId="0" xfId="0" applyFont="1" applyAlignment="1"/>
    <xf numFmtId="39" fontId="16" fillId="0" borderId="0" xfId="16" applyFont="1" applyBorder="1" applyAlignment="1">
      <alignment horizontal="center"/>
    </xf>
    <xf numFmtId="0" fontId="13" fillId="0" borderId="0" xfId="0" applyFont="1" applyBorder="1" applyAlignment="1">
      <alignment horizontal="center"/>
    </xf>
    <xf numFmtId="0" fontId="13" fillId="0" borderId="0" xfId="0" applyFont="1" applyAlignment="1"/>
    <xf numFmtId="39" fontId="15" fillId="0" borderId="0" xfId="16" applyFont="1" applyFill="1" applyBorder="1" applyAlignment="1">
      <alignment horizontal="justify" vertical="top" wrapText="1"/>
    </xf>
    <xf numFmtId="3" fontId="22" fillId="4" borderId="25" xfId="0" applyNumberFormat="1" applyFont="1" applyFill="1" applyBorder="1" applyAlignment="1">
      <alignment horizontal="center" vertical="center"/>
    </xf>
    <xf numFmtId="3" fontId="22" fillId="4" borderId="36" xfId="0" applyNumberFormat="1" applyFont="1" applyFill="1" applyBorder="1" applyAlignment="1">
      <alignment horizontal="center" vertical="center"/>
    </xf>
    <xf numFmtId="3" fontId="22" fillId="4" borderId="114" xfId="0" applyNumberFormat="1" applyFont="1" applyFill="1" applyBorder="1" applyAlignment="1">
      <alignment horizontal="center" vertical="center"/>
    </xf>
    <xf numFmtId="3" fontId="22" fillId="4" borderId="40" xfId="0" applyNumberFormat="1" applyFont="1" applyFill="1" applyBorder="1" applyAlignment="1">
      <alignment horizontal="center" vertical="center"/>
    </xf>
    <xf numFmtId="3" fontId="22" fillId="4" borderId="115" xfId="0" applyNumberFormat="1" applyFont="1" applyFill="1" applyBorder="1" applyAlignment="1">
      <alignment horizontal="center" vertical="center"/>
    </xf>
    <xf numFmtId="3" fontId="22" fillId="4" borderId="25" xfId="0" applyNumberFormat="1" applyFont="1" applyFill="1" applyBorder="1" applyAlignment="1">
      <alignment horizontal="center" vertical="center" wrapText="1"/>
    </xf>
    <xf numFmtId="3" fontId="22" fillId="4" borderId="36" xfId="0" applyNumberFormat="1" applyFont="1" applyFill="1" applyBorder="1" applyAlignment="1">
      <alignment horizontal="center" vertical="center" wrapText="1"/>
    </xf>
    <xf numFmtId="0" fontId="16" fillId="0" borderId="0" xfId="0" applyFont="1" applyBorder="1" applyAlignment="1">
      <alignment horizontal="center"/>
    </xf>
    <xf numFmtId="0" fontId="22" fillId="0" borderId="0" xfId="0" applyFont="1" applyBorder="1" applyAlignment="1">
      <alignment horizontal="center"/>
    </xf>
    <xf numFmtId="0" fontId="22" fillId="4" borderId="132" xfId="0" applyFont="1" applyFill="1" applyBorder="1" applyAlignment="1">
      <alignment horizontal="center"/>
    </xf>
    <xf numFmtId="0" fontId="22" fillId="4" borderId="127" xfId="0" applyFont="1" applyFill="1" applyBorder="1" applyAlignment="1">
      <alignment horizontal="center"/>
    </xf>
    <xf numFmtId="0" fontId="22" fillId="4" borderId="133" xfId="0" applyFont="1" applyFill="1" applyBorder="1" applyAlignment="1">
      <alignment horizontal="center"/>
    </xf>
    <xf numFmtId="3" fontId="22" fillId="4" borderId="132" xfId="0" applyNumberFormat="1" applyFont="1" applyFill="1" applyBorder="1" applyAlignment="1">
      <alignment horizontal="center"/>
    </xf>
    <xf numFmtId="3" fontId="22" fillId="4" borderId="127" xfId="0" applyNumberFormat="1" applyFont="1" applyFill="1" applyBorder="1" applyAlignment="1">
      <alignment horizontal="center"/>
    </xf>
    <xf numFmtId="3" fontId="22" fillId="4" borderId="133" xfId="0" applyNumberFormat="1" applyFont="1" applyFill="1" applyBorder="1" applyAlignment="1">
      <alignment horizontal="center"/>
    </xf>
    <xf numFmtId="3" fontId="29" fillId="4" borderId="25" xfId="0" applyNumberFormat="1" applyFont="1" applyFill="1" applyBorder="1" applyAlignment="1">
      <alignment horizontal="center" vertical="center"/>
    </xf>
    <xf numFmtId="3" fontId="29" fillId="4" borderId="36" xfId="0" applyNumberFormat="1" applyFont="1" applyFill="1" applyBorder="1" applyAlignment="1">
      <alignment horizontal="center" vertical="center"/>
    </xf>
    <xf numFmtId="3" fontId="29" fillId="4" borderId="25" xfId="0" applyNumberFormat="1" applyFont="1" applyFill="1" applyBorder="1" applyAlignment="1">
      <alignment horizontal="center" vertical="center" wrapText="1"/>
    </xf>
    <xf numFmtId="3" fontId="29" fillId="4" borderId="36" xfId="0" applyNumberFormat="1" applyFont="1" applyFill="1" applyBorder="1" applyAlignment="1">
      <alignment horizontal="center" vertical="center" wrapText="1"/>
    </xf>
    <xf numFmtId="3" fontId="29" fillId="4" borderId="132" xfId="0" applyNumberFormat="1" applyFont="1" applyFill="1" applyBorder="1" applyAlignment="1">
      <alignment horizontal="center"/>
    </xf>
    <xf numFmtId="3" fontId="29" fillId="4" borderId="127" xfId="0" applyNumberFormat="1" applyFont="1" applyFill="1" applyBorder="1" applyAlignment="1">
      <alignment horizontal="center"/>
    </xf>
    <xf numFmtId="3" fontId="29" fillId="4" borderId="133" xfId="0" applyNumberFormat="1" applyFont="1" applyFill="1" applyBorder="1" applyAlignment="1">
      <alignment horizontal="center"/>
    </xf>
    <xf numFmtId="0" fontId="22" fillId="4" borderId="17" xfId="0" applyFont="1" applyFill="1" applyBorder="1" applyAlignment="1">
      <alignment horizontal="center" vertical="center"/>
    </xf>
    <xf numFmtId="0" fontId="22" fillId="4" borderId="35" xfId="0" applyFont="1" applyFill="1" applyBorder="1" applyAlignment="1">
      <alignment horizontal="center" vertical="center"/>
    </xf>
    <xf numFmtId="0" fontId="22" fillId="4" borderId="33" xfId="0" applyFont="1" applyFill="1" applyBorder="1" applyAlignment="1">
      <alignment horizontal="center" vertical="center"/>
    </xf>
    <xf numFmtId="0" fontId="17" fillId="0" borderId="0" xfId="0" applyFont="1" applyBorder="1" applyAlignment="1">
      <alignment horizontal="center"/>
    </xf>
    <xf numFmtId="3" fontId="21" fillId="9" borderId="9" xfId="0" applyNumberFormat="1" applyFont="1" applyFill="1" applyBorder="1" applyAlignment="1"/>
    <xf numFmtId="3" fontId="22" fillId="4" borderId="67" xfId="0" applyNumberFormat="1" applyFont="1" applyFill="1" applyBorder="1" applyAlignment="1">
      <alignment horizontal="center" vertical="center" wrapText="1" readingOrder="1"/>
    </xf>
    <xf numFmtId="3" fontId="22" fillId="4" borderId="69" xfId="0" applyNumberFormat="1" applyFont="1" applyFill="1" applyBorder="1" applyAlignment="1">
      <alignment horizontal="center" vertical="center" wrapText="1" readingOrder="1"/>
    </xf>
    <xf numFmtId="3" fontId="22" fillId="4" borderId="65" xfId="0" applyNumberFormat="1" applyFont="1" applyFill="1" applyBorder="1" applyAlignment="1">
      <alignment horizontal="center" vertical="center" wrapText="1" readingOrder="1"/>
    </xf>
    <xf numFmtId="3" fontId="22" fillId="4" borderId="44" xfId="0" applyNumberFormat="1" applyFont="1" applyFill="1" applyBorder="1" applyAlignment="1">
      <alignment horizontal="center" wrapText="1"/>
    </xf>
    <xf numFmtId="3" fontId="22" fillId="4" borderId="46" xfId="0" applyNumberFormat="1" applyFont="1" applyFill="1" applyBorder="1" applyAlignment="1">
      <alignment horizontal="center" wrapText="1"/>
    </xf>
    <xf numFmtId="3" fontId="22" fillId="4" borderId="18" xfId="0" applyNumberFormat="1" applyFont="1" applyFill="1" applyBorder="1" applyAlignment="1">
      <alignment horizontal="center" wrapText="1"/>
    </xf>
    <xf numFmtId="3" fontId="22" fillId="4" borderId="30" xfId="0" applyNumberFormat="1" applyFont="1" applyFill="1" applyBorder="1" applyAlignment="1">
      <alignment horizontal="center" wrapText="1"/>
    </xf>
    <xf numFmtId="3" fontId="22" fillId="4" borderId="19" xfId="0" applyNumberFormat="1" applyFont="1" applyFill="1" applyBorder="1" applyAlignment="1">
      <alignment horizontal="center" wrapText="1"/>
    </xf>
    <xf numFmtId="3" fontId="22" fillId="4" borderId="34" xfId="0" applyNumberFormat="1" applyFont="1" applyFill="1" applyBorder="1" applyAlignment="1">
      <alignment horizontal="center" wrapText="1"/>
    </xf>
    <xf numFmtId="3" fontId="22" fillId="4" borderId="85" xfId="0" applyNumberFormat="1" applyFont="1" applyFill="1" applyBorder="1" applyAlignment="1">
      <alignment horizontal="center" vertical="center"/>
    </xf>
    <xf numFmtId="3" fontId="22" fillId="4" borderId="86" xfId="0" applyNumberFormat="1" applyFont="1" applyFill="1" applyBorder="1" applyAlignment="1">
      <alignment horizontal="center" vertical="center"/>
    </xf>
    <xf numFmtId="3" fontId="22" fillId="4" borderId="87" xfId="0" applyNumberFormat="1" applyFont="1" applyFill="1" applyBorder="1" applyAlignment="1">
      <alignment horizontal="center" vertical="center"/>
    </xf>
    <xf numFmtId="167" fontId="5" fillId="14" borderId="25" xfId="1" applyFont="1" applyFill="1" applyBorder="1" applyAlignment="1">
      <alignment horizontal="left" vertical="top" wrapText="1"/>
    </xf>
    <xf numFmtId="167" fontId="5" fillId="14" borderId="30" xfId="1" applyFont="1" applyFill="1" applyBorder="1" applyAlignment="1">
      <alignment horizontal="left" vertical="top" wrapText="1"/>
    </xf>
    <xf numFmtId="167" fontId="5" fillId="14" borderId="26" xfId="1" applyFont="1" applyFill="1" applyBorder="1" applyAlignment="1">
      <alignment horizontal="left" vertical="top" wrapText="1"/>
    </xf>
    <xf numFmtId="167" fontId="5" fillId="0" borderId="38" xfId="1" applyFont="1" applyBorder="1" applyAlignment="1">
      <alignment horizontal="left" vertical="top" wrapText="1"/>
    </xf>
    <xf numFmtId="167" fontId="5" fillId="15" borderId="38" xfId="1" applyFont="1" applyFill="1" applyBorder="1" applyAlignment="1">
      <alignment horizontal="left" vertical="top" wrapText="1"/>
    </xf>
    <xf numFmtId="167" fontId="5" fillId="14" borderId="38" xfId="1" applyFont="1" applyFill="1" applyBorder="1" applyAlignment="1">
      <alignment horizontal="left" vertical="top" wrapText="1"/>
    </xf>
    <xf numFmtId="167" fontId="5" fillId="0" borderId="25" xfId="1" applyFont="1" applyBorder="1" applyAlignment="1">
      <alignment horizontal="left" vertical="top"/>
    </xf>
    <xf numFmtId="167" fontId="5" fillId="0" borderId="30" xfId="1" applyFont="1" applyBorder="1" applyAlignment="1">
      <alignment horizontal="left" vertical="top"/>
    </xf>
    <xf numFmtId="167" fontId="5" fillId="0" borderId="26" xfId="1" applyFont="1" applyBorder="1" applyAlignment="1">
      <alignment horizontal="left" vertical="top"/>
    </xf>
    <xf numFmtId="167" fontId="5" fillId="0" borderId="38" xfId="1" applyFont="1" applyBorder="1" applyAlignment="1">
      <alignment horizontal="center" vertical="top" wrapText="1"/>
    </xf>
    <xf numFmtId="167" fontId="0" fillId="0" borderId="38" xfId="1" applyFont="1" applyBorder="1" applyAlignment="1">
      <alignment horizontal="center" vertical="top" wrapText="1"/>
    </xf>
    <xf numFmtId="49" fontId="91" fillId="0" borderId="25" xfId="0" applyNumberFormat="1" applyFont="1" applyBorder="1" applyAlignment="1">
      <alignment horizontal="center" vertical="center"/>
    </xf>
    <xf numFmtId="49" fontId="91" fillId="0" borderId="30" xfId="0" applyNumberFormat="1" applyFont="1" applyBorder="1" applyAlignment="1">
      <alignment horizontal="center" vertical="center"/>
    </xf>
    <xf numFmtId="49" fontId="91" fillId="0" borderId="26" xfId="0" applyNumberFormat="1" applyFont="1" applyBorder="1" applyAlignment="1">
      <alignment horizontal="center" vertical="center"/>
    </xf>
    <xf numFmtId="0" fontId="91" fillId="0" borderId="25" xfId="0" applyFont="1" applyBorder="1" applyAlignment="1">
      <alignment horizontal="center" vertical="center"/>
    </xf>
    <xf numFmtId="0" fontId="91" fillId="0" borderId="30" xfId="0" applyFont="1" applyBorder="1" applyAlignment="1">
      <alignment horizontal="center" vertical="center"/>
    </xf>
    <xf numFmtId="0" fontId="91" fillId="0" borderId="26" xfId="0" applyFont="1" applyBorder="1" applyAlignment="1">
      <alignment horizontal="center" vertical="center"/>
    </xf>
    <xf numFmtId="167" fontId="91" fillId="0" borderId="25" xfId="1" applyFont="1" applyBorder="1" applyAlignment="1">
      <alignment horizontal="center" vertical="center"/>
    </xf>
    <xf numFmtId="167" fontId="91" fillId="0" borderId="30" xfId="1" applyFont="1" applyBorder="1" applyAlignment="1">
      <alignment horizontal="center" vertical="center"/>
    </xf>
    <xf numFmtId="167" fontId="91" fillId="0" borderId="26" xfId="1" applyFont="1" applyBorder="1" applyAlignment="1">
      <alignment horizontal="center" vertical="center"/>
    </xf>
    <xf numFmtId="167" fontId="91" fillId="0" borderId="27" xfId="1" applyFont="1" applyBorder="1" applyAlignment="1">
      <alignment horizontal="center" vertical="center"/>
    </xf>
    <xf numFmtId="167" fontId="91" fillId="0" borderId="28" xfId="1" applyFont="1" applyBorder="1" applyAlignment="1">
      <alignment horizontal="center" vertical="center"/>
    </xf>
    <xf numFmtId="167" fontId="91" fillId="0" borderId="29" xfId="1" applyFont="1" applyBorder="1" applyAlignment="1">
      <alignment horizontal="center" vertical="center"/>
    </xf>
    <xf numFmtId="167" fontId="91" fillId="0" borderId="48" xfId="1" applyFont="1" applyBorder="1" applyAlignment="1">
      <alignment horizontal="center" vertical="center"/>
    </xf>
    <xf numFmtId="167" fontId="91" fillId="0" borderId="0" xfId="1" applyFont="1" applyBorder="1" applyAlignment="1">
      <alignment horizontal="center" vertical="center"/>
    </xf>
    <xf numFmtId="167" fontId="91" fillId="0" borderId="46" xfId="1" applyFont="1" applyBorder="1" applyAlignment="1">
      <alignment horizontal="center" vertical="center"/>
    </xf>
    <xf numFmtId="167" fontId="91" fillId="0" borderId="31" xfId="1" applyFont="1" applyBorder="1" applyAlignment="1">
      <alignment horizontal="center" vertical="center"/>
    </xf>
    <xf numFmtId="167" fontId="91" fillId="0" borderId="23" xfId="1" applyFont="1" applyBorder="1" applyAlignment="1">
      <alignment horizontal="center" vertical="center"/>
    </xf>
    <xf numFmtId="167" fontId="91" fillId="0" borderId="32" xfId="1" applyFont="1" applyBorder="1" applyAlignment="1">
      <alignment horizontal="center" vertical="center"/>
    </xf>
    <xf numFmtId="167" fontId="91" fillId="87" borderId="25" xfId="1" applyFont="1" applyFill="1" applyBorder="1" applyAlignment="1">
      <alignment horizontal="center" vertical="center"/>
    </xf>
    <xf numFmtId="167" fontId="91" fillId="87" borderId="26" xfId="1" applyFont="1" applyFill="1" applyBorder="1" applyAlignment="1">
      <alignment horizontal="center" vertical="center"/>
    </xf>
    <xf numFmtId="167" fontId="91" fillId="86" borderId="25" xfId="1" applyFont="1" applyFill="1" applyBorder="1" applyAlignment="1">
      <alignment horizontal="center" vertical="center"/>
    </xf>
    <xf numFmtId="167" fontId="91" fillId="86" borderId="26" xfId="1" applyFont="1" applyFill="1" applyBorder="1" applyAlignment="1">
      <alignment horizontal="center" vertical="center"/>
    </xf>
    <xf numFmtId="168" fontId="131" fillId="0" borderId="18" xfId="25" applyNumberFormat="1" applyFont="1" applyFill="1" applyBorder="1" applyAlignment="1">
      <alignment horizontal="center" vertical="center" wrapText="1"/>
    </xf>
    <xf numFmtId="168" fontId="131" fillId="0" borderId="30" xfId="25" applyNumberFormat="1" applyFont="1" applyFill="1" applyBorder="1" applyAlignment="1">
      <alignment horizontal="center" vertical="center"/>
    </xf>
    <xf numFmtId="168" fontId="131" fillId="0" borderId="159" xfId="25" applyNumberFormat="1" applyFont="1" applyFill="1" applyBorder="1" applyAlignment="1">
      <alignment horizontal="center" vertical="center"/>
    </xf>
    <xf numFmtId="0" fontId="131" fillId="0" borderId="3" xfId="25" applyFont="1" applyBorder="1" applyAlignment="1">
      <alignment horizontal="center" vertical="center"/>
    </xf>
    <xf numFmtId="0" fontId="131" fillId="0" borderId="6" xfId="25" applyFont="1" applyBorder="1" applyAlignment="1">
      <alignment horizontal="center" vertical="center"/>
    </xf>
    <xf numFmtId="0" fontId="131" fillId="0" borderId="157" xfId="25" applyFont="1" applyBorder="1" applyAlignment="1">
      <alignment horizontal="center" vertical="center"/>
    </xf>
    <xf numFmtId="0" fontId="131" fillId="0" borderId="4" xfId="25" applyFont="1" applyFill="1" applyBorder="1" applyAlignment="1">
      <alignment horizontal="center" vertical="center"/>
    </xf>
    <xf numFmtId="0" fontId="131" fillId="0" borderId="0" xfId="25" applyFont="1" applyFill="1" applyBorder="1" applyAlignment="1">
      <alignment horizontal="center" vertical="center"/>
    </xf>
    <xf numFmtId="0" fontId="131" fillId="0" borderId="156" xfId="25" applyFont="1" applyFill="1" applyBorder="1" applyAlignment="1">
      <alignment horizontal="center" vertical="center"/>
    </xf>
    <xf numFmtId="0" fontId="131" fillId="0" borderId="122" xfId="25" quotePrefix="1" applyFont="1" applyBorder="1" applyAlignment="1">
      <alignment horizontal="center" vertical="center"/>
    </xf>
    <xf numFmtId="0" fontId="131" fillId="0" borderId="162" xfId="25" quotePrefix="1" applyFont="1" applyBorder="1" applyAlignment="1">
      <alignment horizontal="center" vertical="center"/>
    </xf>
    <xf numFmtId="0" fontId="131" fillId="0" borderId="122" xfId="25" applyFont="1" applyFill="1" applyBorder="1" applyAlignment="1">
      <alignment horizontal="center" vertical="center" wrapText="1"/>
    </xf>
    <xf numFmtId="0" fontId="131" fillId="0" borderId="48" xfId="25" applyFont="1" applyFill="1" applyBorder="1" applyAlignment="1">
      <alignment horizontal="center" vertical="center"/>
    </xf>
    <xf numFmtId="0" fontId="131" fillId="0" borderId="162" xfId="25" applyFont="1" applyFill="1" applyBorder="1" applyAlignment="1">
      <alignment horizontal="center" vertical="center"/>
    </xf>
    <xf numFmtId="0" fontId="16" fillId="0" borderId="0" xfId="25" applyFont="1" applyFill="1" applyAlignment="1">
      <alignment horizontal="center"/>
    </xf>
    <xf numFmtId="0" fontId="22" fillId="0" borderId="0" xfId="25" applyFont="1" applyFill="1" applyAlignment="1">
      <alignment horizontal="center"/>
    </xf>
    <xf numFmtId="0" fontId="131" fillId="0" borderId="122" xfId="25" applyFont="1" applyBorder="1" applyAlignment="1">
      <alignment horizontal="center" vertical="center"/>
    </xf>
    <xf numFmtId="0" fontId="131" fillId="0" borderId="4" xfId="25" applyFont="1" applyBorder="1" applyAlignment="1">
      <alignment horizontal="center" vertical="center"/>
    </xf>
    <xf numFmtId="0" fontId="131" fillId="0" borderId="162" xfId="25" applyFont="1" applyBorder="1" applyAlignment="1">
      <alignment horizontal="center" vertical="center"/>
    </xf>
    <xf numFmtId="0" fontId="131" fillId="0" borderId="156" xfId="25" applyFont="1" applyBorder="1" applyAlignment="1">
      <alignment horizontal="center" vertical="center"/>
    </xf>
    <xf numFmtId="0" fontId="131" fillId="0" borderId="122" xfId="25" applyFont="1" applyBorder="1" applyAlignment="1">
      <alignment horizontal="center" vertical="justify" wrapText="1"/>
    </xf>
    <xf numFmtId="0" fontId="131" fillId="0" borderId="4" xfId="25" applyFont="1" applyBorder="1" applyAlignment="1">
      <alignment horizontal="center" vertical="justify" wrapText="1"/>
    </xf>
    <xf numFmtId="0" fontId="131" fillId="0" borderId="4" xfId="25" applyFont="1" applyBorder="1" applyAlignment="1">
      <alignment horizontal="center" vertical="justify"/>
    </xf>
    <xf numFmtId="0" fontId="131" fillId="0" borderId="5" xfId="25" applyFont="1" applyBorder="1" applyAlignment="1">
      <alignment horizontal="center" vertical="justify"/>
    </xf>
    <xf numFmtId="0" fontId="131" fillId="0" borderId="162" xfId="25" applyFont="1" applyBorder="1" applyAlignment="1">
      <alignment horizontal="center" vertical="justify"/>
    </xf>
    <xf numFmtId="0" fontId="131" fillId="0" borderId="156" xfId="25" applyFont="1" applyBorder="1" applyAlignment="1">
      <alignment horizontal="center" vertical="justify"/>
    </xf>
    <xf numFmtId="0" fontId="131" fillId="0" borderId="158" xfId="25" applyFont="1" applyBorder="1" applyAlignment="1">
      <alignment horizontal="center" vertical="justify"/>
    </xf>
    <xf numFmtId="0" fontId="131" fillId="0" borderId="18" xfId="25" applyFont="1" applyFill="1" applyBorder="1" applyAlignment="1">
      <alignment horizontal="center" vertical="top" wrapText="1"/>
    </xf>
    <xf numFmtId="0" fontId="131" fillId="0" borderId="30" xfId="25" applyFont="1" applyFill="1" applyBorder="1" applyAlignment="1">
      <alignment horizontal="center" vertical="top" wrapText="1"/>
    </xf>
    <xf numFmtId="0" fontId="131" fillId="0" borderId="159" xfId="25" applyFont="1" applyFill="1" applyBorder="1" applyAlignment="1">
      <alignment horizontal="center" vertical="top" wrapText="1"/>
    </xf>
    <xf numFmtId="168" fontId="131" fillId="0" borderId="18" xfId="117" applyNumberFormat="1" applyFont="1" applyFill="1" applyBorder="1" applyAlignment="1">
      <alignment horizontal="center" vertical="top" wrapText="1"/>
    </xf>
    <xf numFmtId="168" fontId="131" fillId="0" borderId="30" xfId="117" applyNumberFormat="1" applyFont="1" applyFill="1" applyBorder="1" applyAlignment="1">
      <alignment horizontal="center" vertical="top"/>
    </xf>
    <xf numFmtId="168" fontId="131" fillId="0" borderId="159" xfId="117" applyNumberFormat="1" applyFont="1" applyFill="1" applyBorder="1" applyAlignment="1">
      <alignment horizontal="center" vertical="top"/>
    </xf>
    <xf numFmtId="168" fontId="131" fillId="0" borderId="19" xfId="117" applyNumberFormat="1" applyFont="1" applyFill="1" applyBorder="1" applyAlignment="1">
      <alignment horizontal="center" vertical="top" wrapText="1"/>
    </xf>
    <xf numFmtId="168" fontId="131" fillId="0" borderId="34" xfId="117" applyNumberFormat="1" applyFont="1" applyFill="1" applyBorder="1" applyAlignment="1">
      <alignment horizontal="center" vertical="top"/>
    </xf>
    <xf numFmtId="168" fontId="131" fillId="0" borderId="163" xfId="117" applyNumberFormat="1" applyFont="1" applyFill="1" applyBorder="1" applyAlignment="1">
      <alignment horizontal="center" vertical="top"/>
    </xf>
    <xf numFmtId="0" fontId="131" fillId="0" borderId="18" xfId="25" applyFont="1" applyFill="1" applyBorder="1" applyAlignment="1">
      <alignment horizontal="center" vertical="center" wrapText="1"/>
    </xf>
    <xf numFmtId="0" fontId="131" fillId="0" borderId="30" xfId="25" applyFont="1" applyFill="1" applyBorder="1" applyAlignment="1">
      <alignment horizontal="center" vertical="center"/>
    </xf>
    <xf numFmtId="0" fontId="131" fillId="0" borderId="159" xfId="25" applyFont="1" applyFill="1" applyBorder="1" applyAlignment="1">
      <alignment horizontal="center" vertical="center"/>
    </xf>
    <xf numFmtId="0" fontId="131" fillId="0" borderId="30" xfId="25" applyFont="1" applyFill="1" applyBorder="1" applyAlignment="1">
      <alignment horizontal="center" vertical="center" wrapText="1"/>
    </xf>
    <xf numFmtId="0" fontId="131" fillId="0" borderId="159" xfId="25" applyFont="1" applyFill="1" applyBorder="1" applyAlignment="1">
      <alignment horizontal="center" vertical="center" wrapText="1"/>
    </xf>
    <xf numFmtId="0" fontId="131" fillId="0" borderId="30" xfId="25" applyFont="1" applyFill="1" applyBorder="1" applyAlignment="1">
      <alignment horizontal="center" vertical="top"/>
    </xf>
    <xf numFmtId="0" fontId="131" fillId="0" borderId="159" xfId="25" applyFont="1" applyFill="1" applyBorder="1" applyAlignment="1">
      <alignment horizontal="center" vertical="top"/>
    </xf>
  </cellXfs>
  <cellStyles count="974">
    <cellStyle name="20% - Accent1" xfId="458" builtinId="30" customBuiltin="1"/>
    <cellStyle name="20% - Accent1 2" xfId="52"/>
    <cellStyle name="20% - Accent1 2 2" xfId="53"/>
    <cellStyle name="20% - Accent1 2 2 2" xfId="704"/>
    <cellStyle name="20% - Accent1 2 3" xfId="484"/>
    <cellStyle name="20% - Accent1 2 3 2" xfId="886"/>
    <cellStyle name="20% - Accent1 2 4" xfId="703"/>
    <cellStyle name="20% - Accent1 3" xfId="54"/>
    <cellStyle name="20% - Accent1 3 2" xfId="55"/>
    <cellStyle name="20% - Accent1 3 2 2" xfId="706"/>
    <cellStyle name="20% - Accent1 3 3" xfId="485"/>
    <cellStyle name="20% - Accent1 3 3 2" xfId="887"/>
    <cellStyle name="20% - Accent1 3 4" xfId="705"/>
    <cellStyle name="20% - Accent1 4" xfId="56"/>
    <cellStyle name="20% - Accent1 4 2" xfId="552"/>
    <cellStyle name="20% - Accent1 4 3" xfId="707"/>
    <cellStyle name="20% - Accent1 5" xfId="553"/>
    <cellStyle name="20% - Accent1 5 2" xfId="951"/>
    <cellStyle name="20% - Accent1 6" xfId="551"/>
    <cellStyle name="20% - Accent1 7" xfId="871"/>
    <cellStyle name="20% - Accent2" xfId="462" builtinId="34" customBuiltin="1"/>
    <cellStyle name="20% - Accent2 2" xfId="57"/>
    <cellStyle name="20% - Accent2 2 2" xfId="58"/>
    <cellStyle name="20% - Accent2 2 2 2" xfId="709"/>
    <cellStyle name="20% - Accent2 2 3" xfId="486"/>
    <cellStyle name="20% - Accent2 2 3 2" xfId="888"/>
    <cellStyle name="20% - Accent2 2 4" xfId="708"/>
    <cellStyle name="20% - Accent2 3" xfId="59"/>
    <cellStyle name="20% - Accent2 3 2" xfId="60"/>
    <cellStyle name="20% - Accent2 3 2 2" xfId="711"/>
    <cellStyle name="20% - Accent2 3 3" xfId="487"/>
    <cellStyle name="20% - Accent2 3 3 2" xfId="889"/>
    <cellStyle name="20% - Accent2 3 4" xfId="710"/>
    <cellStyle name="20% - Accent2 4" xfId="61"/>
    <cellStyle name="20% - Accent2 4 2" xfId="555"/>
    <cellStyle name="20% - Accent2 4 3" xfId="712"/>
    <cellStyle name="20% - Accent2 5" xfId="556"/>
    <cellStyle name="20% - Accent2 5 2" xfId="952"/>
    <cellStyle name="20% - Accent2 6" xfId="554"/>
    <cellStyle name="20% - Accent2 7" xfId="873"/>
    <cellStyle name="20% - Accent3" xfId="466" builtinId="38" customBuiltin="1"/>
    <cellStyle name="20% - Accent3 2" xfId="62"/>
    <cellStyle name="20% - Accent3 2 2" xfId="63"/>
    <cellStyle name="20% - Accent3 2 2 2" xfId="714"/>
    <cellStyle name="20% - Accent3 2 3" xfId="488"/>
    <cellStyle name="20% - Accent3 2 3 2" xfId="890"/>
    <cellStyle name="20% - Accent3 2 4" xfId="713"/>
    <cellStyle name="20% - Accent3 3" xfId="64"/>
    <cellStyle name="20% - Accent3 3 2" xfId="65"/>
    <cellStyle name="20% - Accent3 3 2 2" xfId="716"/>
    <cellStyle name="20% - Accent3 3 3" xfId="489"/>
    <cellStyle name="20% - Accent3 3 3 2" xfId="891"/>
    <cellStyle name="20% - Accent3 3 4" xfId="715"/>
    <cellStyle name="20% - Accent3 4" xfId="66"/>
    <cellStyle name="20% - Accent3 4 2" xfId="558"/>
    <cellStyle name="20% - Accent3 4 3" xfId="717"/>
    <cellStyle name="20% - Accent3 5" xfId="559"/>
    <cellStyle name="20% - Accent3 5 2" xfId="953"/>
    <cellStyle name="20% - Accent3 6" xfId="557"/>
    <cellStyle name="20% - Accent3 7" xfId="875"/>
    <cellStyle name="20% - Accent4" xfId="470" builtinId="42" customBuiltin="1"/>
    <cellStyle name="20% - Accent4 2" xfId="67"/>
    <cellStyle name="20% - Accent4 2 2" xfId="68"/>
    <cellStyle name="20% - Accent4 2 2 2" xfId="719"/>
    <cellStyle name="20% - Accent4 2 3" xfId="490"/>
    <cellStyle name="20% - Accent4 2 3 2" xfId="892"/>
    <cellStyle name="20% - Accent4 2 4" xfId="718"/>
    <cellStyle name="20% - Accent4 3" xfId="69"/>
    <cellStyle name="20% - Accent4 3 2" xfId="70"/>
    <cellStyle name="20% - Accent4 3 2 2" xfId="721"/>
    <cellStyle name="20% - Accent4 3 3" xfId="491"/>
    <cellStyle name="20% - Accent4 3 3 2" xfId="893"/>
    <cellStyle name="20% - Accent4 3 4" xfId="720"/>
    <cellStyle name="20% - Accent4 4" xfId="71"/>
    <cellStyle name="20% - Accent4 4 2" xfId="561"/>
    <cellStyle name="20% - Accent4 4 3" xfId="722"/>
    <cellStyle name="20% - Accent4 5" xfId="562"/>
    <cellStyle name="20% - Accent4 5 2" xfId="954"/>
    <cellStyle name="20% - Accent4 6" xfId="560"/>
    <cellStyle name="20% - Accent4 7" xfId="877"/>
    <cellStyle name="20% - Accent5" xfId="474" builtinId="46" customBuiltin="1"/>
    <cellStyle name="20% - Accent5 2" xfId="72"/>
    <cellStyle name="20% - Accent5 2 2" xfId="73"/>
    <cellStyle name="20% - Accent5 2 2 2" xfId="724"/>
    <cellStyle name="20% - Accent5 2 3" xfId="492"/>
    <cellStyle name="20% - Accent5 2 3 2" xfId="894"/>
    <cellStyle name="20% - Accent5 2 4" xfId="723"/>
    <cellStyle name="20% - Accent5 3" xfId="74"/>
    <cellStyle name="20% - Accent5 3 2" xfId="564"/>
    <cellStyle name="20% - Accent5 3 3" xfId="725"/>
    <cellStyle name="20% - Accent5 4" xfId="565"/>
    <cellStyle name="20% - Accent5 4 2" xfId="955"/>
    <cellStyle name="20% - Accent5 5" xfId="563"/>
    <cellStyle name="20% - Accent5 6" xfId="879"/>
    <cellStyle name="20% - Accent6" xfId="478" builtinId="50" customBuiltin="1"/>
    <cellStyle name="20% - Accent6 2" xfId="75"/>
    <cellStyle name="20% - Accent6 2 2" xfId="76"/>
    <cellStyle name="20% - Accent6 2 2 2" xfId="727"/>
    <cellStyle name="20% - Accent6 2 3" xfId="493"/>
    <cellStyle name="20% - Accent6 2 3 2" xfId="895"/>
    <cellStyle name="20% - Accent6 2 4" xfId="726"/>
    <cellStyle name="20% - Accent6 3" xfId="77"/>
    <cellStyle name="20% - Accent6 3 2" xfId="567"/>
    <cellStyle name="20% - Accent6 3 3" xfId="728"/>
    <cellStyle name="20% - Accent6 4" xfId="568"/>
    <cellStyle name="20% - Accent6 4 2" xfId="956"/>
    <cellStyle name="20% - Accent6 5" xfId="566"/>
    <cellStyle name="20% - Accent6 6" xfId="881"/>
    <cellStyle name="40% - Accent1" xfId="459" builtinId="31" customBuiltin="1"/>
    <cellStyle name="40% - Accent1 2" xfId="78"/>
    <cellStyle name="40% - Accent1 2 2" xfId="79"/>
    <cellStyle name="40% - Accent1 2 2 2" xfId="730"/>
    <cellStyle name="40% - Accent1 2 3" xfId="494"/>
    <cellStyle name="40% - Accent1 2 3 2" xfId="896"/>
    <cellStyle name="40% - Accent1 2 4" xfId="729"/>
    <cellStyle name="40% - Accent1 3" xfId="80"/>
    <cellStyle name="40% - Accent1 3 2" xfId="570"/>
    <cellStyle name="40% - Accent1 3 3" xfId="731"/>
    <cellStyle name="40% - Accent1 4" xfId="571"/>
    <cellStyle name="40% - Accent1 4 2" xfId="957"/>
    <cellStyle name="40% - Accent1 5" xfId="569"/>
    <cellStyle name="40% - Accent1 6" xfId="872"/>
    <cellStyle name="40% - Accent2" xfId="463" builtinId="35" customBuiltin="1"/>
    <cellStyle name="40% - Accent2 2" xfId="81"/>
    <cellStyle name="40% - Accent2 2 2" xfId="82"/>
    <cellStyle name="40% - Accent2 2 2 2" xfId="733"/>
    <cellStyle name="40% - Accent2 2 3" xfId="495"/>
    <cellStyle name="40% - Accent2 2 3 2" xfId="897"/>
    <cellStyle name="40% - Accent2 2 4" xfId="732"/>
    <cellStyle name="40% - Accent2 3" xfId="83"/>
    <cellStyle name="40% - Accent2 3 2" xfId="573"/>
    <cellStyle name="40% - Accent2 3 3" xfId="734"/>
    <cellStyle name="40% - Accent2 4" xfId="574"/>
    <cellStyle name="40% - Accent2 4 2" xfId="958"/>
    <cellStyle name="40% - Accent2 5" xfId="572"/>
    <cellStyle name="40% - Accent2 6" xfId="874"/>
    <cellStyle name="40% - Accent3" xfId="467" builtinId="39" customBuiltin="1"/>
    <cellStyle name="40% - Accent3 2" xfId="84"/>
    <cellStyle name="40% - Accent3 2 2" xfId="85"/>
    <cellStyle name="40% - Accent3 2 2 2" xfId="736"/>
    <cellStyle name="40% - Accent3 2 3" xfId="496"/>
    <cellStyle name="40% - Accent3 2 3 2" xfId="898"/>
    <cellStyle name="40% - Accent3 2 4" xfId="735"/>
    <cellStyle name="40% - Accent3 3" xfId="86"/>
    <cellStyle name="40% - Accent3 3 2" xfId="87"/>
    <cellStyle name="40% - Accent3 3 2 2" xfId="738"/>
    <cellStyle name="40% - Accent3 3 3" xfId="497"/>
    <cellStyle name="40% - Accent3 3 3 2" xfId="899"/>
    <cellStyle name="40% - Accent3 3 4" xfId="737"/>
    <cellStyle name="40% - Accent3 4" xfId="88"/>
    <cellStyle name="40% - Accent3 4 2" xfId="576"/>
    <cellStyle name="40% - Accent3 4 3" xfId="739"/>
    <cellStyle name="40% - Accent3 5" xfId="577"/>
    <cellStyle name="40% - Accent3 5 2" xfId="959"/>
    <cellStyle name="40% - Accent3 6" xfId="575"/>
    <cellStyle name="40% - Accent3 7" xfId="876"/>
    <cellStyle name="40% - Accent4" xfId="471" builtinId="43" customBuiltin="1"/>
    <cellStyle name="40% - Accent4 2" xfId="89"/>
    <cellStyle name="40% - Accent4 2 2" xfId="90"/>
    <cellStyle name="40% - Accent4 2 2 2" xfId="741"/>
    <cellStyle name="40% - Accent4 2 3" xfId="498"/>
    <cellStyle name="40% - Accent4 2 3 2" xfId="900"/>
    <cellStyle name="40% - Accent4 2 4" xfId="740"/>
    <cellStyle name="40% - Accent4 3" xfId="91"/>
    <cellStyle name="40% - Accent4 3 2" xfId="579"/>
    <cellStyle name="40% - Accent4 3 3" xfId="742"/>
    <cellStyle name="40% - Accent4 4" xfId="580"/>
    <cellStyle name="40% - Accent4 4 2" xfId="960"/>
    <cellStyle name="40% - Accent4 5" xfId="578"/>
    <cellStyle name="40% - Accent4 6" xfId="878"/>
    <cellStyle name="40% - Accent5" xfId="475" builtinId="47" customBuiltin="1"/>
    <cellStyle name="40% - Accent5 2" xfId="92"/>
    <cellStyle name="40% - Accent5 2 2" xfId="93"/>
    <cellStyle name="40% - Accent5 2 2 2" xfId="744"/>
    <cellStyle name="40% - Accent5 2 3" xfId="499"/>
    <cellStyle name="40% - Accent5 2 3 2" xfId="901"/>
    <cellStyle name="40% - Accent5 2 4" xfId="743"/>
    <cellStyle name="40% - Accent5 3" xfId="94"/>
    <cellStyle name="40% - Accent5 3 2" xfId="582"/>
    <cellStyle name="40% - Accent5 3 3" xfId="745"/>
    <cellStyle name="40% - Accent5 4" xfId="583"/>
    <cellStyle name="40% - Accent5 4 2" xfId="961"/>
    <cellStyle name="40% - Accent5 5" xfId="581"/>
    <cellStyle name="40% - Accent5 6" xfId="880"/>
    <cellStyle name="40% - Accent6" xfId="479" builtinId="51" customBuiltin="1"/>
    <cellStyle name="40% - Accent6 2" xfId="95"/>
    <cellStyle name="40% - Accent6 2 2" xfId="96"/>
    <cellStyle name="40% - Accent6 2 2 2" xfId="747"/>
    <cellStyle name="40% - Accent6 2 3" xfId="500"/>
    <cellStyle name="40% - Accent6 2 3 2" xfId="902"/>
    <cellStyle name="40% - Accent6 2 4" xfId="746"/>
    <cellStyle name="40% - Accent6 3" xfId="97"/>
    <cellStyle name="40% - Accent6 3 2" xfId="585"/>
    <cellStyle name="40% - Accent6 3 3" xfId="748"/>
    <cellStyle name="40% - Accent6 4" xfId="586"/>
    <cellStyle name="40% - Accent6 4 2" xfId="962"/>
    <cellStyle name="40% - Accent6 5" xfId="584"/>
    <cellStyle name="40% - Accent6 6" xfId="882"/>
    <cellStyle name="60% - Accent1" xfId="460" builtinId="32" customBuiltin="1"/>
    <cellStyle name="60% - Accent1 2" xfId="588"/>
    <cellStyle name="60% - Accent1 3" xfId="589"/>
    <cellStyle name="60% - Accent1 4" xfId="587"/>
    <cellStyle name="60% - Accent2" xfId="464" builtinId="36" customBuiltin="1"/>
    <cellStyle name="60% - Accent2 2" xfId="591"/>
    <cellStyle name="60% - Accent2 3" xfId="592"/>
    <cellStyle name="60% - Accent2 4" xfId="590"/>
    <cellStyle name="60% - Accent3" xfId="468" builtinId="40" customBuiltin="1"/>
    <cellStyle name="60% - Accent3 2" xfId="98"/>
    <cellStyle name="60% - Accent3 3" xfId="594"/>
    <cellStyle name="60% - Accent3 4" xfId="595"/>
    <cellStyle name="60% - Accent3 5" xfId="593"/>
    <cellStyle name="60% - Accent4" xfId="472" builtinId="44" customBuiltin="1"/>
    <cellStyle name="60% - Accent4 2" xfId="99"/>
    <cellStyle name="60% - Accent4 3" xfId="597"/>
    <cellStyle name="60% - Accent4 4" xfId="598"/>
    <cellStyle name="60% - Accent4 5" xfId="596"/>
    <cellStyle name="60% - Accent5" xfId="476" builtinId="48" customBuiltin="1"/>
    <cellStyle name="60% - Accent5 2" xfId="600"/>
    <cellStyle name="60% - Accent5 3" xfId="601"/>
    <cellStyle name="60% - Accent5 4" xfId="599"/>
    <cellStyle name="60% - Accent6" xfId="480" builtinId="52" customBuiltin="1"/>
    <cellStyle name="60% - Accent6 2" xfId="100"/>
    <cellStyle name="60% - Accent6 3" xfId="603"/>
    <cellStyle name="60% - Accent6 4" xfId="604"/>
    <cellStyle name="60% - Accent6 5" xfId="602"/>
    <cellStyle name="Accent1" xfId="457" builtinId="29" customBuiltin="1"/>
    <cellStyle name="Accent1 2" xfId="606"/>
    <cellStyle name="Accent1 3" xfId="607"/>
    <cellStyle name="Accent1 4" xfId="605"/>
    <cellStyle name="Accent2" xfId="461" builtinId="33" customBuiltin="1"/>
    <cellStyle name="Accent2 2" xfId="609"/>
    <cellStyle name="Accent2 3" xfId="610"/>
    <cellStyle name="Accent2 4" xfId="608"/>
    <cellStyle name="Accent3" xfId="465" builtinId="37" customBuiltin="1"/>
    <cellStyle name="Accent3 2" xfId="612"/>
    <cellStyle name="Accent3 3" xfId="613"/>
    <cellStyle name="Accent3 4" xfId="611"/>
    <cellStyle name="Accent4" xfId="469" builtinId="41" customBuiltin="1"/>
    <cellStyle name="Accent4 2" xfId="615"/>
    <cellStyle name="Accent4 3" xfId="616"/>
    <cellStyle name="Accent4 4" xfId="614"/>
    <cellStyle name="Accent5" xfId="473" builtinId="45" customBuiltin="1"/>
    <cellStyle name="Accent5 2" xfId="618"/>
    <cellStyle name="Accent5 3" xfId="619"/>
    <cellStyle name="Accent5 4" xfId="617"/>
    <cellStyle name="Accent6" xfId="477" builtinId="49" customBuiltin="1"/>
    <cellStyle name="Accent6 2" xfId="621"/>
    <cellStyle name="Accent6 3" xfId="622"/>
    <cellStyle name="Accent6 4" xfId="620"/>
    <cellStyle name="Bad" xfId="447" builtinId="27" customBuiltin="1"/>
    <cellStyle name="Bad 2" xfId="624"/>
    <cellStyle name="Bad 3" xfId="625"/>
    <cellStyle name="Bad 4" xfId="623"/>
    <cellStyle name="Calc Currency (0)" xfId="101"/>
    <cellStyle name="Calc Currency (2)" xfId="102"/>
    <cellStyle name="Calc Percent (0)" xfId="103"/>
    <cellStyle name="Calc Percent (1)" xfId="104"/>
    <cellStyle name="Calc Percent (2)" xfId="105"/>
    <cellStyle name="Calc Units (0)" xfId="106"/>
    <cellStyle name="Calc Units (1)" xfId="107"/>
    <cellStyle name="Calc Units (2)" xfId="108"/>
    <cellStyle name="Calculation" xfId="451" builtinId="22" customBuiltin="1"/>
    <cellStyle name="Calculation 2" xfId="627"/>
    <cellStyle name="Calculation 3" xfId="628"/>
    <cellStyle name="Calculation 4" xfId="626"/>
    <cellStyle name="Check Cell" xfId="453" builtinId="23" customBuiltin="1"/>
    <cellStyle name="Check Cell 2" xfId="630"/>
    <cellStyle name="Check Cell 3" xfId="631"/>
    <cellStyle name="Check Cell 4" xfId="629"/>
    <cellStyle name="Comma" xfId="1" builtinId="3"/>
    <cellStyle name="Comma [0] 2" xfId="109"/>
    <cellStyle name="Comma [00]" xfId="110"/>
    <cellStyle name="Comma 10" xfId="111"/>
    <cellStyle name="Comma 10 2" xfId="112"/>
    <cellStyle name="Comma 11" xfId="632"/>
    <cellStyle name="Comma 12" xfId="113"/>
    <cellStyle name="Comma 13" xfId="681"/>
    <cellStyle name="Comma 14" xfId="973"/>
    <cellStyle name="Comma 16" xfId="114"/>
    <cellStyle name="Comma 2" xfId="115"/>
    <cellStyle name="Comma 2 10" xfId="116"/>
    <cellStyle name="Comma 2 10 2" xfId="549"/>
    <cellStyle name="Comma 2 10 2 2" xfId="950"/>
    <cellStyle name="Comma 2 10 3" xfId="750"/>
    <cellStyle name="Comma 2 11" xfId="691"/>
    <cellStyle name="Comma 2 12" xfId="698"/>
    <cellStyle name="Comma 2 12 2" xfId="969"/>
    <cellStyle name="Comma 2 13" xfId="501"/>
    <cellStyle name="Comma 2 13 2" xfId="903"/>
    <cellStyle name="Comma 2 14" xfId="749"/>
    <cellStyle name="Comma 2 2" xfId="117"/>
    <cellStyle name="Comma 2 2 2" xfId="118"/>
    <cellStyle name="Comma 2 2 3" xfId="119"/>
    <cellStyle name="Comma 2 3" xfId="120"/>
    <cellStyle name="Comma 2 4" xfId="121"/>
    <cellStyle name="Comma 2 4 2" xfId="122"/>
    <cellStyle name="Comma 2 4 3" xfId="123"/>
    <cellStyle name="Comma 2 4 3 2" xfId="752"/>
    <cellStyle name="Comma 2 4 4" xfId="502"/>
    <cellStyle name="Comma 2 4 4 2" xfId="904"/>
    <cellStyle name="Comma 2 4 5" xfId="751"/>
    <cellStyle name="Comma 2 5" xfId="124"/>
    <cellStyle name="Comma 2 6" xfId="125"/>
    <cellStyle name="Comma 2 6 2" xfId="126"/>
    <cellStyle name="Comma 2 7" xfId="127"/>
    <cellStyle name="Comma 2 8" xfId="128"/>
    <cellStyle name="Comma 2 9" xfId="129"/>
    <cellStyle name="Comma 21" xfId="130"/>
    <cellStyle name="Comma 21 2" xfId="131"/>
    <cellStyle name="Comma 3" xfId="132"/>
    <cellStyle name="Comma 3 2" xfId="133"/>
    <cellStyle name="Comma 3 3" xfId="134"/>
    <cellStyle name="Comma 3 4" xfId="135"/>
    <cellStyle name="Comma 3 5" xfId="683"/>
    <cellStyle name="Comma 3 5 2" xfId="965"/>
    <cellStyle name="Comma 4" xfId="136"/>
    <cellStyle name="Comma 4 2" xfId="137"/>
    <cellStyle name="Comma 4 3" xfId="138"/>
    <cellStyle name="Comma 4 4" xfId="139"/>
    <cellStyle name="Comma 4 5" xfId="548"/>
    <cellStyle name="Comma 5" xfId="140"/>
    <cellStyle name="Comma 5 2" xfId="141"/>
    <cellStyle name="Comma 5 3" xfId="142"/>
    <cellStyle name="Comma 6" xfId="143"/>
    <cellStyle name="Comma 7" xfId="144"/>
    <cellStyle name="Comma 8" xfId="145"/>
    <cellStyle name="Comma 9" xfId="633"/>
    <cellStyle name="Comma_30062005 NT 27sept 05-2" xfId="2"/>
    <cellStyle name="Comma0" xfId="146"/>
    <cellStyle name="Currency [00]" xfId="147"/>
    <cellStyle name="Currency 2" xfId="694"/>
    <cellStyle name="Currency0" xfId="148"/>
    <cellStyle name="Currency0 2" xfId="149"/>
    <cellStyle name="Custom - Style8" xfId="3"/>
    <cellStyle name="Data   - Style2" xfId="4"/>
    <cellStyle name="Date" xfId="150"/>
    <cellStyle name="Date 2" xfId="151"/>
    <cellStyle name="Date Short" xfId="152"/>
    <cellStyle name="Enter Currency (0)" xfId="153"/>
    <cellStyle name="Enter Currency (2)" xfId="154"/>
    <cellStyle name="Enter Units (0)" xfId="155"/>
    <cellStyle name="Enter Units (1)" xfId="156"/>
    <cellStyle name="Enter Units (2)" xfId="157"/>
    <cellStyle name="Euro" xfId="158"/>
    <cellStyle name="Euro 2" xfId="159"/>
    <cellStyle name="Euro 3" xfId="693"/>
    <cellStyle name="Explanatory Text" xfId="455" builtinId="53" customBuiltin="1"/>
    <cellStyle name="Explanatory Text 2" xfId="635"/>
    <cellStyle name="Explanatory Text 3" xfId="636"/>
    <cellStyle name="Explanatory Text 4" xfId="634"/>
    <cellStyle name="Fixed" xfId="160"/>
    <cellStyle name="Geld" xfId="692"/>
    <cellStyle name="Good" xfId="446" builtinId="26" customBuiltin="1"/>
    <cellStyle name="Good 2" xfId="638"/>
    <cellStyle name="Good 3" xfId="639"/>
    <cellStyle name="Good 4" xfId="637"/>
    <cellStyle name="Grey" xfId="161"/>
    <cellStyle name="Header1" xfId="162"/>
    <cellStyle name="Header2" xfId="163"/>
    <cellStyle name="Heading 1" xfId="442" builtinId="16" customBuiltin="1"/>
    <cellStyle name="Heading 1 2" xfId="164"/>
    <cellStyle name="Heading 1 3" xfId="641"/>
    <cellStyle name="Heading 1 4" xfId="642"/>
    <cellStyle name="Heading 1 5" xfId="640"/>
    <cellStyle name="Heading 2" xfId="443" builtinId="17" customBuiltin="1"/>
    <cellStyle name="Heading 2 2" xfId="165"/>
    <cellStyle name="Heading 2 3" xfId="644"/>
    <cellStyle name="Heading 2 4" xfId="645"/>
    <cellStyle name="Heading 2 5" xfId="643"/>
    <cellStyle name="Heading 3" xfId="444" builtinId="18" customBuiltin="1"/>
    <cellStyle name="Heading 3 2" xfId="647"/>
    <cellStyle name="Heading 3 3" xfId="648"/>
    <cellStyle name="Heading 3 4" xfId="646"/>
    <cellStyle name="Heading 4" xfId="445" builtinId="19" customBuiltin="1"/>
    <cellStyle name="Heading 4 2" xfId="650"/>
    <cellStyle name="Heading 4 3" xfId="651"/>
    <cellStyle name="Heading 4 4" xfId="649"/>
    <cellStyle name="Hyperlink" xfId="701" builtinId="8"/>
    <cellStyle name="Hyperlink 2" xfId="166"/>
    <cellStyle name="Hyperlink 3" xfId="167"/>
    <cellStyle name="Hyperlink 4" xfId="550"/>
    <cellStyle name="Input" xfId="449" builtinId="20" customBuiltin="1"/>
    <cellStyle name="Input [yellow]" xfId="168"/>
    <cellStyle name="Input 2" xfId="653"/>
    <cellStyle name="Input 3" xfId="654"/>
    <cellStyle name="Input 4" xfId="652"/>
    <cellStyle name="Labels - Style3" xfId="5"/>
    <cellStyle name="Link Currency (0)" xfId="169"/>
    <cellStyle name="Link Currency (2)" xfId="170"/>
    <cellStyle name="Link Units (0)" xfId="171"/>
    <cellStyle name="Link Units (1)" xfId="172"/>
    <cellStyle name="Link Units (2)" xfId="173"/>
    <cellStyle name="Linked Cell" xfId="452" builtinId="24" customBuiltin="1"/>
    <cellStyle name="Linked Cell 2" xfId="656"/>
    <cellStyle name="Linked Cell 3" xfId="657"/>
    <cellStyle name="Linked Cell 4" xfId="655"/>
    <cellStyle name="Neutral" xfId="448" builtinId="28" customBuiltin="1"/>
    <cellStyle name="Neutral 2" xfId="659"/>
    <cellStyle name="Neutral 3" xfId="660"/>
    <cellStyle name="Neutral 4" xfId="658"/>
    <cellStyle name="Nommers" xfId="685"/>
    <cellStyle name="Nommers Afgerond" xfId="680"/>
    <cellStyle name="Normal" xfId="0" builtinId="0"/>
    <cellStyle name="Normal - Style1" xfId="6"/>
    <cellStyle name="Normal - Style2" xfId="7"/>
    <cellStyle name="Normal - Style3" xfId="8"/>
    <cellStyle name="Normal - Style4" xfId="9"/>
    <cellStyle name="Normal - Style5" xfId="10"/>
    <cellStyle name="Normal - Style6" xfId="11"/>
    <cellStyle name="Normal - Style7" xfId="12"/>
    <cellStyle name="Normal - Style8" xfId="13"/>
    <cellStyle name="Normal 10" xfId="174"/>
    <cellStyle name="Normal 10 2" xfId="175"/>
    <cellStyle name="Normal 10 3" xfId="176"/>
    <cellStyle name="Normal 10 3 2" xfId="754"/>
    <cellStyle name="Normal 10 4" xfId="503"/>
    <cellStyle name="Normal 10 4 2" xfId="905"/>
    <cellStyle name="Normal 10 5" xfId="753"/>
    <cellStyle name="Normal 11" xfId="177"/>
    <cellStyle name="Normal 11 2" xfId="178"/>
    <cellStyle name="Normal 11 3" xfId="179"/>
    <cellStyle name="Normal 11 3 2" xfId="756"/>
    <cellStyle name="Normal 11 4" xfId="504"/>
    <cellStyle name="Normal 11 4 2" xfId="906"/>
    <cellStyle name="Normal 11 5" xfId="755"/>
    <cellStyle name="Normal 12" xfId="29"/>
    <cellStyle name="Normal 12 2" xfId="180"/>
    <cellStyle name="Normal 12 2 2" xfId="181"/>
    <cellStyle name="Normal 12 2 2 2" xfId="758"/>
    <cellStyle name="Normal 12 2 3" xfId="757"/>
    <cellStyle name="Normal 12 3" xfId="182"/>
    <cellStyle name="Normal 12 3 2" xfId="759"/>
    <cellStyle name="Normal 12 4" xfId="183"/>
    <cellStyle name="Normal 12 5" xfId="505"/>
    <cellStyle name="Normal 12 5 2" xfId="907"/>
    <cellStyle name="Normal 13" xfId="30"/>
    <cellStyle name="Normal 13 2" xfId="184"/>
    <cellStyle name="Normal 13 2 2" xfId="185"/>
    <cellStyle name="Normal 13 2 2 2" xfId="761"/>
    <cellStyle name="Normal 13 2 3" xfId="760"/>
    <cellStyle name="Normal 13 3" xfId="186"/>
    <cellStyle name="Normal 13 3 2" xfId="762"/>
    <cellStyle name="Normal 13 4" xfId="187"/>
    <cellStyle name="Normal 13 5" xfId="506"/>
    <cellStyle name="Normal 13 5 2" xfId="908"/>
    <cellStyle name="Normal 14" xfId="31"/>
    <cellStyle name="Normal 14 2" xfId="188"/>
    <cellStyle name="Normal 14 2 2" xfId="189"/>
    <cellStyle name="Normal 14 2 2 2" xfId="764"/>
    <cellStyle name="Normal 14 2 3" xfId="508"/>
    <cellStyle name="Normal 14 2 3 2" xfId="910"/>
    <cellStyle name="Normal 14 2 4" xfId="763"/>
    <cellStyle name="Normal 14 3" xfId="190"/>
    <cellStyle name="Normal 14 3 2" xfId="191"/>
    <cellStyle name="Normal 14 3 2 2" xfId="766"/>
    <cellStyle name="Normal 14 3 3" xfId="699"/>
    <cellStyle name="Normal 14 3 3 2" xfId="970"/>
    <cellStyle name="Normal 14 3 4" xfId="765"/>
    <cellStyle name="Normal 14 4" xfId="192"/>
    <cellStyle name="Normal 14 4 2" xfId="695"/>
    <cellStyle name="Normal 14 4 3" xfId="767"/>
    <cellStyle name="Normal 14 5" xfId="193"/>
    <cellStyle name="Normal 14 6" xfId="507"/>
    <cellStyle name="Normal 14 6 2" xfId="909"/>
    <cellStyle name="Normal 15" xfId="32"/>
    <cellStyle name="Normal 15 2" xfId="194"/>
    <cellStyle name="Normal 15 3" xfId="195"/>
    <cellStyle name="Normal 15 3 2" xfId="196"/>
    <cellStyle name="Normal 15 3 2 2" xfId="769"/>
    <cellStyle name="Normal 15 3 3" xfId="768"/>
    <cellStyle name="Normal 15 4" xfId="197"/>
    <cellStyle name="Normal 15 4 2" xfId="770"/>
    <cellStyle name="Normal 15 5" xfId="509"/>
    <cellStyle name="Normal 15 5 2" xfId="911"/>
    <cellStyle name="Normal 16" xfId="33"/>
    <cellStyle name="Normal 16 2" xfId="198"/>
    <cellStyle name="Normal 16 2 2" xfId="199"/>
    <cellStyle name="Normal 16 2 2 2" xfId="772"/>
    <cellStyle name="Normal 16 2 3" xfId="771"/>
    <cellStyle name="Normal 16 3" xfId="200"/>
    <cellStyle name="Normal 16 3 2" xfId="773"/>
    <cellStyle name="Normal 16 4" xfId="201"/>
    <cellStyle name="Normal 16 5" xfId="510"/>
    <cellStyle name="Normal 16 5 2" xfId="912"/>
    <cellStyle name="Normal 17" xfId="34"/>
    <cellStyle name="Normal 17 2" xfId="202"/>
    <cellStyle name="Normal 17 2 2" xfId="203"/>
    <cellStyle name="Normal 17 2 2 2" xfId="775"/>
    <cellStyle name="Normal 17 2 3" xfId="774"/>
    <cellStyle name="Normal 17 3" xfId="204"/>
    <cellStyle name="Normal 17 3 2" xfId="776"/>
    <cellStyle name="Normal 17 4" xfId="205"/>
    <cellStyle name="Normal 17 5" xfId="511"/>
    <cellStyle name="Normal 17 5 2" xfId="913"/>
    <cellStyle name="Normal 18" xfId="35"/>
    <cellStyle name="Normal 18 2" xfId="206"/>
    <cellStyle name="Normal 18 2 2" xfId="207"/>
    <cellStyle name="Normal 18 2 2 2" xfId="778"/>
    <cellStyle name="Normal 18 2 3" xfId="777"/>
    <cellStyle name="Normal 18 3" xfId="208"/>
    <cellStyle name="Normal 18 3 2" xfId="779"/>
    <cellStyle name="Normal 18 4" xfId="209"/>
    <cellStyle name="Normal 18 5" xfId="512"/>
    <cellStyle name="Normal 18 5 2" xfId="914"/>
    <cellStyle name="Normal 19" xfId="36"/>
    <cellStyle name="Normal 19 2" xfId="210"/>
    <cellStyle name="Normal 2" xfId="25"/>
    <cellStyle name="Normal 2 10" xfId="687"/>
    <cellStyle name="Normal 2 2" xfId="211"/>
    <cellStyle name="Normal 2 2 2" xfId="212"/>
    <cellStyle name="Normal 2 2 2 2" xfId="213"/>
    <cellStyle name="Normal 2 2 2 2 2" xfId="214"/>
    <cellStyle name="Normal 2 2 2 2 2 2" xfId="782"/>
    <cellStyle name="Normal 2 2 2 2 3" xfId="536"/>
    <cellStyle name="Normal 2 2 2 2 3 2" xfId="938"/>
    <cellStyle name="Normal 2 2 2 2 4" xfId="781"/>
    <cellStyle name="Normal 2 2 3" xfId="215"/>
    <cellStyle name="Normal 2 2 3 2" xfId="216"/>
    <cellStyle name="Normal 2 2 3 2 2" xfId="784"/>
    <cellStyle name="Normal 2 2 3 3" xfId="514"/>
    <cellStyle name="Normal 2 2 3 3 2" xfId="916"/>
    <cellStyle name="Normal 2 2 3 4" xfId="783"/>
    <cellStyle name="Normal 2 2 4" xfId="217"/>
    <cellStyle name="Normal 2 2 5" xfId="218"/>
    <cellStyle name="Normal 2 2 5 2" xfId="547"/>
    <cellStyle name="Normal 2 2 5 2 2" xfId="949"/>
    <cellStyle name="Normal 2 2 5 3" xfId="785"/>
    <cellStyle name="Normal 2 2 6" xfId="688"/>
    <cellStyle name="Normal 2 2 7" xfId="513"/>
    <cellStyle name="Normal 2 2 7 2" xfId="915"/>
    <cellStyle name="Normal 2 2 8" xfId="780"/>
    <cellStyle name="Normal 2 3" xfId="219"/>
    <cellStyle name="Normal 2 3 2" xfId="220"/>
    <cellStyle name="Normal 2 3 2 2" xfId="221"/>
    <cellStyle name="Normal 2 3 2 2 2" xfId="788"/>
    <cellStyle name="Normal 2 3 2 3" xfId="538"/>
    <cellStyle name="Normal 2 3 2 3 2" xfId="940"/>
    <cellStyle name="Normal 2 3 2 4" xfId="787"/>
    <cellStyle name="Normal 2 3 3" xfId="222"/>
    <cellStyle name="Normal 2 3 3 2" xfId="789"/>
    <cellStyle name="Normal 2 3 4" xfId="537"/>
    <cellStyle name="Normal 2 3 4 2" xfId="939"/>
    <cellStyle name="Normal 2 3 5" xfId="786"/>
    <cellStyle name="Normal 2 4" xfId="223"/>
    <cellStyle name="Normal 2 4 2" xfId="224"/>
    <cellStyle name="Normal 2 4 2 2" xfId="225"/>
    <cellStyle name="Normal 2 4 2 2 2" xfId="792"/>
    <cellStyle name="Normal 2 4 2 3" xfId="540"/>
    <cellStyle name="Normal 2 4 2 3 2" xfId="942"/>
    <cellStyle name="Normal 2 4 2 4" xfId="791"/>
    <cellStyle name="Normal 2 4 3" xfId="226"/>
    <cellStyle name="Normal 2 4 3 2" xfId="793"/>
    <cellStyle name="Normal 2 4 4" xfId="539"/>
    <cellStyle name="Normal 2 4 4 2" xfId="941"/>
    <cellStyle name="Normal 2 4 5" xfId="790"/>
    <cellStyle name="Normal 2 5" xfId="227"/>
    <cellStyle name="Normal 2 5 2" xfId="228"/>
    <cellStyle name="Normal 2 5 2 2" xfId="229"/>
    <cellStyle name="Normal 2 5 2 2 2" xfId="796"/>
    <cellStyle name="Normal 2 5 2 3" xfId="542"/>
    <cellStyle name="Normal 2 5 2 3 2" xfId="944"/>
    <cellStyle name="Normal 2 5 2 4" xfId="795"/>
    <cellStyle name="Normal 2 5 3" xfId="230"/>
    <cellStyle name="Normal 2 5 3 2" xfId="797"/>
    <cellStyle name="Normal 2 5 4" xfId="541"/>
    <cellStyle name="Normal 2 5 4 2" xfId="943"/>
    <cellStyle name="Normal 2 5 5" xfId="794"/>
    <cellStyle name="Normal 2 6" xfId="231"/>
    <cellStyle name="Normal 2 7" xfId="232"/>
    <cellStyle name="Normal 2 7 2" xfId="233"/>
    <cellStyle name="Normal 2 7 2 2" xfId="799"/>
    <cellStyle name="Normal 2 7 3" xfId="543"/>
    <cellStyle name="Normal 2 7 3 2" xfId="945"/>
    <cellStyle name="Normal 2 7 4" xfId="798"/>
    <cellStyle name="Normal 2 8" xfId="234"/>
    <cellStyle name="Normal 2 8 2" xfId="235"/>
    <cellStyle name="Normal 2 8 2 2" xfId="801"/>
    <cellStyle name="Normal 2 8 3" xfId="544"/>
    <cellStyle name="Normal 2 8 3 2" xfId="946"/>
    <cellStyle name="Normal 2 8 4" xfId="800"/>
    <cellStyle name="Normal 2 9" xfId="236"/>
    <cellStyle name="Normal 2 9 2" xfId="237"/>
    <cellStyle name="Normal 2 9 2 2" xfId="803"/>
    <cellStyle name="Normal 2 9 3" xfId="545"/>
    <cellStyle name="Normal 2 9 3 2" xfId="947"/>
    <cellStyle name="Normal 2 9 4" xfId="802"/>
    <cellStyle name="Normal 2_Accounting Policies 30 06 2010 (DRAFT)" xfId="689"/>
    <cellStyle name="Normal 20" xfId="37"/>
    <cellStyle name="Normal 20 2" xfId="238"/>
    <cellStyle name="Normal 20 3" xfId="239"/>
    <cellStyle name="Normal 21" xfId="38"/>
    <cellStyle name="Normal 21 2" xfId="240"/>
    <cellStyle name="Normal 21 3" xfId="696"/>
    <cellStyle name="Normal 21 3 2" xfId="967"/>
    <cellStyle name="Normal 22" xfId="39"/>
    <cellStyle name="Normal 22 2" xfId="241"/>
    <cellStyle name="Normal 22 2 2" xfId="242"/>
    <cellStyle name="Normal 22 2 2 2" xfId="805"/>
    <cellStyle name="Normal 22 2 3" xfId="516"/>
    <cellStyle name="Normal 22 2 3 2" xfId="918"/>
    <cellStyle name="Normal 22 2 4" xfId="804"/>
    <cellStyle name="Normal 22 3" xfId="243"/>
    <cellStyle name="Normal 22 3 2" xfId="244"/>
    <cellStyle name="Normal 22 3 2 2" xfId="807"/>
    <cellStyle name="Normal 22 3 3" xfId="806"/>
    <cellStyle name="Normal 22 4" xfId="245"/>
    <cellStyle name="Normal 22 4 2" xfId="808"/>
    <cellStyle name="Normal 22 5" xfId="246"/>
    <cellStyle name="Normal 22 6" xfId="515"/>
    <cellStyle name="Normal 22 6 2" xfId="917"/>
    <cellStyle name="Normal 23" xfId="40"/>
    <cellStyle name="Normal 23 2" xfId="247"/>
    <cellStyle name="Normal 23 3" xfId="697"/>
    <cellStyle name="Normal 23 3 2" xfId="968"/>
    <cellStyle name="Normal 24" xfId="41"/>
    <cellStyle name="Normal 24 2" xfId="248"/>
    <cellStyle name="Normal 25" xfId="42"/>
    <cellStyle name="Normal 25 2" xfId="249"/>
    <cellStyle name="Normal 25 2 2" xfId="250"/>
    <cellStyle name="Normal 25 2 2 2" xfId="810"/>
    <cellStyle name="Normal 25 2 3" xfId="809"/>
    <cellStyle name="Normal 25 3" xfId="251"/>
    <cellStyle name="Normal 25 3 2" xfId="811"/>
    <cellStyle name="Normal 25 4" xfId="252"/>
    <cellStyle name="Normal 25 5" xfId="517"/>
    <cellStyle name="Normal 25 5 2" xfId="919"/>
    <cellStyle name="Normal 26" xfId="43"/>
    <cellStyle name="Normal 26 2" xfId="253"/>
    <cellStyle name="Normal 27" xfId="44"/>
    <cellStyle name="Normal 27 2" xfId="254"/>
    <cellStyle name="Normal 27 2 2" xfId="255"/>
    <cellStyle name="Normal 27 2 2 2" xfId="813"/>
    <cellStyle name="Normal 27 2 3" xfId="812"/>
    <cellStyle name="Normal 27 3" xfId="256"/>
    <cellStyle name="Normal 27 3 2" xfId="814"/>
    <cellStyle name="Normal 27 4" xfId="257"/>
    <cellStyle name="Normal 27 5" xfId="518"/>
    <cellStyle name="Normal 27 5 2" xfId="920"/>
    <cellStyle name="Normal 28" xfId="45"/>
    <cellStyle name="Normal 28 2" xfId="258"/>
    <cellStyle name="Normal 28 2 2" xfId="259"/>
    <cellStyle name="Normal 28 2 2 2" xfId="816"/>
    <cellStyle name="Normal 28 2 3" xfId="815"/>
    <cellStyle name="Normal 28 3" xfId="260"/>
    <cellStyle name="Normal 28 3 2" xfId="817"/>
    <cellStyle name="Normal 28 4" xfId="261"/>
    <cellStyle name="Normal 28 5" xfId="519"/>
    <cellStyle name="Normal 28 5 2" xfId="921"/>
    <cellStyle name="Normal 29" xfId="46"/>
    <cellStyle name="Normal 29 2" xfId="262"/>
    <cellStyle name="Normal 29 2 2" xfId="263"/>
    <cellStyle name="Normal 29 2 2 2" xfId="819"/>
    <cellStyle name="Normal 29 2 3" xfId="818"/>
    <cellStyle name="Normal 29 3" xfId="264"/>
    <cellStyle name="Normal 29 3 2" xfId="820"/>
    <cellStyle name="Normal 29 4" xfId="265"/>
    <cellStyle name="Normal 29 5" xfId="520"/>
    <cellStyle name="Normal 29 5 2" xfId="922"/>
    <cellStyle name="Normal 3" xfId="266"/>
    <cellStyle name="Normal 3 2" xfId="267"/>
    <cellStyle name="Normal 3 2 2" xfId="268"/>
    <cellStyle name="Normal 3 2 3" xfId="269"/>
    <cellStyle name="Normal 3 3" xfId="270"/>
    <cellStyle name="Normal 3 3 2" xfId="271"/>
    <cellStyle name="Normal 3 3 2 2" xfId="823"/>
    <cellStyle name="Normal 3 3 3" xfId="546"/>
    <cellStyle name="Normal 3 3 3 2" xfId="948"/>
    <cellStyle name="Normal 3 3 4" xfId="822"/>
    <cellStyle name="Normal 3 4" xfId="272"/>
    <cellStyle name="Normal 3 4 2" xfId="824"/>
    <cellStyle name="Normal 3 5" xfId="521"/>
    <cellStyle name="Normal 3 5 2" xfId="923"/>
    <cellStyle name="Normal 3 6" xfId="821"/>
    <cellStyle name="Normal 30" xfId="273"/>
    <cellStyle name="Normal 30 2" xfId="274"/>
    <cellStyle name="Normal 31" xfId="275"/>
    <cellStyle name="Normal 31 2" xfId="276"/>
    <cellStyle name="Normal 31 2 2" xfId="277"/>
    <cellStyle name="Normal 31 2 2 2" xfId="826"/>
    <cellStyle name="Normal 31 2 3" xfId="825"/>
    <cellStyle name="Normal 31 3" xfId="278"/>
    <cellStyle name="Normal 31 3 2" xfId="827"/>
    <cellStyle name="Normal 31 4" xfId="279"/>
    <cellStyle name="Normal 31 5" xfId="522"/>
    <cellStyle name="Normal 31 5 2" xfId="924"/>
    <cellStyle name="Normal 32" xfId="47"/>
    <cellStyle name="Normal 32 2" xfId="280"/>
    <cellStyle name="Normal 32 3" xfId="661"/>
    <cellStyle name="Normal 32 3 2" xfId="963"/>
    <cellStyle name="Normal 33" xfId="48"/>
    <cellStyle name="Normal 33 2" xfId="281"/>
    <cellStyle name="Normal 34" xfId="49"/>
    <cellStyle name="Normal 34 2" xfId="282"/>
    <cellStyle name="Normal 34 2 2" xfId="283"/>
    <cellStyle name="Normal 34 2 2 2" xfId="829"/>
    <cellStyle name="Normal 34 2 3" xfId="828"/>
    <cellStyle name="Normal 34 3" xfId="284"/>
    <cellStyle name="Normal 34 3 2" xfId="830"/>
    <cellStyle name="Normal 34 4" xfId="285"/>
    <cellStyle name="Normal 34 5" xfId="523"/>
    <cellStyle name="Normal 34 5 2" xfId="925"/>
    <cellStyle name="Normal 35" xfId="50"/>
    <cellStyle name="Normal 35 2" xfId="286"/>
    <cellStyle name="Normal 35 2 2" xfId="287"/>
    <cellStyle name="Normal 35 2 2 2" xfId="832"/>
    <cellStyle name="Normal 35 2 3" xfId="831"/>
    <cellStyle name="Normal 35 3" xfId="288"/>
    <cellStyle name="Normal 35 3 2" xfId="833"/>
    <cellStyle name="Normal 35 4" xfId="289"/>
    <cellStyle name="Normal 35 5" xfId="524"/>
    <cellStyle name="Normal 35 5 2" xfId="926"/>
    <cellStyle name="Normal 36" xfId="290"/>
    <cellStyle name="Normal 36 2" xfId="291"/>
    <cellStyle name="Normal 36 2 2" xfId="835"/>
    <cellStyle name="Normal 36 3" xfId="525"/>
    <cellStyle name="Normal 36 3 2" xfId="927"/>
    <cellStyle name="Normal 36 4" xfId="834"/>
    <cellStyle name="Normal 37" xfId="51"/>
    <cellStyle name="Normal 37 2" xfId="292"/>
    <cellStyle name="Normal 37 2 2" xfId="293"/>
    <cellStyle name="Normal 37 2 2 2" xfId="837"/>
    <cellStyle name="Normal 37 2 3" xfId="836"/>
    <cellStyle name="Normal 37 3" xfId="294"/>
    <cellStyle name="Normal 37 3 2" xfId="838"/>
    <cellStyle name="Normal 37 4" xfId="295"/>
    <cellStyle name="Normal 37 5" xfId="526"/>
    <cellStyle name="Normal 37 5 2" xfId="928"/>
    <cellStyle name="Normal 38" xfId="296"/>
    <cellStyle name="Normal 38 2" xfId="297"/>
    <cellStyle name="Normal 38 2 2" xfId="840"/>
    <cellStyle name="Normal 38 3" xfId="527"/>
    <cellStyle name="Normal 38 3 2" xfId="929"/>
    <cellStyle name="Normal 38 4" xfId="839"/>
    <cellStyle name="Normal 39" xfId="298"/>
    <cellStyle name="Normal 39 2" xfId="299"/>
    <cellStyle name="Normal 39 2 2" xfId="842"/>
    <cellStyle name="Normal 39 3" xfId="528"/>
    <cellStyle name="Normal 39 3 2" xfId="930"/>
    <cellStyle name="Normal 39 4" xfId="841"/>
    <cellStyle name="Normal 4" xfId="300"/>
    <cellStyle name="Normal 4 2" xfId="301"/>
    <cellStyle name="Normal 4 2 2" xfId="302"/>
    <cellStyle name="Normal 4 2 3" xfId="303"/>
    <cellStyle name="Normal 4 3" xfId="304"/>
    <cellStyle name="Normal 4 3 2" xfId="305"/>
    <cellStyle name="Normal 4 4" xfId="306"/>
    <cellStyle name="Normal 4 4 2" xfId="307"/>
    <cellStyle name="Normal 4 5" xfId="308"/>
    <cellStyle name="Normal 4 6" xfId="309"/>
    <cellStyle name="Normal 4 7" xfId="690"/>
    <cellStyle name="Normal 4 7 2" xfId="966"/>
    <cellStyle name="Normal 40" xfId="310"/>
    <cellStyle name="Normal 40 2" xfId="311"/>
    <cellStyle name="Normal 40 2 2" xfId="844"/>
    <cellStyle name="Normal 40 3" xfId="684"/>
    <cellStyle name="Normal 40 4" xfId="843"/>
    <cellStyle name="Normal 41" xfId="312"/>
    <cellStyle name="Normal 41 2" xfId="313"/>
    <cellStyle name="Normal 41 2 2" xfId="846"/>
    <cellStyle name="Normal 41 3" xfId="845"/>
    <cellStyle name="Normal 42" xfId="314"/>
    <cellStyle name="Normal 42 2" xfId="315"/>
    <cellStyle name="Normal 42 2 2" xfId="848"/>
    <cellStyle name="Normal 42 3" xfId="847"/>
    <cellStyle name="Normal 43" xfId="316"/>
    <cellStyle name="Normal 43 2" xfId="317"/>
    <cellStyle name="Normal 43 2 2" xfId="850"/>
    <cellStyle name="Normal 43 3" xfId="849"/>
    <cellStyle name="Normal 44" xfId="318"/>
    <cellStyle name="Normal 44 2" xfId="851"/>
    <cellStyle name="Normal 45" xfId="319"/>
    <cellStyle name="Normal 45 2" xfId="320"/>
    <cellStyle name="Normal 45 2 2" xfId="853"/>
    <cellStyle name="Normal 45 3" xfId="529"/>
    <cellStyle name="Normal 45 3 2" xfId="931"/>
    <cellStyle name="Normal 45 4" xfId="852"/>
    <cellStyle name="Normal 46" xfId="321"/>
    <cellStyle name="Normal 47" xfId="322"/>
    <cellStyle name="Normal 47 2" xfId="854"/>
    <cellStyle name="Normal 48" xfId="481"/>
    <cellStyle name="Normal 48 2" xfId="883"/>
    <cellStyle name="Normal 49" xfId="323"/>
    <cellStyle name="Normal 49 2" xfId="324"/>
    <cellStyle name="Normal 49 2 2" xfId="325"/>
    <cellStyle name="Normal 49 2 2 2" xfId="857"/>
    <cellStyle name="Normal 49 2 3" xfId="531"/>
    <cellStyle name="Normal 49 2 3 2" xfId="933"/>
    <cellStyle name="Normal 49 2 4" xfId="856"/>
    <cellStyle name="Normal 49 3" xfId="326"/>
    <cellStyle name="Normal 49 3 2" xfId="858"/>
    <cellStyle name="Normal 49 4" xfId="530"/>
    <cellStyle name="Normal 49 4 2" xfId="932"/>
    <cellStyle name="Normal 49 5" xfId="855"/>
    <cellStyle name="Normal 5" xfId="327"/>
    <cellStyle name="Normal 5 2" xfId="328"/>
    <cellStyle name="Normal 5 2 2" xfId="686"/>
    <cellStyle name="Normal 5 3" xfId="329"/>
    <cellStyle name="Normal 5 4" xfId="330"/>
    <cellStyle name="Normal 5 4 2" xfId="860"/>
    <cellStyle name="Normal 5 5" xfId="532"/>
    <cellStyle name="Normal 5 5 2" xfId="934"/>
    <cellStyle name="Normal 5 6" xfId="859"/>
    <cellStyle name="Normal 50" xfId="482"/>
    <cellStyle name="Normal 50 2" xfId="884"/>
    <cellStyle name="Normal 51" xfId="700"/>
    <cellStyle name="Normal 51 2" xfId="971"/>
    <cellStyle name="Normal 52" xfId="702"/>
    <cellStyle name="Normal 53" xfId="972"/>
    <cellStyle name="Normal 6" xfId="26"/>
    <cellStyle name="Normal 6 2" xfId="331"/>
    <cellStyle name="Normal 6 2 2" xfId="332"/>
    <cellStyle name="Normal 6 3" xfId="333"/>
    <cellStyle name="Normal 6 4" xfId="334"/>
    <cellStyle name="Normal 6 5" xfId="335"/>
    <cellStyle name="Normal 68" xfId="336"/>
    <cellStyle name="Normal 68 2" xfId="337"/>
    <cellStyle name="Normal 68 2 2" xfId="862"/>
    <cellStyle name="Normal 68 3" xfId="533"/>
    <cellStyle name="Normal 68 3 2" xfId="935"/>
    <cellStyle name="Normal 68 4" xfId="861"/>
    <cellStyle name="Normal 7" xfId="27"/>
    <cellStyle name="Normal 7 2" xfId="338"/>
    <cellStyle name="Normal 7 3" xfId="339"/>
    <cellStyle name="Normal 7 4" xfId="340"/>
    <cellStyle name="Normal 7 4 2" xfId="341"/>
    <cellStyle name="Normal 7 4 2 2" xfId="864"/>
    <cellStyle name="Normal 7 4 3" xfId="863"/>
    <cellStyle name="Normal 7 5" xfId="342"/>
    <cellStyle name="Normal 7 5 2" xfId="865"/>
    <cellStyle name="Normal 7 6" xfId="343"/>
    <cellStyle name="Normal 7 7" xfId="534"/>
    <cellStyle name="Normal 7 7 2" xfId="936"/>
    <cellStyle name="Normal 8" xfId="28"/>
    <cellStyle name="Normal 8 2" xfId="344"/>
    <cellStyle name="Normal 8 3" xfId="345"/>
    <cellStyle name="Normal 9" xfId="346"/>
    <cellStyle name="Normal 9 2" xfId="347"/>
    <cellStyle name="Normal 9 3" xfId="348"/>
    <cellStyle name="Normal 9 4" xfId="349"/>
    <cellStyle name="Normal 9 4 2" xfId="867"/>
    <cellStyle name="Normal 9 5" xfId="535"/>
    <cellStyle name="Normal 9 5 2" xfId="937"/>
    <cellStyle name="Normal 9 6" xfId="866"/>
    <cellStyle name="Normal_2000-2001Aantekening14B" xfId="14"/>
    <cellStyle name="Normal_Aanhang A 2000-2001" xfId="15"/>
    <cellStyle name="Normal_AANHANGSEL B 2000-2001" xfId="16"/>
    <cellStyle name="Normal_Aanhangsel E 2000-2001" xfId="17"/>
    <cellStyle name="Normal_Inkomstestaat 2000-2001" xfId="18"/>
    <cellStyle name="Note 10" xfId="350"/>
    <cellStyle name="Note 11" xfId="351"/>
    <cellStyle name="Note 12" xfId="352"/>
    <cellStyle name="Note 13" xfId="353"/>
    <cellStyle name="Note 14" xfId="354"/>
    <cellStyle name="Note 15" xfId="355"/>
    <cellStyle name="Note 16" xfId="356"/>
    <cellStyle name="Note 17" xfId="357"/>
    <cellStyle name="Note 18" xfId="358"/>
    <cellStyle name="Note 19" xfId="359"/>
    <cellStyle name="Note 2" xfId="360"/>
    <cellStyle name="Note 20" xfId="361"/>
    <cellStyle name="Note 21" xfId="362"/>
    <cellStyle name="Note 22" xfId="363"/>
    <cellStyle name="Note 23" xfId="364"/>
    <cellStyle name="Note 24" xfId="365"/>
    <cellStyle name="Note 25" xfId="366"/>
    <cellStyle name="Note 26" xfId="367"/>
    <cellStyle name="Note 27" xfId="368"/>
    <cellStyle name="Note 28" xfId="369"/>
    <cellStyle name="Note 29" xfId="370"/>
    <cellStyle name="Note 3" xfId="371"/>
    <cellStyle name="Note 30" xfId="372"/>
    <cellStyle name="Note 31" xfId="373"/>
    <cellStyle name="Note 32" xfId="374"/>
    <cellStyle name="Note 33" xfId="375"/>
    <cellStyle name="Note 34" xfId="376"/>
    <cellStyle name="Note 35" xfId="377"/>
    <cellStyle name="Note 36" xfId="378"/>
    <cellStyle name="Note 37" xfId="379"/>
    <cellStyle name="Note 38" xfId="380"/>
    <cellStyle name="Note 39" xfId="381"/>
    <cellStyle name="Note 4" xfId="382"/>
    <cellStyle name="Note 40" xfId="383"/>
    <cellStyle name="Note 41" xfId="384"/>
    <cellStyle name="Note 42" xfId="385"/>
    <cellStyle name="Note 43" xfId="386"/>
    <cellStyle name="Note 44" xfId="387"/>
    <cellStyle name="Note 45" xfId="388"/>
    <cellStyle name="Note 46" xfId="389"/>
    <cellStyle name="Note 47" xfId="390"/>
    <cellStyle name="Note 48" xfId="391"/>
    <cellStyle name="Note 49" xfId="392"/>
    <cellStyle name="Note 5" xfId="393"/>
    <cellStyle name="Note 50" xfId="394"/>
    <cellStyle name="Note 51" xfId="395"/>
    <cellStyle name="Note 52" xfId="396"/>
    <cellStyle name="Note 53" xfId="397"/>
    <cellStyle name="Note 54" xfId="398"/>
    <cellStyle name="Note 55" xfId="399"/>
    <cellStyle name="Note 56" xfId="400"/>
    <cellStyle name="Note 57" xfId="401"/>
    <cellStyle name="Note 58" xfId="402"/>
    <cellStyle name="Note 59" xfId="403"/>
    <cellStyle name="Note 6" xfId="404"/>
    <cellStyle name="Note 60" xfId="405"/>
    <cellStyle name="Note 61" xfId="406"/>
    <cellStyle name="Note 62" xfId="407"/>
    <cellStyle name="Note 63" xfId="408"/>
    <cellStyle name="Note 64" xfId="409"/>
    <cellStyle name="Note 64 2" xfId="410"/>
    <cellStyle name="Note 64 2 2" xfId="869"/>
    <cellStyle name="Note 64 3" xfId="663"/>
    <cellStyle name="Note 64 4" xfId="868"/>
    <cellStyle name="Note 65" xfId="411"/>
    <cellStyle name="Note 65 2" xfId="664"/>
    <cellStyle name="Note 65 2 2" xfId="964"/>
    <cellStyle name="Note 65 3" xfId="870"/>
    <cellStyle name="Note 66" xfId="662"/>
    <cellStyle name="Note 67" xfId="483"/>
    <cellStyle name="Note 67 2" xfId="885"/>
    <cellStyle name="Note 7" xfId="412"/>
    <cellStyle name="Note 8" xfId="413"/>
    <cellStyle name="Note 9" xfId="414"/>
    <cellStyle name="Output" xfId="450" builtinId="21" customBuiltin="1"/>
    <cellStyle name="Output 2" xfId="666"/>
    <cellStyle name="Output 3" xfId="667"/>
    <cellStyle name="Output 4" xfId="665"/>
    <cellStyle name="Percent" xfId="19" builtinId="5"/>
    <cellStyle name="Percent [0]" xfId="415"/>
    <cellStyle name="Percent [00]" xfId="416"/>
    <cellStyle name="Percent [2]" xfId="417"/>
    <cellStyle name="Percent 10 2" xfId="669"/>
    <cellStyle name="Percent 10 2 2" xfId="670"/>
    <cellStyle name="Percent 13" xfId="418"/>
    <cellStyle name="Percent 14" xfId="419"/>
    <cellStyle name="Percent 2" xfId="420"/>
    <cellStyle name="Percent 2 2" xfId="421"/>
    <cellStyle name="Percent 2 3" xfId="422"/>
    <cellStyle name="Percent 2 4" xfId="423"/>
    <cellStyle name="Percent 2 5" xfId="424"/>
    <cellStyle name="Percent 3" xfId="425"/>
    <cellStyle name="Percent 4" xfId="426"/>
    <cellStyle name="Percent 5" xfId="427"/>
    <cellStyle name="Percent 6" xfId="668"/>
    <cellStyle name="Percent 7" xfId="682"/>
    <cellStyle name="Percent 8" xfId="428"/>
    <cellStyle name="PrePop Currency (0)" xfId="429"/>
    <cellStyle name="PrePop Currency (2)" xfId="430"/>
    <cellStyle name="PrePop Units (0)" xfId="431"/>
    <cellStyle name="PrePop Units (1)" xfId="432"/>
    <cellStyle name="PrePop Units (2)" xfId="433"/>
    <cellStyle name="Reset  - Style7" xfId="20"/>
    <cellStyle name="rs5" xfId="434"/>
    <cellStyle name="Table  - Style6" xfId="21"/>
    <cellStyle name="Text Indent A" xfId="435"/>
    <cellStyle name="Text Indent B" xfId="436"/>
    <cellStyle name="Text Indent C" xfId="437"/>
    <cellStyle name="Title" xfId="441" builtinId="15" customBuiltin="1"/>
    <cellStyle name="Title  - Style1" xfId="22"/>
    <cellStyle name="Title 2" xfId="672"/>
    <cellStyle name="Title 3" xfId="673"/>
    <cellStyle name="Title 4" xfId="671"/>
    <cellStyle name="Total" xfId="456" builtinId="25" customBuiltin="1"/>
    <cellStyle name="Total 2" xfId="438"/>
    <cellStyle name="Total 3" xfId="675"/>
    <cellStyle name="Total 4" xfId="676"/>
    <cellStyle name="Total 5" xfId="674"/>
    <cellStyle name="TotCol - Style5" xfId="23"/>
    <cellStyle name="TotCol - Style5 2" xfId="439"/>
    <cellStyle name="TotCol - Style5 3" xfId="440"/>
    <cellStyle name="TotRow - Style4" xfId="24"/>
    <cellStyle name="Warning Text" xfId="454" builtinId="11" customBuiltin="1"/>
    <cellStyle name="Warning Text 2" xfId="678"/>
    <cellStyle name="Warning Text 3" xfId="679"/>
    <cellStyle name="Warning Text 4" xfId="677"/>
  </cellStyles>
  <dxfs count="89">
    <dxf>
      <font>
        <color theme="0"/>
      </font>
    </dxf>
    <dxf>
      <font>
        <color theme="0"/>
      </font>
    </dxf>
    <dxf>
      <font>
        <condense val="0"/>
        <extend val="0"/>
        <color indexed="9"/>
      </font>
    </dxf>
    <dxf>
      <font>
        <condense val="0"/>
        <extend val="0"/>
        <color indexed="9"/>
      </font>
    </dxf>
    <dxf>
      <font>
        <condense val="0"/>
        <extend val="0"/>
        <color indexed="27"/>
      </font>
    </dxf>
    <dxf>
      <font>
        <condense val="0"/>
        <extend val="0"/>
        <color indexed="9"/>
      </font>
    </dxf>
    <dxf>
      <font>
        <color rgb="FFFFCC99"/>
      </font>
    </dxf>
    <dxf>
      <font>
        <color theme="0"/>
        <name val="Cambria"/>
        <scheme val="none"/>
      </font>
    </dxf>
    <dxf>
      <font>
        <color theme="0"/>
      </font>
    </dxf>
    <dxf>
      <font>
        <color rgb="FFFFCC99"/>
      </font>
    </dxf>
    <dxf>
      <font>
        <color theme="0"/>
        <name val="Cambria"/>
        <scheme val="none"/>
      </font>
    </dxf>
    <dxf>
      <font>
        <condense val="0"/>
        <extend val="0"/>
        <color indexed="27"/>
      </font>
    </dxf>
    <dxf>
      <font>
        <condense val="0"/>
        <extend val="0"/>
        <color indexed="9"/>
      </font>
    </dxf>
    <dxf>
      <font>
        <color rgb="FFFFCC99"/>
      </font>
    </dxf>
    <dxf>
      <font>
        <color theme="0"/>
        <name val="Cambria"/>
        <scheme val="none"/>
      </font>
    </dxf>
    <dxf>
      <font>
        <color theme="0"/>
      </font>
    </dxf>
    <dxf>
      <font>
        <color theme="0"/>
      </font>
    </dxf>
    <dxf>
      <font>
        <condense val="0"/>
        <extend val="0"/>
        <color indexed="9"/>
      </font>
    </dxf>
    <dxf>
      <font>
        <color theme="0"/>
      </font>
    </dxf>
    <dxf>
      <font>
        <color theme="0"/>
      </font>
    </dxf>
    <dxf>
      <font>
        <color theme="0"/>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9"/>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41"/>
      </font>
    </dxf>
    <dxf>
      <font>
        <condense val="0"/>
        <extend val="0"/>
        <color indexed="41"/>
      </font>
    </dxf>
    <dxf>
      <font>
        <condense val="0"/>
        <extend val="0"/>
        <color indexed="9"/>
      </font>
    </dxf>
    <dxf>
      <font>
        <color rgb="FFCCFFCC"/>
      </font>
    </dxf>
    <dxf>
      <font>
        <condense val="0"/>
        <extend val="0"/>
        <color indexed="9"/>
      </font>
    </dxf>
    <dxf>
      <font>
        <color theme="0"/>
        <name val="Cambria"/>
        <scheme val="none"/>
      </font>
    </dxf>
    <dxf>
      <font>
        <condense val="0"/>
        <extend val="0"/>
        <color indexed="9"/>
      </font>
    </dxf>
  </dxfs>
  <tableStyles count="0" defaultTableStyle="TableStyleMedium9" defaultPivotStyle="PivotStyleLight16"/>
  <colors>
    <mruColors>
      <color rgb="FF00FF00"/>
      <color rgb="FFCCFFFF"/>
      <color rgb="FFFF0066"/>
      <color rgb="FFFFFF99"/>
      <color rgb="FFA1A1A1"/>
      <color rgb="FF9F9F9F"/>
      <color rgb="FF9D9D9D"/>
      <color rgb="FF9B9B9B"/>
      <color rgb="FFA7A7A7"/>
      <color rgb="FFB0B0B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checked="Checked" fmlaLink="$B$13" lockText="1" noThreeD="1"/>
</file>

<file path=xl/ctrlProps/ctrlProp100.xml><?xml version="1.0" encoding="utf-8"?>
<formControlPr xmlns="http://schemas.microsoft.com/office/spreadsheetml/2009/9/main" objectType="CheckBox" checked="Checked" fmlaLink="$B$32" lockText="1" noThreeD="1"/>
</file>

<file path=xl/ctrlProps/ctrlProp101.xml><?xml version="1.0" encoding="utf-8"?>
<formControlPr xmlns="http://schemas.microsoft.com/office/spreadsheetml/2009/9/main" objectType="CheckBox" fmlaLink="$B$104" lockText="1" noThreeD="1"/>
</file>

<file path=xl/ctrlProps/ctrlProp102.xml><?xml version="1.0" encoding="utf-8"?>
<formControlPr xmlns="http://schemas.microsoft.com/office/spreadsheetml/2009/9/main" objectType="CheckBox" checked="Checked" fmlaLink="$B$36" lockText="1" noThreeD="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1.xml><?xml version="1.0" encoding="utf-8"?>
<formControlPr xmlns="http://schemas.microsoft.com/office/spreadsheetml/2009/9/main" objectType="CheckBox" checked="Checked" fmlaLink="$B$14" lockText="1" noThreeD="1"/>
</file>

<file path=xl/ctrlProps/ctrlProp12.xml><?xml version="1.0" encoding="utf-8"?>
<formControlPr xmlns="http://schemas.microsoft.com/office/spreadsheetml/2009/9/main" objectType="CheckBox" checked="Checked" fmlaLink="$B$15" lockText="1" noThreeD="1"/>
</file>

<file path=xl/ctrlProps/ctrlProp13.xml><?xml version="1.0" encoding="utf-8"?>
<formControlPr xmlns="http://schemas.microsoft.com/office/spreadsheetml/2009/9/main" objectType="CheckBox" checked="Checked" fmlaLink="$B$16" lockText="1" noThreeD="1"/>
</file>

<file path=xl/ctrlProps/ctrlProp14.xml><?xml version="1.0" encoding="utf-8"?>
<formControlPr xmlns="http://schemas.microsoft.com/office/spreadsheetml/2009/9/main" objectType="CheckBox" checked="Checked" fmlaLink="$B$17" lockText="1" noThreeD="1"/>
</file>

<file path=xl/ctrlProps/ctrlProp15.xml><?xml version="1.0" encoding="utf-8"?>
<formControlPr xmlns="http://schemas.microsoft.com/office/spreadsheetml/2009/9/main" objectType="CheckBox" checked="Checked" fmlaLink="$B$18" lockText="1" noThreeD="1"/>
</file>

<file path=xl/ctrlProps/ctrlProp16.xml><?xml version="1.0" encoding="utf-8"?>
<formControlPr xmlns="http://schemas.microsoft.com/office/spreadsheetml/2009/9/main" objectType="CheckBox" checked="Checked" fmlaLink="$B$19" lockText="1" noThreeD="1"/>
</file>

<file path=xl/ctrlProps/ctrlProp17.xml><?xml version="1.0" encoding="utf-8"?>
<formControlPr xmlns="http://schemas.microsoft.com/office/spreadsheetml/2009/9/main" objectType="CheckBox" checked="Checked" fmlaLink="$B$20" lockText="1" noThreeD="1"/>
</file>

<file path=xl/ctrlProps/ctrlProp18.xml><?xml version="1.0" encoding="utf-8"?>
<formControlPr xmlns="http://schemas.microsoft.com/office/spreadsheetml/2009/9/main" objectType="CheckBox" checked="Checked" fmlaLink="$B$25" lockText="1" noThreeD="1"/>
</file>

<file path=xl/ctrlProps/ctrlProp19.xml><?xml version="1.0" encoding="utf-8"?>
<formControlPr xmlns="http://schemas.microsoft.com/office/spreadsheetml/2009/9/main" objectType="CheckBox" checked="Checked" fmlaLink="$B$26" lockText="1" noThreeD="1"/>
</file>

<file path=xl/ctrlProps/ctrlProp2.xml><?xml version="1.0" encoding="utf-8"?>
<formControlPr xmlns="http://schemas.microsoft.com/office/spreadsheetml/2009/9/main" objectType="CheckBox" checked="Checked" fmlaLink="$B$5" lockText="1" noThreeD="1"/>
</file>

<file path=xl/ctrlProps/ctrlProp20.xml><?xml version="1.0" encoding="utf-8"?>
<formControlPr xmlns="http://schemas.microsoft.com/office/spreadsheetml/2009/9/main" objectType="CheckBox" checked="Checked" fmlaLink="$B$27" lockText="1" noThreeD="1"/>
</file>

<file path=xl/ctrlProps/ctrlProp21.xml><?xml version="1.0" encoding="utf-8"?>
<formControlPr xmlns="http://schemas.microsoft.com/office/spreadsheetml/2009/9/main" objectType="CheckBox" checked="Checked" fmlaLink="$B$28" lockText="1" noThreeD="1"/>
</file>

<file path=xl/ctrlProps/ctrlProp22.xml><?xml version="1.0" encoding="utf-8"?>
<formControlPr xmlns="http://schemas.microsoft.com/office/spreadsheetml/2009/9/main" objectType="CheckBox" checked="Checked" fmlaLink="$B$29" lockText="1" noThreeD="1"/>
</file>

<file path=xl/ctrlProps/ctrlProp23.xml><?xml version="1.0" encoding="utf-8"?>
<formControlPr xmlns="http://schemas.microsoft.com/office/spreadsheetml/2009/9/main" objectType="CheckBox" checked="Checked" fmlaLink="$B$30" lockText="1" noThreeD="1"/>
</file>

<file path=xl/ctrlProps/ctrlProp24.xml><?xml version="1.0" encoding="utf-8"?>
<formControlPr xmlns="http://schemas.microsoft.com/office/spreadsheetml/2009/9/main" objectType="CheckBox" checked="Checked" fmlaLink="$B$31" lockText="1" noThreeD="1"/>
</file>

<file path=xl/ctrlProps/ctrlProp25.xml><?xml version="1.0" encoding="utf-8"?>
<formControlPr xmlns="http://schemas.microsoft.com/office/spreadsheetml/2009/9/main" objectType="CheckBox" checked="Checked" fmlaLink="$B$33" lockText="1" noThreeD="1"/>
</file>

<file path=xl/ctrlProps/ctrlProp26.xml><?xml version="1.0" encoding="utf-8"?>
<formControlPr xmlns="http://schemas.microsoft.com/office/spreadsheetml/2009/9/main" objectType="CheckBox" checked="Checked" fmlaLink="$B$34" lockText="1" noThreeD="1"/>
</file>

<file path=xl/ctrlProps/ctrlProp27.xml><?xml version="1.0" encoding="utf-8"?>
<formControlPr xmlns="http://schemas.microsoft.com/office/spreadsheetml/2009/9/main" objectType="CheckBox" checked="Checked" fmlaLink="$B$35" lockText="1" noThreeD="1"/>
</file>

<file path=xl/ctrlProps/ctrlProp28.xml><?xml version="1.0" encoding="utf-8"?>
<formControlPr xmlns="http://schemas.microsoft.com/office/spreadsheetml/2009/9/main" objectType="CheckBox" checked="Checked" fmlaLink="$B$37" lockText="1" noThreeD="1"/>
</file>

<file path=xl/ctrlProps/ctrlProp29.xml><?xml version="1.0" encoding="utf-8"?>
<formControlPr xmlns="http://schemas.microsoft.com/office/spreadsheetml/2009/9/main" objectType="CheckBox" checked="Checked" fmlaLink="$B$38" lockText="1" noThreeD="1"/>
</file>

<file path=xl/ctrlProps/ctrlProp3.xml><?xml version="1.0" encoding="utf-8"?>
<formControlPr xmlns="http://schemas.microsoft.com/office/spreadsheetml/2009/9/main" objectType="CheckBox" checked="Checked" fmlaLink="$B$6" lockText="1" noThreeD="1"/>
</file>

<file path=xl/ctrlProps/ctrlProp30.xml><?xml version="1.0" encoding="utf-8"?>
<formControlPr xmlns="http://schemas.microsoft.com/office/spreadsheetml/2009/9/main" objectType="CheckBox" checked="Checked" fmlaLink="$B$39" lockText="1" noThreeD="1"/>
</file>

<file path=xl/ctrlProps/ctrlProp31.xml><?xml version="1.0" encoding="utf-8"?>
<formControlPr xmlns="http://schemas.microsoft.com/office/spreadsheetml/2009/9/main" objectType="CheckBox" checked="Checked" fmlaLink="$B$40" lockText="1" noThreeD="1"/>
</file>

<file path=xl/ctrlProps/ctrlProp32.xml><?xml version="1.0" encoding="utf-8"?>
<formControlPr xmlns="http://schemas.microsoft.com/office/spreadsheetml/2009/9/main" objectType="CheckBox" checked="Checked" fmlaLink="$B$41" lockText="1" noThreeD="1"/>
</file>

<file path=xl/ctrlProps/ctrlProp33.xml><?xml version="1.0" encoding="utf-8"?>
<formControlPr xmlns="http://schemas.microsoft.com/office/spreadsheetml/2009/9/main" objectType="CheckBox" checked="Checked" fmlaLink="$B$42" lockText="1" noThreeD="1"/>
</file>

<file path=xl/ctrlProps/ctrlProp34.xml><?xml version="1.0" encoding="utf-8"?>
<formControlPr xmlns="http://schemas.microsoft.com/office/spreadsheetml/2009/9/main" objectType="CheckBox" checked="Checked" fmlaLink="$B$43" lockText="1" noThreeD="1"/>
</file>

<file path=xl/ctrlProps/ctrlProp35.xml><?xml version="1.0" encoding="utf-8"?>
<formControlPr xmlns="http://schemas.microsoft.com/office/spreadsheetml/2009/9/main" objectType="CheckBox" checked="Checked" fmlaLink="$B$44" lockText="1" noThreeD="1"/>
</file>

<file path=xl/ctrlProps/ctrlProp36.xml><?xml version="1.0" encoding="utf-8"?>
<formControlPr xmlns="http://schemas.microsoft.com/office/spreadsheetml/2009/9/main" objectType="CheckBox" checked="Checked" fmlaLink="$B$45" lockText="1" noThreeD="1"/>
</file>

<file path=xl/ctrlProps/ctrlProp37.xml><?xml version="1.0" encoding="utf-8"?>
<formControlPr xmlns="http://schemas.microsoft.com/office/spreadsheetml/2009/9/main" objectType="CheckBox" checked="Checked" fmlaLink="$B$46" lockText="1" noThreeD="1"/>
</file>

<file path=xl/ctrlProps/ctrlProp38.xml><?xml version="1.0" encoding="utf-8"?>
<formControlPr xmlns="http://schemas.microsoft.com/office/spreadsheetml/2009/9/main" objectType="CheckBox" checked="Checked" fmlaLink="$B$47" lockText="1" noThreeD="1"/>
</file>

<file path=xl/ctrlProps/ctrlProp39.xml><?xml version="1.0" encoding="utf-8"?>
<formControlPr xmlns="http://schemas.microsoft.com/office/spreadsheetml/2009/9/main" objectType="CheckBox" checked="Checked" fmlaLink="$B$48" lockText="1" noThreeD="1"/>
</file>

<file path=xl/ctrlProps/ctrlProp4.xml><?xml version="1.0" encoding="utf-8"?>
<formControlPr xmlns="http://schemas.microsoft.com/office/spreadsheetml/2009/9/main" objectType="CheckBox" checked="Checked" fmlaLink="$B$7" lockText="1" noThreeD="1"/>
</file>

<file path=xl/ctrlProps/ctrlProp40.xml><?xml version="1.0" encoding="utf-8"?>
<formControlPr xmlns="http://schemas.microsoft.com/office/spreadsheetml/2009/9/main" objectType="CheckBox" checked="Checked" fmlaLink="$B$49" lockText="1" noThreeD="1"/>
</file>

<file path=xl/ctrlProps/ctrlProp41.xml><?xml version="1.0" encoding="utf-8"?>
<formControlPr xmlns="http://schemas.microsoft.com/office/spreadsheetml/2009/9/main" objectType="CheckBox" checked="Checked" fmlaLink="$B$50" lockText="1" noThreeD="1"/>
</file>

<file path=xl/ctrlProps/ctrlProp42.xml><?xml version="1.0" encoding="utf-8"?>
<formControlPr xmlns="http://schemas.microsoft.com/office/spreadsheetml/2009/9/main" objectType="CheckBox" checked="Checked" fmlaLink="$B$51" lockText="1" noThreeD="1"/>
</file>

<file path=xl/ctrlProps/ctrlProp43.xml><?xml version="1.0" encoding="utf-8"?>
<formControlPr xmlns="http://schemas.microsoft.com/office/spreadsheetml/2009/9/main" objectType="CheckBox" checked="Checked" fmlaLink="$B$52" lockText="1" noThreeD="1"/>
</file>

<file path=xl/ctrlProps/ctrlProp44.xml><?xml version="1.0" encoding="utf-8"?>
<formControlPr xmlns="http://schemas.microsoft.com/office/spreadsheetml/2009/9/main" objectType="CheckBox" checked="Checked" fmlaLink="$B$53" lockText="1" noThreeD="1"/>
</file>

<file path=xl/ctrlProps/ctrlProp45.xml><?xml version="1.0" encoding="utf-8"?>
<formControlPr xmlns="http://schemas.microsoft.com/office/spreadsheetml/2009/9/main" objectType="CheckBox" checked="Checked" fmlaLink="$B$54" lockText="1" noThreeD="1"/>
</file>

<file path=xl/ctrlProps/ctrlProp46.xml><?xml version="1.0" encoding="utf-8"?>
<formControlPr xmlns="http://schemas.microsoft.com/office/spreadsheetml/2009/9/main" objectType="CheckBox" checked="Checked" fmlaLink="$B$55" lockText="1" noThreeD="1"/>
</file>

<file path=xl/ctrlProps/ctrlProp47.xml><?xml version="1.0" encoding="utf-8"?>
<formControlPr xmlns="http://schemas.microsoft.com/office/spreadsheetml/2009/9/main" objectType="CheckBox" checked="Checked" fmlaLink="$B$56" lockText="1" noThreeD="1"/>
</file>

<file path=xl/ctrlProps/ctrlProp48.xml><?xml version="1.0" encoding="utf-8"?>
<formControlPr xmlns="http://schemas.microsoft.com/office/spreadsheetml/2009/9/main" objectType="CheckBox" checked="Checked" fmlaLink="$B$57" lockText="1" noThreeD="1"/>
</file>

<file path=xl/ctrlProps/ctrlProp49.xml><?xml version="1.0" encoding="utf-8"?>
<formControlPr xmlns="http://schemas.microsoft.com/office/spreadsheetml/2009/9/main" objectType="CheckBox" checked="Checked" fmlaLink="$B$58" lockText="1" noThreeD="1"/>
</file>

<file path=xl/ctrlProps/ctrlProp5.xml><?xml version="1.0" encoding="utf-8"?>
<formControlPr xmlns="http://schemas.microsoft.com/office/spreadsheetml/2009/9/main" objectType="CheckBox" checked="Checked" fmlaLink="$B$8" lockText="1" noThreeD="1"/>
</file>

<file path=xl/ctrlProps/ctrlProp50.xml><?xml version="1.0" encoding="utf-8"?>
<formControlPr xmlns="http://schemas.microsoft.com/office/spreadsheetml/2009/9/main" objectType="CheckBox" checked="Checked" fmlaLink="$B$59" lockText="1" noThreeD="1"/>
</file>

<file path=xl/ctrlProps/ctrlProp51.xml><?xml version="1.0" encoding="utf-8"?>
<formControlPr xmlns="http://schemas.microsoft.com/office/spreadsheetml/2009/9/main" objectType="CheckBox" checked="Checked" fmlaLink="$B$60" lockText="1" noThreeD="1"/>
</file>

<file path=xl/ctrlProps/ctrlProp52.xml><?xml version="1.0" encoding="utf-8"?>
<formControlPr xmlns="http://schemas.microsoft.com/office/spreadsheetml/2009/9/main" objectType="CheckBox" checked="Checked" fmlaLink="$B$61" lockText="1" noThreeD="1"/>
</file>

<file path=xl/ctrlProps/ctrlProp53.xml><?xml version="1.0" encoding="utf-8"?>
<formControlPr xmlns="http://schemas.microsoft.com/office/spreadsheetml/2009/9/main" objectType="CheckBox" checked="Checked" fmlaLink="$B$62" lockText="1" noThreeD="1"/>
</file>

<file path=xl/ctrlProps/ctrlProp54.xml><?xml version="1.0" encoding="utf-8"?>
<formControlPr xmlns="http://schemas.microsoft.com/office/spreadsheetml/2009/9/main" objectType="CheckBox" checked="Checked" fmlaLink="$B$63" lockText="1" noThreeD="1"/>
</file>

<file path=xl/ctrlProps/ctrlProp55.xml><?xml version="1.0" encoding="utf-8"?>
<formControlPr xmlns="http://schemas.microsoft.com/office/spreadsheetml/2009/9/main" objectType="CheckBox" checked="Checked" fmlaLink="$B$64" lockText="1" noThreeD="1"/>
</file>

<file path=xl/ctrlProps/ctrlProp56.xml><?xml version="1.0" encoding="utf-8"?>
<formControlPr xmlns="http://schemas.microsoft.com/office/spreadsheetml/2009/9/main" objectType="CheckBox" checked="Checked" fmlaLink="$B$65" lockText="1" noThreeD="1"/>
</file>

<file path=xl/ctrlProps/ctrlProp57.xml><?xml version="1.0" encoding="utf-8"?>
<formControlPr xmlns="http://schemas.microsoft.com/office/spreadsheetml/2009/9/main" objectType="CheckBox" checked="Checked" fmlaLink="$B$66" lockText="1" noThreeD="1"/>
</file>

<file path=xl/ctrlProps/ctrlProp58.xml><?xml version="1.0" encoding="utf-8"?>
<formControlPr xmlns="http://schemas.microsoft.com/office/spreadsheetml/2009/9/main" objectType="CheckBox" checked="Checked" fmlaLink="$B$67" lockText="1" noThreeD="1"/>
</file>

<file path=xl/ctrlProps/ctrlProp59.xml><?xml version="1.0" encoding="utf-8"?>
<formControlPr xmlns="http://schemas.microsoft.com/office/spreadsheetml/2009/9/main" objectType="CheckBox" checked="Checked" fmlaLink="$B$68" lockText="1" noThreeD="1"/>
</file>

<file path=xl/ctrlProps/ctrlProp6.xml><?xml version="1.0" encoding="utf-8"?>
<formControlPr xmlns="http://schemas.microsoft.com/office/spreadsheetml/2009/9/main" objectType="CheckBox" checked="Checked" fmlaLink="$B$9" lockText="1" noThreeD="1"/>
</file>

<file path=xl/ctrlProps/ctrlProp60.xml><?xml version="1.0" encoding="utf-8"?>
<formControlPr xmlns="http://schemas.microsoft.com/office/spreadsheetml/2009/9/main" objectType="CheckBox" checked="Checked" fmlaLink="$B$69" lockText="1" noThreeD="1"/>
</file>

<file path=xl/ctrlProps/ctrlProp61.xml><?xml version="1.0" encoding="utf-8"?>
<formControlPr xmlns="http://schemas.microsoft.com/office/spreadsheetml/2009/9/main" objectType="CheckBox" checked="Checked" fmlaLink="$B$70" lockText="1" noThreeD="1"/>
</file>

<file path=xl/ctrlProps/ctrlProp62.xml><?xml version="1.0" encoding="utf-8"?>
<formControlPr xmlns="http://schemas.microsoft.com/office/spreadsheetml/2009/9/main" objectType="CheckBox" checked="Checked" fmlaLink="$B$71" lockText="1" noThreeD="1"/>
</file>

<file path=xl/ctrlProps/ctrlProp63.xml><?xml version="1.0" encoding="utf-8"?>
<formControlPr xmlns="http://schemas.microsoft.com/office/spreadsheetml/2009/9/main" objectType="CheckBox" checked="Checked" fmlaLink="$B$72" lockText="1" noThreeD="1"/>
</file>

<file path=xl/ctrlProps/ctrlProp64.xml><?xml version="1.0" encoding="utf-8"?>
<formControlPr xmlns="http://schemas.microsoft.com/office/spreadsheetml/2009/9/main" objectType="CheckBox" checked="Checked" fmlaLink="$B$73" lockText="1" noThreeD="1"/>
</file>

<file path=xl/ctrlProps/ctrlProp65.xml><?xml version="1.0" encoding="utf-8"?>
<formControlPr xmlns="http://schemas.microsoft.com/office/spreadsheetml/2009/9/main" objectType="CheckBox" checked="Checked" fmlaLink="$B$74" lockText="1" noThreeD="1"/>
</file>

<file path=xl/ctrlProps/ctrlProp66.xml><?xml version="1.0" encoding="utf-8"?>
<formControlPr xmlns="http://schemas.microsoft.com/office/spreadsheetml/2009/9/main" objectType="CheckBox" checked="Checked" fmlaLink="$B$75" lockText="1" noThreeD="1"/>
</file>

<file path=xl/ctrlProps/ctrlProp67.xml><?xml version="1.0" encoding="utf-8"?>
<formControlPr xmlns="http://schemas.microsoft.com/office/spreadsheetml/2009/9/main" objectType="CheckBox" checked="Checked" fmlaLink="$B$76" lockText="1" noThreeD="1"/>
</file>

<file path=xl/ctrlProps/ctrlProp68.xml><?xml version="1.0" encoding="utf-8"?>
<formControlPr xmlns="http://schemas.microsoft.com/office/spreadsheetml/2009/9/main" objectType="CheckBox" checked="Checked" fmlaLink="$B$77" lockText="1" noThreeD="1"/>
</file>

<file path=xl/ctrlProps/ctrlProp69.xml><?xml version="1.0" encoding="utf-8"?>
<formControlPr xmlns="http://schemas.microsoft.com/office/spreadsheetml/2009/9/main" objectType="CheckBox" checked="Checked" fmlaLink="$B$78" lockText="1" noThreeD="1"/>
</file>

<file path=xl/ctrlProps/ctrlProp7.xml><?xml version="1.0" encoding="utf-8"?>
<formControlPr xmlns="http://schemas.microsoft.com/office/spreadsheetml/2009/9/main" objectType="CheckBox" checked="Checked" fmlaLink="$B$10" lockText="1" noThreeD="1"/>
</file>

<file path=xl/ctrlProps/ctrlProp70.xml><?xml version="1.0" encoding="utf-8"?>
<formControlPr xmlns="http://schemas.microsoft.com/office/spreadsheetml/2009/9/main" objectType="CheckBox" checked="Checked" fmlaLink="$B$79" lockText="1" noThreeD="1"/>
</file>

<file path=xl/ctrlProps/ctrlProp71.xml><?xml version="1.0" encoding="utf-8"?>
<formControlPr xmlns="http://schemas.microsoft.com/office/spreadsheetml/2009/9/main" objectType="CheckBox" checked="Checked" fmlaLink="$B$80" lockText="1" noThreeD="1"/>
</file>

<file path=xl/ctrlProps/ctrlProp72.xml><?xml version="1.0" encoding="utf-8"?>
<formControlPr xmlns="http://schemas.microsoft.com/office/spreadsheetml/2009/9/main" objectType="CheckBox" checked="Checked" fmlaLink="$B$81" lockText="1" noThreeD="1"/>
</file>

<file path=xl/ctrlProps/ctrlProp73.xml><?xml version="1.0" encoding="utf-8"?>
<formControlPr xmlns="http://schemas.microsoft.com/office/spreadsheetml/2009/9/main" objectType="CheckBox" checked="Checked" fmlaLink="$B$86" lockText="1" noThreeD="1"/>
</file>

<file path=xl/ctrlProps/ctrlProp74.xml><?xml version="1.0" encoding="utf-8"?>
<formControlPr xmlns="http://schemas.microsoft.com/office/spreadsheetml/2009/9/main" objectType="CheckBox" checked="Checked" fmlaLink="$B$87" lockText="1" noThreeD="1"/>
</file>

<file path=xl/ctrlProps/ctrlProp75.xml><?xml version="1.0" encoding="utf-8"?>
<formControlPr xmlns="http://schemas.microsoft.com/office/spreadsheetml/2009/9/main" objectType="CheckBox" checked="Checked" fmlaLink="$B$88" lockText="1" noThreeD="1"/>
</file>

<file path=xl/ctrlProps/ctrlProp76.xml><?xml version="1.0" encoding="utf-8"?>
<formControlPr xmlns="http://schemas.microsoft.com/office/spreadsheetml/2009/9/main" objectType="CheckBox" checked="Checked" fmlaLink="#REF!" lockText="1" noThreeD="1"/>
</file>

<file path=xl/ctrlProps/ctrlProp77.xml><?xml version="1.0" encoding="utf-8"?>
<formControlPr xmlns="http://schemas.microsoft.com/office/spreadsheetml/2009/9/main" objectType="CheckBox" checked="Checked" fmlaLink="$B$89" lockText="1" noThreeD="1"/>
</file>

<file path=xl/ctrlProps/ctrlProp78.xml><?xml version="1.0" encoding="utf-8"?>
<formControlPr xmlns="http://schemas.microsoft.com/office/spreadsheetml/2009/9/main" objectType="CheckBox" checked="Checked" fmlaLink="$B$90" lockText="1" noThreeD="1"/>
</file>

<file path=xl/ctrlProps/ctrlProp79.xml><?xml version="1.0" encoding="utf-8"?>
<formControlPr xmlns="http://schemas.microsoft.com/office/spreadsheetml/2009/9/main" objectType="CheckBox" checked="Checked" fmlaLink="$B$91" lockText="1" noThreeD="1"/>
</file>

<file path=xl/ctrlProps/ctrlProp8.xml><?xml version="1.0" encoding="utf-8"?>
<formControlPr xmlns="http://schemas.microsoft.com/office/spreadsheetml/2009/9/main" objectType="CheckBox" checked="Checked" fmlaLink="$B$11" lockText="1" noThreeD="1"/>
</file>

<file path=xl/ctrlProps/ctrlProp80.xml><?xml version="1.0" encoding="utf-8"?>
<formControlPr xmlns="http://schemas.microsoft.com/office/spreadsheetml/2009/9/main" objectType="CheckBox" checked="Checked" fmlaLink="$B$92" lockText="1" noThreeD="1"/>
</file>

<file path=xl/ctrlProps/ctrlProp81.xml><?xml version="1.0" encoding="utf-8"?>
<formControlPr xmlns="http://schemas.microsoft.com/office/spreadsheetml/2009/9/main" objectType="CheckBox" checked="Checked" fmlaLink="$B$93" lockText="1" noThreeD="1"/>
</file>

<file path=xl/ctrlProps/ctrlProp82.xml><?xml version="1.0" encoding="utf-8"?>
<formControlPr xmlns="http://schemas.microsoft.com/office/spreadsheetml/2009/9/main" objectType="CheckBox" checked="Checked" fmlaLink="$B$95" lockText="1" noThreeD="1"/>
</file>

<file path=xl/ctrlProps/ctrlProp83.xml><?xml version="1.0" encoding="utf-8"?>
<formControlPr xmlns="http://schemas.microsoft.com/office/spreadsheetml/2009/9/main" objectType="CheckBox" checked="Checked" fmlaLink="$B$96" lockText="1" noThreeD="1"/>
</file>

<file path=xl/ctrlProps/ctrlProp84.xml><?xml version="1.0" encoding="utf-8"?>
<formControlPr xmlns="http://schemas.microsoft.com/office/spreadsheetml/2009/9/main" objectType="CheckBox" checked="Checked" fmlaLink="$B$97" lockText="1" noThreeD="1"/>
</file>

<file path=xl/ctrlProps/ctrlProp85.xml><?xml version="1.0" encoding="utf-8"?>
<formControlPr xmlns="http://schemas.microsoft.com/office/spreadsheetml/2009/9/main" objectType="CheckBox" checked="Checked" fmlaLink="$B$98" lockText="1" noThreeD="1"/>
</file>

<file path=xl/ctrlProps/ctrlProp86.xml><?xml version="1.0" encoding="utf-8"?>
<formControlPr xmlns="http://schemas.microsoft.com/office/spreadsheetml/2009/9/main" objectType="CheckBox" checked="Checked" fmlaLink="$B$99" lockText="1" noThreeD="1"/>
</file>

<file path=xl/ctrlProps/ctrlProp87.xml><?xml version="1.0" encoding="utf-8"?>
<formControlPr xmlns="http://schemas.microsoft.com/office/spreadsheetml/2009/9/main" objectType="CheckBox" checked="Checked" fmlaLink="$B$100" lockText="1" noThreeD="1"/>
</file>

<file path=xl/ctrlProps/ctrlProp88.xml><?xml version="1.0" encoding="utf-8"?>
<formControlPr xmlns="http://schemas.microsoft.com/office/spreadsheetml/2009/9/main" objectType="CheckBox" checked="Checked" fmlaLink="$B$101" lockText="1" noThreeD="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checked="Checked" fmlaLink="$B$12" lockText="1" noThreeD="1"/>
</file>

<file path=xl/ctrlProps/ctrlProp90.xml><?xml version="1.0" encoding="utf-8"?>
<formControlPr xmlns="http://schemas.microsoft.com/office/spreadsheetml/2009/9/main" objectType="CheckBox" checked="Checked" fmlaLink="$B$82" lockText="1" noThreeD="1"/>
</file>

<file path=xl/ctrlProps/ctrlProp91.xml><?xml version="1.0" encoding="utf-8"?>
<formControlPr xmlns="http://schemas.microsoft.com/office/spreadsheetml/2009/9/main" objectType="CheckBox" checked="Checked" fmlaLink="$B$83" lockText="1" noThreeD="1"/>
</file>

<file path=xl/ctrlProps/ctrlProp92.xml><?xml version="1.0" encoding="utf-8"?>
<formControlPr xmlns="http://schemas.microsoft.com/office/spreadsheetml/2009/9/main" objectType="CheckBox" checked="Checked" fmlaLink="$B$84" lockText="1" noThreeD="1"/>
</file>

<file path=xl/ctrlProps/ctrlProp93.xml><?xml version="1.0" encoding="utf-8"?>
<formControlPr xmlns="http://schemas.microsoft.com/office/spreadsheetml/2009/9/main" objectType="CheckBox" checked="Checked" fmlaLink="$B$85" lockText="1" noThreeD="1"/>
</file>

<file path=xl/ctrlProps/ctrlProp94.xml><?xml version="1.0" encoding="utf-8"?>
<formControlPr xmlns="http://schemas.microsoft.com/office/spreadsheetml/2009/9/main" objectType="CheckBox" checked="Checked" fmlaLink="$B$4" lockText="1" noThreeD="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CheckBox" checked="Checked" fmlaLink="$A$2" lockText="1" noThreeD="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CheckBox" checked="Checked" fmlaLink="$B$9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0</xdr:row>
          <xdr:rowOff>47625</xdr:rowOff>
        </xdr:from>
        <xdr:to>
          <xdr:col>5</xdr:col>
          <xdr:colOff>228600</xdr:colOff>
          <xdr:row>1</xdr:row>
          <xdr:rowOff>152400</xdr:rowOff>
        </xdr:to>
        <xdr:sp macro="" textlink="">
          <xdr:nvSpPr>
            <xdr:cNvPr id="48129" name="Button 1" hidden="1">
              <a:extLst>
                <a:ext uri="{63B3BB69-23CF-44E3-9099-C40C66FF867C}">
                  <a14:compatExt spid="_x0000_s481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Populate AFS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221511</xdr:colOff>
      <xdr:row>1</xdr:row>
      <xdr:rowOff>188285</xdr:rowOff>
    </xdr:from>
    <xdr:to>
      <xdr:col>7</xdr:col>
      <xdr:colOff>587005</xdr:colOff>
      <xdr:row>6</xdr:row>
      <xdr:rowOff>155058</xdr:rowOff>
    </xdr:to>
    <xdr:sp macro="" textlink="">
      <xdr:nvSpPr>
        <xdr:cNvPr id="2" name="TextBox 1"/>
        <xdr:cNvSpPr txBox="1"/>
      </xdr:nvSpPr>
      <xdr:spPr>
        <a:xfrm>
          <a:off x="10311366" y="354419"/>
          <a:ext cx="2192965" cy="96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ZA" sz="1100"/>
            <a:t>Click in</a:t>
          </a:r>
          <a:r>
            <a:rPr lang="en-ZA" sz="1100" baseline="0"/>
            <a:t> Checkbox to deselect the Notes that are not Relevant  at the Municipality in question.  Click on  Note name to go directly to specific note.</a:t>
          </a:r>
          <a:endParaRPr lang="en-ZA" sz="1100"/>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9525</xdr:rowOff>
        </xdr:from>
        <xdr:to>
          <xdr:col>2</xdr:col>
          <xdr:colOff>104775</xdr:colOff>
          <xdr:row>5</xdr:row>
          <xdr:rowOff>28575</xdr:rowOff>
        </xdr:to>
        <xdr:sp macro="" textlink="">
          <xdr:nvSpPr>
            <xdr:cNvPr id="45057" name="Check Box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xdr:row>
          <xdr:rowOff>9525</xdr:rowOff>
        </xdr:from>
        <xdr:to>
          <xdr:col>2</xdr:col>
          <xdr:colOff>104775</xdr:colOff>
          <xdr:row>6</xdr:row>
          <xdr:rowOff>28575</xdr:rowOff>
        </xdr:to>
        <xdr:sp macro="" textlink="">
          <xdr:nvSpPr>
            <xdr:cNvPr id="45058" name="Check Box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xdr:row>
          <xdr:rowOff>9525</xdr:rowOff>
        </xdr:from>
        <xdr:to>
          <xdr:col>2</xdr:col>
          <xdr:colOff>104775</xdr:colOff>
          <xdr:row>7</xdr:row>
          <xdr:rowOff>28575</xdr:rowOff>
        </xdr:to>
        <xdr:sp macro="" textlink="">
          <xdr:nvSpPr>
            <xdr:cNvPr id="45059" name="Check Box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xdr:row>
          <xdr:rowOff>9525</xdr:rowOff>
        </xdr:from>
        <xdr:to>
          <xdr:col>2</xdr:col>
          <xdr:colOff>104775</xdr:colOff>
          <xdr:row>8</xdr:row>
          <xdr:rowOff>28575</xdr:rowOff>
        </xdr:to>
        <xdr:sp macro="" textlink="">
          <xdr:nvSpPr>
            <xdr:cNvPr id="45060" name="Check Box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xdr:row>
          <xdr:rowOff>0</xdr:rowOff>
        </xdr:from>
        <xdr:to>
          <xdr:col>2</xdr:col>
          <xdr:colOff>104775</xdr:colOff>
          <xdr:row>9</xdr:row>
          <xdr:rowOff>19050</xdr:rowOff>
        </xdr:to>
        <xdr:sp macro="" textlink="">
          <xdr:nvSpPr>
            <xdr:cNvPr id="45061" name="Check Box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xdr:row>
          <xdr:rowOff>0</xdr:rowOff>
        </xdr:from>
        <xdr:to>
          <xdr:col>2</xdr:col>
          <xdr:colOff>104775</xdr:colOff>
          <xdr:row>10</xdr:row>
          <xdr:rowOff>19050</xdr:rowOff>
        </xdr:to>
        <xdr:sp macro="" textlink="">
          <xdr:nvSpPr>
            <xdr:cNvPr id="45062" name="Check Box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xdr:row>
          <xdr:rowOff>0</xdr:rowOff>
        </xdr:from>
        <xdr:to>
          <xdr:col>2</xdr:col>
          <xdr:colOff>104775</xdr:colOff>
          <xdr:row>11</xdr:row>
          <xdr:rowOff>19050</xdr:rowOff>
        </xdr:to>
        <xdr:sp macro="" textlink="">
          <xdr:nvSpPr>
            <xdr:cNvPr id="45063" name="Check Box 7"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11</xdr:row>
          <xdr:rowOff>0</xdr:rowOff>
        </xdr:from>
        <xdr:to>
          <xdr:col>2</xdr:col>
          <xdr:colOff>104775</xdr:colOff>
          <xdr:row>12</xdr:row>
          <xdr:rowOff>19050</xdr:rowOff>
        </xdr:to>
        <xdr:sp macro="" textlink="">
          <xdr:nvSpPr>
            <xdr:cNvPr id="45064" name="Check Box 8"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12</xdr:row>
          <xdr:rowOff>0</xdr:rowOff>
        </xdr:from>
        <xdr:to>
          <xdr:col>2</xdr:col>
          <xdr:colOff>104775</xdr:colOff>
          <xdr:row>13</xdr:row>
          <xdr:rowOff>19050</xdr:rowOff>
        </xdr:to>
        <xdr:sp macro="" textlink="">
          <xdr:nvSpPr>
            <xdr:cNvPr id="45065" name="Check Box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13</xdr:row>
          <xdr:rowOff>0</xdr:rowOff>
        </xdr:from>
        <xdr:to>
          <xdr:col>2</xdr:col>
          <xdr:colOff>104775</xdr:colOff>
          <xdr:row>14</xdr:row>
          <xdr:rowOff>19050</xdr:rowOff>
        </xdr:to>
        <xdr:sp macro="" textlink="">
          <xdr:nvSpPr>
            <xdr:cNvPr id="45066" name="Check Box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14</xdr:row>
          <xdr:rowOff>0</xdr:rowOff>
        </xdr:from>
        <xdr:to>
          <xdr:col>2</xdr:col>
          <xdr:colOff>104775</xdr:colOff>
          <xdr:row>15</xdr:row>
          <xdr:rowOff>19050</xdr:rowOff>
        </xdr:to>
        <xdr:sp macro="" textlink="">
          <xdr:nvSpPr>
            <xdr:cNvPr id="45067" name="Check Box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15</xdr:row>
          <xdr:rowOff>0</xdr:rowOff>
        </xdr:from>
        <xdr:to>
          <xdr:col>2</xdr:col>
          <xdr:colOff>104775</xdr:colOff>
          <xdr:row>16</xdr:row>
          <xdr:rowOff>19050</xdr:rowOff>
        </xdr:to>
        <xdr:sp macro="" textlink="">
          <xdr:nvSpPr>
            <xdr:cNvPr id="45068" name="Check Box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16</xdr:row>
          <xdr:rowOff>0</xdr:rowOff>
        </xdr:from>
        <xdr:to>
          <xdr:col>2</xdr:col>
          <xdr:colOff>104775</xdr:colOff>
          <xdr:row>17</xdr:row>
          <xdr:rowOff>19050</xdr:rowOff>
        </xdr:to>
        <xdr:sp macro="" textlink="">
          <xdr:nvSpPr>
            <xdr:cNvPr id="45069" name="Check Box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17</xdr:row>
          <xdr:rowOff>0</xdr:rowOff>
        </xdr:from>
        <xdr:to>
          <xdr:col>2</xdr:col>
          <xdr:colOff>104775</xdr:colOff>
          <xdr:row>18</xdr:row>
          <xdr:rowOff>19050</xdr:rowOff>
        </xdr:to>
        <xdr:sp macro="" textlink="">
          <xdr:nvSpPr>
            <xdr:cNvPr id="45070" name="Check Box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18</xdr:row>
          <xdr:rowOff>0</xdr:rowOff>
        </xdr:from>
        <xdr:to>
          <xdr:col>2</xdr:col>
          <xdr:colOff>104775</xdr:colOff>
          <xdr:row>19</xdr:row>
          <xdr:rowOff>19050</xdr:rowOff>
        </xdr:to>
        <xdr:sp macro="" textlink="">
          <xdr:nvSpPr>
            <xdr:cNvPr id="45071" name="Check Box 15" hidden="1">
              <a:extLst>
                <a:ext uri="{63B3BB69-23CF-44E3-9099-C40C66FF867C}">
                  <a14:compatExt spid="_x0000_s4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19</xdr:row>
          <xdr:rowOff>0</xdr:rowOff>
        </xdr:from>
        <xdr:to>
          <xdr:col>2</xdr:col>
          <xdr:colOff>104775</xdr:colOff>
          <xdr:row>20</xdr:row>
          <xdr:rowOff>19050</xdr:rowOff>
        </xdr:to>
        <xdr:sp macro="" textlink="">
          <xdr:nvSpPr>
            <xdr:cNvPr id="45072" name="Check Box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24</xdr:row>
          <xdr:rowOff>9525</xdr:rowOff>
        </xdr:from>
        <xdr:to>
          <xdr:col>2</xdr:col>
          <xdr:colOff>104775</xdr:colOff>
          <xdr:row>25</xdr:row>
          <xdr:rowOff>28575</xdr:rowOff>
        </xdr:to>
        <xdr:sp macro="" textlink="">
          <xdr:nvSpPr>
            <xdr:cNvPr id="45074" name="Check Box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25</xdr:row>
          <xdr:rowOff>9525</xdr:rowOff>
        </xdr:from>
        <xdr:to>
          <xdr:col>2</xdr:col>
          <xdr:colOff>104775</xdr:colOff>
          <xdr:row>26</xdr:row>
          <xdr:rowOff>28575</xdr:rowOff>
        </xdr:to>
        <xdr:sp macro="" textlink="">
          <xdr:nvSpPr>
            <xdr:cNvPr id="45075" name="Check Box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26</xdr:row>
          <xdr:rowOff>9525</xdr:rowOff>
        </xdr:from>
        <xdr:to>
          <xdr:col>2</xdr:col>
          <xdr:colOff>104775</xdr:colOff>
          <xdr:row>27</xdr:row>
          <xdr:rowOff>28575</xdr:rowOff>
        </xdr:to>
        <xdr:sp macro="" textlink="">
          <xdr:nvSpPr>
            <xdr:cNvPr id="45076" name="Check Box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27</xdr:row>
          <xdr:rowOff>9525</xdr:rowOff>
        </xdr:from>
        <xdr:to>
          <xdr:col>2</xdr:col>
          <xdr:colOff>104775</xdr:colOff>
          <xdr:row>28</xdr:row>
          <xdr:rowOff>28575</xdr:rowOff>
        </xdr:to>
        <xdr:sp macro="" textlink="">
          <xdr:nvSpPr>
            <xdr:cNvPr id="45077" name="Check Box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28</xdr:row>
          <xdr:rowOff>9525</xdr:rowOff>
        </xdr:from>
        <xdr:to>
          <xdr:col>2</xdr:col>
          <xdr:colOff>104775</xdr:colOff>
          <xdr:row>29</xdr:row>
          <xdr:rowOff>28575</xdr:rowOff>
        </xdr:to>
        <xdr:sp macro="" textlink="">
          <xdr:nvSpPr>
            <xdr:cNvPr id="45078" name="Check Box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29</xdr:row>
          <xdr:rowOff>0</xdr:rowOff>
        </xdr:from>
        <xdr:to>
          <xdr:col>2</xdr:col>
          <xdr:colOff>104775</xdr:colOff>
          <xdr:row>30</xdr:row>
          <xdr:rowOff>19050</xdr:rowOff>
        </xdr:to>
        <xdr:sp macro="" textlink="">
          <xdr:nvSpPr>
            <xdr:cNvPr id="45079" name="Check Box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30</xdr:row>
          <xdr:rowOff>0</xdr:rowOff>
        </xdr:from>
        <xdr:to>
          <xdr:col>2</xdr:col>
          <xdr:colOff>95250</xdr:colOff>
          <xdr:row>31</xdr:row>
          <xdr:rowOff>19050</xdr:rowOff>
        </xdr:to>
        <xdr:sp macro="" textlink="">
          <xdr:nvSpPr>
            <xdr:cNvPr id="45080" name="Check Box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32</xdr:row>
          <xdr:rowOff>0</xdr:rowOff>
        </xdr:from>
        <xdr:to>
          <xdr:col>2</xdr:col>
          <xdr:colOff>104775</xdr:colOff>
          <xdr:row>33</xdr:row>
          <xdr:rowOff>19050</xdr:rowOff>
        </xdr:to>
        <xdr:sp macro="" textlink="">
          <xdr:nvSpPr>
            <xdr:cNvPr id="45081" name="Check Box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33</xdr:row>
          <xdr:rowOff>0</xdr:rowOff>
        </xdr:from>
        <xdr:to>
          <xdr:col>2</xdr:col>
          <xdr:colOff>104775</xdr:colOff>
          <xdr:row>34</xdr:row>
          <xdr:rowOff>19050</xdr:rowOff>
        </xdr:to>
        <xdr:sp macro="" textlink="">
          <xdr:nvSpPr>
            <xdr:cNvPr id="45082" name="Check Box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34</xdr:row>
          <xdr:rowOff>0</xdr:rowOff>
        </xdr:from>
        <xdr:to>
          <xdr:col>2</xdr:col>
          <xdr:colOff>95250</xdr:colOff>
          <xdr:row>35</xdr:row>
          <xdr:rowOff>19050</xdr:rowOff>
        </xdr:to>
        <xdr:sp macro="" textlink="">
          <xdr:nvSpPr>
            <xdr:cNvPr id="45083" name="Check Box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0</xdr:rowOff>
        </xdr:from>
        <xdr:to>
          <xdr:col>2</xdr:col>
          <xdr:colOff>104775</xdr:colOff>
          <xdr:row>37</xdr:row>
          <xdr:rowOff>19050</xdr:rowOff>
        </xdr:to>
        <xdr:sp macro="" textlink="">
          <xdr:nvSpPr>
            <xdr:cNvPr id="45084" name="Check Box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0</xdr:rowOff>
        </xdr:from>
        <xdr:to>
          <xdr:col>2</xdr:col>
          <xdr:colOff>104775</xdr:colOff>
          <xdr:row>38</xdr:row>
          <xdr:rowOff>19050</xdr:rowOff>
        </xdr:to>
        <xdr:sp macro="" textlink="">
          <xdr:nvSpPr>
            <xdr:cNvPr id="45085" name="Check Box 29" hidden="1">
              <a:extLst>
                <a:ext uri="{63B3BB69-23CF-44E3-9099-C40C66FF867C}">
                  <a14:compatExt spid="_x0000_s4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0</xdr:rowOff>
        </xdr:from>
        <xdr:to>
          <xdr:col>2</xdr:col>
          <xdr:colOff>104775</xdr:colOff>
          <xdr:row>39</xdr:row>
          <xdr:rowOff>19050</xdr:rowOff>
        </xdr:to>
        <xdr:sp macro="" textlink="">
          <xdr:nvSpPr>
            <xdr:cNvPr id="45086" name="Check Box 30" hidden="1">
              <a:extLst>
                <a:ext uri="{63B3BB69-23CF-44E3-9099-C40C66FF867C}">
                  <a14:compatExt spid="_x0000_s4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39</xdr:row>
          <xdr:rowOff>0</xdr:rowOff>
        </xdr:from>
        <xdr:to>
          <xdr:col>2</xdr:col>
          <xdr:colOff>104775</xdr:colOff>
          <xdr:row>40</xdr:row>
          <xdr:rowOff>19050</xdr:rowOff>
        </xdr:to>
        <xdr:sp macro="" textlink="">
          <xdr:nvSpPr>
            <xdr:cNvPr id="45087" name="Check Box 31" hidden="1">
              <a:extLst>
                <a:ext uri="{63B3BB69-23CF-44E3-9099-C40C66FF867C}">
                  <a14:compatExt spid="_x0000_s45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40</xdr:row>
          <xdr:rowOff>0</xdr:rowOff>
        </xdr:from>
        <xdr:to>
          <xdr:col>2</xdr:col>
          <xdr:colOff>104775</xdr:colOff>
          <xdr:row>41</xdr:row>
          <xdr:rowOff>19050</xdr:rowOff>
        </xdr:to>
        <xdr:sp macro="" textlink="">
          <xdr:nvSpPr>
            <xdr:cNvPr id="45088" name="Check Box 32" hidden="1">
              <a:extLst>
                <a:ext uri="{63B3BB69-23CF-44E3-9099-C40C66FF867C}">
                  <a14:compatExt spid="_x0000_s45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41</xdr:row>
          <xdr:rowOff>0</xdr:rowOff>
        </xdr:from>
        <xdr:to>
          <xdr:col>2</xdr:col>
          <xdr:colOff>104775</xdr:colOff>
          <xdr:row>42</xdr:row>
          <xdr:rowOff>19050</xdr:rowOff>
        </xdr:to>
        <xdr:sp macro="" textlink="">
          <xdr:nvSpPr>
            <xdr:cNvPr id="45089" name="Check Box 33" hidden="1">
              <a:extLst>
                <a:ext uri="{63B3BB69-23CF-44E3-9099-C40C66FF867C}">
                  <a14:compatExt spid="_x0000_s4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42</xdr:row>
          <xdr:rowOff>0</xdr:rowOff>
        </xdr:from>
        <xdr:to>
          <xdr:col>2</xdr:col>
          <xdr:colOff>104775</xdr:colOff>
          <xdr:row>43</xdr:row>
          <xdr:rowOff>19050</xdr:rowOff>
        </xdr:to>
        <xdr:sp macro="" textlink="">
          <xdr:nvSpPr>
            <xdr:cNvPr id="45090" name="Check Box 34" hidden="1">
              <a:extLst>
                <a:ext uri="{63B3BB69-23CF-44E3-9099-C40C66FF867C}">
                  <a14:compatExt spid="_x0000_s45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43</xdr:row>
          <xdr:rowOff>0</xdr:rowOff>
        </xdr:from>
        <xdr:to>
          <xdr:col>2</xdr:col>
          <xdr:colOff>104775</xdr:colOff>
          <xdr:row>44</xdr:row>
          <xdr:rowOff>19050</xdr:rowOff>
        </xdr:to>
        <xdr:sp macro="" textlink="">
          <xdr:nvSpPr>
            <xdr:cNvPr id="45091" name="Check Box 35" hidden="1">
              <a:extLst>
                <a:ext uri="{63B3BB69-23CF-44E3-9099-C40C66FF867C}">
                  <a14:compatExt spid="_x0000_s45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44</xdr:row>
          <xdr:rowOff>0</xdr:rowOff>
        </xdr:from>
        <xdr:to>
          <xdr:col>2</xdr:col>
          <xdr:colOff>104775</xdr:colOff>
          <xdr:row>45</xdr:row>
          <xdr:rowOff>19050</xdr:rowOff>
        </xdr:to>
        <xdr:sp macro="" textlink="">
          <xdr:nvSpPr>
            <xdr:cNvPr id="45092" name="Check Box 36" hidden="1">
              <a:extLst>
                <a:ext uri="{63B3BB69-23CF-44E3-9099-C40C66FF867C}">
                  <a14:compatExt spid="_x0000_s4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0</xdr:rowOff>
        </xdr:from>
        <xdr:to>
          <xdr:col>2</xdr:col>
          <xdr:colOff>104775</xdr:colOff>
          <xdr:row>46</xdr:row>
          <xdr:rowOff>19050</xdr:rowOff>
        </xdr:to>
        <xdr:sp macro="" textlink="">
          <xdr:nvSpPr>
            <xdr:cNvPr id="45093" name="Check Box 37" hidden="1">
              <a:extLst>
                <a:ext uri="{63B3BB69-23CF-44E3-9099-C40C66FF867C}">
                  <a14:compatExt spid="_x0000_s45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46</xdr:row>
          <xdr:rowOff>0</xdr:rowOff>
        </xdr:from>
        <xdr:to>
          <xdr:col>2</xdr:col>
          <xdr:colOff>104775</xdr:colOff>
          <xdr:row>47</xdr:row>
          <xdr:rowOff>19050</xdr:rowOff>
        </xdr:to>
        <xdr:sp macro="" textlink="">
          <xdr:nvSpPr>
            <xdr:cNvPr id="45094" name="Check Box 38" hidden="1">
              <a:extLst>
                <a:ext uri="{63B3BB69-23CF-44E3-9099-C40C66FF867C}">
                  <a14:compatExt spid="_x0000_s4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9525</xdr:rowOff>
        </xdr:from>
        <xdr:to>
          <xdr:col>2</xdr:col>
          <xdr:colOff>104775</xdr:colOff>
          <xdr:row>48</xdr:row>
          <xdr:rowOff>28575</xdr:rowOff>
        </xdr:to>
        <xdr:sp macro="" textlink="">
          <xdr:nvSpPr>
            <xdr:cNvPr id="45095" name="Check Box 39" hidden="1">
              <a:extLst>
                <a:ext uri="{63B3BB69-23CF-44E3-9099-C40C66FF867C}">
                  <a14:compatExt spid="_x0000_s45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0</xdr:rowOff>
        </xdr:from>
        <xdr:to>
          <xdr:col>2</xdr:col>
          <xdr:colOff>104775</xdr:colOff>
          <xdr:row>49</xdr:row>
          <xdr:rowOff>19050</xdr:rowOff>
        </xdr:to>
        <xdr:sp macro="" textlink="">
          <xdr:nvSpPr>
            <xdr:cNvPr id="45096" name="Check Box 40" hidden="1">
              <a:extLst>
                <a:ext uri="{63B3BB69-23CF-44E3-9099-C40C66FF867C}">
                  <a14:compatExt spid="_x0000_s45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0</xdr:rowOff>
        </xdr:from>
        <xdr:to>
          <xdr:col>2</xdr:col>
          <xdr:colOff>104775</xdr:colOff>
          <xdr:row>50</xdr:row>
          <xdr:rowOff>19050</xdr:rowOff>
        </xdr:to>
        <xdr:sp macro="" textlink="">
          <xdr:nvSpPr>
            <xdr:cNvPr id="45097" name="Check Box 41" hidden="1">
              <a:extLst>
                <a:ext uri="{63B3BB69-23CF-44E3-9099-C40C66FF867C}">
                  <a14:compatExt spid="_x0000_s4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104775</xdr:colOff>
          <xdr:row>51</xdr:row>
          <xdr:rowOff>19050</xdr:rowOff>
        </xdr:to>
        <xdr:sp macro="" textlink="">
          <xdr:nvSpPr>
            <xdr:cNvPr id="45098" name="Check Box 42" hidden="1">
              <a:extLst>
                <a:ext uri="{63B3BB69-23CF-44E3-9099-C40C66FF867C}">
                  <a14:compatExt spid="_x0000_s4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9525</xdr:rowOff>
        </xdr:from>
        <xdr:to>
          <xdr:col>2</xdr:col>
          <xdr:colOff>104775</xdr:colOff>
          <xdr:row>52</xdr:row>
          <xdr:rowOff>28575</xdr:rowOff>
        </xdr:to>
        <xdr:sp macro="" textlink="">
          <xdr:nvSpPr>
            <xdr:cNvPr id="45099" name="Check Box 43" hidden="1">
              <a:extLst>
                <a:ext uri="{63B3BB69-23CF-44E3-9099-C40C66FF867C}">
                  <a14:compatExt spid="_x0000_s45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104775</xdr:colOff>
          <xdr:row>53</xdr:row>
          <xdr:rowOff>19050</xdr:rowOff>
        </xdr:to>
        <xdr:sp macro="" textlink="">
          <xdr:nvSpPr>
            <xdr:cNvPr id="45100" name="Check Box 44" hidden="1">
              <a:extLst>
                <a:ext uri="{63B3BB69-23CF-44E3-9099-C40C66FF867C}">
                  <a14:compatExt spid="_x0000_s4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104775</xdr:colOff>
          <xdr:row>54</xdr:row>
          <xdr:rowOff>19050</xdr:rowOff>
        </xdr:to>
        <xdr:sp macro="" textlink="">
          <xdr:nvSpPr>
            <xdr:cNvPr id="45101" name="Check Box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104775</xdr:colOff>
          <xdr:row>55</xdr:row>
          <xdr:rowOff>19050</xdr:rowOff>
        </xdr:to>
        <xdr:sp macro="" textlink="">
          <xdr:nvSpPr>
            <xdr:cNvPr id="45102" name="Check Box 46" hidden="1">
              <a:extLst>
                <a:ext uri="{63B3BB69-23CF-44E3-9099-C40C66FF867C}">
                  <a14:compatExt spid="_x0000_s4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55</xdr:row>
          <xdr:rowOff>19050</xdr:rowOff>
        </xdr:from>
        <xdr:to>
          <xdr:col>2</xdr:col>
          <xdr:colOff>104775</xdr:colOff>
          <xdr:row>56</xdr:row>
          <xdr:rowOff>38100</xdr:rowOff>
        </xdr:to>
        <xdr:sp macro="" textlink="">
          <xdr:nvSpPr>
            <xdr:cNvPr id="45103" name="Check Box 47" hidden="1">
              <a:extLst>
                <a:ext uri="{63B3BB69-23CF-44E3-9099-C40C66FF867C}">
                  <a14:compatExt spid="_x0000_s45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56</xdr:row>
          <xdr:rowOff>19050</xdr:rowOff>
        </xdr:from>
        <xdr:to>
          <xdr:col>2</xdr:col>
          <xdr:colOff>104775</xdr:colOff>
          <xdr:row>57</xdr:row>
          <xdr:rowOff>38100</xdr:rowOff>
        </xdr:to>
        <xdr:sp macro="" textlink="">
          <xdr:nvSpPr>
            <xdr:cNvPr id="45104" name="Check Box 48" hidden="1">
              <a:extLst>
                <a:ext uri="{63B3BB69-23CF-44E3-9099-C40C66FF867C}">
                  <a14:compatExt spid="_x0000_s4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57</xdr:row>
          <xdr:rowOff>19050</xdr:rowOff>
        </xdr:from>
        <xdr:to>
          <xdr:col>2</xdr:col>
          <xdr:colOff>104775</xdr:colOff>
          <xdr:row>58</xdr:row>
          <xdr:rowOff>38100</xdr:rowOff>
        </xdr:to>
        <xdr:sp macro="" textlink="">
          <xdr:nvSpPr>
            <xdr:cNvPr id="45105" name="Check Box 49" hidden="1">
              <a:extLst>
                <a:ext uri="{63B3BB69-23CF-44E3-9099-C40C66FF867C}">
                  <a14:compatExt spid="_x0000_s4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19050</xdr:rowOff>
        </xdr:from>
        <xdr:to>
          <xdr:col>2</xdr:col>
          <xdr:colOff>104775</xdr:colOff>
          <xdr:row>59</xdr:row>
          <xdr:rowOff>38100</xdr:rowOff>
        </xdr:to>
        <xdr:sp macro="" textlink="">
          <xdr:nvSpPr>
            <xdr:cNvPr id="45106" name="Check Box 50" hidden="1">
              <a:extLst>
                <a:ext uri="{63B3BB69-23CF-44E3-9099-C40C66FF867C}">
                  <a14:compatExt spid="_x0000_s4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59</xdr:row>
          <xdr:rowOff>19050</xdr:rowOff>
        </xdr:from>
        <xdr:to>
          <xdr:col>2</xdr:col>
          <xdr:colOff>104775</xdr:colOff>
          <xdr:row>60</xdr:row>
          <xdr:rowOff>38100</xdr:rowOff>
        </xdr:to>
        <xdr:sp macro="" textlink="">
          <xdr:nvSpPr>
            <xdr:cNvPr id="45107" name="Check Box 51" hidden="1">
              <a:extLst>
                <a:ext uri="{63B3BB69-23CF-44E3-9099-C40C66FF867C}">
                  <a14:compatExt spid="_x0000_s45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60</xdr:row>
          <xdr:rowOff>19050</xdr:rowOff>
        </xdr:from>
        <xdr:to>
          <xdr:col>2</xdr:col>
          <xdr:colOff>104775</xdr:colOff>
          <xdr:row>61</xdr:row>
          <xdr:rowOff>38100</xdr:rowOff>
        </xdr:to>
        <xdr:sp macro="" textlink="">
          <xdr:nvSpPr>
            <xdr:cNvPr id="45108" name="Check Box 52" hidden="1">
              <a:extLst>
                <a:ext uri="{63B3BB69-23CF-44E3-9099-C40C66FF867C}">
                  <a14:compatExt spid="_x0000_s4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61</xdr:row>
          <xdr:rowOff>19050</xdr:rowOff>
        </xdr:from>
        <xdr:to>
          <xdr:col>2</xdr:col>
          <xdr:colOff>104775</xdr:colOff>
          <xdr:row>62</xdr:row>
          <xdr:rowOff>38100</xdr:rowOff>
        </xdr:to>
        <xdr:sp macro="" textlink="">
          <xdr:nvSpPr>
            <xdr:cNvPr id="45109" name="Check Box 53" hidden="1">
              <a:extLst>
                <a:ext uri="{63B3BB69-23CF-44E3-9099-C40C66FF867C}">
                  <a14:compatExt spid="_x0000_s4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62</xdr:row>
          <xdr:rowOff>19050</xdr:rowOff>
        </xdr:from>
        <xdr:to>
          <xdr:col>2</xdr:col>
          <xdr:colOff>104775</xdr:colOff>
          <xdr:row>63</xdr:row>
          <xdr:rowOff>38100</xdr:rowOff>
        </xdr:to>
        <xdr:sp macro="" textlink="">
          <xdr:nvSpPr>
            <xdr:cNvPr id="45110" name="Check Box 54" hidden="1">
              <a:extLst>
                <a:ext uri="{63B3BB69-23CF-44E3-9099-C40C66FF867C}">
                  <a14:compatExt spid="_x0000_s45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28575</xdr:rowOff>
        </xdr:from>
        <xdr:to>
          <xdr:col>2</xdr:col>
          <xdr:colOff>104775</xdr:colOff>
          <xdr:row>64</xdr:row>
          <xdr:rowOff>47625</xdr:rowOff>
        </xdr:to>
        <xdr:sp macro="" textlink="">
          <xdr:nvSpPr>
            <xdr:cNvPr id="45111" name="Check Box 55" hidden="1">
              <a:extLst>
                <a:ext uri="{63B3BB69-23CF-44E3-9099-C40C66FF867C}">
                  <a14:compatExt spid="_x0000_s45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64</xdr:row>
          <xdr:rowOff>19050</xdr:rowOff>
        </xdr:from>
        <xdr:to>
          <xdr:col>2</xdr:col>
          <xdr:colOff>104775</xdr:colOff>
          <xdr:row>65</xdr:row>
          <xdr:rowOff>38100</xdr:rowOff>
        </xdr:to>
        <xdr:sp macro="" textlink="">
          <xdr:nvSpPr>
            <xdr:cNvPr id="45112" name="Check Box 56" hidden="1">
              <a:extLst>
                <a:ext uri="{63B3BB69-23CF-44E3-9099-C40C66FF867C}">
                  <a14:compatExt spid="_x0000_s4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65</xdr:row>
          <xdr:rowOff>19050</xdr:rowOff>
        </xdr:from>
        <xdr:to>
          <xdr:col>2</xdr:col>
          <xdr:colOff>104775</xdr:colOff>
          <xdr:row>66</xdr:row>
          <xdr:rowOff>38100</xdr:rowOff>
        </xdr:to>
        <xdr:sp macro="" textlink="">
          <xdr:nvSpPr>
            <xdr:cNvPr id="45113" name="Check Box 57" hidden="1">
              <a:extLst>
                <a:ext uri="{63B3BB69-23CF-44E3-9099-C40C66FF867C}">
                  <a14:compatExt spid="_x0000_s45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66</xdr:row>
          <xdr:rowOff>19050</xdr:rowOff>
        </xdr:from>
        <xdr:to>
          <xdr:col>2</xdr:col>
          <xdr:colOff>104775</xdr:colOff>
          <xdr:row>67</xdr:row>
          <xdr:rowOff>38100</xdr:rowOff>
        </xdr:to>
        <xdr:sp macro="" textlink="">
          <xdr:nvSpPr>
            <xdr:cNvPr id="45114" name="Check Box 58" hidden="1">
              <a:extLst>
                <a:ext uri="{63B3BB69-23CF-44E3-9099-C40C66FF867C}">
                  <a14:compatExt spid="_x0000_s45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67</xdr:row>
          <xdr:rowOff>28575</xdr:rowOff>
        </xdr:from>
        <xdr:to>
          <xdr:col>2</xdr:col>
          <xdr:colOff>104775</xdr:colOff>
          <xdr:row>68</xdr:row>
          <xdr:rowOff>47625</xdr:rowOff>
        </xdr:to>
        <xdr:sp macro="" textlink="">
          <xdr:nvSpPr>
            <xdr:cNvPr id="45115" name="Check Box 59" hidden="1">
              <a:extLst>
                <a:ext uri="{63B3BB69-23CF-44E3-9099-C40C66FF867C}">
                  <a14:compatExt spid="_x0000_s45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68</xdr:row>
          <xdr:rowOff>19050</xdr:rowOff>
        </xdr:from>
        <xdr:to>
          <xdr:col>2</xdr:col>
          <xdr:colOff>104775</xdr:colOff>
          <xdr:row>69</xdr:row>
          <xdr:rowOff>38100</xdr:rowOff>
        </xdr:to>
        <xdr:sp macro="" textlink="">
          <xdr:nvSpPr>
            <xdr:cNvPr id="45116" name="Check Box 60" hidden="1">
              <a:extLst>
                <a:ext uri="{63B3BB69-23CF-44E3-9099-C40C66FF867C}">
                  <a14:compatExt spid="_x0000_s4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69</xdr:row>
          <xdr:rowOff>19050</xdr:rowOff>
        </xdr:from>
        <xdr:to>
          <xdr:col>2</xdr:col>
          <xdr:colOff>104775</xdr:colOff>
          <xdr:row>70</xdr:row>
          <xdr:rowOff>38100</xdr:rowOff>
        </xdr:to>
        <xdr:sp macro="" textlink="">
          <xdr:nvSpPr>
            <xdr:cNvPr id="45117" name="Check Box 61" hidden="1">
              <a:extLst>
                <a:ext uri="{63B3BB69-23CF-44E3-9099-C40C66FF867C}">
                  <a14:compatExt spid="_x0000_s4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70</xdr:row>
          <xdr:rowOff>19050</xdr:rowOff>
        </xdr:from>
        <xdr:to>
          <xdr:col>2</xdr:col>
          <xdr:colOff>104775</xdr:colOff>
          <xdr:row>71</xdr:row>
          <xdr:rowOff>38100</xdr:rowOff>
        </xdr:to>
        <xdr:sp macro="" textlink="">
          <xdr:nvSpPr>
            <xdr:cNvPr id="45118" name="Check Box 62" hidden="1">
              <a:extLst>
                <a:ext uri="{63B3BB69-23CF-44E3-9099-C40C66FF867C}">
                  <a14:compatExt spid="_x0000_s4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71</xdr:row>
          <xdr:rowOff>0</xdr:rowOff>
        </xdr:from>
        <xdr:to>
          <xdr:col>2</xdr:col>
          <xdr:colOff>104775</xdr:colOff>
          <xdr:row>72</xdr:row>
          <xdr:rowOff>19050</xdr:rowOff>
        </xdr:to>
        <xdr:sp macro="" textlink="">
          <xdr:nvSpPr>
            <xdr:cNvPr id="45119" name="Check Box 63" hidden="1">
              <a:extLst>
                <a:ext uri="{63B3BB69-23CF-44E3-9099-C40C66FF867C}">
                  <a14:compatExt spid="_x0000_s45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72</xdr:row>
          <xdr:rowOff>9525</xdr:rowOff>
        </xdr:from>
        <xdr:to>
          <xdr:col>2</xdr:col>
          <xdr:colOff>104775</xdr:colOff>
          <xdr:row>73</xdr:row>
          <xdr:rowOff>28575</xdr:rowOff>
        </xdr:to>
        <xdr:sp macro="" textlink="">
          <xdr:nvSpPr>
            <xdr:cNvPr id="45120" name="Check Box 64" hidden="1">
              <a:extLst>
                <a:ext uri="{63B3BB69-23CF-44E3-9099-C40C66FF867C}">
                  <a14:compatExt spid="_x0000_s45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73</xdr:row>
          <xdr:rowOff>0</xdr:rowOff>
        </xdr:from>
        <xdr:to>
          <xdr:col>2</xdr:col>
          <xdr:colOff>104775</xdr:colOff>
          <xdr:row>74</xdr:row>
          <xdr:rowOff>19050</xdr:rowOff>
        </xdr:to>
        <xdr:sp macro="" textlink="">
          <xdr:nvSpPr>
            <xdr:cNvPr id="45121" name="Check Box 65" hidden="1">
              <a:extLst>
                <a:ext uri="{63B3BB69-23CF-44E3-9099-C40C66FF867C}">
                  <a14:compatExt spid="_x0000_s4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74</xdr:row>
          <xdr:rowOff>0</xdr:rowOff>
        </xdr:from>
        <xdr:to>
          <xdr:col>2</xdr:col>
          <xdr:colOff>104775</xdr:colOff>
          <xdr:row>75</xdr:row>
          <xdr:rowOff>19050</xdr:rowOff>
        </xdr:to>
        <xdr:sp macro="" textlink="">
          <xdr:nvSpPr>
            <xdr:cNvPr id="45122" name="Check Box 66" hidden="1">
              <a:extLst>
                <a:ext uri="{63B3BB69-23CF-44E3-9099-C40C66FF867C}">
                  <a14:compatExt spid="_x0000_s4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75</xdr:row>
          <xdr:rowOff>0</xdr:rowOff>
        </xdr:from>
        <xdr:to>
          <xdr:col>2</xdr:col>
          <xdr:colOff>104775</xdr:colOff>
          <xdr:row>76</xdr:row>
          <xdr:rowOff>19050</xdr:rowOff>
        </xdr:to>
        <xdr:sp macro="" textlink="">
          <xdr:nvSpPr>
            <xdr:cNvPr id="45123" name="Check Box 67" hidden="1">
              <a:extLst>
                <a:ext uri="{63B3BB69-23CF-44E3-9099-C40C66FF867C}">
                  <a14:compatExt spid="_x0000_s4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76</xdr:row>
          <xdr:rowOff>9525</xdr:rowOff>
        </xdr:from>
        <xdr:to>
          <xdr:col>2</xdr:col>
          <xdr:colOff>104775</xdr:colOff>
          <xdr:row>77</xdr:row>
          <xdr:rowOff>28575</xdr:rowOff>
        </xdr:to>
        <xdr:sp macro="" textlink="">
          <xdr:nvSpPr>
            <xdr:cNvPr id="45124" name="Check Box 68" hidden="1">
              <a:extLst>
                <a:ext uri="{63B3BB69-23CF-44E3-9099-C40C66FF867C}">
                  <a14:compatExt spid="_x0000_s4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77</xdr:row>
          <xdr:rowOff>0</xdr:rowOff>
        </xdr:from>
        <xdr:to>
          <xdr:col>2</xdr:col>
          <xdr:colOff>104775</xdr:colOff>
          <xdr:row>78</xdr:row>
          <xdr:rowOff>19050</xdr:rowOff>
        </xdr:to>
        <xdr:sp macro="" textlink="">
          <xdr:nvSpPr>
            <xdr:cNvPr id="45125" name="Check Box 69" hidden="1">
              <a:extLst>
                <a:ext uri="{63B3BB69-23CF-44E3-9099-C40C66FF867C}">
                  <a14:compatExt spid="_x0000_s4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78</xdr:row>
          <xdr:rowOff>0</xdr:rowOff>
        </xdr:from>
        <xdr:to>
          <xdr:col>2</xdr:col>
          <xdr:colOff>104775</xdr:colOff>
          <xdr:row>79</xdr:row>
          <xdr:rowOff>19050</xdr:rowOff>
        </xdr:to>
        <xdr:sp macro="" textlink="">
          <xdr:nvSpPr>
            <xdr:cNvPr id="45126" name="Check Box 70" hidden="1">
              <a:extLst>
                <a:ext uri="{63B3BB69-23CF-44E3-9099-C40C66FF867C}">
                  <a14:compatExt spid="_x0000_s4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79</xdr:row>
          <xdr:rowOff>0</xdr:rowOff>
        </xdr:from>
        <xdr:to>
          <xdr:col>2</xdr:col>
          <xdr:colOff>104775</xdr:colOff>
          <xdr:row>80</xdr:row>
          <xdr:rowOff>19050</xdr:rowOff>
        </xdr:to>
        <xdr:sp macro="" textlink="">
          <xdr:nvSpPr>
            <xdr:cNvPr id="45127" name="Check Box 71" hidden="1">
              <a:extLst>
                <a:ext uri="{63B3BB69-23CF-44E3-9099-C40C66FF867C}">
                  <a14:compatExt spid="_x0000_s4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80</xdr:row>
          <xdr:rowOff>0</xdr:rowOff>
        </xdr:from>
        <xdr:to>
          <xdr:col>2</xdr:col>
          <xdr:colOff>104775</xdr:colOff>
          <xdr:row>81</xdr:row>
          <xdr:rowOff>19050</xdr:rowOff>
        </xdr:to>
        <xdr:sp macro="" textlink="">
          <xdr:nvSpPr>
            <xdr:cNvPr id="45128" name="Check Box 72" hidden="1">
              <a:extLst>
                <a:ext uri="{63B3BB69-23CF-44E3-9099-C40C66FF867C}">
                  <a14:compatExt spid="_x0000_s4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85</xdr:row>
          <xdr:rowOff>9525</xdr:rowOff>
        </xdr:from>
        <xdr:to>
          <xdr:col>2</xdr:col>
          <xdr:colOff>104775</xdr:colOff>
          <xdr:row>86</xdr:row>
          <xdr:rowOff>28575</xdr:rowOff>
        </xdr:to>
        <xdr:sp macro="" textlink="">
          <xdr:nvSpPr>
            <xdr:cNvPr id="45129" name="Check Box 73" hidden="1">
              <a:extLst>
                <a:ext uri="{63B3BB69-23CF-44E3-9099-C40C66FF867C}">
                  <a14:compatExt spid="_x0000_s4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86</xdr:row>
          <xdr:rowOff>0</xdr:rowOff>
        </xdr:from>
        <xdr:to>
          <xdr:col>2</xdr:col>
          <xdr:colOff>104775</xdr:colOff>
          <xdr:row>87</xdr:row>
          <xdr:rowOff>19050</xdr:rowOff>
        </xdr:to>
        <xdr:sp macro="" textlink="">
          <xdr:nvSpPr>
            <xdr:cNvPr id="45130" name="Check Box 74" hidden="1">
              <a:extLst>
                <a:ext uri="{63B3BB69-23CF-44E3-9099-C40C66FF867C}">
                  <a14:compatExt spid="_x0000_s4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87</xdr:row>
          <xdr:rowOff>0</xdr:rowOff>
        </xdr:from>
        <xdr:to>
          <xdr:col>2</xdr:col>
          <xdr:colOff>104775</xdr:colOff>
          <xdr:row>88</xdr:row>
          <xdr:rowOff>19050</xdr:rowOff>
        </xdr:to>
        <xdr:sp macro="" textlink="">
          <xdr:nvSpPr>
            <xdr:cNvPr id="45131" name="Check Box 75" hidden="1">
              <a:extLst>
                <a:ext uri="{63B3BB69-23CF-44E3-9099-C40C66FF867C}">
                  <a14:compatExt spid="_x0000_s4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88</xdr:row>
          <xdr:rowOff>0</xdr:rowOff>
        </xdr:from>
        <xdr:to>
          <xdr:col>2</xdr:col>
          <xdr:colOff>104775</xdr:colOff>
          <xdr:row>89</xdr:row>
          <xdr:rowOff>19050</xdr:rowOff>
        </xdr:to>
        <xdr:sp macro="" textlink="">
          <xdr:nvSpPr>
            <xdr:cNvPr id="45132" name="Check Box 76" hidden="1">
              <a:extLst>
                <a:ext uri="{63B3BB69-23CF-44E3-9099-C40C66FF867C}">
                  <a14:compatExt spid="_x0000_s4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88</xdr:row>
          <xdr:rowOff>9525</xdr:rowOff>
        </xdr:from>
        <xdr:to>
          <xdr:col>2</xdr:col>
          <xdr:colOff>104775</xdr:colOff>
          <xdr:row>89</xdr:row>
          <xdr:rowOff>28575</xdr:rowOff>
        </xdr:to>
        <xdr:sp macro="" textlink="">
          <xdr:nvSpPr>
            <xdr:cNvPr id="45133" name="Check Box 77" hidden="1">
              <a:extLst>
                <a:ext uri="{63B3BB69-23CF-44E3-9099-C40C66FF867C}">
                  <a14:compatExt spid="_x0000_s4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89</xdr:row>
          <xdr:rowOff>0</xdr:rowOff>
        </xdr:from>
        <xdr:to>
          <xdr:col>2</xdr:col>
          <xdr:colOff>104775</xdr:colOff>
          <xdr:row>90</xdr:row>
          <xdr:rowOff>19050</xdr:rowOff>
        </xdr:to>
        <xdr:sp macro="" textlink="">
          <xdr:nvSpPr>
            <xdr:cNvPr id="45134" name="Check Box 78" hidden="1">
              <a:extLst>
                <a:ext uri="{63B3BB69-23CF-44E3-9099-C40C66FF867C}">
                  <a14:compatExt spid="_x0000_s4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90</xdr:row>
          <xdr:rowOff>0</xdr:rowOff>
        </xdr:from>
        <xdr:to>
          <xdr:col>2</xdr:col>
          <xdr:colOff>104775</xdr:colOff>
          <xdr:row>91</xdr:row>
          <xdr:rowOff>19050</xdr:rowOff>
        </xdr:to>
        <xdr:sp macro="" textlink="">
          <xdr:nvSpPr>
            <xdr:cNvPr id="45135" name="Check Box 79" hidden="1">
              <a:extLst>
                <a:ext uri="{63B3BB69-23CF-44E3-9099-C40C66FF867C}">
                  <a14:compatExt spid="_x0000_s4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91</xdr:row>
          <xdr:rowOff>0</xdr:rowOff>
        </xdr:from>
        <xdr:to>
          <xdr:col>2</xdr:col>
          <xdr:colOff>104775</xdr:colOff>
          <xdr:row>92</xdr:row>
          <xdr:rowOff>19050</xdr:rowOff>
        </xdr:to>
        <xdr:sp macro="" textlink="">
          <xdr:nvSpPr>
            <xdr:cNvPr id="45136" name="Check Box 80" hidden="1">
              <a:extLst>
                <a:ext uri="{63B3BB69-23CF-44E3-9099-C40C66FF867C}">
                  <a14:compatExt spid="_x0000_s4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92</xdr:row>
          <xdr:rowOff>0</xdr:rowOff>
        </xdr:from>
        <xdr:to>
          <xdr:col>2</xdr:col>
          <xdr:colOff>95250</xdr:colOff>
          <xdr:row>93</xdr:row>
          <xdr:rowOff>19050</xdr:rowOff>
        </xdr:to>
        <xdr:sp macro="" textlink="">
          <xdr:nvSpPr>
            <xdr:cNvPr id="45137" name="Check Box 81" hidden="1">
              <a:extLst>
                <a:ext uri="{63B3BB69-23CF-44E3-9099-C40C66FF867C}">
                  <a14:compatExt spid="_x0000_s4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94</xdr:row>
          <xdr:rowOff>0</xdr:rowOff>
        </xdr:from>
        <xdr:to>
          <xdr:col>2</xdr:col>
          <xdr:colOff>104775</xdr:colOff>
          <xdr:row>95</xdr:row>
          <xdr:rowOff>19050</xdr:rowOff>
        </xdr:to>
        <xdr:sp macro="" textlink="">
          <xdr:nvSpPr>
            <xdr:cNvPr id="45138" name="Check Box 82" hidden="1">
              <a:extLst>
                <a:ext uri="{63B3BB69-23CF-44E3-9099-C40C66FF867C}">
                  <a14:compatExt spid="_x0000_s4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95</xdr:row>
          <xdr:rowOff>0</xdr:rowOff>
        </xdr:from>
        <xdr:to>
          <xdr:col>2</xdr:col>
          <xdr:colOff>104775</xdr:colOff>
          <xdr:row>96</xdr:row>
          <xdr:rowOff>19050</xdr:rowOff>
        </xdr:to>
        <xdr:sp macro="" textlink="">
          <xdr:nvSpPr>
            <xdr:cNvPr id="45139" name="Check Box 83" hidden="1">
              <a:extLst>
                <a:ext uri="{63B3BB69-23CF-44E3-9099-C40C66FF867C}">
                  <a14:compatExt spid="_x0000_s4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96</xdr:row>
          <xdr:rowOff>0</xdr:rowOff>
        </xdr:from>
        <xdr:to>
          <xdr:col>2</xdr:col>
          <xdr:colOff>104775</xdr:colOff>
          <xdr:row>97</xdr:row>
          <xdr:rowOff>19050</xdr:rowOff>
        </xdr:to>
        <xdr:sp macro="" textlink="">
          <xdr:nvSpPr>
            <xdr:cNvPr id="45140" name="Check Box 84" hidden="1">
              <a:extLst>
                <a:ext uri="{63B3BB69-23CF-44E3-9099-C40C66FF867C}">
                  <a14:compatExt spid="_x0000_s4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97</xdr:row>
          <xdr:rowOff>9525</xdr:rowOff>
        </xdr:from>
        <xdr:to>
          <xdr:col>2</xdr:col>
          <xdr:colOff>104775</xdr:colOff>
          <xdr:row>98</xdr:row>
          <xdr:rowOff>28575</xdr:rowOff>
        </xdr:to>
        <xdr:sp macro="" textlink="">
          <xdr:nvSpPr>
            <xdr:cNvPr id="45141" name="Check Box 85" hidden="1">
              <a:extLst>
                <a:ext uri="{63B3BB69-23CF-44E3-9099-C40C66FF867C}">
                  <a14:compatExt spid="_x0000_s4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98</xdr:row>
          <xdr:rowOff>0</xdr:rowOff>
        </xdr:from>
        <xdr:to>
          <xdr:col>2</xdr:col>
          <xdr:colOff>104775</xdr:colOff>
          <xdr:row>99</xdr:row>
          <xdr:rowOff>19050</xdr:rowOff>
        </xdr:to>
        <xdr:sp macro="" textlink="">
          <xdr:nvSpPr>
            <xdr:cNvPr id="45142" name="Check Box 86" hidden="1">
              <a:extLst>
                <a:ext uri="{63B3BB69-23CF-44E3-9099-C40C66FF867C}">
                  <a14:compatExt spid="_x0000_s4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99</xdr:row>
          <xdr:rowOff>0</xdr:rowOff>
        </xdr:from>
        <xdr:to>
          <xdr:col>2</xdr:col>
          <xdr:colOff>104775</xdr:colOff>
          <xdr:row>100</xdr:row>
          <xdr:rowOff>19050</xdr:rowOff>
        </xdr:to>
        <xdr:sp macro="" textlink="">
          <xdr:nvSpPr>
            <xdr:cNvPr id="45143" name="Check Box 87" hidden="1">
              <a:extLst>
                <a:ext uri="{63B3BB69-23CF-44E3-9099-C40C66FF867C}">
                  <a14:compatExt spid="_x0000_s4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100</xdr:row>
          <xdr:rowOff>0</xdr:rowOff>
        </xdr:from>
        <xdr:to>
          <xdr:col>2</xdr:col>
          <xdr:colOff>104775</xdr:colOff>
          <xdr:row>101</xdr:row>
          <xdr:rowOff>19050</xdr:rowOff>
        </xdr:to>
        <xdr:sp macro="" textlink="">
          <xdr:nvSpPr>
            <xdr:cNvPr id="45144" name="Check Box 88" hidden="1">
              <a:extLst>
                <a:ext uri="{63B3BB69-23CF-44E3-9099-C40C66FF867C}">
                  <a14:compatExt spid="_x0000_s4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3667125</xdr:colOff>
          <xdr:row>0</xdr:row>
          <xdr:rowOff>57150</xdr:rowOff>
        </xdr:from>
        <xdr:to>
          <xdr:col>3</xdr:col>
          <xdr:colOff>5467350</xdr:colOff>
          <xdr:row>1</xdr:row>
          <xdr:rowOff>161925</xdr:rowOff>
        </xdr:to>
        <xdr:sp macro="" textlink="">
          <xdr:nvSpPr>
            <xdr:cNvPr id="45145" name="Button 89" hidden="1">
              <a:extLst>
                <a:ext uri="{63B3BB69-23CF-44E3-9099-C40C66FF867C}">
                  <a14:compatExt spid="_x0000_s45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Hide Extra/Highlighted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80</xdr:row>
          <xdr:rowOff>190500</xdr:rowOff>
        </xdr:from>
        <xdr:to>
          <xdr:col>2</xdr:col>
          <xdr:colOff>104775</xdr:colOff>
          <xdr:row>82</xdr:row>
          <xdr:rowOff>9525</xdr:rowOff>
        </xdr:to>
        <xdr:sp macro="" textlink="">
          <xdr:nvSpPr>
            <xdr:cNvPr id="45146" name="Check Box 90" hidden="1">
              <a:extLst>
                <a:ext uri="{63B3BB69-23CF-44E3-9099-C40C66FF867C}">
                  <a14:compatExt spid="_x0000_s4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81</xdr:row>
          <xdr:rowOff>190500</xdr:rowOff>
        </xdr:from>
        <xdr:to>
          <xdr:col>2</xdr:col>
          <xdr:colOff>104775</xdr:colOff>
          <xdr:row>83</xdr:row>
          <xdr:rowOff>9525</xdr:rowOff>
        </xdr:to>
        <xdr:sp macro="" textlink="">
          <xdr:nvSpPr>
            <xdr:cNvPr id="45147" name="Check Box 91" hidden="1">
              <a:extLst>
                <a:ext uri="{63B3BB69-23CF-44E3-9099-C40C66FF867C}">
                  <a14:compatExt spid="_x0000_s4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82</xdr:row>
          <xdr:rowOff>190500</xdr:rowOff>
        </xdr:from>
        <xdr:to>
          <xdr:col>2</xdr:col>
          <xdr:colOff>104775</xdr:colOff>
          <xdr:row>84</xdr:row>
          <xdr:rowOff>9525</xdr:rowOff>
        </xdr:to>
        <xdr:sp macro="" textlink="">
          <xdr:nvSpPr>
            <xdr:cNvPr id="45148" name="Check Box 92" hidden="1">
              <a:extLst>
                <a:ext uri="{63B3BB69-23CF-44E3-9099-C40C66FF867C}">
                  <a14:compatExt spid="_x0000_s4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83</xdr:row>
          <xdr:rowOff>190500</xdr:rowOff>
        </xdr:from>
        <xdr:to>
          <xdr:col>2</xdr:col>
          <xdr:colOff>104775</xdr:colOff>
          <xdr:row>85</xdr:row>
          <xdr:rowOff>9525</xdr:rowOff>
        </xdr:to>
        <xdr:sp macro="" textlink="">
          <xdr:nvSpPr>
            <xdr:cNvPr id="45149" name="Check Box 93" hidden="1">
              <a:extLst>
                <a:ext uri="{63B3BB69-23CF-44E3-9099-C40C66FF867C}">
                  <a14:compatExt spid="_x0000_s4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xdr:row>
          <xdr:rowOff>190500</xdr:rowOff>
        </xdr:from>
        <xdr:to>
          <xdr:col>2</xdr:col>
          <xdr:colOff>104775</xdr:colOff>
          <xdr:row>4</xdr:row>
          <xdr:rowOff>9525</xdr:rowOff>
        </xdr:to>
        <xdr:sp macro="" textlink="">
          <xdr:nvSpPr>
            <xdr:cNvPr id="45150" name="Check Box 94" hidden="1">
              <a:extLst>
                <a:ext uri="{63B3BB69-23CF-44E3-9099-C40C66FF867C}">
                  <a14:compatExt spid="_x0000_s4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7124700</xdr:colOff>
          <xdr:row>0</xdr:row>
          <xdr:rowOff>57150</xdr:rowOff>
        </xdr:from>
        <xdr:to>
          <xdr:col>3</xdr:col>
          <xdr:colOff>9229725</xdr:colOff>
          <xdr:row>1</xdr:row>
          <xdr:rowOff>161925</xdr:rowOff>
        </xdr:to>
        <xdr:sp macro="" textlink="">
          <xdr:nvSpPr>
            <xdr:cNvPr id="45152" name="Button 96" hidden="1">
              <a:extLst>
                <a:ext uri="{63B3BB69-23CF-44E3-9099-C40C66FF867C}">
                  <a14:compatExt spid="_x0000_s451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Unhide all Notes and Rows in AFS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152400</xdr:rowOff>
        </xdr:from>
        <xdr:to>
          <xdr:col>1</xdr:col>
          <xdr:colOff>114300</xdr:colOff>
          <xdr:row>2</xdr:row>
          <xdr:rowOff>9525</xdr:rowOff>
        </xdr:to>
        <xdr:sp macro="" textlink="">
          <xdr:nvSpPr>
            <xdr:cNvPr id="45153" name="Check Box 97" hidden="1">
              <a:extLst>
                <a:ext uri="{63B3BB69-23CF-44E3-9099-C40C66FF867C}">
                  <a14:compatExt spid="_x0000_s4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2371725</xdr:colOff>
          <xdr:row>0</xdr:row>
          <xdr:rowOff>66675</xdr:rowOff>
        </xdr:from>
        <xdr:to>
          <xdr:col>3</xdr:col>
          <xdr:colOff>3533775</xdr:colOff>
          <xdr:row>1</xdr:row>
          <xdr:rowOff>171450</xdr:rowOff>
        </xdr:to>
        <xdr:sp macro="" textlink="">
          <xdr:nvSpPr>
            <xdr:cNvPr id="45154" name="Button 98" hidden="1">
              <a:extLst>
                <a:ext uri="{63B3BB69-23CF-44E3-9099-C40C66FF867C}">
                  <a14:compatExt spid="_x0000_s451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Hide N/A Notes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5562600</xdr:colOff>
          <xdr:row>0</xdr:row>
          <xdr:rowOff>66675</xdr:rowOff>
        </xdr:from>
        <xdr:to>
          <xdr:col>3</xdr:col>
          <xdr:colOff>7010400</xdr:colOff>
          <xdr:row>1</xdr:row>
          <xdr:rowOff>171450</xdr:rowOff>
        </xdr:to>
        <xdr:sp macro="" textlink="">
          <xdr:nvSpPr>
            <xdr:cNvPr id="45155" name="Button 99" hidden="1">
              <a:extLst>
                <a:ext uri="{63B3BB69-23CF-44E3-9099-C40C66FF867C}">
                  <a14:compatExt spid="_x0000_s4515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Adjust Note Numbers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93</xdr:row>
          <xdr:rowOff>0</xdr:rowOff>
        </xdr:from>
        <xdr:to>
          <xdr:col>2</xdr:col>
          <xdr:colOff>95250</xdr:colOff>
          <xdr:row>94</xdr:row>
          <xdr:rowOff>19050</xdr:rowOff>
        </xdr:to>
        <xdr:sp macro="" textlink="">
          <xdr:nvSpPr>
            <xdr:cNvPr id="45156" name="Check Box 100" hidden="1">
              <a:extLst>
                <a:ext uri="{63B3BB69-23CF-44E3-9099-C40C66FF867C}">
                  <a14:compatExt spid="_x0000_s4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31</xdr:row>
          <xdr:rowOff>0</xdr:rowOff>
        </xdr:from>
        <xdr:to>
          <xdr:col>2</xdr:col>
          <xdr:colOff>95250</xdr:colOff>
          <xdr:row>32</xdr:row>
          <xdr:rowOff>19050</xdr:rowOff>
        </xdr:to>
        <xdr:sp macro="" textlink="">
          <xdr:nvSpPr>
            <xdr:cNvPr id="45157" name="Check Box 101" hidden="1">
              <a:extLst>
                <a:ext uri="{63B3BB69-23CF-44E3-9099-C40C66FF867C}">
                  <a14:compatExt spid="_x0000_s4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103</xdr:row>
          <xdr:rowOff>0</xdr:rowOff>
        </xdr:from>
        <xdr:to>
          <xdr:col>2</xdr:col>
          <xdr:colOff>95250</xdr:colOff>
          <xdr:row>104</xdr:row>
          <xdr:rowOff>19050</xdr:rowOff>
        </xdr:to>
        <xdr:sp macro="" textlink="">
          <xdr:nvSpPr>
            <xdr:cNvPr id="45159" name="Check Box 103" hidden="1">
              <a:extLst>
                <a:ext uri="{63B3BB69-23CF-44E3-9099-C40C66FF867C}">
                  <a14:compatExt spid="_x0000_s4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0</xdr:rowOff>
        </xdr:from>
        <xdr:to>
          <xdr:col>2</xdr:col>
          <xdr:colOff>95250</xdr:colOff>
          <xdr:row>36</xdr:row>
          <xdr:rowOff>19050</xdr:rowOff>
        </xdr:to>
        <xdr:sp macro="" textlink="">
          <xdr:nvSpPr>
            <xdr:cNvPr id="45160" name="Check Box 104" hidden="1">
              <a:extLst>
                <a:ext uri="{63B3BB69-23CF-44E3-9099-C40C66FF867C}">
                  <a14:compatExt spid="_x0000_s4516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66675</xdr:colOff>
          <xdr:row>0</xdr:row>
          <xdr:rowOff>38100</xdr:rowOff>
        </xdr:from>
        <xdr:to>
          <xdr:col>15</xdr:col>
          <xdr:colOff>1047750</xdr:colOff>
          <xdr:row>1</xdr:row>
          <xdr:rowOff>66675</xdr:rowOff>
        </xdr:to>
        <xdr:sp macro="" textlink="">
          <xdr:nvSpPr>
            <xdr:cNvPr id="46082" name="Button 2" hidden="1">
              <a:extLst>
                <a:ext uri="{63B3BB69-23CF-44E3-9099-C40C66FF867C}">
                  <a14:compatExt spid="_x0000_s460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Map AFS Item</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679403</xdr:colOff>
      <xdr:row>4885</xdr:row>
      <xdr:rowOff>145575</xdr:rowOff>
    </xdr:from>
    <xdr:to>
      <xdr:col>2</xdr:col>
      <xdr:colOff>680991</xdr:colOff>
      <xdr:row>4887</xdr:row>
      <xdr:rowOff>46515</xdr:rowOff>
    </xdr:to>
    <xdr:cxnSp macro="">
      <xdr:nvCxnSpPr>
        <xdr:cNvPr id="34" name="Straight Arrow Connector 33"/>
        <xdr:cNvCxnSpPr/>
      </xdr:nvCxnSpPr>
      <xdr:spPr>
        <a:xfrm rot="5400000">
          <a:off x="3568177"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4885</xdr:row>
      <xdr:rowOff>145575</xdr:rowOff>
    </xdr:from>
    <xdr:to>
      <xdr:col>4</xdr:col>
      <xdr:colOff>680991</xdr:colOff>
      <xdr:row>4887</xdr:row>
      <xdr:rowOff>46515</xdr:rowOff>
    </xdr:to>
    <xdr:cxnSp macro="">
      <xdr:nvCxnSpPr>
        <xdr:cNvPr id="35" name="Straight Arrow Connector 34"/>
        <xdr:cNvCxnSpPr/>
      </xdr:nvCxnSpPr>
      <xdr:spPr>
        <a:xfrm rot="5400000">
          <a:off x="4796902"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4903</xdr:row>
      <xdr:rowOff>145575</xdr:rowOff>
    </xdr:from>
    <xdr:to>
      <xdr:col>2</xdr:col>
      <xdr:colOff>680991</xdr:colOff>
      <xdr:row>4905</xdr:row>
      <xdr:rowOff>46515</xdr:rowOff>
    </xdr:to>
    <xdr:cxnSp macro="">
      <xdr:nvCxnSpPr>
        <xdr:cNvPr id="36" name="Straight Arrow Connector 35"/>
        <xdr:cNvCxnSpPr/>
      </xdr:nvCxnSpPr>
      <xdr:spPr>
        <a:xfrm rot="5400000">
          <a:off x="3568177"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4903</xdr:row>
      <xdr:rowOff>145575</xdr:rowOff>
    </xdr:from>
    <xdr:to>
      <xdr:col>4</xdr:col>
      <xdr:colOff>680991</xdr:colOff>
      <xdr:row>4905</xdr:row>
      <xdr:rowOff>46515</xdr:rowOff>
    </xdr:to>
    <xdr:cxnSp macro="">
      <xdr:nvCxnSpPr>
        <xdr:cNvPr id="37" name="Straight Arrow Connector 36"/>
        <xdr:cNvCxnSpPr/>
      </xdr:nvCxnSpPr>
      <xdr:spPr>
        <a:xfrm rot="5400000">
          <a:off x="4796902"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4885</xdr:row>
      <xdr:rowOff>145575</xdr:rowOff>
    </xdr:from>
    <xdr:to>
      <xdr:col>2</xdr:col>
      <xdr:colOff>680991</xdr:colOff>
      <xdr:row>4887</xdr:row>
      <xdr:rowOff>46515</xdr:rowOff>
    </xdr:to>
    <xdr:cxnSp macro="">
      <xdr:nvCxnSpPr>
        <xdr:cNvPr id="38" name="Straight Arrow Connector 37"/>
        <xdr:cNvCxnSpPr/>
      </xdr:nvCxnSpPr>
      <xdr:spPr>
        <a:xfrm rot="5400000">
          <a:off x="3568177"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4885</xdr:row>
      <xdr:rowOff>145575</xdr:rowOff>
    </xdr:from>
    <xdr:to>
      <xdr:col>4</xdr:col>
      <xdr:colOff>680991</xdr:colOff>
      <xdr:row>4887</xdr:row>
      <xdr:rowOff>46515</xdr:rowOff>
    </xdr:to>
    <xdr:cxnSp macro="">
      <xdr:nvCxnSpPr>
        <xdr:cNvPr id="39" name="Straight Arrow Connector 38"/>
        <xdr:cNvCxnSpPr/>
      </xdr:nvCxnSpPr>
      <xdr:spPr>
        <a:xfrm rot="5400000">
          <a:off x="4796902"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4903</xdr:row>
      <xdr:rowOff>145575</xdr:rowOff>
    </xdr:from>
    <xdr:to>
      <xdr:col>2</xdr:col>
      <xdr:colOff>680991</xdr:colOff>
      <xdr:row>4905</xdr:row>
      <xdr:rowOff>46515</xdr:rowOff>
    </xdr:to>
    <xdr:cxnSp macro="">
      <xdr:nvCxnSpPr>
        <xdr:cNvPr id="40" name="Straight Arrow Connector 39"/>
        <xdr:cNvCxnSpPr/>
      </xdr:nvCxnSpPr>
      <xdr:spPr>
        <a:xfrm rot="5400000">
          <a:off x="3568177"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4903</xdr:row>
      <xdr:rowOff>145575</xdr:rowOff>
    </xdr:from>
    <xdr:to>
      <xdr:col>4</xdr:col>
      <xdr:colOff>680991</xdr:colOff>
      <xdr:row>4905</xdr:row>
      <xdr:rowOff>46515</xdr:rowOff>
    </xdr:to>
    <xdr:cxnSp macro="">
      <xdr:nvCxnSpPr>
        <xdr:cNvPr id="41" name="Straight Arrow Connector 40"/>
        <xdr:cNvCxnSpPr/>
      </xdr:nvCxnSpPr>
      <xdr:spPr>
        <a:xfrm rot="5400000">
          <a:off x="4796902"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4841</xdr:row>
      <xdr:rowOff>145575</xdr:rowOff>
    </xdr:from>
    <xdr:to>
      <xdr:col>2</xdr:col>
      <xdr:colOff>680991</xdr:colOff>
      <xdr:row>4843</xdr:row>
      <xdr:rowOff>46515</xdr:rowOff>
    </xdr:to>
    <xdr:cxnSp macro="">
      <xdr:nvCxnSpPr>
        <xdr:cNvPr id="42" name="Straight Arrow Connector 41"/>
        <xdr:cNvCxnSpPr/>
      </xdr:nvCxnSpPr>
      <xdr:spPr>
        <a:xfrm rot="5400000">
          <a:off x="3568177"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4841</xdr:row>
      <xdr:rowOff>145575</xdr:rowOff>
    </xdr:from>
    <xdr:to>
      <xdr:col>4</xdr:col>
      <xdr:colOff>680991</xdr:colOff>
      <xdr:row>4843</xdr:row>
      <xdr:rowOff>46515</xdr:rowOff>
    </xdr:to>
    <xdr:cxnSp macro="">
      <xdr:nvCxnSpPr>
        <xdr:cNvPr id="43" name="Straight Arrow Connector 42"/>
        <xdr:cNvCxnSpPr/>
      </xdr:nvCxnSpPr>
      <xdr:spPr>
        <a:xfrm rot="5400000">
          <a:off x="4796902"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4859</xdr:row>
      <xdr:rowOff>145575</xdr:rowOff>
    </xdr:from>
    <xdr:to>
      <xdr:col>2</xdr:col>
      <xdr:colOff>680991</xdr:colOff>
      <xdr:row>4861</xdr:row>
      <xdr:rowOff>46515</xdr:rowOff>
    </xdr:to>
    <xdr:cxnSp macro="">
      <xdr:nvCxnSpPr>
        <xdr:cNvPr id="44" name="Straight Arrow Connector 43"/>
        <xdr:cNvCxnSpPr/>
      </xdr:nvCxnSpPr>
      <xdr:spPr>
        <a:xfrm rot="5400000">
          <a:off x="3568177"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4859</xdr:row>
      <xdr:rowOff>145575</xdr:rowOff>
    </xdr:from>
    <xdr:to>
      <xdr:col>4</xdr:col>
      <xdr:colOff>680991</xdr:colOff>
      <xdr:row>4861</xdr:row>
      <xdr:rowOff>46515</xdr:rowOff>
    </xdr:to>
    <xdr:cxnSp macro="">
      <xdr:nvCxnSpPr>
        <xdr:cNvPr id="45" name="Straight Arrow Connector 44"/>
        <xdr:cNvCxnSpPr/>
      </xdr:nvCxnSpPr>
      <xdr:spPr>
        <a:xfrm rot="5400000">
          <a:off x="4796902"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4841</xdr:row>
      <xdr:rowOff>145575</xdr:rowOff>
    </xdr:from>
    <xdr:to>
      <xdr:col>2</xdr:col>
      <xdr:colOff>680991</xdr:colOff>
      <xdr:row>4843</xdr:row>
      <xdr:rowOff>46515</xdr:rowOff>
    </xdr:to>
    <xdr:cxnSp macro="">
      <xdr:nvCxnSpPr>
        <xdr:cNvPr id="46" name="Straight Arrow Connector 45"/>
        <xdr:cNvCxnSpPr/>
      </xdr:nvCxnSpPr>
      <xdr:spPr>
        <a:xfrm rot="5400000">
          <a:off x="3568177"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4841</xdr:row>
      <xdr:rowOff>145575</xdr:rowOff>
    </xdr:from>
    <xdr:to>
      <xdr:col>4</xdr:col>
      <xdr:colOff>680991</xdr:colOff>
      <xdr:row>4843</xdr:row>
      <xdr:rowOff>46515</xdr:rowOff>
    </xdr:to>
    <xdr:cxnSp macro="">
      <xdr:nvCxnSpPr>
        <xdr:cNvPr id="47" name="Straight Arrow Connector 46"/>
        <xdr:cNvCxnSpPr/>
      </xdr:nvCxnSpPr>
      <xdr:spPr>
        <a:xfrm rot="5400000">
          <a:off x="4796902"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4859</xdr:row>
      <xdr:rowOff>145575</xdr:rowOff>
    </xdr:from>
    <xdr:to>
      <xdr:col>2</xdr:col>
      <xdr:colOff>680991</xdr:colOff>
      <xdr:row>4861</xdr:row>
      <xdr:rowOff>46515</xdr:rowOff>
    </xdr:to>
    <xdr:cxnSp macro="">
      <xdr:nvCxnSpPr>
        <xdr:cNvPr id="48" name="Straight Arrow Connector 47"/>
        <xdr:cNvCxnSpPr/>
      </xdr:nvCxnSpPr>
      <xdr:spPr>
        <a:xfrm rot="5400000">
          <a:off x="3568177"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4859</xdr:row>
      <xdr:rowOff>145575</xdr:rowOff>
    </xdr:from>
    <xdr:to>
      <xdr:col>4</xdr:col>
      <xdr:colOff>680991</xdr:colOff>
      <xdr:row>4861</xdr:row>
      <xdr:rowOff>46515</xdr:rowOff>
    </xdr:to>
    <xdr:cxnSp macro="">
      <xdr:nvCxnSpPr>
        <xdr:cNvPr id="49" name="Straight Arrow Connector 48"/>
        <xdr:cNvCxnSpPr/>
      </xdr:nvCxnSpPr>
      <xdr:spPr>
        <a:xfrm rot="5400000">
          <a:off x="4796902"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4885</xdr:row>
      <xdr:rowOff>145575</xdr:rowOff>
    </xdr:from>
    <xdr:to>
      <xdr:col>2</xdr:col>
      <xdr:colOff>680991</xdr:colOff>
      <xdr:row>4887</xdr:row>
      <xdr:rowOff>46515</xdr:rowOff>
    </xdr:to>
    <xdr:cxnSp macro="">
      <xdr:nvCxnSpPr>
        <xdr:cNvPr id="50" name="Straight Arrow Connector 49"/>
        <xdr:cNvCxnSpPr/>
      </xdr:nvCxnSpPr>
      <xdr:spPr>
        <a:xfrm rot="5400000">
          <a:off x="3568177"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4885</xdr:row>
      <xdr:rowOff>145575</xdr:rowOff>
    </xdr:from>
    <xdr:to>
      <xdr:col>4</xdr:col>
      <xdr:colOff>680991</xdr:colOff>
      <xdr:row>4887</xdr:row>
      <xdr:rowOff>46515</xdr:rowOff>
    </xdr:to>
    <xdr:cxnSp macro="">
      <xdr:nvCxnSpPr>
        <xdr:cNvPr id="51" name="Straight Arrow Connector 50"/>
        <xdr:cNvCxnSpPr/>
      </xdr:nvCxnSpPr>
      <xdr:spPr>
        <a:xfrm rot="5400000">
          <a:off x="4796902"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4903</xdr:row>
      <xdr:rowOff>145575</xdr:rowOff>
    </xdr:from>
    <xdr:to>
      <xdr:col>2</xdr:col>
      <xdr:colOff>680991</xdr:colOff>
      <xdr:row>4905</xdr:row>
      <xdr:rowOff>46515</xdr:rowOff>
    </xdr:to>
    <xdr:cxnSp macro="">
      <xdr:nvCxnSpPr>
        <xdr:cNvPr id="52" name="Straight Arrow Connector 51"/>
        <xdr:cNvCxnSpPr/>
      </xdr:nvCxnSpPr>
      <xdr:spPr>
        <a:xfrm rot="5400000">
          <a:off x="3568177"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4903</xdr:row>
      <xdr:rowOff>145575</xdr:rowOff>
    </xdr:from>
    <xdr:to>
      <xdr:col>4</xdr:col>
      <xdr:colOff>680991</xdr:colOff>
      <xdr:row>4905</xdr:row>
      <xdr:rowOff>46515</xdr:rowOff>
    </xdr:to>
    <xdr:cxnSp macro="">
      <xdr:nvCxnSpPr>
        <xdr:cNvPr id="53" name="Straight Arrow Connector 52"/>
        <xdr:cNvCxnSpPr/>
      </xdr:nvCxnSpPr>
      <xdr:spPr>
        <a:xfrm rot="5400000">
          <a:off x="4796902"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4885</xdr:row>
      <xdr:rowOff>145575</xdr:rowOff>
    </xdr:from>
    <xdr:to>
      <xdr:col>2</xdr:col>
      <xdr:colOff>680991</xdr:colOff>
      <xdr:row>4887</xdr:row>
      <xdr:rowOff>46515</xdr:rowOff>
    </xdr:to>
    <xdr:cxnSp macro="">
      <xdr:nvCxnSpPr>
        <xdr:cNvPr id="54" name="Straight Arrow Connector 53"/>
        <xdr:cNvCxnSpPr/>
      </xdr:nvCxnSpPr>
      <xdr:spPr>
        <a:xfrm rot="5400000">
          <a:off x="3568177"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4885</xdr:row>
      <xdr:rowOff>145575</xdr:rowOff>
    </xdr:from>
    <xdr:to>
      <xdr:col>4</xdr:col>
      <xdr:colOff>680991</xdr:colOff>
      <xdr:row>4887</xdr:row>
      <xdr:rowOff>46515</xdr:rowOff>
    </xdr:to>
    <xdr:cxnSp macro="">
      <xdr:nvCxnSpPr>
        <xdr:cNvPr id="55" name="Straight Arrow Connector 54"/>
        <xdr:cNvCxnSpPr/>
      </xdr:nvCxnSpPr>
      <xdr:spPr>
        <a:xfrm rot="5400000">
          <a:off x="4796902" y="110061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4903</xdr:row>
      <xdr:rowOff>145575</xdr:rowOff>
    </xdr:from>
    <xdr:to>
      <xdr:col>2</xdr:col>
      <xdr:colOff>680991</xdr:colOff>
      <xdr:row>4905</xdr:row>
      <xdr:rowOff>46515</xdr:rowOff>
    </xdr:to>
    <xdr:cxnSp macro="">
      <xdr:nvCxnSpPr>
        <xdr:cNvPr id="56" name="Straight Arrow Connector 55"/>
        <xdr:cNvCxnSpPr/>
      </xdr:nvCxnSpPr>
      <xdr:spPr>
        <a:xfrm rot="5400000">
          <a:off x="3568177"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4903</xdr:row>
      <xdr:rowOff>145575</xdr:rowOff>
    </xdr:from>
    <xdr:to>
      <xdr:col>4</xdr:col>
      <xdr:colOff>680991</xdr:colOff>
      <xdr:row>4905</xdr:row>
      <xdr:rowOff>46515</xdr:rowOff>
    </xdr:to>
    <xdr:cxnSp macro="">
      <xdr:nvCxnSpPr>
        <xdr:cNvPr id="57" name="Straight Arrow Connector 56"/>
        <xdr:cNvCxnSpPr/>
      </xdr:nvCxnSpPr>
      <xdr:spPr>
        <a:xfrm rot="5400000">
          <a:off x="4796902" y="113490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4841</xdr:row>
      <xdr:rowOff>145575</xdr:rowOff>
    </xdr:from>
    <xdr:to>
      <xdr:col>2</xdr:col>
      <xdr:colOff>680991</xdr:colOff>
      <xdr:row>4843</xdr:row>
      <xdr:rowOff>46515</xdr:rowOff>
    </xdr:to>
    <xdr:cxnSp macro="">
      <xdr:nvCxnSpPr>
        <xdr:cNvPr id="58" name="Straight Arrow Connector 57"/>
        <xdr:cNvCxnSpPr/>
      </xdr:nvCxnSpPr>
      <xdr:spPr>
        <a:xfrm rot="5400000">
          <a:off x="3568177"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4841</xdr:row>
      <xdr:rowOff>145575</xdr:rowOff>
    </xdr:from>
    <xdr:to>
      <xdr:col>4</xdr:col>
      <xdr:colOff>680991</xdr:colOff>
      <xdr:row>4843</xdr:row>
      <xdr:rowOff>46515</xdr:rowOff>
    </xdr:to>
    <xdr:cxnSp macro="">
      <xdr:nvCxnSpPr>
        <xdr:cNvPr id="59" name="Straight Arrow Connector 58"/>
        <xdr:cNvCxnSpPr/>
      </xdr:nvCxnSpPr>
      <xdr:spPr>
        <a:xfrm rot="5400000">
          <a:off x="4796902"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4859</xdr:row>
      <xdr:rowOff>145575</xdr:rowOff>
    </xdr:from>
    <xdr:to>
      <xdr:col>2</xdr:col>
      <xdr:colOff>680991</xdr:colOff>
      <xdr:row>4861</xdr:row>
      <xdr:rowOff>46515</xdr:rowOff>
    </xdr:to>
    <xdr:cxnSp macro="">
      <xdr:nvCxnSpPr>
        <xdr:cNvPr id="60" name="Straight Arrow Connector 59"/>
        <xdr:cNvCxnSpPr/>
      </xdr:nvCxnSpPr>
      <xdr:spPr>
        <a:xfrm rot="5400000">
          <a:off x="3568177"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4859</xdr:row>
      <xdr:rowOff>145575</xdr:rowOff>
    </xdr:from>
    <xdr:to>
      <xdr:col>4</xdr:col>
      <xdr:colOff>680991</xdr:colOff>
      <xdr:row>4861</xdr:row>
      <xdr:rowOff>46515</xdr:rowOff>
    </xdr:to>
    <xdr:cxnSp macro="">
      <xdr:nvCxnSpPr>
        <xdr:cNvPr id="61" name="Straight Arrow Connector 60"/>
        <xdr:cNvCxnSpPr/>
      </xdr:nvCxnSpPr>
      <xdr:spPr>
        <a:xfrm rot="5400000">
          <a:off x="4796902"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4841</xdr:row>
      <xdr:rowOff>145575</xdr:rowOff>
    </xdr:from>
    <xdr:to>
      <xdr:col>2</xdr:col>
      <xdr:colOff>680991</xdr:colOff>
      <xdr:row>4843</xdr:row>
      <xdr:rowOff>46515</xdr:rowOff>
    </xdr:to>
    <xdr:cxnSp macro="">
      <xdr:nvCxnSpPr>
        <xdr:cNvPr id="62" name="Straight Arrow Connector 61"/>
        <xdr:cNvCxnSpPr/>
      </xdr:nvCxnSpPr>
      <xdr:spPr>
        <a:xfrm rot="5400000">
          <a:off x="3568177"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4841</xdr:row>
      <xdr:rowOff>145575</xdr:rowOff>
    </xdr:from>
    <xdr:to>
      <xdr:col>4</xdr:col>
      <xdr:colOff>680991</xdr:colOff>
      <xdr:row>4843</xdr:row>
      <xdr:rowOff>46515</xdr:rowOff>
    </xdr:to>
    <xdr:cxnSp macro="">
      <xdr:nvCxnSpPr>
        <xdr:cNvPr id="63" name="Straight Arrow Connector 62"/>
        <xdr:cNvCxnSpPr/>
      </xdr:nvCxnSpPr>
      <xdr:spPr>
        <a:xfrm rot="5400000">
          <a:off x="4796902" y="101679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679403</xdr:colOff>
      <xdr:row>4859</xdr:row>
      <xdr:rowOff>145575</xdr:rowOff>
    </xdr:from>
    <xdr:to>
      <xdr:col>2</xdr:col>
      <xdr:colOff>680991</xdr:colOff>
      <xdr:row>4861</xdr:row>
      <xdr:rowOff>46515</xdr:rowOff>
    </xdr:to>
    <xdr:cxnSp macro="">
      <xdr:nvCxnSpPr>
        <xdr:cNvPr id="64" name="Straight Arrow Connector 63"/>
        <xdr:cNvCxnSpPr/>
      </xdr:nvCxnSpPr>
      <xdr:spPr>
        <a:xfrm rot="5400000">
          <a:off x="3568177"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679403</xdr:colOff>
      <xdr:row>4859</xdr:row>
      <xdr:rowOff>145575</xdr:rowOff>
    </xdr:from>
    <xdr:to>
      <xdr:col>4</xdr:col>
      <xdr:colOff>680991</xdr:colOff>
      <xdr:row>4861</xdr:row>
      <xdr:rowOff>46515</xdr:rowOff>
    </xdr:to>
    <xdr:cxnSp macro="">
      <xdr:nvCxnSpPr>
        <xdr:cNvPr id="65" name="Straight Arrow Connector 64"/>
        <xdr:cNvCxnSpPr/>
      </xdr:nvCxnSpPr>
      <xdr:spPr>
        <a:xfrm rot="5400000">
          <a:off x="4796902" y="105108376"/>
          <a:ext cx="281940" cy="1588"/>
        </a:xfrm>
        <a:prstGeom prst="straightConnector1">
          <a:avLst/>
        </a:prstGeom>
        <a:ln w="19050">
          <a:solidFill>
            <a:schemeClr val="tx1"/>
          </a:solidFill>
          <a:headEnd w="sm" len="med"/>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15</xdr:col>
          <xdr:colOff>85725</xdr:colOff>
          <xdr:row>0</xdr:row>
          <xdr:rowOff>47625</xdr:rowOff>
        </xdr:from>
        <xdr:to>
          <xdr:col>15</xdr:col>
          <xdr:colOff>1066800</xdr:colOff>
          <xdr:row>1</xdr:row>
          <xdr:rowOff>85725</xdr:rowOff>
        </xdr:to>
        <xdr:sp macro="" textlink="">
          <xdr:nvSpPr>
            <xdr:cNvPr id="27683" name="Button 12323" hidden="1">
              <a:extLst>
                <a:ext uri="{63B3BB69-23CF-44E3-9099-C40C66FF867C}">
                  <a14:compatExt spid="_x0000_s2768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Map AFS Item</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466725</xdr:colOff>
      <xdr:row>58</xdr:row>
      <xdr:rowOff>114300</xdr:rowOff>
    </xdr:from>
    <xdr:to>
      <xdr:col>5</xdr:col>
      <xdr:colOff>485775</xdr:colOff>
      <xdr:row>66</xdr:row>
      <xdr:rowOff>123825</xdr:rowOff>
    </xdr:to>
    <xdr:cxnSp macro="">
      <xdr:nvCxnSpPr>
        <xdr:cNvPr id="3" name="Straight Arrow Connector 2"/>
        <xdr:cNvCxnSpPr/>
      </xdr:nvCxnSpPr>
      <xdr:spPr>
        <a:xfrm>
          <a:off x="7296150" y="9305925"/>
          <a:ext cx="19050" cy="1219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390525</xdr:colOff>
      <xdr:row>90</xdr:row>
      <xdr:rowOff>76200</xdr:rowOff>
    </xdr:from>
    <xdr:to>
      <xdr:col>5</xdr:col>
      <xdr:colOff>485775</xdr:colOff>
      <xdr:row>130</xdr:row>
      <xdr:rowOff>104775</xdr:rowOff>
    </xdr:to>
    <xdr:cxnSp macro="">
      <xdr:nvCxnSpPr>
        <xdr:cNvPr id="4" name="Straight Arrow Connector 3"/>
        <xdr:cNvCxnSpPr/>
      </xdr:nvCxnSpPr>
      <xdr:spPr>
        <a:xfrm>
          <a:off x="7219950" y="14439900"/>
          <a:ext cx="95250" cy="6248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271</xdr:row>
      <xdr:rowOff>104775</xdr:rowOff>
    </xdr:from>
    <xdr:to>
      <xdr:col>2</xdr:col>
      <xdr:colOff>581025</xdr:colOff>
      <xdr:row>281</xdr:row>
      <xdr:rowOff>85725</xdr:rowOff>
    </xdr:to>
    <xdr:cxnSp macro="">
      <xdr:nvCxnSpPr>
        <xdr:cNvPr id="5" name="Straight Arrow Connector 4"/>
        <xdr:cNvCxnSpPr/>
      </xdr:nvCxnSpPr>
      <xdr:spPr>
        <a:xfrm>
          <a:off x="3657600" y="42929175"/>
          <a:ext cx="9525" cy="1638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571500</xdr:colOff>
      <xdr:row>271</xdr:row>
      <xdr:rowOff>114300</xdr:rowOff>
    </xdr:from>
    <xdr:to>
      <xdr:col>5</xdr:col>
      <xdr:colOff>590550</xdr:colOff>
      <xdr:row>281</xdr:row>
      <xdr:rowOff>114300</xdr:rowOff>
    </xdr:to>
    <xdr:cxnSp macro="">
      <xdr:nvCxnSpPr>
        <xdr:cNvPr id="7" name="Straight Arrow Connector 6"/>
        <xdr:cNvCxnSpPr/>
      </xdr:nvCxnSpPr>
      <xdr:spPr>
        <a:xfrm>
          <a:off x="7400925" y="42938700"/>
          <a:ext cx="19050" cy="1657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95250</xdr:colOff>
      <xdr:row>760</xdr:row>
      <xdr:rowOff>95251</xdr:rowOff>
    </xdr:from>
    <xdr:to>
      <xdr:col>7</xdr:col>
      <xdr:colOff>133350</xdr:colOff>
      <xdr:row>915</xdr:row>
      <xdr:rowOff>123825</xdr:rowOff>
    </xdr:to>
    <xdr:cxnSp macro="">
      <xdr:nvCxnSpPr>
        <xdr:cNvPr id="3" name="Straight Arrow Connector 2"/>
        <xdr:cNvCxnSpPr/>
      </xdr:nvCxnSpPr>
      <xdr:spPr>
        <a:xfrm flipH="1" flipV="1">
          <a:off x="8229600" y="123596401"/>
          <a:ext cx="38100" cy="246506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xdr:colOff>
      <xdr:row>760</xdr:row>
      <xdr:rowOff>95250</xdr:rowOff>
    </xdr:from>
    <xdr:to>
      <xdr:col>3</xdr:col>
      <xdr:colOff>76200</xdr:colOff>
      <xdr:row>915</xdr:row>
      <xdr:rowOff>95250</xdr:rowOff>
    </xdr:to>
    <xdr:cxnSp macro="">
      <xdr:nvCxnSpPr>
        <xdr:cNvPr id="6" name="Straight Arrow Connector 5"/>
        <xdr:cNvCxnSpPr/>
      </xdr:nvCxnSpPr>
      <xdr:spPr>
        <a:xfrm flipV="1">
          <a:off x="4076700" y="122872500"/>
          <a:ext cx="19050" cy="24955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454</xdr:row>
      <xdr:rowOff>85725</xdr:rowOff>
    </xdr:from>
    <xdr:to>
      <xdr:col>6</xdr:col>
      <xdr:colOff>314325</xdr:colOff>
      <xdr:row>870</xdr:row>
      <xdr:rowOff>76200</xdr:rowOff>
    </xdr:to>
    <xdr:cxnSp macro="">
      <xdr:nvCxnSpPr>
        <xdr:cNvPr id="4" name="Straight Arrow Connector 3"/>
        <xdr:cNvCxnSpPr/>
      </xdr:nvCxnSpPr>
      <xdr:spPr>
        <a:xfrm flipH="1" flipV="1">
          <a:off x="7324725" y="73628250"/>
          <a:ext cx="95250" cy="677989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36</xdr:row>
      <xdr:rowOff>47625</xdr:rowOff>
    </xdr:from>
    <xdr:to>
      <xdr:col>6</xdr:col>
      <xdr:colOff>47625</xdr:colOff>
      <xdr:row>1092</xdr:row>
      <xdr:rowOff>38100</xdr:rowOff>
    </xdr:to>
    <xdr:cxnSp macro="">
      <xdr:nvCxnSpPr>
        <xdr:cNvPr id="5" name="Straight Arrow Connector 4"/>
        <xdr:cNvCxnSpPr/>
      </xdr:nvCxnSpPr>
      <xdr:spPr>
        <a:xfrm flipV="1">
          <a:off x="7143750" y="6019800"/>
          <a:ext cx="9525" cy="171354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mes\Desktop\ANDM%20Finance%20Management%20Templates\AFS\ANDM%20AFS%20Model%20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raft%20Data_2011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ossBotes\Desktop\Mohokare\AFS\Budget\Tsoho_Draft%20Data%20(Autosaved)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Zann\AppData\Local\Temp\Temp1_mohokareinfo.zip\Mohokare%20%20AFS%20June%202010%20-31-08%20amended%2020%20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old.000\Users\User\Documents\Documents\Makomota\Moharake%20Municipality\Copy_of_Adjustment_Budget_2010_11_Tsoh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Zann\AppData\Local\Temp\Temp1_mohokareinfo.zip\Salaries_Mohokare_2010_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Zann\AppData\Local\Temp\Temp1_mohokareinfo.zip\Salaries_Mohokare_2009_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old.000\Users\User\Documents\Documents\Makomota\Moharake%20Municipality\Moharake%20Municipality\Datafile%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FS Structure"/>
      <sheetName val="Report"/>
      <sheetName val="Fin Pos"/>
      <sheetName val="Fin Perform"/>
      <sheetName val="Net Assets"/>
      <sheetName val="Cash Flow"/>
      <sheetName val="Notes I"/>
      <sheetName val="PPE Note"/>
      <sheetName val="Notes II"/>
      <sheetName val="Fin Instruments Cont."/>
      <sheetName val="Notes III"/>
      <sheetName val="APPENDIX A"/>
      <sheetName val="APPENDIX B"/>
      <sheetName val="APPENDIX C"/>
      <sheetName val="APPENDIX D"/>
      <sheetName val="APPENDIX E(1)"/>
      <sheetName val="APPENDIX E(2)"/>
      <sheetName val="APPENDIX F"/>
      <sheetName val="Internal Pa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ile"/>
      <sheetName val="Grants"/>
      <sheetName val="Salaries"/>
      <sheetName val="Property Rates"/>
      <sheetName val="Tariff List"/>
      <sheetName val="Tariff List (2)"/>
      <sheetName val="Draft 20112012 Capital Budget"/>
    </sheetNames>
    <sheetDataSet>
      <sheetData sheetId="0">
        <row r="31">
          <cell r="C31">
            <v>20476.2</v>
          </cell>
        </row>
        <row r="32">
          <cell r="C32">
            <v>1496677.83</v>
          </cell>
        </row>
        <row r="33">
          <cell r="C33">
            <v>117106.71</v>
          </cell>
        </row>
        <row r="34">
          <cell r="C34">
            <v>557212.22</v>
          </cell>
        </row>
        <row r="36">
          <cell r="C36">
            <v>17652.599999999999</v>
          </cell>
        </row>
        <row r="40">
          <cell r="C40">
            <v>582403.78</v>
          </cell>
        </row>
        <row r="41">
          <cell r="C41">
            <v>0</v>
          </cell>
        </row>
        <row r="42">
          <cell r="C42">
            <v>31084.2</v>
          </cell>
        </row>
        <row r="43">
          <cell r="C43">
            <v>68181.72</v>
          </cell>
        </row>
        <row r="44">
          <cell r="C44">
            <v>6175.16</v>
          </cell>
        </row>
        <row r="45">
          <cell r="C45">
            <v>360.8</v>
          </cell>
        </row>
        <row r="46">
          <cell r="C46">
            <v>1368.71</v>
          </cell>
        </row>
        <row r="47">
          <cell r="C47">
            <v>4500</v>
          </cell>
        </row>
        <row r="49">
          <cell r="C49">
            <v>798.6</v>
          </cell>
        </row>
        <row r="50">
          <cell r="C50">
            <v>566.24</v>
          </cell>
        </row>
        <row r="51">
          <cell r="C51">
            <v>6537.78</v>
          </cell>
        </row>
        <row r="52">
          <cell r="C52">
            <v>13141.04</v>
          </cell>
        </row>
        <row r="53">
          <cell r="C53">
            <v>0</v>
          </cell>
        </row>
        <row r="58">
          <cell r="C58">
            <v>0</v>
          </cell>
        </row>
        <row r="59">
          <cell r="C59">
            <v>-219.3</v>
          </cell>
        </row>
        <row r="60">
          <cell r="C60">
            <v>880</v>
          </cell>
        </row>
        <row r="61">
          <cell r="C61">
            <v>479689.77</v>
          </cell>
        </row>
        <row r="62">
          <cell r="C62">
            <v>38314.15</v>
          </cell>
        </row>
        <row r="63">
          <cell r="C63">
            <v>6600</v>
          </cell>
        </row>
        <row r="64">
          <cell r="C64">
            <v>0</v>
          </cell>
        </row>
        <row r="65">
          <cell r="C65">
            <v>-20580</v>
          </cell>
        </row>
        <row r="66">
          <cell r="C66">
            <v>0</v>
          </cell>
        </row>
        <row r="67">
          <cell r="C67">
            <v>0</v>
          </cell>
        </row>
        <row r="68">
          <cell r="C68">
            <v>0</v>
          </cell>
        </row>
        <row r="69">
          <cell r="C69">
            <v>74832.12</v>
          </cell>
        </row>
        <row r="70">
          <cell r="C70">
            <v>2016.39</v>
          </cell>
        </row>
        <row r="71">
          <cell r="C71">
            <v>53670.27</v>
          </cell>
        </row>
        <row r="72">
          <cell r="C72">
            <v>0</v>
          </cell>
        </row>
        <row r="73">
          <cell r="C73">
            <v>580150.98</v>
          </cell>
        </row>
        <row r="74">
          <cell r="C74">
            <v>41259.68</v>
          </cell>
        </row>
        <row r="75">
          <cell r="C75">
            <v>1921.62</v>
          </cell>
        </row>
        <row r="76">
          <cell r="C76">
            <v>906.08</v>
          </cell>
        </row>
        <row r="77">
          <cell r="C77">
            <v>13435</v>
          </cell>
        </row>
        <row r="88">
          <cell r="C88">
            <v>0</v>
          </cell>
        </row>
        <row r="89">
          <cell r="C89">
            <v>1415.05</v>
          </cell>
        </row>
        <row r="94">
          <cell r="C94">
            <v>54745.63</v>
          </cell>
        </row>
        <row r="95">
          <cell r="C95">
            <v>5974.53</v>
          </cell>
        </row>
        <row r="118">
          <cell r="C118">
            <v>477339.96</v>
          </cell>
        </row>
        <row r="119">
          <cell r="C119">
            <v>0</v>
          </cell>
        </row>
        <row r="120">
          <cell r="C120">
            <v>7408.8</v>
          </cell>
        </row>
        <row r="121">
          <cell r="C121">
            <v>123443.12</v>
          </cell>
        </row>
        <row r="122">
          <cell r="C122">
            <v>2408.38</v>
          </cell>
        </row>
        <row r="123">
          <cell r="C123">
            <v>2049.1999999999998</v>
          </cell>
        </row>
        <row r="124">
          <cell r="C124">
            <v>551.87</v>
          </cell>
        </row>
        <row r="125">
          <cell r="C125">
            <v>19138.400000000001</v>
          </cell>
        </row>
        <row r="126">
          <cell r="C126">
            <v>23817.599999999999</v>
          </cell>
        </row>
        <row r="127">
          <cell r="C127">
            <v>0</v>
          </cell>
        </row>
        <row r="128">
          <cell r="C128">
            <v>6629.71</v>
          </cell>
        </row>
        <row r="129">
          <cell r="C129">
            <v>73759.8</v>
          </cell>
        </row>
        <row r="130">
          <cell r="C130">
            <v>0</v>
          </cell>
        </row>
        <row r="134">
          <cell r="C134">
            <v>0</v>
          </cell>
        </row>
        <row r="135">
          <cell r="C135">
            <v>101.02</v>
          </cell>
        </row>
        <row r="136">
          <cell r="C136">
            <v>642.5</v>
          </cell>
        </row>
        <row r="137">
          <cell r="C137">
            <v>0</v>
          </cell>
        </row>
        <row r="138">
          <cell r="C138">
            <v>0</v>
          </cell>
        </row>
        <row r="139">
          <cell r="C139">
            <v>6271.29</v>
          </cell>
        </row>
        <row r="140">
          <cell r="C140">
            <v>1695</v>
          </cell>
        </row>
        <row r="141">
          <cell r="C141">
            <v>187577.94</v>
          </cell>
        </row>
        <row r="172">
          <cell r="C172">
            <v>30987.4</v>
          </cell>
        </row>
        <row r="173">
          <cell r="C173">
            <v>0</v>
          </cell>
        </row>
        <row r="174">
          <cell r="C174">
            <v>0</v>
          </cell>
        </row>
        <row r="175">
          <cell r="C175">
            <v>0</v>
          </cell>
        </row>
        <row r="176">
          <cell r="C176">
            <v>0</v>
          </cell>
        </row>
        <row r="177">
          <cell r="C177">
            <v>0</v>
          </cell>
        </row>
        <row r="178">
          <cell r="C178">
            <v>0</v>
          </cell>
        </row>
        <row r="179">
          <cell r="C179">
            <v>0</v>
          </cell>
        </row>
        <row r="181">
          <cell r="C181">
            <v>0</v>
          </cell>
        </row>
        <row r="182">
          <cell r="C182">
            <v>0</v>
          </cell>
        </row>
        <row r="183">
          <cell r="C183">
            <v>30000</v>
          </cell>
        </row>
        <row r="184">
          <cell r="C184">
            <v>0</v>
          </cell>
        </row>
        <row r="188">
          <cell r="C188">
            <v>-9.82</v>
          </cell>
        </row>
        <row r="189">
          <cell r="C189">
            <v>0</v>
          </cell>
        </row>
        <row r="190">
          <cell r="C190">
            <v>0</v>
          </cell>
        </row>
        <row r="191">
          <cell r="C191">
            <v>31845.8</v>
          </cell>
        </row>
        <row r="192">
          <cell r="C192">
            <v>10566.4</v>
          </cell>
        </row>
        <row r="215">
          <cell r="C215">
            <v>290500.90000000002</v>
          </cell>
        </row>
        <row r="216">
          <cell r="C216">
            <v>0</v>
          </cell>
        </row>
        <row r="217">
          <cell r="C217">
            <v>7367.33</v>
          </cell>
        </row>
        <row r="218">
          <cell r="C218">
            <v>15420.76</v>
          </cell>
        </row>
        <row r="219">
          <cell r="C219">
            <v>1035.74</v>
          </cell>
        </row>
        <row r="220">
          <cell r="C220">
            <v>-45.1</v>
          </cell>
        </row>
        <row r="221">
          <cell r="C221">
            <v>5742.46</v>
          </cell>
        </row>
        <row r="222">
          <cell r="C222">
            <v>20965.38</v>
          </cell>
        </row>
        <row r="223">
          <cell r="C223">
            <v>2122.16</v>
          </cell>
        </row>
        <row r="224">
          <cell r="C224">
            <v>0</v>
          </cell>
        </row>
        <row r="225">
          <cell r="C225">
            <v>2041.49</v>
          </cell>
        </row>
        <row r="226">
          <cell r="C226">
            <v>4223.29</v>
          </cell>
        </row>
        <row r="227">
          <cell r="C227">
            <v>0</v>
          </cell>
        </row>
        <row r="231">
          <cell r="C231">
            <v>799.06</v>
          </cell>
        </row>
        <row r="232">
          <cell r="C232">
            <v>19166.47</v>
          </cell>
        </row>
        <row r="233">
          <cell r="C233">
            <v>2771.05</v>
          </cell>
        </row>
        <row r="234">
          <cell r="C234">
            <v>6554.7</v>
          </cell>
        </row>
        <row r="235">
          <cell r="C235">
            <v>54884.3</v>
          </cell>
        </row>
        <row r="241">
          <cell r="C241">
            <v>200.54</v>
          </cell>
        </row>
        <row r="242">
          <cell r="C242">
            <v>0</v>
          </cell>
        </row>
        <row r="265">
          <cell r="C265">
            <v>101715.25</v>
          </cell>
        </row>
        <row r="266">
          <cell r="C266">
            <v>0</v>
          </cell>
        </row>
        <row r="267">
          <cell r="C267">
            <v>0</v>
          </cell>
        </row>
        <row r="268">
          <cell r="C268">
            <v>0</v>
          </cell>
        </row>
        <row r="269">
          <cell r="C269">
            <v>0</v>
          </cell>
        </row>
        <row r="270">
          <cell r="C270">
            <v>0</v>
          </cell>
        </row>
        <row r="271">
          <cell r="C271">
            <v>-500</v>
          </cell>
        </row>
        <row r="272">
          <cell r="C272">
            <v>0</v>
          </cell>
        </row>
        <row r="274">
          <cell r="C274">
            <v>0</v>
          </cell>
        </row>
        <row r="275">
          <cell r="C275">
            <v>0</v>
          </cell>
        </row>
        <row r="276">
          <cell r="C276">
            <v>0</v>
          </cell>
        </row>
        <row r="277">
          <cell r="C277">
            <v>0</v>
          </cell>
        </row>
        <row r="281">
          <cell r="C281">
            <v>11133.7</v>
          </cell>
        </row>
        <row r="282">
          <cell r="C282">
            <v>0</v>
          </cell>
        </row>
        <row r="283">
          <cell r="C283">
            <v>0</v>
          </cell>
        </row>
        <row r="284">
          <cell r="C284">
            <v>3684.21</v>
          </cell>
        </row>
        <row r="285">
          <cell r="C285">
            <v>81609.69</v>
          </cell>
        </row>
        <row r="302">
          <cell r="C302">
            <v>0</v>
          </cell>
        </row>
        <row r="303">
          <cell r="C303">
            <v>0</v>
          </cell>
        </row>
        <row r="312">
          <cell r="C312">
            <v>152657.60000000001</v>
          </cell>
        </row>
        <row r="313">
          <cell r="C313">
            <v>0</v>
          </cell>
        </row>
        <row r="314">
          <cell r="C314">
            <v>-3631.49</v>
          </cell>
        </row>
        <row r="315">
          <cell r="C315">
            <v>0</v>
          </cell>
        </row>
        <row r="316">
          <cell r="C316">
            <v>0</v>
          </cell>
        </row>
        <row r="317">
          <cell r="C317">
            <v>0</v>
          </cell>
        </row>
        <row r="318">
          <cell r="C318">
            <v>0</v>
          </cell>
        </row>
        <row r="319">
          <cell r="C319">
            <v>0</v>
          </cell>
        </row>
        <row r="321">
          <cell r="C321">
            <v>0</v>
          </cell>
        </row>
        <row r="322">
          <cell r="C322">
            <v>0</v>
          </cell>
        </row>
        <row r="324">
          <cell r="C324">
            <v>0</v>
          </cell>
        </row>
        <row r="328">
          <cell r="C328">
            <v>9678.25</v>
          </cell>
        </row>
        <row r="329">
          <cell r="C329">
            <v>0</v>
          </cell>
        </row>
        <row r="330">
          <cell r="C330">
            <v>0</v>
          </cell>
        </row>
        <row r="331">
          <cell r="C331">
            <v>0</v>
          </cell>
        </row>
        <row r="332">
          <cell r="C332">
            <v>0</v>
          </cell>
        </row>
        <row r="333">
          <cell r="C333">
            <v>0</v>
          </cell>
        </row>
        <row r="334">
          <cell r="C334">
            <v>44948.05</v>
          </cell>
        </row>
        <row r="351">
          <cell r="C351">
            <v>30993.11</v>
          </cell>
        </row>
        <row r="352">
          <cell r="C352">
            <v>23583.48</v>
          </cell>
        </row>
        <row r="353">
          <cell r="C353">
            <v>342.93</v>
          </cell>
        </row>
        <row r="357">
          <cell r="C357">
            <v>1733.14</v>
          </cell>
        </row>
        <row r="361">
          <cell r="C361">
            <v>52269931.950000003</v>
          </cell>
        </row>
        <row r="363">
          <cell r="C363">
            <v>1250000</v>
          </cell>
        </row>
        <row r="364">
          <cell r="C364">
            <v>10020209.82</v>
          </cell>
        </row>
        <row r="368">
          <cell r="C368">
            <v>13870.58</v>
          </cell>
        </row>
        <row r="370">
          <cell r="C370">
            <v>42.11</v>
          </cell>
        </row>
        <row r="371">
          <cell r="C371">
            <v>0</v>
          </cell>
        </row>
        <row r="372">
          <cell r="C372">
            <v>800979.1</v>
          </cell>
        </row>
        <row r="381">
          <cell r="C381">
            <v>2057419.62</v>
          </cell>
        </row>
        <row r="382">
          <cell r="C382">
            <v>138428.4</v>
          </cell>
        </row>
        <row r="383">
          <cell r="C383">
            <v>349296.07</v>
          </cell>
        </row>
        <row r="384">
          <cell r="C384">
            <v>22369.93</v>
          </cell>
        </row>
        <row r="385">
          <cell r="C385">
            <v>1201.3</v>
          </cell>
        </row>
        <row r="386">
          <cell r="C386">
            <v>164134.84</v>
          </cell>
        </row>
        <row r="387">
          <cell r="C387">
            <v>2400</v>
          </cell>
        </row>
        <row r="388">
          <cell r="C388">
            <v>17370</v>
          </cell>
        </row>
        <row r="389">
          <cell r="C389">
            <v>21076.81</v>
          </cell>
        </row>
        <row r="390">
          <cell r="C390">
            <v>7376.2</v>
          </cell>
        </row>
        <row r="391">
          <cell r="C391">
            <v>23997.06</v>
          </cell>
        </row>
        <row r="392">
          <cell r="C392">
            <v>232.84</v>
          </cell>
        </row>
        <row r="393">
          <cell r="C393">
            <v>30000</v>
          </cell>
        </row>
        <row r="394">
          <cell r="C394">
            <v>0</v>
          </cell>
        </row>
        <row r="405">
          <cell r="C405">
            <v>718679.96</v>
          </cell>
        </row>
        <row r="406">
          <cell r="C406">
            <v>8300</v>
          </cell>
        </row>
        <row r="407">
          <cell r="C407">
            <v>13475</v>
          </cell>
        </row>
        <row r="408">
          <cell r="C408">
            <v>1047580.96</v>
          </cell>
        </row>
        <row r="409">
          <cell r="C409">
            <v>833142.26</v>
          </cell>
        </row>
        <row r="410">
          <cell r="C410">
            <v>3258559.65</v>
          </cell>
        </row>
        <row r="411">
          <cell r="C411">
            <v>171206.48</v>
          </cell>
        </row>
        <row r="412">
          <cell r="C412">
            <v>2051544.62</v>
          </cell>
        </row>
        <row r="413">
          <cell r="C413">
            <v>0</v>
          </cell>
        </row>
        <row r="414">
          <cell r="C414">
            <v>296222.11</v>
          </cell>
        </row>
        <row r="415">
          <cell r="C415">
            <v>0</v>
          </cell>
        </row>
        <row r="416">
          <cell r="C416">
            <v>5856.06</v>
          </cell>
        </row>
        <row r="417">
          <cell r="C417">
            <v>-344</v>
          </cell>
        </row>
        <row r="418">
          <cell r="C418">
            <v>4221.6899999999996</v>
          </cell>
        </row>
        <row r="419">
          <cell r="C419">
            <v>2860.51</v>
          </cell>
        </row>
        <row r="420">
          <cell r="C420">
            <v>549.74</v>
          </cell>
        </row>
        <row r="421">
          <cell r="C421">
            <v>0</v>
          </cell>
        </row>
        <row r="422">
          <cell r="C422">
            <v>148731.53</v>
          </cell>
        </row>
        <row r="423">
          <cell r="C423">
            <v>-28947.7</v>
          </cell>
        </row>
        <row r="424">
          <cell r="C424">
            <v>296138.93</v>
          </cell>
        </row>
        <row r="425">
          <cell r="C425">
            <v>1707</v>
          </cell>
        </row>
        <row r="426">
          <cell r="C426">
            <v>-70984.28</v>
          </cell>
        </row>
        <row r="427">
          <cell r="C427">
            <v>0</v>
          </cell>
        </row>
        <row r="434">
          <cell r="C434">
            <v>12485.61</v>
          </cell>
        </row>
        <row r="435">
          <cell r="C435">
            <v>67.5</v>
          </cell>
        </row>
        <row r="439">
          <cell r="C439">
            <v>170633.95</v>
          </cell>
        </row>
        <row r="440">
          <cell r="C440">
            <v>16095.97</v>
          </cell>
        </row>
        <row r="470">
          <cell r="C470">
            <v>210714.92</v>
          </cell>
        </row>
        <row r="471">
          <cell r="C471">
            <v>32079.599999999999</v>
          </cell>
        </row>
        <row r="472">
          <cell r="C472">
            <v>47209.37</v>
          </cell>
        </row>
        <row r="473">
          <cell r="C473">
            <v>1497.36</v>
          </cell>
        </row>
        <row r="474">
          <cell r="C474">
            <v>45.1</v>
          </cell>
        </row>
        <row r="475">
          <cell r="C475">
            <v>17475.91</v>
          </cell>
        </row>
        <row r="477">
          <cell r="C477">
            <v>4786</v>
          </cell>
        </row>
        <row r="480">
          <cell r="C480">
            <v>2407.6799999999998</v>
          </cell>
        </row>
        <row r="481">
          <cell r="C481">
            <v>24000</v>
          </cell>
        </row>
        <row r="482">
          <cell r="C482">
            <v>0</v>
          </cell>
        </row>
        <row r="486">
          <cell r="C486">
            <v>0</v>
          </cell>
        </row>
        <row r="487">
          <cell r="C487">
            <v>0</v>
          </cell>
        </row>
        <row r="488">
          <cell r="C488">
            <v>0</v>
          </cell>
        </row>
        <row r="489">
          <cell r="C489">
            <v>2663.16</v>
          </cell>
        </row>
        <row r="490">
          <cell r="C490">
            <v>0</v>
          </cell>
        </row>
        <row r="491">
          <cell r="C491">
            <v>0</v>
          </cell>
        </row>
        <row r="492">
          <cell r="C492">
            <v>6700.1</v>
          </cell>
        </row>
        <row r="493">
          <cell r="C493">
            <v>101686.96</v>
          </cell>
        </row>
        <row r="494">
          <cell r="C494">
            <v>0</v>
          </cell>
        </row>
        <row r="495">
          <cell r="C495">
            <v>123530.46</v>
          </cell>
        </row>
        <row r="501">
          <cell r="C501">
            <v>0</v>
          </cell>
        </row>
        <row r="505">
          <cell r="C505">
            <v>3407.17</v>
          </cell>
        </row>
        <row r="506">
          <cell r="C506">
            <v>0</v>
          </cell>
        </row>
        <row r="520">
          <cell r="C520">
            <v>2712827.7</v>
          </cell>
        </row>
        <row r="521">
          <cell r="C521">
            <v>394657.35</v>
          </cell>
        </row>
        <row r="522">
          <cell r="C522">
            <v>281963.5</v>
          </cell>
        </row>
        <row r="523">
          <cell r="C523">
            <v>2673458.25</v>
          </cell>
        </row>
        <row r="529">
          <cell r="C529">
            <v>226492.75</v>
          </cell>
        </row>
        <row r="534">
          <cell r="C534">
            <v>-2849677.71</v>
          </cell>
        </row>
        <row r="548">
          <cell r="C548">
            <v>133177.72</v>
          </cell>
        </row>
        <row r="549">
          <cell r="C549">
            <v>11968.8</v>
          </cell>
        </row>
        <row r="550">
          <cell r="C550">
            <v>22861.08</v>
          </cell>
        </row>
        <row r="551">
          <cell r="C551">
            <v>1668.63</v>
          </cell>
        </row>
        <row r="552">
          <cell r="C552">
            <v>82</v>
          </cell>
        </row>
        <row r="553">
          <cell r="C553">
            <v>4625.04</v>
          </cell>
        </row>
        <row r="554">
          <cell r="C554">
            <v>0</v>
          </cell>
        </row>
        <row r="555">
          <cell r="C555">
            <v>2008</v>
          </cell>
        </row>
        <row r="556">
          <cell r="C556">
            <v>4011.28</v>
          </cell>
        </row>
        <row r="557">
          <cell r="C557">
            <v>0</v>
          </cell>
        </row>
        <row r="558">
          <cell r="C558">
            <v>1659.1</v>
          </cell>
        </row>
        <row r="559">
          <cell r="C559">
            <v>11200</v>
          </cell>
        </row>
        <row r="560">
          <cell r="C560">
            <v>0</v>
          </cell>
        </row>
        <row r="564">
          <cell r="C564">
            <v>0</v>
          </cell>
        </row>
        <row r="568">
          <cell r="C568">
            <v>416768</v>
          </cell>
        </row>
        <row r="569">
          <cell r="C569">
            <v>45371.64</v>
          </cell>
        </row>
        <row r="570">
          <cell r="C570">
            <v>2389.42</v>
          </cell>
        </row>
        <row r="571">
          <cell r="C571">
            <v>88542.8</v>
          </cell>
        </row>
        <row r="572">
          <cell r="C572">
            <v>22.46</v>
          </cell>
        </row>
        <row r="573">
          <cell r="C573">
            <v>22237.45</v>
          </cell>
        </row>
        <row r="574">
          <cell r="C574">
            <v>111045.98</v>
          </cell>
        </row>
        <row r="575">
          <cell r="C575">
            <v>1077</v>
          </cell>
        </row>
        <row r="576">
          <cell r="C576">
            <v>1512997.88</v>
          </cell>
        </row>
        <row r="577">
          <cell r="C577">
            <v>66</v>
          </cell>
        </row>
        <row r="578">
          <cell r="C578">
            <v>3090318.15</v>
          </cell>
        </row>
        <row r="584">
          <cell r="C584">
            <v>0</v>
          </cell>
        </row>
        <row r="585">
          <cell r="C585">
            <v>6442.66</v>
          </cell>
        </row>
        <row r="589">
          <cell r="C589">
            <v>0</v>
          </cell>
        </row>
        <row r="590">
          <cell r="C590">
            <v>0</v>
          </cell>
        </row>
        <row r="613">
          <cell r="C613">
            <v>244249.16</v>
          </cell>
        </row>
        <row r="614">
          <cell r="C614">
            <v>21576</v>
          </cell>
        </row>
        <row r="615">
          <cell r="C615">
            <v>46192.69</v>
          </cell>
        </row>
        <row r="616">
          <cell r="C616">
            <v>3100.67</v>
          </cell>
        </row>
        <row r="617">
          <cell r="C617">
            <v>147.6</v>
          </cell>
        </row>
        <row r="618">
          <cell r="C618">
            <v>19827.349999999999</v>
          </cell>
        </row>
        <row r="619">
          <cell r="C619">
            <v>0</v>
          </cell>
        </row>
        <row r="620">
          <cell r="C620">
            <v>3782</v>
          </cell>
        </row>
        <row r="621">
          <cell r="C621">
            <v>5428.87</v>
          </cell>
        </row>
        <row r="622">
          <cell r="C622">
            <v>573.25</v>
          </cell>
        </row>
        <row r="623">
          <cell r="C623">
            <v>3231</v>
          </cell>
        </row>
        <row r="624">
          <cell r="C624">
            <v>22400</v>
          </cell>
        </row>
        <row r="625">
          <cell r="C625">
            <v>0</v>
          </cell>
        </row>
        <row r="629">
          <cell r="C629">
            <v>0</v>
          </cell>
        </row>
        <row r="630">
          <cell r="C630">
            <v>26873</v>
          </cell>
        </row>
        <row r="631">
          <cell r="C631">
            <v>0</v>
          </cell>
        </row>
        <row r="632">
          <cell r="C632">
            <v>0</v>
          </cell>
        </row>
        <row r="633">
          <cell r="C633">
            <v>2477</v>
          </cell>
        </row>
        <row r="634">
          <cell r="C634">
            <v>96489.97</v>
          </cell>
        </row>
        <row r="635">
          <cell r="C635">
            <v>0</v>
          </cell>
        </row>
        <row r="637">
          <cell r="C637">
            <v>33689.78</v>
          </cell>
        </row>
        <row r="638">
          <cell r="C638">
            <v>26015.66</v>
          </cell>
        </row>
        <row r="639">
          <cell r="C639">
            <v>0</v>
          </cell>
        </row>
        <row r="640">
          <cell r="C640">
            <v>7130.32</v>
          </cell>
        </row>
        <row r="641">
          <cell r="C641">
            <v>183</v>
          </cell>
        </row>
        <row r="645">
          <cell r="C645">
            <v>0</v>
          </cell>
        </row>
        <row r="656">
          <cell r="C656">
            <v>0</v>
          </cell>
        </row>
        <row r="657">
          <cell r="C657">
            <v>12907.4</v>
          </cell>
        </row>
        <row r="663">
          <cell r="C663">
            <v>30266.52</v>
          </cell>
        </row>
        <row r="664">
          <cell r="C664">
            <v>4414.2</v>
          </cell>
        </row>
        <row r="678">
          <cell r="C678">
            <v>0</v>
          </cell>
        </row>
        <row r="683">
          <cell r="C683">
            <v>22492.04</v>
          </cell>
        </row>
        <row r="684">
          <cell r="C684">
            <v>313.93</v>
          </cell>
        </row>
        <row r="685">
          <cell r="C685">
            <v>175460.04</v>
          </cell>
        </row>
        <row r="693">
          <cell r="C693">
            <v>216554.6</v>
          </cell>
        </row>
        <row r="697">
          <cell r="C697">
            <v>532617.54</v>
          </cell>
        </row>
        <row r="700">
          <cell r="C700">
            <v>36671.870000000003</v>
          </cell>
        </row>
        <row r="729">
          <cell r="C729">
            <v>0</v>
          </cell>
        </row>
        <row r="735">
          <cell r="C735">
            <v>632572.31000000006</v>
          </cell>
        </row>
        <row r="736">
          <cell r="C736">
            <v>42282</v>
          </cell>
        </row>
        <row r="737">
          <cell r="C737">
            <v>100381.28</v>
          </cell>
        </row>
        <row r="738">
          <cell r="C738">
            <v>5488.92</v>
          </cell>
        </row>
        <row r="739">
          <cell r="C739">
            <v>250.1</v>
          </cell>
        </row>
        <row r="740">
          <cell r="C740">
            <v>30666.15</v>
          </cell>
        </row>
        <row r="741">
          <cell r="C741">
            <v>4500</v>
          </cell>
        </row>
        <row r="743">
          <cell r="C743">
            <v>409.96</v>
          </cell>
        </row>
        <row r="744">
          <cell r="C744">
            <v>6552.34</v>
          </cell>
        </row>
        <row r="745">
          <cell r="C745">
            <v>25000</v>
          </cell>
        </row>
        <row r="746">
          <cell r="C746">
            <v>0</v>
          </cell>
        </row>
        <row r="751">
          <cell r="C751">
            <v>0</v>
          </cell>
        </row>
        <row r="752">
          <cell r="C752">
            <v>0</v>
          </cell>
        </row>
        <row r="753">
          <cell r="C753">
            <v>69.69</v>
          </cell>
        </row>
        <row r="754">
          <cell r="C754">
            <v>100.71</v>
          </cell>
        </row>
        <row r="755">
          <cell r="C755">
            <v>0</v>
          </cell>
        </row>
        <row r="756">
          <cell r="C756">
            <v>95260.22</v>
          </cell>
        </row>
        <row r="757">
          <cell r="C757">
            <v>34774</v>
          </cell>
        </row>
        <row r="758">
          <cell r="C758">
            <v>375</v>
          </cell>
        </row>
        <row r="759">
          <cell r="C759">
            <v>0</v>
          </cell>
        </row>
        <row r="765">
          <cell r="C765">
            <v>0</v>
          </cell>
        </row>
        <row r="769">
          <cell r="C769">
            <v>26419</v>
          </cell>
        </row>
        <row r="770">
          <cell r="C770">
            <v>0</v>
          </cell>
        </row>
        <row r="783">
          <cell r="C783">
            <v>750000</v>
          </cell>
        </row>
        <row r="784">
          <cell r="C784">
            <v>0</v>
          </cell>
        </row>
        <row r="788">
          <cell r="C788">
            <v>263.16000000000003</v>
          </cell>
        </row>
        <row r="790">
          <cell r="C790">
            <v>-16000</v>
          </cell>
        </row>
        <row r="798">
          <cell r="C798">
            <v>1003907.74</v>
          </cell>
        </row>
        <row r="799">
          <cell r="C799">
            <v>138535.20000000001</v>
          </cell>
        </row>
        <row r="800">
          <cell r="C800">
            <v>177986.2</v>
          </cell>
        </row>
        <row r="801">
          <cell r="C801">
            <v>9326.73</v>
          </cell>
        </row>
        <row r="802">
          <cell r="C802">
            <v>463.3</v>
          </cell>
        </row>
        <row r="803">
          <cell r="C803">
            <v>67276.539999999994</v>
          </cell>
        </row>
        <row r="804">
          <cell r="C804">
            <v>4000</v>
          </cell>
        </row>
        <row r="805">
          <cell r="C805">
            <v>1367.64</v>
          </cell>
        </row>
        <row r="806">
          <cell r="C806">
            <v>466.67</v>
          </cell>
        </row>
        <row r="807">
          <cell r="C807">
            <v>1560.5</v>
          </cell>
        </row>
        <row r="808">
          <cell r="C808">
            <v>11483.32</v>
          </cell>
        </row>
        <row r="809">
          <cell r="C809">
            <v>0</v>
          </cell>
        </row>
        <row r="810">
          <cell r="C810">
            <v>22862.080000000002</v>
          </cell>
        </row>
        <row r="811">
          <cell r="C811">
            <v>0</v>
          </cell>
        </row>
        <row r="816">
          <cell r="C816">
            <v>35789.480000000003</v>
          </cell>
        </row>
        <row r="817">
          <cell r="C817">
            <v>441774.15</v>
          </cell>
        </row>
        <row r="818">
          <cell r="C818">
            <v>936504.37</v>
          </cell>
        </row>
        <row r="819">
          <cell r="C819">
            <v>262585.34000000003</v>
          </cell>
        </row>
        <row r="820">
          <cell r="C820">
            <v>13209.89</v>
          </cell>
        </row>
        <row r="821">
          <cell r="C821">
            <v>20427.53</v>
          </cell>
        </row>
        <row r="822">
          <cell r="C822">
            <v>497289.74</v>
          </cell>
        </row>
        <row r="823">
          <cell r="C823">
            <v>1233905.75</v>
          </cell>
        </row>
        <row r="824">
          <cell r="C824">
            <v>2891.04</v>
          </cell>
        </row>
        <row r="825">
          <cell r="C825">
            <v>28072.400000000001</v>
          </cell>
        </row>
        <row r="826">
          <cell r="C826">
            <v>32440.080000000002</v>
          </cell>
        </row>
        <row r="827">
          <cell r="C827">
            <v>715880.45</v>
          </cell>
        </row>
        <row r="828">
          <cell r="C828">
            <v>6671.66</v>
          </cell>
        </row>
        <row r="829">
          <cell r="C829">
            <v>0</v>
          </cell>
        </row>
        <row r="830">
          <cell r="C830">
            <v>2045.45</v>
          </cell>
        </row>
        <row r="831">
          <cell r="C831">
            <v>253355.72</v>
          </cell>
        </row>
        <row r="840">
          <cell r="C840">
            <v>0</v>
          </cell>
        </row>
        <row r="841">
          <cell r="C841">
            <v>0</v>
          </cell>
        </row>
        <row r="847">
          <cell r="C847">
            <v>121096.48</v>
          </cell>
        </row>
        <row r="848">
          <cell r="C848">
            <v>1649.15</v>
          </cell>
        </row>
        <row r="865">
          <cell r="C865">
            <v>0</v>
          </cell>
        </row>
        <row r="873">
          <cell r="C873">
            <v>345427.26</v>
          </cell>
        </row>
        <row r="874">
          <cell r="C874">
            <v>30170.400000000001</v>
          </cell>
        </row>
        <row r="875">
          <cell r="C875">
            <v>59492.12</v>
          </cell>
        </row>
        <row r="876">
          <cell r="C876">
            <v>2370.8200000000002</v>
          </cell>
        </row>
        <row r="877">
          <cell r="C877">
            <v>77.900000000000006</v>
          </cell>
        </row>
        <row r="878">
          <cell r="C878">
            <v>42708.66</v>
          </cell>
        </row>
        <row r="879">
          <cell r="C879">
            <v>9776</v>
          </cell>
        </row>
        <row r="880">
          <cell r="C880">
            <v>0</v>
          </cell>
        </row>
        <row r="881">
          <cell r="C881">
            <v>0</v>
          </cell>
        </row>
        <row r="882">
          <cell r="C882">
            <v>287.52999999999997</v>
          </cell>
        </row>
        <row r="883">
          <cell r="C883">
            <v>3634.99</v>
          </cell>
        </row>
        <row r="884">
          <cell r="C884">
            <v>43231.040000000001</v>
          </cell>
        </row>
        <row r="885">
          <cell r="C885">
            <v>0</v>
          </cell>
        </row>
        <row r="889">
          <cell r="C889">
            <v>1521.12</v>
          </cell>
        </row>
        <row r="890">
          <cell r="C890">
            <v>6170</v>
          </cell>
        </row>
        <row r="893">
          <cell r="C893">
            <v>0</v>
          </cell>
        </row>
        <row r="895">
          <cell r="C895">
            <v>2250</v>
          </cell>
        </row>
        <row r="896">
          <cell r="C896">
            <v>0</v>
          </cell>
        </row>
        <row r="897">
          <cell r="C897">
            <v>0</v>
          </cell>
        </row>
        <row r="898">
          <cell r="C898">
            <v>50</v>
          </cell>
        </row>
        <row r="899">
          <cell r="C899">
            <v>0</v>
          </cell>
        </row>
        <row r="900">
          <cell r="C900">
            <v>0</v>
          </cell>
        </row>
        <row r="901">
          <cell r="C901">
            <v>0</v>
          </cell>
        </row>
        <row r="902">
          <cell r="C902">
            <v>174291.97</v>
          </cell>
        </row>
        <row r="903">
          <cell r="C903">
            <v>58862.64</v>
          </cell>
        </row>
        <row r="904">
          <cell r="C904">
            <v>0</v>
          </cell>
        </row>
        <row r="905">
          <cell r="C905">
            <v>375</v>
          </cell>
        </row>
        <row r="911">
          <cell r="C911">
            <v>0</v>
          </cell>
        </row>
        <row r="915">
          <cell r="C915">
            <v>99345.43</v>
          </cell>
        </row>
        <row r="916">
          <cell r="C916">
            <v>4451.04</v>
          </cell>
        </row>
        <row r="937">
          <cell r="C937">
            <v>0</v>
          </cell>
        </row>
        <row r="945">
          <cell r="C945">
            <v>-135173.82999999999</v>
          </cell>
        </row>
        <row r="946">
          <cell r="C946">
            <v>0</v>
          </cell>
        </row>
        <row r="947">
          <cell r="C947">
            <v>0</v>
          </cell>
        </row>
        <row r="948">
          <cell r="C948">
            <v>249.56</v>
          </cell>
        </row>
        <row r="949">
          <cell r="C949">
            <v>8.1999999999999993</v>
          </cell>
        </row>
        <row r="950">
          <cell r="C950">
            <v>8578.98</v>
          </cell>
        </row>
        <row r="951">
          <cell r="C951">
            <v>0</v>
          </cell>
        </row>
        <row r="955">
          <cell r="C955">
            <v>379.93</v>
          </cell>
        </row>
        <row r="957">
          <cell r="C957">
            <v>0</v>
          </cell>
        </row>
        <row r="961">
          <cell r="C961">
            <v>12342.93</v>
          </cell>
        </row>
        <row r="986">
          <cell r="C986">
            <v>636130.22</v>
          </cell>
        </row>
        <row r="987">
          <cell r="C987">
            <v>54732.7</v>
          </cell>
        </row>
        <row r="988">
          <cell r="C988">
            <v>101365.19</v>
          </cell>
        </row>
        <row r="989">
          <cell r="C989">
            <v>5525.23</v>
          </cell>
        </row>
        <row r="990">
          <cell r="C990">
            <v>217.3</v>
          </cell>
        </row>
        <row r="991">
          <cell r="C991">
            <v>37699.51</v>
          </cell>
        </row>
        <row r="992">
          <cell r="C992">
            <v>6500</v>
          </cell>
        </row>
        <row r="995">
          <cell r="C995">
            <v>363.1</v>
          </cell>
        </row>
        <row r="996">
          <cell r="C996">
            <v>30000</v>
          </cell>
        </row>
        <row r="997">
          <cell r="C997">
            <v>0</v>
          </cell>
        </row>
        <row r="998">
          <cell r="C998">
            <v>6869</v>
          </cell>
        </row>
        <row r="1002">
          <cell r="C1002">
            <v>0</v>
          </cell>
        </row>
        <row r="1004">
          <cell r="C1004">
            <v>3.07</v>
          </cell>
        </row>
        <row r="1005">
          <cell r="C1005">
            <v>3440.58</v>
          </cell>
        </row>
        <row r="1007">
          <cell r="C1007">
            <v>53802.68</v>
          </cell>
        </row>
        <row r="1008">
          <cell r="C1008">
            <v>0</v>
          </cell>
        </row>
        <row r="1009">
          <cell r="C1009">
            <v>344.28</v>
          </cell>
        </row>
        <row r="1015">
          <cell r="C1015">
            <v>57.98</v>
          </cell>
        </row>
        <row r="1019">
          <cell r="C1019">
            <v>100010.43</v>
          </cell>
        </row>
        <row r="1020">
          <cell r="C1020">
            <v>-100010.43</v>
          </cell>
        </row>
        <row r="1033">
          <cell r="C1033">
            <v>0</v>
          </cell>
        </row>
        <row r="1037">
          <cell r="C1037">
            <v>67.040000000000006</v>
          </cell>
        </row>
        <row r="1038">
          <cell r="C1038">
            <v>0</v>
          </cell>
        </row>
        <row r="1044">
          <cell r="C1044">
            <v>0</v>
          </cell>
        </row>
        <row r="1052">
          <cell r="C1052">
            <v>652595.80000000005</v>
          </cell>
        </row>
        <row r="1053">
          <cell r="C1053">
            <v>44154</v>
          </cell>
        </row>
        <row r="1054">
          <cell r="C1054">
            <v>124762.42</v>
          </cell>
        </row>
        <row r="1055">
          <cell r="C1055">
            <v>6851.15</v>
          </cell>
        </row>
        <row r="1056">
          <cell r="C1056">
            <v>344.4</v>
          </cell>
        </row>
        <row r="1057">
          <cell r="C1057">
            <v>54326.07</v>
          </cell>
        </row>
        <row r="1060">
          <cell r="C1060">
            <v>1107.97</v>
          </cell>
        </row>
        <row r="1061">
          <cell r="C1061">
            <v>6714.84</v>
          </cell>
        </row>
        <row r="1063">
          <cell r="C1063">
            <v>0</v>
          </cell>
        </row>
        <row r="1067">
          <cell r="C1067">
            <v>-15.79</v>
          </cell>
        </row>
        <row r="1068">
          <cell r="C1068">
            <v>0</v>
          </cell>
        </row>
        <row r="1069">
          <cell r="C1069">
            <v>0</v>
          </cell>
        </row>
        <row r="1070">
          <cell r="C1070">
            <v>0</v>
          </cell>
        </row>
        <row r="1071">
          <cell r="C1071">
            <v>12911.93</v>
          </cell>
        </row>
        <row r="1072">
          <cell r="C1072">
            <v>0</v>
          </cell>
        </row>
        <row r="1073">
          <cell r="C1073">
            <v>0</v>
          </cell>
        </row>
        <row r="1074">
          <cell r="C1074">
            <v>140.1</v>
          </cell>
        </row>
        <row r="1080">
          <cell r="C1080">
            <v>0</v>
          </cell>
        </row>
        <row r="1084">
          <cell r="C1084">
            <v>30883.05</v>
          </cell>
        </row>
        <row r="1086">
          <cell r="C1086">
            <v>1285.08</v>
          </cell>
        </row>
        <row r="1099">
          <cell r="C1099">
            <v>8505.7199999999993</v>
          </cell>
        </row>
        <row r="1100">
          <cell r="C1100">
            <v>820.01</v>
          </cell>
        </row>
        <row r="1104">
          <cell r="C1104">
            <v>0</v>
          </cell>
        </row>
        <row r="1112">
          <cell r="C1112">
            <v>167184.4</v>
          </cell>
        </row>
        <row r="1113">
          <cell r="C1113">
            <v>9442.7999999999993</v>
          </cell>
        </row>
        <row r="1114">
          <cell r="C1114">
            <v>30156.76</v>
          </cell>
        </row>
        <row r="1115">
          <cell r="C1115">
            <v>1907.84</v>
          </cell>
        </row>
        <row r="1116">
          <cell r="C1116">
            <v>147.6</v>
          </cell>
        </row>
        <row r="1117">
          <cell r="C1117">
            <v>13875.12</v>
          </cell>
        </row>
        <row r="1119">
          <cell r="C1119">
            <v>0</v>
          </cell>
        </row>
        <row r="1120">
          <cell r="C1120">
            <v>282.99</v>
          </cell>
        </row>
        <row r="1122">
          <cell r="C1122">
            <v>1692.03</v>
          </cell>
        </row>
        <row r="1123">
          <cell r="C1123">
            <v>0</v>
          </cell>
        </row>
        <row r="1128">
          <cell r="C1128">
            <v>7901.79</v>
          </cell>
        </row>
        <row r="1129">
          <cell r="C1129">
            <v>2428.96</v>
          </cell>
        </row>
        <row r="1130">
          <cell r="C1130">
            <v>1250.3</v>
          </cell>
        </row>
        <row r="1131">
          <cell r="C1131">
            <v>109994.68</v>
          </cell>
        </row>
        <row r="1132">
          <cell r="C1132">
            <v>177</v>
          </cell>
        </row>
        <row r="1133">
          <cell r="C1133">
            <v>3474.24</v>
          </cell>
        </row>
        <row r="1139">
          <cell r="C1139">
            <v>8880.66</v>
          </cell>
        </row>
        <row r="1140">
          <cell r="C1140">
            <v>0</v>
          </cell>
        </row>
        <row r="1141">
          <cell r="C1141">
            <v>1229</v>
          </cell>
        </row>
        <row r="1145">
          <cell r="C1145">
            <v>34936.79</v>
          </cell>
        </row>
        <row r="1147">
          <cell r="C1147">
            <v>2613.2199999999998</v>
          </cell>
        </row>
        <row r="1162">
          <cell r="C1162">
            <v>45415.22</v>
          </cell>
        </row>
        <row r="1166">
          <cell r="C1166">
            <v>0</v>
          </cell>
        </row>
        <row r="1175">
          <cell r="C1175">
            <v>0</v>
          </cell>
        </row>
        <row r="1179">
          <cell r="C1179">
            <v>12226</v>
          </cell>
        </row>
        <row r="1185">
          <cell r="C1185">
            <v>0</v>
          </cell>
        </row>
        <row r="1186">
          <cell r="C1186">
            <v>-2520.12</v>
          </cell>
        </row>
        <row r="1204">
          <cell r="C1204">
            <v>447060.25</v>
          </cell>
        </row>
        <row r="1208">
          <cell r="C1208">
            <v>4152.66</v>
          </cell>
        </row>
        <row r="1209">
          <cell r="C1209">
            <v>584.28</v>
          </cell>
        </row>
        <row r="1213">
          <cell r="C1213">
            <v>0</v>
          </cell>
        </row>
        <row r="1221">
          <cell r="C1221">
            <v>383154.4</v>
          </cell>
        </row>
        <row r="1222">
          <cell r="C1222">
            <v>24547.200000000001</v>
          </cell>
        </row>
        <row r="1223">
          <cell r="C1223">
            <v>62746.64</v>
          </cell>
        </row>
        <row r="1224">
          <cell r="C1224">
            <v>3848.31</v>
          </cell>
        </row>
        <row r="1225">
          <cell r="C1225">
            <v>196.8</v>
          </cell>
        </row>
        <row r="1226">
          <cell r="C1226">
            <v>28478</v>
          </cell>
        </row>
        <row r="1230">
          <cell r="C1230">
            <v>526.63</v>
          </cell>
        </row>
        <row r="1231">
          <cell r="C1231">
            <v>5064.57</v>
          </cell>
        </row>
        <row r="1232">
          <cell r="C1232">
            <v>30000</v>
          </cell>
        </row>
        <row r="1233">
          <cell r="C1233">
            <v>0</v>
          </cell>
        </row>
        <row r="1237">
          <cell r="C1237">
            <v>171.05</v>
          </cell>
        </row>
        <row r="1239">
          <cell r="C1239">
            <v>0</v>
          </cell>
        </row>
        <row r="1240">
          <cell r="C1240">
            <v>0</v>
          </cell>
        </row>
        <row r="1241">
          <cell r="C1241">
            <v>0</v>
          </cell>
        </row>
        <row r="1242">
          <cell r="C1242">
            <v>5280.2</v>
          </cell>
        </row>
        <row r="1243">
          <cell r="C1243">
            <v>58159.32</v>
          </cell>
        </row>
        <row r="1244">
          <cell r="C1244">
            <v>375</v>
          </cell>
        </row>
        <row r="1250">
          <cell r="C1250">
            <v>0</v>
          </cell>
        </row>
        <row r="1254">
          <cell r="C1254">
            <v>79636.91</v>
          </cell>
        </row>
        <row r="1257">
          <cell r="C1257">
            <v>10661.5</v>
          </cell>
        </row>
        <row r="1275">
          <cell r="C1275">
            <v>156055.32</v>
          </cell>
        </row>
        <row r="1283">
          <cell r="C1283">
            <v>438970.21</v>
          </cell>
        </row>
        <row r="1284">
          <cell r="C1284">
            <v>63013.9</v>
          </cell>
        </row>
        <row r="1285">
          <cell r="C1285">
            <v>87733.6</v>
          </cell>
        </row>
        <row r="1286">
          <cell r="C1286">
            <v>5401.79</v>
          </cell>
        </row>
        <row r="1287">
          <cell r="C1287">
            <v>246</v>
          </cell>
        </row>
        <row r="1288">
          <cell r="C1288">
            <v>35005.360000000001</v>
          </cell>
        </row>
        <row r="1289">
          <cell r="C1289">
            <v>2400</v>
          </cell>
        </row>
        <row r="1290">
          <cell r="C1290">
            <v>3725.5</v>
          </cell>
        </row>
        <row r="1291">
          <cell r="C1291">
            <v>51852.54</v>
          </cell>
        </row>
        <row r="1292">
          <cell r="C1292">
            <v>392.34</v>
          </cell>
        </row>
        <row r="1293">
          <cell r="C1293">
            <v>5625.52</v>
          </cell>
        </row>
        <row r="1294">
          <cell r="C1294">
            <v>61400</v>
          </cell>
        </row>
        <row r="1295">
          <cell r="C1295">
            <v>0</v>
          </cell>
        </row>
        <row r="1299">
          <cell r="C1299">
            <v>698245.42</v>
          </cell>
        </row>
        <row r="1300">
          <cell r="C1300">
            <v>7609</v>
          </cell>
        </row>
        <row r="1301">
          <cell r="C1301">
            <v>0</v>
          </cell>
        </row>
        <row r="1306">
          <cell r="C1306">
            <v>0</v>
          </cell>
        </row>
        <row r="1307">
          <cell r="C1307">
            <v>48006.68</v>
          </cell>
        </row>
        <row r="1309">
          <cell r="C1309">
            <v>14291.94</v>
          </cell>
        </row>
        <row r="1310">
          <cell r="C1310">
            <v>0</v>
          </cell>
        </row>
        <row r="1311">
          <cell r="C1311">
            <v>0</v>
          </cell>
        </row>
        <row r="1312">
          <cell r="C1312">
            <v>76.47</v>
          </cell>
        </row>
        <row r="1318">
          <cell r="C1318">
            <v>0</v>
          </cell>
        </row>
        <row r="1319">
          <cell r="C1319">
            <v>0</v>
          </cell>
        </row>
        <row r="1323">
          <cell r="C1323">
            <v>37600.89</v>
          </cell>
        </row>
        <row r="1325">
          <cell r="C1325">
            <v>0</v>
          </cell>
        </row>
        <row r="1338">
          <cell r="C1338">
            <v>0</v>
          </cell>
        </row>
        <row r="1350">
          <cell r="C1350">
            <v>0</v>
          </cell>
        </row>
        <row r="1352">
          <cell r="C1352">
            <v>8242</v>
          </cell>
        </row>
        <row r="1356">
          <cell r="C1356">
            <v>2470</v>
          </cell>
        </row>
        <row r="1357">
          <cell r="C1357">
            <v>790</v>
          </cell>
        </row>
        <row r="1376">
          <cell r="C1376">
            <v>0</v>
          </cell>
        </row>
        <row r="1377">
          <cell r="C1377">
            <v>638.55999999999995</v>
          </cell>
        </row>
        <row r="1385">
          <cell r="C1385">
            <v>110274.2</v>
          </cell>
        </row>
        <row r="1386">
          <cell r="C1386">
            <v>0</v>
          </cell>
        </row>
        <row r="1387">
          <cell r="C1387">
            <v>21282.880000000001</v>
          </cell>
        </row>
        <row r="1388">
          <cell r="C1388">
            <v>1196.18</v>
          </cell>
        </row>
        <row r="1389">
          <cell r="C1389">
            <v>98.4</v>
          </cell>
        </row>
        <row r="1391">
          <cell r="C1391">
            <v>184.28</v>
          </cell>
        </row>
        <row r="1394">
          <cell r="C1394">
            <v>9061.82</v>
          </cell>
        </row>
        <row r="1395">
          <cell r="C1395">
            <v>190</v>
          </cell>
        </row>
        <row r="1396">
          <cell r="C1396">
            <v>1154.21</v>
          </cell>
        </row>
        <row r="1397">
          <cell r="C1397">
            <v>0</v>
          </cell>
        </row>
        <row r="1401">
          <cell r="C1401">
            <v>0</v>
          </cell>
        </row>
        <row r="1402">
          <cell r="C1402">
            <v>0</v>
          </cell>
        </row>
        <row r="1403">
          <cell r="C1403">
            <v>0</v>
          </cell>
        </row>
        <row r="1404">
          <cell r="C1404">
            <v>0</v>
          </cell>
        </row>
        <row r="1405">
          <cell r="C1405">
            <v>1880</v>
          </cell>
        </row>
        <row r="1411">
          <cell r="C1411">
            <v>0</v>
          </cell>
        </row>
        <row r="1415">
          <cell r="C1415">
            <v>7945.94</v>
          </cell>
        </row>
        <row r="1417">
          <cell r="C1417">
            <v>3173.9</v>
          </cell>
        </row>
        <row r="1436">
          <cell r="C1436">
            <v>400.88</v>
          </cell>
        </row>
        <row r="1444">
          <cell r="C1444">
            <v>734262.59</v>
          </cell>
        </row>
        <row r="1445">
          <cell r="C1445">
            <v>50259.199999999997</v>
          </cell>
        </row>
        <row r="1446">
          <cell r="C1446">
            <v>125638.99</v>
          </cell>
        </row>
        <row r="1447">
          <cell r="C1447">
            <v>8418.5499999999993</v>
          </cell>
        </row>
        <row r="1448">
          <cell r="C1448">
            <v>533</v>
          </cell>
        </row>
        <row r="1449">
          <cell r="C1449">
            <v>56254.79</v>
          </cell>
        </row>
        <row r="1450">
          <cell r="C1450">
            <v>0</v>
          </cell>
        </row>
        <row r="1451">
          <cell r="C1451">
            <v>5786.28</v>
          </cell>
        </row>
        <row r="1452">
          <cell r="C1452">
            <v>77456.039999999994</v>
          </cell>
        </row>
        <row r="1453">
          <cell r="C1453">
            <v>975.54</v>
          </cell>
        </row>
        <row r="1454">
          <cell r="C1454">
            <v>8498.0400000000009</v>
          </cell>
        </row>
        <row r="1456">
          <cell r="C1456">
            <v>-304774.82</v>
          </cell>
        </row>
        <row r="1457">
          <cell r="C1457">
            <v>0</v>
          </cell>
        </row>
        <row r="1461">
          <cell r="C1461">
            <v>0</v>
          </cell>
        </row>
        <row r="1462">
          <cell r="C1462">
            <v>0</v>
          </cell>
        </row>
        <row r="1463">
          <cell r="C1463">
            <v>0</v>
          </cell>
        </row>
        <row r="1464">
          <cell r="C1464">
            <v>0</v>
          </cell>
        </row>
        <row r="1465">
          <cell r="C1465">
            <v>0</v>
          </cell>
        </row>
        <row r="1466">
          <cell r="C1466">
            <v>0</v>
          </cell>
        </row>
        <row r="1467">
          <cell r="C1467">
            <v>0</v>
          </cell>
        </row>
        <row r="1469">
          <cell r="C1469">
            <v>7567.95</v>
          </cell>
        </row>
        <row r="1470">
          <cell r="C1470">
            <v>25</v>
          </cell>
        </row>
        <row r="1476">
          <cell r="C1476">
            <v>0</v>
          </cell>
        </row>
        <row r="1477">
          <cell r="C1477">
            <v>7307.89</v>
          </cell>
        </row>
        <row r="1478">
          <cell r="C1478">
            <v>0</v>
          </cell>
        </row>
        <row r="1479">
          <cell r="C1479">
            <v>1820</v>
          </cell>
        </row>
        <row r="1483">
          <cell r="C1483">
            <v>115293.37</v>
          </cell>
        </row>
        <row r="1485">
          <cell r="C1485">
            <v>1838.1</v>
          </cell>
        </row>
        <row r="1503">
          <cell r="C1503">
            <v>227.64</v>
          </cell>
        </row>
        <row r="1511">
          <cell r="C1511">
            <v>298051.44</v>
          </cell>
        </row>
        <row r="1512">
          <cell r="C1512">
            <v>9770.4</v>
          </cell>
        </row>
        <row r="1513">
          <cell r="C1513">
            <v>57405.66</v>
          </cell>
        </row>
        <row r="1514">
          <cell r="C1514">
            <v>3411.43</v>
          </cell>
        </row>
        <row r="1515">
          <cell r="C1515">
            <v>258.3</v>
          </cell>
        </row>
        <row r="1516">
          <cell r="C1516">
            <v>23222.16</v>
          </cell>
        </row>
        <row r="1518">
          <cell r="C1518">
            <v>471.65</v>
          </cell>
        </row>
        <row r="1519">
          <cell r="C1519">
            <v>0</v>
          </cell>
        </row>
        <row r="1521">
          <cell r="C1521">
            <v>3552</v>
          </cell>
        </row>
        <row r="1522">
          <cell r="C1522">
            <v>3128.95</v>
          </cell>
        </row>
        <row r="1523">
          <cell r="C1523">
            <v>0</v>
          </cell>
        </row>
        <row r="1533">
          <cell r="C1533">
            <v>0</v>
          </cell>
        </row>
        <row r="1534">
          <cell r="C1534">
            <v>6.14</v>
          </cell>
        </row>
        <row r="1535">
          <cell r="C1535">
            <v>174.79</v>
          </cell>
        </row>
        <row r="1539">
          <cell r="C1539">
            <v>0</v>
          </cell>
        </row>
        <row r="1541">
          <cell r="C1541">
            <v>13187.24</v>
          </cell>
        </row>
        <row r="1558">
          <cell r="C1558">
            <v>3786978.14</v>
          </cell>
        </row>
        <row r="1564">
          <cell r="C1564">
            <v>0</v>
          </cell>
        </row>
        <row r="1572">
          <cell r="C1572">
            <v>2165312.7400000002</v>
          </cell>
        </row>
        <row r="1573">
          <cell r="C1573">
            <v>63347.68</v>
          </cell>
        </row>
        <row r="1574">
          <cell r="C1574">
            <v>85645.8</v>
          </cell>
        </row>
        <row r="1575">
          <cell r="C1575">
            <v>297598.28000000003</v>
          </cell>
        </row>
        <row r="1576">
          <cell r="C1576">
            <v>22999.599999999999</v>
          </cell>
        </row>
        <row r="1577">
          <cell r="C1577">
            <v>1631.8</v>
          </cell>
        </row>
        <row r="1578">
          <cell r="C1578">
            <v>124701.19</v>
          </cell>
        </row>
        <row r="1579">
          <cell r="C1579">
            <v>0</v>
          </cell>
        </row>
        <row r="1580">
          <cell r="C1580">
            <v>2367.12</v>
          </cell>
        </row>
        <row r="1581">
          <cell r="C1581">
            <v>149902.82999999999</v>
          </cell>
        </row>
        <row r="1582">
          <cell r="C1582">
            <v>2105.0700000000002</v>
          </cell>
        </row>
        <row r="1583">
          <cell r="C1583">
            <v>22058.720000000001</v>
          </cell>
        </row>
        <row r="1585">
          <cell r="C1585">
            <v>0</v>
          </cell>
        </row>
        <row r="1586">
          <cell r="C1586">
            <v>0</v>
          </cell>
        </row>
        <row r="1590">
          <cell r="C1590">
            <v>0</v>
          </cell>
        </row>
        <row r="1594">
          <cell r="C1594">
            <v>0</v>
          </cell>
        </row>
        <row r="1599">
          <cell r="C1599">
            <v>0</v>
          </cell>
        </row>
        <row r="1600">
          <cell r="C1600">
            <v>866.4</v>
          </cell>
        </row>
        <row r="1601">
          <cell r="C1601">
            <v>3935</v>
          </cell>
        </row>
        <row r="1602">
          <cell r="C1602">
            <v>0</v>
          </cell>
        </row>
        <row r="1603">
          <cell r="C1603">
            <v>478.67</v>
          </cell>
        </row>
        <row r="1604">
          <cell r="C1604">
            <v>1551.13</v>
          </cell>
        </row>
        <row r="1605">
          <cell r="C1605">
            <v>0</v>
          </cell>
        </row>
        <row r="1606">
          <cell r="C1606">
            <v>19003.02</v>
          </cell>
        </row>
        <row r="1607">
          <cell r="C1607">
            <v>0</v>
          </cell>
        </row>
        <row r="1608">
          <cell r="C1608">
            <v>0</v>
          </cell>
        </row>
        <row r="1609">
          <cell r="C1609">
            <v>11791.35</v>
          </cell>
        </row>
        <row r="1610">
          <cell r="C1610">
            <v>1390060.57</v>
          </cell>
        </row>
        <row r="1611">
          <cell r="C1611">
            <v>0</v>
          </cell>
        </row>
        <row r="1620">
          <cell r="C1620">
            <v>0</v>
          </cell>
        </row>
        <row r="1624">
          <cell r="C1624">
            <v>209.9</v>
          </cell>
        </row>
        <row r="1625">
          <cell r="C1625">
            <v>141325.46</v>
          </cell>
        </row>
        <row r="1626">
          <cell r="C1626">
            <v>148706.35999999999</v>
          </cell>
        </row>
        <row r="1627">
          <cell r="C1627">
            <v>0</v>
          </cell>
        </row>
        <row r="1628">
          <cell r="C1628">
            <v>22574</v>
          </cell>
        </row>
        <row r="1632">
          <cell r="C1632">
            <v>152565.95000000001</v>
          </cell>
        </row>
        <row r="1634">
          <cell r="C1634">
            <v>22835.57</v>
          </cell>
        </row>
        <row r="1650">
          <cell r="C1650">
            <v>5720801.6100000003</v>
          </cell>
        </row>
        <row r="1654">
          <cell r="C1654">
            <v>7155.43</v>
          </cell>
        </row>
        <row r="1655">
          <cell r="C1655">
            <v>6909.84</v>
          </cell>
        </row>
        <row r="1661">
          <cell r="C1661">
            <v>0</v>
          </cell>
        </row>
        <row r="1665">
          <cell r="C1665">
            <v>0</v>
          </cell>
        </row>
        <row r="1673">
          <cell r="C1673">
            <v>3944861.38</v>
          </cell>
        </row>
        <row r="1674">
          <cell r="C1674">
            <v>182283</v>
          </cell>
        </row>
        <row r="1675">
          <cell r="C1675">
            <v>658983.28</v>
          </cell>
        </row>
        <row r="1676">
          <cell r="C1676">
            <v>45507.44</v>
          </cell>
        </row>
        <row r="1677">
          <cell r="C1677">
            <v>2484.6</v>
          </cell>
        </row>
        <row r="1678">
          <cell r="C1678">
            <v>292565.01</v>
          </cell>
        </row>
        <row r="1679">
          <cell r="C1679">
            <v>2400</v>
          </cell>
        </row>
        <row r="1680">
          <cell r="C1680">
            <v>619245.18000000005</v>
          </cell>
        </row>
        <row r="1681">
          <cell r="C1681">
            <v>10310.719999999999</v>
          </cell>
        </row>
        <row r="1682">
          <cell r="C1682">
            <v>46640.56</v>
          </cell>
        </row>
        <row r="1684">
          <cell r="C1684">
            <v>-187220.93</v>
          </cell>
        </row>
        <row r="1685">
          <cell r="C1685">
            <v>-14154.6</v>
          </cell>
        </row>
        <row r="1689">
          <cell r="C1689">
            <v>0</v>
          </cell>
        </row>
        <row r="1693">
          <cell r="C1693">
            <v>167857.19</v>
          </cell>
        </row>
        <row r="1697">
          <cell r="C1697">
            <v>0</v>
          </cell>
        </row>
        <row r="1704">
          <cell r="C1704">
            <v>0</v>
          </cell>
        </row>
        <row r="1705">
          <cell r="C1705">
            <v>0</v>
          </cell>
        </row>
        <row r="1706">
          <cell r="C1706">
            <v>0</v>
          </cell>
        </row>
        <row r="1707">
          <cell r="C1707">
            <v>13244</v>
          </cell>
        </row>
        <row r="1708">
          <cell r="C1708">
            <v>593</v>
          </cell>
        </row>
        <row r="1709">
          <cell r="C1709">
            <v>4911.63</v>
          </cell>
        </row>
        <row r="1710">
          <cell r="C1710">
            <v>0</v>
          </cell>
        </row>
        <row r="1711">
          <cell r="C1711">
            <v>33639.919999999998</v>
          </cell>
        </row>
        <row r="1712">
          <cell r="C1712">
            <v>502.98</v>
          </cell>
        </row>
        <row r="1713">
          <cell r="C1713">
            <v>6892.04</v>
          </cell>
        </row>
        <row r="1714">
          <cell r="C1714">
            <v>13498.27</v>
          </cell>
        </row>
        <row r="1715">
          <cell r="C1715">
            <v>0</v>
          </cell>
        </row>
        <row r="1716">
          <cell r="C1716">
            <v>57</v>
          </cell>
        </row>
        <row r="1717">
          <cell r="C1717">
            <v>53576.69</v>
          </cell>
        </row>
        <row r="1718">
          <cell r="C1718">
            <v>1848158.53</v>
          </cell>
        </row>
        <row r="1719">
          <cell r="C1719">
            <v>0</v>
          </cell>
        </row>
        <row r="1725">
          <cell r="C1725">
            <v>0</v>
          </cell>
        </row>
        <row r="1729">
          <cell r="C1729">
            <v>0</v>
          </cell>
        </row>
        <row r="1730">
          <cell r="C1730">
            <v>9252.6299999999992</v>
          </cell>
        </row>
        <row r="1731">
          <cell r="C1731">
            <v>14990.13</v>
          </cell>
        </row>
        <row r="1732">
          <cell r="C1732">
            <v>7969.36</v>
          </cell>
        </row>
        <row r="1733">
          <cell r="C1733">
            <v>54163</v>
          </cell>
        </row>
        <row r="1734">
          <cell r="C1734">
            <v>0</v>
          </cell>
        </row>
        <row r="1738">
          <cell r="C1738">
            <v>0</v>
          </cell>
        </row>
        <row r="1740">
          <cell r="C1740">
            <v>4625.04</v>
          </cell>
        </row>
        <row r="1745">
          <cell r="C1745">
            <v>0</v>
          </cell>
        </row>
        <row r="1759">
          <cell r="C1759">
            <v>1152.78</v>
          </cell>
        </row>
        <row r="1763">
          <cell r="C1763">
            <v>1411.7</v>
          </cell>
        </row>
        <row r="1774">
          <cell r="C1774">
            <v>0</v>
          </cell>
        </row>
        <row r="1782">
          <cell r="C1782">
            <v>1592697.67</v>
          </cell>
        </row>
        <row r="1783">
          <cell r="C1783">
            <v>106253.8</v>
          </cell>
        </row>
        <row r="1784">
          <cell r="C1784">
            <v>229484.42</v>
          </cell>
        </row>
        <row r="1785">
          <cell r="C1785">
            <v>16222.5</v>
          </cell>
        </row>
        <row r="1786">
          <cell r="C1786">
            <v>1037.3</v>
          </cell>
        </row>
        <row r="1787">
          <cell r="C1787">
            <v>94712.49</v>
          </cell>
        </row>
        <row r="1788">
          <cell r="C1788">
            <v>0</v>
          </cell>
        </row>
        <row r="1789">
          <cell r="C1789">
            <v>5790</v>
          </cell>
        </row>
        <row r="1790">
          <cell r="C1790">
            <v>67420.350000000006</v>
          </cell>
        </row>
        <row r="1791">
          <cell r="C1791">
            <v>17959.07</v>
          </cell>
        </row>
        <row r="1792">
          <cell r="C1792">
            <v>15515.48</v>
          </cell>
        </row>
        <row r="1793">
          <cell r="C1793">
            <v>0</v>
          </cell>
        </row>
        <row r="1794">
          <cell r="C1794">
            <v>0</v>
          </cell>
        </row>
        <row r="1798">
          <cell r="C1798">
            <v>6335453.5800000001</v>
          </cell>
        </row>
        <row r="1802">
          <cell r="C1802">
            <v>0</v>
          </cell>
        </row>
        <row r="1803">
          <cell r="C1803">
            <v>221.49</v>
          </cell>
        </row>
        <row r="1804">
          <cell r="C1804">
            <v>0</v>
          </cell>
        </row>
        <row r="1805">
          <cell r="C1805">
            <v>250</v>
          </cell>
        </row>
        <row r="1806">
          <cell r="C1806">
            <v>456</v>
          </cell>
        </row>
        <row r="1807">
          <cell r="C1807">
            <v>24760</v>
          </cell>
        </row>
        <row r="1808">
          <cell r="C1808">
            <v>12153.27</v>
          </cell>
        </row>
        <row r="1809">
          <cell r="C1809">
            <v>0</v>
          </cell>
        </row>
        <row r="1810">
          <cell r="C1810">
            <v>14586.05</v>
          </cell>
        </row>
        <row r="1811">
          <cell r="C1811">
            <v>89227.74</v>
          </cell>
        </row>
        <row r="1812">
          <cell r="C1812">
            <v>25190.3</v>
          </cell>
        </row>
        <row r="1813">
          <cell r="C1813">
            <v>0</v>
          </cell>
        </row>
        <row r="1814">
          <cell r="C1814">
            <v>30668.09</v>
          </cell>
        </row>
        <row r="1815">
          <cell r="C1815">
            <v>70.180000000000007</v>
          </cell>
        </row>
        <row r="1816">
          <cell r="C1816">
            <v>428337.82</v>
          </cell>
        </row>
        <row r="1825">
          <cell r="C1825">
            <v>0</v>
          </cell>
        </row>
        <row r="1829">
          <cell r="C1829">
            <v>16135.41</v>
          </cell>
        </row>
        <row r="1830">
          <cell r="C1830">
            <v>0</v>
          </cell>
        </row>
        <row r="1831">
          <cell r="C1831">
            <v>6963.44</v>
          </cell>
        </row>
        <row r="1835">
          <cell r="C1835">
            <v>52861.61</v>
          </cell>
        </row>
        <row r="1837">
          <cell r="C1837">
            <v>15918.35</v>
          </cell>
        </row>
        <row r="1844">
          <cell r="C1844">
            <v>0</v>
          </cell>
        </row>
        <row r="1859">
          <cell r="C1859">
            <v>6711790.1299999999</v>
          </cell>
        </row>
        <row r="1863">
          <cell r="C1863">
            <v>807.12</v>
          </cell>
        </row>
        <row r="1864">
          <cell r="C1864">
            <v>0</v>
          </cell>
        </row>
        <row r="1868">
          <cell r="C1868">
            <v>-429656.62</v>
          </cell>
        </row>
        <row r="1874">
          <cell r="C1874">
            <v>0</v>
          </cell>
        </row>
        <row r="1878">
          <cell r="C1878">
            <v>13113878.1</v>
          </cell>
        </row>
        <row r="1886">
          <cell r="C1886">
            <v>2508840.42</v>
          </cell>
        </row>
        <row r="1887">
          <cell r="C1887">
            <v>109434</v>
          </cell>
        </row>
        <row r="1888">
          <cell r="C1888">
            <v>399287.67</v>
          </cell>
        </row>
        <row r="1889">
          <cell r="C1889">
            <v>29843.08</v>
          </cell>
        </row>
        <row r="1890">
          <cell r="C1890">
            <v>1594.9</v>
          </cell>
        </row>
        <row r="1891">
          <cell r="C1891">
            <v>166294.71</v>
          </cell>
        </row>
        <row r="1892">
          <cell r="C1892">
            <v>0</v>
          </cell>
        </row>
        <row r="1893">
          <cell r="C1893">
            <v>0</v>
          </cell>
        </row>
        <row r="1894">
          <cell r="C1894">
            <v>566779.37</v>
          </cell>
        </row>
        <row r="1895">
          <cell r="C1895">
            <v>3622.41</v>
          </cell>
        </row>
        <row r="1897">
          <cell r="C1897">
            <v>29686.7</v>
          </cell>
        </row>
        <row r="1898">
          <cell r="C1898">
            <v>0</v>
          </cell>
        </row>
        <row r="1902">
          <cell r="C1902">
            <v>0</v>
          </cell>
        </row>
        <row r="1906">
          <cell r="C1906">
            <v>0</v>
          </cell>
        </row>
        <row r="1913">
          <cell r="C1913">
            <v>0</v>
          </cell>
        </row>
        <row r="1914">
          <cell r="C1914">
            <v>80</v>
          </cell>
        </row>
        <row r="1915">
          <cell r="C1915">
            <v>119363.76</v>
          </cell>
        </row>
        <row r="1916">
          <cell r="C1916">
            <v>0</v>
          </cell>
        </row>
        <row r="1917">
          <cell r="C1917">
            <v>15000</v>
          </cell>
        </row>
        <row r="1918">
          <cell r="C1918">
            <v>0</v>
          </cell>
        </row>
        <row r="1919">
          <cell r="C1919">
            <v>0</v>
          </cell>
        </row>
        <row r="1920">
          <cell r="C1920">
            <v>11652.13</v>
          </cell>
        </row>
        <row r="1921">
          <cell r="C1921">
            <v>0</v>
          </cell>
        </row>
        <row r="1922">
          <cell r="C1922">
            <v>961831.89</v>
          </cell>
        </row>
        <row r="1923">
          <cell r="C1923">
            <v>4647.25</v>
          </cell>
        </row>
        <row r="1925">
          <cell r="C1925">
            <v>8362.24</v>
          </cell>
        </row>
        <row r="1926">
          <cell r="C1926">
            <v>17754.060000000001</v>
          </cell>
        </row>
        <row r="1928">
          <cell r="C1928">
            <v>14788.37</v>
          </cell>
        </row>
        <row r="1930">
          <cell r="C1930">
            <v>41984.62</v>
          </cell>
        </row>
        <row r="1931">
          <cell r="C1931">
            <v>18157.22</v>
          </cell>
        </row>
        <row r="1935">
          <cell r="C1935">
            <v>0</v>
          </cell>
        </row>
        <row r="1941">
          <cell r="C1941">
            <v>0</v>
          </cell>
        </row>
        <row r="1945">
          <cell r="C1945">
            <v>60.53</v>
          </cell>
        </row>
        <row r="1946">
          <cell r="C1946">
            <v>39.82</v>
          </cell>
        </row>
        <row r="1947">
          <cell r="C1947">
            <v>0</v>
          </cell>
        </row>
        <row r="1948">
          <cell r="C1948">
            <v>9920.2000000000007</v>
          </cell>
        </row>
        <row r="1949">
          <cell r="C1949">
            <v>282169.65999999997</v>
          </cell>
        </row>
        <row r="1950">
          <cell r="C1950">
            <v>24266.66</v>
          </cell>
        </row>
        <row r="1954">
          <cell r="C1954">
            <v>536888.97</v>
          </cell>
        </row>
        <row r="1956">
          <cell r="C1956">
            <v>11265.56</v>
          </cell>
        </row>
        <row r="1957">
          <cell r="C1957">
            <v>12421478.710000001</v>
          </cell>
        </row>
        <row r="1962">
          <cell r="C1962">
            <v>0</v>
          </cell>
        </row>
        <row r="1976">
          <cell r="C1976">
            <v>12040737.66</v>
          </cell>
        </row>
        <row r="1977">
          <cell r="C1977">
            <v>0</v>
          </cell>
        </row>
        <row r="1981">
          <cell r="C1981">
            <v>0</v>
          </cell>
        </row>
        <row r="1983">
          <cell r="C1983">
            <v>0</v>
          </cell>
        </row>
        <row r="1987">
          <cell r="C1987">
            <v>-71262.259999999995</v>
          </cell>
        </row>
        <row r="1993">
          <cell r="C1993">
            <v>0</v>
          </cell>
        </row>
        <row r="1997">
          <cell r="C1997">
            <v>0</v>
          </cell>
        </row>
        <row r="2005">
          <cell r="C2005">
            <v>489779.02</v>
          </cell>
        </row>
        <row r="2006">
          <cell r="C2006">
            <v>29593.200000000001</v>
          </cell>
        </row>
        <row r="2007">
          <cell r="C2007">
            <v>72945.84</v>
          </cell>
        </row>
        <row r="2008">
          <cell r="C2008">
            <v>3490.96</v>
          </cell>
        </row>
        <row r="2009">
          <cell r="C2009">
            <v>135.30000000000001</v>
          </cell>
        </row>
        <row r="2010">
          <cell r="C2010">
            <v>19185.62</v>
          </cell>
        </row>
        <row r="2011">
          <cell r="C2011">
            <v>7600</v>
          </cell>
        </row>
        <row r="2013">
          <cell r="C2013">
            <v>7136.27</v>
          </cell>
        </row>
        <row r="2016">
          <cell r="C2016">
            <v>4606.08</v>
          </cell>
        </row>
        <row r="2017">
          <cell r="C2017">
            <v>0</v>
          </cell>
        </row>
        <row r="2021">
          <cell r="C2021">
            <v>127674.77</v>
          </cell>
        </row>
        <row r="2026">
          <cell r="C2026">
            <v>0</v>
          </cell>
        </row>
        <row r="2027">
          <cell r="C2027">
            <v>0</v>
          </cell>
        </row>
        <row r="2028">
          <cell r="C2028">
            <v>0</v>
          </cell>
        </row>
        <row r="2029">
          <cell r="C2029">
            <v>0</v>
          </cell>
        </row>
        <row r="2030">
          <cell r="C2030">
            <v>29843.34</v>
          </cell>
        </row>
        <row r="2031">
          <cell r="C2031">
            <v>350.01</v>
          </cell>
        </row>
        <row r="2033">
          <cell r="C2033">
            <v>10032.34</v>
          </cell>
        </row>
        <row r="2035">
          <cell r="C2035">
            <v>0</v>
          </cell>
        </row>
        <row r="2036">
          <cell r="C2036">
            <v>28534.75</v>
          </cell>
        </row>
        <row r="2037">
          <cell r="C2037">
            <v>0</v>
          </cell>
        </row>
        <row r="2041">
          <cell r="C2041">
            <v>16009593.859999999</v>
          </cell>
        </row>
        <row r="2047">
          <cell r="C2047">
            <v>0</v>
          </cell>
        </row>
        <row r="2056">
          <cell r="C2056">
            <v>0</v>
          </cell>
        </row>
        <row r="2057">
          <cell r="C2057">
            <v>513</v>
          </cell>
        </row>
        <row r="2058">
          <cell r="C2058">
            <v>12380</v>
          </cell>
        </row>
        <row r="2059">
          <cell r="C2059">
            <v>0</v>
          </cell>
        </row>
        <row r="2063">
          <cell r="C2063">
            <v>0</v>
          </cell>
        </row>
        <row r="2077">
          <cell r="C2077">
            <v>0</v>
          </cell>
        </row>
        <row r="2085">
          <cell r="C2085">
            <v>0</v>
          </cell>
        </row>
        <row r="2086">
          <cell r="C2086">
            <v>0</v>
          </cell>
        </row>
        <row r="2087">
          <cell r="C2087">
            <v>0</v>
          </cell>
        </row>
        <row r="2088">
          <cell r="C2088">
            <v>0</v>
          </cell>
        </row>
        <row r="2089">
          <cell r="C2089">
            <v>0</v>
          </cell>
        </row>
        <row r="2090">
          <cell r="C2090">
            <v>0</v>
          </cell>
        </row>
        <row r="2097">
          <cell r="C2097">
            <v>3167.78</v>
          </cell>
        </row>
        <row r="2103">
          <cell r="C2103">
            <v>0</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4 (2)"/>
    </sheetNames>
    <sheetDataSet>
      <sheetData sheetId="0"/>
      <sheetData sheetId="1"/>
      <sheetData sheetId="2">
        <row r="16">
          <cell r="D16">
            <v>559264.88</v>
          </cell>
        </row>
        <row r="17">
          <cell r="D17">
            <v>0</v>
          </cell>
        </row>
        <row r="18">
          <cell r="D18">
            <v>48207.55</v>
          </cell>
        </row>
        <row r="19">
          <cell r="D19">
            <v>6100</v>
          </cell>
        </row>
        <row r="20">
          <cell r="D20">
            <v>0</v>
          </cell>
        </row>
        <row r="21">
          <cell r="D21">
            <v>2272</v>
          </cell>
        </row>
        <row r="22">
          <cell r="D22">
            <v>113407.34</v>
          </cell>
        </row>
        <row r="23">
          <cell r="D23">
            <v>373.1</v>
          </cell>
        </row>
        <row r="24">
          <cell r="D24">
            <v>8669.2900000000009</v>
          </cell>
        </row>
        <row r="25">
          <cell r="D25">
            <v>0</v>
          </cell>
        </row>
        <row r="26">
          <cell r="D26">
            <v>26954.3</v>
          </cell>
        </row>
        <row r="27">
          <cell r="D27">
            <v>87177.58</v>
          </cell>
        </row>
        <row r="28">
          <cell r="D28">
            <v>16772.810000000001</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over page"/>
      <sheetName val="general info"/>
      <sheetName val="INDEX"/>
      <sheetName val="Statement Financial Position"/>
      <sheetName val="Statement of Change Net Assets"/>
      <sheetName val="Statement Financial Performance"/>
      <sheetName val="Cash flow statem"/>
      <sheetName val="Notes"/>
      <sheetName val="Appendix A "/>
      <sheetName val="APPENDIX B "/>
      <sheetName val="APPENDIX C "/>
      <sheetName val="Appendix E 1"/>
      <sheetName val="Appendix E 2"/>
      <sheetName val="Appendix D"/>
      <sheetName val="Appendix F"/>
      <sheetName val="Balance Sheet Account"/>
      <sheetName val="Income statement Account"/>
      <sheetName val="TB2010"/>
      <sheetName val="Sheet1"/>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
          <cell r="D9">
            <v>4742.57</v>
          </cell>
        </row>
        <row r="10">
          <cell r="D10">
            <v>318.75</v>
          </cell>
        </row>
        <row r="14">
          <cell r="D14">
            <v>5704.12</v>
          </cell>
        </row>
        <row r="16">
          <cell r="D16">
            <v>1370427.19</v>
          </cell>
        </row>
        <row r="18">
          <cell r="D18">
            <v>105208.7</v>
          </cell>
        </row>
        <row r="19">
          <cell r="D19">
            <v>426404.85</v>
          </cell>
        </row>
        <row r="44">
          <cell r="D44">
            <v>0</v>
          </cell>
        </row>
        <row r="45">
          <cell r="D45">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
          <cell r="K9">
            <v>-382944.68</v>
          </cell>
        </row>
        <row r="10">
          <cell r="K10">
            <v>-382944.68</v>
          </cell>
        </row>
        <row r="13">
          <cell r="K13">
            <v>278336.15999999997</v>
          </cell>
        </row>
        <row r="14">
          <cell r="K14">
            <v>26620.68</v>
          </cell>
        </row>
        <row r="15">
          <cell r="K15">
            <v>4000</v>
          </cell>
        </row>
        <row r="16">
          <cell r="K16">
            <v>0</v>
          </cell>
        </row>
        <row r="17">
          <cell r="K17">
            <v>0</v>
          </cell>
        </row>
        <row r="18">
          <cell r="K18">
            <v>0</v>
          </cell>
        </row>
        <row r="19">
          <cell r="K19">
            <v>467.4</v>
          </cell>
        </row>
        <row r="20">
          <cell r="K20">
            <v>8619.7000000000007</v>
          </cell>
        </row>
        <row r="22">
          <cell r="K22">
            <v>45141.599999999999</v>
          </cell>
        </row>
        <row r="23">
          <cell r="K23">
            <v>59373.58</v>
          </cell>
        </row>
        <row r="25">
          <cell r="K25">
            <v>434647.41</v>
          </cell>
        </row>
        <row r="28">
          <cell r="K28">
            <v>1627850</v>
          </cell>
        </row>
        <row r="29">
          <cell r="K29">
            <v>130186</v>
          </cell>
        </row>
        <row r="30">
          <cell r="K30">
            <v>524010.62</v>
          </cell>
        </row>
        <row r="31">
          <cell r="K31">
            <v>19786.14</v>
          </cell>
        </row>
        <row r="32">
          <cell r="K32">
            <v>20160</v>
          </cell>
        </row>
        <row r="34">
          <cell r="K34">
            <v>2321992.7600000002</v>
          </cell>
        </row>
        <row r="37">
          <cell r="K37">
            <v>25501.37</v>
          </cell>
        </row>
        <row r="38">
          <cell r="K38">
            <v>25501.37</v>
          </cell>
        </row>
        <row r="41">
          <cell r="K41">
            <v>0</v>
          </cell>
        </row>
        <row r="42">
          <cell r="K42">
            <v>28.06</v>
          </cell>
        </row>
        <row r="43">
          <cell r="K43">
            <v>6772.99</v>
          </cell>
        </row>
        <row r="44">
          <cell r="K44">
            <v>641729.71</v>
          </cell>
        </row>
        <row r="45">
          <cell r="K45">
            <v>72803.360000000001</v>
          </cell>
        </row>
        <row r="47">
          <cell r="K47">
            <v>0</v>
          </cell>
        </row>
        <row r="48">
          <cell r="K48">
            <v>0</v>
          </cell>
        </row>
        <row r="49">
          <cell r="K49">
            <v>0</v>
          </cell>
        </row>
        <row r="50">
          <cell r="K50">
            <v>0</v>
          </cell>
        </row>
        <row r="51">
          <cell r="K51">
            <v>149664.24</v>
          </cell>
        </row>
        <row r="52">
          <cell r="K52">
            <v>3967.66</v>
          </cell>
        </row>
        <row r="53">
          <cell r="K53">
            <v>66218.740000000005</v>
          </cell>
        </row>
        <row r="54">
          <cell r="K54">
            <v>0</v>
          </cell>
        </row>
        <row r="55">
          <cell r="K55">
            <v>841499.5</v>
          </cell>
        </row>
        <row r="56">
          <cell r="K56">
            <v>26534.94</v>
          </cell>
        </row>
        <row r="59">
          <cell r="K59">
            <v>925.41999999999985</v>
          </cell>
        </row>
        <row r="60">
          <cell r="K60">
            <v>13435.15</v>
          </cell>
        </row>
        <row r="61">
          <cell r="K61">
            <v>1490.8</v>
          </cell>
        </row>
        <row r="62">
          <cell r="K62">
            <v>1825070.5699999998</v>
          </cell>
        </row>
        <row r="65">
          <cell r="K65">
            <v>1790.73</v>
          </cell>
        </row>
        <row r="66">
          <cell r="K66">
            <v>3940.19</v>
          </cell>
        </row>
        <row r="67">
          <cell r="K67">
            <v>5730.92</v>
          </cell>
        </row>
        <row r="70">
          <cell r="K70">
            <v>34145.440000000002</v>
          </cell>
        </row>
        <row r="71">
          <cell r="K71">
            <v>2484.6</v>
          </cell>
        </row>
        <row r="72">
          <cell r="K72">
            <v>36630.04</v>
          </cell>
        </row>
        <row r="77">
          <cell r="K77">
            <v>0</v>
          </cell>
        </row>
        <row r="81">
          <cell r="K81">
            <v>550028.22</v>
          </cell>
        </row>
        <row r="82">
          <cell r="K82">
            <v>12165.89</v>
          </cell>
        </row>
        <row r="83">
          <cell r="K83">
            <v>16148.66</v>
          </cell>
        </row>
        <row r="84">
          <cell r="K84">
            <v>21994.799999999999</v>
          </cell>
        </row>
        <row r="85">
          <cell r="K85">
            <v>27787.199999999997</v>
          </cell>
        </row>
        <row r="86">
          <cell r="K86">
            <v>0</v>
          </cell>
        </row>
        <row r="87">
          <cell r="K87">
            <v>86053.1</v>
          </cell>
        </row>
        <row r="88">
          <cell r="K88">
            <v>4057.4</v>
          </cell>
        </row>
        <row r="89">
          <cell r="K89">
            <v>7708.9</v>
          </cell>
        </row>
        <row r="90">
          <cell r="K90">
            <v>3999.1</v>
          </cell>
        </row>
        <row r="91">
          <cell r="K91">
            <v>0</v>
          </cell>
        </row>
        <row r="92">
          <cell r="K92">
            <v>135803.5</v>
          </cell>
        </row>
        <row r="93">
          <cell r="K93">
            <v>2655.9</v>
          </cell>
        </row>
        <row r="94">
          <cell r="K94">
            <v>868402.67</v>
          </cell>
        </row>
        <row r="98">
          <cell r="K98">
            <v>202.04</v>
          </cell>
        </row>
        <row r="99">
          <cell r="K99">
            <v>0</v>
          </cell>
        </row>
        <row r="101">
          <cell r="K101">
            <v>1879.98</v>
          </cell>
        </row>
        <row r="102">
          <cell r="K102">
            <v>0</v>
          </cell>
        </row>
        <row r="103">
          <cell r="K103">
            <v>3057.5</v>
          </cell>
        </row>
        <row r="105">
          <cell r="K105">
            <v>298583.36</v>
          </cell>
        </row>
        <row r="107">
          <cell r="I107">
            <v>0</v>
          </cell>
        </row>
        <row r="108">
          <cell r="K108">
            <v>303722.88</v>
          </cell>
        </row>
        <row r="112">
          <cell r="K112">
            <v>246670.74</v>
          </cell>
        </row>
        <row r="113">
          <cell r="K113">
            <v>4754.4799999999996</v>
          </cell>
        </row>
        <row r="114">
          <cell r="K114">
            <v>5020</v>
          </cell>
        </row>
        <row r="115">
          <cell r="K115">
            <v>35000</v>
          </cell>
        </row>
        <row r="116">
          <cell r="K116">
            <v>49.2</v>
          </cell>
        </row>
        <row r="117">
          <cell r="K117">
            <v>2659.08</v>
          </cell>
        </row>
        <row r="118">
          <cell r="K118">
            <v>1062.19</v>
          </cell>
        </row>
        <row r="119">
          <cell r="K119">
            <v>34809.599999999999</v>
          </cell>
        </row>
        <row r="120">
          <cell r="K120">
            <v>50840.86</v>
          </cell>
        </row>
        <row r="121">
          <cell r="K121">
            <v>1746.92</v>
          </cell>
        </row>
        <row r="122">
          <cell r="K122">
            <v>382613.06999999995</v>
          </cell>
        </row>
        <row r="125">
          <cell r="K125">
            <v>0</v>
          </cell>
        </row>
        <row r="126">
          <cell r="K126">
            <v>187350</v>
          </cell>
        </row>
        <row r="128">
          <cell r="K128">
            <v>169.16</v>
          </cell>
        </row>
        <row r="129">
          <cell r="K129">
            <v>3331.58</v>
          </cell>
        </row>
        <row r="132">
          <cell r="K132">
            <v>9800</v>
          </cell>
        </row>
        <row r="135">
          <cell r="K135">
            <v>200650.74</v>
          </cell>
        </row>
        <row r="138">
          <cell r="K138">
            <v>375.06</v>
          </cell>
        </row>
        <row r="139">
          <cell r="K139">
            <v>375.06</v>
          </cell>
        </row>
        <row r="142">
          <cell r="K142">
            <v>0</v>
          </cell>
        </row>
        <row r="149">
          <cell r="K149">
            <v>-334007.98</v>
          </cell>
        </row>
        <row r="152">
          <cell r="K152">
            <v>456148.57999999996</v>
          </cell>
        </row>
        <row r="155">
          <cell r="K155">
            <v>24540.76</v>
          </cell>
        </row>
        <row r="156">
          <cell r="K156">
            <v>4244.32</v>
          </cell>
        </row>
        <row r="158">
          <cell r="K158">
            <v>8446.58</v>
          </cell>
        </row>
        <row r="159">
          <cell r="K159">
            <v>57.4</v>
          </cell>
        </row>
        <row r="160">
          <cell r="K160">
            <v>3151.42</v>
          </cell>
        </row>
        <row r="161">
          <cell r="K161">
            <v>3241.4</v>
          </cell>
        </row>
        <row r="162">
          <cell r="K162">
            <v>1961.8599999999997</v>
          </cell>
        </row>
        <row r="163">
          <cell r="K163">
            <v>16761.28</v>
          </cell>
        </row>
        <row r="164">
          <cell r="K164">
            <v>1127.5</v>
          </cell>
        </row>
        <row r="165">
          <cell r="K165">
            <v>519681.1</v>
          </cell>
        </row>
        <row r="168">
          <cell r="K168">
            <v>842.11999999999989</v>
          </cell>
        </row>
        <row r="169">
          <cell r="K169">
            <v>20848.900000000001</v>
          </cell>
        </row>
        <row r="170">
          <cell r="K170">
            <v>1879.98</v>
          </cell>
        </row>
        <row r="171">
          <cell r="K171">
            <v>12552.64</v>
          </cell>
        </row>
        <row r="172">
          <cell r="K172">
            <v>107368.4</v>
          </cell>
        </row>
        <row r="173">
          <cell r="K173">
            <v>143492.03999999998</v>
          </cell>
        </row>
        <row r="176">
          <cell r="K176">
            <v>34267.78</v>
          </cell>
        </row>
        <row r="177">
          <cell r="K177">
            <v>240.32</v>
          </cell>
        </row>
        <row r="178">
          <cell r="K178">
            <v>34508.1</v>
          </cell>
        </row>
        <row r="186">
          <cell r="K186">
            <v>-2925</v>
          </cell>
        </row>
        <row r="187">
          <cell r="K187">
            <v>-434.5</v>
          </cell>
        </row>
        <row r="188">
          <cell r="K188">
            <v>-3359.5</v>
          </cell>
        </row>
        <row r="192">
          <cell r="K192">
            <v>-6932.56</v>
          </cell>
        </row>
        <row r="193">
          <cell r="K193">
            <v>-6932.56</v>
          </cell>
        </row>
        <row r="196">
          <cell r="K196">
            <v>-40862003</v>
          </cell>
        </row>
        <row r="197">
          <cell r="K197">
            <v>-1250000</v>
          </cell>
        </row>
        <row r="198">
          <cell r="K198">
            <v>-42112003</v>
          </cell>
        </row>
        <row r="201">
          <cell r="K201">
            <v>-32526.760000000002</v>
          </cell>
        </row>
        <row r="202">
          <cell r="K202">
            <v>-64533.48</v>
          </cell>
        </row>
        <row r="204">
          <cell r="K204">
            <v>-700000</v>
          </cell>
        </row>
        <row r="205">
          <cell r="K205">
            <v>-84.22</v>
          </cell>
        </row>
        <row r="210">
          <cell r="K210">
            <v>2408670.5299999998</v>
          </cell>
        </row>
        <row r="211">
          <cell r="K211">
            <v>193197.34</v>
          </cell>
        </row>
        <row r="212">
          <cell r="K212">
            <v>2800</v>
          </cell>
        </row>
        <row r="213">
          <cell r="K213">
            <v>21084</v>
          </cell>
        </row>
        <row r="214">
          <cell r="K214">
            <v>21695.78</v>
          </cell>
        </row>
        <row r="215">
          <cell r="K215">
            <v>10028.68</v>
          </cell>
        </row>
        <row r="216">
          <cell r="K216">
            <v>272017.91999999998</v>
          </cell>
        </row>
        <row r="217">
          <cell r="K217">
            <v>35000</v>
          </cell>
        </row>
        <row r="218">
          <cell r="K218">
            <v>1336.6</v>
          </cell>
        </row>
        <row r="219">
          <cell r="K219">
            <v>27805.72</v>
          </cell>
        </row>
        <row r="220">
          <cell r="K220">
            <v>14425.01</v>
          </cell>
        </row>
        <row r="221">
          <cell r="K221">
            <v>164463.6</v>
          </cell>
        </row>
        <row r="222">
          <cell r="K222">
            <v>391225.1</v>
          </cell>
        </row>
        <row r="223">
          <cell r="K223">
            <v>26652.620000000003</v>
          </cell>
        </row>
        <row r="224">
          <cell r="K224">
            <v>3590402.9</v>
          </cell>
        </row>
        <row r="227">
          <cell r="K227">
            <v>222823.52</v>
          </cell>
        </row>
        <row r="228">
          <cell r="K228">
            <v>1215966.43</v>
          </cell>
        </row>
        <row r="229">
          <cell r="K229">
            <v>47830.6</v>
          </cell>
        </row>
        <row r="230">
          <cell r="K230">
            <v>1523587.18</v>
          </cell>
        </row>
        <row r="231">
          <cell r="K231">
            <v>1069471.22</v>
          </cell>
        </row>
        <row r="232">
          <cell r="K232">
            <v>4079678.95</v>
          </cell>
        </row>
        <row r="235">
          <cell r="K235">
            <v>0</v>
          </cell>
        </row>
        <row r="236">
          <cell r="K236">
            <v>1033754.06</v>
          </cell>
        </row>
        <row r="237">
          <cell r="K237">
            <v>3412.4</v>
          </cell>
        </row>
        <row r="238">
          <cell r="K238">
            <v>333212.71999999997</v>
          </cell>
        </row>
        <row r="239">
          <cell r="K239">
            <v>4715964.5599999996</v>
          </cell>
        </row>
        <row r="241">
          <cell r="K241">
            <v>356879.98</v>
          </cell>
        </row>
        <row r="242">
          <cell r="K242">
            <v>0</v>
          </cell>
        </row>
        <row r="245">
          <cell r="K245">
            <v>7196.1400000000012</v>
          </cell>
        </row>
        <row r="246">
          <cell r="K246">
            <v>5721.02</v>
          </cell>
        </row>
        <row r="247">
          <cell r="K247">
            <v>1040.18</v>
          </cell>
        </row>
        <row r="248">
          <cell r="K248">
            <v>3412.31</v>
          </cell>
        </row>
        <row r="249">
          <cell r="K249">
            <v>0</v>
          </cell>
        </row>
        <row r="250">
          <cell r="K250">
            <v>208177.8</v>
          </cell>
        </row>
        <row r="252">
          <cell r="K252">
            <v>58647.7</v>
          </cell>
        </row>
        <row r="254">
          <cell r="K254">
            <v>1706.5</v>
          </cell>
        </row>
        <row r="256">
          <cell r="K256">
            <v>3355852.38</v>
          </cell>
        </row>
        <row r="262">
          <cell r="K262">
            <v>23304.560000000001</v>
          </cell>
        </row>
        <row r="265">
          <cell r="K265">
            <v>0</v>
          </cell>
        </row>
        <row r="266">
          <cell r="K266">
            <v>39804.300000000003</v>
          </cell>
        </row>
        <row r="267">
          <cell r="K267">
            <v>27640.84</v>
          </cell>
        </row>
        <row r="268">
          <cell r="K268">
            <v>67445.14</v>
          </cell>
        </row>
        <row r="272">
          <cell r="K272">
            <v>-5425655.4000000004</v>
          </cell>
        </row>
        <row r="273">
          <cell r="K273">
            <v>-789314.7</v>
          </cell>
        </row>
        <row r="274">
          <cell r="K274">
            <v>6041899.3200000003</v>
          </cell>
        </row>
        <row r="275">
          <cell r="K275">
            <v>-563927</v>
          </cell>
        </row>
        <row r="276">
          <cell r="K276">
            <v>-5486769.4199999999</v>
          </cell>
          <cell r="L276">
            <v>-1828923.14</v>
          </cell>
        </row>
        <row r="280">
          <cell r="K280">
            <v>-220182.77000000002</v>
          </cell>
        </row>
        <row r="281">
          <cell r="K281">
            <v>-220182.77000000002</v>
          </cell>
        </row>
        <row r="284">
          <cell r="K284">
            <v>332980.21999999997</v>
          </cell>
        </row>
        <row r="285">
          <cell r="K285">
            <v>4625.04</v>
          </cell>
        </row>
        <row r="287">
          <cell r="K287">
            <v>5020</v>
          </cell>
        </row>
        <row r="288">
          <cell r="K288">
            <v>7271.02</v>
          </cell>
        </row>
        <row r="290">
          <cell r="K290">
            <v>28000</v>
          </cell>
        </row>
        <row r="291">
          <cell r="K291">
            <v>205</v>
          </cell>
        </row>
        <row r="292">
          <cell r="K292">
            <v>4125</v>
          </cell>
        </row>
        <row r="294">
          <cell r="K294">
            <v>29922</v>
          </cell>
        </row>
        <row r="295">
          <cell r="K295">
            <v>57152.7</v>
          </cell>
        </row>
        <row r="296">
          <cell r="K296">
            <v>4160.8999999999996</v>
          </cell>
        </row>
        <row r="297">
          <cell r="K297">
            <v>473461.88</v>
          </cell>
        </row>
        <row r="300">
          <cell r="K300">
            <v>322742.21999999997</v>
          </cell>
        </row>
        <row r="301">
          <cell r="K301">
            <v>322742.21999999997</v>
          </cell>
        </row>
        <row r="312">
          <cell r="K312">
            <v>149037.23000000001</v>
          </cell>
        </row>
        <row r="313">
          <cell r="K313">
            <v>149037.23000000001</v>
          </cell>
        </row>
        <row r="318">
          <cell r="K318">
            <v>38443.68</v>
          </cell>
        </row>
        <row r="321">
          <cell r="K321">
            <v>2445</v>
          </cell>
        </row>
        <row r="322">
          <cell r="K322">
            <v>177085.6</v>
          </cell>
        </row>
        <row r="323">
          <cell r="K323">
            <v>44.92</v>
          </cell>
        </row>
        <row r="325">
          <cell r="K325">
            <v>44474.9</v>
          </cell>
        </row>
        <row r="326">
          <cell r="K326">
            <v>217171.96000000002</v>
          </cell>
        </row>
        <row r="327">
          <cell r="K327">
            <v>2154</v>
          </cell>
        </row>
        <row r="328">
          <cell r="C328">
            <v>0</v>
          </cell>
          <cell r="K328">
            <v>1443165.54</v>
          </cell>
        </row>
        <row r="329">
          <cell r="K329">
            <v>66.14</v>
          </cell>
        </row>
        <row r="330">
          <cell r="K330">
            <v>2405336.7400000002</v>
          </cell>
        </row>
        <row r="335">
          <cell r="E335">
            <v>6442.66</v>
          </cell>
          <cell r="K335">
            <v>12885.32</v>
          </cell>
        </row>
        <row r="336">
          <cell r="K336">
            <v>12885.32</v>
          </cell>
        </row>
        <row r="345">
          <cell r="K345">
            <v>-278460</v>
          </cell>
        </row>
        <row r="346">
          <cell r="K346">
            <v>-278460</v>
          </cell>
        </row>
        <row r="347">
          <cell r="K347">
            <v>0</v>
          </cell>
        </row>
        <row r="348">
          <cell r="K348">
            <v>0</v>
          </cell>
        </row>
        <row r="349">
          <cell r="K349">
            <v>143726.87</v>
          </cell>
        </row>
        <row r="350">
          <cell r="K350">
            <v>11978.07</v>
          </cell>
        </row>
        <row r="351">
          <cell r="K351">
            <v>9817.52</v>
          </cell>
        </row>
        <row r="352">
          <cell r="K352">
            <v>10813.22</v>
          </cell>
        </row>
        <row r="353">
          <cell r="K353">
            <v>5410.69</v>
          </cell>
        </row>
        <row r="354">
          <cell r="K354">
            <v>35000</v>
          </cell>
        </row>
        <row r="355">
          <cell r="K355">
            <v>14.58</v>
          </cell>
        </row>
        <row r="356">
          <cell r="K356">
            <v>3582.63</v>
          </cell>
        </row>
        <row r="357">
          <cell r="K357">
            <v>3331.81</v>
          </cell>
        </row>
        <row r="358">
          <cell r="K358">
            <v>0</v>
          </cell>
        </row>
        <row r="359">
          <cell r="K359">
            <v>4445.33</v>
          </cell>
        </row>
        <row r="360">
          <cell r="K360">
            <v>1024.8599999999999</v>
          </cell>
        </row>
        <row r="361">
          <cell r="K361">
            <v>229145.57999999996</v>
          </cell>
        </row>
        <row r="364">
          <cell r="K364">
            <v>1864.35</v>
          </cell>
        </row>
        <row r="366">
          <cell r="K366">
            <v>1879.98</v>
          </cell>
        </row>
        <row r="367">
          <cell r="K367">
            <v>1879.98</v>
          </cell>
        </row>
        <row r="368">
          <cell r="K368">
            <v>6626.76</v>
          </cell>
        </row>
        <row r="369">
          <cell r="K369">
            <v>12251.07</v>
          </cell>
        </row>
        <row r="373">
          <cell r="K373">
            <v>810433.31</v>
          </cell>
        </row>
        <row r="374">
          <cell r="K374">
            <v>62123.08</v>
          </cell>
        </row>
        <row r="375">
          <cell r="K375">
            <v>7000</v>
          </cell>
        </row>
        <row r="377">
          <cell r="K377">
            <v>35000</v>
          </cell>
        </row>
        <row r="378">
          <cell r="K378">
            <v>287</v>
          </cell>
        </row>
        <row r="379">
          <cell r="K379">
            <v>7036.68</v>
          </cell>
        </row>
        <row r="380">
          <cell r="K380">
            <v>3429.8</v>
          </cell>
        </row>
        <row r="381">
          <cell r="K381">
            <v>46206</v>
          </cell>
        </row>
        <row r="382">
          <cell r="K382">
            <v>107880.64</v>
          </cell>
        </row>
        <row r="383">
          <cell r="K383">
            <v>6045.84</v>
          </cell>
        </row>
        <row r="384">
          <cell r="K384">
            <v>1085442.3500000001</v>
          </cell>
        </row>
        <row r="388">
          <cell r="K388">
            <v>3923.86</v>
          </cell>
        </row>
        <row r="389">
          <cell r="K389">
            <v>1879.98</v>
          </cell>
        </row>
        <row r="390">
          <cell r="K390">
            <v>60.66</v>
          </cell>
        </row>
        <row r="391">
          <cell r="K391">
            <v>375.06</v>
          </cell>
        </row>
        <row r="393">
          <cell r="K393">
            <v>152821.72</v>
          </cell>
        </row>
        <row r="394">
          <cell r="K394">
            <v>1069.77</v>
          </cell>
        </row>
        <row r="395">
          <cell r="K395">
            <v>375.06</v>
          </cell>
        </row>
        <row r="396">
          <cell r="K396">
            <v>160506.10999999999</v>
          </cell>
        </row>
        <row r="399">
          <cell r="K399">
            <v>375.06</v>
          </cell>
        </row>
        <row r="400">
          <cell r="K400">
            <v>375.06</v>
          </cell>
        </row>
        <row r="403">
          <cell r="K403">
            <v>3625.21</v>
          </cell>
        </row>
        <row r="404">
          <cell r="K404">
            <v>4853.0600000000004</v>
          </cell>
        </row>
        <row r="405">
          <cell r="K405">
            <v>8478.27</v>
          </cell>
        </row>
        <row r="410">
          <cell r="K410">
            <v>-852240.65</v>
          </cell>
        </row>
        <row r="411">
          <cell r="K411">
            <v>-852240.65</v>
          </cell>
        </row>
        <row r="419">
          <cell r="K419">
            <v>1246837.76</v>
          </cell>
        </row>
        <row r="420">
          <cell r="K420">
            <v>23253.34</v>
          </cell>
        </row>
        <row r="421">
          <cell r="K421">
            <v>7000</v>
          </cell>
        </row>
        <row r="422">
          <cell r="K422">
            <v>1660.96</v>
          </cell>
        </row>
        <row r="425">
          <cell r="K425">
            <v>40008.639999999999</v>
          </cell>
        </row>
        <row r="426">
          <cell r="K426">
            <v>574</v>
          </cell>
        </row>
        <row r="427">
          <cell r="K427">
            <v>13509.219999999998</v>
          </cell>
        </row>
        <row r="428">
          <cell r="K428">
            <v>5153.46</v>
          </cell>
        </row>
        <row r="429">
          <cell r="K429">
            <v>157139.20000000001</v>
          </cell>
        </row>
        <row r="430">
          <cell r="K430">
            <v>226499.74</v>
          </cell>
        </row>
        <row r="431">
          <cell r="K431">
            <v>11638.86</v>
          </cell>
        </row>
        <row r="432">
          <cell r="K432">
            <v>8913.99</v>
          </cell>
        </row>
        <row r="433">
          <cell r="K433">
            <v>1742189.17</v>
          </cell>
        </row>
        <row r="436">
          <cell r="K436">
            <v>71578.960000000006</v>
          </cell>
        </row>
        <row r="437">
          <cell r="K437">
            <v>610392</v>
          </cell>
        </row>
        <row r="438">
          <cell r="K438">
            <v>444536.38</v>
          </cell>
        </row>
        <row r="439">
          <cell r="K439">
            <v>22712.82</v>
          </cell>
        </row>
        <row r="440">
          <cell r="K440">
            <v>35970.14</v>
          </cell>
        </row>
        <row r="441">
          <cell r="K441">
            <v>697842.74</v>
          </cell>
        </row>
        <row r="442">
          <cell r="K442">
            <v>2135069.56</v>
          </cell>
        </row>
        <row r="443">
          <cell r="K443">
            <v>468.67999999999995</v>
          </cell>
        </row>
        <row r="444">
          <cell r="K444">
            <v>44708</v>
          </cell>
        </row>
        <row r="445">
          <cell r="K445">
            <v>43705.84</v>
          </cell>
        </row>
        <row r="448">
          <cell r="K448">
            <v>1162042.6599999999</v>
          </cell>
        </row>
        <row r="450">
          <cell r="K450">
            <v>0</v>
          </cell>
        </row>
        <row r="451">
          <cell r="K451">
            <v>1540.1599999999999</v>
          </cell>
        </row>
        <row r="452">
          <cell r="K452">
            <v>255922.88</v>
          </cell>
        </row>
        <row r="453">
          <cell r="K453">
            <v>1042573.66</v>
          </cell>
        </row>
        <row r="454">
          <cell r="K454">
            <v>6569064.4799999995</v>
          </cell>
        </row>
        <row r="460">
          <cell r="K460">
            <v>1879.98</v>
          </cell>
        </row>
        <row r="462">
          <cell r="K462">
            <v>0</v>
          </cell>
        </row>
        <row r="463">
          <cell r="K463">
            <v>12777.19</v>
          </cell>
        </row>
        <row r="464">
          <cell r="K464">
            <v>14065.7</v>
          </cell>
        </row>
        <row r="465">
          <cell r="K465">
            <v>26842.89</v>
          </cell>
        </row>
        <row r="469">
          <cell r="K469">
            <v>133177.72</v>
          </cell>
        </row>
        <row r="470">
          <cell r="K470">
            <v>5312.02</v>
          </cell>
        </row>
        <row r="471">
          <cell r="K471">
            <v>0</v>
          </cell>
        </row>
        <row r="472">
          <cell r="K472">
            <v>2008</v>
          </cell>
        </row>
        <row r="473">
          <cell r="K473">
            <v>3982.9800000000005</v>
          </cell>
        </row>
        <row r="474">
          <cell r="K474">
            <v>0</v>
          </cell>
        </row>
        <row r="475">
          <cell r="K475">
            <v>11200</v>
          </cell>
        </row>
        <row r="476">
          <cell r="K476">
            <v>82</v>
          </cell>
        </row>
        <row r="477">
          <cell r="K477">
            <v>1681.1399999999999</v>
          </cell>
        </row>
        <row r="478">
          <cell r="K478">
            <v>1725.4</v>
          </cell>
        </row>
        <row r="479">
          <cell r="K479">
            <v>11968.8</v>
          </cell>
        </row>
        <row r="480">
          <cell r="K480">
            <v>22861.08</v>
          </cell>
        </row>
        <row r="481">
          <cell r="K481">
            <v>1731.44</v>
          </cell>
        </row>
        <row r="482">
          <cell r="K482">
            <v>195730.58000000002</v>
          </cell>
        </row>
        <row r="485">
          <cell r="K485">
            <v>2332154</v>
          </cell>
        </row>
        <row r="486">
          <cell r="K486">
            <v>375.06</v>
          </cell>
        </row>
        <row r="487">
          <cell r="K487">
            <v>26872.63</v>
          </cell>
        </row>
        <row r="489">
          <cell r="K489">
            <v>187.24</v>
          </cell>
        </row>
        <row r="490">
          <cell r="K490">
            <v>593.22</v>
          </cell>
        </row>
        <row r="491">
          <cell r="K491">
            <v>206246.29</v>
          </cell>
        </row>
        <row r="492">
          <cell r="K492">
            <v>375.06</v>
          </cell>
        </row>
        <row r="493">
          <cell r="K493">
            <v>12473.54</v>
          </cell>
        </row>
        <row r="494">
          <cell r="K494">
            <v>163918.97</v>
          </cell>
        </row>
        <row r="495">
          <cell r="K495">
            <v>375.06</v>
          </cell>
        </row>
        <row r="496">
          <cell r="C496">
            <v>28390</v>
          </cell>
          <cell r="K496">
            <v>9688.61</v>
          </cell>
        </row>
        <row r="497">
          <cell r="K497">
            <v>375.06</v>
          </cell>
        </row>
        <row r="498">
          <cell r="K498">
            <v>2753634.7400000007</v>
          </cell>
        </row>
        <row r="501">
          <cell r="K501">
            <v>37619.93</v>
          </cell>
        </row>
        <row r="502">
          <cell r="K502">
            <v>20729</v>
          </cell>
        </row>
        <row r="503">
          <cell r="K503">
            <v>58348.93</v>
          </cell>
        </row>
        <row r="506">
          <cell r="K506">
            <v>4370.67</v>
          </cell>
        </row>
        <row r="507">
          <cell r="K507">
            <v>4395.75</v>
          </cell>
        </row>
        <row r="508">
          <cell r="K508">
            <v>8766.42</v>
          </cell>
        </row>
        <row r="512">
          <cell r="K512">
            <v>-21375.32</v>
          </cell>
        </row>
        <row r="513">
          <cell r="K513">
            <v>-585</v>
          </cell>
        </row>
        <row r="514">
          <cell r="K514">
            <v>-127162.56</v>
          </cell>
        </row>
        <row r="515">
          <cell r="K515">
            <v>-149122.88</v>
          </cell>
        </row>
        <row r="518">
          <cell r="K518">
            <v>27531.42</v>
          </cell>
        </row>
        <row r="519">
          <cell r="K519">
            <v>349029.84</v>
          </cell>
        </row>
        <row r="520">
          <cell r="K520">
            <v>376561.26</v>
          </cell>
        </row>
        <row r="523">
          <cell r="K523">
            <v>283229.96000000002</v>
          </cell>
        </row>
        <row r="524">
          <cell r="K524">
            <v>283229.96000000002</v>
          </cell>
        </row>
        <row r="536">
          <cell r="K536">
            <v>343009.09</v>
          </cell>
        </row>
        <row r="537">
          <cell r="K537">
            <v>21195.96</v>
          </cell>
        </row>
        <row r="538">
          <cell r="K538">
            <v>9072</v>
          </cell>
        </row>
        <row r="539">
          <cell r="K539">
            <v>2185.63</v>
          </cell>
        </row>
        <row r="541">
          <cell r="K541">
            <v>12597.53</v>
          </cell>
        </row>
        <row r="542">
          <cell r="K542">
            <v>37100</v>
          </cell>
        </row>
        <row r="543">
          <cell r="K543">
            <v>57.4</v>
          </cell>
        </row>
        <row r="544">
          <cell r="K544">
            <v>1793.7199999999998</v>
          </cell>
        </row>
        <row r="545">
          <cell r="K545">
            <v>5165.7</v>
          </cell>
        </row>
        <row r="546">
          <cell r="K546">
            <v>15508.8</v>
          </cell>
        </row>
        <row r="547">
          <cell r="K547">
            <v>35155.32</v>
          </cell>
        </row>
        <row r="548">
          <cell r="K548">
            <v>1497.36</v>
          </cell>
        </row>
        <row r="549">
          <cell r="K549">
            <v>484338.51000000007</v>
          </cell>
        </row>
        <row r="552">
          <cell r="K552">
            <v>2100</v>
          </cell>
        </row>
        <row r="555">
          <cell r="K555">
            <v>3250</v>
          </cell>
        </row>
        <row r="558">
          <cell r="K558">
            <v>45144.5</v>
          </cell>
        </row>
        <row r="559">
          <cell r="K559">
            <v>11286.85</v>
          </cell>
        </row>
        <row r="560">
          <cell r="K560">
            <v>100</v>
          </cell>
        </row>
        <row r="561">
          <cell r="K561">
            <v>375.06</v>
          </cell>
        </row>
        <row r="562">
          <cell r="K562">
            <v>375.06</v>
          </cell>
        </row>
        <row r="565">
          <cell r="K565">
            <v>227640.51999999996</v>
          </cell>
        </row>
        <row r="567">
          <cell r="K567">
            <v>59047.16</v>
          </cell>
        </row>
        <row r="568">
          <cell r="K568">
            <v>9404.5499999999993</v>
          </cell>
        </row>
        <row r="571">
          <cell r="K571">
            <v>0</v>
          </cell>
        </row>
        <row r="572">
          <cell r="K572">
            <v>375.06</v>
          </cell>
        </row>
        <row r="574">
          <cell r="K574">
            <v>10747.3</v>
          </cell>
        </row>
        <row r="575">
          <cell r="K575">
            <v>369846.05999999988</v>
          </cell>
        </row>
        <row r="579">
          <cell r="K579">
            <v>375.06</v>
          </cell>
        </row>
        <row r="580">
          <cell r="K580">
            <v>375.06</v>
          </cell>
        </row>
        <row r="583">
          <cell r="K583">
            <v>4701.9799999999996</v>
          </cell>
        </row>
        <row r="584">
          <cell r="K584">
            <v>4807.5600000000004</v>
          </cell>
        </row>
        <row r="585">
          <cell r="K585">
            <v>9509.5400000000009</v>
          </cell>
        </row>
        <row r="590">
          <cell r="K590">
            <v>-216573</v>
          </cell>
        </row>
        <row r="602">
          <cell r="K602">
            <v>198787</v>
          </cell>
        </row>
        <row r="612">
          <cell r="K612">
            <v>17786</v>
          </cell>
        </row>
        <row r="620">
          <cell r="K620">
            <v>-290065.21000000002</v>
          </cell>
        </row>
        <row r="621">
          <cell r="K621">
            <v>-290065.21000000002</v>
          </cell>
        </row>
        <row r="624">
          <cell r="K624">
            <v>131876.26999999999</v>
          </cell>
        </row>
        <row r="625">
          <cell r="K625">
            <v>10028.68</v>
          </cell>
        </row>
        <row r="626">
          <cell r="K626">
            <v>9817.52</v>
          </cell>
        </row>
        <row r="627">
          <cell r="K627">
            <v>10813.22</v>
          </cell>
        </row>
        <row r="629">
          <cell r="K629">
            <v>49580.5</v>
          </cell>
        </row>
        <row r="631">
          <cell r="K631">
            <v>3110.16</v>
          </cell>
        </row>
        <row r="632">
          <cell r="K632">
            <v>2892.58</v>
          </cell>
        </row>
        <row r="635">
          <cell r="K635">
            <v>552.39</v>
          </cell>
        </row>
        <row r="636">
          <cell r="K636">
            <v>218671.31999999998</v>
          </cell>
        </row>
        <row r="639">
          <cell r="K639">
            <v>22195.8</v>
          </cell>
        </row>
        <row r="641">
          <cell r="K641">
            <v>1879.98</v>
          </cell>
        </row>
        <row r="642">
          <cell r="K642">
            <v>7368.42</v>
          </cell>
        </row>
        <row r="643">
          <cell r="K643">
            <v>46506.96</v>
          </cell>
        </row>
        <row r="644">
          <cell r="K644">
            <v>77951.16</v>
          </cell>
        </row>
        <row r="648">
          <cell r="K648">
            <v>682635.68</v>
          </cell>
        </row>
        <row r="649">
          <cell r="K649">
            <v>80488.78</v>
          </cell>
        </row>
        <row r="650">
          <cell r="K650">
            <v>7000</v>
          </cell>
        </row>
        <row r="651">
          <cell r="K651">
            <v>527.29999999999995</v>
          </cell>
        </row>
        <row r="652">
          <cell r="K652">
            <v>35000</v>
          </cell>
        </row>
        <row r="653">
          <cell r="K653">
            <v>246</v>
          </cell>
        </row>
        <row r="654">
          <cell r="K654">
            <v>9828.66</v>
          </cell>
        </row>
        <row r="655">
          <cell r="K655">
            <v>439.22</v>
          </cell>
        </row>
        <row r="656">
          <cell r="K656">
            <v>65297.3</v>
          </cell>
        </row>
        <row r="657">
          <cell r="K657">
            <v>120621.56</v>
          </cell>
        </row>
        <row r="658">
          <cell r="K658">
            <v>6294.2</v>
          </cell>
        </row>
        <row r="659">
          <cell r="K659">
            <v>1008378.7000000002</v>
          </cell>
        </row>
        <row r="662">
          <cell r="K662">
            <v>1879.98</v>
          </cell>
        </row>
        <row r="663">
          <cell r="K663">
            <v>0</v>
          </cell>
        </row>
        <row r="664">
          <cell r="K664">
            <v>414.66</v>
          </cell>
        </row>
        <row r="665">
          <cell r="K665">
            <v>375.06</v>
          </cell>
        </row>
        <row r="667">
          <cell r="K667">
            <v>56940.400000000009</v>
          </cell>
        </row>
        <row r="668">
          <cell r="K668">
            <v>752.46</v>
          </cell>
        </row>
        <row r="669">
          <cell r="K669">
            <v>505.52</v>
          </cell>
        </row>
        <row r="670">
          <cell r="K670">
            <v>60868.08</v>
          </cell>
        </row>
        <row r="674">
          <cell r="C674">
            <v>1103</v>
          </cell>
        </row>
        <row r="675">
          <cell r="K675">
            <v>115.95999999999998</v>
          </cell>
        </row>
        <row r="678">
          <cell r="K678">
            <v>176020.76</v>
          </cell>
        </row>
        <row r="679">
          <cell r="K679">
            <v>26176.800000000003</v>
          </cell>
        </row>
        <row r="680">
          <cell r="K680">
            <v>202197.56</v>
          </cell>
        </row>
        <row r="684">
          <cell r="K684">
            <v>0</v>
          </cell>
        </row>
        <row r="688">
          <cell r="K688">
            <v>-1138843.1900000002</v>
          </cell>
        </row>
        <row r="689">
          <cell r="K689">
            <v>-1138843.1900000002</v>
          </cell>
        </row>
        <row r="692">
          <cell r="K692">
            <v>-26</v>
          </cell>
        </row>
        <row r="694">
          <cell r="K694">
            <v>-26</v>
          </cell>
        </row>
        <row r="697">
          <cell r="K697">
            <v>766226.03</v>
          </cell>
        </row>
        <row r="698">
          <cell r="K698">
            <v>114035.92000000001</v>
          </cell>
        </row>
        <row r="699">
          <cell r="K699">
            <v>5976.49</v>
          </cell>
        </row>
        <row r="700">
          <cell r="K700">
            <v>401.8</v>
          </cell>
        </row>
        <row r="701">
          <cell r="K701">
            <v>8299.2800000000007</v>
          </cell>
        </row>
        <row r="702">
          <cell r="K702">
            <v>4968.55</v>
          </cell>
        </row>
        <row r="703">
          <cell r="K703">
            <v>48526.8</v>
          </cell>
        </row>
        <row r="704">
          <cell r="K704">
            <v>145474</v>
          </cell>
        </row>
        <row r="705">
          <cell r="K705">
            <v>7947</v>
          </cell>
        </row>
        <row r="706">
          <cell r="K706">
            <v>1101855.8700000001</v>
          </cell>
        </row>
        <row r="709">
          <cell r="K709">
            <v>4137.3500000000004</v>
          </cell>
        </row>
        <row r="711">
          <cell r="K711">
            <v>187.24</v>
          </cell>
        </row>
        <row r="713">
          <cell r="K713">
            <v>752.46</v>
          </cell>
        </row>
        <row r="714">
          <cell r="K714">
            <v>12149.3</v>
          </cell>
        </row>
        <row r="715">
          <cell r="K715">
            <v>1879.98</v>
          </cell>
        </row>
        <row r="717">
          <cell r="K717">
            <v>240</v>
          </cell>
        </row>
        <row r="718">
          <cell r="K718">
            <v>19346.329999999998</v>
          </cell>
        </row>
        <row r="721">
          <cell r="K721">
            <v>11286.85</v>
          </cell>
        </row>
        <row r="722">
          <cell r="K722">
            <v>11286.85</v>
          </cell>
        </row>
        <row r="725">
          <cell r="K725">
            <v>9334.5499999999993</v>
          </cell>
        </row>
        <row r="726">
          <cell r="K726">
            <v>8332.44</v>
          </cell>
        </row>
        <row r="727">
          <cell r="K727">
            <v>17666.989999999998</v>
          </cell>
        </row>
        <row r="731">
          <cell r="K731">
            <v>-16486.2</v>
          </cell>
        </row>
        <row r="732">
          <cell r="K732">
            <v>-1354.06</v>
          </cell>
        </row>
        <row r="733">
          <cell r="K733">
            <v>-17840.260000000002</v>
          </cell>
        </row>
        <row r="740">
          <cell r="K740">
            <v>193807.68</v>
          </cell>
        </row>
        <row r="741">
          <cell r="K741">
            <v>18500.16</v>
          </cell>
        </row>
        <row r="743">
          <cell r="K743">
            <v>2483.69</v>
          </cell>
        </row>
        <row r="744">
          <cell r="K744">
            <v>172.2</v>
          </cell>
        </row>
        <row r="745">
          <cell r="K745">
            <v>1984.3199999999997</v>
          </cell>
        </row>
        <row r="746">
          <cell r="K746">
            <v>2066.0500000000002</v>
          </cell>
        </row>
        <row r="747">
          <cell r="K747">
            <v>10642.8</v>
          </cell>
        </row>
        <row r="748">
          <cell r="K748">
            <v>35101.08</v>
          </cell>
        </row>
        <row r="749">
          <cell r="K749">
            <v>2229.46</v>
          </cell>
        </row>
        <row r="750">
          <cell r="K750">
            <v>266987.44</v>
          </cell>
        </row>
        <row r="762">
          <cell r="K762">
            <v>4857.92</v>
          </cell>
        </row>
        <row r="763">
          <cell r="K763">
            <v>193.58</v>
          </cell>
        </row>
        <row r="764">
          <cell r="K764">
            <v>179949.08</v>
          </cell>
        </row>
        <row r="765">
          <cell r="K765">
            <v>176.64</v>
          </cell>
        </row>
        <row r="767">
          <cell r="K767">
            <v>0</v>
          </cell>
        </row>
        <row r="768">
          <cell r="K768">
            <v>5837.44</v>
          </cell>
        </row>
        <row r="769">
          <cell r="K769">
            <v>12266.72</v>
          </cell>
        </row>
        <row r="774">
          <cell r="K774">
            <v>203281.38</v>
          </cell>
        </row>
        <row r="777">
          <cell r="K777">
            <v>11651.7</v>
          </cell>
        </row>
        <row r="778">
          <cell r="K778">
            <v>1879.98</v>
          </cell>
        </row>
        <row r="780">
          <cell r="K780">
            <v>1040</v>
          </cell>
        </row>
        <row r="781">
          <cell r="K781">
            <v>14571.68</v>
          </cell>
        </row>
        <row r="784">
          <cell r="K784">
            <v>2544.35</v>
          </cell>
        </row>
        <row r="785">
          <cell r="K785">
            <v>2145.96</v>
          </cell>
        </row>
        <row r="786">
          <cell r="K786">
            <v>4690.3099999999995</v>
          </cell>
        </row>
        <row r="794">
          <cell r="K794">
            <v>-78238.2</v>
          </cell>
        </row>
        <row r="795">
          <cell r="K795">
            <v>-78238.2</v>
          </cell>
        </row>
        <row r="802">
          <cell r="K802">
            <v>22300</v>
          </cell>
        </row>
        <row r="806">
          <cell r="K806">
            <v>71658.41</v>
          </cell>
        </row>
        <row r="807">
          <cell r="K807">
            <v>93444.66</v>
          </cell>
        </row>
        <row r="808">
          <cell r="K808">
            <v>165103.07</v>
          </cell>
        </row>
        <row r="813">
          <cell r="K813">
            <v>-44</v>
          </cell>
        </row>
        <row r="814">
          <cell r="K814">
            <v>-44</v>
          </cell>
        </row>
        <row r="817">
          <cell r="K817">
            <v>126865.48</v>
          </cell>
        </row>
        <row r="818">
          <cell r="K818">
            <v>8873.56</v>
          </cell>
        </row>
        <row r="819">
          <cell r="K819">
            <v>189.72</v>
          </cell>
        </row>
        <row r="820">
          <cell r="K820">
            <v>1212.68</v>
          </cell>
        </row>
        <row r="821">
          <cell r="K821">
            <v>114.8</v>
          </cell>
        </row>
        <row r="822">
          <cell r="K822">
            <v>1310.72</v>
          </cell>
        </row>
        <row r="823">
          <cell r="K823">
            <v>1034.19</v>
          </cell>
        </row>
        <row r="824">
          <cell r="K824">
            <v>0</v>
          </cell>
        </row>
        <row r="825">
          <cell r="K825">
            <v>24679.34</v>
          </cell>
        </row>
        <row r="826">
          <cell r="K826">
            <v>1359.32</v>
          </cell>
        </row>
        <row r="827">
          <cell r="K827">
            <v>165639.81</v>
          </cell>
        </row>
        <row r="831">
          <cell r="K831">
            <v>375.06</v>
          </cell>
        </row>
        <row r="834">
          <cell r="K834">
            <v>11286.85</v>
          </cell>
        </row>
        <row r="835">
          <cell r="K835">
            <v>1879.98</v>
          </cell>
        </row>
        <row r="836">
          <cell r="K836">
            <v>13541.89</v>
          </cell>
        </row>
        <row r="839">
          <cell r="K839">
            <v>28663.360000000001</v>
          </cell>
        </row>
        <row r="840">
          <cell r="K840">
            <v>28663.360000000001</v>
          </cell>
        </row>
        <row r="843">
          <cell r="K843">
            <v>1202.18</v>
          </cell>
        </row>
        <row r="844">
          <cell r="K844">
            <v>1904.47</v>
          </cell>
        </row>
        <row r="845">
          <cell r="K845">
            <v>3106.65</v>
          </cell>
        </row>
        <row r="849">
          <cell r="K849">
            <v>-505769.37</v>
          </cell>
        </row>
        <row r="850">
          <cell r="K850">
            <v>-505769.37</v>
          </cell>
        </row>
        <row r="853">
          <cell r="K853">
            <v>-1327.88</v>
          </cell>
        </row>
        <row r="854">
          <cell r="K854">
            <v>-1327.88</v>
          </cell>
        </row>
        <row r="861">
          <cell r="K861">
            <v>-10804.2</v>
          </cell>
        </row>
        <row r="865">
          <cell r="K865">
            <v>450627.87</v>
          </cell>
        </row>
        <row r="866">
          <cell r="K866">
            <v>40483.360000000001</v>
          </cell>
        </row>
        <row r="867">
          <cell r="K867">
            <v>47412.959999999999</v>
          </cell>
        </row>
        <row r="868">
          <cell r="K868">
            <v>35000</v>
          </cell>
        </row>
        <row r="869">
          <cell r="K869">
            <v>229.6</v>
          </cell>
        </row>
        <row r="870">
          <cell r="K870">
            <v>5837.8</v>
          </cell>
        </row>
        <row r="871">
          <cell r="K871">
            <v>3271.73</v>
          </cell>
        </row>
        <row r="872">
          <cell r="K872">
            <v>31777.199999999997</v>
          </cell>
        </row>
        <row r="873">
          <cell r="K873">
            <v>64467.58</v>
          </cell>
        </row>
        <row r="874">
          <cell r="K874">
            <v>4630.8</v>
          </cell>
        </row>
        <row r="875">
          <cell r="K875">
            <v>683738.89999999991</v>
          </cell>
        </row>
        <row r="878">
          <cell r="K878">
            <v>307.02</v>
          </cell>
        </row>
        <row r="880">
          <cell r="K880">
            <v>187.24</v>
          </cell>
        </row>
        <row r="882">
          <cell r="K882">
            <v>480</v>
          </cell>
        </row>
        <row r="883">
          <cell r="K883">
            <v>60825.58</v>
          </cell>
        </row>
        <row r="884">
          <cell r="K884">
            <v>375.06</v>
          </cell>
        </row>
        <row r="885">
          <cell r="K885">
            <v>62174.9</v>
          </cell>
        </row>
        <row r="888">
          <cell r="K888">
            <v>375.06</v>
          </cell>
        </row>
        <row r="889">
          <cell r="K889">
            <v>375.06</v>
          </cell>
        </row>
        <row r="892">
          <cell r="K892">
            <v>2768.34</v>
          </cell>
        </row>
        <row r="893">
          <cell r="K893">
            <v>1447.75</v>
          </cell>
        </row>
        <row r="894">
          <cell r="K894">
            <v>4216.09</v>
          </cell>
        </row>
        <row r="898">
          <cell r="K898">
            <v>-35180.65</v>
          </cell>
        </row>
        <row r="899">
          <cell r="K899">
            <v>-35180.65</v>
          </cell>
        </row>
        <row r="913">
          <cell r="K913">
            <v>3762.29</v>
          </cell>
        </row>
        <row r="914">
          <cell r="K914">
            <v>8242.0300000000007</v>
          </cell>
        </row>
        <row r="915">
          <cell r="K915">
            <v>12004.32</v>
          </cell>
        </row>
        <row r="918">
          <cell r="K918">
            <v>35829.199999999997</v>
          </cell>
        </row>
        <row r="920">
          <cell r="K920">
            <v>1580</v>
          </cell>
        </row>
        <row r="921">
          <cell r="K921">
            <v>37409.199999999997</v>
          </cell>
        </row>
        <row r="926">
          <cell r="K926">
            <v>-10121.049999999999</v>
          </cell>
        </row>
        <row r="937">
          <cell r="K937">
            <v>896274.00999999989</v>
          </cell>
        </row>
        <row r="938">
          <cell r="K938">
            <v>47978.8</v>
          </cell>
        </row>
        <row r="940">
          <cell r="K940">
            <v>7027.16</v>
          </cell>
        </row>
        <row r="941">
          <cell r="K941">
            <v>92538.18</v>
          </cell>
        </row>
        <row r="942">
          <cell r="K942">
            <v>19126.990000000002</v>
          </cell>
        </row>
        <row r="944">
          <cell r="K944">
            <v>647.79999999999995</v>
          </cell>
        </row>
        <row r="945">
          <cell r="K945">
            <v>9860.0400000000009</v>
          </cell>
        </row>
        <row r="946">
          <cell r="K946">
            <v>9958.1</v>
          </cell>
        </row>
        <row r="947">
          <cell r="K947">
            <v>64901.599999999991</v>
          </cell>
        </row>
        <row r="948">
          <cell r="K948">
            <v>145793.60000000001</v>
          </cell>
        </row>
        <row r="949">
          <cell r="K949">
            <v>9894.18</v>
          </cell>
        </row>
        <row r="950">
          <cell r="K950">
            <v>1304000.4600000002</v>
          </cell>
        </row>
        <row r="962">
          <cell r="K962">
            <v>375.06</v>
          </cell>
        </row>
        <row r="964">
          <cell r="K964">
            <v>2060.8000000000002</v>
          </cell>
        </row>
        <row r="965">
          <cell r="E965">
            <v>3596.63</v>
          </cell>
          <cell r="K965">
            <v>7193.26</v>
          </cell>
        </row>
        <row r="966">
          <cell r="K966">
            <v>24.559999999999995</v>
          </cell>
        </row>
        <row r="967">
          <cell r="K967">
            <v>21441.52</v>
          </cell>
        </row>
        <row r="969">
          <cell r="K969">
            <v>31095.200000000001</v>
          </cell>
        </row>
        <row r="972">
          <cell r="K972">
            <v>3762.29</v>
          </cell>
        </row>
        <row r="973">
          <cell r="K973">
            <v>13523.32</v>
          </cell>
        </row>
        <row r="974">
          <cell r="K974">
            <v>17913.14</v>
          </cell>
        </row>
        <row r="975">
          <cell r="K975">
            <v>3640</v>
          </cell>
        </row>
        <row r="977">
          <cell r="K977">
            <v>38838.75</v>
          </cell>
        </row>
        <row r="980">
          <cell r="K980">
            <v>42387.040000000001</v>
          </cell>
        </row>
        <row r="981">
          <cell r="K981">
            <v>6247.73</v>
          </cell>
        </row>
        <row r="982">
          <cell r="K982">
            <v>48634.770000000004</v>
          </cell>
        </row>
        <row r="987">
          <cell r="K987">
            <v>-605.28</v>
          </cell>
        </row>
        <row r="988">
          <cell r="K988">
            <v>-605.28</v>
          </cell>
        </row>
        <row r="995">
          <cell r="K995">
            <v>368671.2</v>
          </cell>
        </row>
        <row r="996">
          <cell r="K996">
            <v>55500.479999999996</v>
          </cell>
        </row>
        <row r="997">
          <cell r="K997">
            <v>1809.98</v>
          </cell>
        </row>
        <row r="998">
          <cell r="K998">
            <v>3552.04</v>
          </cell>
        </row>
        <row r="999">
          <cell r="K999">
            <v>2899.58</v>
          </cell>
        </row>
        <row r="1000">
          <cell r="K1000">
            <v>311.60000000000002</v>
          </cell>
        </row>
        <row r="1001">
          <cell r="K1001">
            <v>4580.4399999999996</v>
          </cell>
        </row>
        <row r="1002">
          <cell r="K1002">
            <v>2441.11</v>
          </cell>
        </row>
        <row r="1003">
          <cell r="K1003">
            <v>11576.4</v>
          </cell>
        </row>
        <row r="1004">
          <cell r="K1004">
            <v>68780.52</v>
          </cell>
        </row>
        <row r="1005">
          <cell r="K1005">
            <v>4707.18</v>
          </cell>
        </row>
        <row r="1006">
          <cell r="K1006">
            <v>524830.53</v>
          </cell>
        </row>
        <row r="1007">
          <cell r="K1007">
            <v>0</v>
          </cell>
        </row>
        <row r="1013">
          <cell r="K1013">
            <v>7899.63</v>
          </cell>
        </row>
        <row r="1014">
          <cell r="K1014">
            <v>12.279999999999998</v>
          </cell>
        </row>
        <row r="1015">
          <cell r="K1015">
            <v>1879.98</v>
          </cell>
        </row>
        <row r="1016">
          <cell r="K1016">
            <v>9791.89</v>
          </cell>
        </row>
        <row r="1019">
          <cell r="K1019">
            <v>61648.639999999999</v>
          </cell>
        </row>
        <row r="1020">
          <cell r="K1020">
            <v>4532.24</v>
          </cell>
        </row>
        <row r="1021">
          <cell r="K1021">
            <v>66180.88</v>
          </cell>
        </row>
        <row r="1025">
          <cell r="K1025">
            <v>-5312997.34</v>
          </cell>
        </row>
        <row r="1026">
          <cell r="K1026">
            <v>-5312997.34</v>
          </cell>
        </row>
        <row r="1030">
          <cell r="K1030">
            <v>-1883089.01</v>
          </cell>
        </row>
        <row r="1033">
          <cell r="K1033">
            <v>-4666.66</v>
          </cell>
        </row>
        <row r="1034">
          <cell r="K1034">
            <v>-6047.52</v>
          </cell>
        </row>
        <row r="1035">
          <cell r="K1035">
            <v>-10714.18</v>
          </cell>
        </row>
        <row r="1038">
          <cell r="K1038">
            <v>4357612.83</v>
          </cell>
        </row>
        <row r="1039">
          <cell r="K1039">
            <v>239194.88</v>
          </cell>
        </row>
        <row r="1040">
          <cell r="K1040">
            <v>2800</v>
          </cell>
        </row>
        <row r="1042">
          <cell r="K1042">
            <v>586169.54</v>
          </cell>
        </row>
        <row r="1043">
          <cell r="K1043">
            <v>4767.84</v>
          </cell>
        </row>
        <row r="1045">
          <cell r="K1045">
            <v>2902.8</v>
          </cell>
        </row>
        <row r="1046">
          <cell r="K1046">
            <v>50018.22</v>
          </cell>
        </row>
        <row r="1047">
          <cell r="K1047">
            <v>14854.9</v>
          </cell>
        </row>
        <row r="1048">
          <cell r="K1048">
            <v>184006.8</v>
          </cell>
        </row>
        <row r="1049">
          <cell r="K1049">
            <v>741576.86</v>
          </cell>
        </row>
        <row r="1050">
          <cell r="K1050">
            <v>50237.56</v>
          </cell>
        </row>
        <row r="1051">
          <cell r="K1051">
            <v>6234142.2299999995</v>
          </cell>
        </row>
        <row r="1054">
          <cell r="K1054">
            <v>367455.67</v>
          </cell>
        </row>
        <row r="1055">
          <cell r="K1055">
            <v>367455.67</v>
          </cell>
        </row>
        <row r="1059">
          <cell r="K1059">
            <v>0</v>
          </cell>
        </row>
        <row r="1066">
          <cell r="K1066">
            <v>67232.91</v>
          </cell>
        </row>
        <row r="1067">
          <cell r="K1067">
            <v>67232.91</v>
          </cell>
        </row>
        <row r="1070">
          <cell r="K1070">
            <v>668765.69999999995</v>
          </cell>
        </row>
        <row r="1074">
          <cell r="K1074">
            <v>3762.29</v>
          </cell>
        </row>
        <row r="1075">
          <cell r="K1075">
            <v>752.46</v>
          </cell>
        </row>
        <row r="1076">
          <cell r="K1076">
            <v>18066</v>
          </cell>
        </row>
        <row r="1077">
          <cell r="K1077">
            <v>11286.85</v>
          </cell>
        </row>
        <row r="1078">
          <cell r="K1078">
            <v>593.22</v>
          </cell>
        </row>
        <row r="1080">
          <cell r="K1080">
            <v>6003.88</v>
          </cell>
        </row>
        <row r="1081">
          <cell r="K1081">
            <v>0</v>
          </cell>
        </row>
        <row r="1082">
          <cell r="K1082">
            <v>44865.36</v>
          </cell>
        </row>
        <row r="1083">
          <cell r="K1083">
            <v>412.98</v>
          </cell>
        </row>
        <row r="1084">
          <cell r="K1084">
            <v>13784.080000000002</v>
          </cell>
        </row>
        <row r="1085">
          <cell r="K1085">
            <v>6013.8</v>
          </cell>
        </row>
        <row r="1086">
          <cell r="K1086">
            <v>8652.09</v>
          </cell>
        </row>
        <row r="1087">
          <cell r="C1087">
            <v>448810</v>
          </cell>
          <cell r="K1087">
            <v>55805.86</v>
          </cell>
        </row>
        <row r="1088">
          <cell r="K1088">
            <v>56.88</v>
          </cell>
        </row>
        <row r="1089">
          <cell r="K1089">
            <v>69867.67</v>
          </cell>
        </row>
        <row r="1093">
          <cell r="K1093">
            <v>239923.41999999998</v>
          </cell>
        </row>
        <row r="1096">
          <cell r="K1096">
            <v>7524.57</v>
          </cell>
        </row>
        <row r="1097">
          <cell r="K1097">
            <v>8652.09</v>
          </cell>
        </row>
        <row r="1099">
          <cell r="K1099">
            <v>56431.360000000001</v>
          </cell>
        </row>
        <row r="1100">
          <cell r="K1100">
            <v>15938.720000000001</v>
          </cell>
        </row>
        <row r="1101">
          <cell r="K1101">
            <v>88546.74</v>
          </cell>
        </row>
        <row r="1105">
          <cell r="K1105">
            <v>40796.44</v>
          </cell>
        </row>
        <row r="1106">
          <cell r="K1106">
            <v>19498.34</v>
          </cell>
        </row>
        <row r="1107">
          <cell r="K1107">
            <v>60294.78</v>
          </cell>
        </row>
        <row r="1111">
          <cell r="C1111">
            <v>332923</v>
          </cell>
          <cell r="K1111">
            <v>548127.84</v>
          </cell>
        </row>
        <row r="1116">
          <cell r="K1116">
            <v>-3522389.1</v>
          </cell>
        </row>
        <row r="1117">
          <cell r="K1117">
            <v>-3522389.1</v>
          </cell>
        </row>
        <row r="1120">
          <cell r="K1120">
            <v>-2612013</v>
          </cell>
        </row>
        <row r="1121">
          <cell r="K1121">
            <v>-2612013</v>
          </cell>
        </row>
        <row r="1124">
          <cell r="K1124">
            <v>2385816</v>
          </cell>
        </row>
        <row r="1125">
          <cell r="K1125">
            <v>136499.84</v>
          </cell>
        </row>
        <row r="1128">
          <cell r="K1128">
            <v>2874.76</v>
          </cell>
        </row>
        <row r="1129">
          <cell r="K1129">
            <v>152822.16</v>
          </cell>
        </row>
        <row r="1130">
          <cell r="K1130">
            <v>17022.439999999999</v>
          </cell>
        </row>
        <row r="1132">
          <cell r="K1132">
            <v>1968</v>
          </cell>
        </row>
        <row r="1133">
          <cell r="K1133">
            <v>25782.1</v>
          </cell>
        </row>
        <row r="1134">
          <cell r="K1134">
            <v>20261.509999999998</v>
          </cell>
        </row>
        <row r="1135">
          <cell r="K1135">
            <v>106010.4</v>
          </cell>
        </row>
        <row r="1136">
          <cell r="K1136">
            <v>318486.38</v>
          </cell>
        </row>
        <row r="1137">
          <cell r="K1137">
            <v>27082.720000000001</v>
          </cell>
        </row>
        <row r="1138">
          <cell r="K1138">
            <v>3194626.3099999996</v>
          </cell>
        </row>
        <row r="1141">
          <cell r="K1141">
            <v>354009.44</v>
          </cell>
        </row>
        <row r="1142">
          <cell r="K1142">
            <v>354009.44</v>
          </cell>
        </row>
        <row r="1157">
          <cell r="K1157">
            <v>516379.16</v>
          </cell>
        </row>
        <row r="1158">
          <cell r="K1158">
            <v>516379.16</v>
          </cell>
        </row>
        <row r="1162">
          <cell r="K1162">
            <v>0</v>
          </cell>
        </row>
        <row r="1163">
          <cell r="K1163">
            <v>11286.85</v>
          </cell>
        </row>
        <row r="1164">
          <cell r="K1164">
            <v>1338.67</v>
          </cell>
        </row>
        <row r="1166">
          <cell r="K1166">
            <v>6637.7199999999993</v>
          </cell>
        </row>
        <row r="1168">
          <cell r="K1168">
            <v>1879.98</v>
          </cell>
        </row>
        <row r="1169">
          <cell r="K1169">
            <v>1026.82</v>
          </cell>
        </row>
        <row r="1170">
          <cell r="K1170">
            <v>10122</v>
          </cell>
        </row>
        <row r="1171">
          <cell r="K1171">
            <v>1888.7000000000003</v>
          </cell>
        </row>
        <row r="1172">
          <cell r="K1172">
            <v>8652.09</v>
          </cell>
        </row>
        <row r="1173">
          <cell r="K1173">
            <v>16183.18</v>
          </cell>
        </row>
        <row r="1176">
          <cell r="K1176">
            <v>59016.01</v>
          </cell>
        </row>
        <row r="1179">
          <cell r="K1179">
            <v>419.8</v>
          </cell>
        </row>
        <row r="1180">
          <cell r="K1180">
            <v>282650.92</v>
          </cell>
        </row>
        <row r="1181">
          <cell r="K1181">
            <v>249643.56</v>
          </cell>
        </row>
        <row r="1182">
          <cell r="K1182">
            <v>17913.14</v>
          </cell>
        </row>
        <row r="1183">
          <cell r="K1183">
            <v>22573.71</v>
          </cell>
        </row>
        <row r="1184">
          <cell r="K1184">
            <v>573201.13</v>
          </cell>
        </row>
        <row r="1188">
          <cell r="K1188">
            <v>98429.84</v>
          </cell>
        </row>
        <row r="1189">
          <cell r="K1189">
            <v>20324.68</v>
          </cell>
        </row>
        <row r="1190">
          <cell r="K1190">
            <v>118754.51999999999</v>
          </cell>
        </row>
        <row r="1194">
          <cell r="K1194">
            <v>-278460</v>
          </cell>
        </row>
        <row r="1196">
          <cell r="K1196">
            <v>-2478460</v>
          </cell>
        </row>
        <row r="1203">
          <cell r="K1203">
            <v>138135.06</v>
          </cell>
        </row>
        <row r="1204">
          <cell r="K1204">
            <v>25050.99</v>
          </cell>
        </row>
        <row r="1205">
          <cell r="K1205">
            <v>9817.52</v>
          </cell>
        </row>
        <row r="1206">
          <cell r="K1206">
            <v>10813.22</v>
          </cell>
        </row>
        <row r="1207">
          <cell r="K1207">
            <v>51049.83</v>
          </cell>
        </row>
        <row r="1208">
          <cell r="K1208">
            <v>49580.5</v>
          </cell>
        </row>
        <row r="1209">
          <cell r="K1209">
            <v>32.08</v>
          </cell>
        </row>
        <row r="1210">
          <cell r="K1210">
            <v>6727.78</v>
          </cell>
        </row>
        <row r="1211">
          <cell r="K1211">
            <v>6258.23</v>
          </cell>
        </row>
        <row r="1213">
          <cell r="K1213">
            <v>29127.09</v>
          </cell>
        </row>
        <row r="1214">
          <cell r="K1214">
            <v>2759.59</v>
          </cell>
        </row>
        <row r="1215">
          <cell r="K1215">
            <v>329351.89000000007</v>
          </cell>
        </row>
        <row r="1218">
          <cell r="K1218">
            <v>19356.5</v>
          </cell>
        </row>
        <row r="1222">
          <cell r="K1222">
            <v>64141.64</v>
          </cell>
        </row>
        <row r="1223">
          <cell r="K1223">
            <v>2200000</v>
          </cell>
        </row>
        <row r="1224">
          <cell r="K1224">
            <v>2300000</v>
          </cell>
        </row>
        <row r="1225">
          <cell r="K1225">
            <v>4583498.1400000006</v>
          </cell>
        </row>
        <row r="1229">
          <cell r="K1229">
            <v>-50046.609999999993</v>
          </cell>
        </row>
        <row r="1230">
          <cell r="K1230">
            <v>-50046.609999999993</v>
          </cell>
        </row>
        <row r="1237">
          <cell r="K1237">
            <v>-1860.52</v>
          </cell>
        </row>
        <row r="1238">
          <cell r="K1238">
            <v>-1860.52</v>
          </cell>
        </row>
        <row r="1241">
          <cell r="K1241">
            <v>1811043.35</v>
          </cell>
        </row>
        <row r="1242">
          <cell r="K1242">
            <v>52530.92</v>
          </cell>
        </row>
        <row r="1245">
          <cell r="K1245">
            <v>7028</v>
          </cell>
        </row>
        <row r="1246">
          <cell r="K1246">
            <v>57183.96</v>
          </cell>
        </row>
        <row r="1247">
          <cell r="K1247">
            <v>20974.46</v>
          </cell>
        </row>
        <row r="1248">
          <cell r="I1248">
            <v>0</v>
          </cell>
        </row>
        <row r="1249">
          <cell r="K1249">
            <v>1246.4000000000001</v>
          </cell>
        </row>
        <row r="1250">
          <cell r="K1250">
            <v>17596.72</v>
          </cell>
        </row>
        <row r="1251">
          <cell r="K1251">
            <v>6267.56</v>
          </cell>
        </row>
        <row r="1252">
          <cell r="K1252">
            <v>124571.6</v>
          </cell>
        </row>
        <row r="1253">
          <cell r="K1253">
            <v>258217.02</v>
          </cell>
        </row>
        <row r="1254">
          <cell r="K1254">
            <v>18683.38</v>
          </cell>
        </row>
        <row r="1255">
          <cell r="K1255">
            <v>2375343.3699999996</v>
          </cell>
        </row>
        <row r="1258">
          <cell r="K1258">
            <v>0</v>
          </cell>
        </row>
        <row r="1259">
          <cell r="K1259">
            <v>0</v>
          </cell>
        </row>
        <row r="1262">
          <cell r="K1262">
            <v>4676174</v>
          </cell>
        </row>
        <row r="1265">
          <cell r="K1265">
            <v>4676174</v>
          </cell>
        </row>
        <row r="1268">
          <cell r="K1268">
            <v>1971.55</v>
          </cell>
        </row>
        <row r="1269">
          <cell r="K1269">
            <v>442.98</v>
          </cell>
        </row>
        <row r="1273">
          <cell r="K1273">
            <v>912</v>
          </cell>
        </row>
        <row r="1274">
          <cell r="K1274">
            <v>4320</v>
          </cell>
        </row>
        <row r="1276">
          <cell r="K1276">
            <v>16550.080000000002</v>
          </cell>
        </row>
        <row r="1278">
          <cell r="K1278">
            <v>17525.2</v>
          </cell>
        </row>
        <row r="1280">
          <cell r="K1280">
            <v>78903.199999999997</v>
          </cell>
        </row>
        <row r="1281">
          <cell r="K1281">
            <v>3023.6</v>
          </cell>
        </row>
        <row r="1282">
          <cell r="K1282">
            <v>0</v>
          </cell>
        </row>
        <row r="1283">
          <cell r="K1283">
            <v>36920.519999999997</v>
          </cell>
        </row>
        <row r="1284">
          <cell r="K1284">
            <v>140.36000000000001</v>
          </cell>
        </row>
        <row r="1287">
          <cell r="K1287">
            <v>160709.49</v>
          </cell>
        </row>
        <row r="1292">
          <cell r="K1292">
            <v>32270.82</v>
          </cell>
        </row>
        <row r="1293">
          <cell r="K1293">
            <v>1918.06</v>
          </cell>
        </row>
        <row r="1295">
          <cell r="K1295">
            <v>34188.879999999997</v>
          </cell>
        </row>
        <row r="1298">
          <cell r="K1298">
            <v>11004.54</v>
          </cell>
        </row>
        <row r="1299">
          <cell r="K1299">
            <v>13294.57</v>
          </cell>
        </row>
        <row r="1300">
          <cell r="K1300">
            <v>24299.11</v>
          </cell>
        </row>
        <row r="1304">
          <cell r="K1304">
            <v>-710462.82</v>
          </cell>
        </row>
        <row r="1305">
          <cell r="K1305">
            <v>-710462.82</v>
          </cell>
        </row>
        <row r="1312">
          <cell r="K1312">
            <v>492887.24</v>
          </cell>
        </row>
        <row r="1313">
          <cell r="K1313">
            <v>69368.399999999994</v>
          </cell>
        </row>
        <row r="1315">
          <cell r="K1315">
            <v>5932.6</v>
          </cell>
        </row>
        <row r="1316">
          <cell r="K1316">
            <v>55604.82</v>
          </cell>
        </row>
        <row r="1317">
          <cell r="K1317">
            <v>1316.51</v>
          </cell>
        </row>
        <row r="1318">
          <cell r="K1318">
            <v>39200</v>
          </cell>
        </row>
        <row r="1319">
          <cell r="K1319">
            <v>287</v>
          </cell>
        </row>
        <row r="1320">
          <cell r="K1320">
            <v>5782.38</v>
          </cell>
        </row>
        <row r="1321">
          <cell r="K1321">
            <v>2516.36</v>
          </cell>
        </row>
        <row r="1322">
          <cell r="K1322">
            <v>64592.3</v>
          </cell>
        </row>
        <row r="1323">
          <cell r="K1323">
            <v>100338.84</v>
          </cell>
        </row>
        <row r="1324">
          <cell r="K1324">
            <v>6064.18</v>
          </cell>
        </row>
        <row r="1325">
          <cell r="K1325">
            <v>843890.63</v>
          </cell>
        </row>
        <row r="1328">
          <cell r="K1328">
            <v>0</v>
          </cell>
        </row>
        <row r="1329">
          <cell r="K1329">
            <v>0</v>
          </cell>
        </row>
        <row r="1331">
          <cell r="K1331">
            <v>0</v>
          </cell>
        </row>
        <row r="1332">
          <cell r="K1332">
            <v>0</v>
          </cell>
        </row>
        <row r="1333">
          <cell r="K1333">
            <v>0</v>
          </cell>
        </row>
        <row r="1334">
          <cell r="K1334">
            <v>0</v>
          </cell>
        </row>
        <row r="1335">
          <cell r="K1335">
            <v>18520</v>
          </cell>
        </row>
        <row r="1336">
          <cell r="K1336">
            <v>0</v>
          </cell>
        </row>
        <row r="1337">
          <cell r="K1337">
            <v>0</v>
          </cell>
        </row>
        <row r="1338">
          <cell r="K1338">
            <v>11286.85</v>
          </cell>
        </row>
        <row r="1339">
          <cell r="C1339">
            <v>28665</v>
          </cell>
          <cell r="K1339">
            <v>0</v>
          </cell>
        </row>
        <row r="1340">
          <cell r="K1340">
            <v>0</v>
          </cell>
        </row>
        <row r="1341">
          <cell r="K1341">
            <v>340842.61</v>
          </cell>
        </row>
        <row r="1342">
          <cell r="K1342">
            <v>370649.45999999996</v>
          </cell>
        </row>
        <row r="1345">
          <cell r="K1345">
            <v>11286.85</v>
          </cell>
        </row>
        <row r="1346">
          <cell r="K1346">
            <v>53742.35</v>
          </cell>
        </row>
        <row r="1347">
          <cell r="K1347">
            <v>65029.2</v>
          </cell>
        </row>
        <row r="1350">
          <cell r="K1350">
            <v>4517.08</v>
          </cell>
        </row>
        <row r="1351">
          <cell r="K1351">
            <v>4319.34</v>
          </cell>
        </row>
        <row r="1352">
          <cell r="K1352">
            <v>8836.42</v>
          </cell>
        </row>
        <row r="1356">
          <cell r="K1356">
            <v>-6305424.5999999996</v>
          </cell>
        </row>
        <row r="1357">
          <cell r="K1357">
            <v>-6305424.5999999996</v>
          </cell>
        </row>
        <row r="1360">
          <cell r="K1360">
            <v>-3602301.15</v>
          </cell>
        </row>
        <row r="1361">
          <cell r="K1361">
            <v>-3602301.15</v>
          </cell>
        </row>
        <row r="1368">
          <cell r="K1368">
            <v>-5367.28</v>
          </cell>
        </row>
        <row r="1370">
          <cell r="K1370">
            <v>-385</v>
          </cell>
        </row>
        <row r="1372">
          <cell r="K1372">
            <v>-5752.28</v>
          </cell>
        </row>
        <row r="1375">
          <cell r="K1375">
            <v>2759496.4299999997</v>
          </cell>
        </row>
        <row r="1376">
          <cell r="K1376">
            <v>185822.82</v>
          </cell>
        </row>
        <row r="1380">
          <cell r="K1380">
            <v>606493.36</v>
          </cell>
        </row>
        <row r="1381">
          <cell r="K1381">
            <v>2062.8000000000002</v>
          </cell>
        </row>
        <row r="1382">
          <cell r="K1382">
            <v>1886</v>
          </cell>
        </row>
        <row r="1383">
          <cell r="K1383">
            <v>33023.040000000001</v>
          </cell>
        </row>
        <row r="1384">
          <cell r="K1384">
            <v>18876.75</v>
          </cell>
        </row>
        <row r="1385">
          <cell r="K1385">
            <v>122964</v>
          </cell>
        </row>
        <row r="1386">
          <cell r="K1386">
            <v>449572.5</v>
          </cell>
        </row>
        <row r="1387">
          <cell r="K1387">
            <v>34052.6</v>
          </cell>
        </row>
        <row r="1388">
          <cell r="K1388">
            <v>4214250.2999999989</v>
          </cell>
        </row>
        <row r="1391">
          <cell r="K1391">
            <v>378039.65</v>
          </cell>
        </row>
        <row r="1392">
          <cell r="K1392">
            <v>378039.65</v>
          </cell>
        </row>
        <row r="1411">
          <cell r="K1411">
            <v>959306.85</v>
          </cell>
        </row>
        <row r="1415">
          <cell r="K1415">
            <v>1879.98</v>
          </cell>
        </row>
        <row r="1418">
          <cell r="K1418">
            <v>30000</v>
          </cell>
        </row>
        <row r="1419">
          <cell r="K1419">
            <v>0</v>
          </cell>
        </row>
        <row r="1420">
          <cell r="K1420">
            <v>0</v>
          </cell>
        </row>
        <row r="1421">
          <cell r="K1421">
            <v>16991.099999999999</v>
          </cell>
        </row>
        <row r="1424">
          <cell r="K1424">
            <v>739044.74</v>
          </cell>
        </row>
        <row r="1425">
          <cell r="K1425">
            <v>7501.5</v>
          </cell>
        </row>
        <row r="1427">
          <cell r="K1427">
            <v>5642.26</v>
          </cell>
        </row>
        <row r="1428">
          <cell r="K1428">
            <v>492.31999999999994</v>
          </cell>
        </row>
        <row r="1430">
          <cell r="K1430">
            <v>4750.88</v>
          </cell>
        </row>
        <row r="1431">
          <cell r="C1431">
            <v>35487</v>
          </cell>
          <cell r="K1431">
            <v>47589.1</v>
          </cell>
        </row>
        <row r="1432">
          <cell r="K1432">
            <v>11702.26</v>
          </cell>
        </row>
        <row r="1433">
          <cell r="K1433">
            <v>126512.5</v>
          </cell>
        </row>
        <row r="1435">
          <cell r="K1435">
            <v>0</v>
          </cell>
        </row>
        <row r="1436">
          <cell r="K1436">
            <v>30095.360000000001</v>
          </cell>
        </row>
        <row r="1437">
          <cell r="K1437">
            <v>1022201.9999999999</v>
          </cell>
        </row>
        <row r="1440">
          <cell r="K1440">
            <v>0</v>
          </cell>
        </row>
        <row r="1443">
          <cell r="K1443">
            <v>15965.2</v>
          </cell>
        </row>
        <row r="1446">
          <cell r="K1446">
            <v>15965.2</v>
          </cell>
        </row>
        <row r="1448">
          <cell r="K1448">
            <v>0</v>
          </cell>
        </row>
        <row r="1450">
          <cell r="K1450">
            <v>603.28</v>
          </cell>
        </row>
        <row r="1451">
          <cell r="K1451">
            <v>17098.86</v>
          </cell>
        </row>
        <row r="1453">
          <cell r="K1453">
            <v>17702.14</v>
          </cell>
        </row>
        <row r="1457">
          <cell r="K1457">
            <v>-3264215.29</v>
          </cell>
        </row>
        <row r="1458">
          <cell r="K1458">
            <v>-6287951</v>
          </cell>
        </row>
        <row r="1459">
          <cell r="K1459">
            <v>-9552166.2899999991</v>
          </cell>
        </row>
        <row r="1466">
          <cell r="K1466">
            <v>20253</v>
          </cell>
        </row>
        <row r="1467">
          <cell r="K1467">
            <v>-6222</v>
          </cell>
        </row>
        <row r="1468">
          <cell r="K1468">
            <v>142524.51999999999</v>
          </cell>
        </row>
        <row r="1469">
          <cell r="K1469">
            <v>156555.51999999999</v>
          </cell>
        </row>
        <row r="1472">
          <cell r="K1472">
            <v>486772.1</v>
          </cell>
        </row>
        <row r="1473">
          <cell r="K1473">
            <v>13046.52</v>
          </cell>
        </row>
        <row r="1474">
          <cell r="K1474">
            <v>7800</v>
          </cell>
        </row>
        <row r="1475">
          <cell r="K1475">
            <v>147.6</v>
          </cell>
        </row>
        <row r="1476">
          <cell r="K1476">
            <v>4696.38</v>
          </cell>
        </row>
        <row r="1477">
          <cell r="K1477">
            <v>4054.52</v>
          </cell>
        </row>
        <row r="1478">
          <cell r="K1478">
            <v>29836.800000000003</v>
          </cell>
        </row>
        <row r="1479">
          <cell r="K1479">
            <v>78616.479999999996</v>
          </cell>
        </row>
        <row r="1480">
          <cell r="K1480">
            <v>3694.36</v>
          </cell>
        </row>
        <row r="1481">
          <cell r="K1481">
            <v>628664.76</v>
          </cell>
        </row>
        <row r="1485">
          <cell r="K1485">
            <v>0</v>
          </cell>
        </row>
        <row r="1489">
          <cell r="K1489">
            <v>50360.959999999999</v>
          </cell>
        </row>
        <row r="1492">
          <cell r="K1492">
            <v>4033319.12</v>
          </cell>
        </row>
        <row r="1493">
          <cell r="K1493">
            <v>4033319.12</v>
          </cell>
        </row>
        <row r="1496">
          <cell r="K1496">
            <v>204279.83</v>
          </cell>
        </row>
        <row r="1497">
          <cell r="K1497">
            <v>204279.83</v>
          </cell>
        </row>
        <row r="1501">
          <cell r="K1501">
            <v>0</v>
          </cell>
        </row>
        <row r="1502">
          <cell r="K1502">
            <v>0</v>
          </cell>
        </row>
        <row r="1503">
          <cell r="K1503">
            <v>15536.259999999998</v>
          </cell>
        </row>
        <row r="1504">
          <cell r="K1504">
            <v>9440.58</v>
          </cell>
        </row>
        <row r="1505">
          <cell r="C1505">
            <v>6173</v>
          </cell>
        </row>
        <row r="1506">
          <cell r="K1506">
            <v>0</v>
          </cell>
        </row>
        <row r="1507">
          <cell r="C1507">
            <v>81396</v>
          </cell>
          <cell r="K1507">
            <v>28534.75</v>
          </cell>
        </row>
        <row r="1508">
          <cell r="K1508">
            <v>0</v>
          </cell>
        </row>
        <row r="1509">
          <cell r="K1509">
            <v>50269.38</v>
          </cell>
        </row>
        <row r="1510">
          <cell r="K1510">
            <v>103780.97</v>
          </cell>
        </row>
        <row r="1513">
          <cell r="K1513">
            <v>16528.39</v>
          </cell>
        </row>
        <row r="1514">
          <cell r="K1514">
            <v>513.29999999999995</v>
          </cell>
        </row>
        <row r="1515">
          <cell r="K1515">
            <v>81656.17</v>
          </cell>
        </row>
        <row r="1516">
          <cell r="K1516">
            <v>22885.19</v>
          </cell>
        </row>
        <row r="1517">
          <cell r="K1517">
            <v>121583.05</v>
          </cell>
        </row>
        <row r="1522">
          <cell r="K1522">
            <v>-90938</v>
          </cell>
        </row>
        <row r="1537">
          <cell r="K1537">
            <v>7115.72</v>
          </cell>
        </row>
        <row r="1542">
          <cell r="K1542">
            <v>45522.48</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unds"/>
      <sheetName val="Salary_Bdgt"/>
      <sheetName val="Emp_No#"/>
      <sheetName val="Emp_Not Placed"/>
      <sheetName val="Salary_Bdgt (2)"/>
    </sheetNames>
    <sheetDataSet>
      <sheetData sheetId="0" refreshError="1"/>
      <sheetData sheetId="1" refreshError="1">
        <row r="17">
          <cell r="H17">
            <v>1527850</v>
          </cell>
          <cell r="I17">
            <v>1677</v>
          </cell>
          <cell r="J17">
            <v>4848</v>
          </cell>
          <cell r="K17">
            <v>4509</v>
          </cell>
          <cell r="M17">
            <v>45</v>
          </cell>
          <cell r="R17">
            <v>509286</v>
          </cell>
          <cell r="U17">
            <v>126685</v>
          </cell>
        </row>
        <row r="32">
          <cell r="H32">
            <v>332923</v>
          </cell>
          <cell r="I32">
            <v>6733</v>
          </cell>
          <cell r="J32">
            <v>6733</v>
          </cell>
          <cell r="K32">
            <v>6262</v>
          </cell>
          <cell r="L32">
            <v>13493</v>
          </cell>
          <cell r="M32">
            <v>270</v>
          </cell>
          <cell r="N32">
            <v>25525</v>
          </cell>
          <cell r="O32">
            <v>0</v>
          </cell>
          <cell r="P32">
            <v>0</v>
          </cell>
          <cell r="Q32">
            <v>27744</v>
          </cell>
          <cell r="R32">
            <v>0</v>
          </cell>
          <cell r="S32">
            <v>0</v>
          </cell>
          <cell r="T32">
            <v>7497</v>
          </cell>
          <cell r="U32">
            <v>0</v>
          </cell>
          <cell r="V32">
            <v>0</v>
          </cell>
          <cell r="W32">
            <v>0</v>
          </cell>
        </row>
        <row r="38">
          <cell r="H38">
            <v>427894</v>
          </cell>
          <cell r="I38">
            <v>1617</v>
          </cell>
          <cell r="J38">
            <v>9797</v>
          </cell>
          <cell r="K38">
            <v>9111</v>
          </cell>
          <cell r="L38">
            <v>0</v>
          </cell>
          <cell r="M38">
            <v>45</v>
          </cell>
          <cell r="N38">
            <v>125715</v>
          </cell>
          <cell r="Q38">
            <v>35658</v>
          </cell>
          <cell r="R38">
            <v>79661</v>
          </cell>
          <cell r="S38">
            <v>25723</v>
          </cell>
          <cell r="T38">
            <v>0</v>
          </cell>
          <cell r="U38">
            <v>18509</v>
          </cell>
          <cell r="V38">
            <v>0</v>
          </cell>
          <cell r="X38">
            <v>35657</v>
          </cell>
        </row>
        <row r="45">
          <cell r="H45">
            <v>140063</v>
          </cell>
          <cell r="I45">
            <v>2801</v>
          </cell>
          <cell r="J45">
            <v>2801</v>
          </cell>
          <cell r="K45">
            <v>2605</v>
          </cell>
          <cell r="L45">
            <v>0</v>
          </cell>
          <cell r="M45">
            <v>0</v>
          </cell>
          <cell r="N45">
            <v>29105</v>
          </cell>
          <cell r="O45">
            <v>0</v>
          </cell>
          <cell r="P45">
            <v>0</v>
          </cell>
          <cell r="Q45">
            <v>11672</v>
          </cell>
          <cell r="R45">
            <v>0</v>
          </cell>
          <cell r="S45">
            <v>0</v>
          </cell>
          <cell r="T45">
            <v>0</v>
          </cell>
          <cell r="U45">
            <v>0</v>
          </cell>
          <cell r="V45">
            <v>0</v>
          </cell>
          <cell r="W45">
            <v>0</v>
          </cell>
        </row>
        <row r="51">
          <cell r="H51">
            <v>352721</v>
          </cell>
          <cell r="I51">
            <v>1617</v>
          </cell>
          <cell r="J51">
            <v>9112</v>
          </cell>
          <cell r="K51">
            <v>8474</v>
          </cell>
          <cell r="L51">
            <v>0</v>
          </cell>
          <cell r="M51">
            <v>0</v>
          </cell>
          <cell r="N51">
            <v>0</v>
          </cell>
          <cell r="Q51">
            <v>29393</v>
          </cell>
          <cell r="R51">
            <v>145295</v>
          </cell>
          <cell r="S51">
            <v>31693</v>
          </cell>
          <cell r="T51">
            <v>0</v>
          </cell>
          <cell r="U51">
            <v>28771</v>
          </cell>
          <cell r="V51">
            <v>0</v>
          </cell>
          <cell r="X51">
            <v>0</v>
          </cell>
        </row>
        <row r="57">
          <cell r="H57">
            <v>68482</v>
          </cell>
          <cell r="I57">
            <v>1385</v>
          </cell>
          <cell r="J57">
            <v>1385</v>
          </cell>
          <cell r="K57">
            <v>1288</v>
          </cell>
          <cell r="L57">
            <v>0</v>
          </cell>
          <cell r="M57">
            <v>45</v>
          </cell>
          <cell r="N57">
            <v>13026</v>
          </cell>
          <cell r="O57">
            <v>0</v>
          </cell>
          <cell r="P57">
            <v>0</v>
          </cell>
          <cell r="Q57">
            <v>5707</v>
          </cell>
          <cell r="R57">
            <v>0</v>
          </cell>
          <cell r="S57">
            <v>0</v>
          </cell>
          <cell r="T57">
            <v>1549</v>
          </cell>
          <cell r="U57">
            <v>0</v>
          </cell>
          <cell r="V57">
            <v>14307</v>
          </cell>
          <cell r="W57">
            <v>0</v>
          </cell>
        </row>
        <row r="63">
          <cell r="H63">
            <v>358153</v>
          </cell>
          <cell r="I63">
            <v>1617</v>
          </cell>
          <cell r="J63">
            <v>8816</v>
          </cell>
          <cell r="K63">
            <v>8199</v>
          </cell>
          <cell r="L63">
            <v>20436</v>
          </cell>
          <cell r="M63">
            <v>45</v>
          </cell>
          <cell r="N63">
            <v>71280</v>
          </cell>
          <cell r="Q63">
            <v>29846</v>
          </cell>
          <cell r="R63">
            <v>95024</v>
          </cell>
          <cell r="S63">
            <v>47749</v>
          </cell>
          <cell r="T63">
            <v>0</v>
          </cell>
          <cell r="U63">
            <v>22537</v>
          </cell>
          <cell r="V63">
            <v>0</v>
          </cell>
          <cell r="X63">
            <v>29846</v>
          </cell>
        </row>
        <row r="69">
          <cell r="H69">
            <v>70031</v>
          </cell>
          <cell r="I69">
            <v>1401</v>
          </cell>
          <cell r="J69">
            <v>1401</v>
          </cell>
          <cell r="K69">
            <v>1303</v>
          </cell>
          <cell r="L69">
            <v>0</v>
          </cell>
          <cell r="M69">
            <v>45</v>
          </cell>
          <cell r="N69">
            <v>0</v>
          </cell>
          <cell r="O69">
            <v>0</v>
          </cell>
          <cell r="P69">
            <v>0</v>
          </cell>
          <cell r="Q69">
            <v>5836</v>
          </cell>
          <cell r="R69">
            <v>0</v>
          </cell>
          <cell r="S69">
            <v>0</v>
          </cell>
          <cell r="T69">
            <v>0</v>
          </cell>
          <cell r="U69">
            <v>0</v>
          </cell>
          <cell r="V69">
            <v>0</v>
          </cell>
          <cell r="W69">
            <v>0</v>
          </cell>
        </row>
        <row r="75">
          <cell r="H75">
            <v>352721</v>
          </cell>
          <cell r="I75">
            <v>1617</v>
          </cell>
          <cell r="J75">
            <v>9112</v>
          </cell>
          <cell r="K75">
            <v>8474</v>
          </cell>
          <cell r="L75">
            <v>0</v>
          </cell>
          <cell r="M75">
            <v>0</v>
          </cell>
          <cell r="N75">
            <v>0</v>
          </cell>
          <cell r="Q75">
            <v>29393</v>
          </cell>
          <cell r="R75">
            <v>145295</v>
          </cell>
          <cell r="S75">
            <v>31693</v>
          </cell>
          <cell r="T75">
            <v>0</v>
          </cell>
          <cell r="U75">
            <v>28771</v>
          </cell>
          <cell r="V75">
            <v>0</v>
          </cell>
          <cell r="X75">
            <v>0</v>
          </cell>
        </row>
        <row r="81">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row>
        <row r="87">
          <cell r="H87">
            <v>352721</v>
          </cell>
          <cell r="I87">
            <v>1617</v>
          </cell>
          <cell r="J87">
            <v>9112</v>
          </cell>
          <cell r="K87">
            <v>8474</v>
          </cell>
          <cell r="L87">
            <v>0</v>
          </cell>
          <cell r="M87">
            <v>0</v>
          </cell>
          <cell r="N87">
            <v>0</v>
          </cell>
          <cell r="Q87">
            <v>29393</v>
          </cell>
          <cell r="R87">
            <v>145295</v>
          </cell>
          <cell r="S87">
            <v>31693</v>
          </cell>
          <cell r="T87">
            <v>0</v>
          </cell>
          <cell r="U87">
            <v>28771</v>
          </cell>
          <cell r="V87">
            <v>0</v>
          </cell>
          <cell r="X87">
            <v>0</v>
          </cell>
        </row>
        <row r="99">
          <cell r="H99">
            <v>528232</v>
          </cell>
          <cell r="I99">
            <v>6469</v>
          </cell>
          <cell r="J99">
            <v>10602</v>
          </cell>
          <cell r="K99">
            <v>9860</v>
          </cell>
          <cell r="L99">
            <v>0</v>
          </cell>
          <cell r="M99">
            <v>90</v>
          </cell>
          <cell r="N99">
            <v>85360</v>
          </cell>
          <cell r="O99">
            <v>0</v>
          </cell>
          <cell r="P99">
            <v>0</v>
          </cell>
          <cell r="Q99">
            <v>44019</v>
          </cell>
          <cell r="R99">
            <v>0</v>
          </cell>
          <cell r="S99">
            <v>0</v>
          </cell>
          <cell r="T99">
            <v>3726</v>
          </cell>
          <cell r="U99">
            <v>0</v>
          </cell>
          <cell r="V99">
            <v>145883</v>
          </cell>
          <cell r="W99">
            <v>0</v>
          </cell>
        </row>
        <row r="126">
          <cell r="H126">
            <v>2235274</v>
          </cell>
          <cell r="I126">
            <v>33396</v>
          </cell>
          <cell r="J126">
            <v>45451</v>
          </cell>
          <cell r="K126">
            <v>42270</v>
          </cell>
          <cell r="L126">
            <v>120010</v>
          </cell>
          <cell r="M126">
            <v>855</v>
          </cell>
          <cell r="N126">
            <v>373090</v>
          </cell>
          <cell r="O126">
            <v>0</v>
          </cell>
          <cell r="P126">
            <v>0</v>
          </cell>
          <cell r="Q126">
            <v>186273</v>
          </cell>
          <cell r="R126">
            <v>32400</v>
          </cell>
          <cell r="S126">
            <v>12804</v>
          </cell>
          <cell r="T126">
            <v>29388</v>
          </cell>
          <cell r="U126">
            <v>0</v>
          </cell>
          <cell r="V126">
            <v>0</v>
          </cell>
          <cell r="W126">
            <v>0</v>
          </cell>
        </row>
        <row r="133">
          <cell r="H133">
            <v>167236</v>
          </cell>
          <cell r="I133">
            <v>1617</v>
          </cell>
          <cell r="J133">
            <v>3345</v>
          </cell>
          <cell r="K133">
            <v>3111</v>
          </cell>
          <cell r="L133">
            <v>0</v>
          </cell>
          <cell r="M133">
            <v>0</v>
          </cell>
          <cell r="N133">
            <v>34752</v>
          </cell>
          <cell r="O133">
            <v>0</v>
          </cell>
          <cell r="P133">
            <v>0</v>
          </cell>
          <cell r="Q133">
            <v>13936</v>
          </cell>
          <cell r="R133">
            <v>0</v>
          </cell>
          <cell r="S133">
            <v>0</v>
          </cell>
          <cell r="T133">
            <v>0</v>
          </cell>
          <cell r="U133">
            <v>0</v>
          </cell>
          <cell r="V133">
            <v>0</v>
          </cell>
          <cell r="W133">
            <v>0</v>
          </cell>
        </row>
        <row r="141">
          <cell r="H141">
            <v>233607</v>
          </cell>
          <cell r="I141">
            <v>4057</v>
          </cell>
          <cell r="J141">
            <v>5433</v>
          </cell>
          <cell r="K141">
            <v>5053</v>
          </cell>
          <cell r="L141">
            <v>26539</v>
          </cell>
          <cell r="M141">
            <v>135</v>
          </cell>
          <cell r="N141">
            <v>37240</v>
          </cell>
          <cell r="O141">
            <v>0</v>
          </cell>
          <cell r="P141">
            <v>0</v>
          </cell>
          <cell r="Q141">
            <v>19467</v>
          </cell>
          <cell r="R141">
            <v>36288</v>
          </cell>
          <cell r="S141">
            <v>6402</v>
          </cell>
          <cell r="T141">
            <v>4093</v>
          </cell>
          <cell r="U141">
            <v>29336</v>
          </cell>
          <cell r="V141">
            <v>64129</v>
          </cell>
          <cell r="W141">
            <v>0</v>
          </cell>
        </row>
        <row r="150">
          <cell r="H150">
            <v>517693</v>
          </cell>
          <cell r="I150">
            <v>6252</v>
          </cell>
          <cell r="J150">
            <v>10807</v>
          </cell>
          <cell r="K150">
            <v>10050</v>
          </cell>
          <cell r="L150">
            <v>65844</v>
          </cell>
          <cell r="M150">
            <v>180</v>
          </cell>
          <cell r="N150">
            <v>87255</v>
          </cell>
          <cell r="O150">
            <v>0</v>
          </cell>
          <cell r="P150">
            <v>0</v>
          </cell>
          <cell r="Q150">
            <v>43141</v>
          </cell>
          <cell r="R150">
            <v>32400</v>
          </cell>
          <cell r="T150">
            <v>6402</v>
          </cell>
          <cell r="U150">
            <v>6480</v>
          </cell>
          <cell r="V150">
            <v>46449</v>
          </cell>
          <cell r="W150">
            <v>0</v>
          </cell>
        </row>
        <row r="167">
          <cell r="H167">
            <v>801991</v>
          </cell>
          <cell r="I167">
            <v>10888</v>
          </cell>
          <cell r="J167">
            <v>16237</v>
          </cell>
          <cell r="K167">
            <v>15100</v>
          </cell>
          <cell r="L167">
            <v>89964</v>
          </cell>
          <cell r="M167">
            <v>360</v>
          </cell>
          <cell r="N167">
            <v>167693</v>
          </cell>
          <cell r="O167">
            <v>0</v>
          </cell>
          <cell r="P167">
            <v>0</v>
          </cell>
          <cell r="Q167">
            <v>66833</v>
          </cell>
          <cell r="R167">
            <v>0</v>
          </cell>
          <cell r="S167">
            <v>1532</v>
          </cell>
          <cell r="T167">
            <v>18145</v>
          </cell>
          <cell r="U167">
            <v>0</v>
          </cell>
          <cell r="V167">
            <v>71031</v>
          </cell>
          <cell r="W167">
            <v>0</v>
          </cell>
        </row>
        <row r="178">
          <cell r="H178">
            <v>745355</v>
          </cell>
          <cell r="I178">
            <v>8896</v>
          </cell>
          <cell r="J178">
            <v>16280</v>
          </cell>
          <cell r="K178">
            <v>15141</v>
          </cell>
          <cell r="L178">
            <v>99259</v>
          </cell>
          <cell r="M178">
            <v>270</v>
          </cell>
          <cell r="N178">
            <v>96859</v>
          </cell>
          <cell r="O178">
            <v>0</v>
          </cell>
          <cell r="P178">
            <v>0</v>
          </cell>
          <cell r="Q178">
            <v>62113</v>
          </cell>
          <cell r="R178">
            <v>103781</v>
          </cell>
          <cell r="S178">
            <v>6402</v>
          </cell>
          <cell r="T178">
            <v>12273</v>
          </cell>
          <cell r="U178">
            <v>14878</v>
          </cell>
          <cell r="V178">
            <v>24644</v>
          </cell>
          <cell r="W178">
            <v>0</v>
          </cell>
        </row>
        <row r="184">
          <cell r="H184">
            <v>175701</v>
          </cell>
          <cell r="I184">
            <v>1617</v>
          </cell>
          <cell r="J184">
            <v>3514</v>
          </cell>
          <cell r="K184">
            <v>3268</v>
          </cell>
          <cell r="L184">
            <v>0</v>
          </cell>
          <cell r="M184">
            <v>45</v>
          </cell>
          <cell r="N184">
            <v>0</v>
          </cell>
          <cell r="O184">
            <v>0</v>
          </cell>
          <cell r="P184">
            <v>0</v>
          </cell>
          <cell r="Q184">
            <v>14642</v>
          </cell>
          <cell r="R184">
            <v>0</v>
          </cell>
          <cell r="S184">
            <v>0</v>
          </cell>
          <cell r="T184">
            <v>0</v>
          </cell>
          <cell r="U184">
            <v>0</v>
          </cell>
          <cell r="V184">
            <v>0</v>
          </cell>
          <cell r="W184">
            <v>0</v>
          </cell>
        </row>
        <row r="190">
          <cell r="H190">
            <v>68482</v>
          </cell>
          <cell r="I190">
            <v>1385</v>
          </cell>
          <cell r="J190">
            <v>1385</v>
          </cell>
          <cell r="K190">
            <v>1288</v>
          </cell>
          <cell r="L190">
            <v>3751</v>
          </cell>
          <cell r="M190">
            <v>45</v>
          </cell>
          <cell r="N190">
            <v>14553</v>
          </cell>
          <cell r="O190">
            <v>0</v>
          </cell>
          <cell r="P190">
            <v>0</v>
          </cell>
          <cell r="Q190">
            <v>5707</v>
          </cell>
          <cell r="R190">
            <v>0</v>
          </cell>
          <cell r="S190">
            <v>0</v>
          </cell>
          <cell r="T190">
            <v>1549</v>
          </cell>
          <cell r="U190">
            <v>0</v>
          </cell>
          <cell r="V190">
            <v>0</v>
          </cell>
          <cell r="W190">
            <v>0</v>
          </cell>
        </row>
        <row r="211">
          <cell r="H211">
            <v>774183</v>
          </cell>
          <cell r="I211">
            <v>10840</v>
          </cell>
          <cell r="J211">
            <v>15659</v>
          </cell>
          <cell r="K211">
            <v>14563</v>
          </cell>
          <cell r="L211">
            <v>41594</v>
          </cell>
          <cell r="M211">
            <v>360</v>
          </cell>
          <cell r="N211">
            <v>150214</v>
          </cell>
          <cell r="O211">
            <v>0</v>
          </cell>
          <cell r="P211">
            <v>0</v>
          </cell>
          <cell r="Q211">
            <v>64515</v>
          </cell>
          <cell r="R211">
            <v>0</v>
          </cell>
          <cell r="T211">
            <v>17516</v>
          </cell>
          <cell r="U211">
            <v>0</v>
          </cell>
          <cell r="V211">
            <v>0</v>
          </cell>
          <cell r="W211">
            <v>0</v>
          </cell>
        </row>
        <row r="233">
          <cell r="H233">
            <v>322002</v>
          </cell>
          <cell r="I233">
            <v>6513</v>
          </cell>
          <cell r="J233">
            <v>6513</v>
          </cell>
          <cell r="K233">
            <v>6057</v>
          </cell>
          <cell r="L233">
            <v>13493</v>
          </cell>
          <cell r="M233">
            <v>270</v>
          </cell>
          <cell r="N233">
            <v>63606</v>
          </cell>
          <cell r="O233">
            <v>0</v>
          </cell>
          <cell r="P233">
            <v>0</v>
          </cell>
          <cell r="Q233">
            <v>26834</v>
          </cell>
          <cell r="R233">
            <v>0</v>
          </cell>
          <cell r="T233">
            <v>7278</v>
          </cell>
          <cell r="U233">
            <v>0</v>
          </cell>
          <cell r="V233">
            <v>0</v>
          </cell>
          <cell r="W233">
            <v>0</v>
          </cell>
        </row>
        <row r="243">
          <cell r="H243">
            <v>494257</v>
          </cell>
          <cell r="I243">
            <v>7062</v>
          </cell>
          <cell r="J243">
            <v>10305</v>
          </cell>
          <cell r="K243">
            <v>9584</v>
          </cell>
          <cell r="L243">
            <v>22486</v>
          </cell>
          <cell r="M243">
            <v>225</v>
          </cell>
          <cell r="N243">
            <v>74562</v>
          </cell>
          <cell r="O243">
            <v>0</v>
          </cell>
          <cell r="P243">
            <v>0</v>
          </cell>
          <cell r="Q243">
            <v>41188</v>
          </cell>
          <cell r="R243">
            <v>32400</v>
          </cell>
          <cell r="S243">
            <v>0</v>
          </cell>
          <cell r="T243">
            <v>9598</v>
          </cell>
          <cell r="U243">
            <v>0</v>
          </cell>
          <cell r="V243">
            <v>129346</v>
          </cell>
          <cell r="W243">
            <v>0</v>
          </cell>
        </row>
        <row r="260">
          <cell r="H260">
            <v>360672</v>
          </cell>
          <cell r="I260">
            <v>6025</v>
          </cell>
          <cell r="J260">
            <v>7929</v>
          </cell>
          <cell r="K260">
            <v>7374</v>
          </cell>
          <cell r="L260">
            <v>56923</v>
          </cell>
          <cell r="M260">
            <v>180</v>
          </cell>
          <cell r="N260">
            <v>34982</v>
          </cell>
          <cell r="O260">
            <v>28506</v>
          </cell>
          <cell r="P260">
            <v>134452</v>
          </cell>
          <cell r="Q260">
            <v>30056</v>
          </cell>
          <cell r="R260">
            <v>36288</v>
          </cell>
          <cell r="S260">
            <v>2946</v>
          </cell>
          <cell r="T260">
            <v>3862</v>
          </cell>
          <cell r="U260">
            <v>0</v>
          </cell>
          <cell r="V260">
            <v>0</v>
          </cell>
          <cell r="W260">
            <v>0</v>
          </cell>
        </row>
        <row r="271">
          <cell r="H271">
            <v>157712</v>
          </cell>
          <cell r="I271">
            <v>3261</v>
          </cell>
          <cell r="J271">
            <v>3261</v>
          </cell>
          <cell r="K271">
            <v>3033</v>
          </cell>
          <cell r="L271">
            <v>0</v>
          </cell>
          <cell r="M271">
            <v>135</v>
          </cell>
          <cell r="N271">
            <v>32356</v>
          </cell>
          <cell r="O271">
            <v>7125</v>
          </cell>
          <cell r="P271">
            <v>0</v>
          </cell>
          <cell r="Q271">
            <v>13143</v>
          </cell>
          <cell r="R271">
            <v>0</v>
          </cell>
          <cell r="S271">
            <v>0</v>
          </cell>
          <cell r="T271">
            <v>3554</v>
          </cell>
          <cell r="U271">
            <v>0</v>
          </cell>
          <cell r="V271">
            <v>0</v>
          </cell>
          <cell r="W271">
            <v>0</v>
          </cell>
        </row>
        <row r="305">
          <cell r="H305">
            <v>1548419</v>
          </cell>
          <cell r="I305">
            <v>28240</v>
          </cell>
          <cell r="J305">
            <v>31383</v>
          </cell>
          <cell r="K305">
            <v>29187</v>
          </cell>
          <cell r="L305">
            <v>75622</v>
          </cell>
          <cell r="M305">
            <v>990</v>
          </cell>
          <cell r="N305">
            <v>281021</v>
          </cell>
          <cell r="O305">
            <v>11623</v>
          </cell>
          <cell r="P305">
            <v>0</v>
          </cell>
          <cell r="Q305">
            <v>129035</v>
          </cell>
          <cell r="R305">
            <v>0</v>
          </cell>
          <cell r="S305">
            <v>2580</v>
          </cell>
          <cell r="T305">
            <v>27295</v>
          </cell>
          <cell r="U305">
            <v>0</v>
          </cell>
          <cell r="V305">
            <v>28756</v>
          </cell>
          <cell r="W305">
            <v>22687</v>
          </cell>
        </row>
        <row r="319">
          <cell r="H319">
            <v>376035</v>
          </cell>
          <cell r="I319">
            <v>7694</v>
          </cell>
          <cell r="J319">
            <v>7694</v>
          </cell>
          <cell r="K319">
            <v>7155</v>
          </cell>
          <cell r="L319">
            <v>25236</v>
          </cell>
          <cell r="M319">
            <v>315</v>
          </cell>
          <cell r="N319">
            <v>73640</v>
          </cell>
          <cell r="O319">
            <v>3478</v>
          </cell>
          <cell r="P319">
            <v>0</v>
          </cell>
          <cell r="Q319">
            <v>31336</v>
          </cell>
          <cell r="R319">
            <v>0</v>
          </cell>
          <cell r="S319">
            <v>5303</v>
          </cell>
          <cell r="T319">
            <v>8501</v>
          </cell>
          <cell r="U319">
            <v>0</v>
          </cell>
          <cell r="V319">
            <v>0</v>
          </cell>
          <cell r="W319">
            <v>0</v>
          </cell>
        </row>
        <row r="415">
          <cell r="H415">
            <v>3141922</v>
          </cell>
          <cell r="I415">
            <v>61607</v>
          </cell>
          <cell r="J415">
            <v>63845</v>
          </cell>
          <cell r="K415">
            <v>59376</v>
          </cell>
          <cell r="L415">
            <v>79769</v>
          </cell>
          <cell r="M415">
            <v>2205</v>
          </cell>
          <cell r="N415">
            <v>508469</v>
          </cell>
          <cell r="O415">
            <v>50799</v>
          </cell>
          <cell r="P415">
            <v>19098</v>
          </cell>
          <cell r="Q415">
            <v>261827</v>
          </cell>
          <cell r="R415">
            <v>0</v>
          </cell>
          <cell r="S415">
            <v>0</v>
          </cell>
          <cell r="T415">
            <v>49888</v>
          </cell>
          <cell r="U415">
            <v>0</v>
          </cell>
          <cell r="V415">
            <v>0</v>
          </cell>
          <cell r="W415">
            <v>0</v>
          </cell>
        </row>
        <row r="470">
          <cell r="H470">
            <v>2305833</v>
          </cell>
          <cell r="I470">
            <v>43550</v>
          </cell>
          <cell r="J470">
            <v>46814</v>
          </cell>
          <cell r="K470">
            <v>43537</v>
          </cell>
          <cell r="L470">
            <v>102694</v>
          </cell>
          <cell r="M470">
            <v>1620</v>
          </cell>
          <cell r="N470">
            <v>385817</v>
          </cell>
          <cell r="O470">
            <v>31402</v>
          </cell>
          <cell r="P470">
            <v>19996</v>
          </cell>
          <cell r="Q470">
            <v>192153</v>
          </cell>
          <cell r="R470">
            <v>0</v>
          </cell>
          <cell r="T470">
            <v>38349</v>
          </cell>
          <cell r="U470">
            <v>0</v>
          </cell>
          <cell r="V470">
            <v>66635</v>
          </cell>
          <cell r="W470">
            <v>113434</v>
          </cell>
        </row>
        <row r="502">
          <cell r="H502">
            <v>969891</v>
          </cell>
          <cell r="I502">
            <v>16405</v>
          </cell>
          <cell r="J502">
            <v>19753</v>
          </cell>
          <cell r="K502">
            <v>18370</v>
          </cell>
          <cell r="L502">
            <v>69494</v>
          </cell>
          <cell r="M502">
            <v>495</v>
          </cell>
          <cell r="N502">
            <v>132163</v>
          </cell>
          <cell r="O502">
            <v>19622</v>
          </cell>
          <cell r="P502">
            <v>3698</v>
          </cell>
          <cell r="Q502">
            <v>80824</v>
          </cell>
          <cell r="R502">
            <v>0</v>
          </cell>
          <cell r="S502">
            <v>6402</v>
          </cell>
          <cell r="T502">
            <v>9444</v>
          </cell>
          <cell r="U502">
            <v>0</v>
          </cell>
          <cell r="V502">
            <v>0</v>
          </cell>
          <cell r="W502">
            <v>0</v>
          </cell>
        </row>
        <row r="557">
          <cell r="H557">
            <v>2935413</v>
          </cell>
          <cell r="I557">
            <v>51606</v>
          </cell>
          <cell r="J557">
            <v>59486</v>
          </cell>
          <cell r="K557">
            <v>55322</v>
          </cell>
          <cell r="L557">
            <v>125338</v>
          </cell>
          <cell r="M557">
            <v>1710</v>
          </cell>
          <cell r="N557">
            <v>485370</v>
          </cell>
          <cell r="O557">
            <v>26638</v>
          </cell>
          <cell r="P557">
            <v>283523</v>
          </cell>
          <cell r="Q557">
            <v>244618</v>
          </cell>
          <cell r="R557">
            <v>0</v>
          </cell>
          <cell r="S557">
            <v>0</v>
          </cell>
          <cell r="T557">
            <v>51158</v>
          </cell>
          <cell r="U557">
            <v>0</v>
          </cell>
          <cell r="V557">
            <v>0</v>
          </cell>
          <cell r="W557">
            <v>90747</v>
          </cell>
        </row>
        <row r="567">
          <cell r="H567">
            <v>632543</v>
          </cell>
          <cell r="I567">
            <v>6925</v>
          </cell>
          <cell r="J567">
            <v>12780</v>
          </cell>
          <cell r="K567">
            <v>11886</v>
          </cell>
          <cell r="L567">
            <v>29837</v>
          </cell>
          <cell r="M567">
            <v>225</v>
          </cell>
          <cell r="N567">
            <v>131442</v>
          </cell>
          <cell r="O567">
            <v>0</v>
          </cell>
          <cell r="P567">
            <v>0</v>
          </cell>
          <cell r="Q567">
            <v>52712</v>
          </cell>
          <cell r="R567">
            <v>0</v>
          </cell>
          <cell r="S567">
            <v>0</v>
          </cell>
          <cell r="T567">
            <v>0</v>
          </cell>
          <cell r="U567">
            <v>12960</v>
          </cell>
          <cell r="W567">
            <v>0</v>
          </cell>
        </row>
        <row r="575">
          <cell r="Y575">
            <v>26127</v>
          </cell>
        </row>
        <row r="584">
          <cell r="Y584">
            <v>196983</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unds"/>
      <sheetName val="Sal_RIA"/>
      <sheetName val="Sheet1"/>
    </sheetNames>
    <sheetDataSet>
      <sheetData sheetId="0" refreshError="1"/>
      <sheetData sheetId="1" refreshError="1">
        <row r="17">
          <cell r="M17">
            <v>307</v>
          </cell>
          <cell r="N17">
            <v>0</v>
          </cell>
          <cell r="O17">
            <v>0</v>
          </cell>
          <cell r="P17">
            <v>0</v>
          </cell>
          <cell r="U17">
            <v>0</v>
          </cell>
        </row>
        <row r="32">
          <cell r="H32">
            <v>1402403</v>
          </cell>
          <cell r="J32">
            <v>19862</v>
          </cell>
          <cell r="N32">
            <v>0</v>
          </cell>
          <cell r="R32">
            <v>467467</v>
          </cell>
          <cell r="U32">
            <v>116305</v>
          </cell>
        </row>
        <row r="38">
          <cell r="I38">
            <v>0</v>
          </cell>
          <cell r="L38">
            <v>0</v>
          </cell>
          <cell r="M38">
            <v>0</v>
          </cell>
        </row>
        <row r="44">
          <cell r="H44">
            <v>326593</v>
          </cell>
          <cell r="I44">
            <v>0</v>
          </cell>
          <cell r="L44">
            <v>0</v>
          </cell>
          <cell r="M44">
            <v>0</v>
          </cell>
          <cell r="N44">
            <v>0</v>
          </cell>
        </row>
        <row r="56">
          <cell r="H56">
            <v>326593</v>
          </cell>
        </row>
        <row r="62">
          <cell r="H62">
            <v>326593</v>
          </cell>
        </row>
        <row r="90">
          <cell r="M90">
            <v>614</v>
          </cell>
          <cell r="O90">
            <v>0</v>
          </cell>
          <cell r="P90">
            <v>0</v>
          </cell>
          <cell r="R90">
            <v>0</v>
          </cell>
          <cell r="S90">
            <v>10580</v>
          </cell>
        </row>
        <row r="96">
          <cell r="L96">
            <v>0</v>
          </cell>
          <cell r="M96">
            <v>0</v>
          </cell>
          <cell r="R96">
            <v>0</v>
          </cell>
        </row>
        <row r="105">
          <cell r="M105">
            <v>154</v>
          </cell>
          <cell r="S105">
            <v>8012</v>
          </cell>
        </row>
        <row r="113">
          <cell r="M113">
            <v>77</v>
          </cell>
          <cell r="R113">
            <v>0</v>
          </cell>
        </row>
        <row r="128">
          <cell r="M128">
            <v>384</v>
          </cell>
          <cell r="O128">
            <v>0</v>
          </cell>
          <cell r="P128">
            <v>0</v>
          </cell>
          <cell r="S128">
            <v>11198</v>
          </cell>
        </row>
        <row r="138">
          <cell r="M138">
            <v>77</v>
          </cell>
        </row>
        <row r="153">
          <cell r="M153">
            <v>77</v>
          </cell>
        </row>
        <row r="186">
          <cell r="M186">
            <v>154</v>
          </cell>
        </row>
        <row r="196">
          <cell r="M196">
            <v>154</v>
          </cell>
        </row>
        <row r="203">
          <cell r="M203">
            <v>77</v>
          </cell>
        </row>
        <row r="240">
          <cell r="M240">
            <v>768</v>
          </cell>
          <cell r="S240">
            <v>8012</v>
          </cell>
        </row>
        <row r="253">
          <cell r="M253">
            <v>307</v>
          </cell>
          <cell r="O253">
            <v>0</v>
          </cell>
          <cell r="P253">
            <v>0</v>
          </cell>
        </row>
        <row r="427">
          <cell r="M427">
            <v>1459</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Index"/>
      <sheetName val="Budget Speech"/>
      <sheetName val="Resolution_1"/>
      <sheetName val="Exec_Sum_2-13"/>
      <sheetName val="Schedule 1 - Rev by Source_5"/>
      <sheetName val="Schedule 2 -Opex by Vote_6"/>
      <sheetName val="Schedule 3(a) - Capex by GFS_7"/>
      <sheetName val="Schedule 4 - Capex Funding_8"/>
      <sheetName val="Table 5 - Sum of R&amp; E by Vote_9"/>
      <sheetName val="S Table 1 - IDP Budget Rev_10"/>
      <sheetName val="S Table 2 - IDP Budget Opex_11"/>
      <sheetName val="S Table 3 - IDP Budget Capex_12"/>
      <sheetName val="S Table 4 - Investments_13"/>
      <sheetName val="S Table 4a - Investments_14"/>
      <sheetName val="S Table 5-Allocations Rec_15"/>
      <sheetName val="S Table 6 - New Borrowing"/>
      <sheetName val="S Table 7 - Allocations Made"/>
      <sheetName val="S Table 8 - Salaries etc"/>
      <sheetName val="S Table 8a - Personnel Costs"/>
      <sheetName val="S Table 8b - Personnel Numbers"/>
      <sheetName val="STable 9 - Cash Flow Projection"/>
      <sheetName val="STable 10 - Performance by Vote"/>
      <sheetName val="STable 11 - Capex by Category"/>
      <sheetName val="Chart - Rev by Major Source_G"/>
      <sheetName val="Chart - Rev By Minor Source_H"/>
      <sheetName val="Chart - Opex by Major Vote_I"/>
      <sheetName val="Chart - Opex by Minor Vote_J"/>
      <sheetName val="Chart - Capex by Major Vote_K"/>
      <sheetName val="Chart - Capex by Minor Vote_L"/>
      <sheetName val="Chart - Capex Funding_M"/>
      <sheetName val="Chart - Opex by Major Nature_N"/>
      <sheetName val="Chart - Opex by Minor Nature_O"/>
      <sheetName val=" Table 1 - Rev by Source"/>
      <sheetName val="Table 2 - Opex by Vote"/>
      <sheetName val="Table 3 - Capex by Vote"/>
      <sheetName val="Table 4 - Capex Funding"/>
      <sheetName val="Table 6 - Exp by Type"/>
      <sheetName val="OPEX_ Bdgt_F"/>
      <sheetName val="CAPEX_Bdgt"/>
      <sheetName val="Levies"/>
      <sheetName val="RATES_CALC"/>
      <sheetName val="TARIFF_TOWN"/>
      <sheetName val="TARIFF_FARMS"/>
      <sheetName val="DBSA"/>
      <sheetName val="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2">
          <cell r="R12">
            <v>1143828.4000000001</v>
          </cell>
        </row>
        <row r="26">
          <cell r="R26">
            <v>436761.72</v>
          </cell>
        </row>
      </sheetData>
      <sheetData sheetId="41" refreshError="1">
        <row r="157">
          <cell r="I157">
            <v>1971112.7150000005</v>
          </cell>
        </row>
        <row r="356">
          <cell r="L356">
            <v>713687.49531645596</v>
          </cell>
        </row>
        <row r="5037">
          <cell r="M5037">
            <v>3042298.4349999679</v>
          </cell>
          <cell r="N5037">
            <v>1595355.8499999486</v>
          </cell>
        </row>
        <row r="5038">
          <cell r="N5038">
            <v>1691077.2009999459</v>
          </cell>
        </row>
        <row r="5039">
          <cell r="N5039">
            <v>1792541.8330599426</v>
          </cell>
        </row>
        <row r="5050">
          <cell r="M5050">
            <v>172033.95</v>
          </cell>
        </row>
        <row r="5057">
          <cell r="M5057">
            <v>1261566.5699999998</v>
          </cell>
        </row>
      </sheetData>
      <sheetData sheetId="42" refreshError="1"/>
      <sheetData sheetId="43" refreshError="1">
        <row r="9">
          <cell r="F9">
            <v>2251155</v>
          </cell>
        </row>
      </sheetData>
      <sheetData sheetId="44" refreshError="1"/>
      <sheetData sheetId="45" refreshError="1"/>
    </sheetDataSet>
  </externalBook>
</externalLink>
</file>

<file path=xl/queryTables/queryTable1.xml><?xml version="1.0" encoding="utf-8"?>
<queryTable xmlns="http://schemas.openxmlformats.org/spreadsheetml/2006/main" name="PF0812"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M2906" connectionId="3"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F0816"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trlProp" Target="../ctrlProps/ctrlProp10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2" Type="http://schemas.openxmlformats.org/officeDocument/2006/relationships/drawing" Target="../drawings/drawing2.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ctrlProp" Target="../ctrlProps/ctrlProp64.xml"/><Relationship Id="rId74" Type="http://schemas.openxmlformats.org/officeDocument/2006/relationships/ctrlProp" Target="../ctrlProps/ctrlProp72.xml"/><Relationship Id="rId79" Type="http://schemas.openxmlformats.org/officeDocument/2006/relationships/ctrlProp" Target="../ctrlProps/ctrlProp77.xml"/><Relationship Id="rId87" Type="http://schemas.openxmlformats.org/officeDocument/2006/relationships/ctrlProp" Target="../ctrlProps/ctrlProp85.xml"/><Relationship Id="rId102" Type="http://schemas.openxmlformats.org/officeDocument/2006/relationships/ctrlProp" Target="../ctrlProps/ctrlProp100.xml"/><Relationship Id="rId5" Type="http://schemas.openxmlformats.org/officeDocument/2006/relationships/ctrlProp" Target="../ctrlProps/ctrlProp3.xml"/><Relationship Id="rId61" Type="http://schemas.openxmlformats.org/officeDocument/2006/relationships/ctrlProp" Target="../ctrlProps/ctrlProp59.xml"/><Relationship Id="rId82" Type="http://schemas.openxmlformats.org/officeDocument/2006/relationships/ctrlProp" Target="../ctrlProps/ctrlProp80.xml"/><Relationship Id="rId90" Type="http://schemas.openxmlformats.org/officeDocument/2006/relationships/ctrlProp" Target="../ctrlProps/ctrlProp88.xml"/><Relationship Id="rId95" Type="http://schemas.openxmlformats.org/officeDocument/2006/relationships/ctrlProp" Target="../ctrlProps/ctrlProp93.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93" Type="http://schemas.openxmlformats.org/officeDocument/2006/relationships/ctrlProp" Target="../ctrlProps/ctrlProp91.xml"/><Relationship Id="rId98" Type="http://schemas.openxmlformats.org/officeDocument/2006/relationships/ctrlProp" Target="../ctrlProps/ctrlProp96.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103" Type="http://schemas.openxmlformats.org/officeDocument/2006/relationships/ctrlProp" Target="../ctrlProps/ctrlProp101.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91" Type="http://schemas.openxmlformats.org/officeDocument/2006/relationships/ctrlProp" Target="../ctrlProps/ctrlProp89.xml"/><Relationship Id="rId96" Type="http://schemas.openxmlformats.org/officeDocument/2006/relationships/ctrlProp" Target="../ctrlProps/ctrlProp94.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5.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7.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36"/>
  <sheetViews>
    <sheetView zoomScale="86" zoomScaleNormal="86" workbookViewId="0">
      <selection activeCell="C6" sqref="C6"/>
    </sheetView>
  </sheetViews>
  <sheetFormatPr defaultColWidth="9.140625" defaultRowHeight="15.75" x14ac:dyDescent="0.25"/>
  <cols>
    <col min="1" max="1" width="5.7109375" style="1" customWidth="1"/>
    <col min="2" max="2" width="40.7109375" style="17" customWidth="1"/>
    <col min="3" max="3" width="40.7109375" style="1155" customWidth="1"/>
    <col min="4" max="4" width="5.7109375" style="1" customWidth="1"/>
    <col min="5" max="5" width="9.140625" style="1"/>
    <col min="6" max="6" width="4.28515625" style="1" customWidth="1"/>
    <col min="7" max="7" width="35.7109375" style="1" customWidth="1"/>
    <col min="8" max="8" width="4.28515625" style="1" customWidth="1"/>
    <col min="9" max="9" width="9.140625" style="1"/>
    <col min="10" max="10" width="4.28515625" style="1" customWidth="1"/>
    <col min="11" max="11" width="9.140625" style="1"/>
    <col min="12" max="12" width="25.7109375" style="1" customWidth="1"/>
    <col min="13" max="16384" width="9.140625" style="1"/>
  </cols>
  <sheetData>
    <row r="1" spans="1:12" x14ac:dyDescent="0.25">
      <c r="A1" s="1129">
        <f>C17</f>
        <v>2012</v>
      </c>
      <c r="D1" s="1142"/>
      <c r="E1" s="1144"/>
      <c r="F1" s="1143"/>
    </row>
    <row r="2" spans="1:12" x14ac:dyDescent="0.25">
      <c r="B2" s="2771" t="s">
        <v>5991</v>
      </c>
      <c r="C2" s="2771"/>
      <c r="D2" s="1150"/>
      <c r="E2" s="1148"/>
      <c r="F2" s="1145"/>
    </row>
    <row r="3" spans="1:12" ht="16.5" thickBot="1" x14ac:dyDescent="0.3">
      <c r="B3" s="2771" t="s">
        <v>769</v>
      </c>
      <c r="C3" s="2771"/>
      <c r="F3" s="17" t="s">
        <v>3569</v>
      </c>
      <c r="L3" s="17" t="s">
        <v>4216</v>
      </c>
    </row>
    <row r="4" spans="1:12" x14ac:dyDescent="0.25">
      <c r="A4" s="6"/>
      <c r="B4" s="7"/>
      <c r="C4" s="1188" t="str">
        <f>PROPER(C5)</f>
        <v>Mohokare Local Municipality</v>
      </c>
      <c r="D4" s="9"/>
      <c r="F4" s="6"/>
      <c r="G4" s="8"/>
      <c r="H4" s="8"/>
      <c r="I4" s="8"/>
      <c r="J4" s="9"/>
      <c r="L4" s="1398"/>
    </row>
    <row r="5" spans="1:12" x14ac:dyDescent="0.25">
      <c r="A5" s="10"/>
      <c r="B5" s="11" t="s">
        <v>764</v>
      </c>
      <c r="C5" s="1160" t="s">
        <v>5991</v>
      </c>
      <c r="D5" s="13"/>
      <c r="F5" s="10"/>
      <c r="G5" s="11" t="s">
        <v>2728</v>
      </c>
      <c r="H5" s="12"/>
      <c r="I5" s="1093"/>
      <c r="J5" s="13"/>
      <c r="L5" s="1399"/>
    </row>
    <row r="6" spans="1:12" x14ac:dyDescent="0.25">
      <c r="A6" s="10"/>
      <c r="B6" s="11"/>
      <c r="C6" s="1156" t="str">
        <f>UPPER(TEXT(C7,"[$-1C09]dd mmmm yyyy;@"))</f>
        <v>30 JUNE 2012</v>
      </c>
      <c r="D6" s="13"/>
      <c r="F6" s="10"/>
      <c r="G6" s="12"/>
      <c r="H6" s="12"/>
      <c r="I6" s="12"/>
      <c r="J6" s="13"/>
      <c r="L6" s="1399"/>
    </row>
    <row r="7" spans="1:12" x14ac:dyDescent="0.25">
      <c r="A7" s="10"/>
      <c r="B7" s="11" t="s">
        <v>765</v>
      </c>
      <c r="C7" s="1161">
        <v>41090</v>
      </c>
      <c r="D7" s="1187"/>
      <c r="F7" s="10"/>
      <c r="G7" s="12" t="s">
        <v>3860</v>
      </c>
      <c r="H7" s="12"/>
      <c r="I7" s="1138"/>
      <c r="J7" s="13"/>
      <c r="L7" s="1399"/>
    </row>
    <row r="8" spans="1:12" x14ac:dyDescent="0.25">
      <c r="A8" s="10"/>
      <c r="B8" s="11"/>
      <c r="C8" s="1186">
        <f>DATE(Current+1,6,30)</f>
        <v>41455</v>
      </c>
      <c r="D8" s="13"/>
      <c r="F8" s="10"/>
      <c r="G8" s="12"/>
      <c r="H8" s="12"/>
      <c r="I8" s="12"/>
      <c r="J8" s="13"/>
      <c r="L8" s="1399"/>
    </row>
    <row r="9" spans="1:12" x14ac:dyDescent="0.25">
      <c r="A9" s="10"/>
      <c r="B9" s="11" t="s">
        <v>779</v>
      </c>
      <c r="C9" s="1159" t="str">
        <f>TEXT(C8,"[$-1C09]dd mmmm yyyy;@")</f>
        <v>30 June 2013</v>
      </c>
      <c r="D9" s="13"/>
      <c r="F9" s="10"/>
      <c r="G9" s="12" t="s">
        <v>3861</v>
      </c>
      <c r="H9" s="12"/>
      <c r="I9" s="1095"/>
      <c r="J9" s="13"/>
      <c r="L9" s="1399" t="str">
        <f>UPPER(C9)</f>
        <v>30 JUNE 2013</v>
      </c>
    </row>
    <row r="10" spans="1:12" x14ac:dyDescent="0.25">
      <c r="A10" s="10"/>
      <c r="B10" s="11"/>
      <c r="C10" s="1182">
        <f>DATE(Current,6,30)</f>
        <v>41090</v>
      </c>
      <c r="D10" s="13"/>
      <c r="F10" s="10"/>
      <c r="G10" s="12"/>
      <c r="H10" s="12"/>
      <c r="I10" s="12"/>
      <c r="J10" s="13"/>
      <c r="L10" s="1399"/>
    </row>
    <row r="11" spans="1:12" x14ac:dyDescent="0.25">
      <c r="A11" s="10"/>
      <c r="B11" s="11" t="s">
        <v>773</v>
      </c>
      <c r="C11" s="1158" t="str">
        <f>TEXT(C7,"[$-1C09]dd mmmm yyyy;@")</f>
        <v>30 June 2012</v>
      </c>
      <c r="D11" s="13"/>
      <c r="F11" s="10"/>
      <c r="G11" s="12" t="s">
        <v>3862</v>
      </c>
      <c r="H11" s="12"/>
      <c r="I11" s="1096"/>
      <c r="J11" s="13"/>
      <c r="L11" s="1399" t="str">
        <f>UPPER(YearEnd)</f>
        <v>30 JUNE 2012</v>
      </c>
    </row>
    <row r="12" spans="1:12" x14ac:dyDescent="0.25">
      <c r="A12" s="10"/>
      <c r="B12" s="11"/>
      <c r="C12" s="1182">
        <f>DATE(Prior,6,30)</f>
        <v>40724</v>
      </c>
      <c r="D12" s="13"/>
      <c r="F12" s="10"/>
      <c r="G12" s="12"/>
      <c r="H12" s="12"/>
      <c r="I12" s="1137"/>
      <c r="J12" s="13"/>
      <c r="L12" s="1399"/>
    </row>
    <row r="13" spans="1:12" x14ac:dyDescent="0.25">
      <c r="A13" s="10"/>
      <c r="B13" s="11" t="s">
        <v>774</v>
      </c>
      <c r="C13" s="1158" t="str">
        <f>TEXT(C12,"[$-1C09]dd mmmm yyyy;@")</f>
        <v>30 June 2011</v>
      </c>
      <c r="D13" s="13"/>
      <c r="F13" s="10"/>
      <c r="G13" s="12" t="s">
        <v>3863</v>
      </c>
      <c r="H13" s="12"/>
      <c r="I13" s="1094"/>
      <c r="J13" s="13"/>
      <c r="L13" s="1399" t="str">
        <f>UPPER(PriorYear)</f>
        <v>30 JUNE 2011</v>
      </c>
    </row>
    <row r="14" spans="1:12" x14ac:dyDescent="0.25">
      <c r="A14" s="10"/>
      <c r="B14" s="11"/>
      <c r="C14" s="1182">
        <f>DATE(Base,6,30)</f>
        <v>40359</v>
      </c>
      <c r="D14" s="13"/>
      <c r="F14" s="10"/>
      <c r="G14" s="12"/>
      <c r="H14" s="12"/>
      <c r="I14" s="12"/>
      <c r="J14" s="13"/>
      <c r="L14" s="1399"/>
    </row>
    <row r="15" spans="1:12" x14ac:dyDescent="0.25">
      <c r="A15" s="10"/>
      <c r="B15" s="11" t="s">
        <v>775</v>
      </c>
      <c r="C15" s="1158" t="str">
        <f>TEXT(C14,"[$-1C09]dd mmmm yyyy;@")</f>
        <v>30 June 2010</v>
      </c>
      <c r="D15" s="13"/>
      <c r="F15" s="10"/>
      <c r="G15" s="12" t="s">
        <v>2729</v>
      </c>
      <c r="H15" s="12"/>
      <c r="I15" s="1191"/>
      <c r="J15" s="13"/>
      <c r="L15" s="1399" t="str">
        <f>UPPER(C15)</f>
        <v>30 JUNE 2010</v>
      </c>
    </row>
    <row r="16" spans="1:12" x14ac:dyDescent="0.25">
      <c r="A16" s="10"/>
      <c r="B16" s="11"/>
      <c r="C16" s="1154"/>
      <c r="D16" s="13"/>
      <c r="F16" s="10"/>
      <c r="G16" s="12"/>
      <c r="H16" s="12"/>
      <c r="I16" s="1137"/>
      <c r="J16" s="13"/>
      <c r="L16" s="1399"/>
    </row>
    <row r="17" spans="1:12" x14ac:dyDescent="0.25">
      <c r="A17" s="10"/>
      <c r="B17" s="11" t="s">
        <v>766</v>
      </c>
      <c r="C17" s="1158">
        <f>IF(MONTH(C7)&lt;7,YEAR(C7),YEAR(C7)+1)</f>
        <v>2012</v>
      </c>
      <c r="D17" s="13"/>
      <c r="F17" s="10"/>
      <c r="G17" s="12" t="s">
        <v>4215</v>
      </c>
      <c r="H17" s="12"/>
      <c r="I17" s="1394"/>
      <c r="J17" s="13"/>
      <c r="L17" s="1399"/>
    </row>
    <row r="18" spans="1:12" ht="16.5" thickBot="1" x14ac:dyDescent="0.3">
      <c r="A18" s="10"/>
      <c r="B18" s="11"/>
      <c r="C18" s="1154"/>
      <c r="D18" s="13"/>
      <c r="F18" s="10"/>
      <c r="G18" s="12"/>
      <c r="H18" s="12"/>
      <c r="I18" s="1137"/>
      <c r="J18" s="13"/>
      <c r="L18" s="1400"/>
    </row>
    <row r="19" spans="1:12" x14ac:dyDescent="0.25">
      <c r="A19" s="10"/>
      <c r="B19" s="11" t="s">
        <v>767</v>
      </c>
      <c r="C19" s="1158">
        <f>Current-1</f>
        <v>2011</v>
      </c>
      <c r="D19" s="13"/>
      <c r="F19" s="10"/>
      <c r="G19" s="12" t="s">
        <v>3568</v>
      </c>
      <c r="H19" s="12"/>
      <c r="I19" s="1192"/>
      <c r="J19" s="13"/>
    </row>
    <row r="20" spans="1:12" ht="16.5" thickBot="1" x14ac:dyDescent="0.3">
      <c r="A20" s="10"/>
      <c r="B20" s="11"/>
      <c r="C20" s="1158"/>
      <c r="D20" s="13"/>
      <c r="F20" s="1395"/>
      <c r="G20" s="1396"/>
      <c r="H20" s="1396"/>
      <c r="I20" s="1396"/>
      <c r="J20" s="1397"/>
    </row>
    <row r="21" spans="1:12" x14ac:dyDescent="0.25">
      <c r="A21" s="10"/>
      <c r="B21" s="11" t="s">
        <v>768</v>
      </c>
      <c r="C21" s="1158">
        <f>Prior-1</f>
        <v>2010</v>
      </c>
      <c r="D21" s="13"/>
    </row>
    <row r="22" spans="1:12" x14ac:dyDescent="0.25">
      <c r="A22" s="10"/>
      <c r="B22" s="11"/>
      <c r="C22" s="1154"/>
      <c r="D22" s="13"/>
    </row>
    <row r="23" spans="1:12" x14ac:dyDescent="0.25">
      <c r="A23" s="10"/>
      <c r="B23" s="11" t="s">
        <v>778</v>
      </c>
      <c r="C23" s="1154" t="str">
        <f>Current&amp;"/"&amp;Current-1999</f>
        <v>2012/13</v>
      </c>
      <c r="D23" s="13"/>
    </row>
    <row r="24" spans="1:12" x14ac:dyDescent="0.25">
      <c r="A24" s="10"/>
      <c r="B24" s="11"/>
      <c r="C24" s="1154"/>
      <c r="D24" s="13"/>
    </row>
    <row r="25" spans="1:12" x14ac:dyDescent="0.25">
      <c r="A25" s="10"/>
      <c r="B25" s="11" t="s">
        <v>770</v>
      </c>
      <c r="C25" s="1154" t="str">
        <f>Prior&amp;"/"&amp;Prior-1999</f>
        <v>2011/12</v>
      </c>
      <c r="D25" s="13"/>
    </row>
    <row r="26" spans="1:12" x14ac:dyDescent="0.25">
      <c r="A26" s="10"/>
      <c r="B26" s="11"/>
      <c r="C26" s="1154"/>
      <c r="D26" s="13"/>
    </row>
    <row r="27" spans="1:12" x14ac:dyDescent="0.25">
      <c r="A27" s="10"/>
      <c r="B27" s="11" t="s">
        <v>771</v>
      </c>
      <c r="C27" s="1154" t="str">
        <f>C21&amp;"/"&amp;C21-1999</f>
        <v>2010/11</v>
      </c>
      <c r="D27" s="13"/>
    </row>
    <row r="28" spans="1:12" x14ac:dyDescent="0.25">
      <c r="A28" s="10"/>
      <c r="B28" s="11"/>
      <c r="C28" s="1154"/>
      <c r="D28" s="13"/>
    </row>
    <row r="29" spans="1:12" x14ac:dyDescent="0.25">
      <c r="A29" s="10"/>
      <c r="B29" s="11" t="s">
        <v>772</v>
      </c>
      <c r="C29" s="1154" t="str">
        <f>C25&amp;" / "&amp;C27</f>
        <v>2011/12 / 2010/11</v>
      </c>
      <c r="D29" s="13"/>
    </row>
    <row r="30" spans="1:12" x14ac:dyDescent="0.25">
      <c r="A30" s="10"/>
      <c r="B30" s="11"/>
      <c r="C30" s="1182">
        <f>DATE(Prior,7,1)</f>
        <v>40725</v>
      </c>
      <c r="D30" s="13"/>
    </row>
    <row r="31" spans="1:12" x14ac:dyDescent="0.25">
      <c r="A31" s="10"/>
      <c r="B31" s="11" t="s">
        <v>776</v>
      </c>
      <c r="C31" s="1158" t="str">
        <f>TEXT(C30,"[$-1C09]dd mmmm yyyy;@")</f>
        <v>01 July 2011</v>
      </c>
      <c r="D31" s="13"/>
    </row>
    <row r="32" spans="1:12" x14ac:dyDescent="0.25">
      <c r="A32" s="10"/>
      <c r="B32" s="11"/>
      <c r="C32" s="1182">
        <f>DATE(Base,7,1)</f>
        <v>40360</v>
      </c>
      <c r="D32" s="13"/>
    </row>
    <row r="33" spans="1:4" x14ac:dyDescent="0.25">
      <c r="A33" s="10"/>
      <c r="B33" s="11" t="s">
        <v>777</v>
      </c>
      <c r="C33" s="1158" t="str">
        <f>TEXT(C32,"[$-1C09]dd mmmm yyyy;@")</f>
        <v>01 July 2010</v>
      </c>
      <c r="D33" s="13"/>
    </row>
    <row r="34" spans="1:4" x14ac:dyDescent="0.25">
      <c r="A34" s="10"/>
      <c r="B34" s="11"/>
      <c r="C34" s="1154"/>
      <c r="D34" s="13"/>
    </row>
    <row r="35" spans="1:4" x14ac:dyDescent="0.25">
      <c r="A35" s="10"/>
      <c r="B35" s="11" t="s">
        <v>2727</v>
      </c>
      <c r="C35" s="1158">
        <f>IF(MONTH(C7)&lt;7,MONTH(C7)+6,MONTH(C7)-6)</f>
        <v>12</v>
      </c>
      <c r="D35" s="13"/>
    </row>
    <row r="36" spans="1:4" ht="16.5" thickBot="1" x14ac:dyDescent="0.3">
      <c r="A36" s="14"/>
      <c r="B36" s="15"/>
      <c r="C36" s="1157"/>
      <c r="D36" s="16"/>
    </row>
  </sheetData>
  <mergeCells count="2">
    <mergeCell ref="B2:C2"/>
    <mergeCell ref="B3:C3"/>
  </mergeCells>
  <pageMargins left="0.7" right="0.7" top="0.75" bottom="0.75" header="0.3" footer="0.3"/>
  <pageSetup paperSize="9" orientation="portrait" r:id="rId1"/>
  <ignoredErrors>
    <ignoredError sqref="C12 C14 C3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Button 1">
              <controlPr defaultSize="0" print="0" autoFill="0" autoPict="0" macro="[0]!PopulateAFS">
                <anchor moveWithCells="1" sizeWithCells="1">
                  <from>
                    <xdr:col>3</xdr:col>
                    <xdr:colOff>66675</xdr:colOff>
                    <xdr:row>0</xdr:row>
                    <xdr:rowOff>47625</xdr:rowOff>
                  </from>
                  <to>
                    <xdr:col>5</xdr:col>
                    <xdr:colOff>228600</xdr:colOff>
                    <xdr:row>1</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C5057"/>
  <sheetViews>
    <sheetView view="pageBreakPreview" topLeftCell="A4038" zoomScale="70" zoomScaleNormal="75" zoomScaleSheetLayoutView="70" workbookViewId="0">
      <selection activeCell="M4038" sqref="M4038"/>
    </sheetView>
  </sheetViews>
  <sheetFormatPr defaultColWidth="9.140625" defaultRowHeight="14.25" x14ac:dyDescent="0.2"/>
  <cols>
    <col min="1" max="1" width="4.7109375" style="48" customWidth="1"/>
    <col min="2" max="2" width="40.7109375" style="48" customWidth="1"/>
    <col min="3" max="3" width="18.140625" style="48" customWidth="1"/>
    <col min="4" max="4" width="1.7109375" style="57" customWidth="1"/>
    <col min="5" max="5" width="16.7109375" style="48" customWidth="1"/>
    <col min="6" max="6" width="1.7109375" style="57" customWidth="1"/>
    <col min="7" max="7" width="17.5703125" style="57" customWidth="1"/>
    <col min="8" max="8" width="1.7109375" style="57" customWidth="1"/>
    <col min="9" max="9" width="18.28515625" style="199" customWidth="1"/>
    <col min="10" max="10" width="1.7109375" style="199" customWidth="1"/>
    <col min="11" max="11" width="18.140625" style="199" customWidth="1"/>
    <col min="12" max="12" width="1.7109375" style="48" customWidth="1"/>
    <col min="13" max="13" width="18.28515625" style="1147" customWidth="1"/>
    <col min="14" max="14" width="17.7109375" style="1134" customWidth="1"/>
    <col min="15" max="15" width="16.7109375" style="1149" customWidth="1"/>
    <col min="16" max="16" width="17.140625" style="1110" customWidth="1"/>
    <col min="17" max="17" width="14.28515625" style="1111" customWidth="1"/>
    <col min="18" max="18" width="17.140625" style="1111" customWidth="1"/>
    <col min="19" max="19" width="14.28515625" style="1111" customWidth="1"/>
    <col min="20" max="20" width="17.140625" style="1111" customWidth="1"/>
    <col min="21" max="21" width="14.28515625" style="1112" customWidth="1"/>
    <col min="22" max="22" width="5.140625" style="1133" customWidth="1"/>
    <col min="23" max="23" width="15.140625" style="1114" bestFit="1" customWidth="1"/>
    <col min="24" max="16384" width="9.140625" style="48"/>
  </cols>
  <sheetData>
    <row r="1" spans="1:23" ht="20.100000000000001" customHeight="1" x14ac:dyDescent="0.25">
      <c r="A1" s="2857" t="str">
        <f>Parameters!C5</f>
        <v>Mohokare Local Municipality</v>
      </c>
      <c r="B1" s="2857"/>
      <c r="C1" s="2857"/>
      <c r="D1" s="2857"/>
      <c r="E1" s="2857"/>
      <c r="F1" s="2857"/>
      <c r="G1" s="2857"/>
      <c r="H1" s="2857"/>
      <c r="I1" s="2857"/>
      <c r="J1" s="2857"/>
      <c r="K1" s="2857"/>
      <c r="L1" s="2857"/>
    </row>
    <row r="2" spans="1:23" ht="18" customHeight="1" x14ac:dyDescent="0.25">
      <c r="A2" s="2859" t="str">
        <f>"NOTES TO THE FINANCIAL STATEMENTS FOR THE YEAR ENDED "&amp;Parameters!C6</f>
        <v>NOTES TO THE FINANCIAL STATEMENTS FOR THE YEAR ENDED 30 JUNE 2012</v>
      </c>
      <c r="B2" s="2860"/>
      <c r="C2" s="2860"/>
      <c r="D2" s="2860"/>
      <c r="E2" s="2860"/>
      <c r="F2" s="2860"/>
      <c r="G2" s="2860"/>
      <c r="H2" s="2860"/>
      <c r="I2" s="2860"/>
      <c r="J2" s="2860"/>
      <c r="K2" s="2860"/>
      <c r="L2" s="2860"/>
      <c r="M2" s="281" t="s">
        <v>454</v>
      </c>
      <c r="N2" s="1271">
        <f>Parameters!C21</f>
        <v>2010</v>
      </c>
      <c r="O2" s="282"/>
      <c r="P2" s="1113" t="s">
        <v>497</v>
      </c>
      <c r="Q2" s="1114" t="s">
        <v>2761</v>
      </c>
      <c r="R2" s="1114" t="s">
        <v>497</v>
      </c>
      <c r="S2" s="1114" t="s">
        <v>2761</v>
      </c>
      <c r="T2" s="1113" t="s">
        <v>497</v>
      </c>
      <c r="U2" s="1114" t="s">
        <v>2761</v>
      </c>
      <c r="W2" s="1114" t="s">
        <v>2881</v>
      </c>
    </row>
    <row r="3" spans="1:23" ht="15.6" customHeight="1" x14ac:dyDescent="0.25">
      <c r="A3" s="50"/>
    </row>
    <row r="4" spans="1:23" ht="15.6" customHeight="1" x14ac:dyDescent="0.25">
      <c r="A4" s="50"/>
      <c r="D4" s="48"/>
      <c r="F4" s="48"/>
      <c r="H4" s="49"/>
      <c r="I4" s="1245">
        <f>Parameters!C17</f>
        <v>2012</v>
      </c>
      <c r="J4" s="53"/>
      <c r="K4" s="1245">
        <f>Parameters!C19</f>
        <v>2011</v>
      </c>
      <c r="L4" s="49"/>
    </row>
    <row r="5" spans="1:23" ht="15.6" customHeight="1" x14ac:dyDescent="0.25">
      <c r="I5" s="209" t="s">
        <v>255</v>
      </c>
      <c r="J5" s="200"/>
      <c r="K5" s="209" t="s">
        <v>255</v>
      </c>
      <c r="L5" s="210"/>
    </row>
    <row r="6" spans="1:23" ht="15.6" customHeight="1" x14ac:dyDescent="0.25">
      <c r="I6" s="209"/>
      <c r="J6" s="200"/>
      <c r="K6" s="209"/>
      <c r="L6" s="210"/>
    </row>
    <row r="7" spans="1:23" ht="15.6" customHeight="1" x14ac:dyDescent="0.25">
      <c r="A7" s="211">
        <v>8</v>
      </c>
      <c r="B7" s="50" t="s">
        <v>584</v>
      </c>
      <c r="C7" s="50"/>
      <c r="W7" s="1114" t="s">
        <v>3520</v>
      </c>
    </row>
    <row r="8" spans="1:23" ht="15.6" customHeight="1" x14ac:dyDescent="0.25">
      <c r="I8" s="253"/>
      <c r="J8" s="285"/>
      <c r="K8" s="253"/>
      <c r="L8" s="210"/>
      <c r="N8" s="1147"/>
      <c r="O8" s="1146"/>
    </row>
    <row r="9" spans="1:23" ht="15.6" hidden="1" customHeight="1" x14ac:dyDescent="0.25">
      <c r="A9" s="1177"/>
      <c r="B9" s="2936" t="s">
        <v>3983</v>
      </c>
      <c r="C9" s="2937"/>
      <c r="D9" s="2937"/>
      <c r="E9" s="2937"/>
      <c r="F9" s="2937"/>
      <c r="G9" s="2937"/>
      <c r="H9" s="2937"/>
      <c r="I9" s="2937"/>
      <c r="J9" s="2937"/>
      <c r="K9" s="2937"/>
      <c r="L9" s="980"/>
      <c r="M9" s="1133"/>
      <c r="N9" s="1133"/>
      <c r="O9" s="1133"/>
      <c r="P9" s="1097"/>
      <c r="Q9" s="1098"/>
      <c r="R9" s="1097"/>
      <c r="S9" s="1098"/>
      <c r="T9" s="1097"/>
      <c r="U9" s="1098"/>
    </row>
    <row r="10" spans="1:23" ht="15.6" customHeight="1" x14ac:dyDescent="0.25">
      <c r="B10" s="229" t="s">
        <v>7540</v>
      </c>
      <c r="I10" s="253"/>
      <c r="J10" s="285"/>
      <c r="K10" s="253"/>
      <c r="L10" s="210"/>
      <c r="M10" s="1217" t="s">
        <v>1951</v>
      </c>
      <c r="N10" s="1147"/>
      <c r="O10" s="1146"/>
      <c r="P10" s="1115"/>
      <c r="W10" s="1114" t="s">
        <v>3857</v>
      </c>
    </row>
    <row r="11" spans="1:23" ht="15.6" customHeight="1" x14ac:dyDescent="0.25">
      <c r="B11" s="229" t="s">
        <v>2476</v>
      </c>
      <c r="I11" s="253"/>
      <c r="J11" s="285"/>
      <c r="K11" s="253"/>
      <c r="L11" s="210"/>
      <c r="M11" s="1133"/>
      <c r="N11" s="1147"/>
      <c r="O11" s="1146"/>
      <c r="P11" s="1115"/>
    </row>
    <row r="12" spans="1:23" ht="15.6" customHeight="1" x14ac:dyDescent="0.25">
      <c r="I12" s="253"/>
      <c r="J12" s="285"/>
      <c r="K12" s="253"/>
      <c r="L12" s="210"/>
      <c r="M12" s="1133"/>
      <c r="N12" s="1147"/>
      <c r="O12" s="1146"/>
      <c r="P12" s="1115"/>
    </row>
    <row r="13" spans="1:23" ht="30.95" customHeight="1" x14ac:dyDescent="0.2">
      <c r="B13" s="2839" t="s">
        <v>1889</v>
      </c>
      <c r="C13" s="2839"/>
      <c r="D13" s="2839"/>
      <c r="E13" s="2839"/>
      <c r="F13" s="2839"/>
      <c r="G13" s="2839"/>
      <c r="I13" s="253"/>
      <c r="J13" s="253"/>
      <c r="K13" s="253"/>
      <c r="M13" s="1133"/>
      <c r="N13" s="1147"/>
      <c r="O13" s="1133"/>
      <c r="P13" s="1115"/>
    </row>
    <row r="14" spans="1:23" ht="15.6" hidden="1" customHeight="1" x14ac:dyDescent="0.25">
      <c r="I14" s="253"/>
      <c r="J14" s="285"/>
      <c r="K14" s="253"/>
      <c r="L14" s="210"/>
      <c r="M14" s="1133"/>
      <c r="N14" s="1147"/>
      <c r="O14" s="1133"/>
      <c r="P14" s="1115"/>
    </row>
    <row r="15" spans="1:23" ht="15.6" hidden="1" customHeight="1" x14ac:dyDescent="0.25">
      <c r="B15" s="48" t="s">
        <v>1890</v>
      </c>
      <c r="I15" s="253"/>
      <c r="J15" s="285"/>
      <c r="K15" s="253"/>
      <c r="L15" s="210"/>
      <c r="M15" s="1133"/>
      <c r="N15" s="1147"/>
      <c r="O15" s="1133"/>
      <c r="P15" s="1115"/>
    </row>
    <row r="16" spans="1:23" ht="15.6" hidden="1" customHeight="1" x14ac:dyDescent="0.25">
      <c r="B16" s="48" t="s">
        <v>1505</v>
      </c>
      <c r="I16" s="253">
        <v>0</v>
      </c>
      <c r="J16" s="285"/>
      <c r="K16" s="253">
        <v>0</v>
      </c>
      <c r="L16" s="210"/>
      <c r="M16" s="1133"/>
      <c r="N16" s="1147"/>
      <c r="O16" s="1146"/>
      <c r="P16" s="1115"/>
    </row>
    <row r="17" spans="1:23" ht="15.6" hidden="1" customHeight="1" x14ac:dyDescent="0.25">
      <c r="B17" s="48" t="s">
        <v>356</v>
      </c>
      <c r="I17" s="253">
        <v>0</v>
      </c>
      <c r="J17" s="285"/>
      <c r="K17" s="253">
        <v>0</v>
      </c>
      <c r="L17" s="210"/>
      <c r="M17" s="1133"/>
      <c r="N17" s="1147"/>
      <c r="O17" s="1146"/>
      <c r="P17" s="1115"/>
    </row>
    <row r="18" spans="1:23" ht="15.6" hidden="1" customHeight="1" x14ac:dyDescent="0.25">
      <c r="B18" s="48" t="s">
        <v>357</v>
      </c>
      <c r="I18" s="253">
        <v>0</v>
      </c>
      <c r="J18" s="285"/>
      <c r="K18" s="253">
        <v>0</v>
      </c>
      <c r="L18" s="210"/>
      <c r="M18" s="1133"/>
      <c r="N18" s="1147"/>
      <c r="O18" s="1146"/>
      <c r="P18" s="1115"/>
    </row>
    <row r="19" spans="1:23" ht="15.6" hidden="1" customHeight="1" x14ac:dyDescent="0.25">
      <c r="B19" s="48" t="s">
        <v>360</v>
      </c>
      <c r="I19" s="253">
        <v>0</v>
      </c>
      <c r="J19" s="285"/>
      <c r="K19" s="253">
        <v>0</v>
      </c>
      <c r="L19" s="210"/>
      <c r="M19" s="1133"/>
      <c r="N19" s="1147"/>
      <c r="O19" s="1146"/>
      <c r="P19" s="1115"/>
    </row>
    <row r="20" spans="1:23" ht="15.6" hidden="1" customHeight="1" x14ac:dyDescent="0.25">
      <c r="B20" s="48" t="s">
        <v>358</v>
      </c>
      <c r="I20" s="2562">
        <v>0</v>
      </c>
      <c r="J20" s="285"/>
      <c r="K20" s="2562">
        <v>0</v>
      </c>
      <c r="L20" s="210"/>
      <c r="M20" s="1133"/>
      <c r="N20" s="1147"/>
      <c r="O20" s="1146"/>
      <c r="P20" s="1115"/>
    </row>
    <row r="21" spans="1:23" ht="15.6" hidden="1" customHeight="1" x14ac:dyDescent="0.25">
      <c r="B21" s="48" t="s">
        <v>324</v>
      </c>
      <c r="I21" s="253">
        <v>0</v>
      </c>
      <c r="J21" s="285"/>
      <c r="K21" s="253">
        <v>0</v>
      </c>
      <c r="L21" s="210"/>
      <c r="M21" s="1133"/>
      <c r="N21" s="1147"/>
      <c r="O21" s="1146"/>
      <c r="P21" s="1115"/>
    </row>
    <row r="22" spans="1:23" ht="15.6" hidden="1" customHeight="1" x14ac:dyDescent="0.25">
      <c r="B22" s="48" t="s">
        <v>1506</v>
      </c>
      <c r="I22" s="253">
        <v>0</v>
      </c>
      <c r="J22" s="285"/>
      <c r="K22" s="253">
        <v>0</v>
      </c>
      <c r="L22" s="210"/>
      <c r="M22" s="1133"/>
      <c r="N22" s="1147"/>
      <c r="O22" s="1146"/>
      <c r="P22" s="1115"/>
    </row>
    <row r="23" spans="1:23" ht="15.6" hidden="1" customHeight="1" x14ac:dyDescent="0.25">
      <c r="I23" s="253"/>
      <c r="J23" s="285"/>
      <c r="K23" s="253"/>
      <c r="L23" s="210"/>
      <c r="M23" s="1133"/>
      <c r="N23" s="1147"/>
      <c r="O23" s="1146"/>
      <c r="P23" s="1115"/>
    </row>
    <row r="24" spans="1:23" s="50" customFormat="1" ht="15.6" hidden="1" customHeight="1" thickBot="1" x14ac:dyDescent="0.3">
      <c r="B24" s="50" t="s">
        <v>2279</v>
      </c>
      <c r="D24" s="219"/>
      <c r="F24" s="219"/>
      <c r="G24" s="219"/>
      <c r="H24" s="219"/>
      <c r="I24" s="772">
        <f>SUM(I16:I23)</f>
        <v>0</v>
      </c>
      <c r="J24" s="989"/>
      <c r="K24" s="772">
        <f>SUM(K16:K23)</f>
        <v>0</v>
      </c>
      <c r="L24" s="210"/>
      <c r="M24" s="234"/>
      <c r="N24" s="235"/>
      <c r="O24" s="232"/>
      <c r="P24" s="1116"/>
      <c r="Q24" s="1114"/>
      <c r="R24" s="1114"/>
      <c r="S24" s="1114"/>
      <c r="T24" s="1114"/>
      <c r="U24" s="316"/>
      <c r="V24" s="234"/>
      <c r="W24" s="1114"/>
    </row>
    <row r="25" spans="1:23" ht="15.6" hidden="1" customHeight="1" x14ac:dyDescent="0.25">
      <c r="I25" s="253"/>
      <c r="J25" s="285"/>
      <c r="K25" s="253"/>
      <c r="L25" s="210"/>
      <c r="M25" s="1133"/>
      <c r="N25" s="1147"/>
      <c r="O25" s="1146"/>
      <c r="P25" s="1115"/>
    </row>
    <row r="26" spans="1:23" ht="15.6" hidden="1" customHeight="1" x14ac:dyDescent="0.25">
      <c r="A26" s="1177"/>
      <c r="B26" s="2936" t="s">
        <v>3983</v>
      </c>
      <c r="C26" s="2937"/>
      <c r="D26" s="2937"/>
      <c r="E26" s="2937"/>
      <c r="F26" s="2937"/>
      <c r="G26" s="2937"/>
      <c r="H26" s="2937"/>
      <c r="I26" s="2937"/>
      <c r="J26" s="2937"/>
      <c r="K26" s="2937"/>
      <c r="L26" s="980"/>
      <c r="M26" s="1133"/>
      <c r="N26" s="1133"/>
      <c r="O26" s="1133"/>
      <c r="P26" s="1097"/>
      <c r="Q26" s="1098"/>
      <c r="R26" s="1097"/>
      <c r="S26" s="1098"/>
      <c r="T26" s="1097"/>
      <c r="U26" s="1098"/>
    </row>
    <row r="27" spans="1:23" ht="15.6" customHeight="1" x14ac:dyDescent="0.25">
      <c r="B27" s="229" t="s">
        <v>7541</v>
      </c>
      <c r="I27" s="253"/>
      <c r="J27" s="285"/>
      <c r="K27" s="253"/>
      <c r="L27" s="210"/>
      <c r="M27" s="1217" t="s">
        <v>1952</v>
      </c>
      <c r="N27" s="1147"/>
      <c r="O27" s="1146"/>
      <c r="P27" s="1115"/>
      <c r="W27" s="1114" t="s">
        <v>3857</v>
      </c>
    </row>
    <row r="28" spans="1:23" ht="15.6" customHeight="1" x14ac:dyDescent="0.25">
      <c r="B28" s="229" t="s">
        <v>7543</v>
      </c>
      <c r="I28" s="253"/>
      <c r="J28" s="285"/>
      <c r="K28" s="253"/>
      <c r="L28" s="210"/>
      <c r="M28" s="1133"/>
      <c r="N28" s="1147"/>
      <c r="O28" s="1146"/>
      <c r="P28" s="1115"/>
    </row>
    <row r="29" spans="1:23" ht="15.6" customHeight="1" x14ac:dyDescent="0.25">
      <c r="I29" s="253"/>
      <c r="J29" s="285"/>
      <c r="K29" s="253"/>
      <c r="L29" s="210"/>
      <c r="M29" s="1133"/>
      <c r="N29" s="1147"/>
      <c r="O29" s="1146"/>
      <c r="P29" s="1115"/>
    </row>
    <row r="30" spans="1:23" ht="30.95" customHeight="1" x14ac:dyDescent="0.2">
      <c r="B30" s="2839" t="s">
        <v>1891</v>
      </c>
      <c r="C30" s="2839"/>
      <c r="D30" s="2839"/>
      <c r="E30" s="2839"/>
      <c r="F30" s="2839"/>
      <c r="G30" s="2839"/>
      <c r="I30" s="253"/>
      <c r="J30" s="253"/>
      <c r="K30" s="253"/>
      <c r="M30" s="1133"/>
      <c r="N30" s="1147"/>
      <c r="O30" s="1133"/>
      <c r="P30" s="1115"/>
    </row>
    <row r="31" spans="1:23" ht="15.6" hidden="1" customHeight="1" x14ac:dyDescent="0.25">
      <c r="A31" s="625"/>
      <c r="B31" s="625"/>
      <c r="C31" s="625"/>
      <c r="D31" s="626"/>
      <c r="E31" s="625"/>
      <c r="F31" s="626"/>
      <c r="G31" s="626"/>
      <c r="H31" s="626"/>
      <c r="I31" s="629"/>
      <c r="J31" s="678"/>
      <c r="K31" s="629"/>
      <c r="L31" s="628"/>
      <c r="M31" s="1133"/>
      <c r="N31" s="1147"/>
      <c r="O31" s="1133"/>
      <c r="P31" s="1115"/>
    </row>
    <row r="32" spans="1:23" ht="15.6" hidden="1" customHeight="1" x14ac:dyDescent="0.25">
      <c r="B32" s="48" t="s">
        <v>1505</v>
      </c>
      <c r="I32" s="253">
        <v>0</v>
      </c>
      <c r="J32" s="285"/>
      <c r="K32" s="253">
        <v>0</v>
      </c>
      <c r="L32" s="210"/>
      <c r="M32" s="1133"/>
      <c r="N32" s="1147"/>
      <c r="O32" s="1146"/>
      <c r="P32" s="1115"/>
    </row>
    <row r="33" spans="1:23" ht="15.6" hidden="1" customHeight="1" x14ac:dyDescent="0.25">
      <c r="A33" s="745"/>
      <c r="B33" s="745" t="s">
        <v>356</v>
      </c>
      <c r="C33" s="745"/>
      <c r="D33" s="746"/>
      <c r="E33" s="745"/>
      <c r="F33" s="746"/>
      <c r="G33" s="746"/>
      <c r="H33" s="746"/>
      <c r="I33" s="953">
        <v>0</v>
      </c>
      <c r="J33" s="967"/>
      <c r="K33" s="953">
        <v>0</v>
      </c>
      <c r="L33" s="755"/>
      <c r="M33" s="1133"/>
      <c r="N33" s="1147"/>
      <c r="O33" s="1146"/>
      <c r="P33" s="1115"/>
    </row>
    <row r="34" spans="1:23" ht="15.6" hidden="1" customHeight="1" x14ac:dyDescent="0.25">
      <c r="A34" s="745"/>
      <c r="B34" s="745" t="s">
        <v>357</v>
      </c>
      <c r="C34" s="745"/>
      <c r="D34" s="746"/>
      <c r="E34" s="745"/>
      <c r="F34" s="746"/>
      <c r="G34" s="746"/>
      <c r="H34" s="746"/>
      <c r="I34" s="953">
        <v>0</v>
      </c>
      <c r="J34" s="967"/>
      <c r="K34" s="953">
        <v>0</v>
      </c>
      <c r="L34" s="755"/>
      <c r="M34" s="1133"/>
      <c r="N34" s="1147"/>
      <c r="O34" s="1146"/>
      <c r="P34" s="1115"/>
    </row>
    <row r="35" spans="1:23" ht="15.6" hidden="1" customHeight="1" x14ac:dyDescent="0.25">
      <c r="A35" s="745"/>
      <c r="B35" s="745" t="s">
        <v>360</v>
      </c>
      <c r="C35" s="745"/>
      <c r="D35" s="746"/>
      <c r="E35" s="745"/>
      <c r="F35" s="746"/>
      <c r="G35" s="746"/>
      <c r="H35" s="746"/>
      <c r="I35" s="953">
        <v>0</v>
      </c>
      <c r="J35" s="967"/>
      <c r="K35" s="953">
        <v>0</v>
      </c>
      <c r="L35" s="755"/>
      <c r="M35" s="1133"/>
      <c r="N35" s="1147"/>
      <c r="O35" s="1146"/>
      <c r="P35" s="1115"/>
    </row>
    <row r="36" spans="1:23" ht="15.6" hidden="1" customHeight="1" x14ac:dyDescent="0.25">
      <c r="B36" s="48" t="s">
        <v>358</v>
      </c>
      <c r="I36" s="253">
        <v>0</v>
      </c>
      <c r="J36" s="285"/>
      <c r="K36" s="253">
        <v>0</v>
      </c>
      <c r="L36" s="210"/>
      <c r="M36" s="1133"/>
      <c r="N36" s="1147"/>
      <c r="O36" s="1146"/>
      <c r="P36" s="1115"/>
    </row>
    <row r="37" spans="1:23" ht="15.6" hidden="1" customHeight="1" x14ac:dyDescent="0.25">
      <c r="A37" s="655"/>
      <c r="B37" s="655" t="s">
        <v>324</v>
      </c>
      <c r="C37" s="655"/>
      <c r="D37" s="656"/>
      <c r="E37" s="655"/>
      <c r="F37" s="656"/>
      <c r="G37" s="656"/>
      <c r="H37" s="656"/>
      <c r="I37" s="1523">
        <v>0</v>
      </c>
      <c r="J37" s="1524"/>
      <c r="K37" s="1523">
        <v>0</v>
      </c>
      <c r="L37" s="664"/>
      <c r="M37" s="1133"/>
      <c r="N37" s="1147"/>
      <c r="O37" s="1146"/>
      <c r="P37" s="1115"/>
    </row>
    <row r="38" spans="1:23" ht="15.6" hidden="1" customHeight="1" x14ac:dyDescent="0.25">
      <c r="A38" s="655"/>
      <c r="B38" s="655" t="s">
        <v>1506</v>
      </c>
      <c r="C38" s="655"/>
      <c r="D38" s="656"/>
      <c r="E38" s="655"/>
      <c r="F38" s="656"/>
      <c r="G38" s="656"/>
      <c r="H38" s="656"/>
      <c r="I38" s="1523">
        <v>0</v>
      </c>
      <c r="J38" s="1524"/>
      <c r="K38" s="1523">
        <v>0</v>
      </c>
      <c r="L38" s="664"/>
      <c r="M38" s="1133"/>
      <c r="N38" s="1147"/>
      <c r="O38" s="1146"/>
      <c r="P38" s="1115"/>
    </row>
    <row r="39" spans="1:23" ht="15.6" hidden="1" customHeight="1" x14ac:dyDescent="0.25">
      <c r="I39" s="253"/>
      <c r="J39" s="285"/>
      <c r="K39" s="253"/>
      <c r="L39" s="210"/>
      <c r="M39" s="1133"/>
      <c r="N39" s="1147"/>
      <c r="O39" s="1146"/>
      <c r="P39" s="1115"/>
    </row>
    <row r="40" spans="1:23" s="50" customFormat="1" ht="15.6" hidden="1" customHeight="1" thickBot="1" x14ac:dyDescent="0.3">
      <c r="B40" s="50" t="s">
        <v>7542</v>
      </c>
      <c r="D40" s="219"/>
      <c r="F40" s="219"/>
      <c r="G40" s="219"/>
      <c r="H40" s="219"/>
      <c r="I40" s="772">
        <f>SUM(I32:I39)</f>
        <v>0</v>
      </c>
      <c r="J40" s="989"/>
      <c r="K40" s="772">
        <f>SUM(K32:K39)</f>
        <v>0</v>
      </c>
      <c r="L40" s="210"/>
      <c r="M40" s="234"/>
      <c r="N40" s="235"/>
      <c r="O40" s="232"/>
      <c r="P40" s="1116"/>
      <c r="Q40" s="1114"/>
      <c r="R40" s="1114"/>
      <c r="S40" s="1114"/>
      <c r="T40" s="1114"/>
      <c r="U40" s="316"/>
      <c r="V40" s="234"/>
      <c r="W40" s="1114"/>
    </row>
    <row r="41" spans="1:23" ht="15.6" hidden="1" customHeight="1" thickTop="1" x14ac:dyDescent="0.25">
      <c r="I41" s="217">
        <v>0</v>
      </c>
      <c r="J41" s="218"/>
      <c r="K41" s="217">
        <v>0</v>
      </c>
      <c r="L41" s="210"/>
      <c r="M41" s="1133"/>
      <c r="N41" s="1147"/>
      <c r="O41" s="1146"/>
      <c r="P41" s="1115"/>
    </row>
    <row r="42" spans="1:23" ht="30.95" hidden="1" customHeight="1" x14ac:dyDescent="0.25">
      <c r="A42" s="745"/>
      <c r="B42" s="2841" t="s">
        <v>2281</v>
      </c>
      <c r="C42" s="2841"/>
      <c r="D42" s="2841"/>
      <c r="E42" s="2841"/>
      <c r="F42" s="2841"/>
      <c r="G42" s="2841"/>
      <c r="H42" s="746"/>
      <c r="I42" s="748"/>
      <c r="J42" s="748"/>
      <c r="K42" s="748"/>
      <c r="L42" s="755"/>
      <c r="M42" s="1213" t="s">
        <v>2280</v>
      </c>
      <c r="N42" s="1147"/>
      <c r="O42" s="1133"/>
      <c r="P42" s="1115"/>
    </row>
    <row r="43" spans="1:23" ht="15.6" customHeight="1" x14ac:dyDescent="0.25">
      <c r="I43" s="200"/>
      <c r="J43" s="200"/>
      <c r="K43" s="200"/>
      <c r="L43" s="210"/>
      <c r="M43" s="1133"/>
      <c r="N43" s="1147"/>
      <c r="O43" s="1146"/>
      <c r="P43" s="1115"/>
    </row>
    <row r="44" spans="1:23" ht="15.6" customHeight="1" x14ac:dyDescent="0.25">
      <c r="B44" s="229" t="s">
        <v>8147</v>
      </c>
      <c r="I44" s="253"/>
      <c r="J44" s="285"/>
      <c r="K44" s="253"/>
      <c r="L44" s="210"/>
      <c r="M44" s="1133"/>
      <c r="N44" s="1147"/>
      <c r="O44" s="1146"/>
      <c r="P44" s="1115"/>
      <c r="W44" s="1114" t="s">
        <v>3857</v>
      </c>
    </row>
    <row r="45" spans="1:23" ht="15.6" customHeight="1" x14ac:dyDescent="0.25">
      <c r="I45" s="253"/>
      <c r="J45" s="285"/>
      <c r="K45" s="253"/>
      <c r="L45" s="210"/>
      <c r="M45" s="1133"/>
      <c r="N45" s="1147"/>
      <c r="O45" s="1146"/>
      <c r="P45" s="1115"/>
    </row>
    <row r="46" spans="1:23" ht="15.6" customHeight="1" x14ac:dyDescent="0.2">
      <c r="A46" s="201"/>
      <c r="B46" s="2861" t="s">
        <v>1672</v>
      </c>
      <c r="C46" s="2861"/>
      <c r="D46" s="2861"/>
      <c r="E46" s="2861"/>
      <c r="F46" s="2861"/>
      <c r="G46" s="2861"/>
      <c r="H46" s="201"/>
      <c r="I46" s="58"/>
      <c r="K46" s="58"/>
      <c r="L46" s="201"/>
      <c r="M46" s="1133"/>
      <c r="N46" s="1147"/>
      <c r="O46" s="1146"/>
    </row>
    <row r="47" spans="1:23" ht="15.6" customHeight="1" x14ac:dyDescent="0.25">
      <c r="I47" s="58"/>
      <c r="J47" s="200"/>
      <c r="K47" s="58"/>
      <c r="M47" s="1133"/>
      <c r="N47" s="1147"/>
      <c r="O47" s="1146"/>
    </row>
    <row r="48" spans="1:23" ht="62.1" hidden="1" customHeight="1" x14ac:dyDescent="0.2">
      <c r="A48" s="625"/>
      <c r="B48" s="2854" t="s">
        <v>2194</v>
      </c>
      <c r="C48" s="2854"/>
      <c r="D48" s="2854"/>
      <c r="E48" s="2854"/>
      <c r="F48" s="2854"/>
      <c r="G48" s="2854"/>
      <c r="H48" s="626"/>
      <c r="I48" s="629"/>
      <c r="J48" s="629"/>
      <c r="K48" s="629"/>
      <c r="L48" s="625"/>
      <c r="M48" s="1213" t="s">
        <v>2282</v>
      </c>
      <c r="N48" s="1147"/>
      <c r="O48" s="1146"/>
      <c r="P48" s="1115"/>
    </row>
    <row r="49" spans="1:23" ht="15.6" hidden="1" customHeight="1" x14ac:dyDescent="0.25">
      <c r="A49" s="625"/>
      <c r="B49" s="625"/>
      <c r="C49" s="625"/>
      <c r="D49" s="626"/>
      <c r="E49" s="625"/>
      <c r="F49" s="626"/>
      <c r="G49" s="626"/>
      <c r="H49" s="626"/>
      <c r="I49" s="627"/>
      <c r="J49" s="627"/>
      <c r="K49" s="627"/>
      <c r="L49" s="628"/>
      <c r="M49" s="1133"/>
      <c r="N49" s="1147"/>
      <c r="O49" s="1146"/>
      <c r="P49" s="1115"/>
    </row>
    <row r="50" spans="1:23" ht="30.95" hidden="1" customHeight="1" x14ac:dyDescent="0.25">
      <c r="A50" s="625"/>
      <c r="B50" s="2854" t="s">
        <v>2196</v>
      </c>
      <c r="C50" s="2854"/>
      <c r="D50" s="2854"/>
      <c r="E50" s="2854"/>
      <c r="F50" s="2854"/>
      <c r="G50" s="2854"/>
      <c r="H50" s="626"/>
      <c r="I50" s="627"/>
      <c r="J50" s="627"/>
      <c r="K50" s="627"/>
      <c r="L50" s="628"/>
      <c r="M50" s="1213" t="s">
        <v>2283</v>
      </c>
      <c r="N50" s="1147"/>
      <c r="O50" s="1133"/>
      <c r="P50" s="1115"/>
    </row>
    <row r="51" spans="1:23" ht="30.95" hidden="1" customHeight="1" x14ac:dyDescent="0.25">
      <c r="A51" s="745"/>
      <c r="B51" s="2841" t="s">
        <v>2195</v>
      </c>
      <c r="C51" s="2841"/>
      <c r="D51" s="2841"/>
      <c r="E51" s="2841"/>
      <c r="F51" s="2841"/>
      <c r="G51" s="2841"/>
      <c r="H51" s="746"/>
      <c r="I51" s="748"/>
      <c r="J51" s="748"/>
      <c r="K51" s="748"/>
      <c r="L51" s="755"/>
      <c r="M51" s="1213" t="s">
        <v>2283</v>
      </c>
      <c r="N51" s="1147"/>
      <c r="O51" s="1133"/>
      <c r="P51" s="1115"/>
    </row>
    <row r="52" spans="1:23" ht="15.6" hidden="1" customHeight="1" x14ac:dyDescent="0.25">
      <c r="A52" s="745"/>
      <c r="B52" s="745"/>
      <c r="C52" s="745"/>
      <c r="D52" s="746"/>
      <c r="E52" s="745"/>
      <c r="F52" s="746"/>
      <c r="G52" s="746"/>
      <c r="H52" s="746"/>
      <c r="I52" s="748"/>
      <c r="J52" s="748"/>
      <c r="K52" s="748"/>
      <c r="L52" s="755"/>
      <c r="M52" s="1133"/>
      <c r="N52" s="1147"/>
      <c r="O52" s="1146"/>
      <c r="P52" s="1115"/>
    </row>
    <row r="53" spans="1:23" ht="15.6" customHeight="1" x14ac:dyDescent="0.25">
      <c r="B53" s="229" t="s">
        <v>8148</v>
      </c>
      <c r="I53" s="253"/>
      <c r="J53" s="285"/>
      <c r="K53" s="253"/>
      <c r="L53" s="210"/>
      <c r="M53" s="1217" t="s">
        <v>3984</v>
      </c>
      <c r="N53" s="1147"/>
      <c r="O53" s="1146"/>
      <c r="P53" s="1115"/>
      <c r="W53" s="1114" t="s">
        <v>3857</v>
      </c>
    </row>
    <row r="54" spans="1:23" ht="15.6" customHeight="1" x14ac:dyDescent="0.25">
      <c r="I54" s="253"/>
      <c r="J54" s="285"/>
      <c r="K54" s="253"/>
      <c r="L54" s="210"/>
      <c r="N54" s="1147"/>
      <c r="O54" s="1146"/>
    </row>
    <row r="55" spans="1:23" ht="123.95" hidden="1" customHeight="1" x14ac:dyDescent="0.2">
      <c r="A55" s="745"/>
      <c r="B55" s="2841" t="s">
        <v>925</v>
      </c>
      <c r="C55" s="2841"/>
      <c r="D55" s="2841"/>
      <c r="E55" s="2841"/>
      <c r="F55" s="2841"/>
      <c r="G55" s="2841"/>
      <c r="H55" s="746"/>
      <c r="I55" s="953"/>
      <c r="J55" s="953"/>
      <c r="K55" s="953"/>
      <c r="L55" s="745"/>
      <c r="M55" s="1590" t="s">
        <v>926</v>
      </c>
      <c r="N55" s="1471"/>
      <c r="O55" s="1146"/>
    </row>
    <row r="56" spans="1:23" ht="15.6" hidden="1" customHeight="1" x14ac:dyDescent="0.25">
      <c r="A56" s="745"/>
      <c r="B56" s="745"/>
      <c r="C56" s="745"/>
      <c r="D56" s="746"/>
      <c r="E56" s="745"/>
      <c r="F56" s="746"/>
      <c r="G56" s="746"/>
      <c r="H56" s="746"/>
      <c r="I56" s="953"/>
      <c r="J56" s="967"/>
      <c r="K56" s="953"/>
      <c r="L56" s="755"/>
      <c r="N56" s="1147"/>
      <c r="O56" s="1146"/>
    </row>
    <row r="57" spans="1:23" ht="46.5" hidden="1" customHeight="1" x14ac:dyDescent="0.2">
      <c r="A57" s="625"/>
      <c r="B57" s="2854" t="s">
        <v>1608</v>
      </c>
      <c r="C57" s="2854"/>
      <c r="D57" s="2854"/>
      <c r="E57" s="2854"/>
      <c r="F57" s="2854"/>
      <c r="G57" s="2854"/>
      <c r="H57" s="626"/>
      <c r="I57" s="629"/>
      <c r="J57" s="629"/>
      <c r="K57" s="629"/>
      <c r="L57" s="625"/>
      <c r="N57" s="1147"/>
      <c r="O57" s="1146"/>
    </row>
    <row r="58" spans="1:23" ht="62.1" hidden="1" customHeight="1" x14ac:dyDescent="0.2">
      <c r="A58" s="745"/>
      <c r="B58" s="2841" t="s">
        <v>1607</v>
      </c>
      <c r="C58" s="2841"/>
      <c r="D58" s="2841"/>
      <c r="E58" s="2841"/>
      <c r="F58" s="2841"/>
      <c r="G58" s="2841"/>
      <c r="H58" s="746"/>
      <c r="I58" s="953"/>
      <c r="J58" s="953"/>
      <c r="K58" s="953"/>
      <c r="L58" s="745"/>
      <c r="N58" s="1471"/>
      <c r="O58" s="1146"/>
    </row>
    <row r="59" spans="1:23" ht="32.25" customHeight="1" x14ac:dyDescent="0.2">
      <c r="B59" s="2839" t="s">
        <v>7544</v>
      </c>
      <c r="C59" s="2839"/>
      <c r="D59" s="2839"/>
      <c r="E59" s="2839"/>
      <c r="F59" s="2839"/>
      <c r="G59" s="2839"/>
      <c r="I59" s="253"/>
      <c r="J59" s="253"/>
      <c r="K59" s="253"/>
      <c r="N59" s="1471"/>
      <c r="O59" s="1146"/>
    </row>
    <row r="60" spans="1:23" ht="15.6" customHeight="1" x14ac:dyDescent="0.25">
      <c r="I60" s="253"/>
      <c r="J60" s="285"/>
      <c r="K60" s="253"/>
      <c r="L60" s="210"/>
      <c r="N60" s="1147"/>
      <c r="O60" s="1146"/>
    </row>
    <row r="61" spans="1:23" ht="15.6" customHeight="1" x14ac:dyDescent="0.25">
      <c r="B61" s="48" t="s">
        <v>127</v>
      </c>
      <c r="I61" s="253">
        <f>-'PPE Note'!E55</f>
        <v>137213.59</v>
      </c>
      <c r="J61" s="285"/>
      <c r="K61" s="253">
        <v>0</v>
      </c>
      <c r="L61" s="210"/>
      <c r="N61" s="1147"/>
      <c r="O61" s="1146"/>
    </row>
    <row r="62" spans="1:23" ht="15.6" hidden="1" customHeight="1" x14ac:dyDescent="0.25">
      <c r="B62" s="48" t="s">
        <v>526</v>
      </c>
      <c r="I62" s="253">
        <f>SUM('APPENDIX B'!AB32:AB35)</f>
        <v>0</v>
      </c>
      <c r="J62" s="285"/>
      <c r="K62" s="253">
        <v>0</v>
      </c>
      <c r="L62" s="210"/>
      <c r="N62" s="1147"/>
      <c r="O62" s="1146"/>
    </row>
    <row r="63" spans="1:23" ht="15.6" hidden="1" customHeight="1" x14ac:dyDescent="0.25">
      <c r="B63" s="48" t="s">
        <v>527</v>
      </c>
      <c r="I63" s="253">
        <f>SUM('APPENDIX B'!AB38:AB46)</f>
        <v>0</v>
      </c>
      <c r="J63" s="285"/>
      <c r="K63" s="253">
        <v>0</v>
      </c>
      <c r="L63" s="210"/>
      <c r="N63" s="1147"/>
      <c r="O63" s="1146"/>
    </row>
    <row r="64" spans="1:23" ht="15.6" hidden="1" customHeight="1" x14ac:dyDescent="0.25">
      <c r="B64" s="48" t="s">
        <v>528</v>
      </c>
      <c r="I64" s="253">
        <f>SUM('APPENDIX B'!AB50:AB53)</f>
        <v>0</v>
      </c>
      <c r="J64" s="285"/>
      <c r="K64" s="253">
        <v>0</v>
      </c>
      <c r="L64" s="210"/>
      <c r="N64" s="1147"/>
      <c r="O64" s="1146"/>
    </row>
    <row r="65" spans="2:15" ht="15.6" hidden="1" customHeight="1" x14ac:dyDescent="0.25">
      <c r="B65" s="48" t="s">
        <v>529</v>
      </c>
      <c r="I65" s="253">
        <f>SUM('APPENDIX B'!AB56:AB58)</f>
        <v>0</v>
      </c>
      <c r="J65" s="285"/>
      <c r="K65" s="253">
        <v>0</v>
      </c>
      <c r="L65" s="210"/>
      <c r="N65" s="1147"/>
      <c r="O65" s="1146"/>
    </row>
    <row r="66" spans="2:15" ht="15.6" hidden="1" customHeight="1" x14ac:dyDescent="0.25">
      <c r="B66" s="48" t="s">
        <v>530</v>
      </c>
      <c r="I66" s="253">
        <f>SUM('APPENDIX B'!AB61:AB80)</f>
        <v>0</v>
      </c>
      <c r="J66" s="285"/>
      <c r="K66" s="253">
        <v>0</v>
      </c>
      <c r="L66" s="210"/>
      <c r="N66" s="1147"/>
      <c r="O66" s="1146"/>
    </row>
    <row r="67" spans="2:15" ht="15.6" hidden="1" customHeight="1" x14ac:dyDescent="0.25">
      <c r="B67" s="48" t="s">
        <v>531</v>
      </c>
      <c r="I67" s="253">
        <f>SUM('APPENDIX B'!AB83)</f>
        <v>0</v>
      </c>
      <c r="J67" s="285"/>
      <c r="K67" s="253">
        <v>0</v>
      </c>
      <c r="L67" s="210"/>
      <c r="N67" s="1147"/>
      <c r="O67" s="1146"/>
    </row>
    <row r="68" spans="2:15" ht="15.6" hidden="1" customHeight="1" x14ac:dyDescent="0.25">
      <c r="B68" s="48" t="s">
        <v>532</v>
      </c>
      <c r="I68" s="253">
        <f>SUM('APPENDIX B'!AB87:AB89)</f>
        <v>0</v>
      </c>
      <c r="J68" s="285"/>
      <c r="K68" s="253">
        <v>0</v>
      </c>
      <c r="L68" s="210"/>
      <c r="N68" s="1147"/>
      <c r="O68" s="1146"/>
    </row>
    <row r="69" spans="2:15" ht="15.6" hidden="1" customHeight="1" x14ac:dyDescent="0.25">
      <c r="B69" s="48" t="s">
        <v>533</v>
      </c>
      <c r="I69" s="253">
        <f>SUM('APPENDIX B'!AB93:AB98)</f>
        <v>0</v>
      </c>
      <c r="J69" s="285"/>
      <c r="K69" s="253">
        <v>0</v>
      </c>
      <c r="L69" s="210"/>
      <c r="N69" s="1147"/>
      <c r="O69" s="1146"/>
    </row>
    <row r="70" spans="2:15" ht="15.6" hidden="1" customHeight="1" x14ac:dyDescent="0.25">
      <c r="B70" s="48" t="s">
        <v>534</v>
      </c>
      <c r="I70" s="253">
        <f>SUM('APPENDIX B'!AB101:AB112)</f>
        <v>0</v>
      </c>
      <c r="J70" s="285"/>
      <c r="K70" s="253">
        <v>0</v>
      </c>
      <c r="L70" s="210"/>
      <c r="N70" s="1147"/>
      <c r="O70" s="1146"/>
    </row>
    <row r="71" spans="2:15" ht="15.6" hidden="1" customHeight="1" x14ac:dyDescent="0.25">
      <c r="B71" s="48" t="s">
        <v>535</v>
      </c>
      <c r="I71" s="253">
        <f>SUM('APPENDIX B'!AB118:AB143)</f>
        <v>0</v>
      </c>
      <c r="J71" s="285"/>
      <c r="K71" s="253">
        <v>0</v>
      </c>
      <c r="L71" s="210"/>
      <c r="N71" s="1147"/>
      <c r="O71" s="1146"/>
    </row>
    <row r="72" spans="2:15" ht="15.6" hidden="1" customHeight="1" x14ac:dyDescent="0.25">
      <c r="B72" s="48" t="s">
        <v>536</v>
      </c>
      <c r="I72" s="253">
        <f>SUM('APPENDIX B'!AB146:AB160)</f>
        <v>0</v>
      </c>
      <c r="J72" s="285"/>
      <c r="K72" s="253">
        <v>0</v>
      </c>
      <c r="L72" s="210"/>
      <c r="N72" s="1147"/>
      <c r="O72" s="1146"/>
    </row>
    <row r="73" spans="2:15" ht="15.6" hidden="1" customHeight="1" x14ac:dyDescent="0.25">
      <c r="B73" s="48" t="s">
        <v>78</v>
      </c>
      <c r="I73" s="253">
        <v>0</v>
      </c>
      <c r="J73" s="285"/>
      <c r="K73" s="253">
        <v>0</v>
      </c>
      <c r="L73" s="210"/>
      <c r="N73" s="1147"/>
      <c r="O73" s="1146"/>
    </row>
    <row r="74" spans="2:15" ht="15.6" hidden="1" customHeight="1" x14ac:dyDescent="0.25">
      <c r="B74" s="48" t="s">
        <v>202</v>
      </c>
      <c r="I74" s="253">
        <f>SUM('APPENDIX B'!AB169)</f>
        <v>0</v>
      </c>
      <c r="J74" s="285"/>
      <c r="K74" s="253">
        <v>0</v>
      </c>
      <c r="L74" s="210"/>
      <c r="N74" s="1147"/>
      <c r="O74" s="1146"/>
    </row>
    <row r="75" spans="2:15" ht="15.6" hidden="1" customHeight="1" x14ac:dyDescent="0.25">
      <c r="B75" s="48" t="s">
        <v>437</v>
      </c>
      <c r="I75" s="253">
        <f>SUM('APPENDIX B'!AB174)</f>
        <v>0</v>
      </c>
      <c r="J75" s="285"/>
      <c r="K75" s="253">
        <v>0</v>
      </c>
      <c r="L75" s="210"/>
      <c r="N75" s="1147"/>
      <c r="O75" s="1146"/>
    </row>
    <row r="76" spans="2:15" ht="15.6" hidden="1" customHeight="1" x14ac:dyDescent="0.25">
      <c r="B76" s="48" t="s">
        <v>537</v>
      </c>
      <c r="I76" s="253">
        <f>SUM('APPENDIX B'!AB178)</f>
        <v>0</v>
      </c>
      <c r="J76" s="285"/>
      <c r="K76" s="253">
        <v>0</v>
      </c>
      <c r="L76" s="210"/>
      <c r="N76" s="1147"/>
      <c r="O76" s="1146"/>
    </row>
    <row r="77" spans="2:15" ht="15.6" hidden="1" customHeight="1" x14ac:dyDescent="0.25">
      <c r="B77" s="48" t="s">
        <v>538</v>
      </c>
      <c r="I77" s="253">
        <f>SUM('APPENDIX B'!AB181:AB183)</f>
        <v>0</v>
      </c>
      <c r="J77" s="285"/>
      <c r="K77" s="253">
        <v>0</v>
      </c>
      <c r="L77" s="210"/>
      <c r="N77" s="1147"/>
      <c r="O77" s="1146"/>
    </row>
    <row r="78" spans="2:15" ht="15.6" hidden="1" customHeight="1" x14ac:dyDescent="0.25">
      <c r="B78" s="48" t="s">
        <v>539</v>
      </c>
      <c r="I78" s="253">
        <f>SUM('APPENDIX B'!AB186:AB190)</f>
        <v>0</v>
      </c>
      <c r="J78" s="285"/>
      <c r="K78" s="253">
        <v>0</v>
      </c>
      <c r="L78" s="210"/>
      <c r="N78" s="1147"/>
      <c r="O78" s="1146"/>
    </row>
    <row r="79" spans="2:15" ht="15.6" hidden="1" customHeight="1" x14ac:dyDescent="0.25">
      <c r="B79" s="48" t="s">
        <v>540</v>
      </c>
      <c r="I79" s="253">
        <f>SUM('APPENDIX B'!AB193:AB198)</f>
        <v>0</v>
      </c>
      <c r="J79" s="285"/>
      <c r="K79" s="253">
        <v>0</v>
      </c>
      <c r="L79" s="210"/>
      <c r="N79" s="1147"/>
      <c r="O79" s="1146"/>
    </row>
    <row r="80" spans="2:15" ht="15.6" hidden="1" customHeight="1" x14ac:dyDescent="0.25">
      <c r="B80" s="48" t="s">
        <v>541</v>
      </c>
      <c r="I80" s="253">
        <f>SUM('APPENDIX B'!AB201:AB206)</f>
        <v>0</v>
      </c>
      <c r="J80" s="285"/>
      <c r="K80" s="253">
        <v>0</v>
      </c>
      <c r="L80" s="210"/>
      <c r="N80" s="1147"/>
      <c r="O80" s="1146"/>
    </row>
    <row r="81" spans="1:23" ht="15.6" customHeight="1" x14ac:dyDescent="0.25">
      <c r="B81" s="48" t="s">
        <v>542</v>
      </c>
      <c r="I81" s="253">
        <f>-'PPE Note'!H55</f>
        <v>16781</v>
      </c>
      <c r="J81" s="285"/>
      <c r="K81" s="253">
        <v>0</v>
      </c>
      <c r="L81" s="210"/>
      <c r="N81" s="1147"/>
      <c r="O81" s="1146"/>
    </row>
    <row r="82" spans="1:23" ht="15.6" hidden="1" customHeight="1" x14ac:dyDescent="0.25">
      <c r="A82" s="745"/>
      <c r="B82" s="745" t="s">
        <v>543</v>
      </c>
      <c r="C82" s="745"/>
      <c r="D82" s="746"/>
      <c r="E82" s="745"/>
      <c r="F82" s="746"/>
      <c r="G82" s="746"/>
      <c r="H82" s="746"/>
      <c r="I82" s="953">
        <f>SUM('APPENDIX B'!AB218:AB242)</f>
        <v>0</v>
      </c>
      <c r="J82" s="967"/>
      <c r="K82" s="953">
        <v>0</v>
      </c>
      <c r="L82" s="755"/>
      <c r="N82" s="1147"/>
      <c r="O82" s="1146"/>
    </row>
    <row r="83" spans="1:23" ht="15.6" hidden="1" customHeight="1" x14ac:dyDescent="0.25">
      <c r="A83" s="745"/>
      <c r="B83" s="745" t="s">
        <v>544</v>
      </c>
      <c r="C83" s="745"/>
      <c r="D83" s="746"/>
      <c r="E83" s="745"/>
      <c r="F83" s="746"/>
      <c r="G83" s="746"/>
      <c r="H83" s="746"/>
      <c r="I83" s="953">
        <f>SUM('APPENDIX B'!AB254)</f>
        <v>0</v>
      </c>
      <c r="J83" s="967"/>
      <c r="K83" s="953">
        <v>0</v>
      </c>
      <c r="L83" s="755"/>
      <c r="N83" s="1147"/>
      <c r="O83" s="1146"/>
    </row>
    <row r="84" spans="1:23" ht="15.6" hidden="1" customHeight="1" x14ac:dyDescent="0.25">
      <c r="A84" s="745"/>
      <c r="B84" s="745" t="s">
        <v>545</v>
      </c>
      <c r="C84" s="745"/>
      <c r="D84" s="746"/>
      <c r="E84" s="745"/>
      <c r="F84" s="746"/>
      <c r="G84" s="746"/>
      <c r="H84" s="746"/>
      <c r="I84" s="953">
        <f>SUM('APPENDIX B'!AB257:AB260)</f>
        <v>0</v>
      </c>
      <c r="J84" s="967"/>
      <c r="K84" s="953">
        <v>0</v>
      </c>
      <c r="L84" s="755"/>
      <c r="N84" s="1147"/>
      <c r="O84" s="1146"/>
    </row>
    <row r="85" spans="1:23" ht="15.6" customHeight="1" x14ac:dyDescent="0.25">
      <c r="I85" s="253"/>
      <c r="J85" s="285"/>
      <c r="K85" s="253"/>
      <c r="L85" s="210"/>
      <c r="N85" s="1147"/>
      <c r="O85" s="1146"/>
    </row>
    <row r="86" spans="1:23" ht="15.6" customHeight="1" thickBot="1" x14ac:dyDescent="0.3">
      <c r="B86" s="50" t="s">
        <v>159</v>
      </c>
      <c r="C86" s="50"/>
      <c r="I86" s="202">
        <f>SUM(I61:I85)</f>
        <v>153994.59</v>
      </c>
      <c r="K86" s="202">
        <f>SUM(K61:K85)</f>
        <v>0</v>
      </c>
      <c r="N86" s="1147"/>
      <c r="O86" s="1146"/>
    </row>
    <row r="87" spans="1:23" ht="15.6" customHeight="1" thickTop="1" x14ac:dyDescent="0.25">
      <c r="I87" s="217">
        <v>0</v>
      </c>
      <c r="J87" s="285"/>
      <c r="K87" s="217">
        <v>0</v>
      </c>
      <c r="L87" s="210"/>
      <c r="N87" s="1147"/>
      <c r="O87" s="1146"/>
    </row>
    <row r="88" spans="1:23" ht="62.1" hidden="1" customHeight="1" x14ac:dyDescent="0.2">
      <c r="A88" s="625"/>
      <c r="B88" s="2854" t="s">
        <v>2614</v>
      </c>
      <c r="C88" s="2854"/>
      <c r="D88" s="2854"/>
      <c r="E88" s="2854"/>
      <c r="F88" s="2854"/>
      <c r="G88" s="2854"/>
      <c r="H88" s="626"/>
      <c r="I88" s="629"/>
      <c r="J88" s="629"/>
      <c r="K88" s="629"/>
      <c r="L88" s="625"/>
      <c r="N88" s="1147"/>
      <c r="O88" s="1146"/>
    </row>
    <row r="89" spans="1:23" ht="46.5" customHeight="1" x14ac:dyDescent="0.2">
      <c r="B89" s="2839" t="s">
        <v>2619</v>
      </c>
      <c r="C89" s="2839"/>
      <c r="D89" s="2839"/>
      <c r="E89" s="2839"/>
      <c r="F89" s="2839"/>
      <c r="G89" s="2839"/>
      <c r="I89" s="253"/>
      <c r="J89" s="253"/>
      <c r="K89" s="253"/>
      <c r="N89" s="1147"/>
      <c r="O89" s="1146"/>
    </row>
    <row r="90" spans="1:23" ht="15.6" customHeight="1" x14ac:dyDescent="0.25">
      <c r="I90" s="253"/>
      <c r="J90" s="285"/>
      <c r="K90" s="253"/>
      <c r="L90" s="210"/>
      <c r="N90" s="1147"/>
      <c r="O90" s="1146"/>
    </row>
    <row r="91" spans="1:23" ht="15.6" hidden="1" customHeight="1" x14ac:dyDescent="0.25">
      <c r="B91" s="229" t="s">
        <v>7469</v>
      </c>
      <c r="I91" s="253"/>
      <c r="J91" s="285"/>
      <c r="K91" s="253"/>
      <c r="L91" s="210"/>
      <c r="M91" s="1214" t="s">
        <v>1953</v>
      </c>
      <c r="N91" s="1147"/>
      <c r="O91" s="1146"/>
      <c r="W91" s="1114" t="s">
        <v>3857</v>
      </c>
    </row>
    <row r="92" spans="1:23" ht="15.6" hidden="1" customHeight="1" x14ac:dyDescent="0.25">
      <c r="I92" s="253"/>
      <c r="J92" s="285"/>
      <c r="K92" s="253"/>
      <c r="L92" s="210"/>
      <c r="N92" s="1147"/>
      <c r="O92" s="1146"/>
    </row>
    <row r="93" spans="1:23" ht="30.95" hidden="1" customHeight="1" x14ac:dyDescent="0.2">
      <c r="B93" s="2839" t="s">
        <v>4289</v>
      </c>
      <c r="C93" s="2839"/>
      <c r="D93" s="2839"/>
      <c r="E93" s="2839"/>
      <c r="F93" s="2839"/>
      <c r="G93" s="2839"/>
      <c r="I93" s="253"/>
      <c r="J93" s="253"/>
      <c r="K93" s="253"/>
      <c r="N93" s="1147"/>
      <c r="O93" s="1146"/>
    </row>
    <row r="94" spans="1:23" ht="15.6" hidden="1" customHeight="1" x14ac:dyDescent="0.25">
      <c r="I94" s="253"/>
      <c r="J94" s="285"/>
      <c r="K94" s="253"/>
      <c r="L94" s="210"/>
      <c r="N94" s="1147"/>
      <c r="O94" s="1146"/>
    </row>
    <row r="95" spans="1:23" ht="30.95" hidden="1" customHeight="1" x14ac:dyDescent="0.2">
      <c r="A95" s="745"/>
      <c r="B95" s="2841" t="s">
        <v>160</v>
      </c>
      <c r="C95" s="2841"/>
      <c r="D95" s="2841"/>
      <c r="E95" s="2841"/>
      <c r="F95" s="2841"/>
      <c r="G95" s="2841"/>
      <c r="H95" s="746"/>
      <c r="I95" s="953"/>
      <c r="J95" s="953"/>
      <c r="K95" s="953"/>
      <c r="L95" s="745"/>
      <c r="N95" s="1147"/>
      <c r="O95" s="1146"/>
    </row>
    <row r="96" spans="1:23" ht="15.6" hidden="1" customHeight="1" x14ac:dyDescent="0.25">
      <c r="A96" s="745"/>
      <c r="B96" s="745"/>
      <c r="C96" s="745"/>
      <c r="D96" s="746"/>
      <c r="E96" s="745"/>
      <c r="F96" s="746"/>
      <c r="G96" s="746"/>
      <c r="H96" s="746"/>
      <c r="I96" s="953"/>
      <c r="J96" s="967"/>
      <c r="K96" s="953"/>
      <c r="L96" s="755"/>
      <c r="N96" s="1147"/>
      <c r="O96" s="1146"/>
    </row>
    <row r="97" spans="1:15" ht="15.6" hidden="1" customHeight="1" x14ac:dyDescent="0.25">
      <c r="A97" s="745"/>
      <c r="B97" s="745" t="s">
        <v>44</v>
      </c>
      <c r="C97" s="745"/>
      <c r="D97" s="746"/>
      <c r="E97" s="745"/>
      <c r="F97" s="746"/>
      <c r="G97" s="746"/>
      <c r="H97" s="746"/>
      <c r="I97" s="953">
        <v>0</v>
      </c>
      <c r="J97" s="967"/>
      <c r="K97" s="953">
        <v>0</v>
      </c>
      <c r="L97" s="755"/>
      <c r="N97" s="1147"/>
      <c r="O97" s="1146"/>
    </row>
    <row r="98" spans="1:15" ht="15.6" hidden="1" customHeight="1" x14ac:dyDescent="0.25">
      <c r="A98" s="745"/>
      <c r="B98" s="745" t="s">
        <v>45</v>
      </c>
      <c r="C98" s="745"/>
      <c r="D98" s="746"/>
      <c r="E98" s="745"/>
      <c r="F98" s="746"/>
      <c r="G98" s="746"/>
      <c r="H98" s="746"/>
      <c r="I98" s="953">
        <v>0</v>
      </c>
      <c r="J98" s="967"/>
      <c r="K98" s="953">
        <v>0</v>
      </c>
      <c r="L98" s="755"/>
      <c r="N98" s="1147"/>
      <c r="O98" s="1146"/>
    </row>
    <row r="99" spans="1:15" ht="15.6" hidden="1" customHeight="1" x14ac:dyDescent="0.25">
      <c r="A99" s="745"/>
      <c r="B99" s="745" t="s">
        <v>46</v>
      </c>
      <c r="C99" s="745"/>
      <c r="D99" s="746"/>
      <c r="E99" s="745"/>
      <c r="F99" s="746"/>
      <c r="G99" s="746"/>
      <c r="H99" s="746"/>
      <c r="I99" s="953">
        <v>0</v>
      </c>
      <c r="J99" s="967"/>
      <c r="K99" s="953">
        <v>0</v>
      </c>
      <c r="L99" s="755"/>
      <c r="N99" s="1147"/>
      <c r="O99" s="1146"/>
    </row>
    <row r="100" spans="1:15" ht="15.6" hidden="1" customHeight="1" x14ac:dyDescent="0.25">
      <c r="A100" s="745"/>
      <c r="B100" s="745" t="s">
        <v>674</v>
      </c>
      <c r="C100" s="745"/>
      <c r="D100" s="746"/>
      <c r="E100" s="745"/>
      <c r="F100" s="746"/>
      <c r="G100" s="746"/>
      <c r="H100" s="746"/>
      <c r="I100" s="953">
        <v>0</v>
      </c>
      <c r="J100" s="967"/>
      <c r="K100" s="953">
        <v>0</v>
      </c>
      <c r="L100" s="755"/>
      <c r="N100" s="1147"/>
      <c r="O100" s="1146"/>
    </row>
    <row r="101" spans="1:15" ht="15.6" hidden="1" customHeight="1" x14ac:dyDescent="0.25">
      <c r="A101" s="745"/>
      <c r="B101" s="745" t="s">
        <v>47</v>
      </c>
      <c r="C101" s="745"/>
      <c r="D101" s="746"/>
      <c r="E101" s="745"/>
      <c r="F101" s="746"/>
      <c r="G101" s="746"/>
      <c r="H101" s="746"/>
      <c r="I101" s="953">
        <v>0</v>
      </c>
      <c r="J101" s="967"/>
      <c r="K101" s="953">
        <v>0</v>
      </c>
      <c r="L101" s="755"/>
      <c r="N101" s="1147"/>
      <c r="O101" s="1146"/>
    </row>
    <row r="102" spans="1:15" ht="15.6" hidden="1" customHeight="1" x14ac:dyDescent="0.25">
      <c r="A102" s="745"/>
      <c r="B102" s="745" t="s">
        <v>202</v>
      </c>
      <c r="C102" s="745"/>
      <c r="D102" s="746"/>
      <c r="E102" s="745"/>
      <c r="F102" s="746"/>
      <c r="G102" s="746"/>
      <c r="H102" s="746"/>
      <c r="I102" s="953">
        <v>0</v>
      </c>
      <c r="J102" s="967"/>
      <c r="K102" s="953">
        <v>0</v>
      </c>
      <c r="L102" s="755"/>
      <c r="N102" s="1147"/>
      <c r="O102" s="1146"/>
    </row>
    <row r="103" spans="1:15" ht="15.6" hidden="1" customHeight="1" x14ac:dyDescent="0.25">
      <c r="A103" s="745"/>
      <c r="B103" s="745" t="s">
        <v>675</v>
      </c>
      <c r="C103" s="745"/>
      <c r="D103" s="746"/>
      <c r="E103" s="745"/>
      <c r="F103" s="746"/>
      <c r="G103" s="746"/>
      <c r="H103" s="746"/>
      <c r="I103" s="953">
        <v>0</v>
      </c>
      <c r="J103" s="967"/>
      <c r="K103" s="953">
        <v>0</v>
      </c>
      <c r="L103" s="755"/>
      <c r="N103" s="1147"/>
      <c r="O103" s="1146"/>
    </row>
    <row r="104" spans="1:15" ht="15.6" hidden="1" customHeight="1" x14ac:dyDescent="0.25">
      <c r="A104" s="745"/>
      <c r="B104" s="745" t="s">
        <v>48</v>
      </c>
      <c r="C104" s="745"/>
      <c r="D104" s="746"/>
      <c r="E104" s="745"/>
      <c r="F104" s="746"/>
      <c r="G104" s="746"/>
      <c r="H104" s="746"/>
      <c r="I104" s="953">
        <v>0</v>
      </c>
      <c r="J104" s="967"/>
      <c r="K104" s="953">
        <v>0</v>
      </c>
      <c r="L104" s="755"/>
      <c r="N104" s="1147"/>
      <c r="O104" s="1146"/>
    </row>
    <row r="105" spans="1:15" ht="15.6" hidden="1" customHeight="1" x14ac:dyDescent="0.25">
      <c r="A105" s="745"/>
      <c r="B105" s="745" t="s">
        <v>676</v>
      </c>
      <c r="C105" s="745"/>
      <c r="D105" s="746"/>
      <c r="E105" s="745"/>
      <c r="F105" s="746"/>
      <c r="G105" s="746"/>
      <c r="H105" s="746"/>
      <c r="I105" s="953">
        <v>0</v>
      </c>
      <c r="J105" s="967"/>
      <c r="K105" s="953">
        <v>0</v>
      </c>
      <c r="L105" s="755"/>
      <c r="N105" s="1147"/>
      <c r="O105" s="1146"/>
    </row>
    <row r="106" spans="1:15" ht="15.6" hidden="1" customHeight="1" x14ac:dyDescent="0.25">
      <c r="A106" s="745"/>
      <c r="B106" s="745" t="s">
        <v>677</v>
      </c>
      <c r="C106" s="745"/>
      <c r="D106" s="746"/>
      <c r="E106" s="745"/>
      <c r="F106" s="746"/>
      <c r="G106" s="746"/>
      <c r="H106" s="746"/>
      <c r="I106" s="953">
        <v>0</v>
      </c>
      <c r="J106" s="967"/>
      <c r="K106" s="953">
        <v>0</v>
      </c>
      <c r="L106" s="755"/>
      <c r="N106" s="1147"/>
      <c r="O106" s="1146"/>
    </row>
    <row r="107" spans="1:15" ht="15.6" hidden="1" customHeight="1" x14ac:dyDescent="0.25">
      <c r="A107" s="745"/>
      <c r="B107" s="745" t="s">
        <v>176</v>
      </c>
      <c r="C107" s="745"/>
      <c r="D107" s="746"/>
      <c r="E107" s="745"/>
      <c r="F107" s="746"/>
      <c r="G107" s="746"/>
      <c r="H107" s="746"/>
      <c r="I107" s="953">
        <v>0</v>
      </c>
      <c r="J107" s="967"/>
      <c r="K107" s="953">
        <v>0</v>
      </c>
      <c r="L107" s="755"/>
      <c r="N107" s="1147"/>
      <c r="O107" s="1146"/>
    </row>
    <row r="108" spans="1:15" ht="15.6" hidden="1" customHeight="1" x14ac:dyDescent="0.25">
      <c r="A108" s="745"/>
      <c r="B108" s="745" t="s">
        <v>236</v>
      </c>
      <c r="C108" s="745"/>
      <c r="D108" s="746"/>
      <c r="E108" s="745"/>
      <c r="F108" s="746"/>
      <c r="G108" s="746"/>
      <c r="H108" s="746"/>
      <c r="I108" s="953">
        <v>0</v>
      </c>
      <c r="J108" s="967"/>
      <c r="K108" s="953">
        <v>0</v>
      </c>
      <c r="L108" s="755"/>
      <c r="N108" s="1147"/>
      <c r="O108" s="1146"/>
    </row>
    <row r="109" spans="1:15" ht="15.6" hidden="1" customHeight="1" x14ac:dyDescent="0.25">
      <c r="A109" s="745"/>
      <c r="B109" s="745" t="s">
        <v>229</v>
      </c>
      <c r="C109" s="745"/>
      <c r="D109" s="746"/>
      <c r="E109" s="745"/>
      <c r="F109" s="746"/>
      <c r="G109" s="746"/>
      <c r="H109" s="746"/>
      <c r="I109" s="953">
        <v>0</v>
      </c>
      <c r="J109" s="967"/>
      <c r="K109" s="953">
        <v>0</v>
      </c>
      <c r="L109" s="755"/>
      <c r="N109" s="1147"/>
      <c r="O109" s="1146"/>
    </row>
    <row r="110" spans="1:15" ht="15.6" hidden="1" customHeight="1" x14ac:dyDescent="0.25">
      <c r="A110" s="745"/>
      <c r="B110" s="745" t="s">
        <v>237</v>
      </c>
      <c r="C110" s="745"/>
      <c r="D110" s="746"/>
      <c r="E110" s="745"/>
      <c r="F110" s="746"/>
      <c r="G110" s="746"/>
      <c r="H110" s="746"/>
      <c r="I110" s="953">
        <v>0</v>
      </c>
      <c r="J110" s="967"/>
      <c r="K110" s="953">
        <v>0</v>
      </c>
      <c r="L110" s="755"/>
      <c r="N110" s="1147"/>
      <c r="O110" s="1146"/>
    </row>
    <row r="111" spans="1:15" ht="15.6" hidden="1" customHeight="1" x14ac:dyDescent="0.25">
      <c r="A111" s="745"/>
      <c r="B111" s="745"/>
      <c r="C111" s="745"/>
      <c r="D111" s="746"/>
      <c r="E111" s="745"/>
      <c r="F111" s="746"/>
      <c r="G111" s="746"/>
      <c r="H111" s="746"/>
      <c r="I111" s="953"/>
      <c r="J111" s="967"/>
      <c r="K111" s="953"/>
      <c r="L111" s="755"/>
      <c r="N111" s="1147"/>
      <c r="O111" s="1146"/>
    </row>
    <row r="112" spans="1:15" ht="15.6" hidden="1" customHeight="1" thickBot="1" x14ac:dyDescent="0.3">
      <c r="A112" s="745"/>
      <c r="B112" s="749" t="s">
        <v>161</v>
      </c>
      <c r="C112" s="749"/>
      <c r="D112" s="746"/>
      <c r="E112" s="745"/>
      <c r="F112" s="746"/>
      <c r="G112" s="746"/>
      <c r="H112" s="746"/>
      <c r="I112" s="1466">
        <f>SUM(I97:I111)</f>
        <v>0</v>
      </c>
      <c r="J112" s="750"/>
      <c r="K112" s="1466">
        <f>SUM(K97:K111)</f>
        <v>0</v>
      </c>
      <c r="L112" s="745"/>
      <c r="N112" s="1147"/>
      <c r="O112" s="1146"/>
    </row>
    <row r="113" spans="1:23" ht="15.6" hidden="1" customHeight="1" thickTop="1" x14ac:dyDescent="0.25">
      <c r="A113" s="745"/>
      <c r="B113" s="745"/>
      <c r="C113" s="745"/>
      <c r="D113" s="746"/>
      <c r="E113" s="745"/>
      <c r="F113" s="746"/>
      <c r="G113" s="746"/>
      <c r="H113" s="746"/>
      <c r="I113" s="953"/>
      <c r="J113" s="967"/>
      <c r="K113" s="953"/>
      <c r="L113" s="755"/>
      <c r="N113" s="1147"/>
      <c r="O113" s="1146"/>
    </row>
    <row r="114" spans="1:23" ht="30.95" hidden="1" customHeight="1" x14ac:dyDescent="0.2">
      <c r="A114" s="745"/>
      <c r="B114" s="2841" t="s">
        <v>930</v>
      </c>
      <c r="C114" s="2841"/>
      <c r="D114" s="2841"/>
      <c r="E114" s="2841"/>
      <c r="F114" s="2841"/>
      <c r="G114" s="2841"/>
      <c r="H114" s="746"/>
      <c r="I114" s="953"/>
      <c r="J114" s="953"/>
      <c r="K114" s="953"/>
      <c r="L114" s="745"/>
      <c r="N114" s="1147"/>
      <c r="O114" s="1146"/>
    </row>
    <row r="115" spans="1:23" ht="15.6" hidden="1" customHeight="1" x14ac:dyDescent="0.25">
      <c r="A115" s="745"/>
      <c r="B115" s="745"/>
      <c r="C115" s="745"/>
      <c r="D115" s="746"/>
      <c r="E115" s="745"/>
      <c r="F115" s="746"/>
      <c r="G115" s="746"/>
      <c r="H115" s="746"/>
      <c r="I115" s="953"/>
      <c r="J115" s="967"/>
      <c r="K115" s="953"/>
      <c r="L115" s="755"/>
      <c r="N115" s="1147"/>
      <c r="O115" s="1146"/>
    </row>
    <row r="116" spans="1:23" ht="15.6" hidden="1" customHeight="1" x14ac:dyDescent="0.25">
      <c r="B116" s="229" t="s">
        <v>7470</v>
      </c>
      <c r="I116" s="253"/>
      <c r="J116" s="285"/>
      <c r="K116" s="253"/>
      <c r="L116" s="210"/>
      <c r="M116" s="1133"/>
      <c r="N116" s="1147"/>
      <c r="O116" s="1146"/>
      <c r="P116" s="1115"/>
      <c r="W116" s="1114" t="s">
        <v>3857</v>
      </c>
    </row>
    <row r="117" spans="1:23" ht="15.6" hidden="1" customHeight="1" x14ac:dyDescent="0.25">
      <c r="I117" s="253"/>
      <c r="J117" s="285"/>
      <c r="K117" s="253"/>
      <c r="L117" s="210"/>
      <c r="M117" s="1133"/>
      <c r="N117" s="1147"/>
      <c r="O117" s="1146"/>
      <c r="P117" s="1115"/>
    </row>
    <row r="118" spans="1:23" ht="30.95" hidden="1" customHeight="1" x14ac:dyDescent="0.2">
      <c r="B118" s="2839" t="s">
        <v>1673</v>
      </c>
      <c r="C118" s="2839"/>
      <c r="D118" s="2839"/>
      <c r="E118" s="2839"/>
      <c r="F118" s="2839"/>
      <c r="G118" s="2839"/>
      <c r="I118" s="253"/>
      <c r="J118" s="253"/>
      <c r="K118" s="253"/>
      <c r="M118" s="1133"/>
      <c r="N118" s="1147"/>
      <c r="O118" s="1146"/>
      <c r="P118" s="1115"/>
    </row>
    <row r="119" spans="1:23" ht="15.6" hidden="1" customHeight="1" x14ac:dyDescent="0.25">
      <c r="I119" s="253"/>
      <c r="J119" s="285"/>
      <c r="K119" s="253"/>
      <c r="L119" s="210"/>
      <c r="M119" s="1133"/>
      <c r="N119" s="1147"/>
      <c r="O119" s="1133"/>
      <c r="P119" s="1115"/>
    </row>
    <row r="120" spans="1:23" ht="62.1" hidden="1" customHeight="1" x14ac:dyDescent="0.2">
      <c r="A120" s="625"/>
      <c r="B120" s="2854" t="s">
        <v>927</v>
      </c>
      <c r="C120" s="2854"/>
      <c r="D120" s="2854"/>
      <c r="E120" s="2854"/>
      <c r="F120" s="2854"/>
      <c r="G120" s="2854"/>
      <c r="H120" s="626"/>
      <c r="I120" s="629"/>
      <c r="J120" s="629"/>
      <c r="K120" s="629"/>
      <c r="L120" s="625"/>
      <c r="M120" s="1133"/>
      <c r="N120" s="1147"/>
      <c r="O120" s="1146"/>
      <c r="P120" s="1115"/>
    </row>
    <row r="121" spans="1:23" ht="62.1" hidden="1" customHeight="1" x14ac:dyDescent="0.2">
      <c r="A121" s="745"/>
      <c r="B121" s="2841" t="s">
        <v>1504</v>
      </c>
      <c r="C121" s="2841"/>
      <c r="D121" s="2841"/>
      <c r="E121" s="2841"/>
      <c r="F121" s="2841"/>
      <c r="G121" s="2841"/>
      <c r="H121" s="746"/>
      <c r="I121" s="953"/>
      <c r="J121" s="953"/>
      <c r="K121" s="953"/>
      <c r="L121" s="745"/>
      <c r="M121" s="1213" t="s">
        <v>3985</v>
      </c>
      <c r="N121" s="1147"/>
      <c r="O121" s="1146"/>
      <c r="P121" s="1115"/>
    </row>
    <row r="122" spans="1:23" ht="15.6" hidden="1" customHeight="1" x14ac:dyDescent="0.2">
      <c r="A122" s="745"/>
      <c r="B122" s="745"/>
      <c r="C122" s="745"/>
      <c r="D122" s="746"/>
      <c r="E122" s="745"/>
      <c r="F122" s="746"/>
      <c r="G122" s="746"/>
      <c r="H122" s="746"/>
      <c r="I122" s="751"/>
      <c r="J122" s="751"/>
      <c r="K122" s="751"/>
      <c r="L122" s="752"/>
      <c r="M122" s="1133"/>
      <c r="N122" s="1147"/>
      <c r="O122" s="1146"/>
      <c r="P122" s="1115"/>
    </row>
    <row r="123" spans="1:23" ht="15.6" hidden="1" customHeight="1" x14ac:dyDescent="0.2">
      <c r="A123" s="745"/>
      <c r="B123" s="2841" t="s">
        <v>1585</v>
      </c>
      <c r="C123" s="2841"/>
      <c r="D123" s="2841"/>
      <c r="E123" s="2841"/>
      <c r="F123" s="2841"/>
      <c r="G123" s="2841"/>
      <c r="H123" s="746"/>
      <c r="I123" s="751"/>
      <c r="J123" s="751"/>
      <c r="K123" s="751"/>
      <c r="L123" s="752"/>
    </row>
    <row r="124" spans="1:23" ht="15.6" hidden="1" customHeight="1" x14ac:dyDescent="0.2">
      <c r="A124" s="745"/>
      <c r="B124" s="745" t="s">
        <v>1586</v>
      </c>
      <c r="C124" s="745"/>
      <c r="D124" s="746"/>
      <c r="E124" s="745"/>
      <c r="F124" s="746"/>
      <c r="G124" s="746"/>
      <c r="H124" s="746"/>
      <c r="I124" s="1525">
        <v>7.8E-2</v>
      </c>
      <c r="J124" s="751"/>
      <c r="K124" s="1525">
        <v>6.7400000000000002E-2</v>
      </c>
      <c r="L124" s="752"/>
      <c r="M124" s="1133"/>
      <c r="N124" s="1147"/>
      <c r="O124" s="1146"/>
      <c r="P124" s="1115"/>
    </row>
    <row r="125" spans="1:23" ht="15.6" hidden="1" customHeight="1" x14ac:dyDescent="0.2">
      <c r="A125" s="745"/>
      <c r="B125" s="745" t="s">
        <v>358</v>
      </c>
      <c r="C125" s="745"/>
      <c r="D125" s="746"/>
      <c r="E125" s="745"/>
      <c r="F125" s="746"/>
      <c r="G125" s="746"/>
      <c r="H125" s="746"/>
      <c r="I125" s="751"/>
      <c r="J125" s="751"/>
      <c r="K125" s="751"/>
      <c r="L125" s="752"/>
      <c r="M125" s="1133"/>
      <c r="N125" s="1147"/>
      <c r="O125" s="1146"/>
      <c r="P125" s="1115"/>
    </row>
    <row r="126" spans="1:23" ht="15.6" hidden="1" customHeight="1" x14ac:dyDescent="0.2">
      <c r="A126" s="745"/>
      <c r="B126" s="745"/>
      <c r="C126" s="745"/>
      <c r="D126" s="746"/>
      <c r="E126" s="745"/>
      <c r="F126" s="746"/>
      <c r="G126" s="746"/>
      <c r="H126" s="746"/>
      <c r="I126" s="751"/>
      <c r="J126" s="751"/>
      <c r="K126" s="751"/>
      <c r="L126" s="752"/>
      <c r="M126" s="1133"/>
      <c r="N126" s="1147"/>
      <c r="O126" s="1146"/>
      <c r="P126" s="1115"/>
    </row>
    <row r="127" spans="1:23" ht="30.95" hidden="1" customHeight="1" x14ac:dyDescent="0.25">
      <c r="A127" s="745"/>
      <c r="B127" s="2841" t="s">
        <v>2498</v>
      </c>
      <c r="C127" s="2841"/>
      <c r="D127" s="2841"/>
      <c r="E127" s="2841"/>
      <c r="F127" s="2841"/>
      <c r="G127" s="2841"/>
      <c r="H127" s="746"/>
      <c r="I127" s="748"/>
      <c r="J127" s="748"/>
      <c r="K127" s="748"/>
      <c r="L127" s="755"/>
      <c r="M127" s="1213" t="s">
        <v>3986</v>
      </c>
      <c r="N127" s="1147"/>
      <c r="O127" s="1146"/>
      <c r="P127" s="1115"/>
    </row>
    <row r="128" spans="1:23" ht="15.6" hidden="1" customHeight="1" x14ac:dyDescent="0.25">
      <c r="A128" s="745"/>
      <c r="B128" s="745"/>
      <c r="C128" s="745"/>
      <c r="D128" s="746"/>
      <c r="E128" s="745"/>
      <c r="F128" s="746"/>
      <c r="G128" s="746"/>
      <c r="H128" s="746"/>
      <c r="I128" s="748"/>
      <c r="J128" s="748"/>
      <c r="K128" s="748"/>
      <c r="L128" s="755"/>
      <c r="M128" s="1133"/>
      <c r="N128" s="1147"/>
      <c r="O128" s="1146"/>
      <c r="P128" s="1115"/>
    </row>
    <row r="129" spans="1:23" ht="46.5" hidden="1" customHeight="1" x14ac:dyDescent="0.25">
      <c r="A129" s="745"/>
      <c r="B129" s="2841" t="s">
        <v>929</v>
      </c>
      <c r="C129" s="2841"/>
      <c r="D129" s="2841"/>
      <c r="E129" s="2841"/>
      <c r="F129" s="2841"/>
      <c r="G129" s="2841"/>
      <c r="H129" s="746"/>
      <c r="I129" s="748"/>
      <c r="J129" s="748"/>
      <c r="K129" s="748"/>
      <c r="L129" s="755"/>
      <c r="M129" s="1213" t="s">
        <v>3986</v>
      </c>
      <c r="N129" s="1147"/>
      <c r="O129" s="1146"/>
      <c r="P129" s="1115"/>
    </row>
    <row r="130" spans="1:23" ht="15.6" hidden="1" customHeight="1" x14ac:dyDescent="0.25">
      <c r="A130" s="745"/>
      <c r="B130" s="745" t="s">
        <v>1501</v>
      </c>
      <c r="C130" s="745"/>
      <c r="D130" s="746"/>
      <c r="E130" s="745"/>
      <c r="F130" s="746"/>
      <c r="G130" s="746"/>
      <c r="H130" s="746"/>
      <c r="I130" s="953">
        <v>0</v>
      </c>
      <c r="J130" s="967"/>
      <c r="K130" s="953">
        <v>0</v>
      </c>
      <c r="L130" s="755"/>
      <c r="M130" s="1133"/>
      <c r="N130" s="1147"/>
      <c r="O130" s="1146"/>
      <c r="P130" s="1115"/>
    </row>
    <row r="131" spans="1:23" ht="15.6" hidden="1" customHeight="1" x14ac:dyDescent="0.25">
      <c r="A131" s="745"/>
      <c r="B131" s="745" t="s">
        <v>1502</v>
      </c>
      <c r="C131" s="745"/>
      <c r="D131" s="746"/>
      <c r="E131" s="745"/>
      <c r="F131" s="746"/>
      <c r="G131" s="746"/>
      <c r="H131" s="746"/>
      <c r="I131" s="953">
        <v>0</v>
      </c>
      <c r="J131" s="967"/>
      <c r="K131" s="953">
        <v>0</v>
      </c>
      <c r="L131" s="755"/>
      <c r="M131" s="1133"/>
      <c r="N131" s="1147"/>
      <c r="O131" s="1146"/>
      <c r="P131" s="1115"/>
    </row>
    <row r="132" spans="1:23" ht="15.6" hidden="1" customHeight="1" x14ac:dyDescent="0.25">
      <c r="A132" s="745"/>
      <c r="B132" s="745"/>
      <c r="C132" s="745"/>
      <c r="D132" s="746"/>
      <c r="E132" s="745"/>
      <c r="F132" s="746"/>
      <c r="G132" s="746"/>
      <c r="H132" s="746"/>
      <c r="I132" s="953"/>
      <c r="J132" s="967"/>
      <c r="K132" s="953"/>
      <c r="L132" s="755"/>
      <c r="M132" s="1133"/>
      <c r="N132" s="1147"/>
      <c r="O132" s="1146"/>
      <c r="P132" s="1115"/>
    </row>
    <row r="133" spans="1:23" ht="15.6" hidden="1" customHeight="1" thickBot="1" x14ac:dyDescent="0.3">
      <c r="A133" s="745"/>
      <c r="B133" s="745" t="s">
        <v>1503</v>
      </c>
      <c r="C133" s="745"/>
      <c r="D133" s="746"/>
      <c r="E133" s="745"/>
      <c r="F133" s="746"/>
      <c r="G133" s="746"/>
      <c r="H133" s="746"/>
      <c r="I133" s="1526">
        <f>I130-I131</f>
        <v>0</v>
      </c>
      <c r="J133" s="967"/>
      <c r="K133" s="1526">
        <f>K130-K131</f>
        <v>0</v>
      </c>
      <c r="L133" s="755"/>
      <c r="M133" s="1133"/>
      <c r="N133" s="1147"/>
      <c r="O133" s="1146"/>
      <c r="P133" s="1115"/>
    </row>
    <row r="134" spans="1:23" ht="15.6" hidden="1" customHeight="1" thickTop="1" x14ac:dyDescent="0.25">
      <c r="A134" s="745"/>
      <c r="B134" s="745"/>
      <c r="C134" s="745"/>
      <c r="D134" s="746"/>
      <c r="E134" s="745"/>
      <c r="F134" s="746"/>
      <c r="G134" s="746"/>
      <c r="H134" s="746"/>
      <c r="I134" s="953"/>
      <c r="J134" s="967"/>
      <c r="K134" s="953"/>
      <c r="L134" s="755"/>
      <c r="M134" s="1133"/>
      <c r="N134" s="1147"/>
      <c r="O134" s="1146"/>
      <c r="P134" s="1115"/>
    </row>
    <row r="135" spans="1:23" ht="15.6" hidden="1" customHeight="1" x14ac:dyDescent="0.25">
      <c r="A135" s="655"/>
      <c r="B135" s="1456" t="s">
        <v>6422</v>
      </c>
      <c r="C135" s="655"/>
      <c r="D135" s="656"/>
      <c r="E135" s="655"/>
      <c r="F135" s="656"/>
      <c r="G135" s="656"/>
      <c r="H135" s="656"/>
      <c r="I135" s="1523"/>
      <c r="J135" s="1524"/>
      <c r="K135" s="1523"/>
      <c r="L135" s="664"/>
      <c r="M135" s="1133"/>
      <c r="N135" s="1147"/>
      <c r="O135" s="1146"/>
      <c r="P135" s="1115"/>
      <c r="W135" s="1114" t="s">
        <v>3857</v>
      </c>
    </row>
    <row r="136" spans="1:23" ht="15.6" hidden="1" customHeight="1" x14ac:dyDescent="0.25">
      <c r="A136" s="655"/>
      <c r="B136" s="655"/>
      <c r="C136" s="655"/>
      <c r="D136" s="656"/>
      <c r="E136" s="655"/>
      <c r="F136" s="656"/>
      <c r="G136" s="656"/>
      <c r="H136" s="656"/>
      <c r="I136" s="1523"/>
      <c r="J136" s="1524"/>
      <c r="K136" s="1523"/>
      <c r="L136" s="664"/>
      <c r="M136" s="1133"/>
      <c r="N136" s="1147"/>
      <c r="O136" s="1146"/>
      <c r="P136" s="1115"/>
    </row>
    <row r="137" spans="1:23" ht="46.5" hidden="1" customHeight="1" x14ac:dyDescent="0.2">
      <c r="A137" s="655"/>
      <c r="B137" s="2868" t="s">
        <v>812</v>
      </c>
      <c r="C137" s="2868"/>
      <c r="D137" s="2868"/>
      <c r="E137" s="2868"/>
      <c r="F137" s="2868"/>
      <c r="G137" s="2868"/>
      <c r="H137" s="656"/>
      <c r="I137" s="1523"/>
      <c r="J137" s="1523"/>
      <c r="K137" s="1523"/>
      <c r="L137" s="655"/>
      <c r="M137" s="1133"/>
      <c r="N137" s="1147"/>
      <c r="O137" s="1146"/>
      <c r="P137" s="1115"/>
    </row>
    <row r="138" spans="1:23" ht="15.6" hidden="1" customHeight="1" x14ac:dyDescent="0.25">
      <c r="A138" s="655"/>
      <c r="B138" s="655"/>
      <c r="C138" s="655"/>
      <c r="D138" s="656"/>
      <c r="E138" s="655"/>
      <c r="F138" s="656"/>
      <c r="G138" s="656"/>
      <c r="H138" s="656"/>
      <c r="I138" s="1523"/>
      <c r="J138" s="1524"/>
      <c r="K138" s="1523"/>
      <c r="L138" s="664"/>
      <c r="M138" s="1133"/>
      <c r="N138" s="1147"/>
      <c r="O138" s="1146"/>
      <c r="P138" s="1115"/>
    </row>
    <row r="139" spans="1:23" ht="15.6" hidden="1" customHeight="1" x14ac:dyDescent="0.25">
      <c r="A139" s="655"/>
      <c r="B139" s="2868" t="s">
        <v>585</v>
      </c>
      <c r="C139" s="2868"/>
      <c r="D139" s="2868"/>
      <c r="E139" s="2868"/>
      <c r="F139" s="2868"/>
      <c r="G139" s="2868"/>
      <c r="H139" s="656"/>
      <c r="I139" s="657"/>
      <c r="J139" s="657"/>
      <c r="K139" s="657"/>
      <c r="L139" s="664"/>
    </row>
    <row r="140" spans="1:23" ht="15.6" hidden="1" customHeight="1" x14ac:dyDescent="0.25">
      <c r="A140" s="655"/>
      <c r="B140" s="655"/>
      <c r="C140" s="655"/>
      <c r="D140" s="656"/>
      <c r="E140" s="655"/>
      <c r="F140" s="656"/>
      <c r="G140" s="656"/>
      <c r="H140" s="656"/>
      <c r="I140" s="669"/>
      <c r="J140" s="657"/>
      <c r="K140" s="669"/>
      <c r="L140" s="664"/>
    </row>
    <row r="141" spans="1:23" ht="15.6" hidden="1" customHeight="1" x14ac:dyDescent="0.25">
      <c r="A141" s="655"/>
      <c r="B141" s="655" t="s">
        <v>273</v>
      </c>
      <c r="C141" s="655"/>
      <c r="D141" s="656"/>
      <c r="E141" s="655"/>
      <c r="F141" s="656"/>
      <c r="G141" s="656"/>
      <c r="H141" s="656"/>
      <c r="I141" s="663">
        <v>0</v>
      </c>
      <c r="J141" s="663"/>
      <c r="K141" s="663">
        <v>0</v>
      </c>
      <c r="L141" s="664"/>
      <c r="M141" s="1133"/>
    </row>
    <row r="142" spans="1:23" ht="15.6" hidden="1" customHeight="1" x14ac:dyDescent="0.25">
      <c r="A142" s="655"/>
      <c r="B142" s="655" t="s">
        <v>586</v>
      </c>
      <c r="C142" s="655"/>
      <c r="D142" s="656"/>
      <c r="E142" s="655"/>
      <c r="F142" s="656"/>
      <c r="G142" s="656"/>
      <c r="H142" s="656"/>
      <c r="I142" s="663">
        <v>0</v>
      </c>
      <c r="J142" s="663"/>
      <c r="K142" s="663">
        <v>0</v>
      </c>
      <c r="L142" s="664"/>
      <c r="M142" s="1133"/>
    </row>
    <row r="143" spans="1:23" ht="15.6" hidden="1" customHeight="1" x14ac:dyDescent="0.25">
      <c r="A143" s="655"/>
      <c r="B143" s="655" t="s">
        <v>587</v>
      </c>
      <c r="C143" s="655"/>
      <c r="D143" s="656"/>
      <c r="E143" s="655"/>
      <c r="F143" s="656"/>
      <c r="G143" s="656"/>
      <c r="H143" s="656"/>
      <c r="I143" s="663">
        <v>0</v>
      </c>
      <c r="J143" s="663"/>
      <c r="K143" s="663">
        <v>0</v>
      </c>
      <c r="L143" s="664"/>
      <c r="M143" s="1133"/>
    </row>
    <row r="144" spans="1:23" ht="15.6" hidden="1" customHeight="1" x14ac:dyDescent="0.25">
      <c r="A144" s="655"/>
      <c r="B144" s="655"/>
      <c r="C144" s="655"/>
      <c r="D144" s="656"/>
      <c r="E144" s="655"/>
      <c r="F144" s="656"/>
      <c r="G144" s="656"/>
      <c r="H144" s="656"/>
      <c r="I144" s="663"/>
      <c r="J144" s="663"/>
      <c r="K144" s="663"/>
      <c r="L144" s="664"/>
      <c r="M144" s="1133"/>
    </row>
    <row r="145" spans="1:23" ht="15.6" hidden="1" customHeight="1" thickBot="1" x14ac:dyDescent="0.3">
      <c r="A145" s="655"/>
      <c r="B145" s="659" t="s">
        <v>274</v>
      </c>
      <c r="C145" s="659"/>
      <c r="D145" s="656"/>
      <c r="E145" s="655"/>
      <c r="F145" s="656"/>
      <c r="G145" s="656"/>
      <c r="H145" s="656"/>
      <c r="I145" s="1527">
        <f>SUM(I141:I144)</f>
        <v>0</v>
      </c>
      <c r="J145" s="657"/>
      <c r="K145" s="1527">
        <f>SUM(K141:K144)</f>
        <v>0</v>
      </c>
      <c r="L145" s="664"/>
      <c r="M145" s="1133"/>
    </row>
    <row r="146" spans="1:23" ht="15.6" hidden="1" customHeight="1" thickTop="1" x14ac:dyDescent="0.2">
      <c r="A146" s="655"/>
      <c r="B146" s="655"/>
      <c r="C146" s="655"/>
      <c r="D146" s="656"/>
      <c r="E146" s="655"/>
      <c r="F146" s="656"/>
      <c r="G146" s="656"/>
      <c r="H146" s="656"/>
      <c r="I146" s="1528">
        <v>0</v>
      </c>
      <c r="J146" s="660"/>
      <c r="K146" s="1528">
        <v>0</v>
      </c>
      <c r="L146" s="1415"/>
      <c r="M146" s="1133"/>
    </row>
    <row r="147" spans="1:23" ht="15.6" hidden="1" customHeight="1" x14ac:dyDescent="0.25">
      <c r="B147" s="229" t="s">
        <v>7471</v>
      </c>
      <c r="I147" s="253"/>
      <c r="J147" s="285"/>
      <c r="K147" s="253"/>
      <c r="L147" s="210"/>
      <c r="M147" s="1133"/>
      <c r="N147" s="1147"/>
      <c r="O147" s="1146"/>
      <c r="P147" s="1115"/>
      <c r="W147" s="1114" t="s">
        <v>3857</v>
      </c>
    </row>
    <row r="148" spans="1:23" ht="15.6" hidden="1" customHeight="1" x14ac:dyDescent="0.25">
      <c r="I148" s="253"/>
      <c r="J148" s="285"/>
      <c r="K148" s="253"/>
      <c r="L148" s="210"/>
      <c r="M148" s="1133"/>
      <c r="N148" s="1147"/>
      <c r="O148" s="1146"/>
      <c r="P148" s="1115"/>
    </row>
    <row r="149" spans="1:23" ht="30.95" hidden="1" customHeight="1" x14ac:dyDescent="0.2">
      <c r="B149" s="2839" t="s">
        <v>1581</v>
      </c>
      <c r="C149" s="2839"/>
      <c r="D149" s="2839"/>
      <c r="E149" s="2839"/>
      <c r="F149" s="2839"/>
      <c r="G149" s="2839"/>
      <c r="I149" s="253"/>
      <c r="J149" s="253"/>
      <c r="K149" s="253"/>
      <c r="M149" s="1133"/>
      <c r="N149" s="1147"/>
      <c r="O149" s="1146"/>
      <c r="P149" s="1115"/>
    </row>
    <row r="150" spans="1:23" ht="15.6" hidden="1" customHeight="1" x14ac:dyDescent="0.25">
      <c r="I150" s="253"/>
      <c r="J150" s="285"/>
      <c r="K150" s="253"/>
      <c r="L150" s="210"/>
      <c r="M150" s="1133"/>
      <c r="N150" s="1147"/>
      <c r="O150" s="1146"/>
      <c r="P150" s="1115"/>
    </row>
    <row r="151" spans="1:23" ht="15.6" hidden="1" customHeight="1" x14ac:dyDescent="0.25">
      <c r="B151" s="48" t="s">
        <v>1583</v>
      </c>
      <c r="I151" s="2078">
        <v>0</v>
      </c>
      <c r="J151" s="206"/>
      <c r="K151" s="2078">
        <v>0</v>
      </c>
      <c r="L151" s="210"/>
      <c r="M151" s="1133"/>
    </row>
    <row r="152" spans="1:23" ht="15.6" hidden="1" customHeight="1" x14ac:dyDescent="0.25">
      <c r="B152" s="48" t="s">
        <v>1582</v>
      </c>
      <c r="I152" s="2078">
        <v>0</v>
      </c>
      <c r="J152" s="206"/>
      <c r="K152" s="2078">
        <v>0</v>
      </c>
      <c r="L152" s="210"/>
      <c r="M152" s="1133"/>
    </row>
    <row r="153" spans="1:23" ht="15.6" hidden="1" customHeight="1" x14ac:dyDescent="0.25">
      <c r="I153" s="206"/>
      <c r="J153" s="206"/>
      <c r="K153" s="206"/>
      <c r="L153" s="210"/>
      <c r="M153" s="1133"/>
    </row>
    <row r="154" spans="1:23" ht="15.6" hidden="1" customHeight="1" thickBot="1" x14ac:dyDescent="0.3">
      <c r="B154" s="50" t="s">
        <v>1584</v>
      </c>
      <c r="C154" s="50"/>
      <c r="I154" s="222">
        <f>SUM(I151:I153)</f>
        <v>0</v>
      </c>
      <c r="J154" s="200"/>
      <c r="K154" s="222">
        <f>SUM(K151:K153)</f>
        <v>0</v>
      </c>
      <c r="L154" s="210"/>
      <c r="M154" s="1133"/>
    </row>
    <row r="155" spans="1:23" ht="15.6" hidden="1" customHeight="1" thickTop="1" x14ac:dyDescent="0.2">
      <c r="I155" s="217"/>
      <c r="J155" s="218"/>
      <c r="K155" s="217"/>
      <c r="L155" s="59"/>
      <c r="M155" s="1133"/>
    </row>
    <row r="156" spans="1:23" ht="15.6" hidden="1" customHeight="1" x14ac:dyDescent="0.25">
      <c r="I156" s="200"/>
      <c r="J156" s="200"/>
      <c r="K156" s="200"/>
      <c r="L156" s="210"/>
      <c r="M156" s="1133"/>
      <c r="N156" s="1147"/>
      <c r="O156" s="1146"/>
    </row>
    <row r="157" spans="1:23" ht="15.6" customHeight="1" x14ac:dyDescent="0.25">
      <c r="A157" s="211">
        <v>9</v>
      </c>
      <c r="B157" s="50" t="s">
        <v>155</v>
      </c>
      <c r="C157" s="50"/>
      <c r="I157" s="58"/>
      <c r="J157" s="58"/>
      <c r="K157" s="58"/>
      <c r="M157" s="1133"/>
      <c r="N157" s="1147"/>
      <c r="O157" s="1146"/>
      <c r="W157" s="1114" t="s">
        <v>3520</v>
      </c>
    </row>
    <row r="158" spans="1:23" ht="15.6" customHeight="1" x14ac:dyDescent="0.2">
      <c r="I158" s="58"/>
      <c r="J158" s="58"/>
      <c r="K158" s="58"/>
      <c r="M158" s="1133"/>
      <c r="N158" s="1147"/>
      <c r="O158" s="1146"/>
    </row>
    <row r="159" spans="1:23" ht="15.6" customHeight="1" thickBot="1" x14ac:dyDescent="0.3">
      <c r="B159" s="48" t="s">
        <v>931</v>
      </c>
      <c r="C159" s="50"/>
      <c r="I159" s="226">
        <f>'Trial Balance - FPos'!F238</f>
        <v>534123.09</v>
      </c>
      <c r="J159" s="58"/>
      <c r="K159" s="226">
        <f>'Trial Balance - FPos'!C238</f>
        <v>534123.09</v>
      </c>
      <c r="M159" s="1244" t="s">
        <v>1954</v>
      </c>
      <c r="N159" s="1147">
        <v>1126016.3099999996</v>
      </c>
      <c r="O159" s="1147"/>
      <c r="P159" s="1110" t="s">
        <v>4391</v>
      </c>
      <c r="Q159" s="1111" t="s">
        <v>2763</v>
      </c>
      <c r="R159" s="1110" t="s">
        <v>4390</v>
      </c>
      <c r="S159" s="1111" t="s">
        <v>2765</v>
      </c>
      <c r="T159" s="1110" t="s">
        <v>3050</v>
      </c>
      <c r="U159" s="1111" t="s">
        <v>2775</v>
      </c>
    </row>
    <row r="160" spans="1:23" ht="15.6" customHeight="1" thickTop="1" x14ac:dyDescent="0.2">
      <c r="I160" s="217">
        <f>I159-K196</f>
        <v>0</v>
      </c>
      <c r="J160" s="218"/>
      <c r="K160" s="217">
        <f>K159-K236</f>
        <v>0</v>
      </c>
      <c r="M160" s="1244" t="s">
        <v>1955</v>
      </c>
      <c r="N160" s="1133"/>
      <c r="O160" s="1146"/>
      <c r="P160" s="1117"/>
    </row>
    <row r="161" spans="1:18" ht="15.6" customHeight="1" x14ac:dyDescent="0.2">
      <c r="B161" s="2839" t="s">
        <v>932</v>
      </c>
      <c r="C161" s="2839"/>
      <c r="D161" s="2839"/>
      <c r="E161" s="2839"/>
      <c r="F161" s="2839"/>
      <c r="G161" s="2839"/>
      <c r="H161" s="56"/>
      <c r="I161" s="56"/>
      <c r="J161" s="56"/>
      <c r="K161" s="56"/>
      <c r="M161" s="1133"/>
      <c r="N161" s="1147"/>
      <c r="O161" s="1146"/>
      <c r="P161" s="1117"/>
    </row>
    <row r="162" spans="1:18" ht="15.6" customHeight="1" x14ac:dyDescent="0.2">
      <c r="B162" s="723"/>
      <c r="C162" s="723"/>
      <c r="D162" s="723"/>
      <c r="F162" s="723"/>
      <c r="G162" s="1529" t="s">
        <v>1507</v>
      </c>
      <c r="H162" s="56"/>
      <c r="I162" s="56"/>
      <c r="J162" s="56"/>
      <c r="K162" s="725" t="s">
        <v>234</v>
      </c>
      <c r="M162" s="1133"/>
      <c r="N162" s="1147"/>
      <c r="O162" s="1146"/>
      <c r="P162" s="1117"/>
    </row>
    <row r="163" spans="1:18" ht="15.6" customHeight="1" x14ac:dyDescent="0.2">
      <c r="B163" s="723"/>
      <c r="C163" s="723"/>
      <c r="D163" s="723"/>
      <c r="F163" s="723"/>
      <c r="G163" s="1529" t="s">
        <v>596</v>
      </c>
      <c r="H163" s="56"/>
      <c r="I163" s="56"/>
      <c r="J163" s="56"/>
      <c r="K163" s="725"/>
      <c r="M163" s="1133"/>
      <c r="N163" s="1147"/>
      <c r="O163" s="1146"/>
      <c r="P163" s="1117"/>
    </row>
    <row r="164" spans="1:18" ht="15.6" customHeight="1" x14ac:dyDescent="0.2">
      <c r="B164" s="723"/>
      <c r="C164" s="723"/>
      <c r="D164" s="723"/>
      <c r="F164" s="723"/>
      <c r="G164" s="1530"/>
      <c r="H164" s="56"/>
      <c r="I164" s="56"/>
      <c r="J164" s="56"/>
      <c r="K164" s="56"/>
      <c r="M164" s="1133"/>
      <c r="N164" s="1147"/>
      <c r="O164" s="1146"/>
      <c r="P164" s="1117"/>
    </row>
    <row r="165" spans="1:18" ht="15.6" customHeight="1" x14ac:dyDescent="0.25">
      <c r="B165" s="74" t="str">
        <f>"Carrying values at "&amp;Parameters!C31</f>
        <v>Carrying values at 01 July 2011</v>
      </c>
      <c r="G165" s="1531">
        <f>SUM(G166:G169)</f>
        <v>0</v>
      </c>
      <c r="I165" s="56"/>
      <c r="J165" s="58"/>
      <c r="K165" s="224">
        <f>SUM(K166:K169)</f>
        <v>534123.09</v>
      </c>
      <c r="M165" s="1591">
        <f>K165-SUM(I165,G165)</f>
        <v>534123.09</v>
      </c>
      <c r="N165" s="1147"/>
      <c r="O165" s="1146"/>
    </row>
    <row r="166" spans="1:18" ht="15.6" customHeight="1" x14ac:dyDescent="0.2">
      <c r="B166" s="48" t="s">
        <v>157</v>
      </c>
      <c r="G166" s="320">
        <f>G237</f>
        <v>0</v>
      </c>
      <c r="I166" s="56"/>
      <c r="J166" s="58"/>
      <c r="K166" s="213">
        <f>K237</f>
        <v>534123.09</v>
      </c>
      <c r="M166" s="1591">
        <f>K166-SUM(I166,G166)</f>
        <v>534123.09</v>
      </c>
      <c r="N166" s="1147"/>
      <c r="O166" s="1146"/>
    </row>
    <row r="167" spans="1:18" ht="15.6" hidden="1" customHeight="1" x14ac:dyDescent="0.2">
      <c r="A167" s="655"/>
      <c r="B167" s="655" t="s">
        <v>718</v>
      </c>
      <c r="C167" s="655"/>
      <c r="D167" s="656"/>
      <c r="E167" s="655"/>
      <c r="F167" s="656"/>
      <c r="G167" s="1534">
        <f>G238</f>
        <v>0</v>
      </c>
      <c r="H167" s="656"/>
      <c r="I167" s="56"/>
      <c r="J167" s="658"/>
      <c r="K167" s="668">
        <f>K238</f>
        <v>0</v>
      </c>
      <c r="L167" s="655"/>
      <c r="M167" s="1591">
        <f>K167-SUM(I167,G167)</f>
        <v>0</v>
      </c>
      <c r="N167" s="1147"/>
      <c r="O167" s="1146"/>
    </row>
    <row r="168" spans="1:18" ht="15.6" customHeight="1" x14ac:dyDescent="0.2">
      <c r="B168" s="48" t="s">
        <v>726</v>
      </c>
      <c r="G168" s="320">
        <f>G239</f>
        <v>0</v>
      </c>
      <c r="I168" s="56"/>
      <c r="J168" s="58"/>
      <c r="K168" s="214">
        <f>K239</f>
        <v>0</v>
      </c>
      <c r="M168" s="1591">
        <f>K168-SUM(I168,G168)</f>
        <v>0</v>
      </c>
      <c r="N168" s="1147"/>
      <c r="O168" s="1146"/>
    </row>
    <row r="169" spans="1:18" ht="15.6" hidden="1" customHeight="1" x14ac:dyDescent="0.2">
      <c r="A169" s="655"/>
      <c r="B169" s="655" t="s">
        <v>152</v>
      </c>
      <c r="C169" s="655"/>
      <c r="D169" s="656"/>
      <c r="E169" s="655"/>
      <c r="F169" s="656"/>
      <c r="G169" s="1534">
        <f>G240</f>
        <v>0</v>
      </c>
      <c r="H169" s="656"/>
      <c r="I169" s="56"/>
      <c r="J169" s="658"/>
      <c r="K169" s="1535">
        <f>K240</f>
        <v>0</v>
      </c>
      <c r="L169" s="655"/>
      <c r="M169" s="1591">
        <f>K169-SUM(I169,G169)</f>
        <v>0</v>
      </c>
      <c r="N169" s="1147"/>
      <c r="O169" s="1146"/>
    </row>
    <row r="170" spans="1:18" ht="15" customHeight="1" x14ac:dyDescent="0.2">
      <c r="G170" s="320"/>
      <c r="I170" s="56"/>
      <c r="J170" s="58"/>
      <c r="K170" s="203"/>
      <c r="M170" s="1591"/>
      <c r="N170" s="1147"/>
      <c r="O170" s="1146"/>
    </row>
    <row r="171" spans="1:18" ht="15.6" hidden="1" customHeight="1" x14ac:dyDescent="0.2">
      <c r="B171" s="48" t="s">
        <v>1892</v>
      </c>
      <c r="G171" s="320">
        <f>SUM(G172:G173)</f>
        <v>0</v>
      </c>
      <c r="I171" s="56"/>
      <c r="J171" s="58"/>
      <c r="K171" s="58">
        <f>SUM(K172:K173)</f>
        <v>0</v>
      </c>
      <c r="M171" s="1591">
        <f t="shared" ref="M171:M176" si="0">K171-SUM(I171,G171)</f>
        <v>0</v>
      </c>
      <c r="N171" s="1147"/>
      <c r="O171" s="1146"/>
    </row>
    <row r="172" spans="1:18" ht="15.6" hidden="1" customHeight="1" x14ac:dyDescent="0.2">
      <c r="B172" s="48" t="s">
        <v>1509</v>
      </c>
      <c r="G172" s="320">
        <f>'APPENDIX B'!D289</f>
        <v>0</v>
      </c>
      <c r="I172" s="56"/>
      <c r="J172" s="58"/>
      <c r="K172" s="213">
        <v>0</v>
      </c>
      <c r="M172" s="1591">
        <f t="shared" si="0"/>
        <v>0</v>
      </c>
      <c r="N172" s="1147"/>
      <c r="O172" s="1146"/>
      <c r="P172" s="1110" t="s">
        <v>4290</v>
      </c>
      <c r="Q172" s="1111" t="s">
        <v>2763</v>
      </c>
      <c r="R172" s="1110"/>
    </row>
    <row r="173" spans="1:18" ht="15.6" hidden="1" customHeight="1" x14ac:dyDescent="0.2">
      <c r="B173" s="48" t="s">
        <v>1508</v>
      </c>
      <c r="G173" s="320">
        <v>0</v>
      </c>
      <c r="I173" s="56"/>
      <c r="J173" s="58"/>
      <c r="K173" s="215">
        <f>I173</f>
        <v>0</v>
      </c>
      <c r="M173" s="1591">
        <f t="shared" si="0"/>
        <v>0</v>
      </c>
      <c r="N173" s="1147"/>
      <c r="O173" s="1146"/>
    </row>
    <row r="174" spans="1:18" ht="15.6" hidden="1" customHeight="1" x14ac:dyDescent="0.2">
      <c r="A174" s="655"/>
      <c r="B174" s="655" t="s">
        <v>935</v>
      </c>
      <c r="C174" s="655"/>
      <c r="D174" s="656"/>
      <c r="E174" s="655"/>
      <c r="F174" s="656"/>
      <c r="G174" s="1534">
        <f>'APPENDIX B'!R289</f>
        <v>0</v>
      </c>
      <c r="H174" s="656"/>
      <c r="I174" s="56"/>
      <c r="J174" s="658"/>
      <c r="K174" s="658">
        <v>0</v>
      </c>
      <c r="L174" s="655"/>
      <c r="M174" s="1591">
        <f>K174-SUM(I174,G174)</f>
        <v>0</v>
      </c>
      <c r="N174" s="1147"/>
      <c r="O174" s="1146"/>
    </row>
    <row r="175" spans="1:18" ht="15.6" hidden="1" customHeight="1" x14ac:dyDescent="0.2">
      <c r="A175" s="655"/>
      <c r="B175" s="655" t="s">
        <v>1893</v>
      </c>
      <c r="C175" s="655"/>
      <c r="D175" s="656"/>
      <c r="E175" s="655"/>
      <c r="F175" s="656"/>
      <c r="G175" s="1534">
        <v>0</v>
      </c>
      <c r="H175" s="656"/>
      <c r="I175" s="56"/>
      <c r="J175" s="658"/>
      <c r="K175" s="658">
        <v>0</v>
      </c>
      <c r="L175" s="655"/>
      <c r="M175" s="1591">
        <f t="shared" si="0"/>
        <v>0</v>
      </c>
      <c r="N175" s="1147"/>
      <c r="O175" s="1146"/>
    </row>
    <row r="176" spans="1:18" ht="15.6" hidden="1" customHeight="1" x14ac:dyDescent="0.2">
      <c r="A176" s="655"/>
      <c r="B176" s="655" t="s">
        <v>1894</v>
      </c>
      <c r="C176" s="655"/>
      <c r="D176" s="656"/>
      <c r="E176" s="655"/>
      <c r="F176" s="656"/>
      <c r="G176" s="1534">
        <f>'APPENDIX B'!I289</f>
        <v>0</v>
      </c>
      <c r="H176" s="656"/>
      <c r="I176" s="56"/>
      <c r="J176" s="658"/>
      <c r="K176" s="658">
        <f>'APPENDIX B'!K288</f>
        <v>0</v>
      </c>
      <c r="L176" s="655"/>
      <c r="M176" s="1591">
        <f t="shared" si="0"/>
        <v>0</v>
      </c>
      <c r="N176" s="1147"/>
      <c r="O176" s="1146"/>
    </row>
    <row r="177" spans="1:18" ht="15.6" hidden="1" customHeight="1" x14ac:dyDescent="0.2">
      <c r="E177" s="58"/>
      <c r="G177" s="320"/>
      <c r="I177" s="56"/>
      <c r="J177" s="58"/>
      <c r="K177" s="58"/>
      <c r="M177" s="1591"/>
      <c r="N177" s="1147"/>
      <c r="O177" s="1134"/>
    </row>
    <row r="178" spans="1:18" ht="15.6" hidden="1" customHeight="1" x14ac:dyDescent="0.2">
      <c r="B178" s="48" t="s">
        <v>1895</v>
      </c>
      <c r="G178" s="320">
        <f>SUM(G179:G180)</f>
        <v>0</v>
      </c>
      <c r="I178" s="56"/>
      <c r="J178" s="58"/>
      <c r="K178" s="58">
        <f>SUM(K179:K180)</f>
        <v>0</v>
      </c>
      <c r="M178" s="1591">
        <f>K178-SUM(I178,G178)</f>
        <v>0</v>
      </c>
      <c r="N178" s="1147"/>
      <c r="O178" s="1146"/>
    </row>
    <row r="179" spans="1:18" ht="15.6" hidden="1" customHeight="1" x14ac:dyDescent="0.2">
      <c r="B179" s="48" t="s">
        <v>1509</v>
      </c>
      <c r="G179" s="320">
        <f>-'APPENDIX B'!W289-G180</f>
        <v>0</v>
      </c>
      <c r="I179" s="56"/>
      <c r="J179" s="58"/>
      <c r="K179" s="213">
        <v>0</v>
      </c>
      <c r="M179" s="1591">
        <f>K179-SUM(I179,G179)</f>
        <v>0</v>
      </c>
      <c r="N179" s="1147"/>
      <c r="O179" s="1146"/>
      <c r="P179" s="1110" t="s">
        <v>4291</v>
      </c>
      <c r="Q179" s="1111" t="s">
        <v>2763</v>
      </c>
      <c r="R179" s="1110"/>
    </row>
    <row r="180" spans="1:18" ht="15.6" hidden="1" customHeight="1" x14ac:dyDescent="0.2">
      <c r="B180" s="48" t="s">
        <v>1508</v>
      </c>
      <c r="G180" s="320">
        <v>0</v>
      </c>
      <c r="I180" s="56"/>
      <c r="J180" s="58"/>
      <c r="K180" s="215">
        <v>0</v>
      </c>
      <c r="M180" s="1591">
        <f>K180-SUM(I180,G180)</f>
        <v>0</v>
      </c>
      <c r="N180" s="1147"/>
      <c r="O180" s="1146"/>
    </row>
    <row r="181" spans="1:18" ht="15.6" hidden="1" customHeight="1" x14ac:dyDescent="0.2">
      <c r="A181" s="655"/>
      <c r="B181" s="655" t="s">
        <v>1896</v>
      </c>
      <c r="C181" s="655"/>
      <c r="D181" s="656"/>
      <c r="E181" s="655"/>
      <c r="F181" s="656"/>
      <c r="G181" s="1534">
        <f>-'APPENDIX B'!AB289</f>
        <v>0</v>
      </c>
      <c r="H181" s="656"/>
      <c r="I181" s="56"/>
      <c r="J181" s="658"/>
      <c r="K181" s="658">
        <f>-'APPENDIX B'!AD288</f>
        <v>0</v>
      </c>
      <c r="L181" s="655"/>
      <c r="M181" s="1591">
        <f>K181-SUM(I181,G181)</f>
        <v>0</v>
      </c>
      <c r="N181" s="1147"/>
      <c r="O181" s="1146"/>
    </row>
    <row r="182" spans="1:18" ht="15.6" hidden="1" customHeight="1" x14ac:dyDescent="0.2">
      <c r="A182" s="655"/>
      <c r="B182" s="655" t="s">
        <v>1897</v>
      </c>
      <c r="C182" s="655"/>
      <c r="D182" s="656"/>
      <c r="E182" s="655"/>
      <c r="F182" s="656"/>
      <c r="G182" s="1534">
        <v>0</v>
      </c>
      <c r="H182" s="656"/>
      <c r="I182" s="56"/>
      <c r="J182" s="658"/>
      <c r="K182" s="658">
        <v>0</v>
      </c>
      <c r="L182" s="655"/>
      <c r="M182" s="1591">
        <f>K182-SUM(I182,G182)</f>
        <v>0</v>
      </c>
      <c r="N182" s="1147"/>
      <c r="O182" s="1146"/>
    </row>
    <row r="183" spans="1:18" ht="15.6" hidden="1" customHeight="1" x14ac:dyDescent="0.2">
      <c r="E183" s="58"/>
      <c r="G183" s="320"/>
      <c r="I183" s="56"/>
      <c r="J183" s="58"/>
      <c r="K183" s="58"/>
      <c r="M183" s="1591"/>
      <c r="N183" s="1147"/>
      <c r="O183" s="1134"/>
    </row>
    <row r="184" spans="1:18" ht="15.6" hidden="1" customHeight="1" x14ac:dyDescent="0.2">
      <c r="B184" s="48" t="s">
        <v>1898</v>
      </c>
      <c r="G184" s="320">
        <f>SUM(G185:G187)</f>
        <v>0</v>
      </c>
      <c r="I184" s="56"/>
      <c r="J184" s="58"/>
      <c r="K184" s="58">
        <f>SUM(K185:K187)</f>
        <v>0</v>
      </c>
      <c r="M184" s="1591">
        <f>K184-SUM(I184,G184)</f>
        <v>0</v>
      </c>
      <c r="N184" s="1147"/>
    </row>
    <row r="185" spans="1:18" ht="15.6" hidden="1" customHeight="1" x14ac:dyDescent="0.2">
      <c r="B185" s="48" t="s">
        <v>722</v>
      </c>
      <c r="G185" s="320">
        <f>'APPENDIX B'!F289</f>
        <v>0</v>
      </c>
      <c r="I185" s="56"/>
      <c r="J185" s="58"/>
      <c r="K185" s="213">
        <v>0</v>
      </c>
      <c r="M185" s="1591">
        <f>K185-SUM(I185,G185)</f>
        <v>0</v>
      </c>
      <c r="N185" s="1147"/>
      <c r="P185" s="1110" t="s">
        <v>4292</v>
      </c>
      <c r="Q185" s="1111" t="s">
        <v>2763</v>
      </c>
    </row>
    <row r="186" spans="1:18" ht="15.6" hidden="1" customHeight="1" x14ac:dyDescent="0.2">
      <c r="A186" s="655"/>
      <c r="B186" s="655" t="s">
        <v>723</v>
      </c>
      <c r="C186" s="655"/>
      <c r="D186" s="656"/>
      <c r="E186" s="655"/>
      <c r="F186" s="656"/>
      <c r="G186" s="1534">
        <f>'APPENDIX B'!K289</f>
        <v>0</v>
      </c>
      <c r="H186" s="656"/>
      <c r="I186" s="56"/>
      <c r="J186" s="658"/>
      <c r="K186" s="668">
        <v>0</v>
      </c>
      <c r="L186" s="655"/>
      <c r="M186" s="1591">
        <f>K186-SUM(I186,G186)</f>
        <v>0</v>
      </c>
      <c r="N186" s="1147"/>
      <c r="P186" s="1110" t="s">
        <v>3579</v>
      </c>
      <c r="Q186" s="1111" t="s">
        <v>2763</v>
      </c>
    </row>
    <row r="187" spans="1:18" ht="15.6" hidden="1" customHeight="1" x14ac:dyDescent="0.2">
      <c r="B187" s="48" t="s">
        <v>727</v>
      </c>
      <c r="G187" s="320">
        <f>-'APPENDIX B'!Y289</f>
        <v>0</v>
      </c>
      <c r="I187" s="56"/>
      <c r="J187" s="58"/>
      <c r="K187" s="214">
        <v>0</v>
      </c>
      <c r="M187" s="1591">
        <f>K187-SUM(I187,G187)</f>
        <v>0</v>
      </c>
      <c r="N187" s="1147"/>
      <c r="P187" s="1110" t="s">
        <v>4293</v>
      </c>
      <c r="Q187" s="1111" t="s">
        <v>2763</v>
      </c>
    </row>
    <row r="188" spans="1:18" ht="15.6" hidden="1" customHeight="1" x14ac:dyDescent="0.2">
      <c r="A188" s="655"/>
      <c r="B188" s="655" t="s">
        <v>725</v>
      </c>
      <c r="C188" s="655"/>
      <c r="D188" s="656"/>
      <c r="E188" s="655"/>
      <c r="F188" s="656"/>
      <c r="G188" s="1534">
        <f>-'APPENDIX B'!AD289</f>
        <v>0</v>
      </c>
      <c r="H188" s="656"/>
      <c r="I188" s="56"/>
      <c r="J188" s="658"/>
      <c r="K188" s="1535">
        <v>0</v>
      </c>
      <c r="L188" s="655"/>
      <c r="M188" s="1591">
        <f>K188-SUM(I188,G188)</f>
        <v>0</v>
      </c>
      <c r="N188" s="1147"/>
      <c r="P188" s="1110" t="s">
        <v>4294</v>
      </c>
      <c r="Q188" s="1111" t="s">
        <v>2763</v>
      </c>
    </row>
    <row r="189" spans="1:18" ht="15.6" hidden="1" customHeight="1" x14ac:dyDescent="0.2">
      <c r="G189" s="320"/>
      <c r="I189" s="56"/>
      <c r="J189" s="58"/>
      <c r="K189" s="203"/>
      <c r="M189" s="1591"/>
      <c r="N189" s="1147"/>
    </row>
    <row r="190" spans="1:18" ht="15.6" hidden="1" customHeight="1" x14ac:dyDescent="0.2">
      <c r="B190" s="48" t="s">
        <v>1899</v>
      </c>
      <c r="G190" s="320">
        <f>SUM(G191:G194)</f>
        <v>0</v>
      </c>
      <c r="I190" s="56"/>
      <c r="J190" s="58"/>
      <c r="K190" s="212">
        <f>SUM(K191:K194)</f>
        <v>0</v>
      </c>
      <c r="M190" s="1591">
        <f>K190-SUM(I190,G190)</f>
        <v>0</v>
      </c>
      <c r="N190" s="1147"/>
      <c r="O190" s="1146"/>
    </row>
    <row r="191" spans="1:18" ht="15.6" hidden="1" customHeight="1" x14ac:dyDescent="0.2">
      <c r="B191" s="48" t="s">
        <v>722</v>
      </c>
      <c r="G191" s="320">
        <f>'APPENDIX B'!E289</f>
        <v>0</v>
      </c>
      <c r="I191" s="56"/>
      <c r="J191" s="58"/>
      <c r="K191" s="213">
        <v>0</v>
      </c>
      <c r="M191" s="1591">
        <f>K191-SUM(I191,G191)</f>
        <v>0</v>
      </c>
      <c r="N191" s="1147"/>
      <c r="O191" s="1146"/>
      <c r="P191" s="1110" t="s">
        <v>4295</v>
      </c>
      <c r="Q191" s="1111" t="s">
        <v>2763</v>
      </c>
    </row>
    <row r="192" spans="1:18" ht="15.6" hidden="1" customHeight="1" x14ac:dyDescent="0.2">
      <c r="A192" s="655"/>
      <c r="B192" s="655" t="s">
        <v>723</v>
      </c>
      <c r="C192" s="655"/>
      <c r="D192" s="656"/>
      <c r="E192" s="655"/>
      <c r="F192" s="656"/>
      <c r="G192" s="1534">
        <f>'APPENDIX B'!J289</f>
        <v>0</v>
      </c>
      <c r="H192" s="656"/>
      <c r="I192" s="56"/>
      <c r="J192" s="658"/>
      <c r="K192" s="668">
        <v>0</v>
      </c>
      <c r="L192" s="655"/>
      <c r="M192" s="1591">
        <f>K192-SUM(I192,G192)</f>
        <v>0</v>
      </c>
      <c r="N192" s="1147"/>
      <c r="O192" s="1146"/>
      <c r="P192" s="1110" t="s">
        <v>4296</v>
      </c>
      <c r="Q192" s="1111" t="s">
        <v>2763</v>
      </c>
    </row>
    <row r="193" spans="1:17" ht="15.6" hidden="1" customHeight="1" x14ac:dyDescent="0.2">
      <c r="B193" s="48" t="s">
        <v>727</v>
      </c>
      <c r="G193" s="320">
        <f>-'APPENDIX B'!X289</f>
        <v>0</v>
      </c>
      <c r="I193" s="56"/>
      <c r="J193" s="58"/>
      <c r="K193" s="214">
        <v>0</v>
      </c>
      <c r="M193" s="1591">
        <f>K193-SUM(I193,G193)</f>
        <v>0</v>
      </c>
      <c r="N193" s="1147"/>
      <c r="O193" s="1146"/>
      <c r="P193" s="1110" t="s">
        <v>4297</v>
      </c>
      <c r="Q193" s="1111" t="s">
        <v>2763</v>
      </c>
    </row>
    <row r="194" spans="1:17" ht="15.6" hidden="1" customHeight="1" x14ac:dyDescent="0.2">
      <c r="A194" s="655"/>
      <c r="B194" s="655" t="s">
        <v>725</v>
      </c>
      <c r="C194" s="655"/>
      <c r="D194" s="656"/>
      <c r="E194" s="655"/>
      <c r="F194" s="656"/>
      <c r="G194" s="1534">
        <f>-'APPENDIX B'!AC289</f>
        <v>0</v>
      </c>
      <c r="H194" s="656"/>
      <c r="I194" s="56"/>
      <c r="J194" s="658"/>
      <c r="K194" s="1535">
        <v>0</v>
      </c>
      <c r="L194" s="655"/>
      <c r="M194" s="1591">
        <f>K194-SUM(I194,G194)</f>
        <v>0</v>
      </c>
      <c r="N194" s="1147"/>
      <c r="O194" s="1146"/>
      <c r="P194" s="1110" t="s">
        <v>4298</v>
      </c>
      <c r="Q194" s="1111" t="s">
        <v>2763</v>
      </c>
    </row>
    <row r="195" spans="1:17" ht="15.6" hidden="1" customHeight="1" x14ac:dyDescent="0.2">
      <c r="G195" s="320"/>
      <c r="I195" s="56"/>
      <c r="J195" s="58"/>
      <c r="K195" s="203"/>
      <c r="M195" s="1591"/>
      <c r="N195" s="1147"/>
      <c r="O195" s="1146"/>
    </row>
    <row r="196" spans="1:17" ht="15.6" customHeight="1" x14ac:dyDescent="0.25">
      <c r="B196" s="50" t="str">
        <f>"Carrying values at "&amp;Parameters!C11</f>
        <v>Carrying values at 30 June 2012</v>
      </c>
      <c r="C196" s="50"/>
      <c r="E196" s="50"/>
      <c r="G196" s="1531">
        <f>SUM(G197:G200)</f>
        <v>0</v>
      </c>
      <c r="I196" s="56"/>
      <c r="J196" s="58"/>
      <c r="K196" s="239">
        <f>SUM(K197:K200)</f>
        <v>534123.09</v>
      </c>
      <c r="M196" s="1591">
        <f>K196-SUM(I196,G196)</f>
        <v>534123.09</v>
      </c>
      <c r="N196" s="1147"/>
      <c r="O196" s="1146"/>
    </row>
    <row r="197" spans="1:17" ht="15.6" customHeight="1" x14ac:dyDescent="0.2">
      <c r="B197" s="48" t="s">
        <v>157</v>
      </c>
      <c r="G197" s="320">
        <f>SUM(G166,G171,G185,G191)</f>
        <v>0</v>
      </c>
      <c r="I197" s="56"/>
      <c r="J197" s="58"/>
      <c r="K197" s="213">
        <f>SUM(K166,K171,K185,K191)</f>
        <v>534123.09</v>
      </c>
      <c r="M197" s="1591">
        <f>K197-SUM(I197,G197)</f>
        <v>534123.09</v>
      </c>
      <c r="N197" s="1147"/>
      <c r="O197" s="1146"/>
    </row>
    <row r="198" spans="1:17" ht="15.6" hidden="1" customHeight="1" x14ac:dyDescent="0.2">
      <c r="A198" s="655"/>
      <c r="B198" s="655" t="s">
        <v>718</v>
      </c>
      <c r="C198" s="655"/>
      <c r="D198" s="656"/>
      <c r="E198" s="655"/>
      <c r="F198" s="656"/>
      <c r="G198" s="1534">
        <f>SUM(G167,G176,G186,G182,G192)</f>
        <v>0</v>
      </c>
      <c r="H198" s="656"/>
      <c r="I198" s="56"/>
      <c r="J198" s="658"/>
      <c r="K198" s="668">
        <f>SUM(K167,K176,K186,K182,K192)</f>
        <v>0</v>
      </c>
      <c r="L198" s="655"/>
      <c r="M198" s="1591">
        <f>K198-SUM(I198,G198)</f>
        <v>0</v>
      </c>
      <c r="N198" s="1147"/>
      <c r="O198" s="1146"/>
    </row>
    <row r="199" spans="1:17" ht="15.6" customHeight="1" x14ac:dyDescent="0.2">
      <c r="B199" s="48" t="s">
        <v>726</v>
      </c>
      <c r="G199" s="320">
        <f>SUM(G168,G178,G187,G193)</f>
        <v>0</v>
      </c>
      <c r="I199" s="56"/>
      <c r="J199" s="58"/>
      <c r="K199" s="214">
        <f>SUM(K168,K178,K187,K193)</f>
        <v>0</v>
      </c>
      <c r="M199" s="1591">
        <f>K199-SUM(I199,G199)</f>
        <v>0</v>
      </c>
      <c r="N199" s="1147"/>
      <c r="O199" s="1146"/>
    </row>
    <row r="200" spans="1:17" ht="15.6" hidden="1" customHeight="1" x14ac:dyDescent="0.2">
      <c r="A200" s="655"/>
      <c r="B200" s="655" t="s">
        <v>762</v>
      </c>
      <c r="C200" s="655"/>
      <c r="D200" s="656"/>
      <c r="E200" s="655"/>
      <c r="F200" s="656"/>
      <c r="G200" s="1534">
        <f>SUM(G169,G181,G188,G175,G194)</f>
        <v>0</v>
      </c>
      <c r="H200" s="656"/>
      <c r="I200" s="56"/>
      <c r="J200" s="658"/>
      <c r="K200" s="1535">
        <f>SUM(K169,K181,K188,K175,K194)</f>
        <v>0</v>
      </c>
      <c r="L200" s="655"/>
      <c r="M200" s="1591">
        <f>K200-SUM(I200,G200)</f>
        <v>0</v>
      </c>
      <c r="N200" s="1147"/>
      <c r="O200" s="1146"/>
    </row>
    <row r="201" spans="1:17" ht="15.6" customHeight="1" x14ac:dyDescent="0.2">
      <c r="B201" s="723"/>
      <c r="C201" s="723"/>
      <c r="D201" s="723"/>
      <c r="E201" s="723"/>
      <c r="F201" s="723"/>
      <c r="G201" s="1532">
        <f>G196-'APPENDIX B'!AK289</f>
        <v>-534123.09</v>
      </c>
      <c r="I201" s="56"/>
      <c r="J201" s="218"/>
      <c r="K201" s="242">
        <v>0</v>
      </c>
      <c r="M201" s="1133"/>
      <c r="N201" s="1147"/>
      <c r="O201" s="1146"/>
    </row>
    <row r="202" spans="1:17" ht="15.6" customHeight="1" x14ac:dyDescent="0.2">
      <c r="B202" s="1205"/>
      <c r="C202" s="1205"/>
      <c r="D202" s="1205"/>
      <c r="E202" s="1205"/>
      <c r="F202" s="1205"/>
      <c r="G202" s="1529" t="s">
        <v>1507</v>
      </c>
      <c r="H202" s="56"/>
      <c r="I202" s="56"/>
      <c r="J202" s="56"/>
      <c r="K202" s="725" t="s">
        <v>234</v>
      </c>
      <c r="M202" s="1133"/>
      <c r="N202" s="1147"/>
      <c r="O202" s="1146"/>
      <c r="P202" s="1117"/>
    </row>
    <row r="203" spans="1:17" ht="15.6" customHeight="1" x14ac:dyDescent="0.2">
      <c r="B203" s="1205"/>
      <c r="C203" s="1205"/>
      <c r="D203" s="1205"/>
      <c r="E203" s="1205"/>
      <c r="F203" s="1205"/>
      <c r="G203" s="1529" t="s">
        <v>596</v>
      </c>
      <c r="H203" s="56"/>
      <c r="I203" s="56"/>
      <c r="J203" s="56"/>
      <c r="K203" s="725"/>
      <c r="M203" s="1133"/>
      <c r="N203" s="1147"/>
      <c r="O203" s="1146"/>
      <c r="P203" s="1117"/>
    </row>
    <row r="204" spans="1:17" ht="15.6" customHeight="1" x14ac:dyDescent="0.2">
      <c r="B204" s="1205"/>
      <c r="C204" s="1205"/>
      <c r="D204" s="1205"/>
      <c r="E204" s="1205"/>
      <c r="F204" s="1205"/>
      <c r="G204" s="1533"/>
      <c r="H204" s="56"/>
      <c r="I204" s="56"/>
      <c r="J204" s="56"/>
      <c r="K204" s="56"/>
      <c r="M204" s="1133"/>
      <c r="N204" s="1147"/>
      <c r="O204" s="1146"/>
      <c r="P204" s="1117"/>
    </row>
    <row r="205" spans="1:17" ht="15.6" customHeight="1" x14ac:dyDescent="0.25">
      <c r="B205" s="50" t="str">
        <f>"Carrying values at "&amp;Parameters!C33</f>
        <v>Carrying values at 01 July 2010</v>
      </c>
      <c r="G205" s="1531">
        <f>SUM(G206:G209)</f>
        <v>0</v>
      </c>
      <c r="I205" s="56"/>
      <c r="J205" s="58"/>
      <c r="K205" s="224">
        <f>SUM(K206:K209)</f>
        <v>534123.09</v>
      </c>
      <c r="M205" s="1591">
        <f>K205-SUM(I205,G205)</f>
        <v>534123.09</v>
      </c>
      <c r="N205" s="1147"/>
      <c r="O205" s="1146"/>
    </row>
    <row r="206" spans="1:17" ht="15.6" customHeight="1" x14ac:dyDescent="0.2">
      <c r="B206" s="48" t="s">
        <v>157</v>
      </c>
      <c r="G206" s="320">
        <v>0</v>
      </c>
      <c r="I206" s="56"/>
      <c r="J206" s="58"/>
      <c r="K206" s="213">
        <v>534123.09</v>
      </c>
      <c r="M206" s="1591">
        <f>K206-SUM(I206,G206)</f>
        <v>534123.09</v>
      </c>
      <c r="N206" s="1147"/>
      <c r="O206" s="1146"/>
      <c r="P206" s="1110" t="s">
        <v>4299</v>
      </c>
      <c r="Q206" s="1111" t="s">
        <v>2765</v>
      </c>
    </row>
    <row r="207" spans="1:17" ht="15.6" hidden="1" customHeight="1" x14ac:dyDescent="0.2">
      <c r="A207" s="655"/>
      <c r="B207" s="655" t="s">
        <v>718</v>
      </c>
      <c r="C207" s="655"/>
      <c r="D207" s="656"/>
      <c r="E207" s="655"/>
      <c r="F207" s="656"/>
      <c r="G207" s="1534">
        <v>0</v>
      </c>
      <c r="H207" s="656"/>
      <c r="I207" s="56"/>
      <c r="J207" s="658"/>
      <c r="K207" s="668">
        <v>0</v>
      </c>
      <c r="L207" s="655"/>
      <c r="M207" s="1591">
        <f>K207-SUM(I207,G207)</f>
        <v>0</v>
      </c>
      <c r="N207" s="1147"/>
      <c r="O207" s="1146"/>
      <c r="P207" s="1110" t="s">
        <v>3576</v>
      </c>
      <c r="Q207" s="1111" t="s">
        <v>2765</v>
      </c>
    </row>
    <row r="208" spans="1:17" ht="15.6" customHeight="1" x14ac:dyDescent="0.2">
      <c r="B208" s="48" t="s">
        <v>726</v>
      </c>
      <c r="G208" s="320">
        <v>0</v>
      </c>
      <c r="I208" s="56"/>
      <c r="J208" s="58"/>
      <c r="K208" s="214">
        <v>0</v>
      </c>
      <c r="M208" s="1591">
        <f>K208-SUM(I208,G208)</f>
        <v>0</v>
      </c>
      <c r="N208" s="1147"/>
      <c r="O208" s="1146"/>
      <c r="P208" s="1110" t="s">
        <v>4300</v>
      </c>
      <c r="Q208" s="1111" t="s">
        <v>2765</v>
      </c>
    </row>
    <row r="209" spans="1:17" ht="15.6" hidden="1" customHeight="1" x14ac:dyDescent="0.2">
      <c r="A209" s="655"/>
      <c r="B209" s="655" t="s">
        <v>152</v>
      </c>
      <c r="C209" s="655"/>
      <c r="D209" s="656"/>
      <c r="E209" s="655"/>
      <c r="F209" s="656"/>
      <c r="G209" s="1534">
        <v>0</v>
      </c>
      <c r="H209" s="656"/>
      <c r="I209" s="56"/>
      <c r="J209" s="658"/>
      <c r="K209" s="1535">
        <v>0</v>
      </c>
      <c r="L209" s="655"/>
      <c r="M209" s="1591">
        <f>K209-SUM(I209,G209)</f>
        <v>0</v>
      </c>
      <c r="N209" s="1147"/>
      <c r="O209" s="1146"/>
      <c r="P209" s="1110" t="s">
        <v>4301</v>
      </c>
      <c r="Q209" s="1111" t="s">
        <v>2765</v>
      </c>
    </row>
    <row r="210" spans="1:17" ht="15.6" customHeight="1" x14ac:dyDescent="0.2">
      <c r="G210" s="320"/>
      <c r="I210" s="56"/>
      <c r="J210" s="58"/>
      <c r="K210" s="203"/>
      <c r="M210" s="1591"/>
      <c r="N210" s="1147"/>
      <c r="O210" s="1146"/>
    </row>
    <row r="211" spans="1:17" ht="15.6" hidden="1" customHeight="1" x14ac:dyDescent="0.2">
      <c r="B211" s="48" t="s">
        <v>1892</v>
      </c>
      <c r="G211" s="320">
        <f>SUM(G212:G213)</f>
        <v>0</v>
      </c>
      <c r="I211" s="56"/>
      <c r="J211" s="58"/>
      <c r="K211" s="58">
        <f>SUM(K212:K213)</f>
        <v>0</v>
      </c>
      <c r="M211" s="1591">
        <f>K211-SUM(I211,G211)</f>
        <v>0</v>
      </c>
      <c r="N211" s="1147"/>
      <c r="O211" s="1146"/>
    </row>
    <row r="212" spans="1:17" ht="15.6" hidden="1" customHeight="1" x14ac:dyDescent="0.2">
      <c r="B212" s="48" t="s">
        <v>1509</v>
      </c>
      <c r="G212" s="320">
        <v>0</v>
      </c>
      <c r="I212" s="56"/>
      <c r="J212" s="58"/>
      <c r="K212" s="213">
        <v>0</v>
      </c>
      <c r="M212" s="1591">
        <f>K212-SUM(I212,G212)</f>
        <v>0</v>
      </c>
      <c r="N212" s="1147"/>
      <c r="O212" s="1146"/>
      <c r="P212" s="1110" t="s">
        <v>4290</v>
      </c>
      <c r="Q212" s="1111" t="s">
        <v>2765</v>
      </c>
    </row>
    <row r="213" spans="1:17" ht="15.6" hidden="1" customHeight="1" x14ac:dyDescent="0.2">
      <c r="B213" s="48" t="s">
        <v>1508</v>
      </c>
      <c r="G213" s="320">
        <v>0</v>
      </c>
      <c r="I213" s="56"/>
      <c r="J213" s="58"/>
      <c r="K213" s="215">
        <v>0</v>
      </c>
      <c r="M213" s="1591">
        <f>K213-SUM(I213,G213)</f>
        <v>0</v>
      </c>
      <c r="N213" s="1147"/>
      <c r="O213" s="1146"/>
    </row>
    <row r="214" spans="1:17" ht="15.6" hidden="1" customHeight="1" x14ac:dyDescent="0.2">
      <c r="A214" s="655"/>
      <c r="B214" s="655" t="s">
        <v>935</v>
      </c>
      <c r="C214" s="655"/>
      <c r="D214" s="656"/>
      <c r="E214" s="655"/>
      <c r="F214" s="656"/>
      <c r="G214" s="1534"/>
      <c r="H214" s="656"/>
      <c r="I214" s="56"/>
      <c r="J214" s="658"/>
      <c r="K214" s="658">
        <v>0</v>
      </c>
      <c r="L214" s="655"/>
      <c r="M214" s="1591"/>
      <c r="N214" s="1147"/>
      <c r="O214" s="1146"/>
    </row>
    <row r="215" spans="1:17" ht="15.6" hidden="1" customHeight="1" x14ac:dyDescent="0.2">
      <c r="A215" s="655"/>
      <c r="B215" s="655" t="s">
        <v>1893</v>
      </c>
      <c r="C215" s="655"/>
      <c r="D215" s="656"/>
      <c r="E215" s="655"/>
      <c r="F215" s="656"/>
      <c r="G215" s="1534">
        <v>0</v>
      </c>
      <c r="H215" s="656"/>
      <c r="I215" s="56"/>
      <c r="J215" s="658"/>
      <c r="K215" s="658">
        <v>0</v>
      </c>
      <c r="L215" s="655"/>
      <c r="M215" s="1591">
        <f>K215-SUM(I215,G215)</f>
        <v>0</v>
      </c>
      <c r="N215" s="1147"/>
      <c r="O215" s="1146"/>
    </row>
    <row r="216" spans="1:17" ht="15.6" hidden="1" customHeight="1" x14ac:dyDescent="0.2">
      <c r="A216" s="655"/>
      <c r="B216" s="655" t="s">
        <v>1894</v>
      </c>
      <c r="C216" s="655"/>
      <c r="D216" s="656"/>
      <c r="E216" s="655"/>
      <c r="F216" s="656"/>
      <c r="G216" s="1534">
        <v>0</v>
      </c>
      <c r="H216" s="656"/>
      <c r="I216" s="56"/>
      <c r="J216" s="658"/>
      <c r="K216" s="658">
        <v>0</v>
      </c>
      <c r="L216" s="655"/>
      <c r="M216" s="1591">
        <f>K216-SUM(I216,G216)</f>
        <v>0</v>
      </c>
      <c r="N216" s="1147"/>
      <c r="O216" s="1146"/>
    </row>
    <row r="217" spans="1:17" ht="15.6" hidden="1" customHeight="1" x14ac:dyDescent="0.2">
      <c r="G217" s="320"/>
      <c r="I217" s="56"/>
      <c r="J217" s="58"/>
      <c r="K217" s="58"/>
      <c r="M217" s="1591"/>
      <c r="N217" s="1147"/>
    </row>
    <row r="218" spans="1:17" ht="15.6" hidden="1" customHeight="1" x14ac:dyDescent="0.2">
      <c r="B218" s="48" t="s">
        <v>1895</v>
      </c>
      <c r="G218" s="320">
        <f>SUM(G219:G220)</f>
        <v>0</v>
      </c>
      <c r="I218" s="56"/>
      <c r="J218" s="58"/>
      <c r="K218" s="58">
        <f>SUM(K219:K220)</f>
        <v>0</v>
      </c>
      <c r="M218" s="1591">
        <f>K218-SUM(I218,G218)</f>
        <v>0</v>
      </c>
      <c r="N218" s="1147"/>
      <c r="O218" s="1146"/>
    </row>
    <row r="219" spans="1:17" ht="15.6" hidden="1" customHeight="1" x14ac:dyDescent="0.2">
      <c r="B219" s="48" t="s">
        <v>1509</v>
      </c>
      <c r="G219" s="320">
        <v>0</v>
      </c>
      <c r="I219" s="56"/>
      <c r="J219" s="58"/>
      <c r="K219" s="213">
        <v>0</v>
      </c>
      <c r="M219" s="1591">
        <f>K219-SUM(I219,G219)</f>
        <v>0</v>
      </c>
      <c r="N219" s="1147"/>
      <c r="O219" s="1146"/>
      <c r="P219" s="1110" t="s">
        <v>4291</v>
      </c>
      <c r="Q219" s="1111" t="s">
        <v>2765</v>
      </c>
    </row>
    <row r="220" spans="1:17" ht="15.6" hidden="1" customHeight="1" x14ac:dyDescent="0.2">
      <c r="B220" s="48" t="s">
        <v>1508</v>
      </c>
      <c r="G220" s="320">
        <v>0</v>
      </c>
      <c r="I220" s="56"/>
      <c r="J220" s="58"/>
      <c r="K220" s="215">
        <v>0</v>
      </c>
      <c r="M220" s="1591">
        <f>K220-SUM(I220,G220)</f>
        <v>0</v>
      </c>
      <c r="N220" s="1147"/>
      <c r="O220" s="1146"/>
    </row>
    <row r="221" spans="1:17" ht="15.6" hidden="1" customHeight="1" x14ac:dyDescent="0.2">
      <c r="A221" s="655"/>
      <c r="B221" s="655" t="s">
        <v>1896</v>
      </c>
      <c r="C221" s="655"/>
      <c r="D221" s="656"/>
      <c r="E221" s="655"/>
      <c r="F221" s="656"/>
      <c r="G221" s="1534">
        <v>0</v>
      </c>
      <c r="H221" s="656"/>
      <c r="I221" s="56"/>
      <c r="J221" s="658"/>
      <c r="K221" s="658">
        <v>0</v>
      </c>
      <c r="L221" s="655"/>
      <c r="M221" s="1591">
        <f>K221-SUM(I221,G221)</f>
        <v>0</v>
      </c>
      <c r="N221" s="1147"/>
      <c r="O221" s="1146"/>
    </row>
    <row r="222" spans="1:17" ht="15.6" hidden="1" customHeight="1" x14ac:dyDescent="0.2">
      <c r="A222" s="655"/>
      <c r="B222" s="655" t="s">
        <v>1897</v>
      </c>
      <c r="C222" s="655"/>
      <c r="D222" s="656"/>
      <c r="E222" s="655"/>
      <c r="F222" s="656"/>
      <c r="G222" s="1534">
        <v>0</v>
      </c>
      <c r="H222" s="656"/>
      <c r="I222" s="56"/>
      <c r="J222" s="658"/>
      <c r="K222" s="658">
        <v>0</v>
      </c>
      <c r="L222" s="655"/>
      <c r="M222" s="1591">
        <f>K222-SUM(I222,G222)</f>
        <v>0</v>
      </c>
      <c r="N222" s="1147"/>
      <c r="O222" s="1146"/>
    </row>
    <row r="223" spans="1:17" ht="15.6" hidden="1" customHeight="1" x14ac:dyDescent="0.2">
      <c r="E223" s="58"/>
      <c r="G223" s="320"/>
      <c r="I223" s="56"/>
      <c r="J223" s="58"/>
      <c r="K223" s="58"/>
      <c r="M223" s="1591"/>
      <c r="N223" s="1147"/>
      <c r="O223" s="1134"/>
    </row>
    <row r="224" spans="1:17" ht="15.6" hidden="1" customHeight="1" x14ac:dyDescent="0.2">
      <c r="B224" s="48" t="s">
        <v>1898</v>
      </c>
      <c r="G224" s="320">
        <f>SUM(G225:G227)</f>
        <v>0</v>
      </c>
      <c r="I224" s="56"/>
      <c r="J224" s="58"/>
      <c r="K224" s="58">
        <f>SUM(K225:K227)</f>
        <v>0</v>
      </c>
      <c r="M224" s="1591">
        <f>K224-SUM(I224,G224)</f>
        <v>0</v>
      </c>
      <c r="N224" s="1147"/>
    </row>
    <row r="225" spans="1:17" ht="15.6" hidden="1" customHeight="1" x14ac:dyDescent="0.2">
      <c r="B225" s="48" t="s">
        <v>722</v>
      </c>
      <c r="G225" s="320">
        <v>0</v>
      </c>
      <c r="I225" s="56"/>
      <c r="J225" s="58"/>
      <c r="K225" s="213">
        <v>0</v>
      </c>
      <c r="M225" s="1591">
        <f>K225-SUM(I225,G225)</f>
        <v>0</v>
      </c>
      <c r="N225" s="1147"/>
      <c r="P225" s="1110" t="s">
        <v>4292</v>
      </c>
      <c r="Q225" s="1111" t="s">
        <v>2765</v>
      </c>
    </row>
    <row r="226" spans="1:17" ht="15.6" hidden="1" customHeight="1" x14ac:dyDescent="0.2">
      <c r="A226" s="655"/>
      <c r="B226" s="655" t="s">
        <v>723</v>
      </c>
      <c r="C226" s="655"/>
      <c r="D226" s="656"/>
      <c r="E226" s="655"/>
      <c r="F226" s="656"/>
      <c r="G226" s="1534">
        <v>0</v>
      </c>
      <c r="H226" s="656"/>
      <c r="I226" s="56"/>
      <c r="J226" s="658"/>
      <c r="K226" s="668">
        <v>0</v>
      </c>
      <c r="L226" s="655"/>
      <c r="M226" s="1591">
        <f>K226-SUM(I226,G226)</f>
        <v>0</v>
      </c>
      <c r="N226" s="1147"/>
      <c r="P226" s="1110" t="s">
        <v>3579</v>
      </c>
      <c r="Q226" s="1111" t="s">
        <v>2765</v>
      </c>
    </row>
    <row r="227" spans="1:17" ht="15.6" hidden="1" customHeight="1" x14ac:dyDescent="0.2">
      <c r="B227" s="48" t="s">
        <v>727</v>
      </c>
      <c r="G227" s="320">
        <v>0</v>
      </c>
      <c r="I227" s="56"/>
      <c r="J227" s="58"/>
      <c r="K227" s="214">
        <v>0</v>
      </c>
      <c r="M227" s="1591">
        <f>K227-SUM(I227,G227)</f>
        <v>0</v>
      </c>
      <c r="N227" s="1147"/>
      <c r="P227" s="1110" t="s">
        <v>4293</v>
      </c>
      <c r="Q227" s="1111" t="s">
        <v>2765</v>
      </c>
    </row>
    <row r="228" spans="1:17" ht="15.6" hidden="1" customHeight="1" x14ac:dyDescent="0.2">
      <c r="A228" s="655"/>
      <c r="B228" s="655" t="s">
        <v>725</v>
      </c>
      <c r="C228" s="655"/>
      <c r="D228" s="656"/>
      <c r="E228" s="655"/>
      <c r="F228" s="656"/>
      <c r="G228" s="1534">
        <v>0</v>
      </c>
      <c r="H228" s="656"/>
      <c r="I228" s="56"/>
      <c r="J228" s="658"/>
      <c r="K228" s="1535">
        <v>0</v>
      </c>
      <c r="L228" s="655"/>
      <c r="M228" s="1591">
        <f>K228-SUM(I228,G228)</f>
        <v>0</v>
      </c>
      <c r="N228" s="1147"/>
      <c r="P228" s="1110" t="s">
        <v>4294</v>
      </c>
      <c r="Q228" s="1111" t="s">
        <v>2765</v>
      </c>
    </row>
    <row r="229" spans="1:17" ht="15.6" hidden="1" customHeight="1" x14ac:dyDescent="0.2">
      <c r="G229" s="320"/>
      <c r="I229" s="56"/>
      <c r="J229" s="58"/>
      <c r="K229" s="203"/>
      <c r="M229" s="1591"/>
      <c r="N229" s="1147"/>
    </row>
    <row r="230" spans="1:17" ht="15.6" hidden="1" customHeight="1" x14ac:dyDescent="0.2">
      <c r="B230" s="48" t="s">
        <v>1899</v>
      </c>
      <c r="G230" s="320">
        <f>SUM(G231:G234)</f>
        <v>0</v>
      </c>
      <c r="I230" s="56"/>
      <c r="J230" s="58"/>
      <c r="K230" s="212">
        <f>SUM(K231:K234)</f>
        <v>0</v>
      </c>
      <c r="M230" s="1591">
        <f>K230-SUM(I230,G230)</f>
        <v>0</v>
      </c>
      <c r="N230" s="1147"/>
      <c r="O230" s="1146"/>
    </row>
    <row r="231" spans="1:17" ht="15.6" hidden="1" customHeight="1" x14ac:dyDescent="0.2">
      <c r="B231" s="48" t="s">
        <v>722</v>
      </c>
      <c r="G231" s="320">
        <v>0</v>
      </c>
      <c r="I231" s="56"/>
      <c r="J231" s="58"/>
      <c r="K231" s="213">
        <v>0</v>
      </c>
      <c r="M231" s="1591">
        <f>K231-SUM(I231,G231)</f>
        <v>0</v>
      </c>
      <c r="N231" s="1147"/>
      <c r="O231" s="1146"/>
      <c r="P231" s="1110" t="s">
        <v>4295</v>
      </c>
      <c r="Q231" s="1111" t="s">
        <v>2765</v>
      </c>
    </row>
    <row r="232" spans="1:17" ht="15.6" hidden="1" customHeight="1" x14ac:dyDescent="0.2">
      <c r="A232" s="655"/>
      <c r="B232" s="655" t="s">
        <v>723</v>
      </c>
      <c r="C232" s="655"/>
      <c r="D232" s="656"/>
      <c r="E232" s="655"/>
      <c r="F232" s="656"/>
      <c r="G232" s="1534">
        <v>0</v>
      </c>
      <c r="H232" s="656"/>
      <c r="I232" s="56"/>
      <c r="J232" s="658"/>
      <c r="K232" s="668">
        <v>0</v>
      </c>
      <c r="L232" s="655"/>
      <c r="M232" s="1591">
        <f>K232-SUM(I232,G232)</f>
        <v>0</v>
      </c>
      <c r="N232" s="1147"/>
      <c r="O232" s="1146"/>
      <c r="P232" s="1110" t="s">
        <v>4296</v>
      </c>
      <c r="Q232" s="1111" t="s">
        <v>2765</v>
      </c>
    </row>
    <row r="233" spans="1:17" ht="15.6" hidden="1" customHeight="1" x14ac:dyDescent="0.2">
      <c r="B233" s="48" t="s">
        <v>727</v>
      </c>
      <c r="G233" s="320">
        <v>0</v>
      </c>
      <c r="I233" s="56"/>
      <c r="J233" s="58"/>
      <c r="K233" s="214">
        <v>0</v>
      </c>
      <c r="M233" s="1591">
        <f>K233-SUM(I233,G233)</f>
        <v>0</v>
      </c>
      <c r="N233" s="1147"/>
      <c r="O233" s="1146"/>
      <c r="P233" s="1110" t="s">
        <v>4297</v>
      </c>
      <c r="Q233" s="1111" t="s">
        <v>2765</v>
      </c>
    </row>
    <row r="234" spans="1:17" ht="15.6" hidden="1" customHeight="1" x14ac:dyDescent="0.2">
      <c r="A234" s="655"/>
      <c r="B234" s="655" t="s">
        <v>725</v>
      </c>
      <c r="C234" s="655"/>
      <c r="D234" s="656"/>
      <c r="E234" s="655"/>
      <c r="F234" s="656"/>
      <c r="G234" s="1534">
        <v>0</v>
      </c>
      <c r="H234" s="656"/>
      <c r="I234" s="56"/>
      <c r="J234" s="658"/>
      <c r="K234" s="1535">
        <v>0</v>
      </c>
      <c r="L234" s="655"/>
      <c r="M234" s="1591">
        <f>K234-SUM(I234,G234)</f>
        <v>0</v>
      </c>
      <c r="N234" s="1147"/>
      <c r="O234" s="1146"/>
      <c r="P234" s="1110" t="s">
        <v>4298</v>
      </c>
      <c r="Q234" s="1111" t="s">
        <v>2765</v>
      </c>
    </row>
    <row r="235" spans="1:17" ht="15.6" hidden="1" customHeight="1" x14ac:dyDescent="0.2">
      <c r="G235" s="320"/>
      <c r="I235" s="56"/>
      <c r="J235" s="58"/>
      <c r="K235" s="203"/>
      <c r="M235" s="1591"/>
      <c r="N235" s="1147"/>
      <c r="O235" s="1146"/>
    </row>
    <row r="236" spans="1:17" ht="15.6" customHeight="1" x14ac:dyDescent="0.25">
      <c r="B236" s="50" t="str">
        <f>"Carrying values at "&amp;Parameters!C13</f>
        <v>Carrying values at 30 June 2011</v>
      </c>
      <c r="C236" s="50"/>
      <c r="E236" s="50"/>
      <c r="G236" s="1531">
        <f>SUM(G237:G240)</f>
        <v>0</v>
      </c>
      <c r="I236" s="56"/>
      <c r="J236" s="58"/>
      <c r="K236" s="239">
        <f>SUM(K237:K240)</f>
        <v>534123.09</v>
      </c>
      <c r="M236" s="1591">
        <f>K236-SUM(I236,G236)</f>
        <v>534123.09</v>
      </c>
      <c r="N236" s="1147"/>
      <c r="O236" s="1146"/>
    </row>
    <row r="237" spans="1:17" ht="15.6" customHeight="1" x14ac:dyDescent="0.2">
      <c r="B237" s="48" t="s">
        <v>157</v>
      </c>
      <c r="G237" s="320">
        <f>SUM(G206,G211,G225,G231)</f>
        <v>0</v>
      </c>
      <c r="I237" s="56"/>
      <c r="J237" s="58"/>
      <c r="K237" s="213">
        <f>SUM(K206,K211,K225,K231)</f>
        <v>534123.09</v>
      </c>
      <c r="M237" s="1591">
        <f>K237-SUM(I237,G237)</f>
        <v>534123.09</v>
      </c>
      <c r="N237" s="1147"/>
      <c r="O237" s="1146"/>
    </row>
    <row r="238" spans="1:17" ht="15.6" hidden="1" customHeight="1" x14ac:dyDescent="0.2">
      <c r="A238" s="655"/>
      <c r="B238" s="655" t="s">
        <v>718</v>
      </c>
      <c r="C238" s="655"/>
      <c r="D238" s="656"/>
      <c r="E238" s="655"/>
      <c r="F238" s="656"/>
      <c r="G238" s="1534">
        <f>SUM(G207,G216,G226,G222,G232)</f>
        <v>0</v>
      </c>
      <c r="H238" s="656"/>
      <c r="I238" s="56"/>
      <c r="J238" s="658"/>
      <c r="K238" s="668">
        <f>SUM(K207,K216,K226,K222,K232)</f>
        <v>0</v>
      </c>
      <c r="L238" s="655"/>
      <c r="M238" s="1591">
        <f>K238-SUM(I238,G238)</f>
        <v>0</v>
      </c>
      <c r="N238" s="1147"/>
      <c r="O238" s="1146"/>
    </row>
    <row r="239" spans="1:17" ht="15.6" customHeight="1" x14ac:dyDescent="0.2">
      <c r="B239" s="48" t="s">
        <v>726</v>
      </c>
      <c r="G239" s="320">
        <f>SUM(G208,G218,G227,G233)</f>
        <v>0</v>
      </c>
      <c r="I239" s="56"/>
      <c r="J239" s="58"/>
      <c r="K239" s="214">
        <f>SUM(K208,K218,K227,K233)</f>
        <v>0</v>
      </c>
      <c r="M239" s="1591">
        <f>K239-SUM(I239,G239)</f>
        <v>0</v>
      </c>
      <c r="N239" s="1147"/>
      <c r="O239" s="1146"/>
    </row>
    <row r="240" spans="1:17" ht="15.6" hidden="1" customHeight="1" x14ac:dyDescent="0.2">
      <c r="A240" s="655"/>
      <c r="B240" s="655" t="s">
        <v>762</v>
      </c>
      <c r="C240" s="655"/>
      <c r="D240" s="656"/>
      <c r="E240" s="655"/>
      <c r="F240" s="656"/>
      <c r="G240" s="1534">
        <f>SUM(G209,G221,G228,G215,G234)</f>
        <v>0</v>
      </c>
      <c r="H240" s="656"/>
      <c r="I240" s="56"/>
      <c r="J240" s="658"/>
      <c r="K240" s="1535">
        <f>SUM(K209,K221,K228,K215,K234)</f>
        <v>0</v>
      </c>
      <c r="L240" s="655"/>
      <c r="M240" s="1591">
        <f>K240-SUM(I240,G240)</f>
        <v>0</v>
      </c>
      <c r="N240" s="1147"/>
      <c r="O240" s="1146"/>
    </row>
    <row r="241" spans="1:16" ht="15.6" customHeight="1" x14ac:dyDescent="0.2">
      <c r="B241" s="1205"/>
      <c r="C241" s="1205"/>
      <c r="D241" s="1205"/>
      <c r="F241" s="1205"/>
      <c r="G241" s="217">
        <f>G236-'APPENDIX B'!M289+'APPENDIX B'!AF289</f>
        <v>-534123.09</v>
      </c>
      <c r="I241" s="56"/>
      <c r="J241" s="218"/>
      <c r="K241" s="242">
        <v>0</v>
      </c>
      <c r="M241" s="1133"/>
      <c r="N241" s="1147"/>
      <c r="O241" s="1146"/>
    </row>
    <row r="242" spans="1:16" ht="46.5" hidden="1" customHeight="1" x14ac:dyDescent="0.2">
      <c r="A242" s="745"/>
      <c r="B242" s="2841" t="s">
        <v>3987</v>
      </c>
      <c r="C242" s="2841"/>
      <c r="D242" s="2841"/>
      <c r="E242" s="2841"/>
      <c r="F242" s="2841"/>
      <c r="G242" s="2841"/>
      <c r="H242" s="2841"/>
      <c r="I242" s="2841"/>
      <c r="J242" s="2841"/>
      <c r="K242" s="2841"/>
      <c r="L242" s="745"/>
      <c r="M242" s="1216" t="s">
        <v>2289</v>
      </c>
      <c r="N242" s="1147"/>
      <c r="O242" s="1133"/>
      <c r="P242" s="1115"/>
    </row>
    <row r="243" spans="1:16" ht="15.6" hidden="1" customHeight="1" x14ac:dyDescent="0.25">
      <c r="A243" s="745"/>
      <c r="B243" s="2841" t="s">
        <v>1900</v>
      </c>
      <c r="C243" s="2841"/>
      <c r="D243" s="2841"/>
      <c r="E243" s="2841"/>
      <c r="F243" s="2841"/>
      <c r="G243" s="2841"/>
      <c r="H243" s="2932"/>
      <c r="I243" s="2932"/>
      <c r="J243" s="2932"/>
      <c r="K243" s="2932"/>
      <c r="L243" s="755"/>
      <c r="N243" s="1147"/>
      <c r="O243" s="1134"/>
    </row>
    <row r="244" spans="1:16" ht="15.6" hidden="1" customHeight="1" x14ac:dyDescent="0.25">
      <c r="A244" s="745"/>
      <c r="B244" s="2841" t="s">
        <v>2287</v>
      </c>
      <c r="C244" s="2841"/>
      <c r="D244" s="2841"/>
      <c r="E244" s="2841"/>
      <c r="F244" s="2841"/>
      <c r="G244" s="2841"/>
      <c r="H244" s="2932"/>
      <c r="I244" s="2932"/>
      <c r="J244" s="2932"/>
      <c r="K244" s="2932"/>
      <c r="L244" s="755"/>
      <c r="N244" s="1147"/>
      <c r="O244" s="1134"/>
    </row>
    <row r="245" spans="1:16" ht="15.6" hidden="1" customHeight="1" x14ac:dyDescent="0.25">
      <c r="A245" s="745"/>
      <c r="B245" s="2841" t="s">
        <v>2288</v>
      </c>
      <c r="C245" s="2841"/>
      <c r="D245" s="2841"/>
      <c r="E245" s="2841"/>
      <c r="F245" s="2841"/>
      <c r="G245" s="2841"/>
      <c r="H245" s="2932"/>
      <c r="I245" s="2932"/>
      <c r="J245" s="2932"/>
      <c r="K245" s="2932"/>
      <c r="L245" s="755"/>
      <c r="N245" s="1147"/>
      <c r="O245" s="1134"/>
    </row>
    <row r="246" spans="1:16" ht="30.95" hidden="1" customHeight="1" x14ac:dyDescent="0.2">
      <c r="A246" s="745"/>
      <c r="B246" s="2841" t="s">
        <v>3981</v>
      </c>
      <c r="C246" s="2841"/>
      <c r="D246" s="2841"/>
      <c r="E246" s="2841"/>
      <c r="F246" s="2841"/>
      <c r="G246" s="2841"/>
      <c r="H246" s="2841"/>
      <c r="I246" s="2841"/>
      <c r="J246" s="2841"/>
      <c r="K246" s="2841"/>
      <c r="L246" s="745"/>
      <c r="M246" s="1216"/>
      <c r="N246" s="1147"/>
      <c r="O246" s="1133"/>
      <c r="P246" s="1115"/>
    </row>
    <row r="247" spans="1:16" ht="15.6" hidden="1" customHeight="1" x14ac:dyDescent="0.25">
      <c r="A247" s="745"/>
      <c r="B247" s="745"/>
      <c r="C247" s="745"/>
      <c r="D247" s="746"/>
      <c r="E247" s="745"/>
      <c r="F247" s="746"/>
      <c r="G247" s="746"/>
      <c r="H247" s="746"/>
      <c r="I247" s="953"/>
      <c r="J247" s="967"/>
      <c r="K247" s="953"/>
      <c r="L247" s="755"/>
      <c r="M247" s="1133"/>
      <c r="N247" s="1147"/>
      <c r="O247" s="1133"/>
      <c r="P247" s="1115"/>
    </row>
    <row r="248" spans="1:16" ht="30.95" customHeight="1" x14ac:dyDescent="0.2">
      <c r="B248" s="2839" t="s">
        <v>3988</v>
      </c>
      <c r="C248" s="2839"/>
      <c r="D248" s="2839"/>
      <c r="E248" s="2839"/>
      <c r="F248" s="2839"/>
      <c r="G248" s="2839"/>
      <c r="H248" s="2839"/>
      <c r="I248" s="2839"/>
      <c r="J248" s="2839"/>
      <c r="K248" s="2839"/>
      <c r="M248" s="1482"/>
      <c r="N248" s="1147"/>
      <c r="O248" s="1133"/>
      <c r="P248" s="1115"/>
    </row>
    <row r="249" spans="1:16" ht="15.6" hidden="1" customHeight="1" x14ac:dyDescent="0.25">
      <c r="A249" s="745"/>
      <c r="B249" s="745"/>
      <c r="C249" s="745"/>
      <c r="D249" s="746"/>
      <c r="E249" s="745"/>
      <c r="F249" s="746"/>
      <c r="G249" s="746"/>
      <c r="H249" s="746"/>
      <c r="I249" s="953"/>
      <c r="J249" s="967"/>
      <c r="K249" s="953"/>
      <c r="L249" s="755"/>
      <c r="M249" s="1133"/>
      <c r="N249" s="1147"/>
      <c r="O249" s="1133"/>
      <c r="P249" s="1115"/>
    </row>
    <row r="250" spans="1:16" ht="30.95" hidden="1" customHeight="1" x14ac:dyDescent="0.2">
      <c r="A250" s="781"/>
      <c r="B250" s="2899" t="s">
        <v>2499</v>
      </c>
      <c r="C250" s="2899"/>
      <c r="D250" s="2899"/>
      <c r="E250" s="2899"/>
      <c r="F250" s="2899"/>
      <c r="G250" s="2899"/>
      <c r="H250" s="2899"/>
      <c r="I250" s="2899"/>
      <c r="J250" s="2899"/>
      <c r="K250" s="2899"/>
      <c r="L250" s="781"/>
      <c r="M250" s="1133"/>
      <c r="N250" s="1147"/>
      <c r="O250" s="1133"/>
      <c r="P250" s="1115"/>
    </row>
    <row r="251" spans="1:16" ht="15.6" hidden="1" customHeight="1" x14ac:dyDescent="0.2">
      <c r="I251" s="58"/>
      <c r="J251" s="58"/>
      <c r="K251" s="58"/>
      <c r="L251" s="59"/>
      <c r="N251" s="1471"/>
      <c r="O251" s="1134"/>
      <c r="P251" s="1115"/>
    </row>
    <row r="252" spans="1:16" ht="30.95" hidden="1" customHeight="1" x14ac:dyDescent="0.2">
      <c r="A252" s="767"/>
      <c r="B252" s="2855" t="s">
        <v>2500</v>
      </c>
      <c r="C252" s="2855"/>
      <c r="D252" s="2855"/>
      <c r="E252" s="2855"/>
      <c r="F252" s="2855"/>
      <c r="G252" s="2855"/>
      <c r="H252" s="2864"/>
      <c r="I252" s="2864"/>
      <c r="J252" s="2864"/>
      <c r="K252" s="2864"/>
      <c r="L252" s="767"/>
      <c r="M252" s="1244" t="s">
        <v>1956</v>
      </c>
      <c r="N252" s="1147"/>
      <c r="O252" s="1146"/>
      <c r="P252" s="1115"/>
    </row>
    <row r="253" spans="1:16" ht="15.6" customHeight="1" x14ac:dyDescent="0.25">
      <c r="I253" s="253"/>
      <c r="J253" s="285"/>
      <c r="K253" s="253"/>
      <c r="L253" s="210"/>
      <c r="M253" s="1133"/>
      <c r="N253" s="1147"/>
      <c r="O253" s="1146"/>
      <c r="P253" s="1115"/>
    </row>
    <row r="254" spans="1:16" ht="46.5" hidden="1" customHeight="1" x14ac:dyDescent="0.2">
      <c r="A254" s="745"/>
      <c r="B254" s="2841" t="s">
        <v>4302</v>
      </c>
      <c r="C254" s="2841"/>
      <c r="D254" s="2841"/>
      <c r="E254" s="2841"/>
      <c r="F254" s="2841"/>
      <c r="G254" s="2841"/>
      <c r="H254" s="2932"/>
      <c r="I254" s="2932"/>
      <c r="J254" s="2932"/>
      <c r="K254" s="2932"/>
      <c r="L254" s="745"/>
      <c r="M254" s="1216"/>
      <c r="N254" s="1147"/>
      <c r="O254" s="1146"/>
    </row>
    <row r="255" spans="1:16" ht="15.6" hidden="1" customHeight="1" x14ac:dyDescent="0.25">
      <c r="A255" s="745"/>
      <c r="B255" s="745"/>
      <c r="C255" s="745"/>
      <c r="D255" s="746"/>
      <c r="E255" s="745"/>
      <c r="F255" s="746"/>
      <c r="G255" s="746"/>
      <c r="H255" s="746"/>
      <c r="I255" s="748"/>
      <c r="J255" s="748"/>
      <c r="K255" s="748"/>
      <c r="L255" s="755"/>
      <c r="M255" s="1133"/>
      <c r="N255" s="1147"/>
      <c r="O255" s="1146"/>
    </row>
    <row r="256" spans="1:16" ht="30.95" customHeight="1" x14ac:dyDescent="0.2">
      <c r="B256" s="2839" t="s">
        <v>937</v>
      </c>
      <c r="C256" s="2839"/>
      <c r="D256" s="2839"/>
      <c r="E256" s="2839"/>
      <c r="F256" s="2839"/>
      <c r="G256" s="2839"/>
      <c r="H256" s="2876"/>
      <c r="I256" s="2876"/>
      <c r="J256" s="2876"/>
      <c r="K256" s="2876"/>
      <c r="M256" s="1216"/>
      <c r="N256" s="1147"/>
      <c r="O256" s="1146"/>
      <c r="P256" s="1115"/>
    </row>
    <row r="257" spans="1:23" ht="15.6" customHeight="1" x14ac:dyDescent="0.25">
      <c r="I257" s="200"/>
      <c r="J257" s="200"/>
      <c r="K257" s="200"/>
      <c r="L257" s="210"/>
      <c r="M257" s="1133"/>
      <c r="N257" s="1147"/>
      <c r="O257" s="1146"/>
      <c r="P257" s="1115"/>
    </row>
    <row r="258" spans="1:23" ht="30.95" hidden="1" customHeight="1" x14ac:dyDescent="0.2">
      <c r="A258" s="767"/>
      <c r="B258" s="2855" t="s">
        <v>2501</v>
      </c>
      <c r="C258" s="2855"/>
      <c r="D258" s="2855"/>
      <c r="E258" s="2855"/>
      <c r="F258" s="2855"/>
      <c r="G258" s="2855"/>
      <c r="H258" s="2864"/>
      <c r="I258" s="2864"/>
      <c r="J258" s="2864"/>
      <c r="K258" s="2864"/>
      <c r="L258" s="767"/>
      <c r="M258" s="1213" t="s">
        <v>1992</v>
      </c>
      <c r="N258" s="1147"/>
      <c r="O258" s="1146"/>
      <c r="P258" s="1115"/>
    </row>
    <row r="259" spans="1:23" ht="15.6" hidden="1" customHeight="1" x14ac:dyDescent="0.25">
      <c r="A259" s="767"/>
      <c r="B259" s="767"/>
      <c r="C259" s="767"/>
      <c r="D259" s="769"/>
      <c r="E259" s="767"/>
      <c r="F259" s="769"/>
      <c r="G259" s="769"/>
      <c r="H259" s="769"/>
      <c r="I259" s="770"/>
      <c r="J259" s="770"/>
      <c r="K259" s="770"/>
      <c r="L259" s="771"/>
      <c r="M259" s="1133"/>
      <c r="N259" s="1147"/>
      <c r="O259" s="1146"/>
      <c r="P259" s="1115"/>
    </row>
    <row r="260" spans="1:23" ht="15.6" hidden="1" customHeight="1" x14ac:dyDescent="0.25">
      <c r="A260" s="625"/>
      <c r="B260" s="2854" t="s">
        <v>728</v>
      </c>
      <c r="C260" s="2854"/>
      <c r="D260" s="2854"/>
      <c r="E260" s="2854"/>
      <c r="F260" s="2854"/>
      <c r="G260" s="2854"/>
      <c r="H260" s="2876"/>
      <c r="I260" s="2876"/>
      <c r="J260" s="2876"/>
      <c r="K260" s="2876"/>
      <c r="L260" s="628"/>
      <c r="N260" s="1147"/>
    </row>
    <row r="261" spans="1:23" ht="15.6" hidden="1" customHeight="1" x14ac:dyDescent="0.25">
      <c r="A261" s="625"/>
      <c r="B261" s="2854" t="s">
        <v>4303</v>
      </c>
      <c r="C261" s="2854"/>
      <c r="D261" s="2854"/>
      <c r="E261" s="2854"/>
      <c r="F261" s="2854"/>
      <c r="G261" s="2854"/>
      <c r="H261" s="626"/>
      <c r="I261" s="627"/>
      <c r="J261" s="627"/>
      <c r="K261" s="627"/>
      <c r="L261" s="628"/>
    </row>
    <row r="262" spans="1:23" ht="30.95" hidden="1" customHeight="1" x14ac:dyDescent="0.25">
      <c r="A262" s="625"/>
      <c r="B262" s="2854" t="s">
        <v>4304</v>
      </c>
      <c r="C262" s="2854"/>
      <c r="D262" s="2854"/>
      <c r="E262" s="2854"/>
      <c r="F262" s="2854"/>
      <c r="G262" s="2854"/>
      <c r="H262" s="626"/>
      <c r="I262" s="627"/>
      <c r="J262" s="627"/>
      <c r="K262" s="627"/>
      <c r="L262" s="628"/>
    </row>
    <row r="263" spans="1:23" ht="15.6" hidden="1" customHeight="1" x14ac:dyDescent="0.25">
      <c r="A263" s="625"/>
      <c r="B263" s="2854" t="s">
        <v>4305</v>
      </c>
      <c r="C263" s="2854"/>
      <c r="D263" s="2854"/>
      <c r="E263" s="2854"/>
      <c r="F263" s="2854"/>
      <c r="G263" s="2854"/>
      <c r="H263" s="626"/>
      <c r="I263" s="627"/>
      <c r="J263" s="627"/>
      <c r="K263" s="627"/>
      <c r="L263" s="628"/>
    </row>
    <row r="264" spans="1:23" ht="30.95" hidden="1" customHeight="1" x14ac:dyDescent="0.25">
      <c r="A264" s="625"/>
      <c r="B264" s="2854" t="s">
        <v>4306</v>
      </c>
      <c r="C264" s="2854"/>
      <c r="D264" s="2854"/>
      <c r="E264" s="2854"/>
      <c r="F264" s="2854"/>
      <c r="G264" s="2854"/>
      <c r="H264" s="626"/>
      <c r="I264" s="627"/>
      <c r="J264" s="627"/>
      <c r="K264" s="627"/>
      <c r="L264" s="628"/>
    </row>
    <row r="265" spans="1:23" ht="15.6" hidden="1" customHeight="1" x14ac:dyDescent="0.25">
      <c r="A265" s="625"/>
      <c r="B265" s="2854" t="s">
        <v>4307</v>
      </c>
      <c r="C265" s="2854"/>
      <c r="D265" s="2854"/>
      <c r="E265" s="2854"/>
      <c r="F265" s="2854"/>
      <c r="G265" s="2854"/>
      <c r="H265" s="626"/>
      <c r="I265" s="627"/>
      <c r="J265" s="627"/>
      <c r="K265" s="627"/>
      <c r="L265" s="628"/>
    </row>
    <row r="266" spans="1:23" ht="15.6" customHeight="1" x14ac:dyDescent="0.25">
      <c r="B266" s="2839" t="s">
        <v>938</v>
      </c>
      <c r="C266" s="2839"/>
      <c r="D266" s="2839"/>
      <c r="E266" s="2839"/>
      <c r="F266" s="2839"/>
      <c r="G266" s="2839"/>
      <c r="H266" s="2876"/>
      <c r="I266" s="2876"/>
      <c r="J266" s="2876"/>
      <c r="K266" s="2876"/>
      <c r="L266" s="210"/>
      <c r="M266" s="1133"/>
      <c r="N266" s="1147"/>
      <c r="O266" s="1146"/>
      <c r="P266" s="1115"/>
    </row>
    <row r="267" spans="1:23" ht="15.6" customHeight="1" x14ac:dyDescent="0.25">
      <c r="I267" s="200"/>
      <c r="J267" s="200"/>
      <c r="K267" s="200"/>
      <c r="L267" s="210"/>
    </row>
    <row r="268" spans="1:23" ht="15.6" customHeight="1" x14ac:dyDescent="0.25">
      <c r="B268" s="2839" t="s">
        <v>940</v>
      </c>
      <c r="C268" s="2839"/>
      <c r="D268" s="2839"/>
      <c r="E268" s="2839"/>
      <c r="F268" s="2839"/>
      <c r="G268" s="2839"/>
      <c r="H268" s="2877"/>
      <c r="I268" s="2877"/>
      <c r="J268" s="2877"/>
      <c r="K268" s="2877"/>
      <c r="L268" s="210"/>
      <c r="M268" s="1133"/>
      <c r="N268" s="1147"/>
      <c r="O268" s="1146"/>
      <c r="P268" s="1115"/>
    </row>
    <row r="269" spans="1:23" ht="15.6" hidden="1" customHeight="1" x14ac:dyDescent="0.25">
      <c r="I269" s="200"/>
      <c r="J269" s="200"/>
      <c r="K269" s="200"/>
      <c r="L269" s="210"/>
    </row>
    <row r="270" spans="1:23" ht="15.6" hidden="1" customHeight="1" x14ac:dyDescent="0.25">
      <c r="B270" s="229" t="s">
        <v>6427</v>
      </c>
      <c r="I270" s="253"/>
      <c r="J270" s="285"/>
      <c r="K270" s="253"/>
      <c r="L270" s="210"/>
      <c r="M270" s="1133"/>
      <c r="N270" s="1147"/>
      <c r="O270" s="1146"/>
      <c r="P270" s="1115"/>
      <c r="W270" s="1114" t="s">
        <v>3857</v>
      </c>
    </row>
    <row r="271" spans="1:23" ht="15.6" hidden="1" customHeight="1" x14ac:dyDescent="0.25">
      <c r="I271" s="253"/>
      <c r="J271" s="285"/>
      <c r="K271" s="253"/>
      <c r="L271" s="210"/>
      <c r="M271" s="1133"/>
      <c r="N271" s="1147"/>
      <c r="O271" s="1146"/>
      <c r="P271" s="1115"/>
    </row>
    <row r="272" spans="1:23" ht="30.95" hidden="1" customHeight="1" x14ac:dyDescent="0.2">
      <c r="B272" s="2839" t="s">
        <v>7438</v>
      </c>
      <c r="C272" s="2839"/>
      <c r="D272" s="2839"/>
      <c r="E272" s="2839"/>
      <c r="F272" s="2839"/>
      <c r="G272" s="2839"/>
      <c r="H272" s="2877"/>
      <c r="I272" s="2877"/>
      <c r="J272" s="2877"/>
      <c r="K272" s="2877"/>
      <c r="M272" s="1213" t="s">
        <v>1957</v>
      </c>
      <c r="N272" s="1147"/>
      <c r="O272" s="1146"/>
      <c r="P272" s="1115"/>
    </row>
    <row r="273" spans="1:23" ht="15.6" customHeight="1" x14ac:dyDescent="0.25">
      <c r="I273" s="253"/>
      <c r="J273" s="285"/>
      <c r="K273" s="253"/>
      <c r="L273" s="210"/>
      <c r="M273" s="1133"/>
      <c r="N273" s="1147"/>
      <c r="O273" s="1146"/>
      <c r="P273" s="1115"/>
    </row>
    <row r="274" spans="1:23" ht="30.95" hidden="1" customHeight="1" x14ac:dyDescent="0.2">
      <c r="B274" s="2839" t="s">
        <v>1510</v>
      </c>
      <c r="C274" s="2839"/>
      <c r="D274" s="2839"/>
      <c r="E274" s="2839"/>
      <c r="F274" s="2839"/>
      <c r="G274" s="2839"/>
      <c r="H274" s="2877"/>
      <c r="I274" s="2877"/>
      <c r="J274" s="2877"/>
      <c r="K274" s="2877"/>
      <c r="M274" s="1482"/>
      <c r="N274" s="1147"/>
      <c r="O274" s="1146"/>
      <c r="P274" s="1115"/>
    </row>
    <row r="275" spans="1:23" ht="30.95" hidden="1" customHeight="1" x14ac:dyDescent="0.2">
      <c r="B275" s="2839" t="s">
        <v>2127</v>
      </c>
      <c r="C275" s="2839"/>
      <c r="D275" s="2839"/>
      <c r="E275" s="2839"/>
      <c r="F275" s="2839"/>
      <c r="G275" s="2839"/>
      <c r="H275" s="2877"/>
      <c r="I275" s="2877"/>
      <c r="J275" s="2877"/>
      <c r="K275" s="2877"/>
      <c r="M275" s="1482"/>
      <c r="N275" s="1147"/>
      <c r="O275" s="1146"/>
      <c r="P275" s="1115"/>
    </row>
    <row r="276" spans="1:23" ht="15.6" hidden="1" customHeight="1" x14ac:dyDescent="0.25">
      <c r="I276" s="200"/>
      <c r="J276" s="200"/>
      <c r="K276" s="200"/>
      <c r="L276" s="210"/>
      <c r="M276" s="1133"/>
      <c r="N276" s="1147"/>
      <c r="O276" s="1146"/>
      <c r="P276" s="1115"/>
    </row>
    <row r="277" spans="1:23" ht="15.6" customHeight="1" x14ac:dyDescent="0.25">
      <c r="A277" s="50"/>
      <c r="D277" s="48"/>
      <c r="F277" s="48"/>
      <c r="H277" s="49"/>
      <c r="I277" s="1245">
        <f>Parameters!C17</f>
        <v>2012</v>
      </c>
      <c r="J277" s="53"/>
      <c r="K277" s="1245">
        <f>Parameters!C19</f>
        <v>2011</v>
      </c>
      <c r="L277" s="49"/>
      <c r="M277" s="281" t="s">
        <v>454</v>
      </c>
      <c r="N277" s="1246">
        <f>Parameters!C21</f>
        <v>2010</v>
      </c>
      <c r="O277" s="282"/>
    </row>
    <row r="278" spans="1:23" ht="15.6" customHeight="1" x14ac:dyDescent="0.25">
      <c r="I278" s="209" t="s">
        <v>255</v>
      </c>
      <c r="J278" s="200"/>
      <c r="K278" s="209" t="s">
        <v>255</v>
      </c>
      <c r="L278" s="210"/>
    </row>
    <row r="279" spans="1:23" ht="15.6" customHeight="1" x14ac:dyDescent="0.25">
      <c r="I279" s="209"/>
      <c r="J279" s="200"/>
      <c r="K279" s="209"/>
      <c r="L279" s="210"/>
    </row>
    <row r="280" spans="1:23" ht="15.6" customHeight="1" x14ac:dyDescent="0.25">
      <c r="B280" s="229" t="s">
        <v>7545</v>
      </c>
      <c r="I280" s="253"/>
      <c r="J280" s="285"/>
      <c r="K280" s="253"/>
      <c r="L280" s="210"/>
      <c r="M280" s="1217" t="s">
        <v>1958</v>
      </c>
      <c r="N280" s="1147"/>
      <c r="O280" s="1146"/>
      <c r="P280" s="1115"/>
      <c r="W280" s="1114" t="s">
        <v>3857</v>
      </c>
    </row>
    <row r="281" spans="1:23" ht="15.6" customHeight="1" x14ac:dyDescent="0.25">
      <c r="I281" s="253"/>
      <c r="J281" s="285"/>
      <c r="K281" s="253"/>
      <c r="L281" s="210"/>
      <c r="M281" s="1133"/>
      <c r="N281" s="1147"/>
      <c r="O281" s="1146"/>
      <c r="P281" s="1115"/>
    </row>
    <row r="282" spans="1:23" ht="30.95" customHeight="1" x14ac:dyDescent="0.25">
      <c r="A282" s="201"/>
      <c r="B282" s="2861" t="s">
        <v>1587</v>
      </c>
      <c r="C282" s="2861"/>
      <c r="D282" s="2861"/>
      <c r="E282" s="2861"/>
      <c r="F282" s="2861"/>
      <c r="G282" s="2861"/>
      <c r="H282" s="201"/>
      <c r="I282" s="58"/>
      <c r="K282" s="58"/>
      <c r="L282" s="210"/>
      <c r="N282" s="1147"/>
      <c r="O282" s="1146"/>
    </row>
    <row r="283" spans="1:23" ht="15" x14ac:dyDescent="0.25">
      <c r="A283" s="201"/>
      <c r="B283" s="48" t="s">
        <v>7439</v>
      </c>
      <c r="D283" s="2548"/>
      <c r="E283" s="2548"/>
      <c r="F283" s="2548"/>
      <c r="G283" s="2548"/>
      <c r="H283" s="201"/>
      <c r="I283" s="58">
        <v>101143</v>
      </c>
      <c r="K283" s="58">
        <f>I283</f>
        <v>101143</v>
      </c>
      <c r="L283" s="210"/>
      <c r="N283" s="1147"/>
      <c r="O283" s="1146"/>
    </row>
    <row r="284" spans="1:23" ht="15.6" customHeight="1" x14ac:dyDescent="0.25">
      <c r="B284" s="48" t="s">
        <v>1588</v>
      </c>
      <c r="I284" s="253">
        <v>72221</v>
      </c>
      <c r="J284" s="285"/>
      <c r="K284" s="253">
        <f>I284</f>
        <v>72221</v>
      </c>
      <c r="L284" s="210"/>
      <c r="N284" s="1147"/>
      <c r="O284" s="1146"/>
    </row>
    <row r="285" spans="1:23" ht="15.6" customHeight="1" x14ac:dyDescent="0.25">
      <c r="B285" s="48" t="s">
        <v>1589</v>
      </c>
      <c r="I285" s="253">
        <v>360760</v>
      </c>
      <c r="J285" s="285"/>
      <c r="K285" s="253">
        <f>I285</f>
        <v>360760</v>
      </c>
      <c r="L285" s="210"/>
      <c r="N285" s="1147"/>
      <c r="O285" s="1146"/>
    </row>
    <row r="286" spans="1:23" ht="15.6" customHeight="1" x14ac:dyDescent="0.25">
      <c r="I286" s="200"/>
      <c r="J286" s="200"/>
      <c r="K286" s="200"/>
      <c r="L286" s="210"/>
      <c r="M286" s="1133"/>
      <c r="N286" s="1147"/>
      <c r="O286" s="1146"/>
      <c r="P286" s="1115"/>
    </row>
    <row r="287" spans="1:23" ht="15.6" customHeight="1" thickBot="1" x14ac:dyDescent="0.3">
      <c r="B287" s="50" t="s">
        <v>2566</v>
      </c>
      <c r="C287" s="50"/>
      <c r="I287" s="222">
        <f>SUM(I283:I286)</f>
        <v>534124</v>
      </c>
      <c r="J287" s="200"/>
      <c r="K287" s="222">
        <f>SUM(K283:K286)</f>
        <v>534124</v>
      </c>
      <c r="L287" s="210"/>
      <c r="M287" s="1133"/>
    </row>
    <row r="288" spans="1:23" ht="15.6" customHeight="1" thickTop="1" x14ac:dyDescent="0.25">
      <c r="I288" s="200"/>
      <c r="J288" s="200"/>
      <c r="K288" s="200"/>
      <c r="L288" s="210"/>
      <c r="M288" s="1133"/>
      <c r="N288" s="1147"/>
      <c r="O288" s="1146"/>
      <c r="P288" s="1115"/>
    </row>
    <row r="289" spans="1:23" ht="30.95" customHeight="1" x14ac:dyDescent="0.25">
      <c r="A289" s="201"/>
      <c r="B289" s="2861" t="s">
        <v>1590</v>
      </c>
      <c r="C289" s="2861"/>
      <c r="D289" s="2861"/>
      <c r="E289" s="2861"/>
      <c r="F289" s="2861"/>
      <c r="G289" s="2861"/>
      <c r="H289" s="201"/>
      <c r="I289" s="58"/>
      <c r="K289" s="58"/>
      <c r="L289" s="210"/>
      <c r="N289" s="1147"/>
      <c r="O289" s="1146"/>
    </row>
    <row r="290" spans="1:23" ht="30.95" hidden="1" customHeight="1" x14ac:dyDescent="0.2">
      <c r="B290" s="2839" t="s">
        <v>2565</v>
      </c>
      <c r="C290" s="2839"/>
      <c r="D290" s="2839"/>
      <c r="E290" s="2839"/>
      <c r="F290" s="2839"/>
      <c r="G290" s="2839"/>
      <c r="H290" s="56"/>
      <c r="I290" s="56"/>
      <c r="J290" s="56"/>
      <c r="K290" s="56"/>
      <c r="M290" s="1133"/>
      <c r="N290" s="1147"/>
      <c r="O290" s="1133"/>
      <c r="P290" s="1117"/>
    </row>
    <row r="291" spans="1:23" ht="15.6" customHeight="1" x14ac:dyDescent="0.25">
      <c r="I291" s="253"/>
      <c r="J291" s="285"/>
      <c r="K291" s="253"/>
      <c r="L291" s="210"/>
      <c r="M291" s="1133"/>
      <c r="N291" s="1147"/>
      <c r="O291" s="1133"/>
      <c r="P291" s="1115"/>
    </row>
    <row r="292" spans="1:23" ht="15.6" hidden="1" customHeight="1" x14ac:dyDescent="0.2">
      <c r="A292" s="201"/>
      <c r="B292" s="2861" t="s">
        <v>4503</v>
      </c>
      <c r="C292" s="2861"/>
      <c r="D292" s="2861"/>
      <c r="E292" s="2861"/>
      <c r="F292" s="2861"/>
      <c r="G292" s="2861"/>
      <c r="H292" s="201"/>
      <c r="I292" s="58"/>
      <c r="K292" s="58"/>
      <c r="L292" s="201"/>
      <c r="M292" s="1226" t="s">
        <v>2285</v>
      </c>
      <c r="N292" s="1147"/>
      <c r="O292" s="1133"/>
      <c r="P292" s="1115"/>
    </row>
    <row r="293" spans="1:23" ht="15.6" hidden="1" customHeight="1" x14ac:dyDescent="0.25">
      <c r="I293" s="200"/>
      <c r="J293" s="200"/>
      <c r="K293" s="200"/>
      <c r="L293" s="210"/>
      <c r="M293" s="1133"/>
      <c r="N293" s="1147"/>
      <c r="O293" s="1146"/>
      <c r="P293" s="1115"/>
    </row>
    <row r="294" spans="1:23" ht="15.6" hidden="1" customHeight="1" x14ac:dyDescent="0.2">
      <c r="A294" s="201"/>
      <c r="B294" s="2861" t="s">
        <v>2284</v>
      </c>
      <c r="C294" s="2861"/>
      <c r="D294" s="2861"/>
      <c r="E294" s="2861"/>
      <c r="F294" s="2861"/>
      <c r="G294" s="2861"/>
      <c r="H294" s="201"/>
      <c r="I294" s="58"/>
      <c r="K294" s="58"/>
      <c r="L294" s="201"/>
      <c r="M294" s="1214" t="s">
        <v>2286</v>
      </c>
      <c r="N294" s="1147"/>
      <c r="O294" s="1133"/>
      <c r="P294" s="1115"/>
    </row>
    <row r="295" spans="1:23" ht="15.6" hidden="1" customHeight="1" x14ac:dyDescent="0.25">
      <c r="I295" s="200"/>
      <c r="J295" s="200"/>
      <c r="K295" s="200"/>
      <c r="L295" s="210"/>
      <c r="M295" s="1133"/>
      <c r="N295" s="1147"/>
      <c r="O295" s="1146"/>
      <c r="P295" s="1115"/>
    </row>
    <row r="296" spans="1:23" ht="15.6" customHeight="1" x14ac:dyDescent="0.25">
      <c r="B296" s="229" t="s">
        <v>7546</v>
      </c>
      <c r="I296" s="253"/>
      <c r="J296" s="285"/>
      <c r="K296" s="253"/>
      <c r="L296" s="210"/>
      <c r="M296" s="1217" t="s">
        <v>1959</v>
      </c>
      <c r="N296" s="1147"/>
      <c r="O296" s="1146"/>
      <c r="P296" s="1115"/>
      <c r="W296" s="1114" t="s">
        <v>3857</v>
      </c>
    </row>
    <row r="297" spans="1:23" ht="15.6" customHeight="1" x14ac:dyDescent="0.25">
      <c r="I297" s="253"/>
      <c r="J297" s="285"/>
      <c r="K297" s="253"/>
      <c r="L297" s="210"/>
      <c r="N297" s="1147"/>
      <c r="O297" s="1146"/>
    </row>
    <row r="298" spans="1:23" ht="32.1" customHeight="1" x14ac:dyDescent="0.2">
      <c r="B298" s="2839" t="s">
        <v>2567</v>
      </c>
      <c r="C298" s="2839"/>
      <c r="D298" s="2839"/>
      <c r="E298" s="2839"/>
      <c r="F298" s="2839"/>
      <c r="G298" s="2839"/>
      <c r="I298" s="253"/>
      <c r="J298" s="253"/>
      <c r="K298" s="253"/>
      <c r="M298" s="1133"/>
      <c r="N298" s="1147"/>
      <c r="O298" s="1133"/>
      <c r="P298" s="1115"/>
    </row>
    <row r="299" spans="1:23" ht="15.6" customHeight="1" x14ac:dyDescent="0.25">
      <c r="I299" s="253"/>
      <c r="J299" s="285"/>
      <c r="K299" s="253"/>
      <c r="L299" s="210"/>
      <c r="M299" s="1133"/>
      <c r="N299" s="1147"/>
      <c r="O299" s="1146"/>
      <c r="P299" s="1115"/>
    </row>
    <row r="300" spans="1:23" ht="62.1" hidden="1" customHeight="1" x14ac:dyDescent="0.2">
      <c r="A300" s="625"/>
      <c r="B300" s="2854" t="s">
        <v>1605</v>
      </c>
      <c r="C300" s="2854"/>
      <c r="D300" s="2854"/>
      <c r="E300" s="2854"/>
      <c r="F300" s="2854"/>
      <c r="G300" s="2854"/>
      <c r="H300" s="626"/>
      <c r="I300" s="629"/>
      <c r="J300" s="629"/>
      <c r="K300" s="629"/>
      <c r="L300" s="625"/>
      <c r="N300" s="1471"/>
      <c r="O300" s="1146"/>
    </row>
    <row r="301" spans="1:23" ht="46.5" hidden="1" customHeight="1" x14ac:dyDescent="0.2">
      <c r="A301" s="767"/>
      <c r="B301" s="2855" t="s">
        <v>1606</v>
      </c>
      <c r="C301" s="2855"/>
      <c r="D301" s="2855"/>
      <c r="E301" s="2855"/>
      <c r="F301" s="2855"/>
      <c r="G301" s="2855"/>
      <c r="H301" s="769"/>
      <c r="I301" s="773"/>
      <c r="J301" s="773"/>
      <c r="K301" s="773"/>
      <c r="L301" s="767"/>
      <c r="N301" s="1147"/>
      <c r="O301" s="1146"/>
    </row>
    <row r="302" spans="1:23" ht="15.6" hidden="1" customHeight="1" x14ac:dyDescent="0.25">
      <c r="A302" s="767"/>
      <c r="B302" s="767"/>
      <c r="C302" s="767"/>
      <c r="D302" s="769"/>
      <c r="E302" s="767"/>
      <c r="F302" s="769"/>
      <c r="G302" s="769"/>
      <c r="H302" s="769"/>
      <c r="I302" s="773"/>
      <c r="J302" s="1537"/>
      <c r="K302" s="773"/>
      <c r="L302" s="771"/>
      <c r="N302" s="1147"/>
      <c r="O302" s="1146"/>
    </row>
    <row r="303" spans="1:23" ht="15.6" hidden="1" customHeight="1" x14ac:dyDescent="0.25">
      <c r="A303" s="767"/>
      <c r="B303" s="767" t="s">
        <v>625</v>
      </c>
      <c r="C303" s="767"/>
      <c r="D303" s="769"/>
      <c r="E303" s="767"/>
      <c r="F303" s="769"/>
      <c r="G303" s="769"/>
      <c r="H303" s="769"/>
      <c r="I303" s="773">
        <f>'APPENDIX B'!AB288</f>
        <v>0</v>
      </c>
      <c r="J303" s="1537"/>
      <c r="K303" s="773">
        <v>0</v>
      </c>
      <c r="L303" s="771"/>
      <c r="N303" s="1147"/>
      <c r="O303" s="1146"/>
    </row>
    <row r="304" spans="1:23" ht="15.6" hidden="1" customHeight="1" x14ac:dyDescent="0.25">
      <c r="A304" s="767"/>
      <c r="B304" s="767" t="s">
        <v>734</v>
      </c>
      <c r="C304" s="767"/>
      <c r="D304" s="769"/>
      <c r="E304" s="767"/>
      <c r="F304" s="769"/>
      <c r="G304" s="769"/>
      <c r="H304" s="769"/>
      <c r="I304" s="773">
        <f>'APPENDIX B'!AB289</f>
        <v>0</v>
      </c>
      <c r="J304" s="1537"/>
      <c r="K304" s="773">
        <v>0</v>
      </c>
      <c r="L304" s="771"/>
      <c r="N304" s="1147"/>
      <c r="O304" s="1146"/>
    </row>
    <row r="305" spans="1:23" ht="15.6" hidden="1" customHeight="1" x14ac:dyDescent="0.25">
      <c r="A305" s="767"/>
      <c r="B305" s="767"/>
      <c r="C305" s="767"/>
      <c r="D305" s="769"/>
      <c r="E305" s="767"/>
      <c r="F305" s="769"/>
      <c r="G305" s="769"/>
      <c r="H305" s="769"/>
      <c r="I305" s="773"/>
      <c r="J305" s="1537"/>
      <c r="K305" s="773"/>
      <c r="L305" s="771"/>
      <c r="N305" s="1147"/>
      <c r="O305" s="1146"/>
    </row>
    <row r="306" spans="1:23" ht="15.6" hidden="1" customHeight="1" thickBot="1" x14ac:dyDescent="0.3">
      <c r="A306" s="767"/>
      <c r="B306" s="774" t="s">
        <v>1610</v>
      </c>
      <c r="C306" s="774"/>
      <c r="D306" s="769"/>
      <c r="E306" s="767"/>
      <c r="F306" s="769"/>
      <c r="G306" s="769"/>
      <c r="H306" s="769"/>
      <c r="I306" s="1539">
        <f>SUM(I303:I305)</f>
        <v>0</v>
      </c>
      <c r="J306" s="775"/>
      <c r="K306" s="1539">
        <f>SUM(K303:K305)</f>
        <v>0</v>
      </c>
      <c r="L306" s="767"/>
      <c r="N306" s="1147"/>
      <c r="O306" s="1146"/>
    </row>
    <row r="307" spans="1:23" ht="15.6" hidden="1" customHeight="1" thickTop="1" x14ac:dyDescent="0.25">
      <c r="A307" s="767"/>
      <c r="B307" s="767"/>
      <c r="C307" s="767"/>
      <c r="D307" s="769"/>
      <c r="E307" s="767"/>
      <c r="F307" s="769"/>
      <c r="G307" s="769"/>
      <c r="H307" s="769"/>
      <c r="I307" s="1540">
        <v>0</v>
      </c>
      <c r="J307" s="1537"/>
      <c r="K307" s="1540">
        <v>0</v>
      </c>
      <c r="L307" s="771"/>
      <c r="N307" s="1147"/>
      <c r="O307" s="1146"/>
    </row>
    <row r="308" spans="1:23" ht="46.5" hidden="1" customHeight="1" x14ac:dyDescent="0.2">
      <c r="A308" s="767"/>
      <c r="B308" s="2855" t="s">
        <v>1611</v>
      </c>
      <c r="C308" s="2855"/>
      <c r="D308" s="2855"/>
      <c r="E308" s="2855"/>
      <c r="F308" s="2855"/>
      <c r="G308" s="2855"/>
      <c r="H308" s="769"/>
      <c r="I308" s="773"/>
      <c r="J308" s="773"/>
      <c r="K308" s="773"/>
      <c r="L308" s="767"/>
      <c r="N308" s="1147"/>
      <c r="O308" s="1146"/>
    </row>
    <row r="309" spans="1:23" ht="15.6" hidden="1" customHeight="1" x14ac:dyDescent="0.25">
      <c r="A309" s="767"/>
      <c r="B309" s="767"/>
      <c r="C309" s="767"/>
      <c r="D309" s="769"/>
      <c r="E309" s="767"/>
      <c r="F309" s="769"/>
      <c r="G309" s="769"/>
      <c r="H309" s="769"/>
      <c r="I309" s="773"/>
      <c r="J309" s="1537"/>
      <c r="K309" s="773"/>
      <c r="L309" s="771"/>
      <c r="N309" s="1147"/>
      <c r="O309" s="1146"/>
    </row>
    <row r="310" spans="1:23" ht="15.6" hidden="1" customHeight="1" x14ac:dyDescent="0.25">
      <c r="A310" s="767"/>
      <c r="B310" s="776" t="s">
        <v>6453</v>
      </c>
      <c r="C310" s="767"/>
      <c r="D310" s="769"/>
      <c r="E310" s="767"/>
      <c r="F310" s="769"/>
      <c r="G310" s="769"/>
      <c r="H310" s="769"/>
      <c r="I310" s="773"/>
      <c r="J310" s="1537"/>
      <c r="K310" s="773"/>
      <c r="L310" s="771"/>
      <c r="M310" s="1217" t="s">
        <v>2290</v>
      </c>
      <c r="N310" s="1147"/>
      <c r="O310" s="1146"/>
      <c r="P310" s="1115"/>
      <c r="W310" s="1114" t="s">
        <v>3857</v>
      </c>
    </row>
    <row r="311" spans="1:23" ht="15.6" hidden="1" customHeight="1" x14ac:dyDescent="0.25">
      <c r="A311" s="767"/>
      <c r="B311" s="767"/>
      <c r="C311" s="767"/>
      <c r="D311" s="769"/>
      <c r="E311" s="767"/>
      <c r="F311" s="769"/>
      <c r="G311" s="769"/>
      <c r="H311" s="769"/>
      <c r="I311" s="773"/>
      <c r="J311" s="1537"/>
      <c r="K311" s="773"/>
      <c r="L311" s="771"/>
      <c r="N311" s="1147"/>
      <c r="O311" s="1146"/>
    </row>
    <row r="312" spans="1:23" ht="30.95" hidden="1" customHeight="1" x14ac:dyDescent="0.2">
      <c r="A312" s="767"/>
      <c r="B312" s="2855" t="s">
        <v>2291</v>
      </c>
      <c r="C312" s="2855"/>
      <c r="D312" s="2855"/>
      <c r="E312" s="2855"/>
      <c r="F312" s="2855"/>
      <c r="G312" s="2855"/>
      <c r="H312" s="769"/>
      <c r="I312" s="773"/>
      <c r="J312" s="773"/>
      <c r="K312" s="773"/>
      <c r="L312" s="767"/>
      <c r="N312" s="1147"/>
      <c r="O312" s="1146"/>
    </row>
    <row r="313" spans="1:23" ht="15.6" hidden="1" customHeight="1" x14ac:dyDescent="0.25">
      <c r="A313" s="767"/>
      <c r="B313" s="767"/>
      <c r="C313" s="767"/>
      <c r="D313" s="769"/>
      <c r="E313" s="767"/>
      <c r="F313" s="769"/>
      <c r="G313" s="769"/>
      <c r="H313" s="769"/>
      <c r="I313" s="773"/>
      <c r="J313" s="1537"/>
      <c r="K313" s="773"/>
      <c r="L313" s="771"/>
      <c r="N313" s="1147"/>
      <c r="O313" s="1146"/>
    </row>
    <row r="314" spans="1:23" ht="15.6" hidden="1" customHeight="1" x14ac:dyDescent="0.25">
      <c r="A314" s="767"/>
      <c r="B314" s="767" t="s">
        <v>625</v>
      </c>
      <c r="C314" s="767"/>
      <c r="D314" s="769"/>
      <c r="E314" s="767"/>
      <c r="F314" s="769"/>
      <c r="G314" s="769"/>
      <c r="H314" s="769"/>
      <c r="I314" s="773">
        <f>'APPENDIX B'!AB318</f>
        <v>0</v>
      </c>
      <c r="J314" s="1537"/>
      <c r="K314" s="773">
        <v>0</v>
      </c>
      <c r="L314" s="771"/>
      <c r="N314" s="1147"/>
      <c r="O314" s="1146"/>
    </row>
    <row r="315" spans="1:23" ht="15.6" hidden="1" customHeight="1" x14ac:dyDescent="0.25">
      <c r="A315" s="767"/>
      <c r="B315" s="767" t="s">
        <v>734</v>
      </c>
      <c r="C315" s="767"/>
      <c r="D315" s="769"/>
      <c r="E315" s="767"/>
      <c r="F315" s="769"/>
      <c r="G315" s="769"/>
      <c r="H315" s="769"/>
      <c r="I315" s="773">
        <f>'APPENDIX B'!AB319</f>
        <v>0</v>
      </c>
      <c r="J315" s="1537"/>
      <c r="K315" s="773">
        <v>0</v>
      </c>
      <c r="L315" s="771"/>
      <c r="N315" s="1147"/>
      <c r="O315" s="1146"/>
    </row>
    <row r="316" spans="1:23" ht="15.6" hidden="1" customHeight="1" x14ac:dyDescent="0.25">
      <c r="A316" s="767"/>
      <c r="B316" s="767"/>
      <c r="C316" s="767"/>
      <c r="D316" s="769"/>
      <c r="E316" s="767"/>
      <c r="F316" s="769"/>
      <c r="G316" s="769"/>
      <c r="H316" s="769"/>
      <c r="I316" s="773"/>
      <c r="J316" s="1537"/>
      <c r="K316" s="773"/>
      <c r="L316" s="771"/>
      <c r="N316" s="1147"/>
      <c r="O316" s="1146"/>
    </row>
    <row r="317" spans="1:23" ht="15.6" hidden="1" customHeight="1" thickBot="1" x14ac:dyDescent="0.3">
      <c r="A317" s="767"/>
      <c r="B317" s="774" t="s">
        <v>2292</v>
      </c>
      <c r="C317" s="774"/>
      <c r="D317" s="769"/>
      <c r="E317" s="767"/>
      <c r="F317" s="769"/>
      <c r="G317" s="769"/>
      <c r="H317" s="769"/>
      <c r="I317" s="1539">
        <f>SUM(I314:I316)</f>
        <v>0</v>
      </c>
      <c r="J317" s="775"/>
      <c r="K317" s="1539">
        <f>SUM(K314:K316)</f>
        <v>0</v>
      </c>
      <c r="L317" s="767"/>
      <c r="N317" s="1147"/>
      <c r="O317" s="1146"/>
    </row>
    <row r="318" spans="1:23" ht="15.6" hidden="1" customHeight="1" thickTop="1" x14ac:dyDescent="0.25">
      <c r="A318" s="767"/>
      <c r="B318" s="767"/>
      <c r="C318" s="767"/>
      <c r="D318" s="769"/>
      <c r="E318" s="767"/>
      <c r="F318" s="769"/>
      <c r="G318" s="769"/>
      <c r="H318" s="769"/>
      <c r="I318" s="1540">
        <v>0</v>
      </c>
      <c r="J318" s="1537"/>
      <c r="K318" s="1540">
        <v>0</v>
      </c>
      <c r="L318" s="771"/>
      <c r="N318" s="1147"/>
      <c r="O318" s="1146"/>
    </row>
    <row r="319" spans="1:23" ht="30.95" hidden="1" customHeight="1" x14ac:dyDescent="0.2">
      <c r="A319" s="767"/>
      <c r="B319" s="2855" t="s">
        <v>2293</v>
      </c>
      <c r="C319" s="2855"/>
      <c r="D319" s="2855"/>
      <c r="E319" s="2855"/>
      <c r="F319" s="2855"/>
      <c r="G319" s="2855"/>
      <c r="H319" s="769"/>
      <c r="I319" s="773"/>
      <c r="J319" s="773"/>
      <c r="K319" s="773"/>
      <c r="L319" s="767"/>
      <c r="N319" s="1147"/>
      <c r="O319" s="1146"/>
    </row>
    <row r="320" spans="1:23" ht="15.6" hidden="1" customHeight="1" x14ac:dyDescent="0.25">
      <c r="A320" s="767"/>
      <c r="B320" s="767"/>
      <c r="C320" s="767"/>
      <c r="D320" s="769"/>
      <c r="E320" s="767"/>
      <c r="F320" s="769"/>
      <c r="G320" s="769"/>
      <c r="H320" s="769"/>
      <c r="I320" s="773"/>
      <c r="J320" s="1537"/>
      <c r="K320" s="773"/>
      <c r="L320" s="771"/>
      <c r="N320" s="1147"/>
      <c r="O320" s="1146"/>
    </row>
    <row r="321" spans="1:23" ht="15.6" hidden="1" customHeight="1" x14ac:dyDescent="0.25">
      <c r="A321" s="767"/>
      <c r="B321" s="767" t="s">
        <v>625</v>
      </c>
      <c r="C321" s="767"/>
      <c r="D321" s="769"/>
      <c r="E321" s="767"/>
      <c r="F321" s="769"/>
      <c r="G321" s="769"/>
      <c r="H321" s="769"/>
      <c r="I321" s="773">
        <f>'APPENDIX B'!AB326</f>
        <v>0</v>
      </c>
      <c r="J321" s="1537"/>
      <c r="K321" s="773">
        <v>0</v>
      </c>
      <c r="L321" s="771"/>
      <c r="N321" s="1147"/>
      <c r="O321" s="1146"/>
    </row>
    <row r="322" spans="1:23" ht="15.6" hidden="1" customHeight="1" x14ac:dyDescent="0.25">
      <c r="A322" s="767"/>
      <c r="B322" s="767" t="s">
        <v>734</v>
      </c>
      <c r="C322" s="767"/>
      <c r="D322" s="769"/>
      <c r="E322" s="767"/>
      <c r="F322" s="769"/>
      <c r="G322" s="769"/>
      <c r="H322" s="769"/>
      <c r="I322" s="773">
        <f>'APPENDIX B'!AB327</f>
        <v>0</v>
      </c>
      <c r="J322" s="1537"/>
      <c r="K322" s="773">
        <v>0</v>
      </c>
      <c r="L322" s="771"/>
      <c r="N322" s="1147"/>
      <c r="O322" s="1146"/>
    </row>
    <row r="323" spans="1:23" ht="15.6" hidden="1" customHeight="1" x14ac:dyDescent="0.25">
      <c r="A323" s="767"/>
      <c r="B323" s="767"/>
      <c r="C323" s="767"/>
      <c r="D323" s="769"/>
      <c r="E323" s="767"/>
      <c r="F323" s="769"/>
      <c r="G323" s="769"/>
      <c r="H323" s="769"/>
      <c r="I323" s="773"/>
      <c r="J323" s="1537"/>
      <c r="K323" s="773"/>
      <c r="L323" s="771"/>
      <c r="N323" s="1147"/>
      <c r="O323" s="1146"/>
    </row>
    <row r="324" spans="1:23" ht="15.6" hidden="1" customHeight="1" thickBot="1" x14ac:dyDescent="0.3">
      <c r="A324" s="767"/>
      <c r="B324" s="774" t="s">
        <v>2294</v>
      </c>
      <c r="C324" s="774"/>
      <c r="D324" s="769"/>
      <c r="E324" s="767"/>
      <c r="F324" s="769"/>
      <c r="G324" s="769"/>
      <c r="H324" s="769"/>
      <c r="I324" s="1539">
        <f>SUM(I321:I323)</f>
        <v>0</v>
      </c>
      <c r="J324" s="775"/>
      <c r="K324" s="1539">
        <f>SUM(K321:K323)</f>
        <v>0</v>
      </c>
      <c r="L324" s="767"/>
      <c r="N324" s="1147"/>
      <c r="O324" s="1146"/>
    </row>
    <row r="325" spans="1:23" ht="15.6" hidden="1" customHeight="1" thickTop="1" x14ac:dyDescent="0.25">
      <c r="A325" s="767"/>
      <c r="B325" s="767"/>
      <c r="C325" s="767"/>
      <c r="D325" s="769"/>
      <c r="E325" s="767"/>
      <c r="F325" s="769"/>
      <c r="G325" s="769"/>
      <c r="H325" s="769"/>
      <c r="I325" s="1540">
        <v>0</v>
      </c>
      <c r="J325" s="1537"/>
      <c r="K325" s="1540">
        <v>0</v>
      </c>
      <c r="L325" s="771"/>
      <c r="N325" s="1147"/>
      <c r="O325" s="1146"/>
    </row>
    <row r="326" spans="1:23" ht="15.6" hidden="1" customHeight="1" x14ac:dyDescent="0.25">
      <c r="A326" s="767"/>
      <c r="B326" s="776" t="s">
        <v>6454</v>
      </c>
      <c r="C326" s="767"/>
      <c r="D326" s="769"/>
      <c r="E326" s="767"/>
      <c r="F326" s="769"/>
      <c r="G326" s="769"/>
      <c r="H326" s="769"/>
      <c r="I326" s="773"/>
      <c r="J326" s="1537"/>
      <c r="K326" s="773"/>
      <c r="L326" s="771"/>
      <c r="M326" s="1217" t="s">
        <v>2298</v>
      </c>
      <c r="N326" s="1147"/>
      <c r="O326" s="1146"/>
      <c r="P326" s="1115"/>
      <c r="W326" s="1114" t="s">
        <v>3857</v>
      </c>
    </row>
    <row r="327" spans="1:23" ht="15.6" hidden="1" customHeight="1" x14ac:dyDescent="0.25">
      <c r="A327" s="767"/>
      <c r="B327" s="767"/>
      <c r="C327" s="767"/>
      <c r="D327" s="769"/>
      <c r="E327" s="767"/>
      <c r="F327" s="769"/>
      <c r="G327" s="769"/>
      <c r="H327" s="769"/>
      <c r="I327" s="773"/>
      <c r="J327" s="1537"/>
      <c r="K327" s="773"/>
      <c r="L327" s="771"/>
      <c r="M327" s="1133"/>
      <c r="N327" s="1147"/>
      <c r="O327" s="1146"/>
      <c r="P327" s="1115"/>
    </row>
    <row r="328" spans="1:23" ht="46.5" hidden="1" customHeight="1" x14ac:dyDescent="0.2">
      <c r="A328" s="767"/>
      <c r="B328" s="2855" t="s">
        <v>2295</v>
      </c>
      <c r="C328" s="2855"/>
      <c r="D328" s="2855"/>
      <c r="E328" s="2855"/>
      <c r="F328" s="2855"/>
      <c r="G328" s="2855"/>
      <c r="H328" s="769"/>
      <c r="I328" s="773"/>
      <c r="J328" s="773"/>
      <c r="K328" s="773"/>
      <c r="L328" s="767"/>
      <c r="M328" s="1133"/>
      <c r="N328" s="1147"/>
      <c r="O328" s="1146"/>
      <c r="P328" s="1115"/>
    </row>
    <row r="329" spans="1:23" ht="15.6" hidden="1" customHeight="1" x14ac:dyDescent="0.25">
      <c r="A329" s="767"/>
      <c r="B329" s="767"/>
      <c r="C329" s="767"/>
      <c r="D329" s="769"/>
      <c r="E329" s="767"/>
      <c r="F329" s="769"/>
      <c r="G329" s="769"/>
      <c r="H329" s="769"/>
      <c r="I329" s="773"/>
      <c r="J329" s="1537"/>
      <c r="K329" s="773"/>
      <c r="L329" s="771"/>
      <c r="M329" s="1133"/>
      <c r="N329" s="1147"/>
      <c r="O329" s="1146"/>
      <c r="P329" s="1115"/>
      <c r="T329" s="1133"/>
      <c r="U329" s="1133"/>
      <c r="W329" s="1133"/>
    </row>
    <row r="330" spans="1:23" ht="15.6" hidden="1" customHeight="1" x14ac:dyDescent="0.25">
      <c r="A330" s="767"/>
      <c r="B330" s="2855" t="s">
        <v>585</v>
      </c>
      <c r="C330" s="2855"/>
      <c r="D330" s="2855"/>
      <c r="E330" s="2855"/>
      <c r="F330" s="2855"/>
      <c r="G330" s="2855"/>
      <c r="H330" s="769"/>
      <c r="I330" s="770"/>
      <c r="J330" s="770"/>
      <c r="K330" s="770"/>
      <c r="L330" s="771"/>
    </row>
    <row r="331" spans="1:23" ht="15.6" hidden="1" customHeight="1" x14ac:dyDescent="0.25">
      <c r="A331" s="767"/>
      <c r="B331" s="767"/>
      <c r="C331" s="767"/>
      <c r="D331" s="769"/>
      <c r="E331" s="767"/>
      <c r="F331" s="769"/>
      <c r="G331" s="769"/>
      <c r="H331" s="769"/>
      <c r="I331" s="1541"/>
      <c r="J331" s="770"/>
      <c r="K331" s="1541"/>
      <c r="L331" s="771"/>
    </row>
    <row r="332" spans="1:23" ht="15.6" hidden="1" customHeight="1" x14ac:dyDescent="0.25">
      <c r="A332" s="767"/>
      <c r="B332" s="767" t="s">
        <v>273</v>
      </c>
      <c r="C332" s="767"/>
      <c r="D332" s="769"/>
      <c r="E332" s="767"/>
      <c r="F332" s="769"/>
      <c r="G332" s="769"/>
      <c r="H332" s="769"/>
      <c r="I332" s="1542">
        <f>K338</f>
        <v>0</v>
      </c>
      <c r="J332" s="1542"/>
      <c r="K332" s="1542">
        <v>0</v>
      </c>
      <c r="L332" s="771"/>
      <c r="M332" s="1133"/>
      <c r="R332" s="1111" t="s">
        <v>3576</v>
      </c>
      <c r="S332" s="1111" t="s">
        <v>2765</v>
      </c>
    </row>
    <row r="333" spans="1:23" ht="15.6" hidden="1" customHeight="1" x14ac:dyDescent="0.25">
      <c r="A333" s="767"/>
      <c r="B333" s="767" t="s">
        <v>586</v>
      </c>
      <c r="C333" s="767"/>
      <c r="D333" s="769"/>
      <c r="E333" s="767"/>
      <c r="F333" s="769"/>
      <c r="G333" s="769"/>
      <c r="H333" s="769"/>
      <c r="I333" s="1542">
        <v>0</v>
      </c>
      <c r="J333" s="1542"/>
      <c r="K333" s="1542">
        <v>0</v>
      </c>
      <c r="L333" s="771"/>
      <c r="M333" s="1133"/>
      <c r="P333" s="1110" t="s">
        <v>3572</v>
      </c>
      <c r="Q333" s="1111" t="s">
        <v>2763</v>
      </c>
      <c r="R333" s="1110" t="s">
        <v>3577</v>
      </c>
      <c r="S333" s="1111" t="s">
        <v>2765</v>
      </c>
    </row>
    <row r="334" spans="1:23" ht="15.6" hidden="1" customHeight="1" x14ac:dyDescent="0.25">
      <c r="A334" s="767"/>
      <c r="B334" s="767" t="s">
        <v>2296</v>
      </c>
      <c r="C334" s="767"/>
      <c r="D334" s="769"/>
      <c r="E334" s="767"/>
      <c r="F334" s="769"/>
      <c r="G334" s="769"/>
      <c r="H334" s="769"/>
      <c r="I334" s="1542">
        <v>0</v>
      </c>
      <c r="J334" s="1542"/>
      <c r="K334" s="1542">
        <v>0</v>
      </c>
      <c r="L334" s="771"/>
      <c r="M334" s="1133"/>
      <c r="P334" s="1110" t="s">
        <v>3051</v>
      </c>
      <c r="Q334" s="1111" t="s">
        <v>2763</v>
      </c>
      <c r="R334" s="1110" t="s">
        <v>3579</v>
      </c>
      <c r="S334" s="1111" t="s">
        <v>2765</v>
      </c>
    </row>
    <row r="335" spans="1:23" ht="15.6" hidden="1" customHeight="1" x14ac:dyDescent="0.25">
      <c r="A335" s="767"/>
      <c r="B335" s="767" t="s">
        <v>2297</v>
      </c>
      <c r="C335" s="767"/>
      <c r="D335" s="769"/>
      <c r="E335" s="767"/>
      <c r="F335" s="769"/>
      <c r="G335" s="769"/>
      <c r="H335" s="769"/>
      <c r="I335" s="1542">
        <v>0</v>
      </c>
      <c r="J335" s="1542"/>
      <c r="K335" s="1542">
        <v>0</v>
      </c>
      <c r="L335" s="771"/>
      <c r="M335" s="1133"/>
      <c r="P335" s="1110" t="s">
        <v>3571</v>
      </c>
      <c r="Q335" s="1111" t="s">
        <v>2763</v>
      </c>
      <c r="R335" s="1110" t="s">
        <v>3580</v>
      </c>
      <c r="S335" s="1111" t="s">
        <v>2765</v>
      </c>
    </row>
    <row r="336" spans="1:23" ht="15.6" hidden="1" customHeight="1" x14ac:dyDescent="0.25">
      <c r="A336" s="767"/>
      <c r="B336" s="767" t="s">
        <v>587</v>
      </c>
      <c r="C336" s="767"/>
      <c r="D336" s="769"/>
      <c r="E336" s="767"/>
      <c r="F336" s="769"/>
      <c r="G336" s="769"/>
      <c r="H336" s="769"/>
      <c r="I336" s="1542"/>
      <c r="J336" s="1542"/>
      <c r="K336" s="1542"/>
      <c r="L336" s="771"/>
      <c r="M336" s="1133"/>
    </row>
    <row r="337" spans="1:23" ht="15.6" hidden="1" customHeight="1" x14ac:dyDescent="0.25">
      <c r="A337" s="767"/>
      <c r="B337" s="767"/>
      <c r="C337" s="767"/>
      <c r="D337" s="769"/>
      <c r="E337" s="767"/>
      <c r="F337" s="769"/>
      <c r="G337" s="769"/>
      <c r="H337" s="769"/>
      <c r="I337" s="1542"/>
      <c r="J337" s="1542"/>
      <c r="K337" s="1542"/>
      <c r="L337" s="771"/>
      <c r="M337" s="1133"/>
    </row>
    <row r="338" spans="1:23" ht="15.6" hidden="1" customHeight="1" thickBot="1" x14ac:dyDescent="0.3">
      <c r="A338" s="767"/>
      <c r="B338" s="774" t="s">
        <v>274</v>
      </c>
      <c r="C338" s="774"/>
      <c r="D338" s="769"/>
      <c r="E338" s="767"/>
      <c r="F338" s="769"/>
      <c r="G338" s="769"/>
      <c r="H338" s="769"/>
      <c r="I338" s="1538">
        <f>SUM(I332:I337)</f>
        <v>0</v>
      </c>
      <c r="J338" s="770"/>
      <c r="K338" s="1538">
        <f>SUM(K332:K337)</f>
        <v>0</v>
      </c>
      <c r="L338" s="771"/>
      <c r="M338" s="1133"/>
    </row>
    <row r="339" spans="1:23" ht="15.6" hidden="1" customHeight="1" thickTop="1" x14ac:dyDescent="0.2">
      <c r="A339" s="767"/>
      <c r="B339" s="767"/>
      <c r="C339" s="767"/>
      <c r="D339" s="769"/>
      <c r="E339" s="767"/>
      <c r="F339" s="769"/>
      <c r="G339" s="769"/>
      <c r="H339" s="769"/>
      <c r="I339" s="1540">
        <v>0</v>
      </c>
      <c r="J339" s="1543"/>
      <c r="K339" s="1540">
        <v>0</v>
      </c>
      <c r="L339" s="777"/>
      <c r="M339" s="1133"/>
    </row>
    <row r="340" spans="1:23" ht="30.95" hidden="1" customHeight="1" x14ac:dyDescent="0.2">
      <c r="A340" s="767"/>
      <c r="B340" s="2855" t="s">
        <v>2299</v>
      </c>
      <c r="C340" s="2855"/>
      <c r="D340" s="2855"/>
      <c r="E340" s="2855"/>
      <c r="F340" s="2855"/>
      <c r="G340" s="2855"/>
      <c r="H340" s="769"/>
      <c r="I340" s="773"/>
      <c r="J340" s="773"/>
      <c r="K340" s="773"/>
      <c r="L340" s="767"/>
      <c r="N340" s="1147"/>
      <c r="O340" s="1146"/>
    </row>
    <row r="341" spans="1:23" ht="15.6" hidden="1" customHeight="1" x14ac:dyDescent="0.25">
      <c r="A341" s="767"/>
      <c r="B341" s="767"/>
      <c r="C341" s="767"/>
      <c r="D341" s="769"/>
      <c r="E341" s="767"/>
      <c r="F341" s="769"/>
      <c r="G341" s="769"/>
      <c r="H341" s="769"/>
      <c r="I341" s="773"/>
      <c r="J341" s="1537"/>
      <c r="K341" s="773"/>
      <c r="L341" s="771"/>
      <c r="N341" s="1147"/>
      <c r="O341" s="1146"/>
    </row>
    <row r="342" spans="1:23" ht="46.5" hidden="1" customHeight="1" x14ac:dyDescent="0.2">
      <c r="A342" s="767"/>
      <c r="B342" s="2855" t="s">
        <v>2300</v>
      </c>
      <c r="C342" s="2855"/>
      <c r="D342" s="2855"/>
      <c r="E342" s="2855"/>
      <c r="F342" s="2855"/>
      <c r="G342" s="2855"/>
      <c r="H342" s="769"/>
      <c r="I342" s="773"/>
      <c r="J342" s="773"/>
      <c r="K342" s="773"/>
      <c r="L342" s="767"/>
      <c r="M342" s="1214" t="s">
        <v>2445</v>
      </c>
      <c r="N342" s="1147"/>
      <c r="O342" s="1146"/>
    </row>
    <row r="343" spans="1:23" ht="15.6" hidden="1" customHeight="1" x14ac:dyDescent="0.25">
      <c r="A343" s="767"/>
      <c r="B343" s="767"/>
      <c r="C343" s="767"/>
      <c r="D343" s="769"/>
      <c r="E343" s="767"/>
      <c r="F343" s="769"/>
      <c r="G343" s="769"/>
      <c r="H343" s="769"/>
      <c r="I343" s="773"/>
      <c r="J343" s="1537"/>
      <c r="K343" s="773"/>
      <c r="L343" s="771"/>
      <c r="N343" s="1147"/>
      <c r="O343" s="1146"/>
    </row>
    <row r="344" spans="1:23" ht="15.6" hidden="1" customHeight="1" x14ac:dyDescent="0.25">
      <c r="I344" s="209"/>
      <c r="J344" s="200"/>
      <c r="K344" s="209"/>
      <c r="L344" s="210"/>
    </row>
    <row r="345" spans="1:23" ht="15.6" customHeight="1" x14ac:dyDescent="0.25">
      <c r="A345" s="211">
        <v>10</v>
      </c>
      <c r="B345" s="50" t="s">
        <v>82</v>
      </c>
      <c r="C345" s="50"/>
      <c r="W345" s="1114" t="s">
        <v>3520</v>
      </c>
    </row>
    <row r="346" spans="1:23" ht="15.6" customHeight="1" x14ac:dyDescent="0.25">
      <c r="A346" s="211"/>
      <c r="B346" s="50"/>
      <c r="C346" s="50"/>
    </row>
    <row r="347" spans="1:23" ht="30.95" hidden="1" customHeight="1" x14ac:dyDescent="0.2">
      <c r="A347" s="625"/>
      <c r="B347" s="2854" t="s">
        <v>4308</v>
      </c>
      <c r="C347" s="2854"/>
      <c r="D347" s="2854"/>
      <c r="E347" s="2854"/>
      <c r="F347" s="2854"/>
      <c r="G347" s="2854"/>
      <c r="H347" s="632"/>
      <c r="I347" s="632"/>
      <c r="J347" s="632"/>
      <c r="K347" s="632"/>
      <c r="L347" s="631"/>
      <c r="M347" s="1133"/>
      <c r="N347" s="1147"/>
    </row>
    <row r="348" spans="1:23" ht="15.6" hidden="1" customHeight="1" x14ac:dyDescent="0.2">
      <c r="A348" s="625"/>
      <c r="B348" s="625"/>
      <c r="C348" s="625"/>
      <c r="D348" s="626"/>
      <c r="E348" s="625"/>
      <c r="F348" s="626"/>
      <c r="G348" s="626"/>
      <c r="H348" s="626"/>
      <c r="I348" s="630"/>
      <c r="J348" s="630"/>
      <c r="K348" s="630"/>
      <c r="L348" s="631"/>
      <c r="N348" s="1471"/>
    </row>
    <row r="349" spans="1:23" ht="15.6" hidden="1" customHeight="1" x14ac:dyDescent="0.25">
      <c r="A349" s="211"/>
      <c r="B349" s="48" t="s">
        <v>1511</v>
      </c>
      <c r="C349" s="50"/>
      <c r="I349" s="199">
        <f>'Trial Balance - FPos'!F164</f>
        <v>20519205</v>
      </c>
      <c r="K349" s="199">
        <f>'Trial Balance - FPos'!C164</f>
        <v>20519205</v>
      </c>
    </row>
    <row r="350" spans="1:23" ht="15.6" hidden="1" customHeight="1" thickBot="1" x14ac:dyDescent="0.3">
      <c r="B350" s="48" t="s">
        <v>941</v>
      </c>
      <c r="C350" s="50"/>
      <c r="I350" s="226">
        <v>0</v>
      </c>
      <c r="J350" s="58"/>
      <c r="K350" s="226">
        <v>0</v>
      </c>
      <c r="M350" s="1482"/>
      <c r="N350" s="1147">
        <v>0</v>
      </c>
      <c r="O350" s="1147"/>
      <c r="P350" s="1115" t="s">
        <v>3052</v>
      </c>
      <c r="Q350" s="1111" t="s">
        <v>2763</v>
      </c>
      <c r="R350" s="1111" t="s">
        <v>3053</v>
      </c>
      <c r="S350" s="1111" t="s">
        <v>2765</v>
      </c>
      <c r="T350" s="1111" t="s">
        <v>3054</v>
      </c>
      <c r="U350" s="1112" t="s">
        <v>2775</v>
      </c>
    </row>
    <row r="351" spans="1:23" ht="15.6" hidden="1" customHeight="1" thickTop="1" x14ac:dyDescent="0.2">
      <c r="I351" s="1532">
        <f>I350-I375</f>
        <v>-20519205</v>
      </c>
      <c r="J351" s="2076"/>
      <c r="K351" s="1532">
        <f>K350-K375</f>
        <v>-20519205</v>
      </c>
      <c r="M351" s="1482"/>
      <c r="N351" s="1133"/>
      <c r="O351" s="1146"/>
      <c r="P351" s="1117"/>
    </row>
    <row r="352" spans="1:23" ht="15.6" customHeight="1" x14ac:dyDescent="0.2">
      <c r="B352" s="2839" t="s">
        <v>942</v>
      </c>
      <c r="C352" s="2839"/>
      <c r="D352" s="2839"/>
      <c r="E352" s="2839"/>
      <c r="F352" s="2839"/>
      <c r="G352" s="2839"/>
      <c r="H352" s="56"/>
      <c r="I352" s="56"/>
      <c r="J352" s="56"/>
      <c r="K352" s="56"/>
      <c r="M352" s="1133"/>
      <c r="N352" s="1147"/>
      <c r="O352" s="1146"/>
      <c r="P352" s="1117"/>
    </row>
    <row r="353" spans="1:19" ht="15.6" customHeight="1" x14ac:dyDescent="0.2">
      <c r="I353" s="58"/>
      <c r="J353" s="58"/>
      <c r="K353" s="58"/>
      <c r="M353" s="1133"/>
      <c r="N353" s="1133"/>
      <c r="O353" s="1146"/>
      <c r="P353" s="1115"/>
    </row>
    <row r="354" spans="1:19" ht="15.6" customHeight="1" x14ac:dyDescent="0.25">
      <c r="A354" s="211"/>
      <c r="B354" s="50" t="s">
        <v>156</v>
      </c>
      <c r="I354" s="224">
        <f>SUM(I355:I358)</f>
        <v>20519205</v>
      </c>
      <c r="J354" s="58"/>
      <c r="K354" s="224">
        <f>SUM(K355:K358)</f>
        <v>18739000</v>
      </c>
      <c r="M354" s="1217" t="s">
        <v>1960</v>
      </c>
      <c r="N354" s="1147">
        <v>18739000</v>
      </c>
    </row>
    <row r="355" spans="1:19" ht="15.6" hidden="1" customHeight="1" x14ac:dyDescent="0.2">
      <c r="B355" s="48" t="s">
        <v>157</v>
      </c>
      <c r="I355" s="213">
        <f>K376</f>
        <v>0</v>
      </c>
      <c r="J355" s="58"/>
      <c r="K355" s="213">
        <v>0</v>
      </c>
      <c r="M355" s="1133"/>
      <c r="N355" s="1147"/>
      <c r="P355" s="1110" t="s">
        <v>3581</v>
      </c>
      <c r="Q355" s="1111" t="s">
        <v>2765</v>
      </c>
      <c r="R355" s="1110" t="s">
        <v>3581</v>
      </c>
      <c r="S355" s="1111" t="s">
        <v>2765</v>
      </c>
    </row>
    <row r="356" spans="1:19" ht="15.6" customHeight="1" x14ac:dyDescent="0.2">
      <c r="B356" s="48" t="s">
        <v>1512</v>
      </c>
      <c r="I356" s="213">
        <f>I349</f>
        <v>20519205</v>
      </c>
      <c r="J356" s="58"/>
      <c r="K356" s="213">
        <v>18739000</v>
      </c>
      <c r="M356" s="1133"/>
      <c r="N356" s="1147"/>
      <c r="R356" s="1110"/>
    </row>
    <row r="357" spans="1:19" ht="15.6" hidden="1" customHeight="1" x14ac:dyDescent="0.2">
      <c r="B357" s="48" t="s">
        <v>198</v>
      </c>
      <c r="I357" s="214">
        <f>K378</f>
        <v>0</v>
      </c>
      <c r="J357" s="58"/>
      <c r="K357" s="214">
        <v>0</v>
      </c>
      <c r="M357" s="1133"/>
      <c r="N357" s="1147"/>
      <c r="P357" s="1110" t="s">
        <v>3582</v>
      </c>
      <c r="Q357" s="1111" t="s">
        <v>2765</v>
      </c>
      <c r="R357" s="1110" t="s">
        <v>3582</v>
      </c>
      <c r="S357" s="1111" t="s">
        <v>2765</v>
      </c>
    </row>
    <row r="358" spans="1:19" ht="15.6" hidden="1" customHeight="1" x14ac:dyDescent="0.2">
      <c r="A358" s="655"/>
      <c r="B358" s="655" t="s">
        <v>762</v>
      </c>
      <c r="C358" s="655"/>
      <c r="D358" s="656"/>
      <c r="E358" s="655"/>
      <c r="F358" s="656"/>
      <c r="G358" s="656"/>
      <c r="H358" s="656"/>
      <c r="I358" s="215">
        <f>K379</f>
        <v>0</v>
      </c>
      <c r="J358" s="58"/>
      <c r="K358" s="215">
        <v>0</v>
      </c>
      <c r="L358" s="655"/>
      <c r="M358" s="1133"/>
      <c r="N358" s="1147"/>
      <c r="P358" s="1110" t="s">
        <v>3583</v>
      </c>
      <c r="Q358" s="1111" t="s">
        <v>2765</v>
      </c>
      <c r="R358" s="1110" t="s">
        <v>3583</v>
      </c>
      <c r="S358" s="1111" t="s">
        <v>2765</v>
      </c>
    </row>
    <row r="359" spans="1:19" ht="15.6" customHeight="1" x14ac:dyDescent="0.2">
      <c r="I359" s="203"/>
      <c r="J359" s="58"/>
      <c r="K359" s="203"/>
      <c r="M359" s="1133"/>
      <c r="N359" s="1147"/>
      <c r="R359" s="1110"/>
    </row>
    <row r="360" spans="1:19" ht="15.6" hidden="1" customHeight="1" x14ac:dyDescent="0.2">
      <c r="B360" s="48" t="s">
        <v>719</v>
      </c>
      <c r="I360" s="58">
        <v>0</v>
      </c>
      <c r="J360" s="58"/>
      <c r="K360" s="58">
        <v>0</v>
      </c>
      <c r="M360" s="1133"/>
      <c r="N360" s="1147"/>
      <c r="P360" s="1110" t="s">
        <v>3584</v>
      </c>
      <c r="Q360" s="1111" t="s">
        <v>2763</v>
      </c>
      <c r="R360" s="1110" t="s">
        <v>3590</v>
      </c>
      <c r="S360" s="1111" t="s">
        <v>2765</v>
      </c>
    </row>
    <row r="361" spans="1:19" ht="15.6" customHeight="1" x14ac:dyDescent="0.2">
      <c r="B361" s="48" t="s">
        <v>1513</v>
      </c>
      <c r="I361" s="58">
        <v>0</v>
      </c>
      <c r="J361" s="58"/>
      <c r="K361" s="58">
        <v>1780205</v>
      </c>
      <c r="M361" s="1133"/>
      <c r="N361" s="1147"/>
      <c r="R361" s="1110"/>
    </row>
    <row r="362" spans="1:19" ht="15.6" hidden="1" customHeight="1" x14ac:dyDescent="0.2">
      <c r="B362" s="48" t="s">
        <v>720</v>
      </c>
      <c r="I362" s="58">
        <v>0</v>
      </c>
      <c r="J362" s="58"/>
      <c r="K362" s="58">
        <v>0</v>
      </c>
      <c r="M362" s="1133"/>
      <c r="N362" s="1147"/>
      <c r="P362" s="1110" t="s">
        <v>3585</v>
      </c>
      <c r="Q362" s="1111" t="s">
        <v>2763</v>
      </c>
      <c r="R362" s="1110" t="s">
        <v>3591</v>
      </c>
      <c r="S362" s="1111" t="s">
        <v>2765</v>
      </c>
    </row>
    <row r="363" spans="1:19" ht="15.6" hidden="1" customHeight="1" x14ac:dyDescent="0.2">
      <c r="A363" s="655"/>
      <c r="B363" s="655" t="s">
        <v>936</v>
      </c>
      <c r="C363" s="655"/>
      <c r="D363" s="656"/>
      <c r="E363" s="655"/>
      <c r="F363" s="656"/>
      <c r="G363" s="656"/>
      <c r="H363" s="656"/>
      <c r="I363" s="58">
        <v>0</v>
      </c>
      <c r="J363" s="58"/>
      <c r="K363" s="58">
        <v>0</v>
      </c>
      <c r="L363" s="655"/>
      <c r="M363" s="1133"/>
      <c r="N363" s="1147"/>
      <c r="P363" s="1110" t="s">
        <v>3586</v>
      </c>
      <c r="Q363" s="1111" t="s">
        <v>2763</v>
      </c>
      <c r="R363" s="1110" t="s">
        <v>3592</v>
      </c>
      <c r="S363" s="1111" t="s">
        <v>2765</v>
      </c>
    </row>
    <row r="364" spans="1:19" ht="15.6" hidden="1" customHeight="1" x14ac:dyDescent="0.2">
      <c r="B364" s="48" t="s">
        <v>721</v>
      </c>
      <c r="I364" s="212">
        <f>SUM(I365:I367)</f>
        <v>0</v>
      </c>
      <c r="J364" s="58"/>
      <c r="K364" s="212">
        <f>SUM(K365:K367)</f>
        <v>0</v>
      </c>
      <c r="M364" s="1133"/>
      <c r="N364" s="1147"/>
      <c r="R364" s="1110"/>
    </row>
    <row r="365" spans="1:19" ht="15.6" hidden="1" customHeight="1" x14ac:dyDescent="0.2">
      <c r="B365" s="48" t="s">
        <v>722</v>
      </c>
      <c r="I365" s="213">
        <v>0</v>
      </c>
      <c r="J365" s="58"/>
      <c r="K365" s="213">
        <v>0</v>
      </c>
      <c r="M365" s="1133"/>
      <c r="N365" s="1147"/>
      <c r="P365" s="1110" t="s">
        <v>3589</v>
      </c>
      <c r="Q365" s="1111" t="s">
        <v>2763</v>
      </c>
      <c r="R365" s="1110" t="s">
        <v>3593</v>
      </c>
      <c r="S365" s="1111" t="s">
        <v>2765</v>
      </c>
    </row>
    <row r="366" spans="1:19" ht="15.6" hidden="1" customHeight="1" x14ac:dyDescent="0.2">
      <c r="B366" s="48" t="s">
        <v>724</v>
      </c>
      <c r="I366" s="214">
        <v>0</v>
      </c>
      <c r="J366" s="58"/>
      <c r="K366" s="214">
        <v>0</v>
      </c>
      <c r="M366" s="1133"/>
      <c r="N366" s="1147"/>
      <c r="P366" s="1110" t="s">
        <v>3587</v>
      </c>
      <c r="Q366" s="1111" t="s">
        <v>2763</v>
      </c>
      <c r="R366" s="1110" t="s">
        <v>3594</v>
      </c>
      <c r="S366" s="1111" t="s">
        <v>2765</v>
      </c>
    </row>
    <row r="367" spans="1:19" ht="15.6" hidden="1" customHeight="1" x14ac:dyDescent="0.2">
      <c r="A367" s="655"/>
      <c r="B367" s="655" t="s">
        <v>725</v>
      </c>
      <c r="C367" s="655"/>
      <c r="D367" s="656"/>
      <c r="E367" s="655"/>
      <c r="F367" s="656"/>
      <c r="G367" s="656"/>
      <c r="H367" s="656"/>
      <c r="I367" s="215">
        <v>0</v>
      </c>
      <c r="J367" s="58"/>
      <c r="K367" s="215">
        <v>0</v>
      </c>
      <c r="L367" s="655"/>
      <c r="M367" s="1133"/>
      <c r="N367" s="1147"/>
      <c r="P367" s="1110" t="s">
        <v>3588</v>
      </c>
      <c r="Q367" s="1111" t="s">
        <v>2763</v>
      </c>
      <c r="R367" s="1110" t="s">
        <v>3595</v>
      </c>
      <c r="S367" s="1111" t="s">
        <v>2765</v>
      </c>
    </row>
    <row r="368" spans="1:19" ht="15.6" hidden="1" customHeight="1" x14ac:dyDescent="0.2">
      <c r="I368" s="203"/>
      <c r="J368" s="58"/>
      <c r="K368" s="203"/>
      <c r="M368" s="1133"/>
      <c r="N368" s="1147"/>
    </row>
    <row r="369" spans="1:19" ht="15.6" hidden="1" customHeight="1" x14ac:dyDescent="0.2">
      <c r="A369" s="655"/>
      <c r="B369" s="655" t="s">
        <v>933</v>
      </c>
      <c r="C369" s="655"/>
      <c r="D369" s="656"/>
      <c r="E369" s="655"/>
      <c r="F369" s="656"/>
      <c r="G369" s="656"/>
      <c r="H369" s="656"/>
      <c r="I369" s="58">
        <v>0</v>
      </c>
      <c r="J369" s="58"/>
      <c r="K369" s="58">
        <v>0</v>
      </c>
      <c r="L369" s="655"/>
      <c r="M369" s="1133"/>
      <c r="N369" s="1147"/>
      <c r="O369" s="1146"/>
      <c r="P369" s="1110" t="s">
        <v>3596</v>
      </c>
      <c r="Q369" s="1111" t="s">
        <v>2763</v>
      </c>
      <c r="R369" s="1110" t="s">
        <v>3597</v>
      </c>
      <c r="S369" s="1111" t="s">
        <v>2765</v>
      </c>
    </row>
    <row r="370" spans="1:19" ht="15.6" hidden="1" customHeight="1" x14ac:dyDescent="0.2">
      <c r="B370" s="48" t="s">
        <v>934</v>
      </c>
      <c r="I370" s="212">
        <f>SUM(I371:I373)</f>
        <v>0</v>
      </c>
      <c r="J370" s="58"/>
      <c r="K370" s="212">
        <f>SUM(K371:K373)</f>
        <v>0</v>
      </c>
      <c r="M370" s="1133"/>
      <c r="N370" s="1147"/>
      <c r="O370" s="1146"/>
    </row>
    <row r="371" spans="1:19" ht="15.6" hidden="1" customHeight="1" x14ac:dyDescent="0.2">
      <c r="B371" s="48" t="s">
        <v>722</v>
      </c>
      <c r="I371" s="213">
        <v>0</v>
      </c>
      <c r="J371" s="58"/>
      <c r="K371" s="213">
        <v>0</v>
      </c>
      <c r="M371" s="1133"/>
      <c r="N371" s="1147"/>
      <c r="O371" s="1146"/>
      <c r="P371" s="1110" t="s">
        <v>3598</v>
      </c>
      <c r="Q371" s="1111" t="s">
        <v>2763</v>
      </c>
      <c r="R371" s="1110" t="s">
        <v>3598</v>
      </c>
      <c r="S371" s="1111" t="s">
        <v>2765</v>
      </c>
    </row>
    <row r="372" spans="1:19" ht="15.6" hidden="1" customHeight="1" x14ac:dyDescent="0.2">
      <c r="B372" s="48" t="s">
        <v>724</v>
      </c>
      <c r="I372" s="214">
        <v>0</v>
      </c>
      <c r="J372" s="58"/>
      <c r="K372" s="214">
        <v>0</v>
      </c>
      <c r="M372" s="1133"/>
      <c r="N372" s="1147"/>
      <c r="O372" s="1146"/>
      <c r="P372" s="1110" t="s">
        <v>3600</v>
      </c>
      <c r="Q372" s="1111" t="s">
        <v>2763</v>
      </c>
      <c r="R372" s="1110" t="s">
        <v>3600</v>
      </c>
      <c r="S372" s="1111" t="s">
        <v>2765</v>
      </c>
    </row>
    <row r="373" spans="1:19" ht="15.6" hidden="1" customHeight="1" x14ac:dyDescent="0.2">
      <c r="A373" s="655"/>
      <c r="B373" s="655" t="s">
        <v>725</v>
      </c>
      <c r="C373" s="655"/>
      <c r="D373" s="656"/>
      <c r="E373" s="655"/>
      <c r="F373" s="656"/>
      <c r="G373" s="656"/>
      <c r="H373" s="656"/>
      <c r="I373" s="215">
        <v>0</v>
      </c>
      <c r="J373" s="58"/>
      <c r="K373" s="215">
        <v>0</v>
      </c>
      <c r="L373" s="655"/>
      <c r="M373" s="1133"/>
      <c r="N373" s="1147"/>
      <c r="O373" s="1146"/>
      <c r="P373" s="1110" t="s">
        <v>3599</v>
      </c>
      <c r="Q373" s="1111" t="s">
        <v>2763</v>
      </c>
      <c r="R373" s="1110" t="s">
        <v>3599</v>
      </c>
      <c r="S373" s="1111" t="s">
        <v>2765</v>
      </c>
    </row>
    <row r="374" spans="1:19" ht="15.6" customHeight="1" x14ac:dyDescent="0.2">
      <c r="I374" s="203"/>
      <c r="J374" s="58"/>
      <c r="K374" s="203"/>
      <c r="M374" s="1133"/>
      <c r="N374" s="1147"/>
      <c r="O374" s="1146"/>
    </row>
    <row r="375" spans="1:19" ht="15.6" customHeight="1" x14ac:dyDescent="0.25">
      <c r="B375" s="50" t="s">
        <v>158</v>
      </c>
      <c r="C375" s="50"/>
      <c r="I375" s="239">
        <f>SUM(I376:I379)</f>
        <v>20519205</v>
      </c>
      <c r="J375" s="58"/>
      <c r="K375" s="239">
        <f>SUM(K376:K379)</f>
        <v>20519205</v>
      </c>
      <c r="M375" s="1133"/>
      <c r="N375" s="1147"/>
      <c r="O375" s="1592"/>
      <c r="P375" s="1110" t="s">
        <v>3054</v>
      </c>
      <c r="Q375" s="1111" t="s">
        <v>2775</v>
      </c>
    </row>
    <row r="376" spans="1:19" ht="15.6" hidden="1" customHeight="1" x14ac:dyDescent="0.2">
      <c r="B376" s="48" t="s">
        <v>157</v>
      </c>
      <c r="I376" s="213">
        <f>SUM(I355,I365,I371,I360)</f>
        <v>0</v>
      </c>
      <c r="J376" s="58"/>
      <c r="K376" s="213">
        <f>SUM(K355,K365,K371,K360)</f>
        <v>0</v>
      </c>
      <c r="M376" s="1133"/>
      <c r="N376" s="1147"/>
    </row>
    <row r="377" spans="1:19" ht="15.6" customHeight="1" x14ac:dyDescent="0.2">
      <c r="B377" s="48" t="s">
        <v>1512</v>
      </c>
      <c r="I377" s="214">
        <f>I356+I361</f>
        <v>20519205</v>
      </c>
      <c r="J377" s="58"/>
      <c r="K377" s="214">
        <f>K356+K361</f>
        <v>20519205</v>
      </c>
      <c r="M377" s="1133"/>
      <c r="N377" s="1147"/>
    </row>
    <row r="378" spans="1:19" ht="15.6" hidden="1" customHeight="1" x14ac:dyDescent="0.2">
      <c r="B378" s="48" t="s">
        <v>198</v>
      </c>
      <c r="I378" s="214">
        <f>SUM(I357,I362,I366,I372)</f>
        <v>0</v>
      </c>
      <c r="J378" s="58"/>
      <c r="K378" s="214">
        <f>SUM(K357,K362,K366,K372)</f>
        <v>0</v>
      </c>
      <c r="M378" s="1133"/>
      <c r="N378" s="1147"/>
    </row>
    <row r="379" spans="1:19" ht="15.6" hidden="1" customHeight="1" x14ac:dyDescent="0.2">
      <c r="A379" s="655"/>
      <c r="B379" s="655" t="s">
        <v>152</v>
      </c>
      <c r="C379" s="655"/>
      <c r="D379" s="656"/>
      <c r="E379" s="655"/>
      <c r="F379" s="656"/>
      <c r="G379" s="656"/>
      <c r="H379" s="656"/>
      <c r="I379" s="1535">
        <f>SUM(I358,I363,I367,I369,I373)</f>
        <v>0</v>
      </c>
      <c r="J379" s="658"/>
      <c r="K379" s="1535">
        <f>SUM(K358,K363,K367,K369,K373)</f>
        <v>0</v>
      </c>
      <c r="L379" s="655"/>
      <c r="M379" s="1133"/>
      <c r="N379" s="1147"/>
    </row>
    <row r="380" spans="1:19" ht="15.6" customHeight="1" x14ac:dyDescent="0.2">
      <c r="I380" s="973">
        <v>0</v>
      </c>
      <c r="J380" s="218"/>
      <c r="K380" s="973">
        <v>0</v>
      </c>
      <c r="M380" s="1133"/>
      <c r="N380" s="1147"/>
    </row>
    <row r="381" spans="1:19" ht="15.6" customHeight="1" thickBot="1" x14ac:dyDescent="0.3">
      <c r="B381" s="50" t="s">
        <v>1515</v>
      </c>
      <c r="I381" s="204">
        <f>I375</f>
        <v>20519205</v>
      </c>
      <c r="J381" s="58"/>
      <c r="K381" s="204">
        <f>K375</f>
        <v>20519205</v>
      </c>
      <c r="L381" s="59"/>
      <c r="N381" s="1147"/>
    </row>
    <row r="382" spans="1:19" ht="15.6" customHeight="1" thickTop="1" x14ac:dyDescent="0.2">
      <c r="I382" s="217"/>
      <c r="J382" s="58"/>
      <c r="K382" s="217"/>
      <c r="L382" s="59"/>
      <c r="N382" s="1147"/>
    </row>
    <row r="383" spans="1:19" ht="46.5" hidden="1" customHeight="1" x14ac:dyDescent="0.2">
      <c r="A383" s="745"/>
      <c r="B383" s="2841" t="s">
        <v>3989</v>
      </c>
      <c r="C383" s="2841"/>
      <c r="D383" s="2841"/>
      <c r="E383" s="2841"/>
      <c r="F383" s="2841"/>
      <c r="G383" s="2841"/>
      <c r="H383" s="746"/>
      <c r="I383" s="953"/>
      <c r="J383" s="953"/>
      <c r="K383" s="953"/>
      <c r="L383" s="745"/>
      <c r="M383" s="1216" t="s">
        <v>2301</v>
      </c>
      <c r="N383" s="1147"/>
      <c r="O383" s="1133"/>
      <c r="P383" s="1115"/>
    </row>
    <row r="384" spans="1:19" ht="15.6" hidden="1" customHeight="1" x14ac:dyDescent="0.25">
      <c r="A384" s="745"/>
      <c r="B384" s="745"/>
      <c r="C384" s="745"/>
      <c r="D384" s="746"/>
      <c r="E384" s="745"/>
      <c r="F384" s="746"/>
      <c r="G384" s="746"/>
      <c r="H384" s="746"/>
      <c r="I384" s="953"/>
      <c r="J384" s="967"/>
      <c r="K384" s="953"/>
      <c r="L384" s="755"/>
      <c r="M384" s="1133"/>
      <c r="N384" s="1147"/>
      <c r="O384" s="1133"/>
      <c r="P384" s="1115"/>
    </row>
    <row r="385" spans="2:23" ht="62.1" customHeight="1" x14ac:dyDescent="0.2">
      <c r="B385" s="2839" t="s">
        <v>3990</v>
      </c>
      <c r="C385" s="2839"/>
      <c r="D385" s="2839"/>
      <c r="E385" s="2839"/>
      <c r="F385" s="2839"/>
      <c r="G385" s="2839"/>
      <c r="I385" s="253"/>
      <c r="J385" s="253"/>
      <c r="K385" s="253"/>
      <c r="M385" s="1216"/>
      <c r="N385" s="1147"/>
      <c r="O385" s="1133"/>
      <c r="P385" s="1115"/>
    </row>
    <row r="386" spans="2:23" ht="15.6" customHeight="1" x14ac:dyDescent="0.25">
      <c r="B386" s="2839" t="s">
        <v>3991</v>
      </c>
      <c r="C386" s="2839"/>
      <c r="D386" s="2839"/>
      <c r="E386" s="2839"/>
      <c r="F386" s="2839"/>
      <c r="G386" s="2839"/>
      <c r="H386" s="2877"/>
      <c r="I386" s="2877"/>
      <c r="J386" s="2877"/>
      <c r="K386" s="2877"/>
      <c r="L386" s="210"/>
      <c r="N386" s="1147"/>
      <c r="O386" s="1134"/>
    </row>
    <row r="387" spans="2:23" ht="15.6" customHeight="1" x14ac:dyDescent="0.25">
      <c r="B387" s="2839" t="s">
        <v>3992</v>
      </c>
      <c r="C387" s="2839"/>
      <c r="D387" s="2839"/>
      <c r="E387" s="2839"/>
      <c r="F387" s="2839"/>
      <c r="G387" s="2839"/>
      <c r="H387" s="2877"/>
      <c r="I387" s="2877"/>
      <c r="J387" s="2877"/>
      <c r="K387" s="2877"/>
      <c r="L387" s="210"/>
      <c r="N387" s="1147"/>
      <c r="O387" s="1134"/>
    </row>
    <row r="388" spans="2:23" ht="15.75" hidden="1" customHeight="1" x14ac:dyDescent="0.2">
      <c r="B388" s="2839" t="s">
        <v>7440</v>
      </c>
      <c r="C388" s="2839"/>
      <c r="D388" s="2839"/>
      <c r="E388" s="2839"/>
      <c r="F388" s="2839"/>
      <c r="G388" s="2839"/>
      <c r="H388" s="2839"/>
      <c r="I388" s="2839"/>
      <c r="J388" s="2839"/>
      <c r="K388" s="2839"/>
      <c r="M388" s="1216"/>
      <c r="N388" s="1147"/>
      <c r="O388" s="1133"/>
      <c r="P388" s="1115"/>
    </row>
    <row r="389" spans="2:23" ht="15.6" customHeight="1" x14ac:dyDescent="0.25">
      <c r="I389" s="253"/>
      <c r="J389" s="285"/>
      <c r="K389" s="253"/>
      <c r="L389" s="210"/>
      <c r="M389" s="1133"/>
      <c r="N389" s="1147"/>
      <c r="O389" s="1133"/>
      <c r="P389" s="1115"/>
    </row>
    <row r="390" spans="2:23" ht="29.25" customHeight="1" x14ac:dyDescent="0.2">
      <c r="B390" s="2839" t="s">
        <v>7547</v>
      </c>
      <c r="C390" s="2839"/>
      <c r="D390" s="2839"/>
      <c r="E390" s="2839"/>
      <c r="F390" s="2839"/>
      <c r="G390" s="2839"/>
      <c r="H390" s="56"/>
      <c r="I390" s="56"/>
      <c r="J390" s="56"/>
      <c r="K390" s="56"/>
      <c r="L390" s="59"/>
      <c r="M390" s="1133"/>
      <c r="N390" s="1147"/>
      <c r="O390" s="1133"/>
      <c r="P390" s="1115"/>
    </row>
    <row r="391" spans="2:23" ht="15.6" customHeight="1" x14ac:dyDescent="0.2">
      <c r="I391" s="58"/>
      <c r="J391" s="58"/>
      <c r="K391" s="58"/>
      <c r="L391" s="59"/>
      <c r="N391" s="1471"/>
      <c r="O391" s="1134"/>
    </row>
    <row r="392" spans="2:23" ht="46.5" hidden="1" customHeight="1" x14ac:dyDescent="0.2">
      <c r="B392" s="2865" t="s">
        <v>6428</v>
      </c>
      <c r="C392" s="2865"/>
      <c r="D392" s="2865"/>
      <c r="E392" s="2865"/>
      <c r="F392" s="2865"/>
      <c r="G392" s="2865"/>
      <c r="H392" s="56"/>
      <c r="I392" s="56"/>
      <c r="J392" s="56"/>
      <c r="K392" s="56"/>
      <c r="L392" s="59"/>
      <c r="M392" s="1133"/>
      <c r="N392" s="1147"/>
      <c r="O392" s="1133"/>
      <c r="P392" s="1115"/>
    </row>
    <row r="393" spans="2:23" ht="15.6" hidden="1" customHeight="1" x14ac:dyDescent="0.2">
      <c r="I393" s="58"/>
      <c r="J393" s="58"/>
      <c r="K393" s="58"/>
      <c r="L393" s="59"/>
      <c r="N393" s="1471"/>
      <c r="O393" s="1134"/>
    </row>
    <row r="394" spans="2:23" s="50" customFormat="1" ht="15.6" customHeight="1" x14ac:dyDescent="0.25">
      <c r="B394" s="2839" t="s">
        <v>943</v>
      </c>
      <c r="C394" s="2839"/>
      <c r="D394" s="2839"/>
      <c r="E394" s="2839"/>
      <c r="F394" s="2839"/>
      <c r="G394" s="2839"/>
      <c r="H394" s="219"/>
      <c r="I394" s="200"/>
      <c r="J394" s="200"/>
      <c r="K394" s="200"/>
      <c r="L394" s="210"/>
      <c r="M394" s="1213" t="s">
        <v>1961</v>
      </c>
      <c r="N394" s="235"/>
      <c r="O394" s="282"/>
      <c r="P394" s="1113"/>
      <c r="Q394" s="1114"/>
      <c r="R394" s="1114"/>
      <c r="S394" s="1114"/>
      <c r="T394" s="1114"/>
      <c r="U394" s="316"/>
      <c r="V394" s="234"/>
      <c r="W394" s="1114"/>
    </row>
    <row r="395" spans="2:23" ht="15.6" customHeight="1" x14ac:dyDescent="0.25">
      <c r="B395" s="48" t="s">
        <v>945</v>
      </c>
      <c r="I395" s="58">
        <f>-'Trial Balance - FPer'!G977</f>
        <v>663135.83000000007</v>
      </c>
      <c r="J395" s="58"/>
      <c r="K395" s="58">
        <f>-'Trial Balance - FPer'!C977</f>
        <v>656777.32000000007</v>
      </c>
      <c r="L395" s="210"/>
    </row>
    <row r="396" spans="2:23" ht="15.6" customHeight="1" x14ac:dyDescent="0.25">
      <c r="B396" s="48" t="s">
        <v>695</v>
      </c>
      <c r="I396" s="58">
        <v>0</v>
      </c>
      <c r="J396" s="58"/>
      <c r="K396" s="58">
        <v>0</v>
      </c>
      <c r="L396" s="210"/>
    </row>
    <row r="397" spans="2:23" ht="15.6" hidden="1" customHeight="1" x14ac:dyDescent="0.25">
      <c r="B397" s="48" t="s">
        <v>696</v>
      </c>
      <c r="I397" s="2043">
        <v>0</v>
      </c>
      <c r="J397" s="58"/>
      <c r="K397" s="2043">
        <v>0</v>
      </c>
      <c r="L397" s="210"/>
    </row>
    <row r="398" spans="2:23" ht="15.6" customHeight="1" x14ac:dyDescent="0.25">
      <c r="I398" s="200"/>
      <c r="J398" s="200"/>
      <c r="K398" s="200"/>
      <c r="L398" s="210"/>
    </row>
    <row r="399" spans="2:23" ht="30.95" customHeight="1" x14ac:dyDescent="0.2">
      <c r="B399" s="2839" t="s">
        <v>946</v>
      </c>
      <c r="C399" s="2839"/>
      <c r="D399" s="2839"/>
      <c r="E399" s="2839"/>
      <c r="F399" s="2839"/>
      <c r="G399" s="2839"/>
      <c r="I399" s="206"/>
      <c r="J399" s="206"/>
      <c r="K399" s="206"/>
      <c r="L399" s="207"/>
      <c r="M399" s="1217" t="s">
        <v>1962</v>
      </c>
      <c r="N399" s="1147"/>
      <c r="O399" s="1146"/>
      <c r="P399" s="1115"/>
    </row>
    <row r="400" spans="2:23" ht="15.6" customHeight="1" x14ac:dyDescent="0.2">
      <c r="I400" s="206"/>
      <c r="J400" s="206"/>
      <c r="K400" s="206"/>
      <c r="L400" s="207"/>
      <c r="M400" s="1133"/>
      <c r="N400" s="1147"/>
      <c r="O400" s="1146"/>
      <c r="P400" s="1115"/>
    </row>
    <row r="401" spans="1:23" ht="30.95" customHeight="1" x14ac:dyDescent="0.2">
      <c r="B401" s="2839" t="s">
        <v>697</v>
      </c>
      <c r="C401" s="2839"/>
      <c r="D401" s="2839"/>
      <c r="E401" s="2839"/>
      <c r="F401" s="2839"/>
      <c r="G401" s="2839"/>
      <c r="I401" s="206"/>
      <c r="J401" s="206"/>
      <c r="K401" s="206"/>
      <c r="L401" s="207"/>
      <c r="M401" s="1217" t="s">
        <v>1963</v>
      </c>
      <c r="N401" s="1147"/>
      <c r="O401" s="1146"/>
      <c r="P401" s="1115"/>
    </row>
    <row r="402" spans="1:23" ht="15.6" customHeight="1" x14ac:dyDescent="0.2">
      <c r="I402" s="206"/>
      <c r="J402" s="206"/>
      <c r="K402" s="206"/>
      <c r="M402" s="1133"/>
      <c r="N402" s="1133"/>
      <c r="O402" s="1146"/>
      <c r="P402" s="1115"/>
    </row>
    <row r="403" spans="1:23" ht="15.6" hidden="1" customHeight="1" x14ac:dyDescent="0.25">
      <c r="A403" s="767"/>
      <c r="B403" s="48" t="s">
        <v>1514</v>
      </c>
      <c r="H403" s="769"/>
      <c r="I403" s="770"/>
      <c r="J403" s="770"/>
      <c r="K403" s="770"/>
      <c r="L403" s="771"/>
    </row>
    <row r="404" spans="1:23" ht="15.6" hidden="1" customHeight="1" x14ac:dyDescent="0.25">
      <c r="A404" s="767"/>
      <c r="B404" s="48" t="s">
        <v>698</v>
      </c>
      <c r="H404" s="769"/>
      <c r="I404" s="779">
        <v>0</v>
      </c>
      <c r="J404" s="779"/>
      <c r="K404" s="779">
        <v>0</v>
      </c>
      <c r="L404" s="771"/>
    </row>
    <row r="405" spans="1:23" ht="15.6" hidden="1" customHeight="1" x14ac:dyDescent="0.25">
      <c r="A405" s="767"/>
      <c r="B405" s="48" t="s">
        <v>699</v>
      </c>
      <c r="H405" s="769"/>
      <c r="I405" s="779">
        <v>0</v>
      </c>
      <c r="J405" s="779"/>
      <c r="K405" s="779">
        <v>0</v>
      </c>
      <c r="L405" s="771"/>
    </row>
    <row r="406" spans="1:23" ht="15.6" hidden="1" customHeight="1" x14ac:dyDescent="0.25">
      <c r="A406" s="767"/>
      <c r="B406" s="48" t="s">
        <v>700</v>
      </c>
      <c r="H406" s="769"/>
      <c r="I406" s="779">
        <v>0</v>
      </c>
      <c r="J406" s="779"/>
      <c r="K406" s="779">
        <v>0</v>
      </c>
      <c r="L406" s="771"/>
    </row>
    <row r="407" spans="1:23" ht="15.6" customHeight="1" x14ac:dyDescent="0.2">
      <c r="B407" s="846" t="s">
        <v>947</v>
      </c>
      <c r="C407" s="846"/>
      <c r="D407" s="846"/>
      <c r="E407" s="846"/>
      <c r="F407" s="846"/>
      <c r="G407" s="846"/>
      <c r="I407" s="206"/>
      <c r="J407" s="206"/>
      <c r="K407" s="206"/>
      <c r="L407" s="207"/>
      <c r="M407" s="1133"/>
      <c r="N407" s="1147"/>
      <c r="O407" s="1146"/>
      <c r="P407" s="1115"/>
    </row>
    <row r="408" spans="1:23" ht="8.25" customHeight="1" x14ac:dyDescent="0.25">
      <c r="I408" s="200"/>
      <c r="J408" s="200"/>
      <c r="K408" s="200"/>
      <c r="L408" s="210"/>
    </row>
    <row r="409" spans="1:23" ht="15.6" customHeight="1" x14ac:dyDescent="0.25">
      <c r="B409" s="2839" t="s">
        <v>944</v>
      </c>
      <c r="C409" s="2839"/>
      <c r="D409" s="2839"/>
      <c r="E409" s="2839"/>
      <c r="F409" s="2839"/>
      <c r="G409" s="2839"/>
      <c r="I409" s="200"/>
      <c r="J409" s="200"/>
      <c r="K409" s="200"/>
      <c r="L409" s="210"/>
      <c r="N409" s="1147"/>
    </row>
    <row r="410" spans="1:23" ht="8.25" customHeight="1" x14ac:dyDescent="0.25">
      <c r="I410" s="200"/>
      <c r="J410" s="200"/>
      <c r="K410" s="200"/>
      <c r="L410" s="210"/>
      <c r="N410" s="1147"/>
    </row>
    <row r="411" spans="1:23" ht="15.6" customHeight="1" x14ac:dyDescent="0.25">
      <c r="B411" s="229" t="s">
        <v>7550</v>
      </c>
      <c r="I411" s="253"/>
      <c r="J411" s="285"/>
      <c r="K411" s="253"/>
      <c r="L411" s="210"/>
      <c r="M411" s="1133"/>
      <c r="N411" s="1147"/>
      <c r="O411" s="1146"/>
      <c r="P411" s="1115"/>
      <c r="W411" s="1114" t="s">
        <v>3857</v>
      </c>
    </row>
    <row r="412" spans="1:23" ht="15.6" hidden="1" customHeight="1" x14ac:dyDescent="0.25">
      <c r="I412" s="253"/>
      <c r="J412" s="285"/>
      <c r="K412" s="253"/>
      <c r="L412" s="210"/>
      <c r="M412" s="1133"/>
      <c r="N412" s="1147"/>
      <c r="O412" s="1146"/>
      <c r="P412" s="1115"/>
    </row>
    <row r="413" spans="1:23" ht="30.95" hidden="1" customHeight="1" x14ac:dyDescent="0.2">
      <c r="B413" s="2839" t="s">
        <v>1901</v>
      </c>
      <c r="C413" s="2839"/>
      <c r="D413" s="2839"/>
      <c r="E413" s="2839"/>
      <c r="F413" s="2839"/>
      <c r="G413" s="2839"/>
      <c r="I413" s="253"/>
      <c r="J413" s="253"/>
      <c r="K413" s="253"/>
      <c r="M413" s="1133"/>
      <c r="N413" s="1147"/>
      <c r="O413" s="1133"/>
      <c r="P413" s="1115"/>
    </row>
    <row r="414" spans="1:23" ht="15.6" hidden="1" customHeight="1" x14ac:dyDescent="0.25">
      <c r="I414" s="253"/>
      <c r="J414" s="285"/>
      <c r="K414" s="253"/>
      <c r="L414" s="210"/>
      <c r="M414" s="1133"/>
      <c r="N414" s="1147"/>
      <c r="O414" s="1133"/>
      <c r="P414" s="1115"/>
    </row>
    <row r="415" spans="1:23" ht="46.5" hidden="1" customHeight="1" x14ac:dyDescent="0.2">
      <c r="B415" s="2839" t="s">
        <v>1516</v>
      </c>
      <c r="C415" s="2839"/>
      <c r="D415" s="2839"/>
      <c r="E415" s="2839"/>
      <c r="F415" s="2839"/>
      <c r="G415" s="2839"/>
      <c r="I415" s="253"/>
      <c r="J415" s="253"/>
      <c r="K415" s="253"/>
      <c r="M415" s="1213" t="s">
        <v>1964</v>
      </c>
      <c r="N415" s="1147"/>
      <c r="O415" s="1146"/>
      <c r="P415" s="1115"/>
    </row>
    <row r="416" spans="1:23" ht="10.5" customHeight="1" x14ac:dyDescent="0.25">
      <c r="I416" s="253"/>
      <c r="J416" s="285"/>
      <c r="K416" s="253"/>
      <c r="L416" s="210"/>
      <c r="M416" s="1133"/>
      <c r="N416" s="1147"/>
      <c r="O416" s="1146"/>
      <c r="P416" s="1115"/>
    </row>
    <row r="417" spans="1:23" ht="15.6" customHeight="1" x14ac:dyDescent="0.2">
      <c r="B417" s="2839" t="s">
        <v>1585</v>
      </c>
      <c r="C417" s="2839"/>
      <c r="D417" s="2839"/>
      <c r="E417" s="2839"/>
      <c r="F417" s="2839"/>
      <c r="G417" s="2839"/>
      <c r="I417" s="206"/>
      <c r="J417" s="206"/>
      <c r="K417" s="206"/>
      <c r="L417" s="207"/>
    </row>
    <row r="418" spans="1:23" ht="15.6" customHeight="1" x14ac:dyDescent="0.2">
      <c r="B418" s="48" t="s">
        <v>1586</v>
      </c>
      <c r="I418" s="2154">
        <v>9.5000000000000001E-2</v>
      </c>
      <c r="J418" s="206"/>
      <c r="K418" s="2154">
        <v>9.5000000000000001E-2</v>
      </c>
      <c r="L418" s="207"/>
      <c r="M418" s="1133"/>
      <c r="N418" s="1147"/>
      <c r="O418" s="1146"/>
      <c r="P418" s="1115"/>
    </row>
    <row r="419" spans="1:23" ht="15.6" hidden="1" customHeight="1" x14ac:dyDescent="0.2">
      <c r="B419" s="2046" t="s">
        <v>358</v>
      </c>
      <c r="C419" s="2046"/>
      <c r="D419" s="2077"/>
      <c r="E419" s="2046"/>
      <c r="F419" s="2077"/>
      <c r="G419" s="2077"/>
      <c r="I419" s="206"/>
      <c r="J419" s="206"/>
      <c r="K419" s="206"/>
      <c r="L419" s="207"/>
      <c r="M419" s="1133"/>
      <c r="N419" s="1147"/>
      <c r="O419" s="1146"/>
      <c r="P419" s="1115"/>
    </row>
    <row r="420" spans="1:23" ht="10.5" customHeight="1" x14ac:dyDescent="0.2">
      <c r="I420" s="206"/>
      <c r="J420" s="206"/>
      <c r="K420" s="206"/>
      <c r="L420" s="207"/>
      <c r="M420" s="1133"/>
      <c r="N420" s="1147"/>
      <c r="O420" s="1146"/>
      <c r="P420" s="1115"/>
    </row>
    <row r="421" spans="1:23" ht="15.6" customHeight="1" x14ac:dyDescent="0.25">
      <c r="B421" s="229" t="s">
        <v>7551</v>
      </c>
      <c r="I421" s="253"/>
      <c r="J421" s="285"/>
      <c r="K421" s="253"/>
      <c r="L421" s="210"/>
      <c r="M421" s="1133"/>
      <c r="N421" s="1147"/>
      <c r="O421" s="1146"/>
      <c r="P421" s="1115"/>
      <c r="W421" s="1114" t="s">
        <v>3857</v>
      </c>
    </row>
    <row r="422" spans="1:23" ht="15.6" customHeight="1" x14ac:dyDescent="0.25">
      <c r="I422" s="253"/>
      <c r="J422" s="285"/>
      <c r="K422" s="253"/>
      <c r="L422" s="210"/>
      <c r="N422" s="1147"/>
      <c r="O422" s="1146"/>
    </row>
    <row r="423" spans="1:23" ht="32.1" customHeight="1" x14ac:dyDescent="0.2">
      <c r="B423" s="2839" t="s">
        <v>2620</v>
      </c>
      <c r="C423" s="2839"/>
      <c r="D423" s="2839"/>
      <c r="E423" s="2839"/>
      <c r="F423" s="2839"/>
      <c r="G423" s="2839"/>
      <c r="I423" s="253"/>
      <c r="J423" s="253"/>
      <c r="K423" s="253"/>
      <c r="M423" s="1133"/>
      <c r="N423" s="1147"/>
      <c r="O423" s="1133"/>
      <c r="P423" s="1115"/>
    </row>
    <row r="424" spans="1:23" ht="15.6" hidden="1" customHeight="1" x14ac:dyDescent="0.25">
      <c r="I424" s="253"/>
      <c r="J424" s="285"/>
      <c r="K424" s="253"/>
      <c r="L424" s="210"/>
      <c r="M424" s="1133"/>
      <c r="N424" s="1147"/>
      <c r="O424" s="1146"/>
      <c r="P424" s="1115"/>
    </row>
    <row r="425" spans="1:23" ht="46.5" hidden="1" customHeight="1" x14ac:dyDescent="0.2">
      <c r="A425" s="625"/>
      <c r="B425" s="2854" t="s">
        <v>1613</v>
      </c>
      <c r="C425" s="2854"/>
      <c r="D425" s="2854"/>
      <c r="E425" s="2854"/>
      <c r="F425" s="2854"/>
      <c r="G425" s="2854"/>
      <c r="H425" s="626"/>
      <c r="I425" s="629"/>
      <c r="J425" s="629"/>
      <c r="K425" s="629"/>
      <c r="L425" s="625"/>
      <c r="N425" s="1147"/>
      <c r="O425" s="1146"/>
    </row>
    <row r="426" spans="1:23" ht="62.1" hidden="1" customHeight="1" x14ac:dyDescent="0.2">
      <c r="A426" s="767"/>
      <c r="B426" s="2855" t="s">
        <v>1612</v>
      </c>
      <c r="C426" s="2855"/>
      <c r="D426" s="2855"/>
      <c r="E426" s="2855"/>
      <c r="F426" s="2855"/>
      <c r="G426" s="2855"/>
      <c r="H426" s="769"/>
      <c r="I426" s="773"/>
      <c r="J426" s="773"/>
      <c r="K426" s="773"/>
      <c r="L426" s="767"/>
      <c r="N426" s="1471"/>
      <c r="O426" s="1146"/>
    </row>
    <row r="427" spans="1:23" ht="15.6" hidden="1" customHeight="1" x14ac:dyDescent="0.25">
      <c r="A427" s="767"/>
      <c r="B427" s="767"/>
      <c r="C427" s="767"/>
      <c r="D427" s="769"/>
      <c r="E427" s="767"/>
      <c r="F427" s="769"/>
      <c r="G427" s="769"/>
      <c r="H427" s="769"/>
      <c r="I427" s="773"/>
      <c r="J427" s="1537"/>
      <c r="K427" s="773"/>
      <c r="L427" s="771"/>
      <c r="N427" s="1147"/>
      <c r="O427" s="1146"/>
    </row>
    <row r="428" spans="1:23" ht="15.6" hidden="1" customHeight="1" x14ac:dyDescent="0.25">
      <c r="A428" s="767"/>
      <c r="B428" s="767" t="s">
        <v>385</v>
      </c>
      <c r="C428" s="767"/>
      <c r="D428" s="769"/>
      <c r="E428" s="767"/>
      <c r="F428" s="769"/>
      <c r="G428" s="769"/>
      <c r="H428" s="769"/>
      <c r="I428" s="773">
        <f>'APPENDIX B'!AB274</f>
        <v>0</v>
      </c>
      <c r="J428" s="1537"/>
      <c r="K428" s="773">
        <v>0</v>
      </c>
      <c r="L428" s="771"/>
      <c r="N428" s="1147"/>
      <c r="O428" s="1146"/>
    </row>
    <row r="429" spans="1:23" ht="15.6" hidden="1" customHeight="1" x14ac:dyDescent="0.25">
      <c r="A429" s="767"/>
      <c r="B429" s="767" t="s">
        <v>200</v>
      </c>
      <c r="C429" s="767"/>
      <c r="D429" s="769"/>
      <c r="E429" s="767"/>
      <c r="F429" s="769"/>
      <c r="G429" s="769"/>
      <c r="H429" s="769"/>
      <c r="I429" s="773">
        <f>'APPENDIX B'!AB275</f>
        <v>0</v>
      </c>
      <c r="J429" s="1537"/>
      <c r="K429" s="773">
        <v>0</v>
      </c>
      <c r="L429" s="771"/>
      <c r="N429" s="1147"/>
      <c r="O429" s="1146"/>
    </row>
    <row r="430" spans="1:23" ht="15.6" hidden="1" customHeight="1" x14ac:dyDescent="0.25">
      <c r="A430" s="767"/>
      <c r="B430" s="767"/>
      <c r="C430" s="767"/>
      <c r="D430" s="769"/>
      <c r="E430" s="767"/>
      <c r="F430" s="769"/>
      <c r="G430" s="769"/>
      <c r="H430" s="769"/>
      <c r="I430" s="773"/>
      <c r="J430" s="1537"/>
      <c r="K430" s="773"/>
      <c r="L430" s="771"/>
      <c r="N430" s="1147"/>
      <c r="O430" s="1146"/>
    </row>
    <row r="431" spans="1:23" ht="15.6" hidden="1" customHeight="1" thickBot="1" x14ac:dyDescent="0.3">
      <c r="A431" s="767"/>
      <c r="B431" s="774" t="s">
        <v>1619</v>
      </c>
      <c r="C431" s="774"/>
      <c r="D431" s="769"/>
      <c r="E431" s="767"/>
      <c r="F431" s="769"/>
      <c r="G431" s="769"/>
      <c r="H431" s="769"/>
      <c r="I431" s="1539">
        <f>SUM(I428:I430)</f>
        <v>0</v>
      </c>
      <c r="J431" s="775"/>
      <c r="K431" s="1539">
        <f>SUM(K428:K430)</f>
        <v>0</v>
      </c>
      <c r="L431" s="767"/>
      <c r="N431" s="1147"/>
      <c r="O431" s="1146"/>
    </row>
    <row r="432" spans="1:23" ht="15.6" hidden="1" customHeight="1" thickTop="1" x14ac:dyDescent="0.25">
      <c r="A432" s="767"/>
      <c r="B432" s="767"/>
      <c r="C432" s="767"/>
      <c r="D432" s="769"/>
      <c r="E432" s="767"/>
      <c r="F432" s="769"/>
      <c r="G432" s="769"/>
      <c r="H432" s="769"/>
      <c r="I432" s="1540">
        <v>0</v>
      </c>
      <c r="J432" s="1537"/>
      <c r="K432" s="1540">
        <v>0</v>
      </c>
      <c r="L432" s="771"/>
      <c r="N432" s="1147"/>
      <c r="O432" s="1146"/>
    </row>
    <row r="433" spans="1:23" ht="46.5" hidden="1" customHeight="1" x14ac:dyDescent="0.2">
      <c r="A433" s="767"/>
      <c r="B433" s="2855" t="s">
        <v>1614</v>
      </c>
      <c r="C433" s="2855"/>
      <c r="D433" s="2855"/>
      <c r="E433" s="2855"/>
      <c r="F433" s="2855"/>
      <c r="G433" s="2855"/>
      <c r="H433" s="769"/>
      <c r="I433" s="773"/>
      <c r="J433" s="773"/>
      <c r="K433" s="773"/>
      <c r="L433" s="767"/>
      <c r="N433" s="1147"/>
      <c r="O433" s="1146"/>
    </row>
    <row r="434" spans="1:23" ht="15.6" hidden="1" customHeight="1" x14ac:dyDescent="0.25">
      <c r="A434" s="767"/>
      <c r="B434" s="767"/>
      <c r="C434" s="767"/>
      <c r="D434" s="769"/>
      <c r="E434" s="767"/>
      <c r="F434" s="769"/>
      <c r="G434" s="769"/>
      <c r="H434" s="769"/>
      <c r="I434" s="773"/>
      <c r="J434" s="1537"/>
      <c r="K434" s="773"/>
      <c r="L434" s="771"/>
      <c r="N434" s="1147"/>
      <c r="O434" s="1146"/>
    </row>
    <row r="435" spans="1:23" ht="15.6" hidden="1" customHeight="1" x14ac:dyDescent="0.25">
      <c r="I435" s="200"/>
      <c r="J435" s="200"/>
      <c r="K435" s="200"/>
      <c r="L435" s="210"/>
      <c r="M435" s="1133"/>
      <c r="N435" s="1147"/>
      <c r="O435" s="1146"/>
    </row>
    <row r="436" spans="1:23" ht="15.6" hidden="1" customHeight="1" x14ac:dyDescent="0.25">
      <c r="A436" s="2080">
        <v>10</v>
      </c>
      <c r="B436" s="2081" t="s">
        <v>3994</v>
      </c>
      <c r="C436" s="50"/>
      <c r="I436" s="58"/>
      <c r="J436" s="58"/>
      <c r="K436" s="58"/>
      <c r="M436" s="1133"/>
      <c r="N436" s="1147"/>
      <c r="O436" s="1146"/>
      <c r="W436" s="1114" t="s">
        <v>3520</v>
      </c>
    </row>
    <row r="437" spans="1:23" ht="15.6" hidden="1" customHeight="1" x14ac:dyDescent="0.2">
      <c r="I437" s="58"/>
      <c r="J437" s="58"/>
      <c r="K437" s="58"/>
      <c r="M437" s="1133"/>
      <c r="N437" s="1147"/>
      <c r="O437" s="1146"/>
    </row>
    <row r="438" spans="1:23" ht="15.6" hidden="1" customHeight="1" thickBot="1" x14ac:dyDescent="0.3">
      <c r="B438" s="48" t="s">
        <v>3995</v>
      </c>
      <c r="C438" s="50"/>
      <c r="I438" s="226">
        <v>0</v>
      </c>
      <c r="J438" s="58"/>
      <c r="K438" s="226">
        <v>0</v>
      </c>
      <c r="M438" s="1244" t="s">
        <v>4001</v>
      </c>
      <c r="N438" s="1147">
        <v>0</v>
      </c>
      <c r="O438" s="1146"/>
      <c r="P438" s="1110" t="s">
        <v>4506</v>
      </c>
      <c r="Q438" s="1111" t="s">
        <v>2763</v>
      </c>
      <c r="R438" s="1110" t="s">
        <v>4507</v>
      </c>
      <c r="S438" s="1111" t="s">
        <v>2765</v>
      </c>
      <c r="T438" s="1110" t="s">
        <v>4508</v>
      </c>
      <c r="U438" s="1111" t="s">
        <v>2775</v>
      </c>
    </row>
    <row r="439" spans="1:23" ht="15.6" hidden="1" customHeight="1" thickTop="1" x14ac:dyDescent="0.2">
      <c r="I439" s="217">
        <f>I438-K477</f>
        <v>0</v>
      </c>
      <c r="J439" s="218"/>
      <c r="K439" s="217">
        <f>K438-K518</f>
        <v>0</v>
      </c>
      <c r="M439" s="1133"/>
      <c r="N439" s="1133"/>
      <c r="O439" s="1146"/>
      <c r="P439" s="1117"/>
      <c r="R439" s="1110"/>
      <c r="T439" s="1110"/>
      <c r="U439" s="1111"/>
    </row>
    <row r="440" spans="1:23" ht="15.6" hidden="1" customHeight="1" x14ac:dyDescent="0.2">
      <c r="B440" s="2839" t="s">
        <v>3996</v>
      </c>
      <c r="C440" s="2839"/>
      <c r="D440" s="2839"/>
      <c r="E440" s="2839"/>
      <c r="F440" s="2839"/>
      <c r="G440" s="2839"/>
      <c r="H440" s="56"/>
      <c r="I440" s="56"/>
      <c r="J440" s="56"/>
      <c r="K440" s="56"/>
      <c r="M440" s="1133"/>
      <c r="N440" s="1147"/>
      <c r="O440" s="1146"/>
      <c r="P440" s="1117"/>
      <c r="R440" s="1110"/>
      <c r="T440" s="1110"/>
      <c r="U440" s="1111"/>
    </row>
    <row r="441" spans="1:23" ht="15.6" hidden="1" customHeight="1" x14ac:dyDescent="0.2">
      <c r="B441" s="1205"/>
      <c r="C441" s="725" t="s">
        <v>602</v>
      </c>
      <c r="D441" s="1205"/>
      <c r="E441" s="725" t="s">
        <v>4309</v>
      </c>
      <c r="F441" s="1205"/>
      <c r="G441" s="725" t="s">
        <v>4310</v>
      </c>
      <c r="H441" s="56"/>
      <c r="I441" s="725" t="s">
        <v>4312</v>
      </c>
      <c r="J441" s="56"/>
      <c r="K441" s="2882" t="s">
        <v>234</v>
      </c>
      <c r="M441" s="1244" t="s">
        <v>4002</v>
      </c>
      <c r="N441" s="1147"/>
      <c r="O441" s="1146"/>
      <c r="P441" s="1117"/>
      <c r="R441" s="1110"/>
      <c r="T441" s="1110"/>
      <c r="U441" s="1111"/>
    </row>
    <row r="442" spans="1:23" ht="15.6" hidden="1" customHeight="1" x14ac:dyDescent="0.2">
      <c r="B442" s="1205"/>
      <c r="C442" s="725" t="s">
        <v>4509</v>
      </c>
      <c r="D442" s="1205"/>
      <c r="E442" s="725" t="s">
        <v>200</v>
      </c>
      <c r="F442" s="1205"/>
      <c r="G442" s="725" t="s">
        <v>4311</v>
      </c>
      <c r="H442" s="56"/>
      <c r="I442" s="725" t="s">
        <v>4313</v>
      </c>
      <c r="J442" s="56"/>
      <c r="K442" s="2882"/>
      <c r="M442" s="1133"/>
      <c r="N442" s="1147"/>
      <c r="O442" s="1146"/>
      <c r="P442" s="1117"/>
      <c r="R442" s="1110"/>
      <c r="T442" s="1110"/>
      <c r="U442" s="1111"/>
    </row>
    <row r="443" spans="1:23" ht="15.6" hidden="1" customHeight="1" x14ac:dyDescent="0.2">
      <c r="B443" s="1205"/>
      <c r="C443" s="56"/>
      <c r="D443" s="1205"/>
      <c r="E443" s="56"/>
      <c r="F443" s="1205"/>
      <c r="G443" s="56"/>
      <c r="H443" s="56"/>
      <c r="I443" s="1205"/>
      <c r="J443" s="56"/>
      <c r="K443" s="56"/>
      <c r="M443" s="1133"/>
      <c r="N443" s="1147"/>
      <c r="O443" s="1146"/>
      <c r="P443" s="1117"/>
      <c r="R443" s="1110"/>
      <c r="T443" s="1110"/>
      <c r="U443" s="1111"/>
    </row>
    <row r="444" spans="1:23" ht="15.6" hidden="1" customHeight="1" x14ac:dyDescent="0.25">
      <c r="B444" s="74" t="str">
        <f>"Carrying values at "&amp;Parameters!C31</f>
        <v>Carrying values at 01 July 2011</v>
      </c>
      <c r="C444" s="224">
        <f>SUM(C445:C447)</f>
        <v>0</v>
      </c>
      <c r="E444" s="224">
        <f>SUM(E445:E447)</f>
        <v>0</v>
      </c>
      <c r="G444" s="224">
        <f>SUM(G445:G447)</f>
        <v>0</v>
      </c>
      <c r="I444" s="224">
        <f>SUM(I445:I447)</f>
        <v>0</v>
      </c>
      <c r="J444" s="58"/>
      <c r="K444" s="224">
        <f>SUM(K445:K447)</f>
        <v>0</v>
      </c>
      <c r="M444" s="1591">
        <v>0</v>
      </c>
      <c r="N444" s="1147"/>
      <c r="O444" s="1146"/>
      <c r="R444" s="1110"/>
      <c r="T444" s="1110"/>
      <c r="U444" s="1111"/>
    </row>
    <row r="445" spans="1:23" ht="15.6" hidden="1" customHeight="1" x14ac:dyDescent="0.2">
      <c r="B445" s="48" t="s">
        <v>157</v>
      </c>
      <c r="C445" s="213">
        <f>'APPENDIX B'!C306</f>
        <v>0</v>
      </c>
      <c r="E445" s="2079">
        <v>0</v>
      </c>
      <c r="G445" s="2079">
        <v>0</v>
      </c>
      <c r="I445" s="2079">
        <v>0</v>
      </c>
      <c r="J445" s="58"/>
      <c r="K445" s="2079">
        <f>K519</f>
        <v>0</v>
      </c>
      <c r="M445" s="1591">
        <v>0</v>
      </c>
      <c r="N445" s="1147"/>
      <c r="O445" s="1146"/>
      <c r="R445" s="1110"/>
      <c r="T445" s="1110"/>
      <c r="U445" s="1111"/>
    </row>
    <row r="446" spans="1:23" ht="15.6" hidden="1" customHeight="1" x14ac:dyDescent="0.2">
      <c r="A446" s="655"/>
      <c r="B446" s="655" t="s">
        <v>718</v>
      </c>
      <c r="C446" s="668">
        <f>'APPENDIX B'!H306</f>
        <v>0</v>
      </c>
      <c r="D446" s="656"/>
      <c r="E446" s="668">
        <f>'APPENDIX B'!H303</f>
        <v>0</v>
      </c>
      <c r="F446" s="656"/>
      <c r="G446" s="668">
        <f>'APPENDIX B'!H304</f>
        <v>0</v>
      </c>
      <c r="H446" s="656"/>
      <c r="I446" s="668">
        <f>'APPENDIX B'!H305</f>
        <v>0</v>
      </c>
      <c r="J446" s="658"/>
      <c r="K446" s="668">
        <f>K520</f>
        <v>0</v>
      </c>
      <c r="L446" s="655"/>
      <c r="M446" s="1591">
        <f t="shared" ref="M446:M447" si="1">K446-SUM(C446:I446)</f>
        <v>0</v>
      </c>
      <c r="N446" s="1147"/>
      <c r="O446" s="1146"/>
      <c r="R446" s="1110"/>
      <c r="T446" s="1110"/>
      <c r="U446" s="1111"/>
    </row>
    <row r="447" spans="1:23" ht="15.6" hidden="1" customHeight="1" x14ac:dyDescent="0.2">
      <c r="B447" s="48" t="s">
        <v>152</v>
      </c>
      <c r="C447" s="215">
        <f>-'APPENDIX B'!AA306</f>
        <v>0</v>
      </c>
      <c r="E447" s="215">
        <f>-'APPENDIX B'!AA303</f>
        <v>0</v>
      </c>
      <c r="G447" s="215">
        <f>-'APPENDIX B'!AA304</f>
        <v>0</v>
      </c>
      <c r="I447" s="215">
        <f>-'APPENDIX B'!AA305</f>
        <v>0</v>
      </c>
      <c r="J447" s="58"/>
      <c r="K447" s="215">
        <f>K521</f>
        <v>0</v>
      </c>
      <c r="M447" s="1591">
        <f t="shared" si="1"/>
        <v>0</v>
      </c>
      <c r="N447" s="1147"/>
      <c r="O447" s="1146"/>
      <c r="R447" s="1110"/>
      <c r="T447" s="1110"/>
      <c r="U447" s="1111"/>
    </row>
    <row r="448" spans="1:23" ht="15.6" hidden="1" customHeight="1" x14ac:dyDescent="0.2">
      <c r="C448" s="203"/>
      <c r="E448" s="203"/>
      <c r="G448" s="203"/>
      <c r="I448" s="203"/>
      <c r="J448" s="58"/>
      <c r="K448" s="203"/>
      <c r="M448" s="1591"/>
      <c r="N448" s="1147"/>
      <c r="O448" s="1146"/>
      <c r="R448" s="1110"/>
      <c r="T448" s="1110"/>
      <c r="U448" s="1111"/>
    </row>
    <row r="449" spans="1:21" ht="15.6" hidden="1" customHeight="1" x14ac:dyDescent="0.2">
      <c r="B449" s="48" t="s">
        <v>97</v>
      </c>
      <c r="C449" s="58">
        <f>'APPENDIX B'!D306</f>
        <v>0</v>
      </c>
      <c r="E449" s="58">
        <f>'APPENDIX B'!D303</f>
        <v>0</v>
      </c>
      <c r="G449" s="58">
        <f>'APPENDIX B'!D304</f>
        <v>0</v>
      </c>
      <c r="I449" s="58">
        <f>'APPENDIX B'!D305</f>
        <v>0</v>
      </c>
      <c r="J449" s="58"/>
      <c r="K449" s="58">
        <v>0</v>
      </c>
      <c r="M449" s="1591">
        <f>K449-SUM(C449:I449)</f>
        <v>0</v>
      </c>
      <c r="N449" s="1147"/>
      <c r="O449" s="1146"/>
      <c r="P449" s="1110" t="s">
        <v>4314</v>
      </c>
      <c r="Q449" s="1111" t="s">
        <v>2763</v>
      </c>
      <c r="R449" s="1110"/>
      <c r="T449" s="1110"/>
      <c r="U449" s="1111"/>
    </row>
    <row r="450" spans="1:21" ht="15.6" hidden="1" customHeight="1" x14ac:dyDescent="0.2">
      <c r="C450" s="58"/>
      <c r="E450" s="58"/>
      <c r="G450" s="58"/>
      <c r="I450" s="58"/>
      <c r="J450" s="58"/>
      <c r="K450" s="58"/>
      <c r="M450" s="1591"/>
      <c r="N450" s="1147"/>
      <c r="O450" s="1146"/>
      <c r="R450" s="1110"/>
      <c r="T450" s="1110"/>
      <c r="U450" s="1111"/>
    </row>
    <row r="451" spans="1:21" ht="15.6" hidden="1" customHeight="1" x14ac:dyDescent="0.2">
      <c r="A451" s="655"/>
      <c r="B451" s="655" t="s">
        <v>935</v>
      </c>
      <c r="C451" s="658">
        <f>'APPENDIX B'!R306</f>
        <v>0</v>
      </c>
      <c r="D451" s="656"/>
      <c r="E451" s="658">
        <f>'APPENDIX B'!R303</f>
        <v>0</v>
      </c>
      <c r="F451" s="656"/>
      <c r="G451" s="658">
        <f>'APPENDIX B'!R304</f>
        <v>0</v>
      </c>
      <c r="H451" s="656"/>
      <c r="I451" s="658">
        <f>'APPENDIX B'!R305</f>
        <v>0</v>
      </c>
      <c r="J451" s="658"/>
      <c r="K451" s="658">
        <v>0</v>
      </c>
      <c r="L451" s="655"/>
      <c r="M451" s="1591">
        <f t="shared" ref="M451:M453" si="2">K451-SUM(C451:I451)</f>
        <v>0</v>
      </c>
      <c r="N451" s="1147"/>
      <c r="O451" s="1146"/>
      <c r="P451" s="1110" t="s">
        <v>4315</v>
      </c>
      <c r="Q451" s="1111" t="s">
        <v>2763</v>
      </c>
      <c r="R451" s="1110"/>
      <c r="T451" s="1110"/>
      <c r="U451" s="1111"/>
    </row>
    <row r="452" spans="1:21" ht="15.6" hidden="1" customHeight="1" x14ac:dyDescent="0.2">
      <c r="B452" s="48" t="s">
        <v>1893</v>
      </c>
      <c r="C452" s="58">
        <v>0</v>
      </c>
      <c r="E452" s="58">
        <v>0</v>
      </c>
      <c r="G452" s="58">
        <v>0</v>
      </c>
      <c r="I452" s="58">
        <v>0</v>
      </c>
      <c r="J452" s="58"/>
      <c r="K452" s="58">
        <v>0</v>
      </c>
      <c r="M452" s="1591">
        <f t="shared" si="2"/>
        <v>0</v>
      </c>
      <c r="N452" s="1147"/>
      <c r="O452" s="1146"/>
      <c r="P452" s="1110" t="s">
        <v>4316</v>
      </c>
      <c r="Q452" s="1111" t="s">
        <v>2763</v>
      </c>
      <c r="R452" s="1110"/>
      <c r="T452" s="1110"/>
      <c r="U452" s="1111"/>
    </row>
    <row r="453" spans="1:21" ht="15.6" hidden="1" customHeight="1" x14ac:dyDescent="0.2">
      <c r="A453" s="655"/>
      <c r="B453" s="655" t="s">
        <v>1894</v>
      </c>
      <c r="C453" s="658">
        <f>'APPENDIX B'!I306</f>
        <v>0</v>
      </c>
      <c r="D453" s="656"/>
      <c r="E453" s="658">
        <f>'APPENDIX B'!I303</f>
        <v>0</v>
      </c>
      <c r="F453" s="656"/>
      <c r="G453" s="658">
        <f>'APPENDIX B'!I304</f>
        <v>0</v>
      </c>
      <c r="H453" s="656"/>
      <c r="I453" s="658">
        <f>'APPENDIX B'!I305</f>
        <v>0</v>
      </c>
      <c r="J453" s="658"/>
      <c r="K453" s="658">
        <v>0</v>
      </c>
      <c r="L453" s="655"/>
      <c r="M453" s="1591">
        <f t="shared" si="2"/>
        <v>0</v>
      </c>
      <c r="N453" s="1147"/>
      <c r="O453" s="1146"/>
      <c r="P453" s="1110" t="s">
        <v>4317</v>
      </c>
      <c r="Q453" s="1111" t="s">
        <v>2763</v>
      </c>
      <c r="R453" s="1110"/>
      <c r="T453" s="1110"/>
      <c r="U453" s="1111"/>
    </row>
    <row r="454" spans="1:21" ht="15.6" hidden="1" customHeight="1" x14ac:dyDescent="0.2">
      <c r="C454" s="58"/>
      <c r="E454" s="58"/>
      <c r="G454" s="58"/>
      <c r="I454" s="58"/>
      <c r="J454" s="58"/>
      <c r="K454" s="58"/>
      <c r="M454" s="1591"/>
      <c r="N454" s="1147"/>
      <c r="O454" s="1134"/>
      <c r="R454" s="1110"/>
      <c r="T454" s="1110"/>
      <c r="U454" s="1111"/>
    </row>
    <row r="455" spans="1:21" ht="15.6" hidden="1" customHeight="1" x14ac:dyDescent="0.2">
      <c r="B455" s="48" t="s">
        <v>1896</v>
      </c>
      <c r="C455" s="58">
        <f>-'APPENDIX B'!AB306</f>
        <v>0</v>
      </c>
      <c r="E455" s="58">
        <f>-'APPENDIX B'!AB303</f>
        <v>0</v>
      </c>
      <c r="G455" s="58">
        <f>-'APPENDIX B'!AB304</f>
        <v>0</v>
      </c>
      <c r="I455" s="58">
        <f>-'APPENDIX B'!AB305</f>
        <v>0</v>
      </c>
      <c r="J455" s="58"/>
      <c r="K455" s="58">
        <v>0</v>
      </c>
      <c r="M455" s="1591">
        <f t="shared" ref="M455:M456" si="3">K455-SUM(C455:I455)</f>
        <v>0</v>
      </c>
      <c r="N455" s="1147"/>
      <c r="O455" s="1146"/>
      <c r="P455" s="1110" t="s">
        <v>4318</v>
      </c>
      <c r="Q455" s="1111" t="s">
        <v>2763</v>
      </c>
      <c r="R455" s="1110"/>
      <c r="T455" s="1110"/>
      <c r="U455" s="1111"/>
    </row>
    <row r="456" spans="1:21" ht="15.6" hidden="1" customHeight="1" x14ac:dyDescent="0.2">
      <c r="A456" s="655"/>
      <c r="B456" s="655" t="s">
        <v>1897</v>
      </c>
      <c r="C456" s="658">
        <v>0</v>
      </c>
      <c r="D456" s="656"/>
      <c r="E456" s="658">
        <v>0</v>
      </c>
      <c r="F456" s="656"/>
      <c r="G456" s="658">
        <v>0</v>
      </c>
      <c r="H456" s="656"/>
      <c r="I456" s="658">
        <v>0</v>
      </c>
      <c r="J456" s="658"/>
      <c r="K456" s="658">
        <v>0</v>
      </c>
      <c r="L456" s="655"/>
      <c r="M456" s="1591">
        <f t="shared" si="3"/>
        <v>0</v>
      </c>
      <c r="N456" s="1147"/>
      <c r="O456" s="1146"/>
      <c r="P456" s="1110" t="s">
        <v>4319</v>
      </c>
      <c r="Q456" s="1111" t="s">
        <v>2763</v>
      </c>
      <c r="R456" s="1110"/>
      <c r="T456" s="1110"/>
      <c r="U456" s="1111"/>
    </row>
    <row r="457" spans="1:21" ht="15.6" hidden="1" customHeight="1" x14ac:dyDescent="0.2">
      <c r="C457" s="58"/>
      <c r="E457" s="58"/>
      <c r="G457" s="58"/>
      <c r="I457" s="58"/>
      <c r="J457" s="58"/>
      <c r="K457" s="58"/>
      <c r="M457" s="1591"/>
      <c r="N457" s="1147"/>
      <c r="O457" s="1134"/>
      <c r="R457" s="1110"/>
      <c r="T457" s="1110"/>
      <c r="U457" s="1111"/>
    </row>
    <row r="458" spans="1:21" ht="15.6" hidden="1" customHeight="1" x14ac:dyDescent="0.2">
      <c r="B458" s="48" t="s">
        <v>1898</v>
      </c>
      <c r="C458" s="58">
        <f>SUM(C459:C460)</f>
        <v>0</v>
      </c>
      <c r="E458" s="58">
        <f>SUM(E459:E460)</f>
        <v>0</v>
      </c>
      <c r="G458" s="58">
        <f>SUM(G459:G460)</f>
        <v>0</v>
      </c>
      <c r="I458" s="58">
        <f>SUM(I459:I460)</f>
        <v>0</v>
      </c>
      <c r="J458" s="58"/>
      <c r="K458" s="58">
        <f>SUM(K459:K460)</f>
        <v>0</v>
      </c>
      <c r="M458" s="1591">
        <f t="shared" ref="M458:M461" si="4">K458-SUM(C458:I458)</f>
        <v>0</v>
      </c>
      <c r="N458" s="1147"/>
      <c r="R458" s="1110"/>
      <c r="T458" s="1110"/>
      <c r="U458" s="1111"/>
    </row>
    <row r="459" spans="1:21" ht="15.6" hidden="1" customHeight="1" x14ac:dyDescent="0.2">
      <c r="B459" s="48" t="s">
        <v>722</v>
      </c>
      <c r="C459" s="213">
        <f>'APPENDIX B'!F306</f>
        <v>0</v>
      </c>
      <c r="E459" s="213">
        <f>'APPENDIX B'!F303</f>
        <v>0</v>
      </c>
      <c r="G459" s="213">
        <f>'APPENDIX B'!F304</f>
        <v>0</v>
      </c>
      <c r="I459" s="213">
        <f>'APPENDIX B'!F305</f>
        <v>0</v>
      </c>
      <c r="J459" s="58"/>
      <c r="K459" s="213">
        <v>0</v>
      </c>
      <c r="M459" s="1591">
        <f t="shared" si="4"/>
        <v>0</v>
      </c>
      <c r="N459" s="1147"/>
      <c r="P459" s="1110" t="s">
        <v>4320</v>
      </c>
      <c r="Q459" s="1111" t="s">
        <v>2763</v>
      </c>
      <c r="R459" s="1110"/>
      <c r="T459" s="1110"/>
      <c r="U459" s="1111"/>
    </row>
    <row r="460" spans="1:21" ht="15.6" hidden="1" customHeight="1" x14ac:dyDescent="0.2">
      <c r="A460" s="655"/>
      <c r="B460" s="655" t="s">
        <v>723</v>
      </c>
      <c r="C460" s="668">
        <f>'APPENDIX B'!K306</f>
        <v>0</v>
      </c>
      <c r="D460" s="656"/>
      <c r="E460" s="668">
        <f>'APPENDIX B'!K303</f>
        <v>0</v>
      </c>
      <c r="F460" s="656"/>
      <c r="G460" s="668">
        <f>'APPENDIX B'!K304</f>
        <v>0</v>
      </c>
      <c r="H460" s="656"/>
      <c r="I460" s="668">
        <f>'APPENDIX B'!K305</f>
        <v>0</v>
      </c>
      <c r="J460" s="658"/>
      <c r="K460" s="668">
        <v>0</v>
      </c>
      <c r="L460" s="655"/>
      <c r="M460" s="1591">
        <f t="shared" si="4"/>
        <v>0</v>
      </c>
      <c r="N460" s="1147"/>
      <c r="P460" s="1110" t="s">
        <v>4321</v>
      </c>
      <c r="Q460" s="1111" t="s">
        <v>2763</v>
      </c>
      <c r="R460" s="1110"/>
      <c r="T460" s="1110"/>
      <c r="U460" s="1111"/>
    </row>
    <row r="461" spans="1:21" ht="15.6" hidden="1" customHeight="1" x14ac:dyDescent="0.2">
      <c r="B461" s="48" t="s">
        <v>725</v>
      </c>
      <c r="C461" s="215">
        <f>-'APPENDIX B'!AD306</f>
        <v>0</v>
      </c>
      <c r="E461" s="215">
        <f>-'APPENDIX B'!AD303</f>
        <v>0</v>
      </c>
      <c r="G461" s="215">
        <f>-'APPENDIX B'!AD304</f>
        <v>0</v>
      </c>
      <c r="I461" s="215">
        <f>-'APPENDIX B'!AD305</f>
        <v>0</v>
      </c>
      <c r="J461" s="58"/>
      <c r="K461" s="215">
        <v>0</v>
      </c>
      <c r="M461" s="1591">
        <f t="shared" si="4"/>
        <v>0</v>
      </c>
      <c r="N461" s="1147"/>
      <c r="P461" s="1110" t="s">
        <v>4322</v>
      </c>
      <c r="Q461" s="1111" t="s">
        <v>2763</v>
      </c>
      <c r="R461" s="1110"/>
      <c r="T461" s="1110"/>
      <c r="U461" s="1111"/>
    </row>
    <row r="462" spans="1:21" ht="15.6" hidden="1" customHeight="1" x14ac:dyDescent="0.2">
      <c r="C462" s="203"/>
      <c r="E462" s="203"/>
      <c r="G462" s="203"/>
      <c r="I462" s="203"/>
      <c r="J462" s="58"/>
      <c r="K462" s="203"/>
      <c r="M462" s="1591"/>
      <c r="N462" s="1147"/>
      <c r="R462" s="1110"/>
      <c r="T462" s="1110"/>
      <c r="U462" s="1111"/>
    </row>
    <row r="463" spans="1:21" ht="15.6" hidden="1" customHeight="1" x14ac:dyDescent="0.2">
      <c r="B463" s="48" t="s">
        <v>1899</v>
      </c>
      <c r="C463" s="212">
        <f>SUM(C464:C472)</f>
        <v>0</v>
      </c>
      <c r="E463" s="212">
        <f>SUM(E464:E472)</f>
        <v>0</v>
      </c>
      <c r="G463" s="212">
        <f>SUM(G464:G472)</f>
        <v>0</v>
      </c>
      <c r="I463" s="212">
        <f>SUM(I464:I472)</f>
        <v>0</v>
      </c>
      <c r="J463" s="58"/>
      <c r="K463" s="212">
        <f>SUM(K464,K468,K472)</f>
        <v>0</v>
      </c>
      <c r="M463" s="1591">
        <f t="shared" ref="M463:M464" si="5">K463-SUM(C463:I463)</f>
        <v>0</v>
      </c>
      <c r="N463" s="1147"/>
      <c r="O463" s="1146"/>
      <c r="R463" s="1110"/>
      <c r="T463" s="1110"/>
      <c r="U463" s="1111"/>
    </row>
    <row r="464" spans="1:21" ht="15.6" hidden="1" customHeight="1" x14ac:dyDescent="0.2">
      <c r="B464" s="48" t="s">
        <v>722</v>
      </c>
      <c r="C464" s="213">
        <f>'APPENDIX B'!E306</f>
        <v>0</v>
      </c>
      <c r="E464" s="213">
        <f>'APPENDIX B'!E303</f>
        <v>0</v>
      </c>
      <c r="G464" s="213">
        <f>'APPENDIX B'!E304</f>
        <v>0</v>
      </c>
      <c r="I464" s="213">
        <f>'APPENDIX B'!E305</f>
        <v>0</v>
      </c>
      <c r="J464" s="58"/>
      <c r="K464" s="213">
        <f>SUM(K465:K467)</f>
        <v>0</v>
      </c>
      <c r="M464" s="1591">
        <f t="shared" si="5"/>
        <v>0</v>
      </c>
      <c r="N464" s="1147"/>
      <c r="O464" s="1146"/>
      <c r="R464" s="1110"/>
      <c r="T464" s="1110"/>
      <c r="U464" s="1111"/>
    </row>
    <row r="465" spans="1:21" ht="15.6" hidden="1" customHeight="1" x14ac:dyDescent="0.2">
      <c r="A465" s="1221"/>
      <c r="B465" s="1260" t="s">
        <v>4324</v>
      </c>
      <c r="C465" s="1259"/>
      <c r="D465" s="1225"/>
      <c r="E465" s="1259"/>
      <c r="F465" s="1225"/>
      <c r="G465" s="1259"/>
      <c r="H465" s="1225"/>
      <c r="I465" s="1259"/>
      <c r="J465" s="1252"/>
      <c r="K465" s="1259">
        <v>0</v>
      </c>
      <c r="L465" s="1221"/>
      <c r="M465" s="1591"/>
      <c r="N465" s="1147"/>
      <c r="O465" s="1146"/>
      <c r="P465" s="1110" t="s">
        <v>4327</v>
      </c>
      <c r="Q465" s="1111" t="s">
        <v>2763</v>
      </c>
      <c r="R465" s="1110"/>
      <c r="T465" s="1110"/>
      <c r="U465" s="1111"/>
    </row>
    <row r="466" spans="1:21" ht="15.6" hidden="1" customHeight="1" x14ac:dyDescent="0.2">
      <c r="A466" s="1221"/>
      <c r="B466" s="1260" t="s">
        <v>4325</v>
      </c>
      <c r="C466" s="1259"/>
      <c r="D466" s="1225"/>
      <c r="E466" s="1259"/>
      <c r="F466" s="1225"/>
      <c r="G466" s="1259"/>
      <c r="H466" s="1225"/>
      <c r="I466" s="1259"/>
      <c r="J466" s="1252"/>
      <c r="K466" s="1259">
        <v>0</v>
      </c>
      <c r="L466" s="1221"/>
      <c r="M466" s="1591"/>
      <c r="N466" s="1147"/>
      <c r="O466" s="1146"/>
      <c r="P466" s="1110" t="s">
        <v>4323</v>
      </c>
      <c r="Q466" s="1111" t="s">
        <v>2763</v>
      </c>
      <c r="R466" s="1110"/>
      <c r="T466" s="1110"/>
      <c r="U466" s="1111"/>
    </row>
    <row r="467" spans="1:21" ht="15.6" hidden="1" customHeight="1" x14ac:dyDescent="0.2">
      <c r="A467" s="1221"/>
      <c r="B467" s="1260" t="s">
        <v>4326</v>
      </c>
      <c r="C467" s="1259"/>
      <c r="D467" s="1225"/>
      <c r="E467" s="1259"/>
      <c r="F467" s="1225"/>
      <c r="G467" s="1259"/>
      <c r="H467" s="1225"/>
      <c r="I467" s="1259"/>
      <c r="J467" s="1252"/>
      <c r="K467" s="1259">
        <v>0</v>
      </c>
      <c r="L467" s="1221"/>
      <c r="M467" s="1591"/>
      <c r="N467" s="1147"/>
      <c r="O467" s="1146"/>
      <c r="P467" s="1110" t="s">
        <v>4328</v>
      </c>
      <c r="Q467" s="1111" t="s">
        <v>2763</v>
      </c>
      <c r="R467" s="1110"/>
      <c r="T467" s="1110"/>
      <c r="U467" s="1111"/>
    </row>
    <row r="468" spans="1:21" ht="15.6" hidden="1" customHeight="1" x14ac:dyDescent="0.2">
      <c r="A468" s="655"/>
      <c r="B468" s="655" t="s">
        <v>723</v>
      </c>
      <c r="C468" s="668">
        <f>'APPENDIX B'!J306</f>
        <v>0</v>
      </c>
      <c r="D468" s="656"/>
      <c r="E468" s="668">
        <f>'APPENDIX B'!J303</f>
        <v>0</v>
      </c>
      <c r="F468" s="656"/>
      <c r="G468" s="668">
        <f>'APPENDIX B'!J304</f>
        <v>0</v>
      </c>
      <c r="H468" s="656"/>
      <c r="I468" s="668">
        <f>'APPENDIX B'!J305</f>
        <v>0</v>
      </c>
      <c r="J468" s="658"/>
      <c r="K468" s="668">
        <f>SUM(K469:K471)</f>
        <v>0</v>
      </c>
      <c r="L468" s="655"/>
      <c r="M468" s="1591">
        <f>K468-SUM(C468:I468)</f>
        <v>0</v>
      </c>
      <c r="N468" s="1147"/>
      <c r="O468" s="1146"/>
      <c r="R468" s="1110"/>
      <c r="T468" s="1110"/>
      <c r="U468" s="1111"/>
    </row>
    <row r="469" spans="1:21" ht="15.6" hidden="1" customHeight="1" x14ac:dyDescent="0.2">
      <c r="A469" s="1221"/>
      <c r="B469" s="1260" t="s">
        <v>4324</v>
      </c>
      <c r="C469" s="1259"/>
      <c r="D469" s="1225"/>
      <c r="E469" s="1259"/>
      <c r="F469" s="1225"/>
      <c r="G469" s="1259"/>
      <c r="H469" s="1225"/>
      <c r="I469" s="1259"/>
      <c r="J469" s="1252"/>
      <c r="K469" s="1259">
        <v>0</v>
      </c>
      <c r="L469" s="1221"/>
      <c r="M469" s="1591"/>
      <c r="N469" s="1147"/>
      <c r="O469" s="1146"/>
      <c r="P469" s="1110" t="s">
        <v>4329</v>
      </c>
      <c r="Q469" s="1111" t="s">
        <v>2763</v>
      </c>
      <c r="R469" s="1110"/>
      <c r="T469" s="1110"/>
      <c r="U469" s="1111"/>
    </row>
    <row r="470" spans="1:21" ht="15.6" hidden="1" customHeight="1" x14ac:dyDescent="0.2">
      <c r="A470" s="1221"/>
      <c r="B470" s="1260" t="s">
        <v>4325</v>
      </c>
      <c r="C470" s="1259"/>
      <c r="D470" s="1225"/>
      <c r="E470" s="1259"/>
      <c r="F470" s="1225"/>
      <c r="G470" s="1259"/>
      <c r="H470" s="1225"/>
      <c r="I470" s="1259"/>
      <c r="J470" s="1252"/>
      <c r="K470" s="1259">
        <v>0</v>
      </c>
      <c r="L470" s="1221"/>
      <c r="M470" s="1591"/>
      <c r="N470" s="1147"/>
      <c r="O470" s="1146"/>
      <c r="P470" s="1110" t="s">
        <v>4330</v>
      </c>
      <c r="Q470" s="1111" t="s">
        <v>2763</v>
      </c>
      <c r="R470" s="1110"/>
      <c r="T470" s="1110"/>
      <c r="U470" s="1111"/>
    </row>
    <row r="471" spans="1:21" ht="15.6" hidden="1" customHeight="1" x14ac:dyDescent="0.2">
      <c r="A471" s="1221"/>
      <c r="B471" s="1260" t="s">
        <v>4326</v>
      </c>
      <c r="C471" s="1259"/>
      <c r="D471" s="1225"/>
      <c r="E471" s="1259"/>
      <c r="F471" s="1225"/>
      <c r="G471" s="1259"/>
      <c r="H471" s="1225"/>
      <c r="I471" s="1259"/>
      <c r="J471" s="1252"/>
      <c r="K471" s="1259">
        <v>0</v>
      </c>
      <c r="L471" s="1221"/>
      <c r="M471" s="1591"/>
      <c r="N471" s="1147"/>
      <c r="O471" s="1146"/>
      <c r="P471" s="1110" t="s">
        <v>4331</v>
      </c>
      <c r="Q471" s="1111" t="s">
        <v>2763</v>
      </c>
      <c r="R471" s="1110"/>
      <c r="T471" s="1110"/>
      <c r="U471" s="1111"/>
    </row>
    <row r="472" spans="1:21" ht="15.6" hidden="1" customHeight="1" x14ac:dyDescent="0.2">
      <c r="B472" s="48" t="s">
        <v>725</v>
      </c>
      <c r="C472" s="214">
        <f>-'APPENDIX B'!AC306</f>
        <v>0</v>
      </c>
      <c r="E472" s="214">
        <f>-'APPENDIX B'!AC303</f>
        <v>0</v>
      </c>
      <c r="G472" s="214">
        <f>-'APPENDIX B'!AC304</f>
        <v>0</v>
      </c>
      <c r="I472" s="214">
        <f>-'APPENDIX B'!AC305</f>
        <v>0</v>
      </c>
      <c r="J472" s="58"/>
      <c r="K472" s="214">
        <f>SUM(K473:K475)</f>
        <v>0</v>
      </c>
      <c r="M472" s="1591">
        <f>K472-SUM(C472:I472)</f>
        <v>0</v>
      </c>
      <c r="N472" s="1147"/>
      <c r="O472" s="1146"/>
      <c r="R472" s="1110"/>
      <c r="T472" s="1110"/>
      <c r="U472" s="1111"/>
    </row>
    <row r="473" spans="1:21" ht="15.6" hidden="1" customHeight="1" x14ac:dyDescent="0.2">
      <c r="A473" s="1221"/>
      <c r="B473" s="1260" t="s">
        <v>4324</v>
      </c>
      <c r="C473" s="1259"/>
      <c r="D473" s="1225"/>
      <c r="E473" s="1259"/>
      <c r="F473" s="1225"/>
      <c r="G473" s="1259"/>
      <c r="H473" s="1225"/>
      <c r="I473" s="1259"/>
      <c r="J473" s="1252"/>
      <c r="K473" s="1259">
        <v>0</v>
      </c>
      <c r="L473" s="1221"/>
      <c r="M473" s="1591"/>
      <c r="N473" s="1147"/>
      <c r="O473" s="1146"/>
      <c r="P473" s="1110" t="s">
        <v>4332</v>
      </c>
      <c r="Q473" s="1111" t="s">
        <v>2763</v>
      </c>
      <c r="R473" s="1110"/>
      <c r="T473" s="1110"/>
      <c r="U473" s="1111"/>
    </row>
    <row r="474" spans="1:21" ht="15.6" hidden="1" customHeight="1" x14ac:dyDescent="0.2">
      <c r="A474" s="1221"/>
      <c r="B474" s="1260" t="s">
        <v>4325</v>
      </c>
      <c r="C474" s="1259"/>
      <c r="D474" s="1225"/>
      <c r="E474" s="1259"/>
      <c r="F474" s="1225"/>
      <c r="G474" s="1259"/>
      <c r="H474" s="1225"/>
      <c r="I474" s="1259"/>
      <c r="J474" s="1252"/>
      <c r="K474" s="1259">
        <v>0</v>
      </c>
      <c r="L474" s="1221"/>
      <c r="M474" s="1591"/>
      <c r="N474" s="1147"/>
      <c r="O474" s="1146"/>
      <c r="P474" s="1110" t="s">
        <v>4333</v>
      </c>
      <c r="Q474" s="1111" t="s">
        <v>2763</v>
      </c>
      <c r="R474" s="1110"/>
      <c r="T474" s="1110"/>
      <c r="U474" s="1111"/>
    </row>
    <row r="475" spans="1:21" ht="15.6" hidden="1" customHeight="1" x14ac:dyDescent="0.2">
      <c r="A475" s="1221"/>
      <c r="B475" s="1260" t="s">
        <v>4326</v>
      </c>
      <c r="C475" s="1253"/>
      <c r="D475" s="1225"/>
      <c r="E475" s="1253"/>
      <c r="F475" s="1225"/>
      <c r="G475" s="1253"/>
      <c r="H475" s="1225"/>
      <c r="I475" s="1253"/>
      <c r="J475" s="1252"/>
      <c r="K475" s="1253">
        <v>0</v>
      </c>
      <c r="L475" s="1221"/>
      <c r="M475" s="1591"/>
      <c r="N475" s="1147"/>
      <c r="O475" s="1146"/>
      <c r="P475" s="1110" t="s">
        <v>4334</v>
      </c>
      <c r="Q475" s="1111" t="s">
        <v>2763</v>
      </c>
      <c r="R475" s="1110"/>
      <c r="T475" s="1110"/>
      <c r="U475" s="1111"/>
    </row>
    <row r="476" spans="1:21" ht="15.6" hidden="1" customHeight="1" x14ac:dyDescent="0.2">
      <c r="C476" s="203"/>
      <c r="E476" s="203"/>
      <c r="G476" s="203"/>
      <c r="I476" s="203"/>
      <c r="J476" s="58"/>
      <c r="K476" s="203"/>
      <c r="M476" s="1591"/>
      <c r="N476" s="1147"/>
      <c r="O476" s="1146"/>
      <c r="R476" s="1110"/>
      <c r="T476" s="1110"/>
      <c r="U476" s="1111"/>
    </row>
    <row r="477" spans="1:21" ht="15.6" hidden="1" customHeight="1" x14ac:dyDescent="0.25">
      <c r="B477" s="50" t="str">
        <f>"Carrying values at "&amp;Parameters!C11</f>
        <v>Carrying values at 30 June 2012</v>
      </c>
      <c r="C477" s="239">
        <f>SUM(C478:C480)</f>
        <v>0</v>
      </c>
      <c r="E477" s="239">
        <f>SUM(E478:E480)</f>
        <v>0</v>
      </c>
      <c r="G477" s="239">
        <f>SUM(G478:G480)</f>
        <v>0</v>
      </c>
      <c r="I477" s="239">
        <f>SUM(I478:I480)</f>
        <v>0</v>
      </c>
      <c r="J477" s="58"/>
      <c r="K477" s="239">
        <f>SUM(K478:K480)</f>
        <v>0</v>
      </c>
      <c r="M477" s="1591">
        <f t="shared" ref="M477:M480" si="6">K477-SUM(C477:I477)</f>
        <v>0</v>
      </c>
      <c r="N477" s="1147"/>
      <c r="O477" s="1146"/>
      <c r="R477" s="1110"/>
      <c r="T477" s="1110"/>
      <c r="U477" s="1111"/>
    </row>
    <row r="478" spans="1:21" ht="15.6" hidden="1" customHeight="1" x14ac:dyDescent="0.2">
      <c r="B478" s="48" t="s">
        <v>157</v>
      </c>
      <c r="C478" s="213">
        <f>SUM(C445,C449,C459,C464)</f>
        <v>0</v>
      </c>
      <c r="E478" s="213">
        <f>SUM(E445,E449,E459,E464)</f>
        <v>0</v>
      </c>
      <c r="G478" s="213">
        <f>SUM(G445,G449,G459,G464)</f>
        <v>0</v>
      </c>
      <c r="I478" s="213">
        <f>SUM(I445,I449,I459,I464)</f>
        <v>0</v>
      </c>
      <c r="J478" s="58"/>
      <c r="K478" s="213">
        <f>SUM(K445,K449,K459,K464)</f>
        <v>0</v>
      </c>
      <c r="M478" s="1591">
        <f t="shared" si="6"/>
        <v>0</v>
      </c>
      <c r="N478" s="1147"/>
      <c r="O478" s="1146"/>
      <c r="R478" s="1110"/>
      <c r="T478" s="1110"/>
      <c r="U478" s="1111"/>
    </row>
    <row r="479" spans="1:21" ht="15.6" hidden="1" customHeight="1" x14ac:dyDescent="0.2">
      <c r="A479" s="655"/>
      <c r="B479" s="655" t="s">
        <v>718</v>
      </c>
      <c r="C479" s="668">
        <f>SUM(C446,C453,C460,C456,C468)</f>
        <v>0</v>
      </c>
      <c r="D479" s="656"/>
      <c r="E479" s="668">
        <f>SUM(E446,E453,E460,E456,E468)</f>
        <v>0</v>
      </c>
      <c r="F479" s="656"/>
      <c r="G479" s="668">
        <f>SUM(G446,G453,G460,G456,G468)</f>
        <v>0</v>
      </c>
      <c r="H479" s="656"/>
      <c r="I479" s="668">
        <f>SUM(I446,I453,I460,I456,I468)</f>
        <v>0</v>
      </c>
      <c r="J479" s="658"/>
      <c r="K479" s="668">
        <f>SUM(K446,K453,K460,K456,K468)</f>
        <v>0</v>
      </c>
      <c r="L479" s="655"/>
      <c r="M479" s="1591">
        <f t="shared" si="6"/>
        <v>0</v>
      </c>
      <c r="N479" s="1147"/>
      <c r="O479" s="1146"/>
      <c r="R479" s="1110"/>
      <c r="T479" s="1110"/>
      <c r="U479" s="1111"/>
    </row>
    <row r="480" spans="1:21" ht="15.6" hidden="1" customHeight="1" x14ac:dyDescent="0.2">
      <c r="B480" s="48" t="s">
        <v>762</v>
      </c>
      <c r="C480" s="215">
        <f>SUM(C447,C455,C461,C452,C472)</f>
        <v>0</v>
      </c>
      <c r="E480" s="215">
        <f>SUM(E447,E455,E461,E452,E472)</f>
        <v>0</v>
      </c>
      <c r="G480" s="215">
        <f>SUM(G447,G455,G461,G452,G472)</f>
        <v>0</v>
      </c>
      <c r="I480" s="215">
        <f>SUM(I447,I455,I461,I452,I472)</f>
        <v>0</v>
      </c>
      <c r="J480" s="58"/>
      <c r="K480" s="215">
        <f>SUM(K447,K455,K461,K452,K472)</f>
        <v>0</v>
      </c>
      <c r="M480" s="1591">
        <f t="shared" si="6"/>
        <v>0</v>
      </c>
      <c r="N480" s="1147"/>
      <c r="O480" s="1146"/>
      <c r="R480" s="1110"/>
      <c r="T480" s="1110"/>
      <c r="U480" s="1111"/>
    </row>
    <row r="481" spans="1:21" ht="15.6" hidden="1" customHeight="1" x14ac:dyDescent="0.2">
      <c r="B481" s="1205"/>
      <c r="C481" s="217">
        <f>C477-'APPENDIX B'!AK306</f>
        <v>0</v>
      </c>
      <c r="D481" s="1205"/>
      <c r="E481" s="217">
        <f>E477-'APPENDIX B'!AK303</f>
        <v>0</v>
      </c>
      <c r="F481" s="1205"/>
      <c r="G481" s="217">
        <f>G477-'APPENDIX B'!AK304</f>
        <v>0</v>
      </c>
      <c r="I481" s="242">
        <f>I477-'APPENDIX B'!AK305</f>
        <v>0</v>
      </c>
      <c r="J481" s="218"/>
      <c r="K481" s="242">
        <f>K477-'APPENDIX B'!AK311</f>
        <v>0</v>
      </c>
      <c r="M481" s="1133"/>
      <c r="N481" s="1147"/>
      <c r="O481" s="1146"/>
      <c r="R481" s="1110"/>
      <c r="T481" s="1110"/>
      <c r="U481" s="1111"/>
    </row>
    <row r="482" spans="1:21" ht="15.6" hidden="1" customHeight="1" x14ac:dyDescent="0.2">
      <c r="B482" s="1205"/>
      <c r="C482" s="725" t="s">
        <v>602</v>
      </c>
      <c r="D482" s="1205"/>
      <c r="E482" s="725" t="s">
        <v>4309</v>
      </c>
      <c r="F482" s="1458"/>
      <c r="G482" s="725" t="s">
        <v>4310</v>
      </c>
      <c r="H482" s="56"/>
      <c r="I482" s="725" t="s">
        <v>4312</v>
      </c>
      <c r="J482" s="56"/>
      <c r="K482" s="2882" t="s">
        <v>234</v>
      </c>
      <c r="M482" s="1133"/>
      <c r="N482" s="1147"/>
      <c r="O482" s="1146"/>
      <c r="R482" s="1110"/>
      <c r="T482" s="1110"/>
      <c r="U482" s="1111"/>
    </row>
    <row r="483" spans="1:21" ht="15.6" hidden="1" customHeight="1" x14ac:dyDescent="0.2">
      <c r="B483" s="1205"/>
      <c r="C483" s="725" t="s">
        <v>4509</v>
      </c>
      <c r="D483" s="1205"/>
      <c r="E483" s="725" t="s">
        <v>200</v>
      </c>
      <c r="F483" s="1458"/>
      <c r="G483" s="725" t="s">
        <v>4311</v>
      </c>
      <c r="H483" s="56"/>
      <c r="I483" s="725" t="s">
        <v>4313</v>
      </c>
      <c r="J483" s="56"/>
      <c r="K483" s="2882"/>
      <c r="M483" s="1133"/>
      <c r="N483" s="1147"/>
      <c r="O483" s="1146"/>
      <c r="R483" s="1110"/>
      <c r="T483" s="1110"/>
      <c r="U483" s="1111"/>
    </row>
    <row r="484" spans="1:21" ht="15.6" hidden="1" customHeight="1" x14ac:dyDescent="0.2">
      <c r="B484" s="1205"/>
      <c r="C484" s="1999"/>
      <c r="D484" s="1205"/>
      <c r="E484" s="1205"/>
      <c r="F484" s="1205"/>
      <c r="G484" s="1205"/>
      <c r="H484" s="56"/>
      <c r="I484" s="1205"/>
      <c r="J484" s="56"/>
      <c r="K484" s="56"/>
      <c r="M484" s="1133"/>
      <c r="N484" s="1147"/>
      <c r="O484" s="1146"/>
      <c r="R484" s="1110"/>
      <c r="T484" s="1110"/>
      <c r="U484" s="1111"/>
    </row>
    <row r="485" spans="1:21" ht="15.6" hidden="1" customHeight="1" x14ac:dyDescent="0.25">
      <c r="B485" s="50" t="str">
        <f>"Carrying values at "&amp;Parameters!C33</f>
        <v>Carrying values at 01 July 2010</v>
      </c>
      <c r="C485" s="224">
        <f>SUM(C486:C488)</f>
        <v>0</v>
      </c>
      <c r="E485" s="224">
        <f>SUM(E486:E488)</f>
        <v>0</v>
      </c>
      <c r="G485" s="224">
        <f>SUM(G486:G488)</f>
        <v>0</v>
      </c>
      <c r="I485" s="224">
        <f>SUM(I486:I488)</f>
        <v>0</v>
      </c>
      <c r="J485" s="58"/>
      <c r="K485" s="224">
        <f>SUM(K486:K488)</f>
        <v>0</v>
      </c>
      <c r="M485" s="1591">
        <f t="shared" ref="M485:M488" si="7">K485-SUM(C485:I485)</f>
        <v>0</v>
      </c>
      <c r="N485" s="1147"/>
      <c r="O485" s="1146"/>
      <c r="R485" s="1110"/>
      <c r="T485" s="1110"/>
      <c r="U485" s="1111"/>
    </row>
    <row r="486" spans="1:21" ht="15.6" hidden="1" customHeight="1" x14ac:dyDescent="0.2">
      <c r="B486" s="48" t="s">
        <v>157</v>
      </c>
      <c r="C486" s="213">
        <v>0</v>
      </c>
      <c r="E486" s="213">
        <v>0</v>
      </c>
      <c r="G486" s="213">
        <v>0</v>
      </c>
      <c r="I486" s="213">
        <v>0</v>
      </c>
      <c r="J486" s="58"/>
      <c r="K486" s="213">
        <v>0</v>
      </c>
      <c r="M486" s="1591">
        <f t="shared" si="7"/>
        <v>0</v>
      </c>
      <c r="N486" s="1147"/>
      <c r="O486" s="1146"/>
      <c r="P486" s="1110" t="s">
        <v>4335</v>
      </c>
      <c r="Q486" s="1111" t="s">
        <v>2765</v>
      </c>
      <c r="R486" s="1110"/>
      <c r="T486" s="1110"/>
      <c r="U486" s="1111"/>
    </row>
    <row r="487" spans="1:21" ht="15.6" hidden="1" customHeight="1" x14ac:dyDescent="0.2">
      <c r="A487" s="655"/>
      <c r="B487" s="655" t="s">
        <v>718</v>
      </c>
      <c r="C487" s="668">
        <v>0</v>
      </c>
      <c r="D487" s="656"/>
      <c r="E487" s="668">
        <v>0</v>
      </c>
      <c r="F487" s="656"/>
      <c r="G487" s="668">
        <v>0</v>
      </c>
      <c r="H487" s="656"/>
      <c r="I487" s="668">
        <v>0</v>
      </c>
      <c r="J487" s="658"/>
      <c r="K487" s="668">
        <v>0</v>
      </c>
      <c r="L487" s="655"/>
      <c r="M487" s="1591">
        <f t="shared" si="7"/>
        <v>0</v>
      </c>
      <c r="N487" s="1147"/>
      <c r="O487" s="1146"/>
      <c r="P487" s="1110" t="s">
        <v>4336</v>
      </c>
      <c r="Q487" s="1111" t="s">
        <v>2765</v>
      </c>
      <c r="R487" s="1110"/>
      <c r="T487" s="1110"/>
      <c r="U487" s="1111"/>
    </row>
    <row r="488" spans="1:21" ht="15.6" hidden="1" customHeight="1" x14ac:dyDescent="0.2">
      <c r="B488" s="48" t="s">
        <v>152</v>
      </c>
      <c r="C488" s="215">
        <v>0</v>
      </c>
      <c r="E488" s="215">
        <v>0</v>
      </c>
      <c r="G488" s="215">
        <v>0</v>
      </c>
      <c r="I488" s="215">
        <v>0</v>
      </c>
      <c r="J488" s="58"/>
      <c r="K488" s="215">
        <v>0</v>
      </c>
      <c r="M488" s="1591">
        <f t="shared" si="7"/>
        <v>0</v>
      </c>
      <c r="N488" s="1147"/>
      <c r="O488" s="1146"/>
      <c r="P488" s="1110" t="s">
        <v>4337</v>
      </c>
      <c r="Q488" s="1111" t="s">
        <v>2765</v>
      </c>
      <c r="R488" s="1110"/>
      <c r="T488" s="1110"/>
      <c r="U488" s="1111"/>
    </row>
    <row r="489" spans="1:21" ht="15.6" hidden="1" customHeight="1" x14ac:dyDescent="0.2">
      <c r="C489" s="203"/>
      <c r="E489" s="203"/>
      <c r="G489" s="203"/>
      <c r="I489" s="203"/>
      <c r="J489" s="58"/>
      <c r="K489" s="203"/>
      <c r="M489" s="1591"/>
      <c r="N489" s="1147"/>
      <c r="O489" s="1146"/>
      <c r="R489" s="1110"/>
      <c r="T489" s="1110"/>
      <c r="U489" s="1111"/>
    </row>
    <row r="490" spans="1:21" ht="15.6" hidden="1" customHeight="1" x14ac:dyDescent="0.2">
      <c r="B490" s="48" t="s">
        <v>97</v>
      </c>
      <c r="C490" s="58">
        <v>0</v>
      </c>
      <c r="E490" s="58">
        <v>0</v>
      </c>
      <c r="G490" s="58">
        <v>0</v>
      </c>
      <c r="I490" s="58">
        <v>0</v>
      </c>
      <c r="J490" s="58"/>
      <c r="K490" s="58">
        <v>0</v>
      </c>
      <c r="M490" s="1591">
        <f>K490-SUM(C490:I490)</f>
        <v>0</v>
      </c>
      <c r="N490" s="1147"/>
      <c r="O490" s="1146"/>
      <c r="P490" s="1110" t="s">
        <v>4314</v>
      </c>
      <c r="Q490" s="1111" t="s">
        <v>2765</v>
      </c>
      <c r="R490" s="1110"/>
      <c r="T490" s="1110"/>
      <c r="U490" s="1111"/>
    </row>
    <row r="491" spans="1:21" ht="15.6" hidden="1" customHeight="1" x14ac:dyDescent="0.2">
      <c r="C491" s="58"/>
      <c r="E491" s="58"/>
      <c r="G491" s="58"/>
      <c r="I491" s="58"/>
      <c r="J491" s="58"/>
      <c r="K491" s="58"/>
      <c r="M491" s="1591"/>
      <c r="N491" s="1147"/>
      <c r="O491" s="1146"/>
      <c r="R491" s="1110"/>
      <c r="T491" s="1110"/>
      <c r="U491" s="1111"/>
    </row>
    <row r="492" spans="1:21" ht="15.6" hidden="1" customHeight="1" x14ac:dyDescent="0.2">
      <c r="A492" s="655"/>
      <c r="B492" s="655" t="s">
        <v>935</v>
      </c>
      <c r="C492" s="658"/>
      <c r="D492" s="656"/>
      <c r="E492" s="658"/>
      <c r="F492" s="656"/>
      <c r="G492" s="658"/>
      <c r="H492" s="656"/>
      <c r="I492" s="658">
        <v>0</v>
      </c>
      <c r="J492" s="658"/>
      <c r="K492" s="658">
        <v>0</v>
      </c>
      <c r="L492" s="655"/>
      <c r="M492" s="1591"/>
      <c r="N492" s="1147"/>
      <c r="O492" s="1146"/>
      <c r="P492" s="1110" t="s">
        <v>4315</v>
      </c>
      <c r="Q492" s="1111" t="s">
        <v>2765</v>
      </c>
      <c r="R492" s="1110"/>
      <c r="T492" s="1110"/>
      <c r="U492" s="1111"/>
    </row>
    <row r="493" spans="1:21" ht="15.6" hidden="1" customHeight="1" x14ac:dyDescent="0.2">
      <c r="B493" s="48" t="s">
        <v>1893</v>
      </c>
      <c r="C493" s="58">
        <v>0</v>
      </c>
      <c r="E493" s="58">
        <v>0</v>
      </c>
      <c r="G493" s="58">
        <v>0</v>
      </c>
      <c r="I493" s="58">
        <v>0</v>
      </c>
      <c r="J493" s="58"/>
      <c r="K493" s="58">
        <v>0</v>
      </c>
      <c r="M493" s="1591">
        <f t="shared" ref="M493:M494" si="8">K493-SUM(C493:I493)</f>
        <v>0</v>
      </c>
      <c r="N493" s="1147"/>
      <c r="O493" s="1146"/>
      <c r="P493" s="1110" t="s">
        <v>4316</v>
      </c>
      <c r="Q493" s="1111" t="s">
        <v>2765</v>
      </c>
      <c r="R493" s="1110"/>
      <c r="T493" s="1110"/>
      <c r="U493" s="1111"/>
    </row>
    <row r="494" spans="1:21" ht="15.6" hidden="1" customHeight="1" x14ac:dyDescent="0.2">
      <c r="A494" s="655"/>
      <c r="B494" s="655" t="s">
        <v>1894</v>
      </c>
      <c r="C494" s="658">
        <v>0</v>
      </c>
      <c r="D494" s="656"/>
      <c r="E494" s="658">
        <v>0</v>
      </c>
      <c r="F494" s="656"/>
      <c r="G494" s="658">
        <v>0</v>
      </c>
      <c r="H494" s="656"/>
      <c r="I494" s="658">
        <v>0</v>
      </c>
      <c r="J494" s="658"/>
      <c r="K494" s="658">
        <v>0</v>
      </c>
      <c r="L494" s="655"/>
      <c r="M494" s="1591">
        <f t="shared" si="8"/>
        <v>0</v>
      </c>
      <c r="N494" s="1147"/>
      <c r="O494" s="1146"/>
      <c r="P494" s="1110" t="s">
        <v>4317</v>
      </c>
      <c r="Q494" s="1111" t="s">
        <v>2765</v>
      </c>
      <c r="R494" s="1110"/>
      <c r="T494" s="1110"/>
      <c r="U494" s="1111"/>
    </row>
    <row r="495" spans="1:21" ht="15.6" hidden="1" customHeight="1" x14ac:dyDescent="0.2">
      <c r="C495" s="58"/>
      <c r="E495" s="58"/>
      <c r="G495" s="58"/>
      <c r="I495" s="58"/>
      <c r="J495" s="58"/>
      <c r="K495" s="58"/>
      <c r="M495" s="1591"/>
      <c r="N495" s="1147"/>
      <c r="R495" s="1110"/>
      <c r="T495" s="1110"/>
      <c r="U495" s="1111"/>
    </row>
    <row r="496" spans="1:21" ht="15.6" hidden="1" customHeight="1" x14ac:dyDescent="0.2">
      <c r="B496" s="48" t="s">
        <v>1896</v>
      </c>
      <c r="C496" s="58">
        <v>0</v>
      </c>
      <c r="E496" s="58">
        <v>0</v>
      </c>
      <c r="G496" s="58">
        <v>0</v>
      </c>
      <c r="I496" s="58">
        <v>0</v>
      </c>
      <c r="J496" s="58"/>
      <c r="K496" s="58">
        <v>0</v>
      </c>
      <c r="M496" s="1591">
        <f t="shared" ref="M496:M497" si="9">K496-SUM(C496:I496)</f>
        <v>0</v>
      </c>
      <c r="N496" s="1147"/>
      <c r="O496" s="1146"/>
      <c r="P496" s="1110" t="s">
        <v>4318</v>
      </c>
      <c r="Q496" s="1111" t="s">
        <v>2765</v>
      </c>
      <c r="R496" s="1110"/>
      <c r="T496" s="1110"/>
      <c r="U496" s="1111"/>
    </row>
    <row r="497" spans="1:21" ht="15.6" hidden="1" customHeight="1" x14ac:dyDescent="0.2">
      <c r="A497" s="655"/>
      <c r="B497" s="655" t="s">
        <v>1897</v>
      </c>
      <c r="C497" s="658">
        <v>0</v>
      </c>
      <c r="D497" s="656"/>
      <c r="E497" s="658">
        <v>0</v>
      </c>
      <c r="F497" s="656"/>
      <c r="G497" s="658">
        <v>0</v>
      </c>
      <c r="H497" s="656"/>
      <c r="I497" s="658">
        <v>0</v>
      </c>
      <c r="J497" s="658"/>
      <c r="K497" s="658">
        <v>0</v>
      </c>
      <c r="L497" s="655"/>
      <c r="M497" s="1591">
        <f t="shared" si="9"/>
        <v>0</v>
      </c>
      <c r="N497" s="1147"/>
      <c r="O497" s="1146"/>
      <c r="P497" s="1110" t="s">
        <v>4319</v>
      </c>
      <c r="Q497" s="1111" t="s">
        <v>2765</v>
      </c>
      <c r="R497" s="1110"/>
      <c r="T497" s="1110"/>
      <c r="U497" s="1111"/>
    </row>
    <row r="498" spans="1:21" ht="15.6" hidden="1" customHeight="1" x14ac:dyDescent="0.2">
      <c r="C498" s="58"/>
      <c r="E498" s="58"/>
      <c r="G498" s="58"/>
      <c r="I498" s="58"/>
      <c r="J498" s="58"/>
      <c r="K498" s="58"/>
      <c r="M498" s="1591"/>
      <c r="N498" s="1147"/>
      <c r="O498" s="1134"/>
      <c r="R498" s="1110"/>
      <c r="T498" s="1110"/>
      <c r="U498" s="1111"/>
    </row>
    <row r="499" spans="1:21" ht="15.6" hidden="1" customHeight="1" x14ac:dyDescent="0.2">
      <c r="B499" s="48" t="s">
        <v>1898</v>
      </c>
      <c r="C499" s="58">
        <f>SUM(C500:C501)</f>
        <v>0</v>
      </c>
      <c r="E499" s="58">
        <f>SUM(E500:E501)</f>
        <v>0</v>
      </c>
      <c r="G499" s="58">
        <f>SUM(G500:G501)</f>
        <v>0</v>
      </c>
      <c r="I499" s="58">
        <f>SUM(I500:I501)</f>
        <v>0</v>
      </c>
      <c r="J499" s="58"/>
      <c r="K499" s="58">
        <f>SUM(K500:K501)</f>
        <v>0</v>
      </c>
      <c r="M499" s="1591">
        <f t="shared" ref="M499:M502" si="10">K499-SUM(C499:I499)</f>
        <v>0</v>
      </c>
      <c r="N499" s="1147"/>
      <c r="R499" s="1110"/>
      <c r="T499" s="1110"/>
      <c r="U499" s="1111"/>
    </row>
    <row r="500" spans="1:21" ht="15.6" hidden="1" customHeight="1" x14ac:dyDescent="0.2">
      <c r="B500" s="48" t="s">
        <v>722</v>
      </c>
      <c r="C500" s="213">
        <v>0</v>
      </c>
      <c r="E500" s="213">
        <v>0</v>
      </c>
      <c r="G500" s="213">
        <v>0</v>
      </c>
      <c r="I500" s="213">
        <v>0</v>
      </c>
      <c r="J500" s="58"/>
      <c r="K500" s="213">
        <v>0</v>
      </c>
      <c r="M500" s="1591">
        <f t="shared" si="10"/>
        <v>0</v>
      </c>
      <c r="N500" s="1147"/>
      <c r="P500" s="1110" t="s">
        <v>4320</v>
      </c>
      <c r="Q500" s="1111" t="s">
        <v>2765</v>
      </c>
      <c r="R500" s="1110"/>
      <c r="T500" s="1110"/>
      <c r="U500" s="1111"/>
    </row>
    <row r="501" spans="1:21" ht="15.6" hidden="1" customHeight="1" x14ac:dyDescent="0.2">
      <c r="A501" s="655"/>
      <c r="B501" s="655" t="s">
        <v>723</v>
      </c>
      <c r="C501" s="668">
        <v>0</v>
      </c>
      <c r="D501" s="656"/>
      <c r="E501" s="668">
        <v>0</v>
      </c>
      <c r="F501" s="656"/>
      <c r="G501" s="668">
        <v>0</v>
      </c>
      <c r="H501" s="656"/>
      <c r="I501" s="668">
        <v>0</v>
      </c>
      <c r="J501" s="658"/>
      <c r="K501" s="668">
        <v>0</v>
      </c>
      <c r="L501" s="655"/>
      <c r="M501" s="1591">
        <f t="shared" si="10"/>
        <v>0</v>
      </c>
      <c r="N501" s="1147"/>
      <c r="P501" s="1110" t="s">
        <v>4321</v>
      </c>
      <c r="Q501" s="1111" t="s">
        <v>2765</v>
      </c>
      <c r="R501" s="1110"/>
      <c r="T501" s="1110"/>
      <c r="U501" s="1111"/>
    </row>
    <row r="502" spans="1:21" ht="15.6" hidden="1" customHeight="1" x14ac:dyDescent="0.2">
      <c r="B502" s="48" t="s">
        <v>725</v>
      </c>
      <c r="C502" s="215">
        <v>0</v>
      </c>
      <c r="E502" s="215">
        <v>0</v>
      </c>
      <c r="G502" s="215">
        <v>0</v>
      </c>
      <c r="I502" s="215">
        <v>0</v>
      </c>
      <c r="J502" s="58"/>
      <c r="K502" s="215">
        <v>0</v>
      </c>
      <c r="M502" s="1591">
        <f t="shared" si="10"/>
        <v>0</v>
      </c>
      <c r="N502" s="1147"/>
      <c r="P502" s="1110" t="s">
        <v>4322</v>
      </c>
      <c r="Q502" s="1111" t="s">
        <v>2765</v>
      </c>
      <c r="R502" s="1110"/>
      <c r="T502" s="1110"/>
      <c r="U502" s="1111"/>
    </row>
    <row r="503" spans="1:21" ht="15.6" hidden="1" customHeight="1" x14ac:dyDescent="0.2">
      <c r="C503" s="203"/>
      <c r="E503" s="203"/>
      <c r="G503" s="203"/>
      <c r="I503" s="203"/>
      <c r="J503" s="58"/>
      <c r="K503" s="203"/>
      <c r="M503" s="1591"/>
      <c r="N503" s="1147"/>
      <c r="R503" s="1110"/>
      <c r="T503" s="1110"/>
      <c r="U503" s="1111"/>
    </row>
    <row r="504" spans="1:21" ht="15.6" hidden="1" customHeight="1" x14ac:dyDescent="0.2">
      <c r="B504" s="48" t="s">
        <v>1899</v>
      </c>
      <c r="C504" s="212">
        <f>SUM(C505:C513)</f>
        <v>0</v>
      </c>
      <c r="E504" s="212">
        <f>SUM(E505:E513)</f>
        <v>0</v>
      </c>
      <c r="G504" s="212">
        <f>SUM(G505:G513)</f>
        <v>0</v>
      </c>
      <c r="I504" s="212">
        <f>SUM(I505:I513)</f>
        <v>0</v>
      </c>
      <c r="J504" s="58"/>
      <c r="K504" s="212">
        <f>SUM(K505,K509,K513)</f>
        <v>0</v>
      </c>
      <c r="M504" s="1591">
        <f t="shared" ref="M504:M505" si="11">K504-SUM(C504:I504)</f>
        <v>0</v>
      </c>
      <c r="N504" s="1147"/>
      <c r="O504" s="1146"/>
      <c r="R504" s="1110"/>
      <c r="T504" s="1110"/>
      <c r="U504" s="1111"/>
    </row>
    <row r="505" spans="1:21" ht="15.6" hidden="1" customHeight="1" x14ac:dyDescent="0.2">
      <c r="B505" s="48" t="s">
        <v>722</v>
      </c>
      <c r="C505" s="213">
        <v>0</v>
      </c>
      <c r="E505" s="213">
        <v>0</v>
      </c>
      <c r="G505" s="213">
        <v>0</v>
      </c>
      <c r="I505" s="213">
        <v>0</v>
      </c>
      <c r="J505" s="58"/>
      <c r="K505" s="213">
        <f>SUM(K506:K508)</f>
        <v>0</v>
      </c>
      <c r="M505" s="1591">
        <f t="shared" si="11"/>
        <v>0</v>
      </c>
      <c r="N505" s="1147"/>
      <c r="O505" s="1146"/>
      <c r="R505" s="1110"/>
      <c r="T505" s="1110"/>
      <c r="U505" s="1111"/>
    </row>
    <row r="506" spans="1:21" ht="15.6" hidden="1" customHeight="1" x14ac:dyDescent="0.2">
      <c r="A506" s="1221"/>
      <c r="B506" s="1260" t="s">
        <v>4324</v>
      </c>
      <c r="C506" s="1259"/>
      <c r="D506" s="1225"/>
      <c r="E506" s="1259"/>
      <c r="F506" s="1225"/>
      <c r="G506" s="1259"/>
      <c r="H506" s="1225"/>
      <c r="I506" s="1259"/>
      <c r="J506" s="1252"/>
      <c r="K506" s="1259">
        <v>0</v>
      </c>
      <c r="L506" s="1221"/>
      <c r="M506" s="1591"/>
      <c r="N506" s="1147"/>
      <c r="O506" s="1146"/>
      <c r="P506" s="1110" t="s">
        <v>4327</v>
      </c>
      <c r="Q506" s="1111" t="s">
        <v>2765</v>
      </c>
      <c r="R506" s="1110"/>
      <c r="T506" s="1110"/>
      <c r="U506" s="1111"/>
    </row>
    <row r="507" spans="1:21" ht="15.6" hidden="1" customHeight="1" x14ac:dyDescent="0.2">
      <c r="A507" s="1221"/>
      <c r="B507" s="1260" t="s">
        <v>4325</v>
      </c>
      <c r="C507" s="1259"/>
      <c r="D507" s="1225"/>
      <c r="E507" s="1259"/>
      <c r="F507" s="1225"/>
      <c r="G507" s="1259"/>
      <c r="H507" s="1225"/>
      <c r="I507" s="1259"/>
      <c r="J507" s="1252"/>
      <c r="K507" s="1259">
        <v>0</v>
      </c>
      <c r="L507" s="1221"/>
      <c r="M507" s="1591"/>
      <c r="N507" s="1147"/>
      <c r="O507" s="1146"/>
      <c r="P507" s="1110" t="s">
        <v>4323</v>
      </c>
      <c r="Q507" s="1111" t="s">
        <v>2765</v>
      </c>
      <c r="R507" s="1110"/>
      <c r="T507" s="1110"/>
      <c r="U507" s="1111"/>
    </row>
    <row r="508" spans="1:21" ht="15.6" hidden="1" customHeight="1" x14ac:dyDescent="0.2">
      <c r="A508" s="1221"/>
      <c r="B508" s="1260" t="s">
        <v>4326</v>
      </c>
      <c r="C508" s="1259"/>
      <c r="D508" s="1225"/>
      <c r="E508" s="1259"/>
      <c r="F508" s="1225"/>
      <c r="G508" s="1259"/>
      <c r="H508" s="1225"/>
      <c r="I508" s="1259"/>
      <c r="J508" s="1252"/>
      <c r="K508" s="1259">
        <v>0</v>
      </c>
      <c r="L508" s="1221"/>
      <c r="M508" s="1591"/>
      <c r="N508" s="1147"/>
      <c r="O508" s="1146"/>
      <c r="P508" s="1110" t="s">
        <v>4328</v>
      </c>
      <c r="Q508" s="1111" t="s">
        <v>2765</v>
      </c>
      <c r="R508" s="1110"/>
      <c r="T508" s="1110"/>
      <c r="U508" s="1111"/>
    </row>
    <row r="509" spans="1:21" ht="15.6" hidden="1" customHeight="1" x14ac:dyDescent="0.2">
      <c r="A509" s="655"/>
      <c r="B509" s="655" t="s">
        <v>723</v>
      </c>
      <c r="C509" s="668">
        <v>0</v>
      </c>
      <c r="D509" s="656"/>
      <c r="E509" s="668">
        <v>0</v>
      </c>
      <c r="F509" s="656"/>
      <c r="G509" s="668">
        <v>0</v>
      </c>
      <c r="H509" s="656"/>
      <c r="I509" s="668">
        <v>0</v>
      </c>
      <c r="J509" s="658"/>
      <c r="K509" s="668">
        <f>SUM(K510:K512)</f>
        <v>0</v>
      </c>
      <c r="L509" s="655"/>
      <c r="M509" s="1591">
        <f>K509-SUM(C509:I509)</f>
        <v>0</v>
      </c>
      <c r="N509" s="1147"/>
      <c r="O509" s="1146"/>
      <c r="R509" s="1110"/>
      <c r="T509" s="1110"/>
      <c r="U509" s="1111"/>
    </row>
    <row r="510" spans="1:21" ht="15.6" hidden="1" customHeight="1" x14ac:dyDescent="0.2">
      <c r="A510" s="1221"/>
      <c r="B510" s="1260" t="s">
        <v>4324</v>
      </c>
      <c r="C510" s="1259"/>
      <c r="D510" s="1225"/>
      <c r="E510" s="1259"/>
      <c r="F510" s="1225"/>
      <c r="G510" s="1259"/>
      <c r="H510" s="1225"/>
      <c r="I510" s="1259"/>
      <c r="J510" s="1252"/>
      <c r="K510" s="1259">
        <v>0</v>
      </c>
      <c r="L510" s="1221"/>
      <c r="M510" s="1591"/>
      <c r="N510" s="1147"/>
      <c r="O510" s="1146"/>
      <c r="P510" s="1110" t="s">
        <v>4329</v>
      </c>
      <c r="Q510" s="1111" t="s">
        <v>2765</v>
      </c>
      <c r="R510" s="1110"/>
      <c r="T510" s="1110"/>
      <c r="U510" s="1111"/>
    </row>
    <row r="511" spans="1:21" ht="15.6" hidden="1" customHeight="1" x14ac:dyDescent="0.2">
      <c r="A511" s="1221"/>
      <c r="B511" s="1260" t="s">
        <v>4325</v>
      </c>
      <c r="C511" s="1259"/>
      <c r="D511" s="1225"/>
      <c r="E511" s="1259"/>
      <c r="F511" s="1225"/>
      <c r="G511" s="1259"/>
      <c r="H511" s="1225"/>
      <c r="I511" s="1259"/>
      <c r="J511" s="1252"/>
      <c r="K511" s="1259">
        <v>0</v>
      </c>
      <c r="L511" s="1221"/>
      <c r="M511" s="1591"/>
      <c r="N511" s="1147"/>
      <c r="O511" s="1146"/>
      <c r="P511" s="1110" t="s">
        <v>4330</v>
      </c>
      <c r="Q511" s="1111" t="s">
        <v>2765</v>
      </c>
      <c r="R511" s="1110"/>
      <c r="T511" s="1110"/>
      <c r="U511" s="1111"/>
    </row>
    <row r="512" spans="1:21" ht="15.6" hidden="1" customHeight="1" x14ac:dyDescent="0.2">
      <c r="A512" s="1221"/>
      <c r="B512" s="1260" t="s">
        <v>4326</v>
      </c>
      <c r="C512" s="1259"/>
      <c r="D512" s="1225"/>
      <c r="E512" s="1259"/>
      <c r="F512" s="1225"/>
      <c r="G512" s="1259"/>
      <c r="H512" s="1225"/>
      <c r="I512" s="1259"/>
      <c r="J512" s="1252"/>
      <c r="K512" s="1259">
        <v>0</v>
      </c>
      <c r="L512" s="1221"/>
      <c r="M512" s="1591"/>
      <c r="N512" s="1147"/>
      <c r="O512" s="1146"/>
      <c r="P512" s="1110" t="s">
        <v>4331</v>
      </c>
      <c r="Q512" s="1111" t="s">
        <v>2765</v>
      </c>
      <c r="R512" s="1110"/>
      <c r="T512" s="1110"/>
      <c r="U512" s="1111"/>
    </row>
    <row r="513" spans="1:21" ht="15.6" hidden="1" customHeight="1" x14ac:dyDescent="0.2">
      <c r="B513" s="48" t="s">
        <v>725</v>
      </c>
      <c r="C513" s="214">
        <v>0</v>
      </c>
      <c r="E513" s="214">
        <v>0</v>
      </c>
      <c r="G513" s="214">
        <v>0</v>
      </c>
      <c r="I513" s="214">
        <v>0</v>
      </c>
      <c r="J513" s="58"/>
      <c r="K513" s="214">
        <f>SUM(K514:K516)</f>
        <v>0</v>
      </c>
      <c r="M513" s="1591">
        <f>K513-SUM(C513:I513)</f>
        <v>0</v>
      </c>
      <c r="N513" s="1147"/>
      <c r="O513" s="1146"/>
      <c r="R513" s="1110"/>
      <c r="T513" s="1110"/>
      <c r="U513" s="1111"/>
    </row>
    <row r="514" spans="1:21" ht="15.6" hidden="1" customHeight="1" x14ac:dyDescent="0.2">
      <c r="A514" s="1221"/>
      <c r="B514" s="1260" t="s">
        <v>4324</v>
      </c>
      <c r="C514" s="1259"/>
      <c r="D514" s="1225"/>
      <c r="E514" s="1259"/>
      <c r="F514" s="1225"/>
      <c r="G514" s="1259"/>
      <c r="H514" s="1225"/>
      <c r="I514" s="1259"/>
      <c r="J514" s="1252"/>
      <c r="K514" s="1259">
        <v>0</v>
      </c>
      <c r="L514" s="1221"/>
      <c r="M514" s="1591"/>
      <c r="N514" s="1147"/>
      <c r="O514" s="1146"/>
      <c r="P514" s="1110" t="s">
        <v>4332</v>
      </c>
      <c r="Q514" s="1111" t="s">
        <v>2765</v>
      </c>
      <c r="R514" s="1110"/>
      <c r="T514" s="1110"/>
      <c r="U514" s="1111"/>
    </row>
    <row r="515" spans="1:21" ht="15.6" hidden="1" customHeight="1" x14ac:dyDescent="0.2">
      <c r="A515" s="1221"/>
      <c r="B515" s="1260" t="s">
        <v>4325</v>
      </c>
      <c r="C515" s="1259"/>
      <c r="D515" s="1225"/>
      <c r="E515" s="1259"/>
      <c r="F515" s="1225"/>
      <c r="G515" s="1259"/>
      <c r="H515" s="1225"/>
      <c r="I515" s="1259"/>
      <c r="J515" s="1252"/>
      <c r="K515" s="1259">
        <v>0</v>
      </c>
      <c r="L515" s="1221"/>
      <c r="M515" s="1591"/>
      <c r="N515" s="1147"/>
      <c r="O515" s="1146"/>
      <c r="P515" s="1110" t="s">
        <v>4333</v>
      </c>
      <c r="Q515" s="1111" t="s">
        <v>2765</v>
      </c>
      <c r="R515" s="1110"/>
      <c r="T515" s="1110"/>
      <c r="U515" s="1111"/>
    </row>
    <row r="516" spans="1:21" ht="15.6" hidden="1" customHeight="1" x14ac:dyDescent="0.2">
      <c r="A516" s="1221"/>
      <c r="B516" s="1260" t="s">
        <v>4326</v>
      </c>
      <c r="C516" s="1253"/>
      <c r="D516" s="1225"/>
      <c r="E516" s="1253"/>
      <c r="F516" s="1225"/>
      <c r="G516" s="1253"/>
      <c r="H516" s="1225"/>
      <c r="I516" s="1253"/>
      <c r="J516" s="1252"/>
      <c r="K516" s="1253">
        <v>0</v>
      </c>
      <c r="L516" s="1221"/>
      <c r="M516" s="1591"/>
      <c r="N516" s="1147"/>
      <c r="O516" s="1146"/>
      <c r="P516" s="1110" t="s">
        <v>4334</v>
      </c>
      <c r="Q516" s="1111" t="s">
        <v>2765</v>
      </c>
      <c r="R516" s="1110"/>
      <c r="T516" s="1110"/>
      <c r="U516" s="1111"/>
    </row>
    <row r="517" spans="1:21" ht="15.6" hidden="1" customHeight="1" x14ac:dyDescent="0.2">
      <c r="C517" s="203"/>
      <c r="E517" s="203"/>
      <c r="G517" s="203"/>
      <c r="I517" s="203"/>
      <c r="J517" s="58"/>
      <c r="K517" s="203"/>
      <c r="M517" s="1591"/>
      <c r="N517" s="1147"/>
      <c r="O517" s="1146"/>
      <c r="R517" s="1110"/>
      <c r="T517" s="1110"/>
      <c r="U517" s="1111"/>
    </row>
    <row r="518" spans="1:21" ht="15.6" hidden="1" customHeight="1" x14ac:dyDescent="0.25">
      <c r="B518" s="50" t="str">
        <f>"Carrying values at "&amp;Parameters!C13</f>
        <v>Carrying values at 30 June 2011</v>
      </c>
      <c r="C518" s="239">
        <f>SUM(C519:C521)</f>
        <v>0</v>
      </c>
      <c r="E518" s="239">
        <f>SUM(E519:E521)</f>
        <v>0</v>
      </c>
      <c r="G518" s="239">
        <f>SUM(G519:G521)</f>
        <v>0</v>
      </c>
      <c r="I518" s="239">
        <f>SUM(I519:I521)</f>
        <v>0</v>
      </c>
      <c r="J518" s="58"/>
      <c r="K518" s="239">
        <f>SUM(K519:K521)</f>
        <v>0</v>
      </c>
      <c r="M518" s="1591">
        <f t="shared" ref="M518:M521" si="12">K518-SUM(C518:I518)</f>
        <v>0</v>
      </c>
      <c r="N518" s="1147"/>
      <c r="O518" s="1146"/>
      <c r="R518" s="1110"/>
      <c r="T518" s="1110"/>
      <c r="U518" s="1111"/>
    </row>
    <row r="519" spans="1:21" ht="15.6" hidden="1" customHeight="1" x14ac:dyDescent="0.2">
      <c r="B519" s="48" t="s">
        <v>157</v>
      </c>
      <c r="C519" s="213">
        <f>SUM(C486,C490,C500,C505)</f>
        <v>0</v>
      </c>
      <c r="E519" s="213">
        <f>SUM(E486,E490,E500,E505)</f>
        <v>0</v>
      </c>
      <c r="G519" s="213">
        <f>SUM(G486,G490,G500,G505)</f>
        <v>0</v>
      </c>
      <c r="I519" s="213">
        <f>SUM(I486,I490,I500,I505)</f>
        <v>0</v>
      </c>
      <c r="J519" s="58"/>
      <c r="K519" s="213">
        <f>SUM(K486,K490,K500,K505)</f>
        <v>0</v>
      </c>
      <c r="M519" s="1591">
        <f t="shared" si="12"/>
        <v>0</v>
      </c>
      <c r="N519" s="1147"/>
      <c r="O519" s="1146"/>
      <c r="R519" s="1110"/>
      <c r="T519" s="1110"/>
      <c r="U519" s="1111"/>
    </row>
    <row r="520" spans="1:21" ht="15.6" hidden="1" customHeight="1" x14ac:dyDescent="0.2">
      <c r="A520" s="655"/>
      <c r="B520" s="655" t="s">
        <v>718</v>
      </c>
      <c r="C520" s="668">
        <f>SUM(C487,C494,C501,C497,C515)</f>
        <v>0</v>
      </c>
      <c r="D520" s="656"/>
      <c r="E520" s="668">
        <f>SUM(E487,E494,E501,E497,E515)</f>
        <v>0</v>
      </c>
      <c r="F520" s="656"/>
      <c r="G520" s="668">
        <f>SUM(G487,G494,G501,G497,G515)</f>
        <v>0</v>
      </c>
      <c r="H520" s="656"/>
      <c r="I520" s="668">
        <f>SUM(I487,I494,I501,I497,I515)</f>
        <v>0</v>
      </c>
      <c r="J520" s="658"/>
      <c r="K520" s="668">
        <f>SUM(K487,K494,K501,K497,K515)</f>
        <v>0</v>
      </c>
      <c r="L520" s="655"/>
      <c r="M520" s="1591">
        <f t="shared" si="12"/>
        <v>0</v>
      </c>
      <c r="N520" s="1147"/>
      <c r="O520" s="1146"/>
      <c r="R520" s="1110"/>
      <c r="T520" s="1110"/>
      <c r="U520" s="1111"/>
    </row>
    <row r="521" spans="1:21" ht="15.6" hidden="1" customHeight="1" x14ac:dyDescent="0.2">
      <c r="B521" s="48" t="s">
        <v>762</v>
      </c>
      <c r="C521" s="215">
        <f>SUM(C488,C496,C502,C493,C516)</f>
        <v>0</v>
      </c>
      <c r="E521" s="215">
        <f>SUM(E488,E496,E502,E493,E516)</f>
        <v>0</v>
      </c>
      <c r="G521" s="215">
        <f>SUM(G488,G496,G502,G493,G516)</f>
        <v>0</v>
      </c>
      <c r="I521" s="215">
        <f>SUM(I488,I496,I502,I493,I516)</f>
        <v>0</v>
      </c>
      <c r="J521" s="58"/>
      <c r="K521" s="215">
        <f>SUM(K488,K496,K502,K493,K516)</f>
        <v>0</v>
      </c>
      <c r="M521" s="1591">
        <f t="shared" si="12"/>
        <v>0</v>
      </c>
      <c r="N521" s="1147"/>
      <c r="O521" s="1146"/>
    </row>
    <row r="522" spans="1:21" ht="15.6" hidden="1" customHeight="1" x14ac:dyDescent="0.2">
      <c r="B522" s="1205"/>
      <c r="C522" s="217">
        <f>C518-'APPENDIX B'!M306+'APPENDIX B'!AF306</f>
        <v>0</v>
      </c>
      <c r="D522" s="1205"/>
      <c r="E522" s="217">
        <f>E518-'APPENDIX B'!M303+'APPENDIX B'!AF303</f>
        <v>0</v>
      </c>
      <c r="F522" s="1205"/>
      <c r="G522" s="217">
        <f>G518-'APPENDIX B'!M304+'APPENDIX B'!AF304</f>
        <v>0</v>
      </c>
      <c r="I522" s="242">
        <f>I518-'APPENDIX B'!M305+'APPENDIX B'!AF305</f>
        <v>0</v>
      </c>
      <c r="J522" s="218"/>
      <c r="K522" s="242">
        <f>K518-'APPENDIX B'!M311+'APPENDIX B'!AF311</f>
        <v>0</v>
      </c>
      <c r="M522" s="1133"/>
      <c r="N522" s="1147"/>
      <c r="O522" s="1146"/>
    </row>
    <row r="523" spans="1:21" ht="30.95" hidden="1" customHeight="1" x14ac:dyDescent="0.2">
      <c r="A523" s="745"/>
      <c r="B523" s="2841" t="s">
        <v>4017</v>
      </c>
      <c r="C523" s="2841"/>
      <c r="D523" s="2841"/>
      <c r="E523" s="2841"/>
      <c r="F523" s="2841"/>
      <c r="G523" s="2841"/>
      <c r="H523" s="2841"/>
      <c r="I523" s="2841"/>
      <c r="J523" s="2841"/>
      <c r="K523" s="2841"/>
      <c r="L523" s="745"/>
      <c r="M523" s="1216"/>
      <c r="N523" s="1147"/>
      <c r="O523" s="1133"/>
      <c r="P523" s="1115"/>
    </row>
    <row r="524" spans="1:21" ht="15.6" hidden="1" customHeight="1" x14ac:dyDescent="0.25">
      <c r="A524" s="745"/>
      <c r="B524" s="745"/>
      <c r="C524" s="745"/>
      <c r="D524" s="746"/>
      <c r="E524" s="745"/>
      <c r="F524" s="746"/>
      <c r="G524" s="746"/>
      <c r="H524" s="746"/>
      <c r="I524" s="953"/>
      <c r="J524" s="967"/>
      <c r="K524" s="953"/>
      <c r="L524" s="755"/>
      <c r="M524" s="1133"/>
      <c r="N524" s="1147"/>
      <c r="O524" s="1133"/>
      <c r="P524" s="1115"/>
    </row>
    <row r="525" spans="1:21" ht="46.5" hidden="1" customHeight="1" x14ac:dyDescent="0.2">
      <c r="A525" s="745"/>
      <c r="B525" s="2841" t="s">
        <v>4018</v>
      </c>
      <c r="C525" s="2841"/>
      <c r="D525" s="2841"/>
      <c r="E525" s="2841"/>
      <c r="F525" s="2841"/>
      <c r="G525" s="2841"/>
      <c r="H525" s="2841"/>
      <c r="I525" s="2841"/>
      <c r="J525" s="2841"/>
      <c r="K525" s="2841"/>
      <c r="L525" s="745"/>
      <c r="M525" s="1216"/>
      <c r="N525" s="1147"/>
      <c r="O525" s="1133"/>
      <c r="P525" s="1115"/>
    </row>
    <row r="526" spans="1:21" ht="15.6" hidden="1" customHeight="1" x14ac:dyDescent="0.25">
      <c r="A526" s="745"/>
      <c r="B526" s="745"/>
      <c r="C526" s="745"/>
      <c r="D526" s="746"/>
      <c r="E526" s="745"/>
      <c r="F526" s="746"/>
      <c r="G526" s="746"/>
      <c r="H526" s="746"/>
      <c r="I526" s="953"/>
      <c r="J526" s="967"/>
      <c r="K526" s="953"/>
      <c r="L526" s="755"/>
      <c r="M526" s="1133"/>
      <c r="N526" s="1147"/>
      <c r="O526" s="1133"/>
      <c r="P526" s="1115"/>
    </row>
    <row r="527" spans="1:21" ht="30.95" hidden="1" customHeight="1" x14ac:dyDescent="0.2">
      <c r="A527" s="201"/>
      <c r="B527" s="2861" t="s">
        <v>3997</v>
      </c>
      <c r="C527" s="2861"/>
      <c r="D527" s="2861"/>
      <c r="E527" s="2861"/>
      <c r="F527" s="2861"/>
      <c r="G527" s="2861"/>
      <c r="H527" s="2861"/>
      <c r="I527" s="2861"/>
      <c r="J527" s="2861"/>
      <c r="K527" s="2861"/>
      <c r="L527" s="201"/>
      <c r="M527" s="1133"/>
      <c r="N527" s="1147"/>
      <c r="O527" s="1133"/>
    </row>
    <row r="528" spans="1:21" ht="15.6" hidden="1" customHeight="1" x14ac:dyDescent="0.2">
      <c r="I528" s="58"/>
      <c r="J528" s="58"/>
      <c r="K528" s="58"/>
      <c r="L528" s="59"/>
      <c r="N528" s="1471"/>
      <c r="O528" s="1134"/>
    </row>
    <row r="529" spans="1:23" ht="30.95" hidden="1" customHeight="1" x14ac:dyDescent="0.2">
      <c r="B529" s="2839" t="s">
        <v>3998</v>
      </c>
      <c r="C529" s="2839"/>
      <c r="D529" s="2839"/>
      <c r="E529" s="2839"/>
      <c r="F529" s="2839"/>
      <c r="G529" s="2839"/>
      <c r="H529" s="2876"/>
      <c r="I529" s="2876"/>
      <c r="J529" s="2876"/>
      <c r="K529" s="2876"/>
      <c r="M529" s="1216"/>
      <c r="N529" s="1147"/>
      <c r="O529" s="1146"/>
      <c r="P529" s="1115"/>
    </row>
    <row r="530" spans="1:23" ht="15.6" hidden="1" customHeight="1" x14ac:dyDescent="0.25">
      <c r="I530" s="200"/>
      <c r="J530" s="200"/>
      <c r="K530" s="200"/>
      <c r="L530" s="210"/>
      <c r="M530" s="1133"/>
      <c r="N530" s="1147"/>
      <c r="O530" s="1146"/>
      <c r="P530" s="1115"/>
    </row>
    <row r="531" spans="1:23" ht="15.6" hidden="1" customHeight="1" x14ac:dyDescent="0.25">
      <c r="A531" s="1177"/>
      <c r="B531" s="2842" t="s">
        <v>4003</v>
      </c>
      <c r="C531" s="2843"/>
      <c r="D531" s="2843"/>
      <c r="E531" s="2843"/>
      <c r="F531" s="2843"/>
      <c r="G531" s="2843"/>
      <c r="H531" s="2843"/>
      <c r="I531" s="2843"/>
      <c r="J531" s="2843"/>
      <c r="K531" s="2843"/>
      <c r="L531" s="980"/>
      <c r="M531" s="1133"/>
      <c r="N531" s="1133"/>
      <c r="O531" s="1133"/>
      <c r="P531" s="1097"/>
      <c r="Q531" s="1098"/>
      <c r="R531" s="1097"/>
      <c r="S531" s="1098"/>
      <c r="T531" s="1097"/>
      <c r="U531" s="1098"/>
    </row>
    <row r="532" spans="1:23" ht="30.95" hidden="1" customHeight="1" x14ac:dyDescent="0.2">
      <c r="A532" s="767"/>
      <c r="B532" s="2855" t="s">
        <v>2501</v>
      </c>
      <c r="C532" s="2855"/>
      <c r="D532" s="2855"/>
      <c r="E532" s="2855"/>
      <c r="F532" s="2855"/>
      <c r="G532" s="2855"/>
      <c r="H532" s="2864"/>
      <c r="I532" s="2864"/>
      <c r="J532" s="2864"/>
      <c r="K532" s="2864"/>
      <c r="L532" s="767"/>
      <c r="M532" s="1213" t="s">
        <v>1992</v>
      </c>
      <c r="N532" s="1147"/>
      <c r="O532" s="1146"/>
      <c r="P532" s="1115"/>
    </row>
    <row r="533" spans="1:23" ht="15.6" hidden="1" customHeight="1" x14ac:dyDescent="0.25">
      <c r="A533" s="767"/>
      <c r="B533" s="767"/>
      <c r="C533" s="767"/>
      <c r="D533" s="769"/>
      <c r="E533" s="767"/>
      <c r="F533" s="769"/>
      <c r="G533" s="769"/>
      <c r="H533" s="769"/>
      <c r="I533" s="770"/>
      <c r="J533" s="770"/>
      <c r="K533" s="770"/>
      <c r="L533" s="771"/>
      <c r="M533" s="1133"/>
      <c r="N533" s="1147"/>
      <c r="O533" s="1146"/>
      <c r="P533" s="1115"/>
    </row>
    <row r="534" spans="1:23" ht="15.6" hidden="1" customHeight="1" x14ac:dyDescent="0.25">
      <c r="A534" s="625"/>
      <c r="B534" s="2854" t="s">
        <v>3999</v>
      </c>
      <c r="C534" s="2854"/>
      <c r="D534" s="2854"/>
      <c r="E534" s="2854"/>
      <c r="F534" s="2854"/>
      <c r="G534" s="2854"/>
      <c r="H534" s="2876"/>
      <c r="I534" s="2876"/>
      <c r="J534" s="2876"/>
      <c r="K534" s="2876"/>
      <c r="L534" s="628"/>
      <c r="N534" s="1147"/>
    </row>
    <row r="535" spans="1:23" ht="15.6" hidden="1" customHeight="1" x14ac:dyDescent="0.25">
      <c r="B535" s="2839" t="s">
        <v>4000</v>
      </c>
      <c r="C535" s="2839"/>
      <c r="D535" s="2839"/>
      <c r="E535" s="2839"/>
      <c r="F535" s="2839"/>
      <c r="G535" s="2839"/>
      <c r="H535" s="2876"/>
      <c r="I535" s="2876"/>
      <c r="J535" s="2876"/>
      <c r="K535" s="2876"/>
      <c r="L535" s="210"/>
      <c r="M535" s="1133"/>
      <c r="N535" s="1147"/>
      <c r="O535" s="1146"/>
      <c r="P535" s="1115"/>
    </row>
    <row r="536" spans="1:23" ht="15.6" hidden="1" customHeight="1" x14ac:dyDescent="0.25">
      <c r="I536" s="200"/>
      <c r="J536" s="200"/>
      <c r="K536" s="200"/>
      <c r="L536" s="210"/>
    </row>
    <row r="537" spans="1:23" ht="15.6" hidden="1" customHeight="1" x14ac:dyDescent="0.25">
      <c r="B537" s="2839" t="s">
        <v>940</v>
      </c>
      <c r="C537" s="2839"/>
      <c r="D537" s="2839"/>
      <c r="E537" s="2839"/>
      <c r="F537" s="2839"/>
      <c r="G537" s="2839"/>
      <c r="H537" s="2877"/>
      <c r="I537" s="2877"/>
      <c r="J537" s="2877"/>
      <c r="K537" s="2877"/>
      <c r="L537" s="210"/>
      <c r="M537" s="1133"/>
      <c r="N537" s="1147"/>
      <c r="O537" s="1146"/>
      <c r="P537" s="1115"/>
    </row>
    <row r="538" spans="1:23" ht="15.6" hidden="1" customHeight="1" x14ac:dyDescent="0.25">
      <c r="I538" s="200"/>
      <c r="J538" s="200"/>
      <c r="K538" s="200"/>
      <c r="L538" s="210"/>
    </row>
    <row r="539" spans="1:23" ht="15.6" hidden="1" customHeight="1" x14ac:dyDescent="0.25">
      <c r="A539" s="767"/>
      <c r="B539" s="776" t="s">
        <v>6429</v>
      </c>
      <c r="C539" s="767"/>
      <c r="D539" s="769"/>
      <c r="E539" s="767"/>
      <c r="F539" s="769"/>
      <c r="G539" s="769"/>
      <c r="H539" s="769"/>
      <c r="I539" s="773"/>
      <c r="J539" s="1537"/>
      <c r="K539" s="773"/>
      <c r="L539" s="771"/>
      <c r="M539" s="1133"/>
      <c r="N539" s="1147"/>
      <c r="O539" s="1146"/>
      <c r="P539" s="1115"/>
      <c r="W539" s="1114" t="s">
        <v>3857</v>
      </c>
    </row>
    <row r="540" spans="1:23" ht="15.6" hidden="1" customHeight="1" x14ac:dyDescent="0.25">
      <c r="A540" s="767"/>
      <c r="B540" s="767"/>
      <c r="C540" s="767"/>
      <c r="D540" s="769"/>
      <c r="E540" s="767"/>
      <c r="F540" s="769"/>
      <c r="G540" s="769"/>
      <c r="H540" s="769"/>
      <c r="I540" s="773"/>
      <c r="J540" s="1537"/>
      <c r="K540" s="773"/>
      <c r="L540" s="771"/>
      <c r="M540" s="1133"/>
      <c r="N540" s="1147"/>
      <c r="O540" s="1146"/>
      <c r="P540" s="1115"/>
    </row>
    <row r="541" spans="1:23" ht="46.5" hidden="1" customHeight="1" x14ac:dyDescent="0.2">
      <c r="A541" s="767"/>
      <c r="B541" s="2855" t="s">
        <v>4004</v>
      </c>
      <c r="C541" s="2855"/>
      <c r="D541" s="2855"/>
      <c r="E541" s="2855"/>
      <c r="F541" s="2855"/>
      <c r="G541" s="2855"/>
      <c r="H541" s="2864"/>
      <c r="I541" s="2864"/>
      <c r="J541" s="2864"/>
      <c r="K541" s="2864"/>
      <c r="L541" s="767"/>
      <c r="M541" s="1213" t="s">
        <v>4010</v>
      </c>
      <c r="N541" s="1147"/>
      <c r="O541" s="1146"/>
      <c r="P541" s="1115"/>
    </row>
    <row r="542" spans="1:23" ht="15.6" hidden="1" customHeight="1" x14ac:dyDescent="0.25">
      <c r="I542" s="253"/>
      <c r="J542" s="285"/>
      <c r="K542" s="253"/>
      <c r="L542" s="210"/>
      <c r="M542" s="1133"/>
      <c r="N542" s="1147"/>
      <c r="O542" s="1146"/>
      <c r="P542" s="1115"/>
    </row>
    <row r="543" spans="1:23" ht="15.6" hidden="1" customHeight="1" x14ac:dyDescent="0.25">
      <c r="A543" s="50"/>
      <c r="D543" s="48"/>
      <c r="F543" s="48"/>
      <c r="H543" s="49"/>
      <c r="I543" s="1245">
        <f>Parameters!C17</f>
        <v>2012</v>
      </c>
      <c r="J543" s="1206"/>
      <c r="K543" s="1245">
        <f>Parameters!C19</f>
        <v>2011</v>
      </c>
      <c r="L543" s="49"/>
      <c r="M543" s="281" t="s">
        <v>454</v>
      </c>
      <c r="N543" s="1246">
        <f>Parameters!C21</f>
        <v>2010</v>
      </c>
      <c r="O543" s="282"/>
    </row>
    <row r="544" spans="1:23" ht="15.6" hidden="1" customHeight="1" x14ac:dyDescent="0.25">
      <c r="I544" s="1207" t="s">
        <v>255</v>
      </c>
      <c r="J544" s="200"/>
      <c r="K544" s="1207" t="s">
        <v>255</v>
      </c>
      <c r="L544" s="210"/>
    </row>
    <row r="545" spans="1:23" ht="15.6" hidden="1" customHeight="1" x14ac:dyDescent="0.25">
      <c r="I545" s="1207"/>
      <c r="J545" s="200"/>
      <c r="K545" s="1207"/>
      <c r="L545" s="210"/>
    </row>
    <row r="546" spans="1:23" ht="15.6" hidden="1" customHeight="1" x14ac:dyDescent="0.25">
      <c r="B546" s="229" t="s">
        <v>6430</v>
      </c>
      <c r="I546" s="253"/>
      <c r="J546" s="285"/>
      <c r="K546" s="253"/>
      <c r="L546" s="210"/>
      <c r="M546" s="1217" t="s">
        <v>4011</v>
      </c>
      <c r="N546" s="1147"/>
      <c r="O546" s="1146"/>
      <c r="P546" s="1115"/>
      <c r="W546" s="1114" t="s">
        <v>3857</v>
      </c>
    </row>
    <row r="547" spans="1:23" ht="15.6" hidden="1" customHeight="1" x14ac:dyDescent="0.25">
      <c r="I547" s="253"/>
      <c r="J547" s="285"/>
      <c r="K547" s="253"/>
      <c r="L547" s="210"/>
      <c r="N547" s="1147"/>
      <c r="O547" s="1146"/>
    </row>
    <row r="548" spans="1:23" ht="32.1" hidden="1" customHeight="1" x14ac:dyDescent="0.2">
      <c r="A548" s="625"/>
      <c r="B548" s="2854" t="s">
        <v>4005</v>
      </c>
      <c r="C548" s="2854"/>
      <c r="D548" s="2854"/>
      <c r="E548" s="2854"/>
      <c r="F548" s="2854"/>
      <c r="G548" s="2854"/>
      <c r="H548" s="626"/>
      <c r="I548" s="629"/>
      <c r="J548" s="629"/>
      <c r="K548" s="629"/>
      <c r="L548" s="625"/>
      <c r="M548" s="1133"/>
      <c r="N548" s="1147"/>
      <c r="O548" s="1133"/>
      <c r="P548" s="1115"/>
    </row>
    <row r="549" spans="1:23" ht="15.6" hidden="1" customHeight="1" x14ac:dyDescent="0.25">
      <c r="A549" s="625"/>
      <c r="B549" s="625"/>
      <c r="C549" s="625"/>
      <c r="D549" s="626"/>
      <c r="E549" s="625"/>
      <c r="F549" s="626"/>
      <c r="G549" s="626"/>
      <c r="H549" s="626"/>
      <c r="I549" s="629"/>
      <c r="J549" s="678"/>
      <c r="K549" s="629"/>
      <c r="L549" s="628"/>
      <c r="M549" s="1133"/>
      <c r="N549" s="1147"/>
      <c r="O549" s="1146"/>
      <c r="P549" s="1115"/>
    </row>
    <row r="550" spans="1:23" ht="62.1" hidden="1" customHeight="1" x14ac:dyDescent="0.2">
      <c r="A550" s="625"/>
      <c r="B550" s="2854" t="s">
        <v>4006</v>
      </c>
      <c r="C550" s="2854"/>
      <c r="D550" s="2854"/>
      <c r="E550" s="2854"/>
      <c r="F550" s="2854"/>
      <c r="G550" s="2854"/>
      <c r="H550" s="626"/>
      <c r="I550" s="629"/>
      <c r="J550" s="629"/>
      <c r="K550" s="629"/>
      <c r="L550" s="625"/>
      <c r="N550" s="1471"/>
      <c r="O550" s="1146"/>
    </row>
    <row r="551" spans="1:23" ht="46.5" hidden="1" customHeight="1" x14ac:dyDescent="0.2">
      <c r="B551" s="2839" t="s">
        <v>4007</v>
      </c>
      <c r="C551" s="2839"/>
      <c r="D551" s="2839"/>
      <c r="E551" s="2839"/>
      <c r="F551" s="2839"/>
      <c r="G551" s="2839"/>
      <c r="I551" s="253"/>
      <c r="J551" s="253"/>
      <c r="K551" s="253"/>
      <c r="N551" s="1147"/>
      <c r="O551" s="1146"/>
    </row>
    <row r="552" spans="1:23" ht="15.6" hidden="1" customHeight="1" x14ac:dyDescent="0.25">
      <c r="I552" s="253"/>
      <c r="J552" s="285"/>
      <c r="K552" s="253"/>
      <c r="L552" s="210"/>
      <c r="N552" s="1147"/>
      <c r="O552" s="1146"/>
    </row>
    <row r="553" spans="1:23" ht="15.6" hidden="1" customHeight="1" x14ac:dyDescent="0.25">
      <c r="B553" s="48" t="s">
        <v>2097</v>
      </c>
      <c r="I553" s="253">
        <f>'APPENDIX B'!AB730</f>
        <v>0</v>
      </c>
      <c r="J553" s="285"/>
      <c r="K553" s="253">
        <v>0</v>
      </c>
      <c r="L553" s="210"/>
      <c r="N553" s="1147"/>
      <c r="O553" s="1146"/>
    </row>
    <row r="554" spans="1:23" ht="15.6" hidden="1" customHeight="1" x14ac:dyDescent="0.25">
      <c r="B554" s="48" t="s">
        <v>88</v>
      </c>
      <c r="I554" s="253">
        <f>'APPENDIX B'!AB731</f>
        <v>0</v>
      </c>
      <c r="J554" s="285"/>
      <c r="K554" s="253">
        <v>0</v>
      </c>
      <c r="L554" s="210"/>
      <c r="N554" s="1147"/>
      <c r="O554" s="1146"/>
    </row>
    <row r="555" spans="1:23" ht="15.6" hidden="1" customHeight="1" x14ac:dyDescent="0.25">
      <c r="B555" s="48" t="s">
        <v>2098</v>
      </c>
      <c r="I555" s="253">
        <f>'APPENDIX B'!AB732</f>
        <v>0</v>
      </c>
      <c r="J555" s="285"/>
      <c r="K555" s="253">
        <v>0</v>
      </c>
      <c r="L555" s="210"/>
      <c r="N555" s="1147"/>
      <c r="O555" s="1146"/>
    </row>
    <row r="556" spans="1:23" ht="15.6" hidden="1" customHeight="1" x14ac:dyDescent="0.25">
      <c r="I556" s="253"/>
      <c r="J556" s="285"/>
      <c r="K556" s="253"/>
      <c r="L556" s="210"/>
      <c r="N556" s="1147"/>
      <c r="O556" s="1146"/>
    </row>
    <row r="557" spans="1:23" ht="15.6" hidden="1" customHeight="1" thickBot="1" x14ac:dyDescent="0.3">
      <c r="B557" s="50" t="s">
        <v>4008</v>
      </c>
      <c r="C557" s="50"/>
      <c r="I557" s="202">
        <f>SUM(I553:I556)</f>
        <v>0</v>
      </c>
      <c r="K557" s="202">
        <f>SUM(K553:K556)</f>
        <v>0</v>
      </c>
      <c r="N557" s="1147"/>
      <c r="O557" s="1146"/>
    </row>
    <row r="558" spans="1:23" ht="15.6" hidden="1" customHeight="1" thickTop="1" x14ac:dyDescent="0.25">
      <c r="I558" s="217">
        <v>0</v>
      </c>
      <c r="J558" s="285"/>
      <c r="K558" s="217">
        <v>0</v>
      </c>
      <c r="L558" s="210"/>
      <c r="N558" s="1147"/>
      <c r="O558" s="1146"/>
    </row>
    <row r="559" spans="1:23" ht="46.5" hidden="1" customHeight="1" x14ac:dyDescent="0.2">
      <c r="A559" s="767"/>
      <c r="B559" s="2855" t="s">
        <v>4009</v>
      </c>
      <c r="C559" s="2855"/>
      <c r="D559" s="2855"/>
      <c r="E559" s="2855"/>
      <c r="F559" s="2855"/>
      <c r="G559" s="2855"/>
      <c r="H559" s="769"/>
      <c r="I559" s="773"/>
      <c r="J559" s="773"/>
      <c r="K559" s="773"/>
      <c r="L559" s="767"/>
      <c r="N559" s="1147"/>
      <c r="O559" s="1146"/>
    </row>
    <row r="560" spans="1:23" ht="15.6" hidden="1" customHeight="1" x14ac:dyDescent="0.25">
      <c r="A560" s="767"/>
      <c r="B560" s="767"/>
      <c r="C560" s="767"/>
      <c r="D560" s="769"/>
      <c r="E560" s="767"/>
      <c r="F560" s="769"/>
      <c r="G560" s="769"/>
      <c r="H560" s="769"/>
      <c r="I560" s="773"/>
      <c r="J560" s="1537"/>
      <c r="K560" s="773"/>
      <c r="L560" s="771"/>
      <c r="N560" s="1147"/>
      <c r="O560" s="1146"/>
    </row>
    <row r="561" spans="1:23" ht="15.6" hidden="1" customHeight="1" x14ac:dyDescent="0.25">
      <c r="B561" s="229" t="s">
        <v>6431</v>
      </c>
      <c r="I561" s="253"/>
      <c r="J561" s="285"/>
      <c r="K561" s="253"/>
      <c r="L561" s="210"/>
      <c r="M561" s="1217"/>
      <c r="N561" s="1147"/>
      <c r="O561" s="1146"/>
      <c r="P561" s="1115"/>
      <c r="W561" s="1114" t="s">
        <v>3857</v>
      </c>
    </row>
    <row r="562" spans="1:23" ht="15.6" hidden="1" customHeight="1" x14ac:dyDescent="0.25">
      <c r="I562" s="253"/>
      <c r="J562" s="285"/>
      <c r="K562" s="253"/>
      <c r="L562" s="210"/>
      <c r="N562" s="1147"/>
      <c r="O562" s="1146"/>
    </row>
    <row r="563" spans="1:23" ht="30.95" hidden="1" customHeight="1" x14ac:dyDescent="0.2">
      <c r="B563" s="2839" t="s">
        <v>4338</v>
      </c>
      <c r="C563" s="2839"/>
      <c r="D563" s="2839"/>
      <c r="E563" s="2839"/>
      <c r="F563" s="2839"/>
      <c r="G563" s="2839"/>
      <c r="I563" s="253"/>
      <c r="J563" s="253"/>
      <c r="K563" s="253"/>
      <c r="M563" s="1133"/>
      <c r="N563" s="1147"/>
      <c r="O563" s="1133"/>
      <c r="P563" s="1115"/>
    </row>
    <row r="564" spans="1:23" ht="15.6" hidden="1" customHeight="1" x14ac:dyDescent="0.25">
      <c r="I564" s="253"/>
      <c r="J564" s="285"/>
      <c r="K564" s="253"/>
      <c r="L564" s="210"/>
      <c r="M564" s="1133"/>
      <c r="N564" s="1147"/>
      <c r="O564" s="1133"/>
      <c r="P564" s="1115"/>
    </row>
    <row r="565" spans="1:23" ht="30.95" hidden="1" customHeight="1" x14ac:dyDescent="0.2">
      <c r="A565" s="655"/>
      <c r="B565" s="2868" t="s">
        <v>4012</v>
      </c>
      <c r="C565" s="2868"/>
      <c r="D565" s="2868"/>
      <c r="E565" s="2868"/>
      <c r="F565" s="2868"/>
      <c r="G565" s="2868"/>
      <c r="H565" s="656"/>
      <c r="I565" s="1523"/>
      <c r="J565" s="1523"/>
      <c r="K565" s="1523"/>
      <c r="L565" s="655"/>
      <c r="N565" s="1147"/>
      <c r="O565" s="1146"/>
    </row>
    <row r="566" spans="1:23" ht="15.6" hidden="1" customHeight="1" x14ac:dyDescent="0.25">
      <c r="A566" s="655"/>
      <c r="B566" s="655"/>
      <c r="C566" s="655"/>
      <c r="D566" s="656"/>
      <c r="E566" s="655"/>
      <c r="F566" s="656"/>
      <c r="G566" s="656"/>
      <c r="H566" s="656"/>
      <c r="I566" s="1523"/>
      <c r="J566" s="1524"/>
      <c r="K566" s="1523"/>
      <c r="L566" s="664"/>
      <c r="N566" s="1147"/>
      <c r="O566" s="1146"/>
    </row>
    <row r="567" spans="1:23" ht="15.6" hidden="1" customHeight="1" x14ac:dyDescent="0.25">
      <c r="A567" s="655"/>
      <c r="B567" s="655" t="s">
        <v>2097</v>
      </c>
      <c r="C567" s="655"/>
      <c r="D567" s="656"/>
      <c r="E567" s="655"/>
      <c r="F567" s="656"/>
      <c r="G567" s="656"/>
      <c r="H567" s="656"/>
      <c r="I567" s="1523">
        <f>'APPENDIX B'!AB742</f>
        <v>0</v>
      </c>
      <c r="J567" s="1524"/>
      <c r="K567" s="1523">
        <v>0</v>
      </c>
      <c r="L567" s="664"/>
      <c r="N567" s="1147"/>
      <c r="O567" s="1146"/>
    </row>
    <row r="568" spans="1:23" ht="15.6" hidden="1" customHeight="1" x14ac:dyDescent="0.25">
      <c r="A568" s="655"/>
      <c r="B568" s="655" t="s">
        <v>88</v>
      </c>
      <c r="C568" s="655"/>
      <c r="D568" s="656"/>
      <c r="E568" s="655"/>
      <c r="F568" s="656"/>
      <c r="G568" s="656"/>
      <c r="H568" s="656"/>
      <c r="I568" s="1523">
        <f>'APPENDIX B'!AB743</f>
        <v>0</v>
      </c>
      <c r="J568" s="1524"/>
      <c r="K568" s="1523">
        <v>0</v>
      </c>
      <c r="L568" s="664"/>
      <c r="N568" s="1147"/>
      <c r="O568" s="1146"/>
    </row>
    <row r="569" spans="1:23" ht="15.6" hidden="1" customHeight="1" x14ac:dyDescent="0.25">
      <c r="A569" s="655"/>
      <c r="B569" s="655" t="s">
        <v>2098</v>
      </c>
      <c r="C569" s="655"/>
      <c r="D569" s="656"/>
      <c r="E569" s="655"/>
      <c r="F569" s="656"/>
      <c r="G569" s="656"/>
      <c r="H569" s="656"/>
      <c r="I569" s="1523">
        <f>'APPENDIX B'!AB744</f>
        <v>0</v>
      </c>
      <c r="J569" s="1524"/>
      <c r="K569" s="1523">
        <v>0</v>
      </c>
      <c r="L569" s="664"/>
      <c r="N569" s="1147"/>
      <c r="O569" s="1146"/>
    </row>
    <row r="570" spans="1:23" ht="15.6" hidden="1" customHeight="1" x14ac:dyDescent="0.25">
      <c r="A570" s="655"/>
      <c r="B570" s="655"/>
      <c r="C570" s="655"/>
      <c r="D570" s="656"/>
      <c r="E570" s="655"/>
      <c r="F570" s="656"/>
      <c r="G570" s="656"/>
      <c r="H570" s="656"/>
      <c r="I570" s="1523"/>
      <c r="J570" s="1524"/>
      <c r="K570" s="1523"/>
      <c r="L570" s="664"/>
      <c r="N570" s="1147"/>
      <c r="O570" s="1146"/>
    </row>
    <row r="571" spans="1:23" ht="15.6" hidden="1" customHeight="1" thickBot="1" x14ac:dyDescent="0.3">
      <c r="A571" s="655"/>
      <c r="B571" s="659" t="s">
        <v>4013</v>
      </c>
      <c r="C571" s="659"/>
      <c r="D571" s="656"/>
      <c r="E571" s="655"/>
      <c r="F571" s="656"/>
      <c r="G571" s="656"/>
      <c r="H571" s="656"/>
      <c r="I571" s="1545">
        <f>SUM(I567:I570)</f>
        <v>0</v>
      </c>
      <c r="J571" s="661"/>
      <c r="K571" s="1545">
        <f>SUM(K567:K570)</f>
        <v>0</v>
      </c>
      <c r="L571" s="655"/>
      <c r="N571" s="1147"/>
      <c r="O571" s="1146"/>
    </row>
    <row r="572" spans="1:23" ht="15.6" hidden="1" customHeight="1" thickTop="1" x14ac:dyDescent="0.25">
      <c r="A572" s="655"/>
      <c r="B572" s="655"/>
      <c r="C572" s="655"/>
      <c r="D572" s="656"/>
      <c r="E572" s="655"/>
      <c r="F572" s="656"/>
      <c r="G572" s="656"/>
      <c r="H572" s="656"/>
      <c r="I572" s="1528">
        <v>0</v>
      </c>
      <c r="J572" s="1524"/>
      <c r="K572" s="1528">
        <v>0</v>
      </c>
      <c r="L572" s="664"/>
      <c r="N572" s="1147"/>
      <c r="O572" s="1146"/>
    </row>
    <row r="573" spans="1:23" ht="30.95" hidden="1" customHeight="1" x14ac:dyDescent="0.2">
      <c r="A573" s="655"/>
      <c r="B573" s="2868" t="s">
        <v>4014</v>
      </c>
      <c r="C573" s="2868"/>
      <c r="D573" s="2868"/>
      <c r="E573" s="2868"/>
      <c r="F573" s="2868"/>
      <c r="G573" s="2868"/>
      <c r="H573" s="656"/>
      <c r="I573" s="1523"/>
      <c r="J573" s="1523"/>
      <c r="K573" s="1523"/>
      <c r="L573" s="655"/>
      <c r="N573" s="1147"/>
      <c r="O573" s="1146"/>
    </row>
    <row r="574" spans="1:23" ht="15.6" hidden="1" customHeight="1" x14ac:dyDescent="0.25">
      <c r="A574" s="655"/>
      <c r="B574" s="655"/>
      <c r="C574" s="655"/>
      <c r="D574" s="656"/>
      <c r="E574" s="655"/>
      <c r="F574" s="656"/>
      <c r="G574" s="656"/>
      <c r="H574" s="656"/>
      <c r="I574" s="1523"/>
      <c r="J574" s="1524"/>
      <c r="K574" s="1523"/>
      <c r="L574" s="664"/>
      <c r="N574" s="1147"/>
      <c r="O574" s="1146"/>
    </row>
    <row r="575" spans="1:23" ht="15.6" hidden="1" customHeight="1" x14ac:dyDescent="0.25">
      <c r="A575" s="655"/>
      <c r="B575" s="655" t="s">
        <v>2097</v>
      </c>
      <c r="C575" s="655"/>
      <c r="D575" s="656"/>
      <c r="E575" s="655"/>
      <c r="F575" s="656"/>
      <c r="G575" s="656"/>
      <c r="H575" s="656"/>
      <c r="I575" s="1523">
        <f>'APPENDIX B'!AB750</f>
        <v>0</v>
      </c>
      <c r="J575" s="1524"/>
      <c r="K575" s="1523">
        <v>0</v>
      </c>
      <c r="L575" s="664"/>
      <c r="N575" s="1147"/>
      <c r="O575" s="1146"/>
    </row>
    <row r="576" spans="1:23" ht="15.6" hidden="1" customHeight="1" x14ac:dyDescent="0.25">
      <c r="A576" s="655"/>
      <c r="B576" s="655" t="s">
        <v>88</v>
      </c>
      <c r="C576" s="655"/>
      <c r="D576" s="656"/>
      <c r="E576" s="655"/>
      <c r="F576" s="656"/>
      <c r="G576" s="656"/>
      <c r="H576" s="656"/>
      <c r="I576" s="1523">
        <f>'APPENDIX B'!AB751</f>
        <v>0</v>
      </c>
      <c r="J576" s="1524"/>
      <c r="K576" s="1523">
        <v>0</v>
      </c>
      <c r="L576" s="664"/>
      <c r="N576" s="1147"/>
      <c r="O576" s="1146"/>
    </row>
    <row r="577" spans="1:23" ht="15.6" hidden="1" customHeight="1" x14ac:dyDescent="0.25">
      <c r="A577" s="655"/>
      <c r="B577" s="655" t="s">
        <v>2098</v>
      </c>
      <c r="C577" s="655"/>
      <c r="D577" s="656"/>
      <c r="E577" s="655"/>
      <c r="F577" s="656"/>
      <c r="G577" s="656"/>
      <c r="H577" s="656"/>
      <c r="I577" s="1523">
        <f>'APPENDIX B'!AB752</f>
        <v>0</v>
      </c>
      <c r="J577" s="1524"/>
      <c r="K577" s="1523">
        <v>0</v>
      </c>
      <c r="L577" s="664"/>
      <c r="N577" s="1147"/>
      <c r="O577" s="1146"/>
    </row>
    <row r="578" spans="1:23" ht="15.6" hidden="1" customHeight="1" x14ac:dyDescent="0.25">
      <c r="A578" s="655"/>
      <c r="B578" s="655"/>
      <c r="C578" s="655"/>
      <c r="D578" s="656"/>
      <c r="E578" s="655"/>
      <c r="F578" s="656"/>
      <c r="G578" s="656"/>
      <c r="H578" s="656"/>
      <c r="I578" s="1523"/>
      <c r="J578" s="1524"/>
      <c r="K578" s="1523"/>
      <c r="L578" s="664"/>
      <c r="N578" s="1147"/>
      <c r="O578" s="1146"/>
    </row>
    <row r="579" spans="1:23" ht="15.6" hidden="1" customHeight="1" thickBot="1" x14ac:dyDescent="0.3">
      <c r="A579" s="655"/>
      <c r="B579" s="659" t="s">
        <v>4015</v>
      </c>
      <c r="C579" s="659"/>
      <c r="D579" s="656"/>
      <c r="E579" s="655"/>
      <c r="F579" s="656"/>
      <c r="G579" s="656"/>
      <c r="H579" s="656"/>
      <c r="I579" s="1545">
        <f>SUM(I575:I578)</f>
        <v>0</v>
      </c>
      <c r="J579" s="661"/>
      <c r="K579" s="1545">
        <f>SUM(K575:K578)</f>
        <v>0</v>
      </c>
      <c r="L579" s="655"/>
      <c r="N579" s="1147"/>
      <c r="O579" s="1146"/>
    </row>
    <row r="580" spans="1:23" ht="15.6" hidden="1" customHeight="1" thickTop="1" x14ac:dyDescent="0.25">
      <c r="A580" s="655"/>
      <c r="B580" s="655"/>
      <c r="C580" s="655"/>
      <c r="D580" s="656"/>
      <c r="E580" s="655"/>
      <c r="F580" s="656"/>
      <c r="G580" s="656"/>
      <c r="H580" s="656"/>
      <c r="I580" s="1528">
        <v>0</v>
      </c>
      <c r="J580" s="1524"/>
      <c r="K580" s="1528">
        <v>0</v>
      </c>
      <c r="L580" s="664"/>
      <c r="N580" s="1147"/>
      <c r="O580" s="1146"/>
    </row>
    <row r="581" spans="1:23" ht="15.6" hidden="1" customHeight="1" x14ac:dyDescent="0.25">
      <c r="A581" s="655"/>
      <c r="B581" s="1456" t="s">
        <v>6432</v>
      </c>
      <c r="C581" s="655"/>
      <c r="D581" s="656"/>
      <c r="E581" s="655"/>
      <c r="F581" s="656"/>
      <c r="G581" s="656"/>
      <c r="H581" s="656"/>
      <c r="I581" s="1523"/>
      <c r="J581" s="1524"/>
      <c r="K581" s="1523"/>
      <c r="L581" s="664"/>
      <c r="M581" s="1217"/>
      <c r="N581" s="1147"/>
      <c r="O581" s="1146"/>
      <c r="P581" s="1115"/>
      <c r="W581" s="1114" t="s">
        <v>3857</v>
      </c>
    </row>
    <row r="582" spans="1:23" ht="15.6" hidden="1" customHeight="1" x14ac:dyDescent="0.25">
      <c r="A582" s="655"/>
      <c r="B582" s="655"/>
      <c r="C582" s="655"/>
      <c r="D582" s="656"/>
      <c r="E582" s="655"/>
      <c r="F582" s="656"/>
      <c r="G582" s="656"/>
      <c r="H582" s="656"/>
      <c r="I582" s="1523"/>
      <c r="J582" s="1524"/>
      <c r="K582" s="1523"/>
      <c r="L582" s="664"/>
      <c r="M582" s="1133"/>
      <c r="N582" s="1147"/>
      <c r="O582" s="1146"/>
      <c r="P582" s="1115"/>
    </row>
    <row r="583" spans="1:23" ht="46.5" hidden="1" customHeight="1" x14ac:dyDescent="0.2">
      <c r="A583" s="655"/>
      <c r="B583" s="2868" t="s">
        <v>4016</v>
      </c>
      <c r="C583" s="2868"/>
      <c r="D583" s="2868"/>
      <c r="E583" s="2868"/>
      <c r="F583" s="2868"/>
      <c r="G583" s="2868"/>
      <c r="H583" s="656"/>
      <c r="I583" s="1523"/>
      <c r="J583" s="1523"/>
      <c r="K583" s="1523"/>
      <c r="L583" s="655"/>
      <c r="M583" s="1133"/>
      <c r="N583" s="1147"/>
      <c r="O583" s="1146"/>
      <c r="P583" s="1115"/>
    </row>
    <row r="584" spans="1:23" ht="15.6" hidden="1" customHeight="1" x14ac:dyDescent="0.25">
      <c r="A584" s="655"/>
      <c r="B584" s="655"/>
      <c r="C584" s="655"/>
      <c r="D584" s="656"/>
      <c r="E584" s="655"/>
      <c r="F584" s="656"/>
      <c r="G584" s="656"/>
      <c r="H584" s="656"/>
      <c r="I584" s="1523"/>
      <c r="J584" s="1524"/>
      <c r="K584" s="1523"/>
      <c r="L584" s="664"/>
      <c r="M584" s="1133"/>
      <c r="N584" s="1147"/>
      <c r="O584" s="1146"/>
      <c r="P584" s="1115"/>
    </row>
    <row r="585" spans="1:23" ht="15.6" hidden="1" customHeight="1" x14ac:dyDescent="0.25">
      <c r="A585" s="655"/>
      <c r="B585" s="2868" t="s">
        <v>585</v>
      </c>
      <c r="C585" s="2868"/>
      <c r="D585" s="2868"/>
      <c r="E585" s="2868"/>
      <c r="F585" s="2868"/>
      <c r="G585" s="2868"/>
      <c r="H585" s="656"/>
      <c r="I585" s="657"/>
      <c r="J585" s="657"/>
      <c r="K585" s="657"/>
      <c r="L585" s="664"/>
    </row>
    <row r="586" spans="1:23" ht="15.6" hidden="1" customHeight="1" x14ac:dyDescent="0.25">
      <c r="A586" s="655"/>
      <c r="B586" s="655"/>
      <c r="C586" s="655"/>
      <c r="D586" s="656"/>
      <c r="E586" s="655"/>
      <c r="F586" s="656"/>
      <c r="G586" s="656"/>
      <c r="H586" s="656"/>
      <c r="I586" s="669"/>
      <c r="J586" s="657"/>
      <c r="K586" s="669"/>
      <c r="L586" s="664"/>
    </row>
    <row r="587" spans="1:23" ht="15.6" hidden="1" customHeight="1" x14ac:dyDescent="0.25">
      <c r="A587" s="655"/>
      <c r="B587" s="655" t="s">
        <v>273</v>
      </c>
      <c r="C587" s="655"/>
      <c r="D587" s="656"/>
      <c r="E587" s="655"/>
      <c r="F587" s="656"/>
      <c r="G587" s="656"/>
      <c r="H587" s="656"/>
      <c r="I587" s="663">
        <f>K593</f>
        <v>0</v>
      </c>
      <c r="J587" s="663"/>
      <c r="K587" s="663">
        <v>0</v>
      </c>
      <c r="L587" s="664"/>
      <c r="M587" s="1133"/>
      <c r="R587" s="1111" t="s">
        <v>3576</v>
      </c>
      <c r="S587" s="1111" t="s">
        <v>2765</v>
      </c>
    </row>
    <row r="588" spans="1:23" ht="15.6" hidden="1" customHeight="1" x14ac:dyDescent="0.25">
      <c r="A588" s="655"/>
      <c r="B588" s="655" t="s">
        <v>3573</v>
      </c>
      <c r="C588" s="655"/>
      <c r="D588" s="656"/>
      <c r="E588" s="655"/>
      <c r="F588" s="656"/>
      <c r="G588" s="656"/>
      <c r="H588" s="656"/>
      <c r="I588" s="663">
        <v>0</v>
      </c>
      <c r="J588" s="663"/>
      <c r="K588" s="663">
        <v>0</v>
      </c>
      <c r="L588" s="664"/>
      <c r="M588" s="1133"/>
      <c r="P588" s="1110" t="s">
        <v>3572</v>
      </c>
      <c r="Q588" s="1111" t="s">
        <v>2763</v>
      </c>
      <c r="R588" s="1110" t="s">
        <v>3577</v>
      </c>
      <c r="S588" s="1111" t="s">
        <v>2765</v>
      </c>
    </row>
    <row r="589" spans="1:23" ht="15.6" hidden="1" customHeight="1" x14ac:dyDescent="0.25">
      <c r="A589" s="655"/>
      <c r="B589" s="655" t="s">
        <v>3574</v>
      </c>
      <c r="C589" s="655"/>
      <c r="D589" s="656"/>
      <c r="E589" s="655"/>
      <c r="F589" s="656"/>
      <c r="G589" s="656"/>
      <c r="H589" s="656"/>
      <c r="I589" s="663">
        <v>0</v>
      </c>
      <c r="J589" s="663"/>
      <c r="K589" s="663">
        <v>0</v>
      </c>
      <c r="L589" s="664"/>
      <c r="M589" s="1133"/>
      <c r="P589" s="1110" t="s">
        <v>3575</v>
      </c>
      <c r="Q589" s="1111" t="s">
        <v>2763</v>
      </c>
      <c r="R589" s="1110" t="s">
        <v>3578</v>
      </c>
      <c r="S589" s="1111" t="s">
        <v>2765</v>
      </c>
    </row>
    <row r="590" spans="1:23" ht="15.6" hidden="1" customHeight="1" x14ac:dyDescent="0.25">
      <c r="A590" s="655"/>
      <c r="B590" s="655" t="s">
        <v>2296</v>
      </c>
      <c r="C590" s="655"/>
      <c r="D590" s="656"/>
      <c r="E590" s="655"/>
      <c r="F590" s="656"/>
      <c r="G590" s="656"/>
      <c r="H590" s="656"/>
      <c r="I590" s="663">
        <v>0</v>
      </c>
      <c r="J590" s="663"/>
      <c r="K590" s="663">
        <v>0</v>
      </c>
      <c r="L590" s="664"/>
      <c r="M590" s="1133"/>
      <c r="P590" s="1110" t="s">
        <v>3051</v>
      </c>
      <c r="Q590" s="1111" t="s">
        <v>2763</v>
      </c>
      <c r="R590" s="1110" t="s">
        <v>3579</v>
      </c>
      <c r="S590" s="1111" t="s">
        <v>2765</v>
      </c>
    </row>
    <row r="591" spans="1:23" ht="15.6" hidden="1" customHeight="1" x14ac:dyDescent="0.25">
      <c r="A591" s="655"/>
      <c r="B591" s="655" t="s">
        <v>2297</v>
      </c>
      <c r="C591" s="655"/>
      <c r="D591" s="656"/>
      <c r="E591" s="655"/>
      <c r="F591" s="656"/>
      <c r="G591" s="656"/>
      <c r="H591" s="656"/>
      <c r="I591" s="663">
        <v>0</v>
      </c>
      <c r="J591" s="663"/>
      <c r="K591" s="663">
        <v>0</v>
      </c>
      <c r="L591" s="664"/>
      <c r="M591" s="1133"/>
      <c r="P591" s="1110" t="s">
        <v>3571</v>
      </c>
      <c r="Q591" s="1111" t="s">
        <v>2763</v>
      </c>
      <c r="R591" s="1110" t="s">
        <v>3580</v>
      </c>
      <c r="S591" s="1111" t="s">
        <v>2765</v>
      </c>
    </row>
    <row r="592" spans="1:23" ht="15.6" hidden="1" customHeight="1" x14ac:dyDescent="0.25">
      <c r="A592" s="655"/>
      <c r="B592" s="655"/>
      <c r="C592" s="655"/>
      <c r="D592" s="656"/>
      <c r="E592" s="655"/>
      <c r="F592" s="656"/>
      <c r="G592" s="656"/>
      <c r="H592" s="656"/>
      <c r="I592" s="663"/>
      <c r="J592" s="663"/>
      <c r="K592" s="663"/>
      <c r="L592" s="664"/>
      <c r="M592" s="1133"/>
    </row>
    <row r="593" spans="1:23" ht="15.6" hidden="1" customHeight="1" thickBot="1" x14ac:dyDescent="0.3">
      <c r="A593" s="655"/>
      <c r="B593" s="659" t="s">
        <v>274</v>
      </c>
      <c r="C593" s="659"/>
      <c r="D593" s="656"/>
      <c r="E593" s="655"/>
      <c r="F593" s="656"/>
      <c r="G593" s="656"/>
      <c r="H593" s="656"/>
      <c r="I593" s="1527">
        <f>SUM(I587:I592)</f>
        <v>0</v>
      </c>
      <c r="J593" s="657"/>
      <c r="K593" s="1527">
        <f>SUM(K587:K592)</f>
        <v>0</v>
      </c>
      <c r="L593" s="664"/>
      <c r="M593" s="1133"/>
    </row>
    <row r="594" spans="1:23" ht="15.6" hidden="1" customHeight="1" thickTop="1" x14ac:dyDescent="0.2">
      <c r="A594" s="655"/>
      <c r="B594" s="655"/>
      <c r="C594" s="655"/>
      <c r="D594" s="656"/>
      <c r="E594" s="655"/>
      <c r="F594" s="656"/>
      <c r="G594" s="656"/>
      <c r="H594" s="656"/>
      <c r="I594" s="1528">
        <v>0</v>
      </c>
      <c r="J594" s="660"/>
      <c r="K594" s="1528">
        <v>0</v>
      </c>
      <c r="L594" s="1415"/>
      <c r="M594" s="1133"/>
    </row>
    <row r="595" spans="1:23" ht="30.95" hidden="1" customHeight="1" x14ac:dyDescent="0.2">
      <c r="A595" s="655"/>
      <c r="B595" s="2868" t="s">
        <v>2299</v>
      </c>
      <c r="C595" s="2868"/>
      <c r="D595" s="2868"/>
      <c r="E595" s="2868"/>
      <c r="F595" s="2868"/>
      <c r="G595" s="2868"/>
      <c r="H595" s="656"/>
      <c r="I595" s="1523"/>
      <c r="J595" s="1523"/>
      <c r="K595" s="1523"/>
      <c r="L595" s="655"/>
      <c r="N595" s="1147"/>
      <c r="O595" s="1146"/>
    </row>
    <row r="596" spans="1:23" ht="15.6" hidden="1" customHeight="1" x14ac:dyDescent="0.25">
      <c r="A596" s="655"/>
      <c r="B596" s="655"/>
      <c r="C596" s="655"/>
      <c r="D596" s="656"/>
      <c r="E596" s="655"/>
      <c r="F596" s="656"/>
      <c r="G596" s="656"/>
      <c r="H596" s="656"/>
      <c r="I596" s="1523"/>
      <c r="J596" s="1524"/>
      <c r="K596" s="1523"/>
      <c r="L596" s="664"/>
      <c r="N596" s="1147"/>
      <c r="O596" s="1146"/>
    </row>
    <row r="597" spans="1:23" ht="46.5" hidden="1" customHeight="1" x14ac:dyDescent="0.2">
      <c r="A597" s="655"/>
      <c r="B597" s="2868" t="s">
        <v>2300</v>
      </c>
      <c r="C597" s="2868"/>
      <c r="D597" s="2868"/>
      <c r="E597" s="2868"/>
      <c r="F597" s="2868"/>
      <c r="G597" s="2868"/>
      <c r="H597" s="656"/>
      <c r="I597" s="1523"/>
      <c r="J597" s="1523"/>
      <c r="K597" s="1523"/>
      <c r="L597" s="655"/>
      <c r="M597" s="1214"/>
      <c r="N597" s="1147"/>
      <c r="O597" s="1146"/>
    </row>
    <row r="598" spans="1:23" ht="15.6" hidden="1" customHeight="1" x14ac:dyDescent="0.25">
      <c r="A598" s="655"/>
      <c r="B598" s="655"/>
      <c r="C598" s="655"/>
      <c r="D598" s="656"/>
      <c r="E598" s="655"/>
      <c r="F598" s="656"/>
      <c r="G598" s="656"/>
      <c r="H598" s="656"/>
      <c r="I598" s="1523"/>
      <c r="J598" s="1524"/>
      <c r="K598" s="1523"/>
      <c r="L598" s="664"/>
      <c r="N598" s="1147"/>
      <c r="O598" s="1146"/>
    </row>
    <row r="599" spans="1:23" ht="15.6" customHeight="1" x14ac:dyDescent="0.25">
      <c r="A599" s="211">
        <v>11</v>
      </c>
      <c r="B599" s="50" t="s">
        <v>1591</v>
      </c>
      <c r="C599" s="50"/>
      <c r="I599" s="58"/>
      <c r="J599" s="58"/>
      <c r="K599" s="58"/>
      <c r="M599" s="1133"/>
      <c r="N599" s="1147"/>
      <c r="O599" s="1146"/>
      <c r="W599" s="1114" t="s">
        <v>3520</v>
      </c>
    </row>
    <row r="600" spans="1:23" ht="15.6" customHeight="1" x14ac:dyDescent="0.2">
      <c r="I600" s="58"/>
      <c r="J600" s="58"/>
      <c r="K600" s="58"/>
      <c r="M600" s="1133"/>
      <c r="N600" s="1147"/>
      <c r="O600" s="1146"/>
    </row>
    <row r="601" spans="1:23" ht="15.6" customHeight="1" thickBot="1" x14ac:dyDescent="0.3">
      <c r="B601" s="48" t="s">
        <v>931</v>
      </c>
      <c r="C601" s="50"/>
      <c r="I601" s="226">
        <f>'Trial Balance - FPos'!F156</f>
        <v>430680</v>
      </c>
      <c r="J601" s="58"/>
      <c r="K601" s="226">
        <f>'Trial Balance - FPos'!C156</f>
        <v>585000</v>
      </c>
      <c r="M601" s="1213" t="s">
        <v>1965</v>
      </c>
      <c r="N601" s="1147">
        <v>0</v>
      </c>
      <c r="O601" s="1147"/>
      <c r="P601" s="1115" t="s">
        <v>3055</v>
      </c>
      <c r="Q601" s="1111" t="s">
        <v>2763</v>
      </c>
      <c r="R601" s="1111" t="s">
        <v>3056</v>
      </c>
      <c r="S601" s="1111" t="s">
        <v>2765</v>
      </c>
      <c r="T601" s="1111" t="s">
        <v>3057</v>
      </c>
      <c r="U601" s="1112" t="s">
        <v>2775</v>
      </c>
    </row>
    <row r="602" spans="1:23" ht="15.6" customHeight="1" thickTop="1" x14ac:dyDescent="0.2">
      <c r="I602" s="217"/>
      <c r="J602" s="218"/>
      <c r="K602" s="217"/>
      <c r="M602" s="1482"/>
      <c r="N602" s="1133"/>
      <c r="O602" s="1146"/>
      <c r="P602" s="1117"/>
    </row>
    <row r="603" spans="1:23" ht="15.6" customHeight="1" x14ac:dyDescent="0.2">
      <c r="B603" s="2839" t="s">
        <v>1595</v>
      </c>
      <c r="C603" s="2839"/>
      <c r="D603" s="2839"/>
      <c r="E603" s="2839"/>
      <c r="F603" s="2839"/>
      <c r="G603" s="2839"/>
      <c r="H603" s="56"/>
      <c r="I603" s="56"/>
      <c r="J603" s="56"/>
      <c r="K603" s="56"/>
      <c r="M603" s="1133"/>
      <c r="N603" s="1147"/>
      <c r="O603" s="1146"/>
      <c r="P603" s="1117"/>
    </row>
    <row r="604" spans="1:23" ht="15.6" customHeight="1" x14ac:dyDescent="0.2">
      <c r="B604" s="2057"/>
      <c r="C604" s="2057"/>
      <c r="D604" s="2057"/>
      <c r="E604" s="725"/>
      <c r="F604" s="2057"/>
      <c r="G604" s="725" t="s">
        <v>1592</v>
      </c>
      <c r="H604" s="56"/>
      <c r="I604" s="725" t="s">
        <v>6433</v>
      </c>
      <c r="J604" s="56"/>
      <c r="K604" s="725" t="s">
        <v>234</v>
      </c>
      <c r="M604" s="1133"/>
      <c r="N604" s="1147"/>
      <c r="O604" s="1146"/>
      <c r="P604" s="1117"/>
    </row>
    <row r="605" spans="1:23" ht="15.6" customHeight="1" x14ac:dyDescent="0.2">
      <c r="B605" s="2057"/>
      <c r="C605" s="2057"/>
      <c r="D605" s="2057"/>
      <c r="E605" s="725"/>
      <c r="F605" s="2057"/>
      <c r="G605" s="725"/>
      <c r="H605" s="56"/>
      <c r="I605" s="725"/>
      <c r="J605" s="56"/>
      <c r="K605" s="725"/>
      <c r="M605" s="1133"/>
      <c r="N605" s="1147"/>
      <c r="O605" s="1146"/>
      <c r="P605" s="1117"/>
    </row>
    <row r="606" spans="1:23" ht="15.6" customHeight="1" x14ac:dyDescent="0.2">
      <c r="B606" s="2057"/>
      <c r="C606" s="2057"/>
      <c r="D606" s="2057"/>
      <c r="E606" s="2057"/>
      <c r="F606" s="2057"/>
      <c r="G606" s="2057"/>
      <c r="H606" s="56"/>
      <c r="I606" s="56"/>
      <c r="J606" s="56"/>
      <c r="K606" s="56"/>
      <c r="M606" s="1133"/>
      <c r="N606" s="1147"/>
      <c r="O606" s="1146"/>
      <c r="P606" s="1117"/>
    </row>
    <row r="607" spans="1:23" ht="15.6" customHeight="1" x14ac:dyDescent="0.25">
      <c r="B607" s="50" t="str">
        <f>"Carrying values at "&amp;Parameters!C31</f>
        <v>Carrying values at 01 July 2011</v>
      </c>
      <c r="E607" s="224"/>
      <c r="G607" s="224">
        <f>SUM(G608:G610)</f>
        <v>573300</v>
      </c>
      <c r="I607" s="224">
        <f>SUM(I608:I610)</f>
        <v>11700</v>
      </c>
      <c r="J607" s="58"/>
      <c r="K607" s="224">
        <f>SUM(K608:K610)</f>
        <v>585000</v>
      </c>
      <c r="M607" s="1591">
        <f>K607-SUM(E607,G607,I607)</f>
        <v>0</v>
      </c>
      <c r="N607" s="1147"/>
      <c r="O607" s="1146"/>
    </row>
    <row r="608" spans="1:23" ht="15.6" customHeight="1" x14ac:dyDescent="0.2">
      <c r="B608" s="48" t="s">
        <v>1512</v>
      </c>
      <c r="E608" s="58"/>
      <c r="G608" s="213">
        <f>G660</f>
        <v>573300</v>
      </c>
      <c r="I608" s="213">
        <f>I660</f>
        <v>11700</v>
      </c>
      <c r="J608" s="58"/>
      <c r="K608" s="213">
        <f>K660</f>
        <v>585000</v>
      </c>
      <c r="M608" s="1591">
        <f>K608-SUM(E608,G608,I608)</f>
        <v>0</v>
      </c>
      <c r="N608" s="1147"/>
      <c r="O608" s="1146"/>
    </row>
    <row r="609" spans="1:23" ht="15.6" hidden="1" customHeight="1" x14ac:dyDescent="0.2">
      <c r="B609" s="48" t="s">
        <v>198</v>
      </c>
      <c r="E609" s="58"/>
      <c r="G609" s="214">
        <f>G661</f>
        <v>0</v>
      </c>
      <c r="I609" s="214">
        <f>I661</f>
        <v>0</v>
      </c>
      <c r="J609" s="58"/>
      <c r="K609" s="214">
        <f>K661</f>
        <v>0</v>
      </c>
      <c r="M609" s="1591">
        <f>K609-SUM(E609,G609,I609)</f>
        <v>0</v>
      </c>
      <c r="N609" s="1147"/>
      <c r="O609" s="1146"/>
    </row>
    <row r="610" spans="1:23" ht="15.6" hidden="1" customHeight="1" x14ac:dyDescent="0.2">
      <c r="B610" s="48" t="s">
        <v>762</v>
      </c>
      <c r="E610" s="58"/>
      <c r="G610" s="215">
        <f>G662</f>
        <v>0</v>
      </c>
      <c r="I610" s="215">
        <f>I662</f>
        <v>0</v>
      </c>
      <c r="J610" s="58"/>
      <c r="K610" s="215">
        <f>K662</f>
        <v>0</v>
      </c>
      <c r="M610" s="1591">
        <f>K610-SUM(E610,G610,I610)</f>
        <v>0</v>
      </c>
      <c r="N610" s="1147"/>
      <c r="O610" s="1146"/>
      <c r="P610" s="48"/>
      <c r="Q610" s="48"/>
      <c r="R610" s="48"/>
      <c r="S610" s="48"/>
      <c r="T610" s="48"/>
      <c r="U610" s="48"/>
      <c r="V610" s="48"/>
      <c r="W610" s="48"/>
    </row>
    <row r="611" spans="1:23" ht="15.6" customHeight="1" x14ac:dyDescent="0.2">
      <c r="E611" s="58"/>
      <c r="G611" s="203"/>
      <c r="I611" s="203"/>
      <c r="J611" s="58"/>
      <c r="K611" s="203"/>
      <c r="M611" s="1591"/>
      <c r="N611" s="1147"/>
      <c r="O611" s="1146"/>
      <c r="P611" s="48"/>
      <c r="Q611" s="48"/>
      <c r="R611" s="48"/>
      <c r="S611" s="48"/>
      <c r="T611" s="48"/>
      <c r="U611" s="48"/>
      <c r="V611" s="48"/>
      <c r="W611" s="48"/>
    </row>
    <row r="612" spans="1:23" ht="15.6" customHeight="1" x14ac:dyDescent="0.2">
      <c r="B612" s="48" t="s">
        <v>6540</v>
      </c>
      <c r="E612" s="58"/>
      <c r="G612" s="58">
        <v>115500</v>
      </c>
      <c r="I612" s="58">
        <v>0</v>
      </c>
      <c r="J612" s="58"/>
      <c r="K612" s="58">
        <f>G612+I612</f>
        <v>115500</v>
      </c>
      <c r="M612" s="1591">
        <f t="shared" ref="M612:M619" si="13">K612-SUM(E612,G612,I612)</f>
        <v>0</v>
      </c>
      <c r="N612" s="1147"/>
      <c r="O612" s="1146"/>
      <c r="P612" s="48"/>
      <c r="Q612" s="48"/>
      <c r="R612" s="48"/>
      <c r="S612" s="48"/>
      <c r="T612" s="48"/>
      <c r="U612" s="48"/>
      <c r="V612" s="48"/>
      <c r="W612" s="48"/>
    </row>
    <row r="613" spans="1:23" ht="15.6" customHeight="1" x14ac:dyDescent="0.2">
      <c r="B613" s="48" t="s">
        <v>1596</v>
      </c>
      <c r="E613" s="58"/>
      <c r="G613" s="58">
        <v>0</v>
      </c>
      <c r="I613" s="58">
        <f>7980-7710</f>
        <v>270</v>
      </c>
      <c r="J613" s="58"/>
      <c r="K613" s="58">
        <f t="shared" ref="K613:K622" si="14">G613+I613</f>
        <v>270</v>
      </c>
      <c r="M613" s="1591">
        <f t="shared" si="13"/>
        <v>0</v>
      </c>
      <c r="N613" s="1147"/>
      <c r="O613" s="1146"/>
      <c r="P613" s="48"/>
      <c r="Q613" s="48"/>
      <c r="R613" s="48"/>
      <c r="S613" s="48"/>
      <c r="T613" s="48"/>
      <c r="U613" s="48"/>
      <c r="V613" s="48"/>
      <c r="W613" s="48"/>
    </row>
    <row r="614" spans="1:23" ht="15.6" hidden="1" customHeight="1" x14ac:dyDescent="0.2">
      <c r="A614" s="655"/>
      <c r="B614" s="655" t="s">
        <v>720</v>
      </c>
      <c r="C614" s="655"/>
      <c r="D614" s="656"/>
      <c r="E614" s="658"/>
      <c r="F614" s="656"/>
      <c r="G614" s="58">
        <v>0</v>
      </c>
      <c r="I614" s="58">
        <v>0</v>
      </c>
      <c r="J614" s="58"/>
      <c r="K614" s="58">
        <f t="shared" si="14"/>
        <v>0</v>
      </c>
      <c r="L614" s="655"/>
      <c r="M614" s="1591">
        <f t="shared" si="13"/>
        <v>0</v>
      </c>
      <c r="N614" s="1147"/>
      <c r="O614" s="1146"/>
      <c r="P614" s="48"/>
      <c r="Q614" s="48"/>
      <c r="R614" s="48"/>
      <c r="S614" s="48"/>
      <c r="T614" s="48"/>
      <c r="U614" s="48"/>
      <c r="V614" s="48"/>
      <c r="W614" s="48"/>
    </row>
    <row r="615" spans="1:23" ht="15.6" customHeight="1" x14ac:dyDescent="0.2">
      <c r="B615" s="48" t="s">
        <v>6541</v>
      </c>
      <c r="E615" s="58"/>
      <c r="G615" s="58">
        <f>-89100-20250</f>
        <v>-109350</v>
      </c>
      <c r="I615" s="58">
        <v>-3990</v>
      </c>
      <c r="J615" s="58"/>
      <c r="K615" s="58">
        <f t="shared" si="14"/>
        <v>-113340</v>
      </c>
      <c r="M615" s="1591">
        <f t="shared" si="13"/>
        <v>0</v>
      </c>
      <c r="N615" s="1147"/>
      <c r="O615" s="1146"/>
      <c r="P615" s="48"/>
      <c r="Q615" s="48"/>
      <c r="R615" s="48"/>
      <c r="S615" s="48"/>
      <c r="T615" s="48"/>
      <c r="U615" s="48"/>
      <c r="V615" s="48"/>
      <c r="W615" s="48"/>
    </row>
    <row r="616" spans="1:23" ht="15.6" hidden="1" customHeight="1" x14ac:dyDescent="0.2">
      <c r="A616" s="655"/>
      <c r="B616" s="655" t="s">
        <v>721</v>
      </c>
      <c r="C616" s="655"/>
      <c r="D616" s="656"/>
      <c r="E616" s="658"/>
      <c r="F616" s="656"/>
      <c r="G616" s="58">
        <f>SUM(G617:G618)</f>
        <v>0</v>
      </c>
      <c r="I616" s="58">
        <f>SUM(I617:I618)</f>
        <v>0</v>
      </c>
      <c r="J616" s="58"/>
      <c r="K616" s="58">
        <f t="shared" si="14"/>
        <v>0</v>
      </c>
      <c r="L616" s="655"/>
      <c r="M616" s="1591">
        <f t="shared" si="13"/>
        <v>0</v>
      </c>
      <c r="N616" s="1147"/>
      <c r="P616" s="48"/>
      <c r="Q616" s="48"/>
      <c r="R616" s="48"/>
      <c r="S616" s="48"/>
      <c r="T616" s="48"/>
      <c r="U616" s="48"/>
      <c r="V616" s="48"/>
      <c r="W616" s="48"/>
    </row>
    <row r="617" spans="1:23" ht="15.6" hidden="1" customHeight="1" x14ac:dyDescent="0.2">
      <c r="A617" s="655"/>
      <c r="B617" s="655" t="s">
        <v>1594</v>
      </c>
      <c r="C617" s="655"/>
      <c r="D617" s="656"/>
      <c r="E617" s="658"/>
      <c r="F617" s="656"/>
      <c r="G617" s="213">
        <v>0</v>
      </c>
      <c r="I617" s="213">
        <v>0</v>
      </c>
      <c r="J617" s="58"/>
      <c r="K617" s="58">
        <f t="shared" si="14"/>
        <v>0</v>
      </c>
      <c r="L617" s="655"/>
      <c r="M617" s="1591">
        <f t="shared" si="13"/>
        <v>0</v>
      </c>
      <c r="N617" s="1147"/>
      <c r="P617" s="48"/>
      <c r="Q617" s="48"/>
      <c r="R617" s="48"/>
      <c r="S617" s="48"/>
      <c r="T617" s="48"/>
      <c r="U617" s="48"/>
      <c r="V617" s="48"/>
      <c r="W617" s="48"/>
    </row>
    <row r="618" spans="1:23" ht="15.6" hidden="1" customHeight="1" x14ac:dyDescent="0.2">
      <c r="A618" s="655"/>
      <c r="B618" s="655" t="s">
        <v>724</v>
      </c>
      <c r="C618" s="655"/>
      <c r="D618" s="656"/>
      <c r="E618" s="658"/>
      <c r="F618" s="656"/>
      <c r="G618" s="214">
        <v>0</v>
      </c>
      <c r="I618" s="214">
        <v>0</v>
      </c>
      <c r="J618" s="58"/>
      <c r="K618" s="58">
        <f t="shared" si="14"/>
        <v>0</v>
      </c>
      <c r="L618" s="655"/>
      <c r="M618" s="1591">
        <f t="shared" si="13"/>
        <v>0</v>
      </c>
      <c r="N618" s="1147"/>
      <c r="P618" s="48"/>
      <c r="Q618" s="48"/>
      <c r="R618" s="48"/>
      <c r="S618" s="48"/>
      <c r="T618" s="48"/>
      <c r="U618" s="48"/>
      <c r="V618" s="48"/>
      <c r="W618" s="48"/>
    </row>
    <row r="619" spans="1:23" ht="15.6" hidden="1" customHeight="1" x14ac:dyDescent="0.2">
      <c r="A619" s="655"/>
      <c r="B619" s="655" t="s">
        <v>725</v>
      </c>
      <c r="C619" s="655"/>
      <c r="D619" s="656"/>
      <c r="E619" s="658"/>
      <c r="F619" s="656"/>
      <c r="G619" s="215">
        <v>0</v>
      </c>
      <c r="I619" s="215">
        <v>0</v>
      </c>
      <c r="J619" s="58"/>
      <c r="K619" s="58">
        <f t="shared" si="14"/>
        <v>0</v>
      </c>
      <c r="L619" s="655"/>
      <c r="M619" s="1591">
        <f t="shared" si="13"/>
        <v>0</v>
      </c>
      <c r="N619" s="1147"/>
      <c r="P619" s="48"/>
      <c r="Q619" s="48"/>
      <c r="R619" s="48"/>
      <c r="S619" s="48"/>
      <c r="T619" s="48"/>
      <c r="U619" s="48"/>
      <c r="V619" s="48"/>
      <c r="W619" s="48"/>
    </row>
    <row r="620" spans="1:23" ht="15.6" hidden="1" customHeight="1" x14ac:dyDescent="0.2">
      <c r="A620" s="655"/>
      <c r="B620" s="655"/>
      <c r="C620" s="655"/>
      <c r="D620" s="656"/>
      <c r="E620" s="658"/>
      <c r="F620" s="656"/>
      <c r="G620" s="203"/>
      <c r="I620" s="203"/>
      <c r="J620" s="58"/>
      <c r="K620" s="58">
        <f t="shared" si="14"/>
        <v>0</v>
      </c>
      <c r="L620" s="655"/>
      <c r="M620" s="1591"/>
      <c r="N620" s="1147"/>
      <c r="P620" s="48"/>
      <c r="Q620" s="48"/>
      <c r="R620" s="48"/>
      <c r="S620" s="48"/>
      <c r="T620" s="48"/>
      <c r="U620" s="48"/>
      <c r="V620" s="48"/>
      <c r="W620" s="48"/>
    </row>
    <row r="621" spans="1:23" ht="15.6" customHeight="1" x14ac:dyDescent="0.2">
      <c r="B621" s="48" t="s">
        <v>6435</v>
      </c>
      <c r="E621" s="58"/>
      <c r="G621" s="58">
        <f>-72000-20250</f>
        <v>-92250</v>
      </c>
      <c r="I621" s="58">
        <v>0</v>
      </c>
      <c r="J621" s="58"/>
      <c r="K621" s="58">
        <f t="shared" si="14"/>
        <v>-92250</v>
      </c>
      <c r="M621" s="1591">
        <f t="shared" ref="M621:M627" si="15">K621-SUM(E621,G621,I621)</f>
        <v>0</v>
      </c>
      <c r="N621" s="1147"/>
      <c r="O621" s="1146"/>
      <c r="P621" s="48"/>
      <c r="Q621" s="48"/>
      <c r="R621" s="48"/>
      <c r="S621" s="48"/>
      <c r="T621" s="48"/>
      <c r="U621" s="48"/>
      <c r="V621" s="48"/>
      <c r="W621" s="48"/>
    </row>
    <row r="622" spans="1:23" ht="15.6" customHeight="1" x14ac:dyDescent="0.2">
      <c r="B622" s="48" t="s">
        <v>1597</v>
      </c>
      <c r="E622" s="58"/>
      <c r="G622" s="58">
        <f>422700-487200</f>
        <v>-64500</v>
      </c>
      <c r="I622" s="58">
        <v>0</v>
      </c>
      <c r="J622" s="58"/>
      <c r="K622" s="58">
        <f t="shared" si="14"/>
        <v>-64500</v>
      </c>
      <c r="M622" s="1591">
        <f t="shared" si="15"/>
        <v>0</v>
      </c>
      <c r="N622" s="1147"/>
      <c r="O622" s="1146"/>
      <c r="P622" s="48"/>
      <c r="Q622" s="48"/>
      <c r="R622" s="48"/>
      <c r="S622" s="48"/>
      <c r="T622" s="48"/>
      <c r="U622" s="48"/>
      <c r="V622" s="48"/>
      <c r="W622" s="48"/>
    </row>
    <row r="623" spans="1:23" ht="15.6" hidden="1" customHeight="1" x14ac:dyDescent="0.2">
      <c r="A623" s="655"/>
      <c r="B623" s="655" t="s">
        <v>933</v>
      </c>
      <c r="C623" s="655"/>
      <c r="D623" s="656"/>
      <c r="E623" s="658"/>
      <c r="F623" s="656"/>
      <c r="G623" s="58">
        <v>0</v>
      </c>
      <c r="I623" s="58">
        <v>0</v>
      </c>
      <c r="J623" s="58"/>
      <c r="K623" s="58">
        <v>0</v>
      </c>
      <c r="L623" s="655"/>
      <c r="M623" s="1591">
        <f t="shared" si="15"/>
        <v>0</v>
      </c>
      <c r="N623" s="1147"/>
      <c r="O623" s="1146"/>
      <c r="P623" s="48"/>
      <c r="Q623" s="48"/>
      <c r="R623" s="48"/>
      <c r="S623" s="48"/>
      <c r="T623" s="48"/>
      <c r="U623" s="48"/>
      <c r="V623" s="48"/>
      <c r="W623" s="48"/>
    </row>
    <row r="624" spans="1:23" ht="15.6" hidden="1" customHeight="1" x14ac:dyDescent="0.2">
      <c r="A624" s="655"/>
      <c r="B624" s="655" t="s">
        <v>934</v>
      </c>
      <c r="C624" s="655"/>
      <c r="D624" s="656"/>
      <c r="E624" s="658"/>
      <c r="F624" s="656"/>
      <c r="G624" s="212">
        <f>SUM(G625:G627)</f>
        <v>0</v>
      </c>
      <c r="I624" s="212">
        <f>SUM(I625:I627)</f>
        <v>0</v>
      </c>
      <c r="J624" s="58"/>
      <c r="K624" s="212">
        <f>SUM(K625:K627)</f>
        <v>0</v>
      </c>
      <c r="L624" s="655"/>
      <c r="M624" s="1591">
        <f t="shared" si="15"/>
        <v>0</v>
      </c>
      <c r="N624" s="1147"/>
      <c r="O624" s="1146"/>
      <c r="P624" s="48"/>
      <c r="Q624" s="48"/>
      <c r="R624" s="48"/>
      <c r="S624" s="48"/>
      <c r="T624" s="48"/>
      <c r="U624" s="48"/>
      <c r="V624" s="48"/>
      <c r="W624" s="48"/>
    </row>
    <row r="625" spans="1:23" ht="15.6" hidden="1" customHeight="1" x14ac:dyDescent="0.2">
      <c r="A625" s="655"/>
      <c r="B625" s="655" t="s">
        <v>722</v>
      </c>
      <c r="C625" s="655"/>
      <c r="D625" s="656"/>
      <c r="E625" s="658"/>
      <c r="F625" s="656"/>
      <c r="G625" s="213">
        <v>0</v>
      </c>
      <c r="I625" s="213">
        <v>0</v>
      </c>
      <c r="J625" s="58"/>
      <c r="K625" s="213">
        <v>0</v>
      </c>
      <c r="L625" s="655"/>
      <c r="M625" s="1591">
        <f t="shared" si="15"/>
        <v>0</v>
      </c>
      <c r="N625" s="1147"/>
      <c r="O625" s="1146"/>
      <c r="P625" s="48"/>
      <c r="Q625" s="48"/>
      <c r="R625" s="48"/>
      <c r="S625" s="48"/>
      <c r="T625" s="48"/>
      <c r="U625" s="48"/>
      <c r="V625" s="48"/>
      <c r="W625" s="48"/>
    </row>
    <row r="626" spans="1:23" ht="15.6" hidden="1" customHeight="1" x14ac:dyDescent="0.2">
      <c r="A626" s="655"/>
      <c r="B626" s="655" t="s">
        <v>724</v>
      </c>
      <c r="C626" s="655"/>
      <c r="D626" s="656"/>
      <c r="E626" s="658"/>
      <c r="F626" s="656"/>
      <c r="G626" s="214">
        <v>0</v>
      </c>
      <c r="I626" s="214">
        <v>0</v>
      </c>
      <c r="J626" s="58"/>
      <c r="K626" s="214">
        <v>0</v>
      </c>
      <c r="L626" s="655"/>
      <c r="M626" s="1591">
        <f t="shared" si="15"/>
        <v>0</v>
      </c>
      <c r="N626" s="1147"/>
      <c r="O626" s="1146"/>
      <c r="Q626" s="48"/>
      <c r="R626" s="48"/>
      <c r="S626" s="48"/>
      <c r="T626" s="48"/>
      <c r="U626" s="48"/>
      <c r="V626" s="48"/>
      <c r="W626" s="48"/>
    </row>
    <row r="627" spans="1:23" ht="15.6" hidden="1" customHeight="1" x14ac:dyDescent="0.2">
      <c r="A627" s="655"/>
      <c r="B627" s="655" t="s">
        <v>725</v>
      </c>
      <c r="C627" s="655"/>
      <c r="D627" s="656"/>
      <c r="E627" s="658"/>
      <c r="F627" s="656"/>
      <c r="G627" s="215">
        <v>0</v>
      </c>
      <c r="I627" s="215">
        <v>0</v>
      </c>
      <c r="J627" s="58"/>
      <c r="K627" s="215">
        <v>0</v>
      </c>
      <c r="L627" s="655"/>
      <c r="M627" s="1591">
        <f t="shared" si="15"/>
        <v>0</v>
      </c>
      <c r="N627" s="1147"/>
      <c r="O627" s="1146"/>
      <c r="Q627" s="48"/>
      <c r="R627" s="48"/>
      <c r="S627" s="48"/>
      <c r="T627" s="48"/>
      <c r="U627" s="48"/>
      <c r="V627" s="48"/>
      <c r="W627" s="48"/>
    </row>
    <row r="628" spans="1:23" ht="15.6" customHeight="1" x14ac:dyDescent="0.2">
      <c r="E628" s="58"/>
      <c r="G628" s="203"/>
      <c r="I628" s="203"/>
      <c r="J628" s="58"/>
      <c r="K628" s="203"/>
      <c r="M628" s="1591"/>
      <c r="N628" s="1147"/>
      <c r="O628" s="1146"/>
      <c r="Q628" s="48"/>
      <c r="R628" s="48"/>
      <c r="S628" s="48"/>
      <c r="T628" s="48"/>
      <c r="U628" s="48"/>
      <c r="V628" s="48"/>
      <c r="W628" s="48"/>
    </row>
    <row r="629" spans="1:23" ht="15.6" customHeight="1" x14ac:dyDescent="0.25">
      <c r="B629" s="50" t="str">
        <f>"Carrying values at "&amp;Parameters!C11</f>
        <v>Carrying values at 30 June 2012</v>
      </c>
      <c r="C629" s="50"/>
      <c r="E629" s="224"/>
      <c r="G629" s="239">
        <f>SUM(G630:G632)</f>
        <v>422700</v>
      </c>
      <c r="I629" s="239">
        <f>SUM(I630:I632)</f>
        <v>7710</v>
      </c>
      <c r="J629" s="58"/>
      <c r="K629" s="239">
        <f>SUM(K630:K632)</f>
        <v>430410</v>
      </c>
      <c r="M629" s="1591">
        <f>K629-SUM(E629,G629,I629)</f>
        <v>0</v>
      </c>
      <c r="N629" s="1147"/>
      <c r="O629" s="1146"/>
      <c r="Q629" s="48"/>
      <c r="R629" s="48"/>
      <c r="S629" s="48"/>
      <c r="T629" s="48"/>
      <c r="U629" s="48"/>
      <c r="V629" s="48"/>
      <c r="W629" s="48"/>
    </row>
    <row r="630" spans="1:23" ht="15.6" customHeight="1" x14ac:dyDescent="0.2">
      <c r="B630" s="48" t="s">
        <v>157</v>
      </c>
      <c r="E630" s="58"/>
      <c r="G630" s="213">
        <f>G608+G612+G615+G621+G622</f>
        <v>422700</v>
      </c>
      <c r="I630" s="213">
        <f>SUM(I608,I612,I615,I621,I622)</f>
        <v>7710</v>
      </c>
      <c r="J630" s="58"/>
      <c r="K630" s="213">
        <f>SUM(K608,K612,K615,K621,K622)</f>
        <v>430410</v>
      </c>
      <c r="M630" s="1591">
        <f>K630-SUM(E630,G630,I630)</f>
        <v>0</v>
      </c>
      <c r="N630" s="1147"/>
      <c r="O630" s="1146"/>
      <c r="Q630" s="48"/>
      <c r="R630" s="48"/>
      <c r="S630" s="48"/>
      <c r="T630" s="48"/>
      <c r="U630" s="48"/>
      <c r="V630" s="48"/>
      <c r="W630" s="48"/>
    </row>
    <row r="631" spans="1:23" ht="15.6" hidden="1" customHeight="1" x14ac:dyDescent="0.2">
      <c r="B631" s="48" t="s">
        <v>726</v>
      </c>
      <c r="E631" s="58"/>
      <c r="G631" s="214">
        <f>SUM(G609,G614,G618,G626)</f>
        <v>0</v>
      </c>
      <c r="I631" s="214">
        <f>SUM(I609,I614,I618,I626)</f>
        <v>0</v>
      </c>
      <c r="J631" s="58"/>
      <c r="K631" s="214">
        <f>SUM(K609,K614,K618,K626)</f>
        <v>0</v>
      </c>
      <c r="M631" s="1591">
        <f>K631-SUM(E631,G631,I631)</f>
        <v>0</v>
      </c>
      <c r="N631" s="1147"/>
      <c r="O631" s="1146"/>
      <c r="Q631" s="48"/>
      <c r="R631" s="48"/>
      <c r="S631" s="48"/>
      <c r="T631" s="48"/>
      <c r="U631" s="48"/>
      <c r="V631" s="48"/>
      <c r="W631" s="48"/>
    </row>
    <row r="632" spans="1:23" ht="15.6" hidden="1" customHeight="1" x14ac:dyDescent="0.2">
      <c r="B632" s="48" t="s">
        <v>762</v>
      </c>
      <c r="E632" s="58"/>
      <c r="G632" s="215">
        <v>0</v>
      </c>
      <c r="I632" s="215">
        <v>0</v>
      </c>
      <c r="J632" s="58"/>
      <c r="K632" s="215">
        <v>0</v>
      </c>
      <c r="M632" s="1591">
        <f>K632-SUM(E632,G632,I632)</f>
        <v>0</v>
      </c>
      <c r="N632" s="1147"/>
      <c r="O632" s="1146"/>
      <c r="Q632" s="48"/>
      <c r="R632" s="48"/>
      <c r="S632" s="48"/>
      <c r="T632" s="48"/>
      <c r="U632" s="48"/>
      <c r="V632" s="48"/>
      <c r="W632" s="48"/>
    </row>
    <row r="633" spans="1:23" ht="15.6" customHeight="1" x14ac:dyDescent="0.2">
      <c r="B633" s="2057"/>
      <c r="C633" s="2057"/>
      <c r="D633" s="2057"/>
      <c r="E633" s="217"/>
      <c r="F633" s="2057"/>
      <c r="G633" s="242"/>
      <c r="I633" s="242"/>
      <c r="J633" s="218"/>
      <c r="K633" s="242">
        <v>0</v>
      </c>
      <c r="M633" s="1133"/>
      <c r="N633" s="1147"/>
      <c r="O633" s="1146"/>
      <c r="Q633" s="48"/>
      <c r="R633" s="48"/>
      <c r="S633" s="48"/>
      <c r="T633" s="48"/>
      <c r="U633" s="48"/>
      <c r="V633" s="48"/>
      <c r="W633" s="48"/>
    </row>
    <row r="634" spans="1:23" ht="15.6" customHeight="1" x14ac:dyDescent="0.2">
      <c r="B634" s="2057"/>
      <c r="C634" s="2057"/>
      <c r="D634" s="2057"/>
      <c r="E634" s="725"/>
      <c r="F634" s="2057"/>
      <c r="G634" s="725" t="s">
        <v>1592</v>
      </c>
      <c r="H634" s="56"/>
      <c r="I634" s="725" t="s">
        <v>6433</v>
      </c>
      <c r="J634" s="56"/>
      <c r="K634" s="725" t="s">
        <v>234</v>
      </c>
      <c r="M634" s="1133"/>
      <c r="N634" s="1147"/>
      <c r="O634" s="1146"/>
      <c r="P634" s="1117"/>
      <c r="Q634" s="48"/>
      <c r="R634" s="48"/>
      <c r="S634" s="48"/>
      <c r="T634" s="48"/>
      <c r="U634" s="48"/>
      <c r="V634" s="48"/>
      <c r="W634" s="48"/>
    </row>
    <row r="635" spans="1:23" ht="15.6" customHeight="1" x14ac:dyDescent="0.2">
      <c r="B635" s="2057"/>
      <c r="C635" s="2057"/>
      <c r="D635" s="2057"/>
      <c r="E635" s="725"/>
      <c r="F635" s="2057"/>
      <c r="G635" s="725"/>
      <c r="H635" s="56"/>
      <c r="I635" s="725"/>
      <c r="J635" s="56"/>
      <c r="K635" s="725"/>
      <c r="M635" s="1133"/>
      <c r="N635" s="1147"/>
      <c r="O635" s="1146"/>
      <c r="P635" s="1117"/>
      <c r="Q635" s="48"/>
      <c r="R635" s="48"/>
      <c r="S635" s="48"/>
      <c r="T635" s="48"/>
      <c r="U635" s="48"/>
      <c r="V635" s="48"/>
      <c r="W635" s="48"/>
    </row>
    <row r="636" spans="1:23" ht="15.6" customHeight="1" x14ac:dyDescent="0.2">
      <c r="B636" s="2057"/>
      <c r="C636" s="2057"/>
      <c r="D636" s="2057"/>
      <c r="E636" s="2057"/>
      <c r="F636" s="2057"/>
      <c r="G636" s="2269"/>
      <c r="H636" s="56"/>
      <c r="I636" s="56"/>
      <c r="J636" s="56"/>
      <c r="K636" s="56"/>
      <c r="M636" s="1133"/>
      <c r="N636" s="1147"/>
      <c r="O636" s="1146"/>
      <c r="P636" s="1117"/>
      <c r="Q636" s="48"/>
      <c r="R636" s="48"/>
      <c r="S636" s="48"/>
      <c r="T636" s="48"/>
      <c r="U636" s="48"/>
      <c r="V636" s="48"/>
      <c r="W636" s="48"/>
    </row>
    <row r="637" spans="1:23" ht="15.6" customHeight="1" x14ac:dyDescent="0.25">
      <c r="B637" s="50" t="str">
        <f>"Carrying values at "&amp;Parameters!C33</f>
        <v>Carrying values at 01 July 2010</v>
      </c>
      <c r="E637" s="224"/>
      <c r="G637" s="224">
        <f>SUM(G638:G640)</f>
        <v>553602</v>
      </c>
      <c r="I637" s="224">
        <f>SUM(I638:I640)</f>
        <v>11298</v>
      </c>
      <c r="J637" s="58"/>
      <c r="K637" s="224">
        <f>SUM(K638:K640)</f>
        <v>564900</v>
      </c>
      <c r="M637" s="1591">
        <f>K637-SUM(E637,G637,I637)</f>
        <v>0</v>
      </c>
      <c r="N637" s="1147"/>
      <c r="O637" s="1146"/>
      <c r="Q637" s="48"/>
      <c r="R637" s="48"/>
      <c r="S637" s="48"/>
      <c r="T637" s="48"/>
      <c r="U637" s="48"/>
      <c r="V637" s="48"/>
      <c r="W637" s="48"/>
    </row>
    <row r="638" spans="1:23" ht="15.6" customHeight="1" x14ac:dyDescent="0.2">
      <c r="B638" s="48" t="s">
        <v>1512</v>
      </c>
      <c r="E638" s="58"/>
      <c r="G638" s="213">
        <v>553602</v>
      </c>
      <c r="I638" s="213">
        <v>11298</v>
      </c>
      <c r="J638" s="58"/>
      <c r="K638" s="213">
        <f>G638+I638</f>
        <v>564900</v>
      </c>
      <c r="M638" s="1591">
        <f>K638-SUM(E638,G638,I638)</f>
        <v>0</v>
      </c>
      <c r="N638" s="1147"/>
      <c r="O638" s="1146"/>
      <c r="Q638" s="48"/>
      <c r="R638" s="48"/>
      <c r="S638" s="48"/>
      <c r="T638" s="48"/>
      <c r="U638" s="48"/>
      <c r="V638" s="48"/>
      <c r="W638" s="48"/>
    </row>
    <row r="639" spans="1:23" ht="15.6" hidden="1" customHeight="1" x14ac:dyDescent="0.2">
      <c r="B639" s="48" t="s">
        <v>198</v>
      </c>
      <c r="E639" s="58"/>
      <c r="G639" s="214">
        <v>0</v>
      </c>
      <c r="I639" s="214">
        <v>0</v>
      </c>
      <c r="J639" s="58"/>
      <c r="K639" s="214">
        <v>0</v>
      </c>
      <c r="M639" s="1591">
        <f>K639-SUM(E639,G639,I639)</f>
        <v>0</v>
      </c>
      <c r="N639" s="1147"/>
      <c r="O639" s="1146"/>
      <c r="Q639" s="48"/>
      <c r="R639" s="48"/>
      <c r="S639" s="48"/>
      <c r="T639" s="48"/>
      <c r="U639" s="48"/>
      <c r="V639" s="48"/>
      <c r="W639" s="48"/>
    </row>
    <row r="640" spans="1:23" ht="15.6" hidden="1" customHeight="1" x14ac:dyDescent="0.2">
      <c r="B640" s="48" t="s">
        <v>762</v>
      </c>
      <c r="E640" s="58"/>
      <c r="G640" s="215">
        <v>0</v>
      </c>
      <c r="I640" s="215">
        <v>0</v>
      </c>
      <c r="J640" s="58"/>
      <c r="K640" s="215">
        <v>0</v>
      </c>
      <c r="M640" s="1591">
        <f>K640-SUM(E640,G640,I640)</f>
        <v>0</v>
      </c>
      <c r="N640" s="1147"/>
      <c r="O640" s="1146"/>
      <c r="Q640" s="48"/>
      <c r="R640" s="48"/>
      <c r="S640" s="48"/>
      <c r="T640" s="48"/>
      <c r="U640" s="48"/>
      <c r="V640" s="48"/>
      <c r="W640" s="48"/>
    </row>
    <row r="641" spans="2:23" ht="15.6" customHeight="1" x14ac:dyDescent="0.2">
      <c r="E641" s="58"/>
      <c r="G641" s="203"/>
      <c r="I641" s="203"/>
      <c r="J641" s="58"/>
      <c r="K641" s="203"/>
      <c r="M641" s="1591"/>
      <c r="N641" s="1147"/>
      <c r="O641" s="1146"/>
      <c r="Q641" s="48"/>
      <c r="R641" s="48"/>
      <c r="S641" s="48"/>
      <c r="T641" s="48"/>
      <c r="U641" s="48"/>
      <c r="V641" s="48"/>
      <c r="W641" s="48"/>
    </row>
    <row r="642" spans="2:23" ht="15.6" hidden="1" customHeight="1" x14ac:dyDescent="0.2">
      <c r="B642" s="48" t="s">
        <v>719</v>
      </c>
      <c r="E642" s="58"/>
      <c r="G642" s="58">
        <v>0</v>
      </c>
      <c r="I642" s="58">
        <v>0</v>
      </c>
      <c r="J642" s="58"/>
      <c r="K642" s="58">
        <v>0</v>
      </c>
      <c r="M642" s="1591">
        <f t="shared" ref="M642:M649" si="16">K642-SUM(E642,G642,I642)</f>
        <v>0</v>
      </c>
      <c r="N642" s="1147"/>
      <c r="O642" s="1146"/>
      <c r="P642" s="48"/>
      <c r="Q642" s="48"/>
      <c r="R642" s="48"/>
      <c r="S642" s="48"/>
      <c r="T642" s="48"/>
      <c r="U642" s="48"/>
      <c r="V642" s="48"/>
      <c r="W642" s="48"/>
    </row>
    <row r="643" spans="2:23" ht="15.6" customHeight="1" x14ac:dyDescent="0.2">
      <c r="B643" s="48" t="s">
        <v>1596</v>
      </c>
      <c r="E643" s="58"/>
      <c r="G643" s="58">
        <v>19698</v>
      </c>
      <c r="I643" s="58">
        <v>402</v>
      </c>
      <c r="J643" s="58"/>
      <c r="K643" s="58">
        <f>G643+I643</f>
        <v>20100</v>
      </c>
      <c r="M643" s="1591">
        <f t="shared" si="16"/>
        <v>0</v>
      </c>
      <c r="N643" s="1147"/>
      <c r="O643" s="1146"/>
      <c r="P643" s="48"/>
      <c r="Q643" s="48"/>
      <c r="R643" s="48"/>
      <c r="S643" s="48"/>
      <c r="T643" s="48"/>
      <c r="U643" s="48"/>
      <c r="V643" s="48"/>
      <c r="W643" s="48"/>
    </row>
    <row r="644" spans="2:23" ht="15.6" hidden="1" customHeight="1" x14ac:dyDescent="0.2">
      <c r="B644" s="48" t="s">
        <v>720</v>
      </c>
      <c r="E644" s="58"/>
      <c r="G644" s="58">
        <v>0</v>
      </c>
      <c r="I644" s="58">
        <v>0</v>
      </c>
      <c r="J644" s="58"/>
      <c r="K644" s="58">
        <v>0</v>
      </c>
      <c r="M644" s="1591">
        <f t="shared" si="16"/>
        <v>0</v>
      </c>
      <c r="N644" s="1147"/>
      <c r="O644" s="1146"/>
      <c r="P644" s="48"/>
      <c r="Q644" s="48"/>
      <c r="R644" s="48"/>
      <c r="S644" s="48"/>
      <c r="T644" s="48"/>
      <c r="U644" s="48"/>
      <c r="V644" s="48"/>
      <c r="W644" s="48"/>
    </row>
    <row r="645" spans="2:23" ht="15.6" hidden="1" customHeight="1" x14ac:dyDescent="0.2">
      <c r="B645" s="48" t="s">
        <v>936</v>
      </c>
      <c r="E645" s="58"/>
      <c r="G645" s="58">
        <v>0</v>
      </c>
      <c r="I645" s="58">
        <v>0</v>
      </c>
      <c r="J645" s="58"/>
      <c r="K645" s="58">
        <v>0</v>
      </c>
      <c r="M645" s="1591">
        <f t="shared" si="16"/>
        <v>0</v>
      </c>
      <c r="N645" s="1147"/>
      <c r="O645" s="1146"/>
      <c r="P645" s="48"/>
      <c r="Q645" s="48"/>
      <c r="R645" s="48"/>
      <c r="S645" s="48"/>
      <c r="T645" s="48"/>
      <c r="U645" s="48"/>
      <c r="V645" s="48"/>
      <c r="W645" s="48"/>
    </row>
    <row r="646" spans="2:23" ht="15.6" hidden="1" customHeight="1" x14ac:dyDescent="0.2">
      <c r="B646" s="48" t="s">
        <v>721</v>
      </c>
      <c r="E646" s="58"/>
      <c r="G646" s="58">
        <f>SUM(G647:G648)</f>
        <v>0</v>
      </c>
      <c r="I646" s="58">
        <f>SUM(I647:I648)</f>
        <v>0</v>
      </c>
      <c r="J646" s="58"/>
      <c r="K646" s="58">
        <f>SUM(K647:K648)</f>
        <v>0</v>
      </c>
      <c r="M646" s="1591">
        <f t="shared" si="16"/>
        <v>0</v>
      </c>
      <c r="N646" s="1147"/>
      <c r="P646" s="48"/>
      <c r="Q646" s="48"/>
      <c r="R646" s="48"/>
      <c r="S646" s="48"/>
      <c r="T646" s="48"/>
      <c r="U646" s="48"/>
      <c r="V646" s="48"/>
      <c r="W646" s="48"/>
    </row>
    <row r="647" spans="2:23" ht="15.6" hidden="1" customHeight="1" x14ac:dyDescent="0.2">
      <c r="B647" s="48" t="s">
        <v>722</v>
      </c>
      <c r="E647" s="58"/>
      <c r="G647" s="213">
        <v>0</v>
      </c>
      <c r="I647" s="213">
        <v>0</v>
      </c>
      <c r="J647" s="58"/>
      <c r="K647" s="213">
        <v>0</v>
      </c>
      <c r="M647" s="1591">
        <f t="shared" si="16"/>
        <v>0</v>
      </c>
      <c r="N647" s="1147"/>
      <c r="P647" s="48"/>
      <c r="Q647" s="48"/>
      <c r="R647" s="48"/>
      <c r="S647" s="48"/>
      <c r="T647" s="48"/>
      <c r="U647" s="48"/>
      <c r="V647" s="48"/>
      <c r="W647" s="48"/>
    </row>
    <row r="648" spans="2:23" ht="15.6" hidden="1" customHeight="1" x14ac:dyDescent="0.2">
      <c r="B648" s="48" t="s">
        <v>724</v>
      </c>
      <c r="E648" s="58"/>
      <c r="G648" s="214">
        <v>0</v>
      </c>
      <c r="I648" s="214">
        <v>0</v>
      </c>
      <c r="J648" s="58"/>
      <c r="K648" s="214">
        <v>0</v>
      </c>
      <c r="M648" s="1591">
        <f t="shared" si="16"/>
        <v>0</v>
      </c>
      <c r="N648" s="1147"/>
      <c r="P648" s="48"/>
      <c r="Q648" s="48"/>
      <c r="R648" s="48"/>
      <c r="S648" s="48"/>
      <c r="T648" s="48"/>
      <c r="U648" s="48"/>
      <c r="V648" s="48"/>
      <c r="W648" s="48"/>
    </row>
    <row r="649" spans="2:23" ht="15.6" hidden="1" customHeight="1" x14ac:dyDescent="0.2">
      <c r="B649" s="48" t="s">
        <v>725</v>
      </c>
      <c r="E649" s="58"/>
      <c r="G649" s="215">
        <v>0</v>
      </c>
      <c r="I649" s="215">
        <v>0</v>
      </c>
      <c r="J649" s="58"/>
      <c r="K649" s="215">
        <v>0</v>
      </c>
      <c r="M649" s="1591">
        <f t="shared" si="16"/>
        <v>0</v>
      </c>
      <c r="N649" s="1147"/>
      <c r="P649" s="48"/>
      <c r="Q649" s="48"/>
      <c r="R649" s="48"/>
      <c r="S649" s="48"/>
      <c r="T649" s="48"/>
      <c r="U649" s="48"/>
      <c r="V649" s="48"/>
      <c r="W649" s="48"/>
    </row>
    <row r="650" spans="2:23" ht="15.6" hidden="1" customHeight="1" x14ac:dyDescent="0.2">
      <c r="E650" s="58"/>
      <c r="G650" s="203"/>
      <c r="I650" s="203"/>
      <c r="J650" s="58"/>
      <c r="K650" s="203"/>
      <c r="M650" s="1591"/>
      <c r="N650" s="1147"/>
      <c r="P650" s="48"/>
      <c r="Q650" s="48"/>
      <c r="R650" s="48"/>
      <c r="S650" s="48"/>
      <c r="T650" s="48"/>
      <c r="U650" s="48"/>
      <c r="V650" s="48"/>
      <c r="W650" s="48"/>
    </row>
    <row r="651" spans="2:23" ht="15.6" hidden="1" customHeight="1" x14ac:dyDescent="0.2">
      <c r="B651" s="48" t="s">
        <v>6434</v>
      </c>
      <c r="E651" s="58"/>
      <c r="G651" s="58">
        <v>0</v>
      </c>
      <c r="I651" s="58">
        <v>0</v>
      </c>
      <c r="J651" s="58"/>
      <c r="K651" s="58">
        <v>0</v>
      </c>
      <c r="M651" s="1591">
        <f t="shared" ref="M651:M657" si="17">K651-SUM(E651,G651,I651)</f>
        <v>0</v>
      </c>
      <c r="N651" s="1147"/>
      <c r="O651" s="1146"/>
      <c r="P651" s="48"/>
      <c r="Q651" s="48"/>
      <c r="R651" s="48"/>
      <c r="S651" s="48"/>
      <c r="T651" s="48"/>
      <c r="U651" s="48"/>
      <c r="V651" s="48"/>
      <c r="W651" s="48"/>
    </row>
    <row r="652" spans="2:23" ht="15.6" hidden="1" customHeight="1" x14ac:dyDescent="0.2">
      <c r="B652" s="48" t="s">
        <v>1597</v>
      </c>
      <c r="E652" s="58"/>
      <c r="G652" s="58">
        <v>0</v>
      </c>
      <c r="I652" s="58">
        <v>0</v>
      </c>
      <c r="J652" s="58"/>
      <c r="K652" s="58">
        <v>0</v>
      </c>
      <c r="M652" s="1591">
        <f t="shared" si="17"/>
        <v>0</v>
      </c>
      <c r="N652" s="1147"/>
      <c r="O652" s="1146"/>
      <c r="P652" s="48"/>
      <c r="Q652" s="48"/>
      <c r="R652" s="48"/>
      <c r="S652" s="48"/>
      <c r="T652" s="48"/>
      <c r="U652" s="48"/>
      <c r="V652" s="48"/>
      <c r="W652" s="48"/>
    </row>
    <row r="653" spans="2:23" ht="15.6" hidden="1" customHeight="1" x14ac:dyDescent="0.2">
      <c r="B653" s="48" t="s">
        <v>933</v>
      </c>
      <c r="E653" s="58"/>
      <c r="G653" s="58">
        <v>0</v>
      </c>
      <c r="I653" s="58">
        <v>0</v>
      </c>
      <c r="J653" s="58"/>
      <c r="K653" s="58">
        <v>0</v>
      </c>
      <c r="M653" s="1591">
        <f t="shared" si="17"/>
        <v>0</v>
      </c>
      <c r="N653" s="1147"/>
      <c r="O653" s="1146"/>
      <c r="P653" s="48"/>
      <c r="Q653" s="48"/>
      <c r="R653" s="48"/>
      <c r="S653" s="48"/>
      <c r="T653" s="48"/>
      <c r="U653" s="48"/>
      <c r="V653" s="48"/>
      <c r="W653" s="48"/>
    </row>
    <row r="654" spans="2:23" ht="15.6" hidden="1" customHeight="1" x14ac:dyDescent="0.2">
      <c r="B654" s="48" t="s">
        <v>934</v>
      </c>
      <c r="E654" s="58"/>
      <c r="G654" s="212">
        <f>SUM(G655:G657)</f>
        <v>0</v>
      </c>
      <c r="I654" s="212">
        <f>SUM(I655:I657)</f>
        <v>0</v>
      </c>
      <c r="J654" s="58"/>
      <c r="K654" s="212">
        <f>SUM(K655:K657)</f>
        <v>0</v>
      </c>
      <c r="M654" s="1591">
        <f t="shared" si="17"/>
        <v>0</v>
      </c>
      <c r="N654" s="1147"/>
      <c r="O654" s="1146"/>
      <c r="P654" s="48"/>
      <c r="Q654" s="48"/>
      <c r="R654" s="48"/>
      <c r="S654" s="48"/>
      <c r="T654" s="48"/>
      <c r="U654" s="48"/>
      <c r="V654" s="48"/>
      <c r="W654" s="48"/>
    </row>
    <row r="655" spans="2:23" ht="15.6" hidden="1" customHeight="1" x14ac:dyDescent="0.2">
      <c r="B655" s="48" t="s">
        <v>722</v>
      </c>
      <c r="E655" s="58"/>
      <c r="G655" s="213">
        <v>0</v>
      </c>
      <c r="I655" s="213">
        <v>0</v>
      </c>
      <c r="J655" s="58"/>
      <c r="K655" s="213">
        <v>0</v>
      </c>
      <c r="M655" s="1591">
        <f t="shared" si="17"/>
        <v>0</v>
      </c>
      <c r="N655" s="1147"/>
      <c r="O655" s="1146"/>
      <c r="P655" s="48"/>
      <c r="Q655" s="48"/>
      <c r="R655" s="48"/>
      <c r="S655" s="48"/>
      <c r="T655" s="48"/>
      <c r="U655" s="48"/>
      <c r="V655" s="48"/>
      <c r="W655" s="48"/>
    </row>
    <row r="656" spans="2:23" ht="15.6" hidden="1" customHeight="1" x14ac:dyDescent="0.2">
      <c r="B656" s="48" t="s">
        <v>724</v>
      </c>
      <c r="E656" s="58"/>
      <c r="G656" s="214">
        <v>0</v>
      </c>
      <c r="I656" s="214">
        <v>0</v>
      </c>
      <c r="J656" s="58"/>
      <c r="K656" s="214">
        <v>0</v>
      </c>
      <c r="M656" s="1591">
        <f t="shared" si="17"/>
        <v>0</v>
      </c>
      <c r="N656" s="1147"/>
      <c r="O656" s="1146"/>
      <c r="P656" s="48"/>
      <c r="Q656" s="48"/>
      <c r="R656" s="48"/>
      <c r="S656" s="48"/>
      <c r="T656" s="48"/>
      <c r="U656" s="48"/>
      <c r="V656" s="48"/>
      <c r="W656" s="48"/>
    </row>
    <row r="657" spans="1:23" ht="15.6" hidden="1" customHeight="1" x14ac:dyDescent="0.2">
      <c r="B657" s="48" t="s">
        <v>725</v>
      </c>
      <c r="E657" s="58"/>
      <c r="G657" s="215">
        <v>0</v>
      </c>
      <c r="I657" s="215">
        <v>0</v>
      </c>
      <c r="J657" s="58"/>
      <c r="K657" s="215">
        <v>0</v>
      </c>
      <c r="M657" s="1591">
        <f t="shared" si="17"/>
        <v>0</v>
      </c>
      <c r="N657" s="1147"/>
      <c r="O657" s="1146"/>
      <c r="P657" s="48"/>
      <c r="Q657" s="48"/>
      <c r="R657" s="48"/>
      <c r="S657" s="48"/>
      <c r="T657" s="48"/>
      <c r="U657" s="48"/>
      <c r="V657" s="48"/>
      <c r="W657" s="48"/>
    </row>
    <row r="658" spans="1:23" ht="15.6" customHeight="1" x14ac:dyDescent="0.2">
      <c r="E658" s="58"/>
      <c r="G658" s="203"/>
      <c r="I658" s="203"/>
      <c r="J658" s="58"/>
      <c r="K658" s="203"/>
      <c r="M658" s="1591"/>
      <c r="N658" s="1147"/>
      <c r="O658" s="1146"/>
      <c r="Q658" s="48"/>
      <c r="R658" s="48"/>
      <c r="S658" s="48"/>
      <c r="T658" s="48"/>
      <c r="U658" s="48"/>
      <c r="V658" s="48"/>
      <c r="W658" s="48"/>
    </row>
    <row r="659" spans="1:23" ht="15.6" customHeight="1" x14ac:dyDescent="0.25">
      <c r="B659" s="50" t="str">
        <f>"Carrying values at "&amp;Parameters!C13</f>
        <v>Carrying values at 30 June 2011</v>
      </c>
      <c r="C659" s="50"/>
      <c r="E659" s="224"/>
      <c r="G659" s="239">
        <f>SUM(G660:G662)</f>
        <v>573300</v>
      </c>
      <c r="I659" s="239">
        <f>SUM(I660:I662)</f>
        <v>11700</v>
      </c>
      <c r="J659" s="58"/>
      <c r="K659" s="239">
        <f>SUM(K660:K662)</f>
        <v>585000</v>
      </c>
      <c r="M659" s="1591">
        <f>K659-SUM(E659,G659,I659)</f>
        <v>0</v>
      </c>
      <c r="N659" s="1147"/>
      <c r="O659" s="1146"/>
      <c r="Q659" s="48"/>
      <c r="R659" s="48"/>
      <c r="S659" s="48"/>
      <c r="T659" s="48"/>
      <c r="U659" s="48"/>
      <c r="V659" s="48"/>
      <c r="W659" s="48"/>
    </row>
    <row r="660" spans="1:23" ht="15.6" customHeight="1" x14ac:dyDescent="0.2">
      <c r="B660" s="48" t="s">
        <v>1512</v>
      </c>
      <c r="E660" s="58"/>
      <c r="G660" s="2274">
        <f>SUM(G637,G642,G643,G645,G646,G651,G652,G653,G654)</f>
        <v>573300</v>
      </c>
      <c r="I660" s="2274">
        <f>SUM(I637,I642,I643,I645,I646,I651,I652,I653,I654)</f>
        <v>11700</v>
      </c>
      <c r="J660" s="58"/>
      <c r="K660" s="2274">
        <f>SUM(K637,K642,K643,K645,K646,K651,K652,K653,K654)</f>
        <v>585000</v>
      </c>
      <c r="M660" s="1591">
        <f>K660-SUM(E660,G660,I660)</f>
        <v>0</v>
      </c>
      <c r="N660" s="1147"/>
      <c r="O660" s="1146"/>
      <c r="Q660" s="48"/>
      <c r="R660" s="48"/>
      <c r="S660" s="48"/>
      <c r="T660" s="48"/>
      <c r="U660" s="48"/>
      <c r="V660" s="48"/>
      <c r="W660" s="48"/>
    </row>
    <row r="661" spans="1:23" ht="15.6" hidden="1" customHeight="1" x14ac:dyDescent="0.2">
      <c r="A661" s="655"/>
      <c r="B661" s="655" t="s">
        <v>726</v>
      </c>
      <c r="C661" s="655"/>
      <c r="D661" s="656"/>
      <c r="E661" s="658"/>
      <c r="F661" s="656"/>
      <c r="G661" s="668">
        <f>SUM(G639,G644,G648,G656)</f>
        <v>0</v>
      </c>
      <c r="H661" s="656"/>
      <c r="I661" s="668">
        <f>SUM(I639,I644,I648,I656)</f>
        <v>0</v>
      </c>
      <c r="J661" s="658"/>
      <c r="K661" s="668">
        <f>SUM(K639,K644,K648,K656)</f>
        <v>0</v>
      </c>
      <c r="L661" s="655"/>
      <c r="M661" s="1591">
        <f>K661-SUM(E661,G661,I661)</f>
        <v>0</v>
      </c>
      <c r="N661" s="1147"/>
      <c r="O661" s="1146"/>
      <c r="Q661" s="48"/>
      <c r="R661" s="48"/>
      <c r="S661" s="48"/>
      <c r="T661" s="48"/>
      <c r="U661" s="48"/>
      <c r="V661" s="48"/>
      <c r="W661" s="48"/>
    </row>
    <row r="662" spans="1:23" ht="15.6" hidden="1" customHeight="1" x14ac:dyDescent="0.2">
      <c r="A662" s="655"/>
      <c r="B662" s="655" t="s">
        <v>762</v>
      </c>
      <c r="C662" s="655"/>
      <c r="D662" s="656"/>
      <c r="E662" s="658"/>
      <c r="F662" s="656"/>
      <c r="G662" s="1535">
        <f>SUM(G640,G645,G649,G653,G657)</f>
        <v>0</v>
      </c>
      <c r="H662" s="656"/>
      <c r="I662" s="1535">
        <f>SUM(I640,I645,I649,I653,I657)</f>
        <v>0</v>
      </c>
      <c r="J662" s="658"/>
      <c r="K662" s="1535">
        <f>SUM(K640,K645,K649,K653,K657)</f>
        <v>0</v>
      </c>
      <c r="L662" s="655"/>
      <c r="M662" s="1591">
        <f>K662-SUM(E662,G662,I662)</f>
        <v>0</v>
      </c>
      <c r="N662" s="1147"/>
      <c r="O662" s="1146"/>
      <c r="Q662" s="48"/>
      <c r="R662" s="48"/>
      <c r="S662" s="48"/>
      <c r="T662" s="48"/>
      <c r="U662" s="48"/>
      <c r="V662" s="48"/>
      <c r="W662" s="48"/>
    </row>
    <row r="663" spans="1:23" ht="15.6" hidden="1" customHeight="1" x14ac:dyDescent="0.2">
      <c r="A663" s="655"/>
      <c r="B663" s="1459"/>
      <c r="C663" s="1459"/>
      <c r="D663" s="1459"/>
      <c r="E663" s="1528"/>
      <c r="F663" s="1459"/>
      <c r="G663" s="1549"/>
      <c r="H663" s="656"/>
      <c r="I663" s="1549"/>
      <c r="J663" s="660"/>
      <c r="K663" s="1528">
        <v>0</v>
      </c>
      <c r="L663" s="655"/>
      <c r="M663" s="1133"/>
      <c r="N663" s="1147"/>
      <c r="O663" s="1146"/>
      <c r="Q663" s="48"/>
      <c r="R663" s="48"/>
      <c r="S663" s="48"/>
      <c r="T663" s="48"/>
      <c r="U663" s="48"/>
      <c r="V663" s="48"/>
      <c r="W663" s="48"/>
    </row>
    <row r="664" spans="1:23" ht="46.5" hidden="1" customHeight="1" x14ac:dyDescent="0.2">
      <c r="A664" s="655"/>
      <c r="B664" s="2868" t="s">
        <v>1902</v>
      </c>
      <c r="C664" s="2868"/>
      <c r="D664" s="2868"/>
      <c r="E664" s="2868"/>
      <c r="F664" s="2868"/>
      <c r="G664" s="2868"/>
      <c r="H664" s="2933"/>
      <c r="I664" s="2933"/>
      <c r="J664" s="2933"/>
      <c r="K664" s="2933"/>
      <c r="L664" s="655"/>
      <c r="M664" s="1217" t="s">
        <v>1966</v>
      </c>
      <c r="N664" s="1147"/>
      <c r="O664" s="1133"/>
      <c r="P664" s="1115"/>
      <c r="Q664" s="48"/>
      <c r="R664" s="48"/>
      <c r="S664" s="48"/>
      <c r="T664" s="48"/>
      <c r="U664" s="48"/>
      <c r="V664" s="48"/>
      <c r="W664" s="48"/>
    </row>
    <row r="665" spans="1:23" ht="15.6" hidden="1" customHeight="1" x14ac:dyDescent="0.25">
      <c r="A665" s="655"/>
      <c r="B665" s="655"/>
      <c r="C665" s="655"/>
      <c r="D665" s="656"/>
      <c r="E665" s="655"/>
      <c r="F665" s="656"/>
      <c r="G665" s="656"/>
      <c r="H665" s="656"/>
      <c r="I665" s="1523"/>
      <c r="J665" s="1524"/>
      <c r="K665" s="1523"/>
      <c r="L665" s="664"/>
      <c r="M665" s="1133"/>
      <c r="N665" s="1147"/>
      <c r="O665" s="1133"/>
      <c r="P665" s="1115"/>
      <c r="Q665" s="48"/>
      <c r="R665" s="48"/>
      <c r="S665" s="48"/>
      <c r="T665" s="48"/>
      <c r="U665" s="48"/>
      <c r="V665" s="48"/>
      <c r="W665" s="48"/>
    </row>
    <row r="666" spans="1:23" ht="30.95" hidden="1" customHeight="1" x14ac:dyDescent="0.2">
      <c r="A666" s="655"/>
      <c r="B666" s="2868" t="s">
        <v>1903</v>
      </c>
      <c r="C666" s="2868"/>
      <c r="D666" s="2868"/>
      <c r="E666" s="2868"/>
      <c r="F666" s="2868"/>
      <c r="G666" s="2868"/>
      <c r="H666" s="2933"/>
      <c r="I666" s="2933"/>
      <c r="J666" s="2933"/>
      <c r="K666" s="2933"/>
      <c r="L666" s="655"/>
      <c r="M666" s="1217" t="s">
        <v>1966</v>
      </c>
      <c r="N666" s="1147"/>
      <c r="O666" s="1133"/>
      <c r="P666" s="1115"/>
      <c r="Q666" s="48"/>
      <c r="R666" s="48"/>
      <c r="S666" s="48"/>
      <c r="T666" s="48"/>
      <c r="U666" s="48"/>
      <c r="V666" s="48"/>
      <c r="W666" s="48"/>
    </row>
    <row r="667" spans="1:23" ht="15.6" hidden="1" customHeight="1" x14ac:dyDescent="0.25">
      <c r="A667" s="655"/>
      <c r="B667" s="655"/>
      <c r="C667" s="655"/>
      <c r="D667" s="656"/>
      <c r="E667" s="655"/>
      <c r="F667" s="656"/>
      <c r="G667" s="656"/>
      <c r="H667" s="656"/>
      <c r="I667" s="657"/>
      <c r="J667" s="657"/>
      <c r="K667" s="657"/>
      <c r="L667" s="664"/>
      <c r="M667" s="1133"/>
      <c r="N667" s="1147"/>
      <c r="O667" s="1133"/>
      <c r="P667" s="1115"/>
      <c r="Q667" s="48"/>
      <c r="R667" s="48"/>
      <c r="S667" s="48"/>
      <c r="T667" s="48"/>
      <c r="U667" s="48"/>
      <c r="V667" s="48"/>
      <c r="W667" s="48"/>
    </row>
    <row r="668" spans="1:23" ht="30.95" hidden="1" customHeight="1" x14ac:dyDescent="0.2">
      <c r="A668" s="655"/>
      <c r="B668" s="2868" t="s">
        <v>2502</v>
      </c>
      <c r="C668" s="2868"/>
      <c r="D668" s="2868"/>
      <c r="E668" s="2868"/>
      <c r="F668" s="2868"/>
      <c r="G668" s="2868"/>
      <c r="H668" s="2933"/>
      <c r="I668" s="2933"/>
      <c r="J668" s="2933"/>
      <c r="K668" s="2933"/>
      <c r="L668" s="655"/>
      <c r="M668" s="1482"/>
      <c r="N668" s="1147"/>
      <c r="O668" s="1146"/>
      <c r="P668" s="1115"/>
      <c r="Q668" s="48"/>
      <c r="R668" s="48"/>
      <c r="S668" s="48"/>
      <c r="T668" s="48"/>
      <c r="U668" s="48"/>
      <c r="V668" s="48"/>
      <c r="W668" s="48"/>
    </row>
    <row r="669" spans="1:23" ht="15.6" hidden="1" customHeight="1" x14ac:dyDescent="0.25">
      <c r="A669" s="655"/>
      <c r="B669" s="655"/>
      <c r="C669" s="655"/>
      <c r="D669" s="656"/>
      <c r="E669" s="655"/>
      <c r="F669" s="656"/>
      <c r="G669" s="656"/>
      <c r="H669" s="656"/>
      <c r="I669" s="1523"/>
      <c r="J669" s="1524"/>
      <c r="K669" s="1523"/>
      <c r="L669" s="664"/>
      <c r="M669" s="1133"/>
      <c r="N669" s="1147"/>
      <c r="O669" s="1146"/>
      <c r="P669" s="1115"/>
      <c r="Q669" s="48"/>
      <c r="R669" s="48"/>
      <c r="S669" s="48"/>
      <c r="T669" s="48"/>
      <c r="U669" s="48"/>
      <c r="V669" s="48"/>
      <c r="W669" s="48"/>
    </row>
    <row r="670" spans="1:23" ht="37.5" customHeight="1" x14ac:dyDescent="0.2">
      <c r="B670" s="2934" t="s">
        <v>1598</v>
      </c>
      <c r="C670" s="2934"/>
      <c r="D670" s="2934"/>
      <c r="E670" s="2934"/>
      <c r="F670" s="2934"/>
      <c r="G670" s="2934"/>
      <c r="H670" s="2935"/>
      <c r="I670" s="2935"/>
      <c r="J670" s="2935"/>
      <c r="K670" s="2935"/>
      <c r="M670" s="1482"/>
      <c r="N670" s="1147"/>
      <c r="O670" s="1146"/>
      <c r="P670" s="1115"/>
      <c r="Q670" s="48"/>
      <c r="R670" s="48"/>
      <c r="S670" s="48"/>
      <c r="T670" s="48"/>
      <c r="U670" s="48"/>
      <c r="V670" s="48"/>
      <c r="W670" s="48"/>
    </row>
    <row r="671" spans="1:23" ht="15.6" customHeight="1" x14ac:dyDescent="0.25">
      <c r="I671" s="200"/>
      <c r="J671" s="200"/>
      <c r="K671" s="200"/>
      <c r="L671" s="210"/>
      <c r="M671" s="1133"/>
      <c r="N671" s="1147"/>
      <c r="O671" s="1146"/>
      <c r="P671" s="1115"/>
      <c r="Q671" s="48"/>
      <c r="R671" s="48"/>
      <c r="S671" s="48"/>
      <c r="T671" s="48"/>
      <c r="U671" s="48"/>
      <c r="V671" s="48"/>
      <c r="W671" s="48"/>
    </row>
    <row r="672" spans="1:23" ht="15.6" hidden="1" customHeight="1" x14ac:dyDescent="0.25">
      <c r="B672" s="2839" t="s">
        <v>1600</v>
      </c>
      <c r="C672" s="2839"/>
      <c r="D672" s="2839"/>
      <c r="E672" s="2839"/>
      <c r="F672" s="2839"/>
      <c r="G672" s="2839"/>
      <c r="H672" s="2877"/>
      <c r="I672" s="2877"/>
      <c r="J672" s="2877"/>
      <c r="K672" s="2877"/>
      <c r="L672" s="210"/>
      <c r="N672" s="1147"/>
      <c r="Q672" s="48"/>
      <c r="R672" s="48"/>
      <c r="S672" s="48"/>
      <c r="T672" s="48"/>
      <c r="U672" s="48"/>
      <c r="V672" s="48"/>
      <c r="W672" s="48"/>
    </row>
    <row r="673" spans="1:23" ht="15.6" customHeight="1" x14ac:dyDescent="0.25">
      <c r="B673" s="2839" t="s">
        <v>1599</v>
      </c>
      <c r="C673" s="2839"/>
      <c r="D673" s="2839"/>
      <c r="E673" s="2839"/>
      <c r="F673" s="2839"/>
      <c r="G673" s="2839"/>
      <c r="H673" s="2877"/>
      <c r="I673" s="2877"/>
      <c r="J673" s="2877"/>
      <c r="K673" s="2877"/>
      <c r="L673" s="210"/>
      <c r="M673" s="1133"/>
      <c r="N673" s="1147"/>
      <c r="O673" s="1146"/>
      <c r="P673" s="1115"/>
      <c r="Q673" s="48"/>
      <c r="R673" s="48"/>
      <c r="S673" s="48"/>
      <c r="T673" s="48"/>
      <c r="U673" s="48"/>
      <c r="V673" s="48"/>
      <c r="W673" s="48"/>
    </row>
    <row r="674" spans="1:23" ht="15.6" customHeight="1" x14ac:dyDescent="0.25">
      <c r="I674" s="200"/>
      <c r="J674" s="200"/>
      <c r="K674" s="200"/>
      <c r="L674" s="210"/>
    </row>
    <row r="675" spans="1:23" ht="15.6" customHeight="1" x14ac:dyDescent="0.25">
      <c r="B675" s="2839" t="s">
        <v>1603</v>
      </c>
      <c r="C675" s="2839"/>
      <c r="D675" s="2839"/>
      <c r="E675" s="2839"/>
      <c r="F675" s="2839"/>
      <c r="G675" s="2839"/>
      <c r="I675" s="200"/>
      <c r="J675" s="200"/>
      <c r="K675" s="200"/>
      <c r="L675" s="210"/>
      <c r="N675" s="1147"/>
    </row>
    <row r="676" spans="1:23" ht="15.6" hidden="1" customHeight="1" x14ac:dyDescent="0.25">
      <c r="I676" s="200"/>
      <c r="J676" s="200"/>
      <c r="K676" s="200"/>
      <c r="L676" s="210"/>
    </row>
    <row r="677" spans="1:23" ht="15.6" hidden="1" customHeight="1" x14ac:dyDescent="0.25">
      <c r="A677" s="50"/>
      <c r="D677" s="48"/>
      <c r="F677" s="48"/>
      <c r="H677" s="49"/>
      <c r="I677" s="200"/>
      <c r="J677" s="200"/>
      <c r="K677" s="200"/>
      <c r="L677" s="49"/>
      <c r="M677" s="281" t="s">
        <v>454</v>
      </c>
      <c r="N677" s="1271">
        <f>Parameters!C21</f>
        <v>2010</v>
      </c>
      <c r="O677" s="282"/>
    </row>
    <row r="678" spans="1:23" ht="15.6" hidden="1" customHeight="1" x14ac:dyDescent="0.25">
      <c r="I678" s="200"/>
      <c r="J678" s="200"/>
      <c r="K678" s="200"/>
      <c r="L678" s="210"/>
    </row>
    <row r="679" spans="1:23" ht="15.6" customHeight="1" x14ac:dyDescent="0.25">
      <c r="I679" s="1264"/>
      <c r="J679" s="200"/>
      <c r="K679" s="1264"/>
      <c r="L679" s="210"/>
    </row>
    <row r="680" spans="1:23" ht="15.6" customHeight="1" x14ac:dyDescent="0.25">
      <c r="B680" s="229" t="s">
        <v>7552</v>
      </c>
      <c r="I680" s="253"/>
      <c r="J680" s="285"/>
      <c r="K680" s="253"/>
      <c r="L680" s="210"/>
      <c r="M680" s="1133"/>
      <c r="N680" s="1147"/>
      <c r="O680" s="1146"/>
      <c r="P680" s="1115"/>
      <c r="W680" s="1114" t="s">
        <v>3857</v>
      </c>
    </row>
    <row r="681" spans="1:23" ht="15.6" customHeight="1" x14ac:dyDescent="0.25">
      <c r="I681" s="253"/>
      <c r="J681" s="285"/>
      <c r="K681" s="253"/>
      <c r="L681" s="210"/>
      <c r="M681" s="1133"/>
      <c r="N681" s="1147"/>
      <c r="O681" s="1146"/>
      <c r="P681" s="1115"/>
    </row>
    <row r="682" spans="1:23" ht="46.5" hidden="1" customHeight="1" x14ac:dyDescent="0.2">
      <c r="B682" s="2839" t="s">
        <v>1602</v>
      </c>
      <c r="C682" s="2839"/>
      <c r="D682" s="2839"/>
      <c r="E682" s="2839"/>
      <c r="F682" s="2839"/>
      <c r="G682" s="2839"/>
      <c r="I682" s="253"/>
      <c r="J682" s="253"/>
      <c r="K682" s="253"/>
      <c r="M682" s="1147" t="s">
        <v>939</v>
      </c>
      <c r="N682" s="1147"/>
      <c r="O682" s="1146"/>
    </row>
    <row r="683" spans="1:23" ht="46.5" customHeight="1" x14ac:dyDescent="0.2">
      <c r="B683" s="2839" t="s">
        <v>1601</v>
      </c>
      <c r="C683" s="2839"/>
      <c r="D683" s="2839"/>
      <c r="E683" s="2839"/>
      <c r="F683" s="2839"/>
      <c r="G683" s="2839"/>
      <c r="I683" s="253"/>
      <c r="J683" s="253"/>
      <c r="K683" s="253"/>
      <c r="N683" s="1471"/>
      <c r="O683" s="1146"/>
    </row>
    <row r="684" spans="1:23" ht="15.6" customHeight="1" x14ac:dyDescent="0.25">
      <c r="I684" s="253"/>
      <c r="J684" s="285"/>
      <c r="K684" s="253"/>
      <c r="L684" s="210"/>
      <c r="M684" s="1133"/>
      <c r="N684" s="1147"/>
      <c r="O684" s="1146"/>
      <c r="P684" s="1115"/>
    </row>
    <row r="685" spans="1:23" ht="15.6" customHeight="1" x14ac:dyDescent="0.2">
      <c r="B685" s="2939" t="s">
        <v>1585</v>
      </c>
      <c r="C685" s="2939"/>
      <c r="D685" s="2939"/>
      <c r="E685" s="2939"/>
      <c r="F685" s="2939"/>
      <c r="G685" s="2939"/>
      <c r="I685" s="206"/>
      <c r="J685" s="206"/>
      <c r="K685" s="206"/>
      <c r="L685" s="207"/>
    </row>
    <row r="686" spans="1:23" ht="15.6" customHeight="1" x14ac:dyDescent="0.2">
      <c r="B686" s="48" t="s">
        <v>6437</v>
      </c>
      <c r="I686" s="2154"/>
      <c r="J686" s="206"/>
      <c r="K686" s="2154"/>
      <c r="L686" s="207"/>
      <c r="M686" s="1133"/>
      <c r="N686" s="1147"/>
      <c r="O686" s="1146"/>
      <c r="P686" s="1115"/>
    </row>
    <row r="687" spans="1:23" ht="15.6" customHeight="1" x14ac:dyDescent="0.2">
      <c r="B687" s="48" t="s">
        <v>6438</v>
      </c>
      <c r="I687" s="206"/>
      <c r="J687" s="206"/>
      <c r="K687" s="206"/>
      <c r="L687" s="207"/>
      <c r="M687" s="1133"/>
      <c r="N687" s="1147"/>
      <c r="O687" s="1146"/>
      <c r="P687" s="1115"/>
    </row>
    <row r="688" spans="1:23" ht="15.6" customHeight="1" x14ac:dyDescent="0.2">
      <c r="I688" s="206"/>
      <c r="J688" s="206"/>
      <c r="K688" s="206"/>
      <c r="L688" s="207"/>
      <c r="M688" s="1133"/>
      <c r="N688" s="1147"/>
      <c r="O688" s="1146"/>
      <c r="P688" s="1115"/>
    </row>
    <row r="689" spans="1:23" ht="15.6" hidden="1" customHeight="1" x14ac:dyDescent="0.25">
      <c r="A689" s="655"/>
      <c r="B689" s="2084" t="s">
        <v>6436</v>
      </c>
      <c r="C689" s="2082"/>
      <c r="D689" s="656"/>
      <c r="E689" s="655"/>
      <c r="F689" s="656"/>
      <c r="G689" s="656"/>
      <c r="H689" s="656"/>
      <c r="I689" s="1523"/>
      <c r="J689" s="1524"/>
      <c r="K689" s="1523"/>
      <c r="L689" s="664"/>
      <c r="M689" s="1133"/>
      <c r="N689" s="1147"/>
      <c r="O689" s="1146"/>
      <c r="P689" s="1115"/>
      <c r="W689" s="1114" t="s">
        <v>3857</v>
      </c>
    </row>
    <row r="690" spans="1:23" ht="15.6" hidden="1" customHeight="1" x14ac:dyDescent="0.25">
      <c r="A690" s="655"/>
      <c r="B690" s="655"/>
      <c r="C690" s="655"/>
      <c r="D690" s="656"/>
      <c r="E690" s="655"/>
      <c r="F690" s="656"/>
      <c r="G690" s="656"/>
      <c r="H690" s="656"/>
      <c r="I690" s="1523"/>
      <c r="J690" s="1524"/>
      <c r="K690" s="1523"/>
      <c r="L690" s="664"/>
      <c r="N690" s="1147"/>
      <c r="O690" s="1146"/>
    </row>
    <row r="691" spans="1:23" ht="30.95" hidden="1" customHeight="1" x14ac:dyDescent="0.2">
      <c r="A691" s="655"/>
      <c r="B691" s="2868" t="s">
        <v>2302</v>
      </c>
      <c r="C691" s="2868"/>
      <c r="D691" s="2868"/>
      <c r="E691" s="2868"/>
      <c r="F691" s="2868"/>
      <c r="G691" s="2868"/>
      <c r="H691" s="656"/>
      <c r="I691" s="1523"/>
      <c r="J691" s="1523"/>
      <c r="K691" s="1523"/>
      <c r="L691" s="655"/>
      <c r="M691" s="1214" t="s">
        <v>2304</v>
      </c>
      <c r="N691" s="1147"/>
      <c r="O691" s="1146"/>
    </row>
    <row r="692" spans="1:23" ht="15.6" hidden="1" customHeight="1" x14ac:dyDescent="0.25">
      <c r="A692" s="655"/>
      <c r="B692" s="655"/>
      <c r="C692" s="655"/>
      <c r="D692" s="656"/>
      <c r="E692" s="655"/>
      <c r="F692" s="656"/>
      <c r="G692" s="656"/>
      <c r="H692" s="656"/>
      <c r="I692" s="1523"/>
      <c r="J692" s="1524"/>
      <c r="K692" s="1523"/>
      <c r="L692" s="664"/>
      <c r="N692" s="1147"/>
      <c r="O692" s="1146"/>
    </row>
    <row r="693" spans="1:23" ht="15.6" hidden="1" customHeight="1" x14ac:dyDescent="0.25">
      <c r="A693" s="655"/>
      <c r="B693" s="655" t="s">
        <v>1617</v>
      </c>
      <c r="C693" s="655"/>
      <c r="D693" s="656"/>
      <c r="E693" s="655"/>
      <c r="F693" s="656"/>
      <c r="G693" s="656"/>
      <c r="H693" s="656"/>
      <c r="I693" s="1523">
        <v>0</v>
      </c>
      <c r="J693" s="1524"/>
      <c r="K693" s="1523">
        <v>0</v>
      </c>
      <c r="L693" s="664"/>
      <c r="N693" s="1147"/>
      <c r="O693" s="1146"/>
    </row>
    <row r="694" spans="1:23" ht="15.6" hidden="1" customHeight="1" x14ac:dyDescent="0.25">
      <c r="A694" s="655"/>
      <c r="B694" s="655" t="s">
        <v>1592</v>
      </c>
      <c r="C694" s="655"/>
      <c r="D694" s="656"/>
      <c r="E694" s="655"/>
      <c r="F694" s="656"/>
      <c r="G694" s="656"/>
      <c r="H694" s="656"/>
      <c r="I694" s="1523">
        <v>0</v>
      </c>
      <c r="J694" s="1524"/>
      <c r="K694" s="1523">
        <v>0</v>
      </c>
      <c r="L694" s="664"/>
      <c r="N694" s="1147"/>
      <c r="O694" s="1146"/>
    </row>
    <row r="695" spans="1:23" ht="15.6" hidden="1" customHeight="1" x14ac:dyDescent="0.25">
      <c r="A695" s="655"/>
      <c r="B695" s="655" t="s">
        <v>1593</v>
      </c>
      <c r="C695" s="655"/>
      <c r="D695" s="656"/>
      <c r="E695" s="655"/>
      <c r="F695" s="656"/>
      <c r="G695" s="656"/>
      <c r="H695" s="656"/>
      <c r="I695" s="1523">
        <v>0</v>
      </c>
      <c r="J695" s="1524"/>
      <c r="K695" s="1523">
        <v>0</v>
      </c>
      <c r="L695" s="664"/>
      <c r="N695" s="1147"/>
      <c r="O695" s="1146"/>
    </row>
    <row r="696" spans="1:23" ht="15.6" hidden="1" customHeight="1" x14ac:dyDescent="0.25">
      <c r="A696" s="655"/>
      <c r="B696" s="655"/>
      <c r="C696" s="655"/>
      <c r="D696" s="656"/>
      <c r="E696" s="655"/>
      <c r="F696" s="656"/>
      <c r="G696" s="656"/>
      <c r="H696" s="656"/>
      <c r="I696" s="1523"/>
      <c r="J696" s="1524"/>
      <c r="K696" s="1523"/>
      <c r="L696" s="664"/>
      <c r="N696" s="1147"/>
      <c r="O696" s="1146"/>
    </row>
    <row r="697" spans="1:23" ht="15.6" hidden="1" customHeight="1" thickBot="1" x14ac:dyDescent="0.3">
      <c r="A697" s="655"/>
      <c r="B697" s="659" t="s">
        <v>2303</v>
      </c>
      <c r="C697" s="659"/>
      <c r="D697" s="656"/>
      <c r="E697" s="655"/>
      <c r="F697" s="656"/>
      <c r="G697" s="656"/>
      <c r="H697" s="656"/>
      <c r="I697" s="1545">
        <f>SUM(I693:I696)</f>
        <v>0</v>
      </c>
      <c r="J697" s="661"/>
      <c r="K697" s="1545">
        <f>SUM(K693:K696)</f>
        <v>0</v>
      </c>
      <c r="L697" s="655"/>
      <c r="N697" s="1147"/>
      <c r="O697" s="1146"/>
    </row>
    <row r="698" spans="1:23" ht="15.6" hidden="1" customHeight="1" thickTop="1" x14ac:dyDescent="0.25">
      <c r="A698" s="655"/>
      <c r="B698" s="655"/>
      <c r="C698" s="655"/>
      <c r="D698" s="656"/>
      <c r="E698" s="655"/>
      <c r="F698" s="656"/>
      <c r="G698" s="656"/>
      <c r="H698" s="656"/>
      <c r="I698" s="1528"/>
      <c r="J698" s="1524"/>
      <c r="K698" s="1528"/>
      <c r="L698" s="664"/>
      <c r="N698" s="1147"/>
      <c r="O698" s="1146"/>
    </row>
    <row r="699" spans="1:23" ht="15.6" hidden="1" customHeight="1" x14ac:dyDescent="0.25">
      <c r="A699" s="655"/>
      <c r="B699" s="1456" t="s">
        <v>6439</v>
      </c>
      <c r="C699" s="655"/>
      <c r="D699" s="656"/>
      <c r="E699" s="655"/>
      <c r="F699" s="656"/>
      <c r="G699" s="656"/>
      <c r="H699" s="656"/>
      <c r="I699" s="1523"/>
      <c r="J699" s="1524"/>
      <c r="K699" s="1523"/>
      <c r="L699" s="664"/>
      <c r="M699" s="1133"/>
      <c r="N699" s="1147"/>
      <c r="O699" s="1146"/>
      <c r="P699" s="1115"/>
      <c r="W699" s="1114" t="s">
        <v>3857</v>
      </c>
    </row>
    <row r="700" spans="1:23" ht="15.6" hidden="1" customHeight="1" x14ac:dyDescent="0.25">
      <c r="A700" s="655"/>
      <c r="B700" s="655"/>
      <c r="C700" s="655"/>
      <c r="D700" s="656"/>
      <c r="E700" s="655"/>
      <c r="F700" s="656"/>
      <c r="G700" s="656"/>
      <c r="H700" s="656"/>
      <c r="I700" s="1523"/>
      <c r="J700" s="1524"/>
      <c r="K700" s="1523"/>
      <c r="L700" s="664"/>
      <c r="M700" s="1133"/>
      <c r="N700" s="1147"/>
      <c r="O700" s="1146"/>
      <c r="P700" s="1115"/>
    </row>
    <row r="701" spans="1:23" ht="30.95" hidden="1" customHeight="1" x14ac:dyDescent="0.2">
      <c r="A701" s="655"/>
      <c r="B701" s="2868" t="s">
        <v>2305</v>
      </c>
      <c r="C701" s="2868"/>
      <c r="D701" s="2868"/>
      <c r="E701" s="2868"/>
      <c r="F701" s="2868"/>
      <c r="G701" s="2868"/>
      <c r="H701" s="656"/>
      <c r="I701" s="1523"/>
      <c r="J701" s="1523"/>
      <c r="K701" s="1523"/>
      <c r="L701" s="655"/>
      <c r="M701" s="1214" t="s">
        <v>2304</v>
      </c>
      <c r="N701" s="1147"/>
      <c r="O701" s="1146"/>
    </row>
    <row r="702" spans="1:23" ht="15.6" hidden="1" customHeight="1" x14ac:dyDescent="0.25">
      <c r="A702" s="655"/>
      <c r="B702" s="655"/>
      <c r="C702" s="655"/>
      <c r="D702" s="656"/>
      <c r="E702" s="655"/>
      <c r="F702" s="656"/>
      <c r="G702" s="656"/>
      <c r="H702" s="656"/>
      <c r="I702" s="1523"/>
      <c r="J702" s="1524"/>
      <c r="K702" s="1523"/>
      <c r="L702" s="664"/>
      <c r="N702" s="1147"/>
      <c r="O702" s="1146"/>
    </row>
    <row r="703" spans="1:23" ht="15.6" hidden="1" customHeight="1" x14ac:dyDescent="0.25">
      <c r="A703" s="655"/>
      <c r="B703" s="655" t="s">
        <v>3993</v>
      </c>
      <c r="C703" s="655"/>
      <c r="D703" s="656"/>
      <c r="E703" s="655"/>
      <c r="F703" s="656"/>
      <c r="G703" s="656"/>
      <c r="H703" s="656"/>
      <c r="I703" s="1523">
        <v>0</v>
      </c>
      <c r="J703" s="1524"/>
      <c r="K703" s="1523">
        <v>0</v>
      </c>
      <c r="L703" s="664"/>
      <c r="N703" s="1147"/>
      <c r="O703" s="1146"/>
    </row>
    <row r="704" spans="1:23" ht="15.6" hidden="1" customHeight="1" x14ac:dyDescent="0.25">
      <c r="A704" s="655"/>
      <c r="B704" s="655" t="s">
        <v>2452</v>
      </c>
      <c r="C704" s="655"/>
      <c r="D704" s="656"/>
      <c r="E704" s="655"/>
      <c r="F704" s="656"/>
      <c r="G704" s="656"/>
      <c r="H704" s="656"/>
      <c r="I704" s="1523">
        <v>0</v>
      </c>
      <c r="J704" s="1524"/>
      <c r="K704" s="1523">
        <v>0</v>
      </c>
      <c r="L704" s="664"/>
      <c r="N704" s="1147"/>
      <c r="O704" s="1146"/>
    </row>
    <row r="705" spans="1:23" ht="15.6" hidden="1" customHeight="1" x14ac:dyDescent="0.25">
      <c r="A705" s="655"/>
      <c r="B705" s="655" t="s">
        <v>2453</v>
      </c>
      <c r="C705" s="655"/>
      <c r="D705" s="656"/>
      <c r="E705" s="655"/>
      <c r="F705" s="656"/>
      <c r="G705" s="656"/>
      <c r="H705" s="656"/>
      <c r="I705" s="1523">
        <v>0</v>
      </c>
      <c r="J705" s="1524"/>
      <c r="K705" s="1523">
        <v>0</v>
      </c>
      <c r="L705" s="664"/>
      <c r="N705" s="1147"/>
      <c r="O705" s="1146"/>
    </row>
    <row r="706" spans="1:23" ht="15.6" hidden="1" customHeight="1" x14ac:dyDescent="0.25">
      <c r="A706" s="655"/>
      <c r="B706" s="655"/>
      <c r="C706" s="655"/>
      <c r="D706" s="656"/>
      <c r="E706" s="655"/>
      <c r="F706" s="656"/>
      <c r="G706" s="656"/>
      <c r="H706" s="656"/>
      <c r="I706" s="1523"/>
      <c r="J706" s="1524"/>
      <c r="K706" s="1523"/>
      <c r="L706" s="664"/>
      <c r="N706" s="1147"/>
      <c r="O706" s="1146"/>
      <c r="Q706" s="48"/>
      <c r="R706" s="48"/>
      <c r="S706" s="48"/>
      <c r="T706" s="48"/>
      <c r="U706" s="48"/>
      <c r="V706" s="48"/>
      <c r="W706" s="48"/>
    </row>
    <row r="707" spans="1:23" ht="15.6" hidden="1" customHeight="1" thickBot="1" x14ac:dyDescent="0.3">
      <c r="A707" s="655"/>
      <c r="B707" s="659" t="s">
        <v>2306</v>
      </c>
      <c r="C707" s="659"/>
      <c r="D707" s="656"/>
      <c r="E707" s="655"/>
      <c r="F707" s="656"/>
      <c r="G707" s="656"/>
      <c r="H707" s="656"/>
      <c r="I707" s="1545">
        <f>SUM(I703:I706)</f>
        <v>0</v>
      </c>
      <c r="J707" s="661"/>
      <c r="K707" s="1545">
        <f>SUM(K703:K706)</f>
        <v>0</v>
      </c>
      <c r="L707" s="655"/>
      <c r="N707" s="1147"/>
      <c r="O707" s="1146"/>
      <c r="Q707" s="48"/>
      <c r="R707" s="48"/>
      <c r="S707" s="48"/>
      <c r="T707" s="48"/>
      <c r="U707" s="48"/>
      <c r="V707" s="48"/>
      <c r="W707" s="48"/>
    </row>
    <row r="708" spans="1:23" ht="15.6" hidden="1" customHeight="1" thickTop="1" x14ac:dyDescent="0.25">
      <c r="A708" s="655"/>
      <c r="B708" s="655"/>
      <c r="C708" s="655"/>
      <c r="D708" s="656"/>
      <c r="E708" s="655"/>
      <c r="F708" s="656"/>
      <c r="G708" s="656"/>
      <c r="H708" s="656"/>
      <c r="I708" s="1528"/>
      <c r="J708" s="1524"/>
      <c r="K708" s="1528"/>
      <c r="L708" s="664"/>
      <c r="N708" s="1147"/>
      <c r="O708" s="1146"/>
      <c r="Q708" s="48"/>
      <c r="R708" s="48"/>
      <c r="S708" s="48"/>
      <c r="T708" s="48"/>
      <c r="U708" s="48"/>
      <c r="V708" s="48"/>
      <c r="W708" s="48"/>
    </row>
    <row r="709" spans="1:23" ht="46.5" hidden="1" customHeight="1" x14ac:dyDescent="0.2">
      <c r="A709" s="655"/>
      <c r="B709" s="2868" t="s">
        <v>2307</v>
      </c>
      <c r="C709" s="2868"/>
      <c r="D709" s="2868"/>
      <c r="E709" s="2868"/>
      <c r="F709" s="2868"/>
      <c r="G709" s="2868"/>
      <c r="H709" s="656"/>
      <c r="I709" s="1523"/>
      <c r="J709" s="1523"/>
      <c r="K709" s="1523"/>
      <c r="L709" s="655"/>
      <c r="M709" s="1214" t="s">
        <v>2308</v>
      </c>
      <c r="N709" s="1471"/>
      <c r="O709" s="1146"/>
      <c r="Q709" s="48"/>
      <c r="R709" s="48"/>
      <c r="S709" s="48"/>
      <c r="T709" s="48"/>
      <c r="U709" s="48"/>
      <c r="V709" s="48"/>
      <c r="W709" s="48"/>
    </row>
    <row r="710" spans="1:23" ht="15.6" hidden="1" customHeight="1" x14ac:dyDescent="0.25">
      <c r="A710" s="655"/>
      <c r="B710" s="655"/>
      <c r="C710" s="655"/>
      <c r="D710" s="656"/>
      <c r="E710" s="655"/>
      <c r="F710" s="656"/>
      <c r="G710" s="656"/>
      <c r="H710" s="656"/>
      <c r="I710" s="1523"/>
      <c r="J710" s="1524"/>
      <c r="K710" s="1523"/>
      <c r="L710" s="664"/>
      <c r="M710" s="1133"/>
      <c r="N710" s="1147"/>
      <c r="O710" s="1146"/>
      <c r="P710" s="1115"/>
      <c r="Q710" s="48"/>
      <c r="R710" s="48"/>
      <c r="S710" s="48"/>
      <c r="T710" s="48"/>
      <c r="U710" s="48"/>
      <c r="V710" s="48"/>
      <c r="W710" s="48"/>
    </row>
    <row r="711" spans="1:23" ht="62.1" hidden="1" customHeight="1" x14ac:dyDescent="0.2">
      <c r="A711" s="655"/>
      <c r="B711" s="2868" t="s">
        <v>2309</v>
      </c>
      <c r="C711" s="2868"/>
      <c r="D711" s="2868"/>
      <c r="E711" s="2868"/>
      <c r="F711" s="2868"/>
      <c r="G711" s="2868"/>
      <c r="H711" s="656"/>
      <c r="I711" s="1523"/>
      <c r="J711" s="1523"/>
      <c r="K711" s="1523"/>
      <c r="L711" s="655"/>
      <c r="M711" s="1214" t="s">
        <v>2308</v>
      </c>
      <c r="N711" s="1471"/>
      <c r="O711" s="1146"/>
      <c r="Q711" s="48"/>
      <c r="R711" s="48"/>
      <c r="S711" s="48"/>
      <c r="T711" s="48"/>
      <c r="U711" s="48"/>
      <c r="V711" s="48"/>
      <c r="W711" s="48"/>
    </row>
    <row r="712" spans="1:23" ht="15.6" hidden="1" customHeight="1" x14ac:dyDescent="0.25">
      <c r="A712" s="655"/>
      <c r="B712" s="655"/>
      <c r="C712" s="655"/>
      <c r="D712" s="656"/>
      <c r="E712" s="655"/>
      <c r="F712" s="656"/>
      <c r="G712" s="656"/>
      <c r="H712" s="656"/>
      <c r="I712" s="1523"/>
      <c r="J712" s="1524"/>
      <c r="K712" s="1523"/>
      <c r="L712" s="664"/>
      <c r="M712" s="1133"/>
      <c r="N712" s="1147"/>
      <c r="O712" s="1146"/>
      <c r="P712" s="1115"/>
      <c r="Q712" s="48"/>
      <c r="R712" s="48"/>
      <c r="S712" s="48"/>
      <c r="T712" s="48"/>
      <c r="U712" s="48"/>
      <c r="V712" s="48"/>
      <c r="W712" s="48"/>
    </row>
    <row r="713" spans="1:23" ht="62.1" hidden="1" customHeight="1" x14ac:dyDescent="0.2">
      <c r="A713" s="655"/>
      <c r="B713" s="2868" t="s">
        <v>2311</v>
      </c>
      <c r="C713" s="2868"/>
      <c r="D713" s="2868"/>
      <c r="E713" s="2868"/>
      <c r="F713" s="2868"/>
      <c r="G713" s="2868"/>
      <c r="H713" s="656"/>
      <c r="I713" s="1523"/>
      <c r="J713" s="1523"/>
      <c r="K713" s="1523"/>
      <c r="L713" s="655"/>
      <c r="M713" s="1214" t="s">
        <v>2310</v>
      </c>
      <c r="N713" s="1471"/>
      <c r="O713" s="1146"/>
      <c r="Q713" s="48"/>
      <c r="R713" s="48"/>
      <c r="S713" s="48"/>
      <c r="T713" s="48"/>
      <c r="U713" s="48"/>
      <c r="V713" s="48"/>
      <c r="W713" s="48"/>
    </row>
    <row r="714" spans="1:23" ht="15.6" hidden="1" customHeight="1" x14ac:dyDescent="0.25">
      <c r="A714" s="655"/>
      <c r="B714" s="655"/>
      <c r="C714" s="655"/>
      <c r="D714" s="656"/>
      <c r="E714" s="655"/>
      <c r="F714" s="656"/>
      <c r="G714" s="656"/>
      <c r="H714" s="656"/>
      <c r="I714" s="1523"/>
      <c r="J714" s="1524"/>
      <c r="K714" s="1523"/>
      <c r="L714" s="664"/>
      <c r="N714" s="1147"/>
      <c r="O714" s="1146"/>
      <c r="Q714" s="48"/>
      <c r="R714" s="48"/>
      <c r="S714" s="48"/>
      <c r="T714" s="48"/>
      <c r="U714" s="48"/>
      <c r="V714" s="48"/>
      <c r="W714" s="48"/>
    </row>
    <row r="715" spans="1:23" ht="15.6" hidden="1" customHeight="1" x14ac:dyDescent="0.25">
      <c r="A715" s="655"/>
      <c r="B715" s="655" t="s">
        <v>2312</v>
      </c>
      <c r="C715" s="1546"/>
      <c r="D715" s="1546"/>
      <c r="E715" s="1553" t="s">
        <v>2315</v>
      </c>
      <c r="F715" s="1546"/>
      <c r="G715" s="1546"/>
      <c r="H715" s="656"/>
      <c r="I715" s="1554">
        <v>0</v>
      </c>
      <c r="J715" s="657"/>
      <c r="K715" s="657"/>
      <c r="L715" s="664"/>
      <c r="N715" s="1147"/>
      <c r="Q715" s="48"/>
      <c r="R715" s="48"/>
      <c r="S715" s="48"/>
      <c r="T715" s="48"/>
      <c r="U715" s="48"/>
      <c r="V715" s="48"/>
      <c r="W715" s="48"/>
    </row>
    <row r="716" spans="1:23" ht="15.6" hidden="1" customHeight="1" x14ac:dyDescent="0.25">
      <c r="A716" s="655"/>
      <c r="B716" s="655"/>
      <c r="C716" s="1553"/>
      <c r="D716" s="656"/>
      <c r="E716" s="655" t="s">
        <v>2313</v>
      </c>
      <c r="F716" s="656"/>
      <c r="G716" s="656"/>
      <c r="H716" s="656"/>
      <c r="I716" s="1554">
        <v>0</v>
      </c>
      <c r="J716" s="1524"/>
      <c r="K716" s="1523"/>
      <c r="L716" s="664"/>
      <c r="N716" s="1147"/>
      <c r="O716" s="1146"/>
      <c r="Q716" s="48"/>
      <c r="R716" s="48"/>
      <c r="S716" s="48"/>
      <c r="T716" s="48"/>
      <c r="U716" s="48"/>
      <c r="V716" s="48"/>
      <c r="W716" s="48"/>
    </row>
    <row r="717" spans="1:23" ht="15.6" hidden="1" customHeight="1" x14ac:dyDescent="0.25">
      <c r="A717" s="655"/>
      <c r="B717" s="655"/>
      <c r="C717" s="655"/>
      <c r="D717" s="656"/>
      <c r="E717" s="655" t="s">
        <v>2314</v>
      </c>
      <c r="F717" s="656"/>
      <c r="G717" s="656"/>
      <c r="H717" s="656"/>
      <c r="I717" s="1554">
        <v>0</v>
      </c>
      <c r="J717" s="1524"/>
      <c r="K717" s="1523"/>
      <c r="L717" s="664"/>
      <c r="N717" s="1147"/>
      <c r="O717" s="1146"/>
      <c r="Q717" s="48"/>
      <c r="R717" s="48"/>
      <c r="S717" s="48"/>
      <c r="T717" s="48"/>
      <c r="U717" s="48"/>
      <c r="V717" s="48"/>
      <c r="W717" s="48"/>
    </row>
    <row r="718" spans="1:23" ht="15.6" hidden="1" customHeight="1" x14ac:dyDescent="0.25">
      <c r="A718" s="655"/>
      <c r="B718" s="655"/>
      <c r="C718" s="655"/>
      <c r="D718" s="656"/>
      <c r="E718" s="655" t="s">
        <v>2313</v>
      </c>
      <c r="F718" s="656"/>
      <c r="G718" s="656"/>
      <c r="H718" s="656"/>
      <c r="I718" s="1554">
        <v>0</v>
      </c>
      <c r="J718" s="1524"/>
      <c r="K718" s="1523"/>
      <c r="L718" s="664"/>
      <c r="N718" s="1147"/>
      <c r="O718" s="1146"/>
      <c r="Q718" s="48"/>
      <c r="R718" s="48"/>
      <c r="S718" s="48"/>
      <c r="T718" s="48"/>
      <c r="U718" s="48"/>
      <c r="V718" s="48"/>
      <c r="W718" s="48"/>
    </row>
    <row r="719" spans="1:23" ht="15.6" hidden="1" customHeight="1" x14ac:dyDescent="0.25">
      <c r="A719" s="655"/>
      <c r="B719" s="655"/>
      <c r="C719" s="655"/>
      <c r="D719" s="656"/>
      <c r="E719" s="655" t="s">
        <v>2218</v>
      </c>
      <c r="F719" s="656"/>
      <c r="G719" s="656"/>
      <c r="H719" s="656"/>
      <c r="I719" s="1554">
        <v>0</v>
      </c>
      <c r="J719" s="1524"/>
      <c r="K719" s="1523"/>
      <c r="L719" s="664"/>
      <c r="N719" s="1147"/>
      <c r="O719" s="1146"/>
      <c r="Q719" s="48"/>
      <c r="R719" s="48"/>
      <c r="S719" s="48"/>
      <c r="T719" s="48"/>
      <c r="U719" s="48"/>
      <c r="V719" s="48"/>
      <c r="W719" s="48"/>
    </row>
    <row r="720" spans="1:23" ht="15.6" hidden="1" customHeight="1" x14ac:dyDescent="0.25">
      <c r="A720" s="655"/>
      <c r="B720" s="655"/>
      <c r="C720" s="655"/>
      <c r="D720" s="656"/>
      <c r="E720" s="655"/>
      <c r="F720" s="656"/>
      <c r="G720" s="656"/>
      <c r="H720" s="656"/>
      <c r="I720" s="1554"/>
      <c r="J720" s="1524"/>
      <c r="K720" s="1523"/>
      <c r="L720" s="664"/>
      <c r="N720" s="1147"/>
      <c r="O720" s="1146"/>
      <c r="Q720" s="48"/>
      <c r="R720" s="48"/>
      <c r="S720" s="48"/>
      <c r="T720" s="48"/>
      <c r="U720" s="48"/>
      <c r="V720" s="48"/>
      <c r="W720" s="48"/>
    </row>
    <row r="721" spans="1:23" ht="15.6" hidden="1" customHeight="1" x14ac:dyDescent="0.25">
      <c r="A721" s="655"/>
      <c r="B721" s="2868" t="s">
        <v>2316</v>
      </c>
      <c r="C721" s="2868"/>
      <c r="D721" s="2868"/>
      <c r="E721" s="2868"/>
      <c r="F721" s="2868"/>
      <c r="G721" s="2868"/>
      <c r="H721" s="656"/>
      <c r="I721" s="657"/>
      <c r="J721" s="657"/>
      <c r="K721" s="657"/>
      <c r="L721" s="664"/>
      <c r="M721" s="1214" t="s">
        <v>2317</v>
      </c>
      <c r="N721" s="1147"/>
      <c r="Q721" s="48"/>
      <c r="R721" s="48"/>
      <c r="S721" s="48"/>
      <c r="T721" s="48"/>
      <c r="U721" s="48"/>
      <c r="V721" s="48"/>
      <c r="W721" s="48"/>
    </row>
    <row r="722" spans="1:23" ht="15.6" hidden="1" customHeight="1" x14ac:dyDescent="0.25">
      <c r="A722" s="655"/>
      <c r="B722" s="655"/>
      <c r="C722" s="655"/>
      <c r="D722" s="656"/>
      <c r="E722" s="655"/>
      <c r="F722" s="656"/>
      <c r="G722" s="656"/>
      <c r="H722" s="656"/>
      <c r="I722" s="657"/>
      <c r="J722" s="657"/>
      <c r="K722" s="657"/>
      <c r="L722" s="664"/>
    </row>
    <row r="723" spans="1:23" ht="15.6" hidden="1" customHeight="1" x14ac:dyDescent="0.25">
      <c r="B723" s="229" t="s">
        <v>6440</v>
      </c>
      <c r="I723" s="253"/>
      <c r="J723" s="285"/>
      <c r="K723" s="253"/>
      <c r="L723" s="210"/>
      <c r="M723" s="1133"/>
      <c r="N723" s="1147"/>
      <c r="O723" s="1146"/>
      <c r="P723" s="1115"/>
      <c r="W723" s="1114" t="s">
        <v>3857</v>
      </c>
    </row>
    <row r="724" spans="1:23" ht="15.6" hidden="1" customHeight="1" x14ac:dyDescent="0.25">
      <c r="I724" s="253"/>
      <c r="J724" s="285"/>
      <c r="K724" s="253"/>
      <c r="L724" s="210"/>
      <c r="N724" s="1147"/>
      <c r="O724" s="1146"/>
    </row>
    <row r="725" spans="1:23" ht="62.1" hidden="1" customHeight="1" x14ac:dyDescent="0.2">
      <c r="A725" s="625"/>
      <c r="B725" s="2840" t="s">
        <v>1615</v>
      </c>
      <c r="C725" s="2840"/>
      <c r="D725" s="2840"/>
      <c r="E725" s="2840"/>
      <c r="F725" s="2840"/>
      <c r="G725" s="2840"/>
      <c r="H725" s="626"/>
      <c r="I725" s="629"/>
      <c r="J725" s="629"/>
      <c r="K725" s="629"/>
      <c r="L725" s="625"/>
      <c r="N725" s="1471"/>
      <c r="O725" s="1146"/>
    </row>
    <row r="726" spans="1:23" ht="46.5" hidden="1" customHeight="1" x14ac:dyDescent="0.2">
      <c r="B726" s="2839" t="s">
        <v>1616</v>
      </c>
      <c r="C726" s="2839"/>
      <c r="D726" s="2839"/>
      <c r="E726" s="2839"/>
      <c r="F726" s="2839"/>
      <c r="G726" s="2839"/>
      <c r="I726" s="253"/>
      <c r="J726" s="253"/>
      <c r="K726" s="253"/>
      <c r="N726" s="1147"/>
      <c r="O726" s="1146"/>
    </row>
    <row r="727" spans="1:23" ht="15.6" hidden="1" customHeight="1" x14ac:dyDescent="0.25">
      <c r="I727" s="253"/>
      <c r="J727" s="285"/>
      <c r="K727" s="253"/>
      <c r="L727" s="210"/>
      <c r="N727" s="1147"/>
      <c r="O727" s="1146"/>
    </row>
    <row r="728" spans="1:23" ht="15.6" hidden="1" customHeight="1" x14ac:dyDescent="0.25">
      <c r="A728" s="655"/>
      <c r="B728" s="655" t="s">
        <v>1617</v>
      </c>
      <c r="C728" s="655"/>
      <c r="D728" s="656"/>
      <c r="E728" s="655"/>
      <c r="F728" s="656"/>
      <c r="G728" s="656"/>
      <c r="H728" s="656"/>
      <c r="I728" s="1523">
        <v>0</v>
      </c>
      <c r="J728" s="1524"/>
      <c r="K728" s="1523">
        <v>0</v>
      </c>
      <c r="L728" s="664"/>
      <c r="N728" s="1147"/>
      <c r="O728" s="1146"/>
    </row>
    <row r="729" spans="1:23" ht="15.6" hidden="1" customHeight="1" x14ac:dyDescent="0.25">
      <c r="B729" s="2046" t="s">
        <v>1592</v>
      </c>
      <c r="I729" s="2085">
        <v>0</v>
      </c>
      <c r="J729" s="285"/>
      <c r="K729" s="2085">
        <v>0</v>
      </c>
      <c r="L729" s="210"/>
      <c r="N729" s="1147"/>
      <c r="O729" s="1146"/>
    </row>
    <row r="730" spans="1:23" ht="15.6" hidden="1" customHeight="1" x14ac:dyDescent="0.25">
      <c r="B730" s="2046" t="s">
        <v>6433</v>
      </c>
      <c r="I730" s="2085">
        <v>0</v>
      </c>
      <c r="J730" s="285"/>
      <c r="K730" s="2085">
        <v>0</v>
      </c>
      <c r="L730" s="210"/>
      <c r="N730" s="1147"/>
      <c r="O730" s="1146"/>
    </row>
    <row r="731" spans="1:23" ht="15.6" hidden="1" customHeight="1" x14ac:dyDescent="0.25">
      <c r="I731" s="253"/>
      <c r="J731" s="285"/>
      <c r="K731" s="253"/>
      <c r="L731" s="210"/>
      <c r="N731" s="1147"/>
      <c r="O731" s="1146"/>
    </row>
    <row r="732" spans="1:23" ht="15.6" hidden="1" customHeight="1" thickBot="1" x14ac:dyDescent="0.3">
      <c r="B732" s="50" t="s">
        <v>1618</v>
      </c>
      <c r="C732" s="50"/>
      <c r="I732" s="202">
        <f>SUM(I728:I731)</f>
        <v>0</v>
      </c>
      <c r="K732" s="202">
        <f>SUM(K728:K731)</f>
        <v>0</v>
      </c>
      <c r="N732" s="1147"/>
      <c r="O732" s="1146"/>
    </row>
    <row r="733" spans="1:23" ht="15.6" hidden="1" customHeight="1" thickTop="1" x14ac:dyDescent="0.25">
      <c r="I733" s="217"/>
      <c r="J733" s="285"/>
      <c r="K733" s="217"/>
      <c r="L733" s="210"/>
      <c r="N733" s="1147"/>
      <c r="O733" s="1146"/>
    </row>
    <row r="734" spans="1:23" ht="46.5" hidden="1" customHeight="1" x14ac:dyDescent="0.2">
      <c r="B734" s="2839" t="s">
        <v>6441</v>
      </c>
      <c r="C734" s="2839"/>
      <c r="D734" s="2839"/>
      <c r="E734" s="2839"/>
      <c r="F734" s="2839"/>
      <c r="G734" s="2839"/>
      <c r="I734" s="253"/>
      <c r="J734" s="253"/>
      <c r="K734" s="253"/>
      <c r="M734" s="1214" t="s">
        <v>1967</v>
      </c>
      <c r="N734" s="1147"/>
      <c r="O734" s="1146"/>
    </row>
    <row r="735" spans="1:23" ht="15.6" hidden="1" customHeight="1" x14ac:dyDescent="0.25">
      <c r="I735" s="253"/>
      <c r="J735" s="285"/>
      <c r="K735" s="253"/>
      <c r="L735" s="210"/>
      <c r="N735" s="1147"/>
      <c r="O735" s="1146"/>
    </row>
    <row r="736" spans="1:23" ht="15.6" customHeight="1" x14ac:dyDescent="0.25">
      <c r="B736" s="229" t="s">
        <v>7553</v>
      </c>
      <c r="I736" s="253"/>
      <c r="J736" s="285"/>
      <c r="K736" s="253"/>
      <c r="L736" s="210"/>
      <c r="M736" s="1133"/>
      <c r="N736" s="1147"/>
      <c r="O736" s="1146"/>
      <c r="P736" s="1115"/>
      <c r="W736" s="1114" t="s">
        <v>3857</v>
      </c>
    </row>
    <row r="737" spans="1:23" ht="15.6" customHeight="1" x14ac:dyDescent="0.25">
      <c r="I737" s="253"/>
      <c r="J737" s="285"/>
      <c r="K737" s="253"/>
      <c r="L737" s="210"/>
      <c r="M737" s="1133"/>
      <c r="N737" s="1147"/>
      <c r="O737" s="1146"/>
      <c r="P737" s="1115"/>
    </row>
    <row r="738" spans="1:23" ht="15.6" customHeight="1" x14ac:dyDescent="0.25">
      <c r="B738" s="48" t="s">
        <v>1604</v>
      </c>
      <c r="I738" s="253"/>
      <c r="J738" s="285"/>
      <c r="K738" s="253"/>
      <c r="L738" s="210"/>
      <c r="M738" s="1133"/>
      <c r="N738" s="1147"/>
      <c r="O738" s="1146"/>
      <c r="P738" s="1115"/>
    </row>
    <row r="739" spans="1:23" ht="15.6" customHeight="1" x14ac:dyDescent="0.25">
      <c r="B739" s="2045" t="s">
        <v>1592</v>
      </c>
      <c r="I739" s="253">
        <v>85</v>
      </c>
      <c r="J739" s="285"/>
      <c r="K739" s="253">
        <v>108</v>
      </c>
      <c r="L739" s="210"/>
      <c r="N739" s="1147"/>
      <c r="O739" s="1146"/>
    </row>
    <row r="740" spans="1:23" ht="15.6" customHeight="1" x14ac:dyDescent="0.25">
      <c r="B740" s="2045" t="s">
        <v>6433</v>
      </c>
      <c r="I740" s="253">
        <v>6</v>
      </c>
      <c r="J740" s="285"/>
      <c r="K740" s="253">
        <v>9</v>
      </c>
      <c r="L740" s="210"/>
      <c r="N740" s="1147"/>
      <c r="O740" s="1146"/>
    </row>
    <row r="741" spans="1:23" ht="15.6" customHeight="1" x14ac:dyDescent="0.25">
      <c r="I741" s="253"/>
      <c r="J741" s="285"/>
      <c r="K741" s="253"/>
      <c r="L741" s="210"/>
      <c r="M741" s="1133"/>
      <c r="N741" s="1147"/>
      <c r="O741" s="1146"/>
      <c r="P741" s="1115"/>
    </row>
    <row r="742" spans="1:23" ht="15.6" hidden="1" customHeight="1" x14ac:dyDescent="0.25">
      <c r="I742" s="200"/>
      <c r="J742" s="200"/>
      <c r="K742" s="200"/>
      <c r="L742" s="210"/>
    </row>
    <row r="743" spans="1:23" ht="15.6" customHeight="1" x14ac:dyDescent="0.25">
      <c r="A743" s="1152">
        <v>12</v>
      </c>
      <c r="B743" s="50" t="s">
        <v>1413</v>
      </c>
      <c r="C743" s="50"/>
      <c r="M743" s="1214" t="s">
        <v>2318</v>
      </c>
      <c r="W743" s="1114" t="s">
        <v>3520</v>
      </c>
    </row>
    <row r="744" spans="1:23" ht="15.6" customHeight="1" x14ac:dyDescent="0.25">
      <c r="A744" s="211"/>
      <c r="B744" s="50"/>
      <c r="C744" s="50"/>
    </row>
    <row r="745" spans="1:23" ht="15.6" hidden="1" customHeight="1" x14ac:dyDescent="0.25">
      <c r="B745" s="50" t="s">
        <v>288</v>
      </c>
      <c r="C745" s="50"/>
      <c r="I745" s="58"/>
      <c r="J745" s="58"/>
      <c r="K745" s="58"/>
      <c r="L745" s="59"/>
    </row>
    <row r="746" spans="1:23" ht="15.6" hidden="1" customHeight="1" thickBot="1" x14ac:dyDescent="0.25">
      <c r="B746" s="48" t="s">
        <v>55</v>
      </c>
      <c r="I746" s="2086">
        <v>0</v>
      </c>
      <c r="J746" s="58"/>
      <c r="K746" s="2086">
        <v>0</v>
      </c>
      <c r="L746" s="59"/>
      <c r="N746" s="1134">
        <v>0</v>
      </c>
      <c r="O746" s="1134"/>
      <c r="P746" s="1110" t="s">
        <v>3058</v>
      </c>
      <c r="Q746" s="1111" t="s">
        <v>2763</v>
      </c>
      <c r="R746" s="1110" t="s">
        <v>3059</v>
      </c>
      <c r="S746" s="1111" t="s">
        <v>2765</v>
      </c>
      <c r="T746" s="1110" t="s">
        <v>3060</v>
      </c>
      <c r="U746" s="1112" t="s">
        <v>2775</v>
      </c>
    </row>
    <row r="747" spans="1:23" ht="15.6" hidden="1" customHeight="1" thickTop="1" x14ac:dyDescent="0.2">
      <c r="B747" s="2155" t="s">
        <v>0</v>
      </c>
      <c r="C747" s="2155"/>
      <c r="D747" s="2156"/>
      <c r="E747" s="2155"/>
      <c r="F747" s="2156"/>
      <c r="G747" s="2156"/>
      <c r="H747" s="2156"/>
      <c r="I747" s="217">
        <v>0</v>
      </c>
      <c r="J747" s="218"/>
      <c r="K747" s="217">
        <v>0</v>
      </c>
      <c r="L747" s="59"/>
      <c r="O747" s="1134"/>
      <c r="R747" s="1110"/>
      <c r="T747" s="1110"/>
    </row>
    <row r="748" spans="1:23" ht="15.6" customHeight="1" x14ac:dyDescent="0.25">
      <c r="B748" s="50" t="s">
        <v>319</v>
      </c>
      <c r="C748" s="50"/>
      <c r="I748" s="58"/>
      <c r="J748" s="58"/>
      <c r="K748" s="58"/>
      <c r="L748" s="59"/>
      <c r="O748" s="1134"/>
      <c r="R748" s="1110"/>
      <c r="T748" s="1110"/>
    </row>
    <row r="749" spans="1:23" ht="15.6" hidden="1" customHeight="1" x14ac:dyDescent="0.2">
      <c r="B749" s="48" t="s">
        <v>948</v>
      </c>
      <c r="I749" s="2043">
        <v>0</v>
      </c>
      <c r="J749" s="58"/>
      <c r="K749" s="2043">
        <v>0</v>
      </c>
      <c r="L749" s="59"/>
      <c r="M749" s="1133"/>
      <c r="N749" s="1147">
        <v>0</v>
      </c>
      <c r="O749" s="1147"/>
      <c r="P749" s="1115" t="s">
        <v>3061</v>
      </c>
      <c r="Q749" s="1111" t="s">
        <v>2763</v>
      </c>
      <c r="R749" s="1115" t="s">
        <v>3062</v>
      </c>
      <c r="S749" s="1111" t="s">
        <v>2765</v>
      </c>
      <c r="T749" s="1115" t="s">
        <v>3063</v>
      </c>
      <c r="U749" s="1112" t="s">
        <v>2775</v>
      </c>
    </row>
    <row r="750" spans="1:23" ht="15.6" hidden="1" customHeight="1" x14ac:dyDescent="0.2">
      <c r="B750" s="48" t="s">
        <v>949</v>
      </c>
      <c r="I750" s="2043">
        <v>0</v>
      </c>
      <c r="J750" s="58"/>
      <c r="K750" s="2043">
        <v>0</v>
      </c>
      <c r="L750" s="59"/>
      <c r="M750" s="1133"/>
      <c r="N750" s="1147">
        <v>0</v>
      </c>
      <c r="O750" s="1147"/>
      <c r="P750" s="1115" t="s">
        <v>3064</v>
      </c>
      <c r="Q750" s="1111" t="s">
        <v>2763</v>
      </c>
      <c r="R750" s="1115" t="s">
        <v>3065</v>
      </c>
      <c r="S750" s="1111" t="s">
        <v>2765</v>
      </c>
      <c r="T750" s="1115" t="s">
        <v>3066</v>
      </c>
      <c r="U750" s="1112" t="s">
        <v>2775</v>
      </c>
    </row>
    <row r="751" spans="1:23" ht="15.6" customHeight="1" x14ac:dyDescent="0.2">
      <c r="B751" s="48" t="s">
        <v>83</v>
      </c>
      <c r="I751" s="212">
        <f>SUM('Trial Balance - FPos'!F35:F36)</f>
        <v>112659.79999999999</v>
      </c>
      <c r="J751" s="58"/>
      <c r="K751" s="212">
        <f>SUM('Trial Balance - FPos'!C35:C36)</f>
        <v>95825.5</v>
      </c>
      <c r="L751" s="59"/>
      <c r="M751" s="1133"/>
      <c r="N751" s="1147">
        <v>0</v>
      </c>
      <c r="O751" s="1147"/>
      <c r="P751" s="1115" t="s">
        <v>3067</v>
      </c>
      <c r="Q751" s="1111" t="s">
        <v>2763</v>
      </c>
      <c r="R751" s="1115" t="s">
        <v>3068</v>
      </c>
      <c r="S751" s="1111" t="s">
        <v>2765</v>
      </c>
      <c r="T751" s="1115" t="s">
        <v>3069</v>
      </c>
      <c r="U751" s="1112" t="s">
        <v>2775</v>
      </c>
    </row>
    <row r="752" spans="1:23" ht="15.6" customHeight="1" thickBot="1" x14ac:dyDescent="0.3">
      <c r="I752" s="202">
        <f>SUM(I749:I751)</f>
        <v>112659.79999999999</v>
      </c>
      <c r="K752" s="202">
        <f>SUM(K749:K751)</f>
        <v>95825.5</v>
      </c>
      <c r="L752" s="59"/>
      <c r="N752" s="1134">
        <v>0</v>
      </c>
      <c r="O752" s="1134"/>
      <c r="R752" s="1110"/>
      <c r="T752" s="1110"/>
    </row>
    <row r="753" spans="2:23" ht="15.6" customHeight="1" thickTop="1" x14ac:dyDescent="0.2">
      <c r="B753" s="2155" t="s">
        <v>1</v>
      </c>
      <c r="C753" s="2155"/>
      <c r="D753" s="2156"/>
      <c r="E753" s="2155"/>
      <c r="F753" s="2156"/>
      <c r="G753" s="2156"/>
      <c r="H753" s="2156"/>
      <c r="I753" s="217">
        <v>0</v>
      </c>
      <c r="J753" s="218"/>
      <c r="K753" s="217">
        <v>0</v>
      </c>
      <c r="L753" s="59"/>
      <c r="O753" s="1134"/>
      <c r="R753" s="1110"/>
      <c r="T753" s="1110"/>
    </row>
    <row r="754" spans="2:23" ht="15.6" hidden="1" customHeight="1" x14ac:dyDescent="0.25">
      <c r="B754" s="50" t="s">
        <v>289</v>
      </c>
      <c r="C754" s="50"/>
      <c r="I754" s="58"/>
      <c r="J754" s="58"/>
      <c r="K754" s="58"/>
      <c r="L754" s="59"/>
      <c r="O754" s="1134"/>
      <c r="R754" s="1110"/>
      <c r="T754" s="1110"/>
      <c r="V754" s="48"/>
      <c r="W754" s="48"/>
    </row>
    <row r="755" spans="2:23" ht="15.6" hidden="1" customHeight="1" thickBot="1" x14ac:dyDescent="0.25">
      <c r="B755" s="48" t="s">
        <v>290</v>
      </c>
      <c r="I755" s="2465">
        <v>0</v>
      </c>
      <c r="K755" s="2457">
        <v>0</v>
      </c>
      <c r="N755" s="1134">
        <v>0</v>
      </c>
      <c r="O755" s="1134"/>
      <c r="P755" s="1110" t="s">
        <v>3070</v>
      </c>
      <c r="Q755" s="1111" t="s">
        <v>2763</v>
      </c>
      <c r="R755" s="1110" t="s">
        <v>3071</v>
      </c>
      <c r="S755" s="1111" t="s">
        <v>2765</v>
      </c>
      <c r="T755" s="1110" t="s">
        <v>3072</v>
      </c>
      <c r="U755" s="1112" t="s">
        <v>2775</v>
      </c>
      <c r="V755" s="48"/>
      <c r="W755" s="48"/>
    </row>
    <row r="756" spans="2:23" ht="15.6" hidden="1" customHeight="1" thickTop="1" x14ac:dyDescent="0.2">
      <c r="B756" s="2155" t="s">
        <v>2</v>
      </c>
      <c r="C756" s="2155"/>
      <c r="D756" s="2156"/>
      <c r="E756" s="2155"/>
      <c r="F756" s="2156"/>
      <c r="G756" s="2156"/>
      <c r="H756" s="2156"/>
      <c r="I756" s="217">
        <v>0</v>
      </c>
      <c r="J756" s="218"/>
      <c r="K756" s="217">
        <v>0</v>
      </c>
      <c r="R756" s="1110"/>
      <c r="T756" s="1110"/>
      <c r="V756" s="48"/>
      <c r="W756" s="48"/>
    </row>
    <row r="757" spans="2:23" ht="15.6" customHeight="1" x14ac:dyDescent="0.25">
      <c r="B757" s="50" t="s">
        <v>291</v>
      </c>
      <c r="R757" s="1110"/>
      <c r="T757" s="1110"/>
      <c r="V757" s="48"/>
      <c r="W757" s="48"/>
    </row>
    <row r="758" spans="2:23" ht="15.6" customHeight="1" x14ac:dyDescent="0.2">
      <c r="B758" s="48" t="s">
        <v>3</v>
      </c>
      <c r="I758" s="199">
        <f>SUM(I746,I752,I755)</f>
        <v>112659.79999999999</v>
      </c>
      <c r="K758" s="199">
        <f>SUM(K746,K752,K755)</f>
        <v>95825.5</v>
      </c>
      <c r="R758" s="1110"/>
      <c r="T758" s="1110"/>
      <c r="V758" s="48"/>
      <c r="W758" s="48"/>
    </row>
    <row r="759" spans="2:23" ht="15.6" hidden="1" customHeight="1" x14ac:dyDescent="0.2">
      <c r="B759" s="48" t="s">
        <v>4</v>
      </c>
      <c r="I759" s="199">
        <v>0</v>
      </c>
      <c r="K759" s="199">
        <v>0</v>
      </c>
      <c r="N759" s="1134">
        <v>0</v>
      </c>
      <c r="P759" s="1110" t="s">
        <v>3073</v>
      </c>
      <c r="Q759" s="1111" t="s">
        <v>2763</v>
      </c>
      <c r="R759" s="1110" t="s">
        <v>3074</v>
      </c>
      <c r="S759" s="1111" t="s">
        <v>2765</v>
      </c>
      <c r="T759" s="1110" t="s">
        <v>3075</v>
      </c>
      <c r="U759" s="1112" t="s">
        <v>2775</v>
      </c>
      <c r="V759" s="48"/>
      <c r="W759" s="48"/>
    </row>
    <row r="760" spans="2:23" ht="15.6" customHeight="1" x14ac:dyDescent="0.2">
      <c r="V760" s="48"/>
      <c r="W760" s="48"/>
    </row>
    <row r="761" spans="2:23" ht="15.6" customHeight="1" thickBot="1" x14ac:dyDescent="0.3">
      <c r="B761" s="50" t="s">
        <v>1641</v>
      </c>
      <c r="C761" s="50"/>
      <c r="I761" s="202">
        <f>SUM(I758:I760)</f>
        <v>112659.79999999999</v>
      </c>
      <c r="K761" s="202">
        <f>SUM(K758:K760)</f>
        <v>95825.5</v>
      </c>
      <c r="N761" s="283">
        <f>+N746+N752+N755</f>
        <v>0</v>
      </c>
      <c r="V761" s="48"/>
      <c r="W761" s="48"/>
    </row>
    <row r="762" spans="2:23" ht="15.6" customHeight="1" thickTop="1" x14ac:dyDescent="0.2">
      <c r="I762" s="217">
        <v>0</v>
      </c>
      <c r="J762" s="218"/>
      <c r="K762" s="217">
        <v>0</v>
      </c>
      <c r="V762" s="48"/>
      <c r="W762" s="48"/>
    </row>
    <row r="763" spans="2:23" ht="15.6" hidden="1" customHeight="1" x14ac:dyDescent="0.2">
      <c r="B763" s="229" t="s">
        <v>952</v>
      </c>
      <c r="V763" s="48"/>
      <c r="W763" s="48"/>
    </row>
    <row r="764" spans="2:23" ht="15.6" hidden="1" customHeight="1" thickBot="1" x14ac:dyDescent="0.25">
      <c r="B764" s="48" t="s">
        <v>55</v>
      </c>
      <c r="I764" s="2086">
        <v>0</v>
      </c>
      <c r="J764" s="58"/>
      <c r="K764" s="2086">
        <v>0</v>
      </c>
      <c r="V764" s="48"/>
      <c r="W764" s="48"/>
    </row>
    <row r="765" spans="2:23" ht="15.6" hidden="1" customHeight="1" thickTop="1" x14ac:dyDescent="0.25">
      <c r="I765" s="200"/>
      <c r="J765" s="200"/>
      <c r="K765" s="200"/>
      <c r="L765" s="210"/>
      <c r="V765" s="48"/>
      <c r="W765" s="48"/>
    </row>
    <row r="766" spans="2:23" ht="15.6" customHeight="1" x14ac:dyDescent="0.2">
      <c r="B766" s="229" t="s">
        <v>953</v>
      </c>
      <c r="V766" s="48"/>
      <c r="W766" s="48"/>
    </row>
    <row r="767" spans="2:23" ht="15.6" hidden="1" customHeight="1" x14ac:dyDescent="0.2">
      <c r="B767" s="48" t="s">
        <v>950</v>
      </c>
      <c r="I767" s="2043">
        <v>0</v>
      </c>
      <c r="J767" s="58"/>
      <c r="K767" s="2043">
        <v>0</v>
      </c>
      <c r="L767" s="59"/>
      <c r="M767" s="1133"/>
      <c r="N767" s="1147"/>
      <c r="O767" s="1146"/>
      <c r="P767" s="1115"/>
      <c r="V767" s="48"/>
      <c r="W767" s="48"/>
    </row>
    <row r="768" spans="2:23" ht="15.6" hidden="1" customHeight="1" x14ac:dyDescent="0.2">
      <c r="B768" s="48" t="s">
        <v>951</v>
      </c>
      <c r="I768" s="2043">
        <v>0</v>
      </c>
      <c r="J768" s="58"/>
      <c r="K768" s="2043">
        <v>0</v>
      </c>
      <c r="L768" s="59"/>
      <c r="M768" s="1133"/>
      <c r="N768" s="1147"/>
      <c r="O768" s="1146"/>
      <c r="P768" s="1115"/>
      <c r="V768" s="48"/>
      <c r="W768" s="48"/>
    </row>
    <row r="769" spans="1:23" ht="15.6" customHeight="1" x14ac:dyDescent="0.2">
      <c r="B769" s="48" t="s">
        <v>83</v>
      </c>
      <c r="I769" s="58">
        <f>I751</f>
        <v>112659.79999999999</v>
      </c>
      <c r="J769" s="58"/>
      <c r="K769" s="58">
        <f>K751</f>
        <v>95825.5</v>
      </c>
      <c r="M769" s="1133"/>
      <c r="N769" s="1147"/>
      <c r="O769" s="1146"/>
      <c r="P769" s="1115"/>
      <c r="V769" s="48"/>
      <c r="W769" s="48"/>
    </row>
    <row r="770" spans="1:23" ht="15.6" customHeight="1" thickBot="1" x14ac:dyDescent="0.3">
      <c r="I770" s="204">
        <f>SUM(I767:I769)</f>
        <v>112659.79999999999</v>
      </c>
      <c r="J770" s="58"/>
      <c r="K770" s="204">
        <f>SUM(K767:K769)</f>
        <v>95825.5</v>
      </c>
      <c r="M770" s="1133"/>
      <c r="N770" s="1147"/>
      <c r="O770" s="1146"/>
      <c r="P770" s="1115"/>
      <c r="Q770" s="48"/>
      <c r="R770" s="48"/>
      <c r="S770" s="48"/>
      <c r="T770" s="48"/>
      <c r="U770" s="48"/>
      <c r="V770" s="48"/>
      <c r="W770" s="48"/>
    </row>
    <row r="771" spans="1:23" ht="15.6" customHeight="1" thickTop="1" x14ac:dyDescent="0.25">
      <c r="I771" s="200"/>
      <c r="J771" s="200"/>
      <c r="K771" s="200"/>
      <c r="L771" s="210"/>
      <c r="Q771" s="48"/>
      <c r="R771" s="48"/>
      <c r="S771" s="48"/>
      <c r="T771" s="48"/>
      <c r="U771" s="48"/>
      <c r="V771" s="48"/>
      <c r="W771" s="48"/>
    </row>
    <row r="772" spans="1:23" ht="30.75" hidden="1" customHeight="1" x14ac:dyDescent="0.2">
      <c r="A772" s="655"/>
      <c r="B772" s="2840" t="s">
        <v>1377</v>
      </c>
      <c r="C772" s="2840"/>
      <c r="D772" s="2840"/>
      <c r="E772" s="2840"/>
      <c r="F772" s="2840"/>
      <c r="G772" s="2840"/>
      <c r="H772" s="1546"/>
      <c r="I772" s="56"/>
      <c r="J772" s="56"/>
      <c r="K772" s="56"/>
      <c r="M772" s="1217" t="s">
        <v>2319</v>
      </c>
      <c r="N772" s="1147"/>
      <c r="O772" s="1146"/>
      <c r="P772" s="1117"/>
      <c r="Q772" s="48"/>
      <c r="R772" s="48"/>
      <c r="S772" s="48"/>
      <c r="T772" s="48"/>
      <c r="U772" s="48"/>
      <c r="V772" s="48"/>
      <c r="W772" s="48"/>
    </row>
    <row r="773" spans="1:23" ht="15.6" hidden="1" customHeight="1" x14ac:dyDescent="0.25">
      <c r="A773" s="655"/>
      <c r="B773" s="655"/>
      <c r="C773" s="655"/>
      <c r="D773" s="656"/>
      <c r="E773" s="655"/>
      <c r="F773" s="656"/>
      <c r="G773" s="656"/>
      <c r="H773" s="656"/>
      <c r="I773" s="200"/>
      <c r="J773" s="200"/>
      <c r="K773" s="200"/>
      <c r="L773" s="210"/>
      <c r="M773" s="1133"/>
      <c r="N773" s="1133"/>
      <c r="O773" s="1146"/>
      <c r="P773" s="1117"/>
      <c r="Q773" s="48"/>
      <c r="R773" s="48"/>
      <c r="S773" s="48"/>
      <c r="T773" s="48"/>
      <c r="U773" s="48"/>
      <c r="V773" s="48"/>
      <c r="W773" s="48"/>
    </row>
    <row r="774" spans="1:23" ht="15.6" customHeight="1" x14ac:dyDescent="0.25">
      <c r="B774" s="2839" t="s">
        <v>954</v>
      </c>
      <c r="C774" s="2839"/>
      <c r="D774" s="2839"/>
      <c r="E774" s="2839"/>
      <c r="F774" s="2839"/>
      <c r="G774" s="2839"/>
      <c r="I774" s="200"/>
      <c r="J774" s="200"/>
      <c r="K774" s="200"/>
      <c r="L774" s="210"/>
      <c r="M774" s="1133"/>
      <c r="N774" s="1147"/>
      <c r="O774" s="1146"/>
      <c r="P774" s="1115"/>
      <c r="Q774" s="48"/>
      <c r="R774" s="48"/>
      <c r="S774" s="48"/>
      <c r="T774" s="48"/>
      <c r="U774" s="48"/>
      <c r="V774" s="48"/>
      <c r="W774" s="48"/>
    </row>
    <row r="775" spans="1:23" ht="30.95" customHeight="1" x14ac:dyDescent="0.2">
      <c r="B775" s="2839" t="s">
        <v>6884</v>
      </c>
      <c r="C775" s="2839"/>
      <c r="D775" s="2839"/>
      <c r="E775" s="2839"/>
      <c r="F775" s="2839"/>
      <c r="G775" s="2839"/>
      <c r="H775" s="56"/>
      <c r="I775" s="56"/>
      <c r="J775" s="56"/>
      <c r="K775" s="56"/>
      <c r="M775" s="1133"/>
      <c r="N775" s="1147"/>
      <c r="O775" s="1146"/>
      <c r="P775" s="1117"/>
      <c r="Q775" s="48"/>
      <c r="R775" s="48"/>
      <c r="S775" s="48"/>
      <c r="T775" s="48"/>
      <c r="U775" s="48"/>
      <c r="V775" s="48"/>
      <c r="W775" s="48"/>
    </row>
    <row r="776" spans="1:23" ht="15.6" customHeight="1" x14ac:dyDescent="0.25">
      <c r="I776" s="200"/>
      <c r="J776" s="200"/>
      <c r="K776" s="200"/>
      <c r="L776" s="210"/>
      <c r="M776" s="1133"/>
      <c r="N776" s="1133"/>
      <c r="O776" s="1146"/>
      <c r="P776" s="1117"/>
      <c r="Q776" s="48"/>
      <c r="R776" s="48"/>
      <c r="S776" s="48"/>
      <c r="T776" s="48"/>
      <c r="U776" s="48"/>
      <c r="V776" s="48"/>
      <c r="W776" s="48"/>
    </row>
    <row r="777" spans="1:23" ht="30.95" hidden="1" customHeight="1" x14ac:dyDescent="0.2">
      <c r="B777" s="2840" t="s">
        <v>1378</v>
      </c>
      <c r="C777" s="2840"/>
      <c r="D777" s="2840"/>
      <c r="E777" s="2840"/>
      <c r="F777" s="2840"/>
      <c r="G777" s="2840"/>
      <c r="H777" s="56"/>
      <c r="I777" s="56"/>
      <c r="J777" s="56"/>
      <c r="K777" s="56"/>
      <c r="M777" s="1133"/>
      <c r="N777" s="1147"/>
      <c r="O777" s="1146"/>
      <c r="P777" s="1117"/>
      <c r="Q777" s="48"/>
      <c r="R777" s="48"/>
      <c r="S777" s="48"/>
      <c r="T777" s="48"/>
      <c r="U777" s="48"/>
      <c r="V777" s="48"/>
      <c r="W777" s="48"/>
    </row>
    <row r="778" spans="1:23" ht="15.6" hidden="1" customHeight="1" x14ac:dyDescent="0.25">
      <c r="I778" s="200"/>
      <c r="J778" s="200"/>
      <c r="K778" s="200"/>
      <c r="L778" s="210"/>
      <c r="M778" s="1133"/>
      <c r="N778" s="1133"/>
      <c r="O778" s="1146"/>
      <c r="P778" s="1117"/>
      <c r="Q778" s="48"/>
      <c r="R778" s="48"/>
      <c r="S778" s="48"/>
      <c r="T778" s="48"/>
      <c r="U778" s="48"/>
      <c r="V778" s="48"/>
      <c r="W778" s="48"/>
    </row>
    <row r="779" spans="1:23" ht="30.95" hidden="1" customHeight="1" x14ac:dyDescent="0.25">
      <c r="B779" s="2839" t="s">
        <v>2197</v>
      </c>
      <c r="C779" s="2839"/>
      <c r="D779" s="2839"/>
      <c r="E779" s="2839"/>
      <c r="F779" s="2839"/>
      <c r="G779" s="2839"/>
      <c r="I779" s="200"/>
      <c r="J779" s="200"/>
      <c r="K779" s="200"/>
      <c r="L779" s="210"/>
      <c r="Q779" s="48"/>
      <c r="R779" s="48"/>
      <c r="S779" s="48"/>
      <c r="T779" s="48"/>
      <c r="U779" s="48"/>
      <c r="V779" s="48"/>
      <c r="W779" s="48"/>
    </row>
    <row r="780" spans="1:23" ht="15.6" hidden="1" customHeight="1" x14ac:dyDescent="0.25">
      <c r="I780" s="200"/>
      <c r="J780" s="200"/>
      <c r="K780" s="200"/>
      <c r="L780" s="210"/>
      <c r="Q780" s="48"/>
      <c r="R780" s="48"/>
      <c r="S780" s="48"/>
      <c r="T780" s="48"/>
      <c r="U780" s="48"/>
      <c r="V780" s="48"/>
      <c r="W780" s="48"/>
    </row>
    <row r="781" spans="1:23" ht="30.95" hidden="1" customHeight="1" x14ac:dyDescent="0.25">
      <c r="B781" s="2839" t="s">
        <v>588</v>
      </c>
      <c r="C781" s="2839"/>
      <c r="D781" s="2839"/>
      <c r="E781" s="2839"/>
      <c r="F781" s="2839"/>
      <c r="G781" s="2839"/>
      <c r="I781" s="200"/>
      <c r="J781" s="200"/>
      <c r="K781" s="200"/>
      <c r="L781" s="210"/>
      <c r="Q781" s="48"/>
      <c r="R781" s="48"/>
      <c r="S781" s="48"/>
      <c r="T781" s="48"/>
      <c r="U781" s="48"/>
      <c r="V781" s="48"/>
      <c r="W781" s="48"/>
    </row>
    <row r="782" spans="1:23" ht="30.95" hidden="1" customHeight="1" x14ac:dyDescent="0.25">
      <c r="B782" s="2839" t="s">
        <v>4339</v>
      </c>
      <c r="C782" s="2839"/>
      <c r="D782" s="2839"/>
      <c r="E782" s="2839"/>
      <c r="F782" s="2839"/>
      <c r="G782" s="2839"/>
      <c r="I782" s="200"/>
      <c r="J782" s="200"/>
      <c r="K782" s="200"/>
      <c r="L782" s="210"/>
      <c r="N782" s="1471"/>
      <c r="Q782" s="48"/>
      <c r="R782" s="48"/>
      <c r="S782" s="48"/>
      <c r="T782" s="48"/>
      <c r="U782" s="48"/>
      <c r="V782" s="48"/>
      <c r="W782" s="48"/>
    </row>
    <row r="783" spans="1:23" ht="15.6" hidden="1" customHeight="1" x14ac:dyDescent="0.25">
      <c r="I783" s="200"/>
      <c r="J783" s="200"/>
      <c r="K783" s="200"/>
      <c r="L783" s="210"/>
      <c r="Q783" s="48"/>
      <c r="R783" s="48"/>
      <c r="S783" s="48"/>
      <c r="T783" s="48"/>
      <c r="U783" s="48"/>
      <c r="V783" s="48"/>
      <c r="W783" s="48"/>
    </row>
    <row r="784" spans="1:23" ht="30.95" hidden="1" customHeight="1" x14ac:dyDescent="0.2">
      <c r="B784" s="2839" t="s">
        <v>2568</v>
      </c>
      <c r="C784" s="2839"/>
      <c r="D784" s="2839"/>
      <c r="E784" s="2839"/>
      <c r="F784" s="2839"/>
      <c r="G784" s="2839"/>
      <c r="H784" s="56"/>
      <c r="I784" s="56"/>
      <c r="J784" s="56"/>
      <c r="K784" s="56"/>
    </row>
    <row r="785" spans="1:23" ht="15.6" hidden="1" customHeight="1" x14ac:dyDescent="0.2"/>
    <row r="786" spans="1:23" ht="30.95" hidden="1" customHeight="1" x14ac:dyDescent="0.2">
      <c r="B786" s="2839" t="s">
        <v>2569</v>
      </c>
      <c r="C786" s="2839"/>
      <c r="D786" s="2839"/>
      <c r="E786" s="2839"/>
      <c r="F786" s="2839"/>
      <c r="G786" s="2839"/>
      <c r="H786" s="56"/>
      <c r="I786" s="2157"/>
      <c r="J786" s="56"/>
      <c r="K786" s="56"/>
    </row>
    <row r="787" spans="1:23" ht="15.6" hidden="1" customHeight="1" x14ac:dyDescent="0.2"/>
    <row r="788" spans="1:23" ht="46.5" hidden="1" customHeight="1" x14ac:dyDescent="0.2">
      <c r="B788" s="2839" t="s">
        <v>2320</v>
      </c>
      <c r="C788" s="2839"/>
      <c r="D788" s="2839"/>
      <c r="E788" s="2839"/>
      <c r="F788" s="2839"/>
      <c r="G788" s="2839"/>
      <c r="H788" s="56"/>
      <c r="I788" s="2157"/>
      <c r="J788" s="56"/>
      <c r="K788" s="56"/>
    </row>
    <row r="789" spans="1:23" ht="15.6" hidden="1" customHeight="1" x14ac:dyDescent="0.2"/>
    <row r="790" spans="1:23" ht="30.95" customHeight="1" x14ac:dyDescent="0.2">
      <c r="B790" s="2839" t="s">
        <v>955</v>
      </c>
      <c r="C790" s="2839"/>
      <c r="D790" s="2839"/>
      <c r="E790" s="2839"/>
      <c r="F790" s="2839"/>
      <c r="G790" s="2839"/>
      <c r="H790" s="56"/>
      <c r="I790" s="56"/>
      <c r="J790" s="56"/>
      <c r="K790" s="56"/>
      <c r="M790" s="1133"/>
      <c r="N790" s="1147"/>
      <c r="O790" s="1146"/>
      <c r="P790" s="1117"/>
    </row>
    <row r="791" spans="1:23" ht="15.6" customHeight="1" x14ac:dyDescent="0.25">
      <c r="I791" s="200"/>
      <c r="J791" s="200"/>
      <c r="K791" s="200"/>
      <c r="L791" s="210"/>
      <c r="M791" s="1133"/>
      <c r="N791" s="1133"/>
      <c r="O791" s="1146"/>
      <c r="P791" s="1117"/>
    </row>
    <row r="792" spans="1:23" ht="30.95" customHeight="1" x14ac:dyDescent="0.2">
      <c r="B792" s="2839" t="s">
        <v>956</v>
      </c>
      <c r="C792" s="2839"/>
      <c r="D792" s="2839"/>
      <c r="E792" s="2839"/>
      <c r="F792" s="2839"/>
      <c r="G792" s="2839"/>
      <c r="H792" s="56"/>
      <c r="I792" s="56"/>
      <c r="J792" s="56"/>
      <c r="K792" s="56"/>
      <c r="M792" s="1133"/>
      <c r="N792" s="1147"/>
      <c r="O792" s="1146"/>
      <c r="P792" s="1117"/>
    </row>
    <row r="793" spans="1:23" ht="15.6" customHeight="1" x14ac:dyDescent="0.25">
      <c r="I793" s="200"/>
      <c r="J793" s="200"/>
      <c r="K793" s="200"/>
      <c r="L793" s="210"/>
      <c r="M793" s="1133"/>
      <c r="N793" s="1133"/>
      <c r="O793" s="1146"/>
      <c r="P793" s="1117"/>
    </row>
    <row r="794" spans="1:23" ht="15.6" hidden="1" customHeight="1" x14ac:dyDescent="0.25">
      <c r="A794" s="655"/>
      <c r="B794" s="1456" t="s">
        <v>4139</v>
      </c>
      <c r="C794" s="655"/>
      <c r="D794" s="656"/>
      <c r="E794" s="655"/>
      <c r="F794" s="656"/>
      <c r="G794" s="656"/>
      <c r="H794" s="656"/>
      <c r="I794" s="1455"/>
      <c r="J794" s="658"/>
      <c r="K794" s="1455"/>
      <c r="L794" s="655"/>
      <c r="M794" s="1133"/>
      <c r="N794" s="1147"/>
      <c r="O794" s="1146"/>
      <c r="P794" s="1115"/>
      <c r="W794" s="1114" t="s">
        <v>3857</v>
      </c>
    </row>
    <row r="795" spans="1:23" ht="15.6" hidden="1" customHeight="1" x14ac:dyDescent="0.2">
      <c r="A795" s="655"/>
      <c r="B795" s="655"/>
      <c r="C795" s="655"/>
      <c r="D795" s="656"/>
      <c r="E795" s="655"/>
      <c r="F795" s="656"/>
      <c r="G795" s="656"/>
      <c r="H795" s="656"/>
      <c r="I795" s="663"/>
      <c r="J795" s="663"/>
      <c r="K795" s="663"/>
      <c r="L795" s="1551"/>
      <c r="M795" s="1133"/>
      <c r="N795" s="1147"/>
      <c r="O795" s="1146"/>
      <c r="P795" s="1115"/>
    </row>
    <row r="796" spans="1:23" ht="46.5" hidden="1" customHeight="1" x14ac:dyDescent="0.2">
      <c r="A796" s="655"/>
      <c r="B796" s="2868" t="s">
        <v>1005</v>
      </c>
      <c r="C796" s="2868"/>
      <c r="D796" s="2868"/>
      <c r="E796" s="2868"/>
      <c r="F796" s="2868"/>
      <c r="G796" s="2868"/>
      <c r="H796" s="656"/>
      <c r="I796" s="663"/>
      <c r="J796" s="663"/>
      <c r="K796" s="663"/>
      <c r="L796" s="1551"/>
      <c r="M796" s="1217" t="s">
        <v>1968</v>
      </c>
      <c r="N796" s="1147"/>
      <c r="O796" s="1146"/>
      <c r="P796" s="1115"/>
    </row>
    <row r="797" spans="1:23" ht="15.6" hidden="1" customHeight="1" x14ac:dyDescent="0.2">
      <c r="A797" s="655"/>
      <c r="B797" s="655"/>
      <c r="C797" s="655"/>
      <c r="D797" s="656"/>
      <c r="E797" s="655"/>
      <c r="F797" s="656"/>
      <c r="G797" s="656"/>
      <c r="H797" s="656"/>
      <c r="I797" s="663"/>
      <c r="J797" s="663"/>
      <c r="K797" s="663"/>
      <c r="L797" s="1551"/>
      <c r="M797" s="1133"/>
      <c r="N797" s="1147"/>
      <c r="O797" s="1146"/>
      <c r="P797" s="1115"/>
    </row>
    <row r="798" spans="1:23" s="256" customFormat="1" ht="15.6" hidden="1" customHeight="1" x14ac:dyDescent="0.2">
      <c r="A798" s="1501"/>
      <c r="B798" s="1555" t="s">
        <v>1006</v>
      </c>
      <c r="C798" s="1501"/>
      <c r="D798" s="1502"/>
      <c r="E798" s="1503"/>
      <c r="F798" s="1502"/>
      <c r="G798" s="1502"/>
      <c r="H798" s="1502"/>
      <c r="I798" s="676"/>
      <c r="J798" s="1504"/>
      <c r="K798" s="676"/>
      <c r="L798" s="1503"/>
      <c r="M798" s="1593"/>
      <c r="N798" s="1468"/>
      <c r="O798" s="1594"/>
      <c r="P798" s="1118"/>
      <c r="Q798" s="1119"/>
      <c r="R798" s="1119"/>
      <c r="S798" s="1119"/>
      <c r="T798" s="1119"/>
      <c r="U798" s="1120"/>
      <c r="V798" s="1593"/>
      <c r="W798" s="1595"/>
    </row>
    <row r="799" spans="1:23" ht="15.6" hidden="1" customHeight="1" x14ac:dyDescent="0.2">
      <c r="A799" s="655"/>
      <c r="B799" s="655" t="s">
        <v>957</v>
      </c>
      <c r="C799" s="655"/>
      <c r="D799" s="656"/>
      <c r="E799" s="655"/>
      <c r="F799" s="656"/>
      <c r="G799" s="656"/>
      <c r="H799" s="656"/>
      <c r="I799" s="663">
        <v>0</v>
      </c>
      <c r="J799" s="663"/>
      <c r="K799" s="663">
        <v>0</v>
      </c>
      <c r="L799" s="1551"/>
      <c r="M799" s="1133"/>
      <c r="N799" s="1147"/>
      <c r="O799" s="1146"/>
      <c r="P799" s="1115"/>
    </row>
    <row r="800" spans="1:23" ht="15.6" hidden="1" customHeight="1" x14ac:dyDescent="0.2">
      <c r="A800" s="655"/>
      <c r="B800" s="655" t="s">
        <v>958</v>
      </c>
      <c r="C800" s="655"/>
      <c r="D800" s="656"/>
      <c r="E800" s="655"/>
      <c r="F800" s="656"/>
      <c r="G800" s="656"/>
      <c r="H800" s="656"/>
      <c r="I800" s="1552">
        <v>0.71430000000000005</v>
      </c>
      <c r="J800" s="663"/>
      <c r="K800" s="1552">
        <v>0.71430000000000005</v>
      </c>
      <c r="L800" s="1551"/>
      <c r="M800" s="1133"/>
      <c r="N800" s="1147"/>
      <c r="O800" s="1146"/>
      <c r="P800" s="1115"/>
      <c r="Q800" s="48"/>
      <c r="R800" s="48"/>
      <c r="S800" s="48"/>
      <c r="T800" s="48"/>
      <c r="U800" s="48"/>
      <c r="V800" s="48"/>
      <c r="W800" s="48"/>
    </row>
    <row r="801" spans="1:23" ht="15.6" hidden="1" customHeight="1" x14ac:dyDescent="0.2">
      <c r="A801" s="655"/>
      <c r="B801" s="655" t="s">
        <v>389</v>
      </c>
      <c r="C801" s="655"/>
      <c r="D801" s="656"/>
      <c r="E801" s="655"/>
      <c r="F801" s="656"/>
      <c r="G801" s="656"/>
      <c r="H801" s="656"/>
      <c r="I801" s="663">
        <v>0</v>
      </c>
      <c r="J801" s="663"/>
      <c r="K801" s="663">
        <v>0</v>
      </c>
      <c r="L801" s="1551"/>
      <c r="M801" s="1133"/>
      <c r="N801" s="1147"/>
      <c r="O801" s="1146"/>
      <c r="P801" s="1115"/>
      <c r="Q801" s="48"/>
      <c r="R801" s="48"/>
      <c r="S801" s="48"/>
      <c r="T801" s="48"/>
      <c r="U801" s="48"/>
      <c r="V801" s="48"/>
      <c r="W801" s="48"/>
    </row>
    <row r="802" spans="1:23" ht="15.6" hidden="1" customHeight="1" x14ac:dyDescent="0.2">
      <c r="A802" s="655"/>
      <c r="B802" s="655" t="s">
        <v>392</v>
      </c>
      <c r="C802" s="655"/>
      <c r="D802" s="656"/>
      <c r="E802" s="655"/>
      <c r="F802" s="656"/>
      <c r="G802" s="656"/>
      <c r="H802" s="656"/>
      <c r="I802" s="663">
        <v>0</v>
      </c>
      <c r="J802" s="663"/>
      <c r="K802" s="663">
        <v>0</v>
      </c>
      <c r="L802" s="1551"/>
      <c r="M802" s="1133"/>
      <c r="N802" s="1147"/>
      <c r="O802" s="1146"/>
      <c r="P802" s="1115"/>
      <c r="Q802" s="48"/>
      <c r="R802" s="48"/>
      <c r="S802" s="48"/>
      <c r="T802" s="48"/>
      <c r="U802" s="48"/>
      <c r="V802" s="48"/>
      <c r="W802" s="48"/>
    </row>
    <row r="803" spans="1:23" ht="15.6" hidden="1" customHeight="1" x14ac:dyDescent="0.2">
      <c r="A803" s="655"/>
      <c r="B803" s="655" t="s">
        <v>397</v>
      </c>
      <c r="C803" s="655"/>
      <c r="D803" s="656"/>
      <c r="E803" s="655"/>
      <c r="F803" s="656"/>
      <c r="G803" s="656"/>
      <c r="H803" s="656"/>
      <c r="I803" s="663">
        <v>0</v>
      </c>
      <c r="J803" s="663"/>
      <c r="K803" s="663">
        <v>0</v>
      </c>
      <c r="L803" s="1551"/>
      <c r="M803" s="1133"/>
      <c r="N803" s="1147"/>
      <c r="O803" s="1146"/>
      <c r="P803" s="1115"/>
      <c r="Q803" s="48"/>
      <c r="R803" s="48"/>
      <c r="S803" s="48"/>
      <c r="T803" s="48"/>
      <c r="U803" s="48"/>
      <c r="V803" s="48"/>
      <c r="W803" s="48"/>
    </row>
    <row r="804" spans="1:23" ht="15.6" hidden="1" customHeight="1" x14ac:dyDescent="0.2">
      <c r="A804" s="655"/>
      <c r="B804" s="655" t="s">
        <v>400</v>
      </c>
      <c r="C804" s="655"/>
      <c r="D804" s="656"/>
      <c r="E804" s="655"/>
      <c r="F804" s="656"/>
      <c r="G804" s="656"/>
      <c r="H804" s="656"/>
      <c r="I804" s="663">
        <v>0</v>
      </c>
      <c r="J804" s="663"/>
      <c r="K804" s="663">
        <v>0</v>
      </c>
      <c r="L804" s="1551"/>
      <c r="M804" s="1133"/>
      <c r="N804" s="1147"/>
      <c r="O804" s="1146"/>
      <c r="P804" s="1115"/>
      <c r="Q804" s="48"/>
      <c r="R804" s="48"/>
      <c r="S804" s="48"/>
      <c r="T804" s="48"/>
      <c r="U804" s="48"/>
      <c r="V804" s="48"/>
      <c r="W804" s="48"/>
    </row>
    <row r="805" spans="1:23" ht="15.6" hidden="1" customHeight="1" x14ac:dyDescent="0.2">
      <c r="A805" s="655"/>
      <c r="B805" s="655" t="s">
        <v>249</v>
      </c>
      <c r="C805" s="655"/>
      <c r="D805" s="656"/>
      <c r="E805" s="655"/>
      <c r="F805" s="656"/>
      <c r="G805" s="656"/>
      <c r="H805" s="656"/>
      <c r="I805" s="663">
        <v>0</v>
      </c>
      <c r="J805" s="663"/>
      <c r="K805" s="663">
        <v>0</v>
      </c>
      <c r="L805" s="1551"/>
      <c r="M805" s="1133"/>
      <c r="N805" s="1147"/>
      <c r="O805" s="1146"/>
      <c r="P805" s="1115"/>
      <c r="Q805" s="48"/>
      <c r="R805" s="48"/>
      <c r="S805" s="48"/>
      <c r="T805" s="48"/>
      <c r="U805" s="48"/>
      <c r="V805" s="48"/>
      <c r="W805" s="48"/>
    </row>
    <row r="806" spans="1:23" ht="15.6" hidden="1" customHeight="1" x14ac:dyDescent="0.2">
      <c r="A806" s="655"/>
      <c r="B806" s="655" t="s">
        <v>252</v>
      </c>
      <c r="C806" s="655"/>
      <c r="D806" s="656"/>
      <c r="E806" s="655"/>
      <c r="F806" s="656"/>
      <c r="G806" s="656"/>
      <c r="H806" s="656"/>
      <c r="I806" s="663">
        <v>0</v>
      </c>
      <c r="J806" s="663"/>
      <c r="K806" s="663">
        <v>0</v>
      </c>
      <c r="L806" s="1551"/>
      <c r="M806" s="1133"/>
      <c r="N806" s="1147"/>
      <c r="O806" s="1146"/>
      <c r="P806" s="1115"/>
      <c r="Q806" s="48"/>
      <c r="R806" s="48"/>
      <c r="S806" s="48"/>
      <c r="T806" s="48"/>
      <c r="U806" s="48"/>
      <c r="V806" s="48"/>
      <c r="W806" s="48"/>
    </row>
    <row r="807" spans="1:23" ht="15.6" hidden="1" customHeight="1" x14ac:dyDescent="0.2">
      <c r="A807" s="655"/>
      <c r="B807" s="655" t="s">
        <v>959</v>
      </c>
      <c r="C807" s="655"/>
      <c r="D807" s="656"/>
      <c r="E807" s="655"/>
      <c r="F807" s="656"/>
      <c r="G807" s="656"/>
      <c r="H807" s="656"/>
      <c r="I807" s="663">
        <v>0</v>
      </c>
      <c r="J807" s="663"/>
      <c r="K807" s="663">
        <v>0</v>
      </c>
      <c r="L807" s="1551"/>
      <c r="M807" s="1133"/>
      <c r="N807" s="1147"/>
      <c r="O807" s="1146"/>
      <c r="P807" s="1115"/>
      <c r="Q807" s="48"/>
      <c r="R807" s="48"/>
      <c r="S807" s="48"/>
      <c r="T807" s="48"/>
      <c r="U807" s="48"/>
      <c r="V807" s="48"/>
      <c r="W807" s="48"/>
    </row>
    <row r="808" spans="1:23" ht="15.6" hidden="1" customHeight="1" x14ac:dyDescent="0.2">
      <c r="A808" s="655"/>
      <c r="B808" s="655" t="s">
        <v>960</v>
      </c>
      <c r="C808" s="655"/>
      <c r="D808" s="656"/>
      <c r="E808" s="655"/>
      <c r="F808" s="656"/>
      <c r="G808" s="656"/>
      <c r="H808" s="656"/>
      <c r="I808" s="663">
        <v>0</v>
      </c>
      <c r="J808" s="663"/>
      <c r="K808" s="663">
        <v>0</v>
      </c>
      <c r="L808" s="1551"/>
      <c r="M808" s="1133"/>
      <c r="N808" s="1147"/>
      <c r="O808" s="1146"/>
      <c r="P808" s="1115"/>
      <c r="Q808" s="48"/>
      <c r="R808" s="48"/>
      <c r="S808" s="48"/>
      <c r="T808" s="48"/>
      <c r="U808" s="48"/>
      <c r="V808" s="48"/>
      <c r="W808" s="48"/>
    </row>
    <row r="809" spans="1:23" ht="15.6" hidden="1" customHeight="1" x14ac:dyDescent="0.2">
      <c r="A809" s="655"/>
      <c r="B809" s="655" t="s">
        <v>961</v>
      </c>
      <c r="C809" s="655"/>
      <c r="D809" s="656"/>
      <c r="E809" s="655"/>
      <c r="F809" s="656"/>
      <c r="G809" s="656"/>
      <c r="H809" s="656"/>
      <c r="I809" s="663">
        <v>0</v>
      </c>
      <c r="J809" s="663"/>
      <c r="K809" s="663">
        <v>0</v>
      </c>
      <c r="L809" s="1551"/>
      <c r="M809" s="1133"/>
      <c r="N809" s="1147"/>
      <c r="O809" s="1146"/>
      <c r="P809" s="1115"/>
      <c r="Q809" s="48"/>
      <c r="R809" s="48"/>
      <c r="S809" s="48"/>
      <c r="T809" s="48"/>
      <c r="U809" s="48"/>
      <c r="V809" s="48"/>
      <c r="W809" s="48"/>
    </row>
    <row r="810" spans="1:23" ht="15.6" hidden="1" customHeight="1" x14ac:dyDescent="0.2">
      <c r="A810" s="655"/>
      <c r="B810" s="655" t="s">
        <v>962</v>
      </c>
      <c r="C810" s="655"/>
      <c r="D810" s="656"/>
      <c r="E810" s="655"/>
      <c r="F810" s="656"/>
      <c r="G810" s="656"/>
      <c r="H810" s="656"/>
      <c r="I810" s="663">
        <v>0</v>
      </c>
      <c r="J810" s="663"/>
      <c r="K810" s="663">
        <v>0</v>
      </c>
      <c r="L810" s="1551"/>
      <c r="M810" s="1133"/>
      <c r="N810" s="1147"/>
      <c r="O810" s="1146"/>
      <c r="P810" s="1115"/>
      <c r="Q810" s="48"/>
      <c r="R810" s="48"/>
      <c r="S810" s="48"/>
      <c r="T810" s="48"/>
      <c r="U810" s="48"/>
      <c r="V810" s="48"/>
      <c r="W810" s="48"/>
    </row>
    <row r="811" spans="1:23" ht="15.6" hidden="1" customHeight="1" x14ac:dyDescent="0.2">
      <c r="A811" s="655"/>
      <c r="B811" s="655" t="s">
        <v>963</v>
      </c>
      <c r="C811" s="655"/>
      <c r="D811" s="656"/>
      <c r="E811" s="655"/>
      <c r="F811" s="656"/>
      <c r="G811" s="656"/>
      <c r="H811" s="656"/>
      <c r="I811" s="663">
        <v>0</v>
      </c>
      <c r="J811" s="663"/>
      <c r="K811" s="663">
        <v>0</v>
      </c>
      <c r="L811" s="1551"/>
      <c r="M811" s="1133"/>
      <c r="N811" s="1147"/>
      <c r="O811" s="1146"/>
      <c r="P811" s="1115"/>
      <c r="Q811" s="48"/>
      <c r="R811" s="48"/>
      <c r="S811" s="48"/>
      <c r="T811" s="48"/>
      <c r="U811" s="48"/>
      <c r="V811" s="48"/>
      <c r="W811" s="48"/>
    </row>
    <row r="812" spans="1:23" ht="15.6" hidden="1" customHeight="1" x14ac:dyDescent="0.2">
      <c r="A812" s="655"/>
      <c r="B812" s="655" t="s">
        <v>964</v>
      </c>
      <c r="C812" s="655"/>
      <c r="D812" s="656"/>
      <c r="E812" s="655"/>
      <c r="F812" s="656"/>
      <c r="G812" s="656"/>
      <c r="H812" s="656"/>
      <c r="I812" s="663">
        <v>0</v>
      </c>
      <c r="J812" s="663"/>
      <c r="K812" s="663">
        <v>0</v>
      </c>
      <c r="L812" s="1551"/>
      <c r="M812" s="1133"/>
      <c r="N812" s="1147"/>
      <c r="O812" s="1146"/>
      <c r="P812" s="1115"/>
      <c r="Q812" s="48"/>
      <c r="R812" s="48"/>
      <c r="S812" s="48"/>
      <c r="T812" s="48"/>
      <c r="U812" s="48"/>
      <c r="V812" s="48"/>
      <c r="W812" s="48"/>
    </row>
    <row r="813" spans="1:23" ht="15.6" hidden="1" customHeight="1" x14ac:dyDescent="0.2">
      <c r="A813" s="655"/>
      <c r="B813" s="655"/>
      <c r="C813" s="655"/>
      <c r="D813" s="656"/>
      <c r="E813" s="655"/>
      <c r="F813" s="656"/>
      <c r="G813" s="656"/>
      <c r="H813" s="656"/>
      <c r="I813" s="663"/>
      <c r="J813" s="663"/>
      <c r="K813" s="663"/>
      <c r="L813" s="1551"/>
      <c r="M813" s="1133"/>
      <c r="N813" s="1147"/>
      <c r="O813" s="1146"/>
      <c r="P813" s="1115"/>
      <c r="Q813" s="48"/>
      <c r="R813" s="48"/>
      <c r="S813" s="48"/>
      <c r="T813" s="48"/>
      <c r="U813" s="48"/>
      <c r="V813" s="48"/>
      <c r="W813" s="48"/>
    </row>
    <row r="814" spans="1:23" ht="30.95" hidden="1" customHeight="1" x14ac:dyDescent="0.25">
      <c r="A814" s="655"/>
      <c r="B814" s="2868" t="s">
        <v>965</v>
      </c>
      <c r="C814" s="2868"/>
      <c r="D814" s="2868"/>
      <c r="E814" s="2868"/>
      <c r="F814" s="2868"/>
      <c r="G814" s="2868"/>
      <c r="H814" s="656"/>
      <c r="I814" s="657"/>
      <c r="J814" s="657"/>
      <c r="K814" s="657"/>
      <c r="L814" s="664"/>
      <c r="M814" s="1217" t="s">
        <v>1969</v>
      </c>
      <c r="N814" s="1147"/>
      <c r="O814" s="1146"/>
      <c r="P814" s="1115"/>
      <c r="Q814" s="48"/>
      <c r="R814" s="48"/>
      <c r="S814" s="48"/>
      <c r="T814" s="48"/>
      <c r="U814" s="48"/>
      <c r="V814" s="48"/>
      <c r="W814" s="48"/>
    </row>
    <row r="815" spans="1:23" ht="15.6" hidden="1" customHeight="1" x14ac:dyDescent="0.2">
      <c r="A815" s="655"/>
      <c r="B815" s="655"/>
      <c r="C815" s="655"/>
      <c r="D815" s="656"/>
      <c r="E815" s="655"/>
      <c r="F815" s="656"/>
      <c r="G815" s="656"/>
      <c r="H815" s="656"/>
      <c r="I815" s="663"/>
      <c r="J815" s="663"/>
      <c r="K815" s="663"/>
      <c r="L815" s="1551"/>
      <c r="M815" s="1133"/>
      <c r="N815" s="1147"/>
      <c r="O815" s="1146"/>
      <c r="P815" s="1115"/>
      <c r="Q815" s="48"/>
      <c r="R815" s="48"/>
      <c r="S815" s="48"/>
      <c r="T815" s="48"/>
      <c r="U815" s="48"/>
      <c r="V815" s="48"/>
      <c r="W815" s="48"/>
    </row>
    <row r="816" spans="1:23" ht="15.6" hidden="1" customHeight="1" x14ac:dyDescent="0.25">
      <c r="A816" s="655"/>
      <c r="B816" s="2868" t="s">
        <v>4340</v>
      </c>
      <c r="C816" s="2868"/>
      <c r="D816" s="2868"/>
      <c r="E816" s="2868"/>
      <c r="F816" s="2868"/>
      <c r="G816" s="2868"/>
      <c r="H816" s="656"/>
      <c r="I816" s="657"/>
      <c r="J816" s="657"/>
      <c r="K816" s="657"/>
      <c r="L816" s="664"/>
      <c r="M816" s="1133"/>
      <c r="N816" s="1147"/>
      <c r="O816" s="1146"/>
      <c r="P816" s="1115"/>
    </row>
    <row r="817" spans="1:23" ht="15.6" hidden="1" customHeight="1" x14ac:dyDescent="0.2">
      <c r="A817" s="655"/>
      <c r="B817" s="655"/>
      <c r="C817" s="655"/>
      <c r="D817" s="656"/>
      <c r="E817" s="655"/>
      <c r="F817" s="656"/>
      <c r="G817" s="656"/>
      <c r="H817" s="656"/>
      <c r="I817" s="663"/>
      <c r="J817" s="663"/>
      <c r="K817" s="663"/>
      <c r="L817" s="1551"/>
      <c r="M817" s="1133"/>
      <c r="N817" s="1147"/>
      <c r="O817" s="1146"/>
      <c r="P817" s="1115"/>
    </row>
    <row r="818" spans="1:23" ht="15.6" hidden="1" customHeight="1" x14ac:dyDescent="0.25">
      <c r="A818" s="655"/>
      <c r="B818" s="1456" t="s">
        <v>4140</v>
      </c>
      <c r="C818" s="655"/>
      <c r="D818" s="656"/>
      <c r="E818" s="655"/>
      <c r="F818" s="656"/>
      <c r="G818" s="656"/>
      <c r="H818" s="656"/>
      <c r="I818" s="1455"/>
      <c r="J818" s="658"/>
      <c r="K818" s="1455"/>
      <c r="L818" s="655"/>
      <c r="M818" s="1133"/>
      <c r="N818" s="1147"/>
      <c r="O818" s="1146"/>
      <c r="P818" s="1115"/>
      <c r="W818" s="1114" t="s">
        <v>3857</v>
      </c>
    </row>
    <row r="819" spans="1:23" ht="15.6" hidden="1" customHeight="1" x14ac:dyDescent="0.2">
      <c r="A819" s="655"/>
      <c r="B819" s="655"/>
      <c r="C819" s="655"/>
      <c r="D819" s="656"/>
      <c r="E819" s="655"/>
      <c r="F819" s="656"/>
      <c r="G819" s="656"/>
      <c r="H819" s="656"/>
      <c r="I819" s="663"/>
      <c r="J819" s="663"/>
      <c r="K819" s="663"/>
      <c r="L819" s="1551"/>
      <c r="M819" s="1133"/>
      <c r="N819" s="1147"/>
      <c r="O819" s="1146"/>
      <c r="P819" s="1115"/>
    </row>
    <row r="820" spans="1:23" ht="62.1" hidden="1" customHeight="1" x14ac:dyDescent="0.2">
      <c r="A820" s="655"/>
      <c r="B820" s="2868" t="s">
        <v>1007</v>
      </c>
      <c r="C820" s="2868"/>
      <c r="D820" s="2868"/>
      <c r="E820" s="2868"/>
      <c r="F820" s="2868"/>
      <c r="G820" s="2868"/>
      <c r="H820" s="656"/>
      <c r="I820" s="663"/>
      <c r="J820" s="663"/>
      <c r="K820" s="663"/>
      <c r="L820" s="1551"/>
      <c r="M820" s="1220" t="s">
        <v>966</v>
      </c>
      <c r="N820" s="1147"/>
      <c r="O820" s="1146"/>
      <c r="P820" s="1115"/>
    </row>
    <row r="821" spans="1:23" ht="15.6" hidden="1" customHeight="1" x14ac:dyDescent="0.2">
      <c r="A821" s="655"/>
      <c r="B821" s="655"/>
      <c r="C821" s="655"/>
      <c r="D821" s="656"/>
      <c r="E821" s="655"/>
      <c r="F821" s="656"/>
      <c r="G821" s="656"/>
      <c r="H821" s="656"/>
      <c r="I821" s="663"/>
      <c r="J821" s="663"/>
      <c r="K821" s="663"/>
      <c r="L821" s="1551"/>
      <c r="M821" s="1133"/>
      <c r="N821" s="1147"/>
      <c r="O821" s="1146"/>
      <c r="P821" s="1115"/>
    </row>
    <row r="822" spans="1:23" s="256" customFormat="1" ht="15.6" hidden="1" customHeight="1" x14ac:dyDescent="0.2">
      <c r="A822" s="1501"/>
      <c r="B822" s="1555" t="s">
        <v>967</v>
      </c>
      <c r="C822" s="1501"/>
      <c r="D822" s="1502"/>
      <c r="E822" s="1503"/>
      <c r="F822" s="1502"/>
      <c r="G822" s="1502"/>
      <c r="H822" s="1502"/>
      <c r="I822" s="676"/>
      <c r="J822" s="1504"/>
      <c r="K822" s="676"/>
      <c r="L822" s="1503"/>
      <c r="M822" s="1593"/>
      <c r="N822" s="1468"/>
      <c r="O822" s="1594"/>
      <c r="P822" s="1118"/>
      <c r="Q822" s="1119"/>
      <c r="R822" s="1119"/>
      <c r="S822" s="1119"/>
      <c r="T822" s="1119"/>
      <c r="U822" s="1120"/>
      <c r="V822" s="1593"/>
      <c r="W822" s="1595"/>
    </row>
    <row r="823" spans="1:23" ht="15.6" hidden="1" customHeight="1" x14ac:dyDescent="0.2">
      <c r="A823" s="655"/>
      <c r="B823" s="655" t="s">
        <v>957</v>
      </c>
      <c r="C823" s="655"/>
      <c r="D823" s="656"/>
      <c r="E823" s="655"/>
      <c r="F823" s="656"/>
      <c r="G823" s="656"/>
      <c r="H823" s="656"/>
      <c r="I823" s="663">
        <v>0</v>
      </c>
      <c r="J823" s="663"/>
      <c r="K823" s="663">
        <v>0</v>
      </c>
      <c r="L823" s="1551"/>
      <c r="M823" s="1133"/>
      <c r="N823" s="1147"/>
      <c r="O823" s="1146"/>
      <c r="P823" s="1115"/>
    </row>
    <row r="824" spans="1:23" ht="15.6" hidden="1" customHeight="1" x14ac:dyDescent="0.2">
      <c r="A824" s="655"/>
      <c r="B824" s="655" t="s">
        <v>958</v>
      </c>
      <c r="C824" s="655"/>
      <c r="D824" s="656"/>
      <c r="E824" s="655"/>
      <c r="F824" s="656"/>
      <c r="G824" s="656"/>
      <c r="H824" s="656"/>
      <c r="I824" s="1552">
        <v>0.5</v>
      </c>
      <c r="J824" s="663"/>
      <c r="K824" s="1552">
        <v>0.5</v>
      </c>
      <c r="L824" s="1551"/>
      <c r="M824" s="1133"/>
      <c r="N824" s="1147"/>
      <c r="O824" s="1146"/>
      <c r="P824" s="1115"/>
    </row>
    <row r="825" spans="1:23" ht="15.6" hidden="1" customHeight="1" x14ac:dyDescent="0.2">
      <c r="A825" s="655"/>
      <c r="B825" s="655" t="s">
        <v>389</v>
      </c>
      <c r="C825" s="655"/>
      <c r="D825" s="656"/>
      <c r="E825" s="655"/>
      <c r="F825" s="656"/>
      <c r="G825" s="656"/>
      <c r="H825" s="656"/>
      <c r="I825" s="663">
        <v>0</v>
      </c>
      <c r="J825" s="663"/>
      <c r="K825" s="663">
        <v>0</v>
      </c>
      <c r="L825" s="1551"/>
      <c r="M825" s="1133"/>
      <c r="N825" s="1147"/>
      <c r="O825" s="1146"/>
      <c r="P825" s="1115"/>
    </row>
    <row r="826" spans="1:23" ht="15.6" hidden="1" customHeight="1" x14ac:dyDescent="0.2">
      <c r="A826" s="655"/>
      <c r="B826" s="655" t="s">
        <v>392</v>
      </c>
      <c r="C826" s="655"/>
      <c r="D826" s="656"/>
      <c r="E826" s="655"/>
      <c r="F826" s="656"/>
      <c r="G826" s="656"/>
      <c r="H826" s="656"/>
      <c r="I826" s="663">
        <v>0</v>
      </c>
      <c r="J826" s="663"/>
      <c r="K826" s="663">
        <v>0</v>
      </c>
      <c r="L826" s="1551"/>
      <c r="M826" s="1133"/>
      <c r="N826" s="1147"/>
      <c r="O826" s="1146"/>
      <c r="P826" s="1115"/>
    </row>
    <row r="827" spans="1:23" ht="15.6" hidden="1" customHeight="1" x14ac:dyDescent="0.2">
      <c r="A827" s="655"/>
      <c r="B827" s="655" t="s">
        <v>397</v>
      </c>
      <c r="C827" s="655"/>
      <c r="D827" s="656"/>
      <c r="E827" s="655"/>
      <c r="F827" s="656"/>
      <c r="G827" s="656"/>
      <c r="H827" s="656"/>
      <c r="I827" s="663">
        <v>0</v>
      </c>
      <c r="J827" s="663"/>
      <c r="K827" s="663">
        <v>0</v>
      </c>
      <c r="L827" s="1551"/>
      <c r="M827" s="1133"/>
      <c r="N827" s="1147"/>
      <c r="O827" s="1146"/>
      <c r="P827" s="1115"/>
    </row>
    <row r="828" spans="1:23" ht="15.6" hidden="1" customHeight="1" x14ac:dyDescent="0.2">
      <c r="A828" s="655"/>
      <c r="B828" s="655" t="s">
        <v>400</v>
      </c>
      <c r="C828" s="655"/>
      <c r="D828" s="656"/>
      <c r="E828" s="655"/>
      <c r="F828" s="656"/>
      <c r="G828" s="656"/>
      <c r="H828" s="656"/>
      <c r="I828" s="663">
        <v>0</v>
      </c>
      <c r="J828" s="663"/>
      <c r="K828" s="663">
        <v>0</v>
      </c>
      <c r="L828" s="1551"/>
      <c r="M828" s="1133"/>
      <c r="N828" s="1147"/>
      <c r="O828" s="1146"/>
      <c r="P828" s="1115"/>
    </row>
    <row r="829" spans="1:23" ht="15.6" hidden="1" customHeight="1" x14ac:dyDescent="0.2">
      <c r="A829" s="655"/>
      <c r="B829" s="655" t="s">
        <v>249</v>
      </c>
      <c r="C829" s="655"/>
      <c r="D829" s="656"/>
      <c r="E829" s="655"/>
      <c r="F829" s="656"/>
      <c r="G829" s="656"/>
      <c r="H829" s="656"/>
      <c r="I829" s="663">
        <v>0</v>
      </c>
      <c r="J829" s="663"/>
      <c r="K829" s="663">
        <v>0</v>
      </c>
      <c r="L829" s="1551"/>
      <c r="M829" s="1133"/>
      <c r="N829" s="1147"/>
      <c r="O829" s="1146"/>
      <c r="P829" s="1115"/>
    </row>
    <row r="830" spans="1:23" ht="15.6" hidden="1" customHeight="1" x14ac:dyDescent="0.2">
      <c r="A830" s="655"/>
      <c r="B830" s="655" t="s">
        <v>252</v>
      </c>
      <c r="C830" s="655"/>
      <c r="D830" s="656"/>
      <c r="E830" s="655"/>
      <c r="F830" s="656"/>
      <c r="G830" s="656"/>
      <c r="H830" s="656"/>
      <c r="I830" s="663">
        <v>0</v>
      </c>
      <c r="J830" s="663"/>
      <c r="K830" s="663">
        <v>0</v>
      </c>
      <c r="L830" s="1551"/>
      <c r="M830" s="1133"/>
      <c r="N830" s="1147"/>
      <c r="O830" s="1146"/>
      <c r="P830" s="1115"/>
    </row>
    <row r="831" spans="1:23" ht="15.6" hidden="1" customHeight="1" x14ac:dyDescent="0.2">
      <c r="A831" s="655"/>
      <c r="B831" s="655" t="s">
        <v>968</v>
      </c>
      <c r="C831" s="655"/>
      <c r="D831" s="656"/>
      <c r="E831" s="655"/>
      <c r="F831" s="656"/>
      <c r="G831" s="656"/>
      <c r="H831" s="656"/>
      <c r="I831" s="663">
        <v>0</v>
      </c>
      <c r="J831" s="663"/>
      <c r="K831" s="663">
        <v>0</v>
      </c>
      <c r="L831" s="1551"/>
      <c r="M831" s="1133"/>
      <c r="N831" s="1147"/>
      <c r="O831" s="1146"/>
      <c r="P831" s="1115"/>
    </row>
    <row r="832" spans="1:23" ht="15.6" hidden="1" customHeight="1" x14ac:dyDescent="0.2">
      <c r="A832" s="655"/>
      <c r="B832" s="655" t="s">
        <v>960</v>
      </c>
      <c r="C832" s="655"/>
      <c r="D832" s="656"/>
      <c r="E832" s="655"/>
      <c r="F832" s="656"/>
      <c r="G832" s="656"/>
      <c r="H832" s="656"/>
      <c r="I832" s="663">
        <v>0</v>
      </c>
      <c r="J832" s="663"/>
      <c r="K832" s="663">
        <v>0</v>
      </c>
      <c r="L832" s="1551"/>
      <c r="M832" s="1133"/>
      <c r="N832" s="1147"/>
      <c r="O832" s="1146"/>
      <c r="P832" s="1115"/>
    </row>
    <row r="833" spans="1:23" ht="15.6" hidden="1" customHeight="1" x14ac:dyDescent="0.2">
      <c r="A833" s="655"/>
      <c r="B833" s="655" t="s">
        <v>961</v>
      </c>
      <c r="C833" s="655"/>
      <c r="D833" s="656"/>
      <c r="E833" s="655"/>
      <c r="F833" s="656"/>
      <c r="G833" s="656"/>
      <c r="H833" s="656"/>
      <c r="I833" s="663">
        <v>0</v>
      </c>
      <c r="J833" s="663"/>
      <c r="K833" s="663">
        <v>0</v>
      </c>
      <c r="L833" s="1551"/>
      <c r="M833" s="1133"/>
      <c r="N833" s="1147"/>
      <c r="O833" s="1146"/>
      <c r="P833" s="1115"/>
    </row>
    <row r="834" spans="1:23" ht="15.6" hidden="1" customHeight="1" x14ac:dyDescent="0.2">
      <c r="A834" s="655"/>
      <c r="B834" s="655" t="s">
        <v>962</v>
      </c>
      <c r="C834" s="655"/>
      <c r="D834" s="656"/>
      <c r="E834" s="655"/>
      <c r="F834" s="656"/>
      <c r="G834" s="656"/>
      <c r="H834" s="656"/>
      <c r="I834" s="663">
        <v>0</v>
      </c>
      <c r="J834" s="663"/>
      <c r="K834" s="663">
        <v>0</v>
      </c>
      <c r="L834" s="1551"/>
      <c r="M834" s="1133"/>
      <c r="N834" s="1147"/>
      <c r="O834" s="1146"/>
      <c r="P834" s="1115"/>
    </row>
    <row r="835" spans="1:23" ht="15.6" hidden="1" customHeight="1" x14ac:dyDescent="0.2">
      <c r="A835" s="655"/>
      <c r="B835" s="655" t="s">
        <v>969</v>
      </c>
      <c r="C835" s="655"/>
      <c r="D835" s="656"/>
      <c r="E835" s="655"/>
      <c r="F835" s="656"/>
      <c r="G835" s="656"/>
      <c r="H835" s="656"/>
      <c r="I835" s="663">
        <v>0</v>
      </c>
      <c r="J835" s="663"/>
      <c r="K835" s="663">
        <v>0</v>
      </c>
      <c r="L835" s="1551"/>
      <c r="M835" s="1133"/>
      <c r="N835" s="1147"/>
      <c r="O835" s="1146"/>
      <c r="P835" s="1115"/>
    </row>
    <row r="836" spans="1:23" ht="15.6" hidden="1" customHeight="1" x14ac:dyDescent="0.2">
      <c r="A836" s="655"/>
      <c r="B836" s="655" t="s">
        <v>970</v>
      </c>
      <c r="C836" s="655"/>
      <c r="D836" s="656"/>
      <c r="E836" s="655"/>
      <c r="F836" s="656"/>
      <c r="G836" s="656"/>
      <c r="H836" s="656"/>
      <c r="I836" s="663">
        <v>0</v>
      </c>
      <c r="J836" s="663"/>
      <c r="K836" s="663">
        <v>0</v>
      </c>
      <c r="L836" s="1551"/>
      <c r="M836" s="1133"/>
      <c r="N836" s="1147"/>
      <c r="O836" s="1146"/>
      <c r="P836" s="1115"/>
    </row>
    <row r="837" spans="1:23" ht="15.6" hidden="1" customHeight="1" x14ac:dyDescent="0.2">
      <c r="A837" s="655"/>
      <c r="B837" s="655"/>
      <c r="C837" s="655"/>
      <c r="D837" s="656"/>
      <c r="E837" s="655"/>
      <c r="F837" s="656"/>
      <c r="G837" s="656"/>
      <c r="H837" s="656"/>
      <c r="I837" s="663"/>
      <c r="J837" s="663"/>
      <c r="K837" s="663"/>
      <c r="L837" s="1551"/>
      <c r="M837" s="1133"/>
      <c r="N837" s="1147"/>
      <c r="O837" s="1146"/>
      <c r="P837" s="1115"/>
    </row>
    <row r="838" spans="1:23" ht="30.95" hidden="1" customHeight="1" x14ac:dyDescent="0.25">
      <c r="A838" s="655"/>
      <c r="B838" s="2868" t="s">
        <v>971</v>
      </c>
      <c r="C838" s="2868"/>
      <c r="D838" s="2868"/>
      <c r="E838" s="2868"/>
      <c r="F838" s="2868"/>
      <c r="G838" s="2868"/>
      <c r="H838" s="656"/>
      <c r="I838" s="657"/>
      <c r="J838" s="657"/>
      <c r="K838" s="657"/>
      <c r="L838" s="664"/>
      <c r="M838" s="1133"/>
      <c r="N838" s="1147"/>
      <c r="O838" s="1146"/>
      <c r="P838" s="1115"/>
    </row>
    <row r="839" spans="1:23" ht="15.6" hidden="1" customHeight="1" x14ac:dyDescent="0.2">
      <c r="A839" s="655"/>
      <c r="B839" s="655"/>
      <c r="C839" s="655"/>
      <c r="D839" s="656"/>
      <c r="E839" s="655"/>
      <c r="F839" s="656"/>
      <c r="G839" s="656"/>
      <c r="H839" s="656"/>
      <c r="I839" s="663"/>
      <c r="J839" s="663"/>
      <c r="K839" s="663"/>
      <c r="L839" s="1551"/>
      <c r="M839" s="1133"/>
      <c r="N839" s="1147"/>
      <c r="O839" s="1146"/>
      <c r="P839" s="1115"/>
    </row>
    <row r="840" spans="1:23" ht="15.6" hidden="1" customHeight="1" x14ac:dyDescent="0.25">
      <c r="I840" s="200"/>
      <c r="J840" s="200"/>
      <c r="K840" s="200"/>
      <c r="L840" s="210"/>
      <c r="M840" s="1133"/>
      <c r="N840" s="1147"/>
      <c r="O840" s="1146"/>
      <c r="P840" s="1115"/>
    </row>
    <row r="841" spans="1:23" ht="15.6" hidden="1" customHeight="1" x14ac:dyDescent="0.25">
      <c r="A841" s="211">
        <v>16</v>
      </c>
      <c r="B841" s="50" t="s">
        <v>972</v>
      </c>
      <c r="C841" s="50"/>
      <c r="M841" s="1133"/>
      <c r="N841" s="1147"/>
      <c r="O841" s="1146"/>
      <c r="P841" s="1115"/>
      <c r="W841" s="1114" t="s">
        <v>3520</v>
      </c>
    </row>
    <row r="842" spans="1:23" ht="15.6" hidden="1" customHeight="1" x14ac:dyDescent="0.2">
      <c r="A842" s="245"/>
      <c r="M842" s="1133"/>
      <c r="N842" s="1147"/>
      <c r="O842" s="1146"/>
      <c r="P842" s="1115"/>
    </row>
    <row r="843" spans="1:23" ht="15.6" hidden="1" customHeight="1" x14ac:dyDescent="0.2">
      <c r="A843" s="245"/>
      <c r="B843" s="48" t="s">
        <v>973</v>
      </c>
      <c r="M843" s="1220" t="s">
        <v>974</v>
      </c>
      <c r="N843" s="1147"/>
      <c r="O843" s="1146"/>
      <c r="P843" s="1115"/>
    </row>
    <row r="844" spans="1:23" ht="15.6" hidden="1" customHeight="1" x14ac:dyDescent="0.2">
      <c r="A844" s="245"/>
      <c r="M844" s="1133"/>
      <c r="N844" s="1147"/>
      <c r="O844" s="1146"/>
      <c r="P844" s="1115"/>
    </row>
    <row r="845" spans="1:23" ht="15.6" hidden="1" customHeight="1" x14ac:dyDescent="0.2">
      <c r="A845" s="655"/>
      <c r="B845" s="655" t="s">
        <v>64</v>
      </c>
      <c r="C845" s="655"/>
      <c r="D845" s="656"/>
      <c r="E845" s="655"/>
      <c r="F845" s="656"/>
      <c r="G845" s="656"/>
      <c r="H845" s="656"/>
      <c r="I845" s="661">
        <v>0</v>
      </c>
      <c r="J845" s="661"/>
      <c r="K845" s="661">
        <v>0</v>
      </c>
      <c r="L845" s="655"/>
      <c r="M845" s="1133"/>
      <c r="N845" s="1147"/>
      <c r="O845" s="1146"/>
      <c r="P845" s="1115"/>
    </row>
    <row r="846" spans="1:23" ht="15.6" hidden="1" customHeight="1" x14ac:dyDescent="0.2">
      <c r="A846" s="655"/>
      <c r="B846" s="655" t="s">
        <v>975</v>
      </c>
      <c r="C846" s="655"/>
      <c r="D846" s="656"/>
      <c r="E846" s="655"/>
      <c r="F846" s="656"/>
      <c r="G846" s="656"/>
      <c r="H846" s="656"/>
      <c r="I846" s="661">
        <v>0</v>
      </c>
      <c r="J846" s="661"/>
      <c r="K846" s="661">
        <v>0</v>
      </c>
      <c r="L846" s="655"/>
      <c r="M846" s="1133"/>
      <c r="N846" s="1147"/>
      <c r="O846" s="1146"/>
      <c r="P846" s="1115"/>
    </row>
    <row r="847" spans="1:23" ht="15.6" hidden="1" customHeight="1" x14ac:dyDescent="0.2">
      <c r="A847" s="655"/>
      <c r="B847" s="655"/>
      <c r="C847" s="655"/>
      <c r="D847" s="656"/>
      <c r="E847" s="655"/>
      <c r="F847" s="656"/>
      <c r="G847" s="656"/>
      <c r="H847" s="656"/>
      <c r="I847" s="661"/>
      <c r="J847" s="661"/>
      <c r="K847" s="661"/>
      <c r="L847" s="655"/>
      <c r="M847" s="1133"/>
      <c r="N847" s="1147"/>
      <c r="O847" s="1146"/>
      <c r="P847" s="1115"/>
    </row>
    <row r="848" spans="1:23" ht="15.6" hidden="1" customHeight="1" thickBot="1" x14ac:dyDescent="0.3">
      <c r="A848" s="655"/>
      <c r="B848" s="659" t="s">
        <v>388</v>
      </c>
      <c r="C848" s="659"/>
      <c r="D848" s="656"/>
      <c r="E848" s="655"/>
      <c r="F848" s="656"/>
      <c r="G848" s="656"/>
      <c r="H848" s="656"/>
      <c r="I848" s="1545">
        <f>SUM(I845:I847)</f>
        <v>0</v>
      </c>
      <c r="J848" s="661"/>
      <c r="K848" s="1545">
        <f>SUM(K845:K847)</f>
        <v>0</v>
      </c>
      <c r="L848" s="655"/>
      <c r="M848" s="1133"/>
      <c r="N848" s="1147"/>
      <c r="O848" s="1146"/>
      <c r="P848" s="1115"/>
    </row>
    <row r="849" spans="1:23" ht="15.6" hidden="1" customHeight="1" thickTop="1" x14ac:dyDescent="0.2">
      <c r="A849" s="1556"/>
      <c r="B849" s="655"/>
      <c r="C849" s="655"/>
      <c r="D849" s="656"/>
      <c r="E849" s="655"/>
      <c r="F849" s="656"/>
      <c r="G849" s="656"/>
      <c r="H849" s="656"/>
      <c r="I849" s="661"/>
      <c r="J849" s="661"/>
      <c r="K849" s="661"/>
      <c r="L849" s="655"/>
      <c r="M849" s="1133"/>
      <c r="N849" s="1147"/>
      <c r="O849" s="1146"/>
      <c r="P849" s="1115"/>
    </row>
    <row r="850" spans="1:23" ht="15.6" hidden="1" customHeight="1" thickBot="1" x14ac:dyDescent="0.3">
      <c r="A850" s="655"/>
      <c r="B850" s="655" t="s">
        <v>976</v>
      </c>
      <c r="C850" s="659"/>
      <c r="D850" s="656"/>
      <c r="E850" s="655"/>
      <c r="F850" s="656"/>
      <c r="G850" s="656"/>
      <c r="H850" s="656"/>
      <c r="I850" s="1557">
        <v>0</v>
      </c>
      <c r="J850" s="658"/>
      <c r="K850" s="1557">
        <v>0</v>
      </c>
      <c r="L850" s="655"/>
      <c r="M850" s="1133"/>
      <c r="N850" s="1147">
        <v>0</v>
      </c>
      <c r="O850" s="1147"/>
      <c r="P850" s="1117" t="s">
        <v>3076</v>
      </c>
      <c r="Q850" s="1111" t="s">
        <v>2763</v>
      </c>
      <c r="R850" s="1117" t="s">
        <v>3077</v>
      </c>
      <c r="S850" s="1111" t="s">
        <v>2765</v>
      </c>
      <c r="T850" s="1117" t="s">
        <v>3078</v>
      </c>
      <c r="U850" s="1112" t="s">
        <v>2765</v>
      </c>
    </row>
    <row r="851" spans="1:23" ht="15.6" hidden="1" customHeight="1" thickTop="1" x14ac:dyDescent="0.2">
      <c r="A851" s="655"/>
      <c r="B851" s="655"/>
      <c r="C851" s="655"/>
      <c r="D851" s="656"/>
      <c r="E851" s="655"/>
      <c r="F851" s="656"/>
      <c r="G851" s="656"/>
      <c r="H851" s="656"/>
      <c r="I851" s="1528">
        <v>0</v>
      </c>
      <c r="J851" s="660"/>
      <c r="K851" s="1528">
        <v>0</v>
      </c>
      <c r="L851" s="655"/>
      <c r="M851" s="1133"/>
      <c r="N851" s="1133"/>
      <c r="O851" s="1146"/>
      <c r="P851" s="1117"/>
    </row>
    <row r="852" spans="1:23" ht="15.6" hidden="1" customHeight="1" x14ac:dyDescent="0.2">
      <c r="A852" s="655"/>
      <c r="B852" s="655" t="s">
        <v>249</v>
      </c>
      <c r="C852" s="655"/>
      <c r="D852" s="656"/>
      <c r="E852" s="655"/>
      <c r="F852" s="656"/>
      <c r="G852" s="656"/>
      <c r="H852" s="656"/>
      <c r="I852" s="661">
        <v>0</v>
      </c>
      <c r="J852" s="661"/>
      <c r="K852" s="661">
        <v>0</v>
      </c>
      <c r="L852" s="655"/>
      <c r="M852" s="1133"/>
      <c r="N852" s="1147"/>
      <c r="O852" s="1146"/>
      <c r="P852" s="1115"/>
    </row>
    <row r="853" spans="1:23" ht="15.6" hidden="1" customHeight="1" x14ac:dyDescent="0.2">
      <c r="A853" s="655"/>
      <c r="B853" s="655" t="s">
        <v>252</v>
      </c>
      <c r="C853" s="655"/>
      <c r="D853" s="656"/>
      <c r="E853" s="655"/>
      <c r="F853" s="656"/>
      <c r="G853" s="656"/>
      <c r="H853" s="656"/>
      <c r="I853" s="661">
        <v>0</v>
      </c>
      <c r="J853" s="661"/>
      <c r="K853" s="661">
        <v>0</v>
      </c>
      <c r="L853" s="655"/>
      <c r="M853" s="1133"/>
      <c r="N853" s="1147"/>
      <c r="O853" s="1146"/>
      <c r="P853" s="1115"/>
    </row>
    <row r="854" spans="1:23" ht="15.6" hidden="1" customHeight="1" x14ac:dyDescent="0.2">
      <c r="A854" s="655"/>
      <c r="B854" s="655"/>
      <c r="C854" s="655"/>
      <c r="D854" s="656"/>
      <c r="E854" s="655"/>
      <c r="F854" s="656"/>
      <c r="G854" s="656"/>
      <c r="H854" s="656"/>
      <c r="I854" s="661"/>
      <c r="J854" s="661"/>
      <c r="K854" s="661"/>
      <c r="L854" s="655"/>
      <c r="M854" s="1133"/>
      <c r="N854" s="1147"/>
      <c r="O854" s="1146"/>
      <c r="P854" s="1115"/>
    </row>
    <row r="855" spans="1:23" ht="15.6" hidden="1" customHeight="1" thickBot="1" x14ac:dyDescent="0.3">
      <c r="A855" s="655"/>
      <c r="B855" s="659" t="s">
        <v>977</v>
      </c>
      <c r="C855" s="659"/>
      <c r="D855" s="656"/>
      <c r="E855" s="655"/>
      <c r="F855" s="656"/>
      <c r="G855" s="656"/>
      <c r="H855" s="656"/>
      <c r="I855" s="1545">
        <f>SUM(I852:I854)</f>
        <v>0</v>
      </c>
      <c r="J855" s="661"/>
      <c r="K855" s="1545">
        <f>SUM(K852:K854)</f>
        <v>0</v>
      </c>
      <c r="L855" s="655"/>
      <c r="M855" s="1133"/>
      <c r="N855" s="1147"/>
      <c r="O855" s="1146"/>
      <c r="P855" s="1115"/>
    </row>
    <row r="856" spans="1:23" ht="15.6" hidden="1" customHeight="1" thickTop="1" x14ac:dyDescent="0.2">
      <c r="A856" s="1556"/>
      <c r="B856" s="655"/>
      <c r="C856" s="655"/>
      <c r="D856" s="656"/>
      <c r="E856" s="655"/>
      <c r="F856" s="656"/>
      <c r="G856" s="656"/>
      <c r="H856" s="656"/>
      <c r="I856" s="661"/>
      <c r="J856" s="661"/>
      <c r="K856" s="661"/>
      <c r="L856" s="655"/>
      <c r="M856" s="1133"/>
      <c r="N856" s="1147"/>
      <c r="O856" s="1146"/>
      <c r="P856" s="1115"/>
    </row>
    <row r="857" spans="1:23" ht="15.6" hidden="1" customHeight="1" thickBot="1" x14ac:dyDescent="0.3">
      <c r="A857" s="655"/>
      <c r="B857" s="655" t="s">
        <v>978</v>
      </c>
      <c r="C857" s="659"/>
      <c r="D857" s="656"/>
      <c r="E857" s="655"/>
      <c r="F857" s="656"/>
      <c r="G857" s="656"/>
      <c r="H857" s="656"/>
      <c r="I857" s="1557">
        <v>0</v>
      </c>
      <c r="J857" s="658"/>
      <c r="K857" s="1557">
        <v>0</v>
      </c>
      <c r="L857" s="655"/>
      <c r="M857" s="1133"/>
      <c r="N857" s="1133"/>
      <c r="O857" s="1146"/>
      <c r="P857" s="1117"/>
    </row>
    <row r="858" spans="1:23" ht="15.6" hidden="1" customHeight="1" thickTop="1" x14ac:dyDescent="0.2">
      <c r="A858" s="655"/>
      <c r="B858" s="655"/>
      <c r="C858" s="655"/>
      <c r="D858" s="656"/>
      <c r="E858" s="655"/>
      <c r="F858" s="656"/>
      <c r="G858" s="656"/>
      <c r="H858" s="656"/>
      <c r="I858" s="661"/>
      <c r="J858" s="661"/>
      <c r="K858" s="661"/>
      <c r="L858" s="655"/>
      <c r="M858" s="1133"/>
      <c r="N858" s="1133"/>
      <c r="O858" s="1146"/>
      <c r="P858" s="1117"/>
    </row>
    <row r="859" spans="1:23" ht="15.6" hidden="1" customHeight="1" x14ac:dyDescent="0.2">
      <c r="A859" s="1556"/>
      <c r="B859" s="655" t="s">
        <v>979</v>
      </c>
      <c r="C859" s="655"/>
      <c r="D859" s="656"/>
      <c r="E859" s="655"/>
      <c r="F859" s="656"/>
      <c r="G859" s="656"/>
      <c r="H859" s="656"/>
      <c r="I859" s="661"/>
      <c r="J859" s="661"/>
      <c r="K859" s="661"/>
      <c r="L859" s="655"/>
      <c r="M859" s="1220" t="s">
        <v>1970</v>
      </c>
      <c r="N859" s="1147"/>
      <c r="O859" s="1146"/>
      <c r="P859" s="1115"/>
    </row>
    <row r="860" spans="1:23" ht="15.6" hidden="1" customHeight="1" x14ac:dyDescent="0.2">
      <c r="A860" s="1556"/>
      <c r="B860" s="655"/>
      <c r="C860" s="655"/>
      <c r="D860" s="656"/>
      <c r="E860" s="655"/>
      <c r="F860" s="656"/>
      <c r="G860" s="656"/>
      <c r="H860" s="656"/>
      <c r="I860" s="661"/>
      <c r="J860" s="661"/>
      <c r="K860" s="661"/>
      <c r="L860" s="655"/>
      <c r="M860" s="1133"/>
      <c r="N860" s="1147"/>
      <c r="O860" s="1146"/>
      <c r="P860" s="1115"/>
    </row>
    <row r="861" spans="1:23" s="1206" customFormat="1" ht="30.95" hidden="1" customHeight="1" x14ac:dyDescent="0.25">
      <c r="A861" s="1558"/>
      <c r="B861" s="1559" t="s">
        <v>980</v>
      </c>
      <c r="C861" s="1547" t="s">
        <v>981</v>
      </c>
      <c r="D861" s="1409"/>
      <c r="E861" s="2938" t="s">
        <v>982</v>
      </c>
      <c r="F861" s="2938"/>
      <c r="G861" s="2938"/>
      <c r="H861" s="1409"/>
      <c r="I861" s="2938" t="s">
        <v>983</v>
      </c>
      <c r="J861" s="2938"/>
      <c r="K861" s="2938"/>
      <c r="L861" s="1423"/>
      <c r="M861" s="232"/>
      <c r="N861" s="1460"/>
      <c r="O861" s="232"/>
      <c r="P861" s="1116"/>
      <c r="Q861" s="309"/>
      <c r="R861" s="309"/>
      <c r="S861" s="309"/>
      <c r="T861" s="309"/>
      <c r="U861" s="1461"/>
      <c r="V861" s="232"/>
      <c r="W861" s="309"/>
    </row>
    <row r="862" spans="1:23" s="1206" customFormat="1" ht="15.6" hidden="1" customHeight="1" x14ac:dyDescent="0.25">
      <c r="A862" s="1558"/>
      <c r="B862" s="1423"/>
      <c r="C862" s="1423"/>
      <c r="D862" s="1409"/>
      <c r="E862" s="1560">
        <f>Parameters!C17</f>
        <v>2012</v>
      </c>
      <c r="F862" s="1409"/>
      <c r="G862" s="1561">
        <f>Parameters!C19</f>
        <v>2011</v>
      </c>
      <c r="H862" s="1409"/>
      <c r="I862" s="1560">
        <f>Parameters!C17</f>
        <v>2012</v>
      </c>
      <c r="J862" s="669"/>
      <c r="K862" s="1560">
        <f>Parameters!C19</f>
        <v>2011</v>
      </c>
      <c r="L862" s="1423"/>
      <c r="M862" s="232"/>
      <c r="N862" s="1460"/>
      <c r="O862" s="232"/>
      <c r="P862" s="1116"/>
      <c r="Q862" s="309"/>
      <c r="R862" s="309"/>
      <c r="S862" s="309"/>
      <c r="T862" s="309"/>
      <c r="U862" s="1461"/>
      <c r="V862" s="232"/>
      <c r="W862" s="309"/>
    </row>
    <row r="863" spans="1:23" ht="15.6" hidden="1" customHeight="1" x14ac:dyDescent="0.25">
      <c r="A863" s="1556"/>
      <c r="B863" s="655"/>
      <c r="C863" s="655"/>
      <c r="D863" s="656"/>
      <c r="E863" s="669" t="s">
        <v>218</v>
      </c>
      <c r="F863" s="657"/>
      <c r="G863" s="669" t="s">
        <v>218</v>
      </c>
      <c r="H863" s="656"/>
      <c r="I863" s="669" t="s">
        <v>255</v>
      </c>
      <c r="J863" s="657"/>
      <c r="K863" s="669" t="s">
        <v>255</v>
      </c>
      <c r="L863" s="655"/>
      <c r="M863" s="1133"/>
      <c r="N863" s="1147"/>
      <c r="O863" s="1146"/>
      <c r="P863" s="1115"/>
    </row>
    <row r="864" spans="1:23" ht="15.6" hidden="1" customHeight="1" x14ac:dyDescent="0.2">
      <c r="A864" s="1556"/>
      <c r="B864" s="655"/>
      <c r="C864" s="655"/>
      <c r="D864" s="656"/>
      <c r="E864" s="655"/>
      <c r="F864" s="656"/>
      <c r="G864" s="656"/>
      <c r="H864" s="656"/>
      <c r="I864" s="661"/>
      <c r="J864" s="661"/>
      <c r="K864" s="661"/>
      <c r="L864" s="655"/>
      <c r="M864" s="1133"/>
      <c r="N864" s="1147"/>
      <c r="O864" s="1146"/>
      <c r="P864" s="1115"/>
    </row>
    <row r="865" spans="1:23" ht="15.6" hidden="1" customHeight="1" x14ac:dyDescent="0.2">
      <c r="A865" s="1556"/>
      <c r="B865" s="655" t="s">
        <v>984</v>
      </c>
      <c r="C865" s="655" t="s">
        <v>985</v>
      </c>
      <c r="D865" s="656"/>
      <c r="E865" s="1562">
        <v>0.33329999999999999</v>
      </c>
      <c r="F865" s="656"/>
      <c r="G865" s="1562">
        <v>0.33329999999999999</v>
      </c>
      <c r="H865" s="656"/>
      <c r="I865" s="661">
        <v>2231000</v>
      </c>
      <c r="J865" s="661"/>
      <c r="K865" s="661">
        <v>2079000</v>
      </c>
      <c r="L865" s="655"/>
      <c r="M865" s="1133"/>
      <c r="N865" s="1147"/>
      <c r="O865" s="1146"/>
      <c r="P865" s="1115"/>
    </row>
    <row r="866" spans="1:23" ht="15.6" hidden="1" customHeight="1" x14ac:dyDescent="0.2">
      <c r="A866" s="1556"/>
      <c r="B866" s="655" t="s">
        <v>986</v>
      </c>
      <c r="C866" s="655" t="s">
        <v>987</v>
      </c>
      <c r="D866" s="656"/>
      <c r="E866" s="1562">
        <v>0.4</v>
      </c>
      <c r="F866" s="656"/>
      <c r="G866" s="1562">
        <v>0.4</v>
      </c>
      <c r="H866" s="656"/>
      <c r="I866" s="661">
        <v>1783000</v>
      </c>
      <c r="J866" s="661"/>
      <c r="K866" s="661">
        <v>1750000</v>
      </c>
      <c r="L866" s="655"/>
      <c r="M866" s="1133"/>
      <c r="N866" s="1147"/>
      <c r="O866" s="1146"/>
      <c r="P866" s="1115"/>
    </row>
    <row r="867" spans="1:23" ht="15.6" hidden="1" customHeight="1" x14ac:dyDescent="0.2">
      <c r="A867" s="1556"/>
      <c r="B867" s="655"/>
      <c r="C867" s="655"/>
      <c r="D867" s="656"/>
      <c r="E867" s="655"/>
      <c r="F867" s="656"/>
      <c r="G867" s="656"/>
      <c r="H867" s="656"/>
      <c r="I867" s="661"/>
      <c r="J867" s="661"/>
      <c r="K867" s="661"/>
      <c r="L867" s="655"/>
      <c r="M867" s="1133"/>
      <c r="N867" s="1147"/>
      <c r="O867" s="1146"/>
      <c r="P867" s="1115"/>
    </row>
    <row r="868" spans="1:23" ht="30.95" hidden="1" customHeight="1" x14ac:dyDescent="0.2">
      <c r="A868" s="1505"/>
      <c r="B868" s="2925" t="s">
        <v>988</v>
      </c>
      <c r="C868" s="2925"/>
      <c r="D868" s="2925"/>
      <c r="E868" s="2925"/>
      <c r="F868" s="2925"/>
      <c r="G868" s="2925"/>
      <c r="H868" s="2925"/>
      <c r="I868" s="2925"/>
      <c r="J868" s="2925"/>
      <c r="K868" s="2925"/>
      <c r="L868" s="1505"/>
      <c r="M868" s="1133"/>
      <c r="N868" s="1147"/>
      <c r="O868" s="1146"/>
    </row>
    <row r="869" spans="1:23" ht="15.6" hidden="1" customHeight="1" x14ac:dyDescent="0.2">
      <c r="A869" s="1556"/>
      <c r="B869" s="655"/>
      <c r="C869" s="655"/>
      <c r="D869" s="656"/>
      <c r="E869" s="655"/>
      <c r="F869" s="656"/>
      <c r="G869" s="656"/>
      <c r="H869" s="656"/>
      <c r="I869" s="661"/>
      <c r="J869" s="661"/>
      <c r="K869" s="661"/>
      <c r="L869" s="655"/>
      <c r="M869" s="1133"/>
      <c r="N869" s="1147"/>
      <c r="O869" s="1146"/>
      <c r="P869" s="1115"/>
    </row>
    <row r="870" spans="1:23" ht="30.95" hidden="1" customHeight="1" x14ac:dyDescent="0.2">
      <c r="A870" s="1505"/>
      <c r="B870" s="2925" t="s">
        <v>989</v>
      </c>
      <c r="C870" s="2925"/>
      <c r="D870" s="2925"/>
      <c r="E870" s="2925"/>
      <c r="F870" s="2925"/>
      <c r="G870" s="2925"/>
      <c r="H870" s="2925"/>
      <c r="I870" s="2925"/>
      <c r="J870" s="2925"/>
      <c r="K870" s="2925"/>
      <c r="L870" s="1505"/>
      <c r="M870" s="1133"/>
      <c r="N870" s="1147"/>
      <c r="O870" s="1146"/>
    </row>
    <row r="871" spans="1:23" ht="15.6" hidden="1" customHeight="1" x14ac:dyDescent="0.2">
      <c r="A871" s="1556"/>
      <c r="B871" s="655"/>
      <c r="C871" s="655"/>
      <c r="D871" s="656"/>
      <c r="E871" s="655"/>
      <c r="F871" s="656"/>
      <c r="G871" s="656"/>
      <c r="H871" s="656"/>
      <c r="I871" s="661"/>
      <c r="J871" s="661"/>
      <c r="K871" s="661"/>
      <c r="L871" s="655"/>
      <c r="M871" s="1133"/>
      <c r="N871" s="1147"/>
      <c r="O871" s="1146"/>
      <c r="P871" s="1115"/>
    </row>
    <row r="872" spans="1:23" ht="46.5" hidden="1" customHeight="1" x14ac:dyDescent="0.2">
      <c r="A872" s="1505"/>
      <c r="B872" s="2925" t="s">
        <v>990</v>
      </c>
      <c r="C872" s="2925"/>
      <c r="D872" s="2925"/>
      <c r="E872" s="2925"/>
      <c r="F872" s="2925"/>
      <c r="G872" s="2925"/>
      <c r="H872" s="2925"/>
      <c r="I872" s="2925"/>
      <c r="J872" s="2925"/>
      <c r="K872" s="2925"/>
      <c r="L872" s="1505"/>
      <c r="M872" s="1478"/>
      <c r="N872" s="1147"/>
      <c r="O872" s="1146"/>
    </row>
    <row r="873" spans="1:23" ht="15.6" hidden="1" customHeight="1" x14ac:dyDescent="0.2">
      <c r="A873" s="1556"/>
      <c r="B873" s="655"/>
      <c r="C873" s="655"/>
      <c r="D873" s="656"/>
      <c r="E873" s="655"/>
      <c r="F873" s="656"/>
      <c r="G873" s="656"/>
      <c r="H873" s="656"/>
      <c r="I873" s="661"/>
      <c r="J873" s="661"/>
      <c r="K873" s="661"/>
      <c r="L873" s="655"/>
      <c r="M873" s="1133"/>
      <c r="N873" s="1147"/>
      <c r="O873" s="1146"/>
      <c r="P873" s="1115"/>
    </row>
    <row r="874" spans="1:23" ht="77.45" hidden="1" customHeight="1" x14ac:dyDescent="0.2">
      <c r="A874" s="1505"/>
      <c r="B874" s="2925" t="s">
        <v>991</v>
      </c>
      <c r="C874" s="2925"/>
      <c r="D874" s="2925"/>
      <c r="E874" s="2925"/>
      <c r="F874" s="2925"/>
      <c r="G874" s="2925"/>
      <c r="H874" s="2925"/>
      <c r="I874" s="2925"/>
      <c r="J874" s="2925"/>
      <c r="K874" s="2925"/>
      <c r="L874" s="1505"/>
      <c r="M874" s="1478"/>
      <c r="N874" s="1147"/>
      <c r="O874" s="1146"/>
    </row>
    <row r="875" spans="1:23" ht="15.6" hidden="1" customHeight="1" x14ac:dyDescent="0.2">
      <c r="A875" s="1556"/>
      <c r="B875" s="655"/>
      <c r="C875" s="655"/>
      <c r="D875" s="656"/>
      <c r="E875" s="655"/>
      <c r="F875" s="656"/>
      <c r="G875" s="656"/>
      <c r="H875" s="656"/>
      <c r="I875" s="661"/>
      <c r="J875" s="661"/>
      <c r="K875" s="661"/>
      <c r="L875" s="655"/>
      <c r="M875" s="1133"/>
      <c r="N875" s="1147"/>
      <c r="O875" s="1146"/>
      <c r="P875" s="1115"/>
    </row>
    <row r="876" spans="1:23" ht="15.6" hidden="1" customHeight="1" x14ac:dyDescent="0.25">
      <c r="I876" s="200"/>
      <c r="J876" s="200"/>
      <c r="K876" s="200"/>
      <c r="L876" s="210"/>
      <c r="M876" s="1133"/>
      <c r="N876" s="1147"/>
      <c r="O876" s="1146"/>
      <c r="P876" s="1115"/>
    </row>
    <row r="877" spans="1:23" ht="15.6" hidden="1" customHeight="1" x14ac:dyDescent="0.25">
      <c r="A877" s="211">
        <v>13</v>
      </c>
      <c r="B877" s="50" t="s">
        <v>992</v>
      </c>
      <c r="C877" s="50"/>
      <c r="M877" s="1133"/>
      <c r="N877" s="1147"/>
      <c r="O877" s="1146"/>
      <c r="P877" s="1115"/>
      <c r="W877" s="1114" t="s">
        <v>3520</v>
      </c>
    </row>
    <row r="878" spans="1:23" ht="15.6" hidden="1" customHeight="1" x14ac:dyDescent="0.25">
      <c r="A878" s="211"/>
      <c r="B878" s="50"/>
      <c r="C878" s="50"/>
      <c r="M878" s="1133"/>
      <c r="N878" s="1147"/>
      <c r="O878" s="1146"/>
      <c r="P878" s="1115"/>
    </row>
    <row r="879" spans="1:23" ht="15.6" hidden="1" customHeight="1" x14ac:dyDescent="0.25">
      <c r="A879" s="655"/>
      <c r="B879" s="655"/>
      <c r="C879" s="655"/>
      <c r="D879" s="1409"/>
      <c r="E879" s="655"/>
      <c r="F879" s="1409"/>
      <c r="G879" s="1409" t="s">
        <v>191</v>
      </c>
      <c r="H879" s="1409"/>
      <c r="I879" s="669" t="s">
        <v>190</v>
      </c>
      <c r="J879" s="669"/>
      <c r="K879" s="669" t="s">
        <v>193</v>
      </c>
      <c r="L879" s="655"/>
      <c r="M879" s="1217" t="s">
        <v>2321</v>
      </c>
      <c r="N879" s="1147"/>
      <c r="O879" s="1146"/>
      <c r="P879" s="1115"/>
    </row>
    <row r="880" spans="1:23" ht="15.6" hidden="1" customHeight="1" x14ac:dyDescent="0.25">
      <c r="A880" s="655"/>
      <c r="B880" s="659"/>
      <c r="C880" s="655"/>
      <c r="D880" s="1409"/>
      <c r="E880" s="655"/>
      <c r="F880" s="1409"/>
      <c r="G880" s="1409" t="s">
        <v>192</v>
      </c>
      <c r="H880" s="1409"/>
      <c r="I880" s="669" t="s">
        <v>1022</v>
      </c>
      <c r="J880" s="669"/>
      <c r="K880" s="669" t="s">
        <v>192</v>
      </c>
      <c r="L880" s="655"/>
      <c r="M880" s="1133"/>
      <c r="N880" s="1147"/>
      <c r="O880" s="1146"/>
      <c r="P880" s="1115"/>
      <c r="T880" s="48"/>
      <c r="U880" s="48"/>
      <c r="V880" s="48"/>
      <c r="W880" s="48"/>
    </row>
    <row r="881" spans="1:23" ht="15.6" hidden="1" customHeight="1" x14ac:dyDescent="0.25">
      <c r="A881" s="655"/>
      <c r="B881" s="1563"/>
      <c r="C881" s="659"/>
      <c r="D881" s="656"/>
      <c r="E881" s="1409"/>
      <c r="F881" s="656"/>
      <c r="G881" s="669" t="s">
        <v>255</v>
      </c>
      <c r="H881" s="661"/>
      <c r="I881" s="669" t="s">
        <v>255</v>
      </c>
      <c r="J881" s="661"/>
      <c r="K881" s="669" t="s">
        <v>255</v>
      </c>
      <c r="L881" s="655"/>
      <c r="M881" s="1133"/>
      <c r="N881" s="301"/>
      <c r="O881" s="1146"/>
      <c r="P881" s="1115"/>
      <c r="T881" s="48"/>
      <c r="U881" s="48"/>
      <c r="V881" s="48"/>
      <c r="W881" s="48"/>
    </row>
    <row r="882" spans="1:23" ht="15.6" hidden="1" customHeight="1" x14ac:dyDescent="0.25">
      <c r="A882" s="655"/>
      <c r="B882" s="659" t="str">
        <f>"As at "&amp;Parameters!C11</f>
        <v>As at 30 June 2012</v>
      </c>
      <c r="C882" s="655"/>
      <c r="D882" s="656"/>
      <c r="E882" s="655"/>
      <c r="F882" s="656"/>
      <c r="G882" s="656"/>
      <c r="H882" s="656"/>
      <c r="I882" s="661"/>
      <c r="J882" s="661"/>
      <c r="K882" s="661"/>
      <c r="L882" s="655"/>
      <c r="M882" s="1133"/>
      <c r="N882" s="1147"/>
      <c r="O882" s="1146"/>
      <c r="P882" s="1115"/>
      <c r="T882" s="48"/>
      <c r="U882" s="48"/>
      <c r="V882" s="48"/>
      <c r="W882" s="48"/>
    </row>
    <row r="883" spans="1:23" ht="15.6" hidden="1" customHeight="1" x14ac:dyDescent="0.25">
      <c r="A883" s="1558"/>
      <c r="B883" s="659"/>
      <c r="C883" s="659"/>
      <c r="D883" s="656"/>
      <c r="E883" s="655"/>
      <c r="F883" s="656"/>
      <c r="G883" s="656"/>
      <c r="H883" s="656"/>
      <c r="I883" s="661"/>
      <c r="J883" s="661"/>
      <c r="K883" s="661"/>
      <c r="L883" s="655"/>
      <c r="M883" s="1133"/>
      <c r="N883" s="1147"/>
      <c r="O883" s="1146"/>
      <c r="P883" s="1115"/>
      <c r="T883" s="48"/>
      <c r="U883" s="48"/>
      <c r="V883" s="48"/>
      <c r="W883" s="48"/>
    </row>
    <row r="884" spans="1:23" ht="15.6" hidden="1" customHeight="1" x14ac:dyDescent="0.2">
      <c r="A884" s="1556"/>
      <c r="B884" s="655" t="s">
        <v>1414</v>
      </c>
      <c r="C884" s="655"/>
      <c r="D884" s="656"/>
      <c r="E884" s="655"/>
      <c r="F884" s="656"/>
      <c r="G884" s="661">
        <v>0</v>
      </c>
      <c r="H884" s="656"/>
      <c r="I884" s="661">
        <v>0</v>
      </c>
      <c r="J884" s="661"/>
      <c r="K884" s="661">
        <f>+G884-I884</f>
        <v>0</v>
      </c>
      <c r="L884" s="655"/>
      <c r="P884" s="1110" t="s">
        <v>3079</v>
      </c>
      <c r="Q884" s="1111" t="s">
        <v>2763</v>
      </c>
      <c r="R884" s="1111" t="s">
        <v>3080</v>
      </c>
      <c r="S884" s="1111" t="s">
        <v>2781</v>
      </c>
      <c r="T884" s="48"/>
      <c r="U884" s="48"/>
      <c r="V884" s="48"/>
      <c r="W884" s="48"/>
    </row>
    <row r="885" spans="1:23" ht="15.6" hidden="1" customHeight="1" x14ac:dyDescent="0.2">
      <c r="A885" s="1556"/>
      <c r="B885" s="655" t="s">
        <v>1519</v>
      </c>
      <c r="C885" s="655"/>
      <c r="D885" s="656"/>
      <c r="E885" s="655"/>
      <c r="F885" s="656"/>
      <c r="G885" s="661">
        <v>0</v>
      </c>
      <c r="H885" s="656"/>
      <c r="I885" s="661">
        <v>0</v>
      </c>
      <c r="J885" s="661"/>
      <c r="K885" s="661">
        <f>+G885-I885</f>
        <v>0</v>
      </c>
      <c r="L885" s="655"/>
      <c r="P885" s="1110" t="s">
        <v>3081</v>
      </c>
      <c r="Q885" s="1111" t="s">
        <v>2763</v>
      </c>
      <c r="R885" s="1111" t="s">
        <v>3082</v>
      </c>
      <c r="S885" s="1111" t="s">
        <v>2781</v>
      </c>
      <c r="T885" s="48"/>
      <c r="U885" s="48"/>
      <c r="V885" s="48"/>
      <c r="W885" s="48"/>
    </row>
    <row r="886" spans="1:23" ht="15.6" hidden="1" customHeight="1" x14ac:dyDescent="0.2">
      <c r="A886" s="1556"/>
      <c r="B886" s="655" t="s">
        <v>3601</v>
      </c>
      <c r="C886" s="655"/>
      <c r="D886" s="656"/>
      <c r="E886" s="655"/>
      <c r="F886" s="656"/>
      <c r="G886" s="661">
        <v>0</v>
      </c>
      <c r="H886" s="656"/>
      <c r="I886" s="661">
        <v>0</v>
      </c>
      <c r="J886" s="661"/>
      <c r="K886" s="661">
        <v>0</v>
      </c>
      <c r="L886" s="655"/>
      <c r="P886" s="1110" t="s">
        <v>3083</v>
      </c>
      <c r="Q886" s="1111" t="s">
        <v>2763</v>
      </c>
      <c r="R886" s="1111" t="s">
        <v>3084</v>
      </c>
      <c r="S886" s="1111" t="s">
        <v>2781</v>
      </c>
      <c r="T886" s="48"/>
      <c r="U886" s="48"/>
      <c r="V886" s="48"/>
      <c r="W886" s="48"/>
    </row>
    <row r="887" spans="1:23" ht="15.6" hidden="1" customHeight="1" x14ac:dyDescent="0.2">
      <c r="A887" s="1556"/>
      <c r="B887" s="655"/>
      <c r="C887" s="655"/>
      <c r="D887" s="656"/>
      <c r="E887" s="655"/>
      <c r="F887" s="656"/>
      <c r="G887" s="1269"/>
      <c r="H887" s="656"/>
      <c r="I887" s="1269"/>
      <c r="J887" s="661"/>
      <c r="K887" s="1269"/>
      <c r="L887" s="655"/>
      <c r="T887" s="48"/>
      <c r="U887" s="48"/>
      <c r="V887" s="48"/>
      <c r="W887" s="48"/>
    </row>
    <row r="888" spans="1:23" ht="15.6" hidden="1" customHeight="1" thickBot="1" x14ac:dyDescent="0.25">
      <c r="A888" s="1556"/>
      <c r="B888" s="655"/>
      <c r="C888" s="655"/>
      <c r="D888" s="656"/>
      <c r="E888" s="655"/>
      <c r="F888" s="656"/>
      <c r="G888" s="670">
        <f>SUM(G882:G886)</f>
        <v>0</v>
      </c>
      <c r="H888" s="656"/>
      <c r="I888" s="670">
        <f>SUM(I882:I886)</f>
        <v>0</v>
      </c>
      <c r="J888" s="661"/>
      <c r="K888" s="1564">
        <f>SUM(K882:K886)</f>
        <v>0</v>
      </c>
      <c r="L888" s="655"/>
      <c r="T888" s="48"/>
      <c r="U888" s="48"/>
      <c r="V888" s="48"/>
      <c r="W888" s="48"/>
    </row>
    <row r="889" spans="1:23" ht="15.6" hidden="1" customHeight="1" thickTop="1" x14ac:dyDescent="0.2">
      <c r="A889" s="1556"/>
      <c r="B889" s="655" t="s">
        <v>589</v>
      </c>
      <c r="C889" s="655"/>
      <c r="D889" s="656"/>
      <c r="E889" s="655"/>
      <c r="F889" s="656"/>
      <c r="G889" s="656"/>
      <c r="H889" s="656"/>
      <c r="I889" s="656"/>
      <c r="J889" s="661"/>
      <c r="K889" s="1269">
        <f>SUM(K890:K892)</f>
        <v>0</v>
      </c>
      <c r="L889" s="655"/>
      <c r="T889" s="48"/>
      <c r="U889" s="48"/>
      <c r="V889" s="48"/>
      <c r="W889" s="48"/>
    </row>
    <row r="890" spans="1:23" ht="15.6" hidden="1" customHeight="1" x14ac:dyDescent="0.2">
      <c r="A890" s="1556"/>
      <c r="B890" s="655" t="s">
        <v>1415</v>
      </c>
      <c r="C890" s="655"/>
      <c r="D890" s="656"/>
      <c r="E890" s="655"/>
      <c r="F890" s="656"/>
      <c r="G890" s="656"/>
      <c r="H890" s="656"/>
      <c r="I890" s="656"/>
      <c r="J890" s="661"/>
      <c r="K890" s="1565">
        <v>0</v>
      </c>
      <c r="L890" s="655"/>
      <c r="T890" s="48"/>
      <c r="U890" s="48"/>
      <c r="V890" s="48"/>
      <c r="W890" s="48"/>
    </row>
    <row r="891" spans="1:23" ht="15.6" hidden="1" customHeight="1" x14ac:dyDescent="0.2">
      <c r="A891" s="1556"/>
      <c r="B891" s="655" t="s">
        <v>1472</v>
      </c>
      <c r="C891" s="655"/>
      <c r="D891" s="656"/>
      <c r="E891" s="655"/>
      <c r="F891" s="656"/>
      <c r="G891" s="656"/>
      <c r="H891" s="656"/>
      <c r="I891" s="656"/>
      <c r="J891" s="661"/>
      <c r="K891" s="673">
        <v>0</v>
      </c>
      <c r="L891" s="655"/>
      <c r="P891" s="1110" t="s">
        <v>3085</v>
      </c>
      <c r="Q891" s="1111" t="s">
        <v>2763</v>
      </c>
      <c r="T891" s="48"/>
      <c r="U891" s="48"/>
      <c r="V891" s="48"/>
      <c r="W891" s="48"/>
    </row>
    <row r="892" spans="1:23" ht="15.6" hidden="1" customHeight="1" x14ac:dyDescent="0.2">
      <c r="A892" s="1556"/>
      <c r="B892" s="655" t="s">
        <v>4019</v>
      </c>
      <c r="C892" s="655"/>
      <c r="D892" s="656"/>
      <c r="E892" s="655"/>
      <c r="F892" s="656"/>
      <c r="G892" s="656"/>
      <c r="H892" s="656"/>
      <c r="I892" s="656"/>
      <c r="J892" s="661"/>
      <c r="K892" s="1270">
        <v>0</v>
      </c>
      <c r="L892" s="655"/>
      <c r="P892" s="1110" t="s">
        <v>3086</v>
      </c>
      <c r="Q892" s="1111" t="s">
        <v>2763</v>
      </c>
      <c r="T892" s="48"/>
      <c r="U892" s="48"/>
      <c r="V892" s="48"/>
      <c r="W892" s="48"/>
    </row>
    <row r="893" spans="1:23" ht="5.0999999999999996" hidden="1" customHeight="1" x14ac:dyDescent="0.2">
      <c r="A893" s="655"/>
      <c r="B893" s="655"/>
      <c r="C893" s="655"/>
      <c r="D893" s="656"/>
      <c r="E893" s="655"/>
      <c r="F893" s="656"/>
      <c r="G893" s="656"/>
      <c r="H893" s="656"/>
      <c r="I893" s="656"/>
      <c r="J893" s="658"/>
      <c r="K893" s="1566">
        <v>0</v>
      </c>
      <c r="L893" s="1415"/>
      <c r="M893" s="1133"/>
      <c r="P893" s="1110" t="s">
        <v>3087</v>
      </c>
      <c r="Q893" s="1111" t="s">
        <v>2763</v>
      </c>
      <c r="T893" s="48"/>
      <c r="U893" s="48"/>
      <c r="V893" s="48"/>
      <c r="W893" s="48"/>
    </row>
    <row r="894" spans="1:23" ht="15.6" hidden="1" customHeight="1" thickBot="1" x14ac:dyDescent="0.3">
      <c r="A894" s="655"/>
      <c r="B894" s="659" t="s">
        <v>9</v>
      </c>
      <c r="C894" s="659"/>
      <c r="D894" s="656"/>
      <c r="E894" s="655"/>
      <c r="F894" s="656"/>
      <c r="G894" s="656"/>
      <c r="H894" s="656"/>
      <c r="I894" s="656"/>
      <c r="J894" s="661"/>
      <c r="K894" s="1545">
        <f>+K888-K889</f>
        <v>0</v>
      </c>
      <c r="L894" s="655"/>
      <c r="T894" s="48"/>
      <c r="U894" s="48"/>
      <c r="V894" s="48"/>
      <c r="W894" s="48"/>
    </row>
    <row r="895" spans="1:23" ht="15.6" hidden="1" customHeight="1" thickTop="1" x14ac:dyDescent="0.2">
      <c r="A895" s="655"/>
      <c r="B895" s="655"/>
      <c r="C895" s="655"/>
      <c r="D895" s="656"/>
      <c r="E895" s="655"/>
      <c r="F895" s="656"/>
      <c r="G895" s="656"/>
      <c r="H895" s="656"/>
      <c r="I895" s="656"/>
      <c r="J895" s="660"/>
      <c r="K895" s="1528">
        <v>0</v>
      </c>
      <c r="L895" s="655"/>
      <c r="T895" s="48"/>
      <c r="U895" s="48"/>
      <c r="V895" s="48"/>
      <c r="W895" s="48"/>
    </row>
    <row r="896" spans="1:23" ht="15.6" hidden="1" customHeight="1" x14ac:dyDescent="0.25">
      <c r="A896" s="655"/>
      <c r="B896" s="655"/>
      <c r="C896" s="655"/>
      <c r="D896" s="1409"/>
      <c r="E896" s="655"/>
      <c r="F896" s="1409"/>
      <c r="G896" s="1409" t="s">
        <v>191</v>
      </c>
      <c r="H896" s="1409"/>
      <c r="I896" s="669" t="s">
        <v>190</v>
      </c>
      <c r="J896" s="669"/>
      <c r="K896" s="669" t="s">
        <v>193</v>
      </c>
      <c r="L896" s="655"/>
      <c r="M896" s="1217" t="s">
        <v>2321</v>
      </c>
      <c r="N896" s="1147"/>
      <c r="O896" s="1146"/>
      <c r="V896" s="48"/>
      <c r="W896" s="48"/>
    </row>
    <row r="897" spans="1:23" ht="15.6" hidden="1" customHeight="1" x14ac:dyDescent="0.25">
      <c r="A897" s="655"/>
      <c r="B897" s="659"/>
      <c r="C897" s="655"/>
      <c r="D897" s="1409"/>
      <c r="E897" s="655"/>
      <c r="F897" s="1409"/>
      <c r="G897" s="1409" t="s">
        <v>192</v>
      </c>
      <c r="H897" s="1409"/>
      <c r="I897" s="669" t="s">
        <v>1022</v>
      </c>
      <c r="J897" s="669"/>
      <c r="K897" s="669" t="s">
        <v>192</v>
      </c>
      <c r="L897" s="655"/>
      <c r="M897" s="1133"/>
      <c r="N897" s="1147"/>
      <c r="O897" s="1146"/>
      <c r="V897" s="48"/>
      <c r="W897" s="48"/>
    </row>
    <row r="898" spans="1:23" ht="15.6" hidden="1" customHeight="1" x14ac:dyDescent="0.25">
      <c r="A898" s="655"/>
      <c r="B898" s="1563"/>
      <c r="C898" s="659"/>
      <c r="D898" s="656"/>
      <c r="E898" s="1409"/>
      <c r="F898" s="656"/>
      <c r="G898" s="669" t="s">
        <v>255</v>
      </c>
      <c r="H898" s="661"/>
      <c r="I898" s="669" t="s">
        <v>255</v>
      </c>
      <c r="J898" s="661"/>
      <c r="K898" s="669" t="s">
        <v>255</v>
      </c>
      <c r="L898" s="655"/>
      <c r="M898" s="1133"/>
      <c r="N898" s="301"/>
      <c r="O898" s="1146"/>
      <c r="P898" s="1115"/>
      <c r="V898" s="48"/>
      <c r="W898" s="48"/>
    </row>
    <row r="899" spans="1:23" ht="15.6" hidden="1" customHeight="1" x14ac:dyDescent="0.25">
      <c r="A899" s="655"/>
      <c r="B899" s="659" t="str">
        <f>"As at "&amp;Parameters!C13</f>
        <v>As at 30 June 2011</v>
      </c>
      <c r="C899" s="655"/>
      <c r="D899" s="661"/>
      <c r="E899" s="655"/>
      <c r="F899" s="661"/>
      <c r="G899" s="661"/>
      <c r="H899" s="661"/>
      <c r="I899" s="661"/>
      <c r="J899" s="661"/>
      <c r="K899" s="661"/>
      <c r="L899" s="655"/>
      <c r="M899" s="1133"/>
      <c r="N899" s="1147"/>
      <c r="O899" s="1146"/>
      <c r="P899" s="1115"/>
      <c r="V899" s="48"/>
      <c r="W899" s="48"/>
    </row>
    <row r="900" spans="1:23" ht="15.6" hidden="1" customHeight="1" x14ac:dyDescent="0.2">
      <c r="A900" s="655"/>
      <c r="B900" s="655"/>
      <c r="C900" s="655"/>
      <c r="D900" s="661"/>
      <c r="E900" s="655"/>
      <c r="F900" s="661"/>
      <c r="G900" s="661"/>
      <c r="H900" s="661"/>
      <c r="I900" s="661"/>
      <c r="J900" s="661"/>
      <c r="K900" s="661"/>
      <c r="L900" s="655"/>
      <c r="M900" s="1133"/>
      <c r="N900" s="1147"/>
      <c r="O900" s="1146"/>
      <c r="P900" s="1115"/>
      <c r="V900" s="48"/>
      <c r="W900" s="48"/>
    </row>
    <row r="901" spans="1:23" ht="15.6" hidden="1" customHeight="1" x14ac:dyDescent="0.2">
      <c r="A901" s="1556"/>
      <c r="B901" s="655" t="s">
        <v>1414</v>
      </c>
      <c r="C901" s="655"/>
      <c r="D901" s="656"/>
      <c r="E901" s="655"/>
      <c r="F901" s="656"/>
      <c r="G901" s="661">
        <v>0</v>
      </c>
      <c r="H901" s="656"/>
      <c r="I901" s="661">
        <v>0</v>
      </c>
      <c r="J901" s="661"/>
      <c r="K901" s="661">
        <f>+G901-I901</f>
        <v>0</v>
      </c>
      <c r="L901" s="655"/>
      <c r="N901" s="1134">
        <v>0</v>
      </c>
      <c r="O901" s="1146"/>
      <c r="P901" s="1110" t="s">
        <v>3079</v>
      </c>
      <c r="Q901" s="1111" t="s">
        <v>2765</v>
      </c>
      <c r="R901" s="1111" t="s">
        <v>3080</v>
      </c>
      <c r="S901" s="1111" t="s">
        <v>2765</v>
      </c>
      <c r="T901" s="1110" t="s">
        <v>3088</v>
      </c>
      <c r="U901" s="1112" t="s">
        <v>2775</v>
      </c>
      <c r="V901" s="48"/>
      <c r="W901" s="48"/>
    </row>
    <row r="902" spans="1:23" ht="15.6" hidden="1" customHeight="1" x14ac:dyDescent="0.2">
      <c r="A902" s="1556"/>
      <c r="B902" s="655" t="s">
        <v>1519</v>
      </c>
      <c r="C902" s="655"/>
      <c r="D902" s="656"/>
      <c r="E902" s="655"/>
      <c r="F902" s="656"/>
      <c r="G902" s="661">
        <v>0</v>
      </c>
      <c r="H902" s="656"/>
      <c r="I902" s="661">
        <v>0</v>
      </c>
      <c r="J902" s="661"/>
      <c r="K902" s="661">
        <f>+G902-I902</f>
        <v>0</v>
      </c>
      <c r="L902" s="655"/>
      <c r="N902" s="1134">
        <v>0</v>
      </c>
      <c r="O902" s="1146"/>
      <c r="P902" s="1110" t="s">
        <v>3081</v>
      </c>
      <c r="Q902" s="1111" t="s">
        <v>2765</v>
      </c>
      <c r="R902" s="1111" t="s">
        <v>3082</v>
      </c>
      <c r="S902" s="1111" t="s">
        <v>2765</v>
      </c>
      <c r="T902" s="1110" t="s">
        <v>3089</v>
      </c>
      <c r="U902" s="1112" t="s">
        <v>2775</v>
      </c>
      <c r="V902" s="48"/>
      <c r="W902" s="48"/>
    </row>
    <row r="903" spans="1:23" ht="15.6" hidden="1" customHeight="1" x14ac:dyDescent="0.2">
      <c r="A903" s="1556"/>
      <c r="B903" s="655" t="s">
        <v>3601</v>
      </c>
      <c r="C903" s="655"/>
      <c r="D903" s="656"/>
      <c r="E903" s="655"/>
      <c r="F903" s="656"/>
      <c r="G903" s="661">
        <v>0</v>
      </c>
      <c r="H903" s="656"/>
      <c r="I903" s="661">
        <v>0</v>
      </c>
      <c r="J903" s="661"/>
      <c r="K903" s="661">
        <v>0</v>
      </c>
      <c r="L903" s="655"/>
      <c r="N903" s="1134">
        <v>0</v>
      </c>
      <c r="O903" s="1146"/>
      <c r="P903" s="1110" t="s">
        <v>3083</v>
      </c>
      <c r="Q903" s="1111" t="s">
        <v>2765</v>
      </c>
      <c r="R903" s="1111" t="s">
        <v>3084</v>
      </c>
      <c r="S903" s="1111" t="s">
        <v>2765</v>
      </c>
      <c r="T903" s="1110" t="s">
        <v>3090</v>
      </c>
      <c r="U903" s="1112" t="s">
        <v>2775</v>
      </c>
      <c r="V903" s="48"/>
      <c r="W903" s="48"/>
    </row>
    <row r="904" spans="1:23" ht="15.6" hidden="1" customHeight="1" x14ac:dyDescent="0.2">
      <c r="A904" s="1556"/>
      <c r="B904" s="655"/>
      <c r="C904" s="655"/>
      <c r="D904" s="656"/>
      <c r="E904" s="655"/>
      <c r="F904" s="656"/>
      <c r="G904" s="1269"/>
      <c r="H904" s="656"/>
      <c r="I904" s="1269"/>
      <c r="J904" s="661"/>
      <c r="K904" s="1269"/>
      <c r="L904" s="655"/>
      <c r="O904" s="1146"/>
      <c r="V904" s="48"/>
      <c r="W904" s="48"/>
    </row>
    <row r="905" spans="1:23" ht="15.6" hidden="1" customHeight="1" thickBot="1" x14ac:dyDescent="0.25">
      <c r="A905" s="1556"/>
      <c r="B905" s="655"/>
      <c r="C905" s="655"/>
      <c r="D905" s="656"/>
      <c r="E905" s="655"/>
      <c r="F905" s="656"/>
      <c r="G905" s="670">
        <f>SUM(G899:G904)</f>
        <v>0</v>
      </c>
      <c r="H905" s="656"/>
      <c r="I905" s="670">
        <f>SUM(I899:I904)</f>
        <v>0</v>
      </c>
      <c r="J905" s="661"/>
      <c r="K905" s="1564">
        <f>SUM(K899:K904)</f>
        <v>0</v>
      </c>
      <c r="L905" s="655"/>
      <c r="N905" s="1574">
        <f>SUM(N878:N904)</f>
        <v>0</v>
      </c>
      <c r="O905" s="1146"/>
      <c r="V905" s="48"/>
      <c r="W905" s="48"/>
    </row>
    <row r="906" spans="1:23" ht="15.6" hidden="1" customHeight="1" thickTop="1" x14ac:dyDescent="0.2">
      <c r="A906" s="1556"/>
      <c r="B906" s="655" t="s">
        <v>589</v>
      </c>
      <c r="C906" s="655"/>
      <c r="D906" s="656"/>
      <c r="E906" s="655"/>
      <c r="F906" s="656"/>
      <c r="G906" s="656"/>
      <c r="H906" s="656"/>
      <c r="I906" s="656"/>
      <c r="J906" s="661"/>
      <c r="K906" s="1269">
        <f>SUM(K907:K909)</f>
        <v>0</v>
      </c>
      <c r="L906" s="655"/>
      <c r="O906" s="1146"/>
      <c r="V906" s="48"/>
      <c r="W906" s="48"/>
    </row>
    <row r="907" spans="1:23" ht="15.6" hidden="1" customHeight="1" x14ac:dyDescent="0.2">
      <c r="A907" s="1556"/>
      <c r="B907" s="655" t="s">
        <v>1415</v>
      </c>
      <c r="C907" s="655"/>
      <c r="D907" s="656"/>
      <c r="E907" s="655"/>
      <c r="F907" s="656"/>
      <c r="G907" s="656"/>
      <c r="H907" s="656"/>
      <c r="I907" s="656"/>
      <c r="J907" s="661"/>
      <c r="K907" s="1565">
        <v>0</v>
      </c>
      <c r="L907" s="655"/>
      <c r="O907" s="1146"/>
      <c r="P907" s="1110" t="s">
        <v>3085</v>
      </c>
      <c r="Q907" s="1111" t="s">
        <v>2765</v>
      </c>
      <c r="V907" s="48"/>
      <c r="W907" s="48"/>
    </row>
    <row r="908" spans="1:23" ht="15.6" hidden="1" customHeight="1" x14ac:dyDescent="0.2">
      <c r="A908" s="1556"/>
      <c r="B908" s="655" t="s">
        <v>1472</v>
      </c>
      <c r="C908" s="655"/>
      <c r="D908" s="656"/>
      <c r="E908" s="655"/>
      <c r="F908" s="656"/>
      <c r="G908" s="656"/>
      <c r="H908" s="656"/>
      <c r="I908" s="656"/>
      <c r="J908" s="661"/>
      <c r="K908" s="673">
        <v>0</v>
      </c>
      <c r="L908" s="655"/>
      <c r="O908" s="1146"/>
      <c r="P908" s="1110" t="s">
        <v>3086</v>
      </c>
      <c r="Q908" s="1111" t="s">
        <v>2765</v>
      </c>
      <c r="V908" s="48"/>
      <c r="W908" s="48"/>
    </row>
    <row r="909" spans="1:23" ht="15.6" hidden="1" customHeight="1" x14ac:dyDescent="0.2">
      <c r="A909" s="1556"/>
      <c r="B909" s="1567" t="s">
        <v>3601</v>
      </c>
      <c r="C909" s="655"/>
      <c r="D909" s="656"/>
      <c r="E909" s="655"/>
      <c r="F909" s="656"/>
      <c r="G909" s="656"/>
      <c r="H909" s="656"/>
      <c r="I909" s="656"/>
      <c r="J909" s="661"/>
      <c r="K909" s="1270">
        <v>0</v>
      </c>
      <c r="L909" s="655"/>
      <c r="P909" s="1110" t="s">
        <v>3087</v>
      </c>
      <c r="Q909" s="1111" t="s">
        <v>2765</v>
      </c>
      <c r="V909" s="48"/>
      <c r="W909" s="48"/>
    </row>
    <row r="910" spans="1:23" ht="5.0999999999999996" hidden="1" customHeight="1" x14ac:dyDescent="0.2">
      <c r="A910" s="655"/>
      <c r="B910" s="655"/>
      <c r="C910" s="655"/>
      <c r="D910" s="656"/>
      <c r="E910" s="655"/>
      <c r="F910" s="656"/>
      <c r="G910" s="656"/>
      <c r="H910" s="656"/>
      <c r="I910" s="656"/>
      <c r="J910" s="658"/>
      <c r="K910" s="1566"/>
      <c r="L910" s="1415"/>
      <c r="M910" s="1133"/>
      <c r="V910" s="48"/>
      <c r="W910" s="48"/>
    </row>
    <row r="911" spans="1:23" ht="15.6" hidden="1" customHeight="1" thickBot="1" x14ac:dyDescent="0.3">
      <c r="A911" s="655"/>
      <c r="B911" s="659" t="s">
        <v>996</v>
      </c>
      <c r="C911" s="659"/>
      <c r="D911" s="656"/>
      <c r="E911" s="655"/>
      <c r="F911" s="656"/>
      <c r="G911" s="656"/>
      <c r="H911" s="656"/>
      <c r="I911" s="656"/>
      <c r="J911" s="661"/>
      <c r="K911" s="1545">
        <f>+K905-K906</f>
        <v>0</v>
      </c>
      <c r="L911" s="655"/>
      <c r="V911" s="48"/>
      <c r="W911" s="48"/>
    </row>
    <row r="912" spans="1:23" ht="15.6" hidden="1" customHeight="1" thickTop="1" x14ac:dyDescent="0.2">
      <c r="A912" s="655"/>
      <c r="B912" s="655"/>
      <c r="C912" s="655"/>
      <c r="D912" s="656"/>
      <c r="E912" s="655"/>
      <c r="F912" s="656"/>
      <c r="G912" s="656"/>
      <c r="H912" s="656"/>
      <c r="I912" s="656"/>
      <c r="J912" s="660"/>
      <c r="K912" s="1528">
        <v>0</v>
      </c>
      <c r="L912" s="655"/>
    </row>
    <row r="913" spans="1:23" ht="15.6" hidden="1" customHeight="1" x14ac:dyDescent="0.25">
      <c r="A913" s="655"/>
      <c r="B913" s="659" t="s">
        <v>1523</v>
      </c>
      <c r="C913" s="659"/>
      <c r="D913" s="656"/>
      <c r="E913" s="655"/>
      <c r="F913" s="656"/>
      <c r="G913" s="656"/>
      <c r="H913" s="656"/>
      <c r="I913" s="658"/>
      <c r="J913" s="661"/>
      <c r="K913" s="658"/>
      <c r="L913" s="655"/>
      <c r="N913" s="1133"/>
      <c r="O913" s="1146"/>
    </row>
    <row r="914" spans="1:23" ht="46.5" hidden="1" customHeight="1" x14ac:dyDescent="0.2">
      <c r="A914" s="655"/>
      <c r="B914" s="2868" t="s">
        <v>2198</v>
      </c>
      <c r="C914" s="2868"/>
      <c r="D914" s="2868"/>
      <c r="E914" s="2868"/>
      <c r="F914" s="2868"/>
      <c r="G914" s="2868"/>
      <c r="H914" s="2868"/>
      <c r="I914" s="2868"/>
      <c r="J914" s="2868"/>
      <c r="K914" s="2868"/>
      <c r="L914" s="655"/>
      <c r="N914" s="1147"/>
      <c r="O914" s="1592"/>
    </row>
    <row r="915" spans="1:23" ht="15.6" hidden="1" customHeight="1" x14ac:dyDescent="0.2">
      <c r="A915" s="655"/>
      <c r="B915" s="655"/>
      <c r="C915" s="655"/>
      <c r="D915" s="656"/>
      <c r="E915" s="655"/>
      <c r="F915" s="656"/>
      <c r="G915" s="656"/>
      <c r="H915" s="656"/>
      <c r="I915" s="658"/>
      <c r="J915" s="658"/>
      <c r="K915" s="658"/>
      <c r="L915" s="1415"/>
      <c r="M915" s="1133"/>
      <c r="N915" s="1147"/>
      <c r="O915" s="1592"/>
    </row>
    <row r="916" spans="1:23" ht="15.6" hidden="1" customHeight="1" x14ac:dyDescent="0.25">
      <c r="A916" s="655"/>
      <c r="B916" s="1456" t="s">
        <v>4141</v>
      </c>
      <c r="C916" s="659"/>
      <c r="D916" s="656"/>
      <c r="E916" s="655"/>
      <c r="F916" s="656"/>
      <c r="G916" s="656"/>
      <c r="H916" s="656"/>
      <c r="I916" s="658"/>
      <c r="J916" s="661"/>
      <c r="K916" s="658"/>
      <c r="L916" s="655"/>
      <c r="M916" s="1133"/>
      <c r="N916" s="1147"/>
      <c r="O916" s="1146"/>
      <c r="W916" s="1114" t="s">
        <v>3857</v>
      </c>
    </row>
    <row r="917" spans="1:23" ht="15.6" hidden="1" customHeight="1" x14ac:dyDescent="0.25">
      <c r="A917" s="655"/>
      <c r="B917" s="655"/>
      <c r="C917" s="655"/>
      <c r="D917" s="656"/>
      <c r="E917" s="655"/>
      <c r="F917" s="656"/>
      <c r="G917" s="656"/>
      <c r="H917" s="656"/>
      <c r="I917" s="658"/>
      <c r="J917" s="657"/>
      <c r="K917" s="658"/>
      <c r="L917" s="655"/>
      <c r="M917" s="1133"/>
      <c r="N917" s="1147"/>
      <c r="O917" s="1146"/>
    </row>
    <row r="918" spans="1:23" ht="30.95" hidden="1" customHeight="1" x14ac:dyDescent="0.2">
      <c r="A918" s="1505"/>
      <c r="B918" s="2925" t="s">
        <v>1520</v>
      </c>
      <c r="C918" s="2925"/>
      <c r="D918" s="2925"/>
      <c r="E918" s="2925"/>
      <c r="F918" s="2925"/>
      <c r="G918" s="2925"/>
      <c r="H918" s="2925"/>
      <c r="I918" s="2925"/>
      <c r="J918" s="2925"/>
      <c r="K918" s="2925"/>
      <c r="L918" s="1505"/>
      <c r="M918" s="1217" t="s">
        <v>2322</v>
      </c>
      <c r="N918" s="1147"/>
      <c r="O918" s="1146"/>
    </row>
    <row r="919" spans="1:23" ht="15.6" hidden="1" customHeight="1" x14ac:dyDescent="0.25">
      <c r="A919" s="655"/>
      <c r="B919" s="655"/>
      <c r="C919" s="655"/>
      <c r="D919" s="656"/>
      <c r="E919" s="655"/>
      <c r="F919" s="656"/>
      <c r="G919" s="656"/>
      <c r="H919" s="656"/>
      <c r="I919" s="658"/>
      <c r="J919" s="657"/>
      <c r="K919" s="658"/>
      <c r="L919" s="655"/>
      <c r="M919" s="1133"/>
      <c r="N919" s="1147"/>
      <c r="O919" s="1146"/>
    </row>
    <row r="920" spans="1:23" ht="15.6" hidden="1" customHeight="1" x14ac:dyDescent="0.25">
      <c r="A920" s="655"/>
      <c r="B920" s="1456" t="s">
        <v>4142</v>
      </c>
      <c r="C920" s="659"/>
      <c r="D920" s="656"/>
      <c r="E920" s="655"/>
      <c r="F920" s="656"/>
      <c r="G920" s="656"/>
      <c r="H920" s="656"/>
      <c r="I920" s="658"/>
      <c r="J920" s="661"/>
      <c r="K920" s="658"/>
      <c r="L920" s="655"/>
      <c r="M920" s="1133"/>
      <c r="N920" s="1147"/>
      <c r="O920" s="1146"/>
      <c r="P920" s="1115"/>
      <c r="W920" s="1114" t="s">
        <v>3857</v>
      </c>
    </row>
    <row r="921" spans="1:23" ht="15.6" hidden="1" customHeight="1" x14ac:dyDescent="0.25">
      <c r="A921" s="655"/>
      <c r="B921" s="655"/>
      <c r="C921" s="655"/>
      <c r="D921" s="656"/>
      <c r="E921" s="655"/>
      <c r="F921" s="656"/>
      <c r="G921" s="656"/>
      <c r="H921" s="656"/>
      <c r="I921" s="658"/>
      <c r="J921" s="657"/>
      <c r="K921" s="658"/>
      <c r="L921" s="655"/>
      <c r="M921" s="1133"/>
      <c r="N921" s="1147"/>
      <c r="O921" s="1146"/>
    </row>
    <row r="922" spans="1:23" ht="30.95" hidden="1" customHeight="1" x14ac:dyDescent="0.25">
      <c r="A922" s="655"/>
      <c r="B922" s="659"/>
      <c r="C922" s="659"/>
      <c r="D922" s="669"/>
      <c r="E922" s="2943" t="s">
        <v>827</v>
      </c>
      <c r="F922" s="2943"/>
      <c r="G922" s="2943"/>
      <c r="H922" s="669"/>
      <c r="I922" s="2943" t="s">
        <v>828</v>
      </c>
      <c r="J922" s="2943"/>
      <c r="K922" s="2943"/>
      <c r="L922" s="655"/>
      <c r="M922" s="1217" t="s">
        <v>1977</v>
      </c>
      <c r="N922" s="1147"/>
      <c r="O922" s="1146"/>
    </row>
    <row r="923" spans="1:23" ht="15.6" hidden="1" customHeight="1" x14ac:dyDescent="0.25">
      <c r="A923" s="655"/>
      <c r="B923" s="659"/>
      <c r="C923" s="659"/>
      <c r="D923" s="669"/>
      <c r="E923" s="1560">
        <f>Parameters!C17</f>
        <v>2012</v>
      </c>
      <c r="F923" s="669"/>
      <c r="G923" s="1568">
        <f>Parameters!C19</f>
        <v>2011</v>
      </c>
      <c r="H923" s="669"/>
      <c r="I923" s="1560">
        <f>Parameters!C17</f>
        <v>2012</v>
      </c>
      <c r="J923" s="669"/>
      <c r="K923" s="1568">
        <f>Parameters!C19</f>
        <v>2011</v>
      </c>
      <c r="L923" s="655"/>
      <c r="M923" s="1133"/>
      <c r="N923" s="1147"/>
      <c r="O923" s="1146"/>
      <c r="P923" s="1115"/>
    </row>
    <row r="924" spans="1:23" ht="15.6" hidden="1" customHeight="1" x14ac:dyDescent="0.25">
      <c r="A924" s="655"/>
      <c r="B924" s="1563"/>
      <c r="C924" s="659"/>
      <c r="D924" s="661"/>
      <c r="E924" s="669" t="s">
        <v>255</v>
      </c>
      <c r="F924" s="661"/>
      <c r="G924" s="669" t="s">
        <v>255</v>
      </c>
      <c r="H924" s="661"/>
      <c r="I924" s="669" t="s">
        <v>255</v>
      </c>
      <c r="J924" s="661"/>
      <c r="K924" s="669" t="s">
        <v>255</v>
      </c>
      <c r="L924" s="655"/>
      <c r="M924" s="1133"/>
      <c r="N924" s="1147"/>
      <c r="O924" s="1146"/>
      <c r="P924" s="1115"/>
    </row>
    <row r="925" spans="1:23" ht="15.6" hidden="1" customHeight="1" x14ac:dyDescent="0.25">
      <c r="A925" s="1558"/>
      <c r="B925" s="659"/>
      <c r="C925" s="659"/>
      <c r="D925" s="656"/>
      <c r="E925" s="661"/>
      <c r="F925" s="661"/>
      <c r="G925" s="661"/>
      <c r="H925" s="661"/>
      <c r="I925" s="661"/>
      <c r="J925" s="661"/>
      <c r="K925" s="661"/>
      <c r="L925" s="655"/>
      <c r="M925" s="1133"/>
      <c r="N925" s="1147"/>
      <c r="O925" s="1146"/>
      <c r="P925" s="1115"/>
    </row>
    <row r="926" spans="1:23" ht="15.6" hidden="1" customHeight="1" x14ac:dyDescent="0.25">
      <c r="A926" s="655"/>
      <c r="B926" s="655" t="s">
        <v>829</v>
      </c>
      <c r="C926" s="655"/>
      <c r="D926" s="656"/>
      <c r="E926" s="658">
        <v>0</v>
      </c>
      <c r="F926" s="656"/>
      <c r="G926" s="661">
        <v>0</v>
      </c>
      <c r="H926" s="656"/>
      <c r="I926" s="658">
        <v>0</v>
      </c>
      <c r="J926" s="657"/>
      <c r="K926" s="658">
        <v>0</v>
      </c>
      <c r="L926" s="655"/>
      <c r="M926" s="1133"/>
      <c r="N926" s="1147"/>
      <c r="O926" s="1146"/>
      <c r="P926" s="1115"/>
    </row>
    <row r="927" spans="1:23" ht="15.6" hidden="1" customHeight="1" x14ac:dyDescent="0.25">
      <c r="A927" s="655"/>
      <c r="B927" s="655" t="s">
        <v>830</v>
      </c>
      <c r="C927" s="655"/>
      <c r="D927" s="656"/>
      <c r="E927" s="658">
        <v>0</v>
      </c>
      <c r="F927" s="656"/>
      <c r="G927" s="661">
        <v>0</v>
      </c>
      <c r="H927" s="656"/>
      <c r="I927" s="658">
        <v>0</v>
      </c>
      <c r="J927" s="657"/>
      <c r="K927" s="658">
        <v>0</v>
      </c>
      <c r="L927" s="655"/>
      <c r="M927" s="1133"/>
      <c r="N927" s="1147"/>
      <c r="O927" s="1146"/>
      <c r="P927" s="1115"/>
    </row>
    <row r="928" spans="1:23" ht="15.6" hidden="1" customHeight="1" x14ac:dyDescent="0.2">
      <c r="A928" s="655"/>
      <c r="B928" s="655" t="s">
        <v>831</v>
      </c>
      <c r="C928" s="655"/>
      <c r="D928" s="656"/>
      <c r="E928" s="1452">
        <v>0</v>
      </c>
      <c r="F928" s="656"/>
      <c r="G928" s="1452">
        <v>0</v>
      </c>
      <c r="H928" s="656"/>
      <c r="I928" s="1452">
        <v>0</v>
      </c>
      <c r="J928" s="656"/>
      <c r="K928" s="1452">
        <v>0</v>
      </c>
      <c r="L928" s="655"/>
      <c r="M928" s="1133"/>
      <c r="N928" s="1147"/>
      <c r="O928" s="1146"/>
      <c r="P928" s="1115"/>
    </row>
    <row r="929" spans="1:24" ht="15.6" hidden="1" customHeight="1" x14ac:dyDescent="0.2">
      <c r="A929" s="655"/>
      <c r="B929" s="655"/>
      <c r="C929" s="655"/>
      <c r="D929" s="656"/>
      <c r="E929" s="1564">
        <f>SUM(E926:E928)</f>
        <v>0</v>
      </c>
      <c r="F929" s="656"/>
      <c r="G929" s="1564">
        <f>SUM(G926:G928)</f>
        <v>0</v>
      </c>
      <c r="H929" s="656"/>
      <c r="I929" s="1564">
        <f>SUM(I926:I928)</f>
        <v>0</v>
      </c>
      <c r="J929" s="656"/>
      <c r="K929" s="1564">
        <f>SUM(K926:K928)</f>
        <v>0</v>
      </c>
      <c r="L929" s="655"/>
      <c r="M929" s="1133"/>
      <c r="N929" s="1147"/>
      <c r="O929" s="1146"/>
      <c r="P929" s="1115"/>
    </row>
    <row r="930" spans="1:24" ht="15.6" hidden="1" customHeight="1" x14ac:dyDescent="0.25">
      <c r="A930" s="655"/>
      <c r="B930" s="655"/>
      <c r="C930" s="655"/>
      <c r="D930" s="656"/>
      <c r="E930" s="661"/>
      <c r="F930" s="656"/>
      <c r="G930" s="661"/>
      <c r="H930" s="656"/>
      <c r="I930" s="661"/>
      <c r="J930" s="657"/>
      <c r="K930" s="661"/>
      <c r="L930" s="655"/>
      <c r="M930" s="1133"/>
      <c r="N930" s="1147"/>
      <c r="O930" s="1146"/>
      <c r="P930" s="1115"/>
    </row>
    <row r="931" spans="1:24" ht="15.6" hidden="1" customHeight="1" x14ac:dyDescent="0.2">
      <c r="A931" s="655"/>
      <c r="B931" s="655" t="s">
        <v>993</v>
      </c>
      <c r="C931" s="655"/>
      <c r="D931" s="656"/>
      <c r="E931" s="1269">
        <v>0</v>
      </c>
      <c r="F931" s="656"/>
      <c r="G931" s="1269">
        <v>0</v>
      </c>
      <c r="H931" s="656"/>
      <c r="I931" s="1269"/>
      <c r="J931" s="656"/>
      <c r="K931" s="1269"/>
      <c r="L931" s="655"/>
      <c r="M931" s="1217" t="s">
        <v>1978</v>
      </c>
      <c r="N931" s="1147"/>
      <c r="O931" s="1146"/>
      <c r="P931" s="1115"/>
    </row>
    <row r="932" spans="1:24" ht="30.95" hidden="1" customHeight="1" x14ac:dyDescent="0.25">
      <c r="A932" s="655"/>
      <c r="B932" s="2940" t="s">
        <v>994</v>
      </c>
      <c r="C932" s="2940"/>
      <c r="D932" s="656"/>
      <c r="E932" s="1564">
        <f>E929-E931</f>
        <v>0</v>
      </c>
      <c r="F932" s="656"/>
      <c r="G932" s="1564">
        <f>G929-G931</f>
        <v>0</v>
      </c>
      <c r="H932" s="656"/>
      <c r="I932" s="1564">
        <f>I929-I931</f>
        <v>0</v>
      </c>
      <c r="J932" s="656"/>
      <c r="K932" s="1564">
        <f>K929-K931</f>
        <v>0</v>
      </c>
      <c r="L932" s="655"/>
      <c r="M932" s="1133"/>
      <c r="N932" s="1147"/>
      <c r="O932" s="1146"/>
      <c r="P932" s="1115"/>
      <c r="V932" s="234"/>
      <c r="X932" s="50"/>
    </row>
    <row r="933" spans="1:24" ht="15.6" hidden="1" customHeight="1" x14ac:dyDescent="0.2">
      <c r="A933" s="655"/>
      <c r="B933" s="655" t="s">
        <v>995</v>
      </c>
      <c r="C933" s="655"/>
      <c r="D933" s="656"/>
      <c r="E933" s="661">
        <v>0</v>
      </c>
      <c r="F933" s="656"/>
      <c r="G933" s="661">
        <v>0</v>
      </c>
      <c r="H933" s="656"/>
      <c r="I933" s="661">
        <f>E933</f>
        <v>0</v>
      </c>
      <c r="J933" s="656"/>
      <c r="K933" s="661">
        <f>G933</f>
        <v>0</v>
      </c>
      <c r="L933" s="655"/>
      <c r="M933" s="1133"/>
      <c r="N933" s="1147"/>
      <c r="O933" s="1146"/>
      <c r="P933" s="1115"/>
    </row>
    <row r="934" spans="1:24" ht="15.6" hidden="1" customHeight="1" x14ac:dyDescent="0.2">
      <c r="A934" s="655"/>
      <c r="B934" s="655"/>
      <c r="C934" s="655"/>
      <c r="D934" s="656"/>
      <c r="E934" s="655"/>
      <c r="F934" s="656"/>
      <c r="G934" s="656"/>
      <c r="H934" s="656"/>
      <c r="I934" s="1569"/>
      <c r="J934" s="1570"/>
      <c r="K934" s="1569"/>
      <c r="L934" s="655"/>
      <c r="M934" s="1133"/>
      <c r="N934" s="1147"/>
      <c r="O934" s="1146"/>
      <c r="P934" s="1115"/>
    </row>
    <row r="935" spans="1:24" s="50" customFormat="1" ht="15.6" hidden="1" customHeight="1" thickBot="1" x14ac:dyDescent="0.3">
      <c r="A935" s="659"/>
      <c r="B935" s="659" t="s">
        <v>996</v>
      </c>
      <c r="C935" s="659"/>
      <c r="D935" s="1454"/>
      <c r="E935" s="1545">
        <f>SUM(E932:E934)</f>
        <v>0</v>
      </c>
      <c r="F935" s="657"/>
      <c r="G935" s="1545">
        <f>SUM(G932:G934)</f>
        <v>0</v>
      </c>
      <c r="H935" s="1454"/>
      <c r="I935" s="1545">
        <f>SUM(I932:I934)</f>
        <v>0</v>
      </c>
      <c r="J935" s="657"/>
      <c r="K935" s="1545">
        <f>SUM(K932:K934)</f>
        <v>0</v>
      </c>
      <c r="L935" s="659"/>
      <c r="M935" s="234"/>
      <c r="N935" s="235"/>
      <c r="O935" s="232"/>
      <c r="P935" s="1115"/>
      <c r="Q935" s="1111"/>
      <c r="R935" s="1111"/>
      <c r="S935" s="1111"/>
      <c r="T935" s="1111"/>
      <c r="U935" s="1112"/>
      <c r="V935" s="1133"/>
      <c r="W935" s="1114"/>
      <c r="X935" s="48"/>
    </row>
    <row r="936" spans="1:24" ht="15.6" hidden="1" customHeight="1" thickTop="1" x14ac:dyDescent="0.2">
      <c r="A936" s="655"/>
      <c r="B936" s="655"/>
      <c r="C936" s="655"/>
      <c r="D936" s="656"/>
      <c r="E936" s="655"/>
      <c r="F936" s="656"/>
      <c r="G936" s="656"/>
      <c r="H936" s="656"/>
      <c r="I936" s="1569"/>
      <c r="J936" s="1570"/>
      <c r="K936" s="1569"/>
      <c r="L936" s="655"/>
      <c r="M936" s="1133"/>
      <c r="N936" s="1147"/>
      <c r="O936" s="1146"/>
      <c r="P936" s="1116"/>
      <c r="Q936" s="1114"/>
      <c r="R936" s="1114"/>
      <c r="S936" s="1114"/>
      <c r="T936" s="1114"/>
      <c r="U936" s="316"/>
    </row>
    <row r="937" spans="1:24" ht="15.6" hidden="1" customHeight="1" thickBot="1" x14ac:dyDescent="0.3">
      <c r="A937" s="655"/>
      <c r="B937" s="659" t="s">
        <v>997</v>
      </c>
      <c r="C937" s="655"/>
      <c r="D937" s="656"/>
      <c r="E937" s="655"/>
      <c r="F937" s="656"/>
      <c r="G937" s="655"/>
      <c r="H937" s="656"/>
      <c r="I937" s="1545">
        <f>I935-E935</f>
        <v>0</v>
      </c>
      <c r="J937" s="1570"/>
      <c r="K937" s="1545">
        <f>K935-G935</f>
        <v>0</v>
      </c>
      <c r="L937" s="655"/>
      <c r="M937" s="1133"/>
      <c r="N937" s="1147"/>
      <c r="O937" s="1146"/>
      <c r="P937" s="1115"/>
    </row>
    <row r="938" spans="1:24" ht="15.6" hidden="1" customHeight="1" thickTop="1" x14ac:dyDescent="0.2">
      <c r="A938" s="655"/>
      <c r="B938" s="655"/>
      <c r="C938" s="655"/>
      <c r="D938" s="656"/>
      <c r="E938" s="655"/>
      <c r="F938" s="656"/>
      <c r="G938" s="656"/>
      <c r="H938" s="656"/>
      <c r="I938" s="1569"/>
      <c r="J938" s="1570"/>
      <c r="K938" s="1569"/>
      <c r="L938" s="655"/>
      <c r="M938" s="1133"/>
      <c r="N938" s="1147"/>
      <c r="O938" s="1146"/>
      <c r="P938" s="1115"/>
    </row>
    <row r="939" spans="1:24" ht="15.6" hidden="1" customHeight="1" x14ac:dyDescent="0.25">
      <c r="A939" s="659"/>
      <c r="B939" s="655"/>
      <c r="C939" s="655"/>
      <c r="D939" s="655"/>
      <c r="E939" s="655"/>
      <c r="F939" s="655"/>
      <c r="G939" s="656"/>
      <c r="H939" s="669"/>
      <c r="I939" s="1223">
        <f>Parameters!C17</f>
        <v>2012</v>
      </c>
      <c r="J939" s="669"/>
      <c r="K939" s="1550">
        <f>Parameters!C19</f>
        <v>2011</v>
      </c>
      <c r="L939" s="655"/>
      <c r="M939" s="232" t="s">
        <v>803</v>
      </c>
      <c r="N939" s="1224">
        <f>Parameters!C21</f>
        <v>2010</v>
      </c>
      <c r="O939" s="1460"/>
      <c r="P939" s="1115"/>
    </row>
    <row r="940" spans="1:24" ht="15.6" hidden="1" customHeight="1" x14ac:dyDescent="0.25">
      <c r="A940" s="655"/>
      <c r="B940" s="655"/>
      <c r="C940" s="655"/>
      <c r="D940" s="656"/>
      <c r="E940" s="655"/>
      <c r="F940" s="656"/>
      <c r="G940" s="656"/>
      <c r="H940" s="656"/>
      <c r="I940" s="669" t="s">
        <v>255</v>
      </c>
      <c r="J940" s="657"/>
      <c r="K940" s="669" t="s">
        <v>255</v>
      </c>
      <c r="L940" s="664"/>
      <c r="M940" s="1133"/>
      <c r="N940" s="1147"/>
      <c r="O940" s="1146"/>
      <c r="P940" s="1121" t="s">
        <v>998</v>
      </c>
    </row>
    <row r="941" spans="1:24" ht="15.6" hidden="1" customHeight="1" x14ac:dyDescent="0.25">
      <c r="A941" s="655"/>
      <c r="B941" s="655"/>
      <c r="C941" s="655"/>
      <c r="D941" s="656"/>
      <c r="E941" s="655"/>
      <c r="F941" s="656"/>
      <c r="G941" s="656"/>
      <c r="H941" s="656"/>
      <c r="I941" s="669"/>
      <c r="J941" s="657"/>
      <c r="K941" s="669"/>
      <c r="L941" s="664"/>
      <c r="M941" s="1133"/>
      <c r="N941" s="1147"/>
      <c r="O941" s="1146"/>
      <c r="P941" s="1115"/>
    </row>
    <row r="942" spans="1:24" ht="15.6" hidden="1" customHeight="1" x14ac:dyDescent="0.25">
      <c r="A942" s="655"/>
      <c r="B942" s="659" t="s">
        <v>999</v>
      </c>
      <c r="C942" s="655"/>
      <c r="D942" s="656"/>
      <c r="E942" s="655"/>
      <c r="F942" s="656"/>
      <c r="G942" s="656"/>
      <c r="H942" s="656"/>
      <c r="I942" s="1569"/>
      <c r="J942" s="1570"/>
      <c r="K942" s="1569"/>
      <c r="L942" s="655"/>
      <c r="M942" s="1133"/>
      <c r="N942" s="1147"/>
      <c r="O942" s="1146"/>
      <c r="P942" s="1115"/>
    </row>
    <row r="943" spans="1:24" ht="15.6" hidden="1" customHeight="1" x14ac:dyDescent="0.2">
      <c r="A943" s="655"/>
      <c r="B943" s="655" t="s">
        <v>1000</v>
      </c>
      <c r="C943" s="655"/>
      <c r="D943" s="656"/>
      <c r="E943" s="655"/>
      <c r="F943" s="656"/>
      <c r="G943" s="656"/>
      <c r="H943" s="656"/>
      <c r="I943" s="661">
        <v>0</v>
      </c>
      <c r="J943" s="656"/>
      <c r="K943" s="661">
        <v>0</v>
      </c>
      <c r="L943" s="655"/>
      <c r="M943" s="1133"/>
      <c r="N943" s="1147">
        <v>0</v>
      </c>
      <c r="O943" s="1147"/>
      <c r="P943" s="1115" t="s">
        <v>3091</v>
      </c>
      <c r="Q943" s="1111" t="s">
        <v>2763</v>
      </c>
      <c r="R943" s="1115" t="s">
        <v>3092</v>
      </c>
      <c r="S943" s="1111" t="s">
        <v>2765</v>
      </c>
      <c r="T943" s="1115" t="s">
        <v>3093</v>
      </c>
      <c r="U943" s="1112" t="s">
        <v>2775</v>
      </c>
    </row>
    <row r="944" spans="1:24" ht="15.6" hidden="1" customHeight="1" x14ac:dyDescent="0.2">
      <c r="A944" s="655"/>
      <c r="B944" s="655" t="s">
        <v>1001</v>
      </c>
      <c r="C944" s="655"/>
      <c r="D944" s="656"/>
      <c r="E944" s="655"/>
      <c r="F944" s="656"/>
      <c r="G944" s="656"/>
      <c r="H944" s="656"/>
      <c r="I944" s="661">
        <v>0</v>
      </c>
      <c r="J944" s="656"/>
      <c r="K944" s="661">
        <v>0</v>
      </c>
      <c r="L944" s="655"/>
      <c r="M944" s="1133"/>
      <c r="N944" s="1147">
        <v>0</v>
      </c>
      <c r="O944" s="1147"/>
      <c r="P944" s="1115" t="s">
        <v>3094</v>
      </c>
      <c r="Q944" s="1111" t="s">
        <v>2763</v>
      </c>
      <c r="R944" s="1115" t="s">
        <v>3095</v>
      </c>
      <c r="S944" s="1111" t="s">
        <v>2765</v>
      </c>
      <c r="T944" s="1115" t="s">
        <v>3096</v>
      </c>
      <c r="U944" s="1112" t="s">
        <v>2775</v>
      </c>
    </row>
    <row r="945" spans="1:23" ht="15.6" hidden="1" customHeight="1" x14ac:dyDescent="0.2">
      <c r="A945" s="655"/>
      <c r="B945" s="655"/>
      <c r="C945" s="655"/>
      <c r="D945" s="656"/>
      <c r="E945" s="655"/>
      <c r="F945" s="656"/>
      <c r="G945" s="656"/>
      <c r="H945" s="656"/>
      <c r="I945" s="661"/>
      <c r="J945" s="656"/>
      <c r="K945" s="661"/>
      <c r="L945" s="655"/>
      <c r="M945" s="1133"/>
      <c r="N945" s="1147"/>
      <c r="O945" s="1146"/>
      <c r="P945" s="1115"/>
    </row>
    <row r="946" spans="1:23" ht="15.6" hidden="1" customHeight="1" thickBot="1" x14ac:dyDescent="0.3">
      <c r="A946" s="655"/>
      <c r="B946" s="659" t="s">
        <v>996</v>
      </c>
      <c r="C946" s="655"/>
      <c r="D946" s="656"/>
      <c r="E946" s="655"/>
      <c r="F946" s="656"/>
      <c r="G946" s="656"/>
      <c r="H946" s="656"/>
      <c r="I946" s="1545">
        <f>SUM(I942:I945)</f>
        <v>0</v>
      </c>
      <c r="J946" s="656"/>
      <c r="K946" s="1545">
        <f>SUM(K942:K945)</f>
        <v>0</v>
      </c>
      <c r="L946" s="655"/>
      <c r="M946" s="1133"/>
      <c r="N946" s="616">
        <f>SUM(N942:N945)</f>
        <v>0</v>
      </c>
      <c r="O946" s="1146"/>
      <c r="P946" s="1115"/>
    </row>
    <row r="947" spans="1:23" ht="15.6" hidden="1" customHeight="1" thickTop="1" x14ac:dyDescent="0.2">
      <c r="A947" s="655"/>
      <c r="B947" s="655"/>
      <c r="C947" s="655"/>
      <c r="D947" s="656"/>
      <c r="E947" s="655"/>
      <c r="F947" s="656"/>
      <c r="G947" s="656"/>
      <c r="H947" s="656"/>
      <c r="I947" s="661"/>
      <c r="J947" s="656"/>
      <c r="K947" s="661"/>
      <c r="L947" s="655"/>
      <c r="M947" s="1133"/>
      <c r="N947" s="1147"/>
      <c r="O947" s="1146"/>
      <c r="P947" s="1115"/>
    </row>
    <row r="948" spans="1:23" ht="30.95" hidden="1" customHeight="1" x14ac:dyDescent="0.2">
      <c r="A948" s="655"/>
      <c r="B948" s="2868" t="s">
        <v>1002</v>
      </c>
      <c r="C948" s="2868"/>
      <c r="D948" s="2868"/>
      <c r="E948" s="2868"/>
      <c r="F948" s="2868"/>
      <c r="G948" s="2868"/>
      <c r="H948" s="656"/>
      <c r="I948" s="661"/>
      <c r="J948" s="656"/>
      <c r="K948" s="661"/>
      <c r="L948" s="655"/>
      <c r="M948" s="1217" t="s">
        <v>1971</v>
      </c>
      <c r="N948" s="1147"/>
      <c r="O948" s="1146"/>
      <c r="P948" s="1115"/>
    </row>
    <row r="949" spans="1:23" ht="15.6" hidden="1" customHeight="1" x14ac:dyDescent="0.2">
      <c r="A949" s="655"/>
      <c r="B949" s="655"/>
      <c r="C949" s="655"/>
      <c r="D949" s="656"/>
      <c r="E949" s="655"/>
      <c r="F949" s="656"/>
      <c r="G949" s="656"/>
      <c r="H949" s="656"/>
      <c r="I949" s="661"/>
      <c r="J949" s="656"/>
      <c r="K949" s="661"/>
      <c r="L949" s="655"/>
      <c r="M949" s="1133"/>
      <c r="N949" s="1147"/>
      <c r="O949" s="1146"/>
      <c r="P949" s="1115"/>
    </row>
    <row r="950" spans="1:23" ht="30.95" hidden="1" customHeight="1" x14ac:dyDescent="0.2">
      <c r="A950" s="655"/>
      <c r="B950" s="2868" t="s">
        <v>1521</v>
      </c>
      <c r="C950" s="2868"/>
      <c r="D950" s="2868"/>
      <c r="E950" s="2868"/>
      <c r="F950" s="2868"/>
      <c r="G950" s="2868"/>
      <c r="H950" s="656"/>
      <c r="I950" s="661"/>
      <c r="J950" s="656"/>
      <c r="K950" s="661"/>
      <c r="L950" s="655"/>
      <c r="M950" s="1220" t="s">
        <v>2319</v>
      </c>
      <c r="N950" s="1147"/>
      <c r="O950" s="1146"/>
      <c r="P950" s="1115"/>
    </row>
    <row r="951" spans="1:23" ht="15.6" hidden="1" customHeight="1" x14ac:dyDescent="0.2">
      <c r="A951" s="655"/>
      <c r="B951" s="655"/>
      <c r="C951" s="655"/>
      <c r="D951" s="656"/>
      <c r="E951" s="655"/>
      <c r="F951" s="656"/>
      <c r="G951" s="656"/>
      <c r="H951" s="656"/>
      <c r="I951" s="661"/>
      <c r="J951" s="656"/>
      <c r="K951" s="661"/>
      <c r="L951" s="655"/>
      <c r="M951" s="1133"/>
      <c r="N951" s="1147"/>
      <c r="O951" s="1146"/>
      <c r="P951" s="1115"/>
    </row>
    <row r="952" spans="1:23" ht="30.95" hidden="1" customHeight="1" x14ac:dyDescent="0.2">
      <c r="A952" s="655"/>
      <c r="B952" s="2868" t="s">
        <v>1003</v>
      </c>
      <c r="C952" s="2868"/>
      <c r="D952" s="2868"/>
      <c r="E952" s="2868"/>
      <c r="F952" s="2868"/>
      <c r="G952" s="2868"/>
      <c r="H952" s="656"/>
      <c r="I952" s="661"/>
      <c r="J952" s="656"/>
      <c r="K952" s="661"/>
      <c r="L952" s="655"/>
      <c r="M952" s="1220" t="s">
        <v>2323</v>
      </c>
      <c r="N952" s="1147"/>
      <c r="O952" s="1146"/>
      <c r="P952" s="1115"/>
    </row>
    <row r="953" spans="1:23" ht="15.6" hidden="1" customHeight="1" x14ac:dyDescent="0.2">
      <c r="A953" s="655"/>
      <c r="B953" s="655"/>
      <c r="C953" s="655"/>
      <c r="D953" s="656"/>
      <c r="E953" s="655"/>
      <c r="F953" s="656"/>
      <c r="G953" s="656"/>
      <c r="H953" s="656"/>
      <c r="I953" s="661"/>
      <c r="J953" s="656"/>
      <c r="K953" s="661"/>
      <c r="L953" s="655"/>
      <c r="M953" s="1133"/>
      <c r="N953" s="1147"/>
      <c r="O953" s="1146"/>
      <c r="P953" s="1115"/>
    </row>
    <row r="954" spans="1:23" ht="46.5" hidden="1" customHeight="1" x14ac:dyDescent="0.2">
      <c r="A954" s="625"/>
      <c r="B954" s="2854" t="s">
        <v>1004</v>
      </c>
      <c r="C954" s="2854"/>
      <c r="D954" s="2854"/>
      <c r="E954" s="2854"/>
      <c r="F954" s="2854"/>
      <c r="G954" s="2854"/>
      <c r="H954" s="626"/>
      <c r="I954" s="286"/>
      <c r="J954" s="626"/>
      <c r="K954" s="286"/>
      <c r="L954" s="625"/>
      <c r="M954" s="1220" t="s">
        <v>2324</v>
      </c>
      <c r="N954" s="1147"/>
      <c r="O954" s="1146"/>
      <c r="P954" s="1115"/>
    </row>
    <row r="955" spans="1:23" ht="15.6" hidden="1" customHeight="1" x14ac:dyDescent="0.2">
      <c r="A955" s="625"/>
      <c r="B955" s="625"/>
      <c r="C955" s="625"/>
      <c r="D955" s="626"/>
      <c r="E955" s="625"/>
      <c r="F955" s="626"/>
      <c r="G955" s="626"/>
      <c r="H955" s="626"/>
      <c r="I955" s="286"/>
      <c r="J955" s="626"/>
      <c r="K955" s="286"/>
      <c r="L955" s="625"/>
      <c r="M955" s="1133"/>
      <c r="N955" s="1147"/>
      <c r="O955" s="1146"/>
      <c r="P955" s="1115"/>
    </row>
    <row r="956" spans="1:23" ht="46.5" hidden="1" customHeight="1" x14ac:dyDescent="0.2">
      <c r="A956" s="625"/>
      <c r="B956" s="2854" t="s">
        <v>1522</v>
      </c>
      <c r="C956" s="2854"/>
      <c r="D956" s="2854"/>
      <c r="E956" s="2854"/>
      <c r="F956" s="2854"/>
      <c r="G956" s="2854"/>
      <c r="H956" s="626"/>
      <c r="I956" s="286"/>
      <c r="J956" s="626"/>
      <c r="K956" s="286"/>
      <c r="L956" s="625"/>
      <c r="M956" s="1220" t="s">
        <v>2325</v>
      </c>
      <c r="N956" s="1147"/>
      <c r="O956" s="1146"/>
      <c r="P956" s="1115"/>
    </row>
    <row r="957" spans="1:23" ht="15.6" hidden="1" customHeight="1" x14ac:dyDescent="0.2">
      <c r="A957" s="625"/>
      <c r="B957" s="625"/>
      <c r="C957" s="625"/>
      <c r="D957" s="626"/>
      <c r="E957" s="625"/>
      <c r="F957" s="626"/>
      <c r="G957" s="626"/>
      <c r="H957" s="626"/>
      <c r="I957" s="286"/>
      <c r="J957" s="626"/>
      <c r="K957" s="286"/>
      <c r="L957" s="625"/>
      <c r="M957" s="1133"/>
      <c r="N957" s="1147"/>
      <c r="O957" s="1146"/>
      <c r="P957" s="1115"/>
    </row>
    <row r="958" spans="1:23" ht="15.6" hidden="1" customHeight="1" x14ac:dyDescent="0.25">
      <c r="I958" s="200"/>
      <c r="J958" s="200"/>
      <c r="K958" s="200"/>
      <c r="L958" s="210"/>
    </row>
    <row r="959" spans="1:23" ht="15.6" hidden="1" customHeight="1" x14ac:dyDescent="0.25">
      <c r="A959" s="211">
        <v>14</v>
      </c>
      <c r="B959" s="50" t="s">
        <v>189</v>
      </c>
      <c r="C959" s="50"/>
      <c r="W959" s="1114" t="s">
        <v>3520</v>
      </c>
    </row>
    <row r="960" spans="1:23" ht="15.6" hidden="1" customHeight="1" x14ac:dyDescent="0.25">
      <c r="A960" s="211"/>
      <c r="B960" s="50"/>
      <c r="C960" s="50"/>
      <c r="T960" s="48"/>
      <c r="U960" s="48"/>
      <c r="V960" s="48"/>
      <c r="W960" s="48"/>
    </row>
    <row r="961" spans="1:23" ht="15.6" hidden="1" customHeight="1" x14ac:dyDescent="0.25">
      <c r="D961" s="135"/>
      <c r="F961" s="135"/>
      <c r="G961" s="135" t="s">
        <v>191</v>
      </c>
      <c r="H961" s="135"/>
      <c r="I961" s="209" t="s">
        <v>190</v>
      </c>
      <c r="J961" s="209"/>
      <c r="K961" s="209" t="s">
        <v>193</v>
      </c>
      <c r="M961" s="1133"/>
      <c r="N961" s="1147"/>
      <c r="O961" s="1146"/>
      <c r="P961" s="1115"/>
      <c r="T961" s="48"/>
      <c r="U961" s="48"/>
      <c r="V961" s="48"/>
      <c r="W961" s="48"/>
    </row>
    <row r="962" spans="1:23" ht="15.6" hidden="1" customHeight="1" x14ac:dyDescent="0.25">
      <c r="B962" s="50"/>
      <c r="D962" s="135"/>
      <c r="F962" s="135"/>
      <c r="G962" s="135" t="s">
        <v>192</v>
      </c>
      <c r="H962" s="135"/>
      <c r="I962" s="209" t="s">
        <v>1022</v>
      </c>
      <c r="J962" s="209"/>
      <c r="K962" s="209" t="s">
        <v>192</v>
      </c>
      <c r="M962" s="1133"/>
      <c r="N962" s="1147"/>
      <c r="O962" s="1146"/>
      <c r="P962" s="1115"/>
      <c r="T962" s="48"/>
      <c r="U962" s="48"/>
      <c r="V962" s="48"/>
      <c r="W962" s="48"/>
    </row>
    <row r="963" spans="1:23" ht="15.6" hidden="1" customHeight="1" x14ac:dyDescent="0.25">
      <c r="B963" s="249"/>
      <c r="C963" s="50"/>
      <c r="E963" s="135"/>
      <c r="G963" s="209" t="s">
        <v>255</v>
      </c>
      <c r="H963" s="199"/>
      <c r="I963" s="209" t="s">
        <v>255</v>
      </c>
      <c r="K963" s="209" t="s">
        <v>255</v>
      </c>
      <c r="M963" s="1133"/>
      <c r="N963" s="301"/>
      <c r="O963" s="1146"/>
      <c r="P963" s="1115"/>
      <c r="T963" s="48"/>
      <c r="U963" s="48"/>
      <c r="V963" s="48"/>
      <c r="W963" s="48"/>
    </row>
    <row r="964" spans="1:23" ht="15.6" hidden="1" customHeight="1" x14ac:dyDescent="0.25">
      <c r="B964" s="50" t="str">
        <f>"As at "&amp;Parameters!C11</f>
        <v>As at 30 June 2012</v>
      </c>
      <c r="M964" s="1133"/>
      <c r="N964" s="1147"/>
      <c r="O964" s="1146"/>
      <c r="P964" s="1115"/>
      <c r="T964" s="48"/>
      <c r="U964" s="48"/>
      <c r="V964" s="48"/>
      <c r="W964" s="48"/>
    </row>
    <row r="965" spans="1:23" ht="15.6" hidden="1" customHeight="1" x14ac:dyDescent="0.25">
      <c r="A965" s="211"/>
      <c r="B965" s="50"/>
      <c r="C965" s="50"/>
      <c r="M965" s="1133"/>
      <c r="N965" s="1147"/>
      <c r="O965" s="1146"/>
      <c r="P965" s="1115"/>
      <c r="T965" s="48"/>
      <c r="U965" s="48"/>
      <c r="V965" s="48"/>
      <c r="W965" s="48"/>
    </row>
    <row r="966" spans="1:23" ht="15.6" hidden="1" customHeight="1" x14ac:dyDescent="0.2">
      <c r="A966" s="245"/>
      <c r="B966" s="48" t="s">
        <v>1720</v>
      </c>
      <c r="G966" s="199">
        <v>0</v>
      </c>
      <c r="I966" s="199">
        <v>0</v>
      </c>
      <c r="K966" s="199">
        <f t="shared" ref="K966:K971" si="18">+G966-I966</f>
        <v>0</v>
      </c>
      <c r="P966" s="1110" t="s">
        <v>3603</v>
      </c>
      <c r="Q966" s="1111" t="s">
        <v>2763</v>
      </c>
      <c r="R966" s="1111" t="s">
        <v>3608</v>
      </c>
      <c r="S966" s="1111" t="s">
        <v>2781</v>
      </c>
      <c r="T966" s="48"/>
      <c r="U966" s="48"/>
      <c r="V966" s="48"/>
      <c r="W966" s="48"/>
    </row>
    <row r="967" spans="1:23" ht="15.6" hidden="1" customHeight="1" x14ac:dyDescent="0.2">
      <c r="A967" s="1556"/>
      <c r="B967" s="655" t="s">
        <v>1719</v>
      </c>
      <c r="C967" s="655"/>
      <c r="D967" s="656"/>
      <c r="E967" s="655"/>
      <c r="F967" s="656"/>
      <c r="G967" s="661">
        <v>0</v>
      </c>
      <c r="H967" s="656"/>
      <c r="I967" s="661">
        <v>0</v>
      </c>
      <c r="J967" s="661"/>
      <c r="K967" s="661">
        <f t="shared" si="18"/>
        <v>0</v>
      </c>
      <c r="L967" s="655"/>
      <c r="P967" s="1110" t="s">
        <v>3602</v>
      </c>
      <c r="Q967" s="1111" t="s">
        <v>2763</v>
      </c>
      <c r="T967" s="48"/>
      <c r="U967" s="48"/>
      <c r="V967" s="48"/>
      <c r="W967" s="48"/>
    </row>
    <row r="968" spans="1:23" ht="15.6" hidden="1" customHeight="1" x14ac:dyDescent="0.2">
      <c r="A968" s="245"/>
      <c r="B968" s="48" t="s">
        <v>1721</v>
      </c>
      <c r="G968" s="199">
        <v>0</v>
      </c>
      <c r="I968" s="199">
        <v>0</v>
      </c>
      <c r="K968" s="199">
        <f t="shared" si="18"/>
        <v>0</v>
      </c>
      <c r="P968" s="1110" t="s">
        <v>3604</v>
      </c>
      <c r="Q968" s="1111" t="s">
        <v>2763</v>
      </c>
      <c r="T968" s="48"/>
      <c r="U968" s="48"/>
      <c r="V968" s="48"/>
      <c r="W968" s="48"/>
    </row>
    <row r="969" spans="1:23" ht="15.6" hidden="1" customHeight="1" x14ac:dyDescent="0.2">
      <c r="A969" s="245"/>
      <c r="B969" s="48" t="s">
        <v>1722</v>
      </c>
      <c r="G969" s="199">
        <v>0</v>
      </c>
      <c r="I969" s="199">
        <v>0</v>
      </c>
      <c r="K969" s="199">
        <f t="shared" si="18"/>
        <v>0</v>
      </c>
      <c r="P969" s="1110" t="s">
        <v>3605</v>
      </c>
      <c r="Q969" s="1111" t="s">
        <v>2763</v>
      </c>
      <c r="T969" s="48"/>
      <c r="U969" s="48"/>
      <c r="V969" s="48"/>
      <c r="W969" s="48"/>
    </row>
    <row r="970" spans="1:23" ht="15.6" hidden="1" customHeight="1" x14ac:dyDescent="0.2">
      <c r="A970" s="245"/>
      <c r="B970" s="48" t="s">
        <v>1723</v>
      </c>
      <c r="G970" s="199">
        <v>0</v>
      </c>
      <c r="I970" s="199">
        <v>0</v>
      </c>
      <c r="K970" s="199">
        <f t="shared" si="18"/>
        <v>0</v>
      </c>
      <c r="P970" s="1110" t="s">
        <v>3606</v>
      </c>
      <c r="Q970" s="1111" t="s">
        <v>2763</v>
      </c>
      <c r="T970" s="48"/>
      <c r="U970" s="48"/>
      <c r="V970" s="48"/>
      <c r="W970" s="48"/>
    </row>
    <row r="971" spans="1:23" ht="15.6" hidden="1" customHeight="1" x14ac:dyDescent="0.2">
      <c r="A971" s="1556"/>
      <c r="B971" s="655" t="s">
        <v>1724</v>
      </c>
      <c r="C971" s="655"/>
      <c r="D971" s="656"/>
      <c r="E971" s="655"/>
      <c r="F971" s="656"/>
      <c r="G971" s="661">
        <v>0</v>
      </c>
      <c r="H971" s="656"/>
      <c r="I971" s="661">
        <v>0</v>
      </c>
      <c r="J971" s="661"/>
      <c r="K971" s="661">
        <f t="shared" si="18"/>
        <v>0</v>
      </c>
      <c r="L971" s="655"/>
      <c r="P971" s="1110" t="s">
        <v>3607</v>
      </c>
      <c r="Q971" s="1111" t="s">
        <v>2763</v>
      </c>
      <c r="T971" s="48"/>
      <c r="U971" s="48"/>
      <c r="V971" s="48"/>
      <c r="W971" s="48"/>
    </row>
    <row r="972" spans="1:23" ht="15.6" hidden="1" customHeight="1" x14ac:dyDescent="0.2">
      <c r="A972" s="245"/>
      <c r="G972" s="246"/>
      <c r="I972" s="246"/>
      <c r="K972" s="246"/>
      <c r="T972" s="48"/>
      <c r="U972" s="48"/>
      <c r="V972" s="48"/>
      <c r="W972" s="48"/>
    </row>
    <row r="973" spans="1:23" ht="15.6" hidden="1" customHeight="1" thickBot="1" x14ac:dyDescent="0.25">
      <c r="A973" s="245"/>
      <c r="G973" s="280">
        <f>SUM(G964:G972)</f>
        <v>0</v>
      </c>
      <c r="I973" s="280">
        <f>SUM(I964:I972)</f>
        <v>0</v>
      </c>
      <c r="K973" s="250">
        <f>SUM(K964:K972)</f>
        <v>0</v>
      </c>
      <c r="T973" s="48"/>
      <c r="U973" s="48"/>
      <c r="V973" s="48"/>
      <c r="W973" s="48"/>
    </row>
    <row r="974" spans="1:23" ht="15.6" hidden="1" customHeight="1" thickTop="1" x14ac:dyDescent="0.2">
      <c r="A974" s="245"/>
      <c r="B974" s="48" t="s">
        <v>589</v>
      </c>
      <c r="I974" s="57"/>
      <c r="K974" s="246">
        <f>SUM(K975:K981)</f>
        <v>0</v>
      </c>
      <c r="M974" s="1214" t="s">
        <v>1972</v>
      </c>
      <c r="T974" s="48"/>
      <c r="U974" s="48"/>
      <c r="V974" s="48"/>
      <c r="W974" s="48"/>
    </row>
    <row r="975" spans="1:23" ht="15.6" hidden="1" customHeight="1" x14ac:dyDescent="0.2">
      <c r="A975" s="245"/>
      <c r="B975" s="48" t="s">
        <v>1725</v>
      </c>
      <c r="I975" s="57"/>
      <c r="K975" s="247">
        <v>0</v>
      </c>
      <c r="P975" s="1110" t="s">
        <v>3609</v>
      </c>
      <c r="Q975" s="1111" t="s">
        <v>2781</v>
      </c>
      <c r="T975" s="48"/>
      <c r="U975" s="48"/>
      <c r="V975" s="48"/>
      <c r="W975" s="48"/>
    </row>
    <row r="976" spans="1:23" ht="15.6" hidden="1" customHeight="1" x14ac:dyDescent="0.2">
      <c r="A976" s="1556"/>
      <c r="B976" s="655" t="s">
        <v>1726</v>
      </c>
      <c r="C976" s="655"/>
      <c r="D976" s="656"/>
      <c r="E976" s="655"/>
      <c r="F976" s="656"/>
      <c r="G976" s="656"/>
      <c r="H976" s="656"/>
      <c r="I976" s="656"/>
      <c r="J976" s="661"/>
      <c r="K976" s="673">
        <v>0</v>
      </c>
      <c r="L976" s="655"/>
      <c r="P976" s="1110" t="s">
        <v>3610</v>
      </c>
      <c r="Q976" s="1111" t="s">
        <v>2781</v>
      </c>
      <c r="T976" s="48"/>
      <c r="U976" s="48"/>
      <c r="V976" s="48"/>
      <c r="W976" s="48"/>
    </row>
    <row r="977" spans="1:23" ht="15.6" hidden="1" customHeight="1" x14ac:dyDescent="0.2">
      <c r="A977" s="245"/>
      <c r="B977" s="48" t="s">
        <v>1727</v>
      </c>
      <c r="I977" s="57"/>
      <c r="K977" s="186">
        <v>0</v>
      </c>
      <c r="P977" s="1110" t="s">
        <v>3611</v>
      </c>
      <c r="Q977" s="1111" t="s">
        <v>2781</v>
      </c>
      <c r="T977" s="48"/>
      <c r="U977" s="48"/>
      <c r="V977" s="48"/>
      <c r="W977" s="48"/>
    </row>
    <row r="978" spans="1:23" ht="15.6" hidden="1" customHeight="1" x14ac:dyDescent="0.2">
      <c r="A978" s="245"/>
      <c r="B978" s="48" t="s">
        <v>1728</v>
      </c>
      <c r="I978" s="57"/>
      <c r="K978" s="186">
        <v>0</v>
      </c>
      <c r="P978" s="1110" t="s">
        <v>3612</v>
      </c>
      <c r="Q978" s="1111" t="s">
        <v>2781</v>
      </c>
      <c r="T978" s="48"/>
      <c r="U978" s="48"/>
      <c r="V978" s="48"/>
      <c r="W978" s="48"/>
    </row>
    <row r="979" spans="1:23" ht="15.6" hidden="1" customHeight="1" x14ac:dyDescent="0.2">
      <c r="A979" s="245"/>
      <c r="B979" s="48" t="s">
        <v>1729</v>
      </c>
      <c r="I979" s="57"/>
      <c r="K979" s="186">
        <v>0</v>
      </c>
      <c r="P979" s="1110" t="s">
        <v>3613</v>
      </c>
      <c r="Q979" s="1111" t="s">
        <v>2781</v>
      </c>
      <c r="T979" s="48"/>
      <c r="U979" s="48"/>
      <c r="V979" s="48"/>
      <c r="W979" s="48"/>
    </row>
    <row r="980" spans="1:23" ht="15.6" hidden="1" customHeight="1" x14ac:dyDescent="0.2">
      <c r="A980" s="1556"/>
      <c r="B980" s="655" t="s">
        <v>1730</v>
      </c>
      <c r="C980" s="655"/>
      <c r="D980" s="656"/>
      <c r="E980" s="655"/>
      <c r="F980" s="656"/>
      <c r="G980" s="656"/>
      <c r="H980" s="656"/>
      <c r="I980" s="656"/>
      <c r="J980" s="661"/>
      <c r="K980" s="673">
        <v>0</v>
      </c>
      <c r="L980" s="655"/>
      <c r="N980" s="1134">
        <v>0</v>
      </c>
      <c r="P980" s="1110" t="s">
        <v>3614</v>
      </c>
      <c r="Q980" s="1111" t="s">
        <v>2781</v>
      </c>
      <c r="R980" s="1110" t="s">
        <v>3815</v>
      </c>
      <c r="S980" s="1111" t="s">
        <v>2763</v>
      </c>
      <c r="T980" s="48"/>
      <c r="U980" s="48"/>
      <c r="V980" s="48"/>
      <c r="W980" s="48"/>
    </row>
    <row r="981" spans="1:23" ht="15.6" hidden="1" customHeight="1" x14ac:dyDescent="0.2">
      <c r="A981" s="245"/>
      <c r="I981" s="57"/>
      <c r="K981" s="248"/>
      <c r="T981" s="48"/>
      <c r="U981" s="48"/>
      <c r="V981" s="48"/>
      <c r="W981" s="48"/>
    </row>
    <row r="982" spans="1:23" ht="5.0999999999999996" hidden="1" customHeight="1" x14ac:dyDescent="0.2">
      <c r="I982" s="57"/>
      <c r="J982" s="58"/>
      <c r="K982" s="216"/>
      <c r="L982" s="59"/>
      <c r="M982" s="1133"/>
      <c r="T982" s="48"/>
      <c r="U982" s="48"/>
      <c r="V982" s="48"/>
      <c r="W982" s="48"/>
    </row>
    <row r="983" spans="1:23" ht="15.6" hidden="1" customHeight="1" thickBot="1" x14ac:dyDescent="0.3">
      <c r="B983" s="50" t="s">
        <v>9</v>
      </c>
      <c r="C983" s="50"/>
      <c r="I983" s="57"/>
      <c r="K983" s="202">
        <f>+K973-K974</f>
        <v>0</v>
      </c>
      <c r="M983" s="1214" t="s">
        <v>2319</v>
      </c>
      <c r="P983" s="1115"/>
      <c r="T983" s="48"/>
      <c r="U983" s="48"/>
      <c r="V983" s="48"/>
      <c r="W983" s="48"/>
    </row>
    <row r="984" spans="1:23" ht="15.6" hidden="1" customHeight="1" thickTop="1" x14ac:dyDescent="0.2">
      <c r="I984" s="57"/>
      <c r="J984" s="218"/>
      <c r="K984" s="217">
        <v>0</v>
      </c>
      <c r="P984" s="1115"/>
      <c r="T984" s="48"/>
      <c r="U984" s="48"/>
      <c r="V984" s="48"/>
      <c r="W984" s="48"/>
    </row>
    <row r="985" spans="1:23" ht="15.6" hidden="1" customHeight="1" x14ac:dyDescent="0.25">
      <c r="D985" s="135"/>
      <c r="F985" s="135"/>
      <c r="G985" s="135" t="s">
        <v>191</v>
      </c>
      <c r="H985" s="135"/>
      <c r="I985" s="209" t="s">
        <v>190</v>
      </c>
      <c r="J985" s="209"/>
      <c r="K985" s="209" t="s">
        <v>193</v>
      </c>
      <c r="M985" s="1133"/>
      <c r="N985" s="1147"/>
      <c r="O985" s="1146"/>
      <c r="P985" s="1115"/>
      <c r="T985" s="48"/>
      <c r="U985" s="48"/>
      <c r="V985" s="48"/>
      <c r="W985" s="48"/>
    </row>
    <row r="986" spans="1:23" ht="15.6" hidden="1" customHeight="1" x14ac:dyDescent="0.25">
      <c r="B986" s="50"/>
      <c r="D986" s="135"/>
      <c r="F986" s="135"/>
      <c r="G986" s="135" t="s">
        <v>192</v>
      </c>
      <c r="H986" s="135"/>
      <c r="I986" s="209" t="s">
        <v>1022</v>
      </c>
      <c r="J986" s="209"/>
      <c r="K986" s="209" t="s">
        <v>192</v>
      </c>
      <c r="M986" s="1133"/>
      <c r="N986" s="1147"/>
      <c r="O986" s="1146"/>
      <c r="P986" s="1115"/>
      <c r="T986" s="48"/>
      <c r="U986" s="48"/>
      <c r="V986" s="48"/>
      <c r="W986" s="48"/>
    </row>
    <row r="987" spans="1:23" ht="15.6" hidden="1" customHeight="1" x14ac:dyDescent="0.25">
      <c r="B987" s="249"/>
      <c r="C987" s="50"/>
      <c r="E987" s="135"/>
      <c r="G987" s="209" t="s">
        <v>255</v>
      </c>
      <c r="H987" s="199"/>
      <c r="I987" s="209" t="s">
        <v>255</v>
      </c>
      <c r="K987" s="209" t="s">
        <v>255</v>
      </c>
      <c r="M987" s="1133"/>
      <c r="N987" s="301"/>
      <c r="O987" s="1146"/>
      <c r="P987" s="1115"/>
      <c r="T987" s="48"/>
      <c r="U987" s="48"/>
      <c r="V987" s="48"/>
      <c r="W987" s="48"/>
    </row>
    <row r="988" spans="1:23" ht="15.6" hidden="1" customHeight="1" x14ac:dyDescent="0.25">
      <c r="B988" s="50" t="str">
        <f>"As at "&amp;Parameters!C13</f>
        <v>As at 30 June 2011</v>
      </c>
      <c r="D988" s="199"/>
      <c r="F988" s="199"/>
      <c r="G988" s="199"/>
      <c r="H988" s="199"/>
      <c r="M988" s="1133"/>
      <c r="N988" s="1147"/>
      <c r="O988" s="1146"/>
      <c r="T988" s="48"/>
      <c r="U988" s="48"/>
      <c r="V988" s="48"/>
      <c r="W988" s="48"/>
    </row>
    <row r="989" spans="1:23" ht="15.6" hidden="1" customHeight="1" x14ac:dyDescent="0.2">
      <c r="D989" s="199"/>
      <c r="F989" s="199"/>
      <c r="G989" s="199"/>
      <c r="H989" s="199"/>
      <c r="M989" s="1133"/>
      <c r="N989" s="1147"/>
      <c r="O989" s="1146"/>
      <c r="T989" s="48"/>
      <c r="U989" s="48"/>
      <c r="V989" s="48"/>
      <c r="W989" s="48"/>
    </row>
    <row r="990" spans="1:23" ht="15.6" hidden="1" customHeight="1" x14ac:dyDescent="0.2">
      <c r="A990" s="245"/>
      <c r="B990" s="48" t="s">
        <v>1720</v>
      </c>
      <c r="G990" s="199">
        <v>0</v>
      </c>
      <c r="I990" s="199">
        <v>0</v>
      </c>
      <c r="K990" s="199">
        <f t="shared" ref="K990:K995" si="19">+G990-I990</f>
        <v>0</v>
      </c>
      <c r="O990" s="1146"/>
      <c r="P990" s="1110" t="s">
        <v>3603</v>
      </c>
      <c r="Q990" s="1111" t="s">
        <v>2765</v>
      </c>
      <c r="R990" s="1111" t="s">
        <v>3608</v>
      </c>
      <c r="S990" s="1111" t="s">
        <v>2790</v>
      </c>
      <c r="T990" s="48"/>
      <c r="U990" s="48"/>
      <c r="V990" s="48"/>
      <c r="W990" s="48"/>
    </row>
    <row r="991" spans="1:23" ht="15.6" hidden="1" customHeight="1" x14ac:dyDescent="0.2">
      <c r="A991" s="245"/>
      <c r="B991" s="48" t="s">
        <v>1719</v>
      </c>
      <c r="G991" s="199">
        <v>0</v>
      </c>
      <c r="I991" s="199">
        <v>0</v>
      </c>
      <c r="K991" s="199">
        <f t="shared" si="19"/>
        <v>0</v>
      </c>
      <c r="O991" s="1146"/>
      <c r="P991" s="1110" t="s">
        <v>3602</v>
      </c>
      <c r="Q991" s="1111" t="s">
        <v>2765</v>
      </c>
      <c r="T991" s="48"/>
      <c r="U991" s="48"/>
      <c r="V991" s="48"/>
      <c r="W991" s="48"/>
    </row>
    <row r="992" spans="1:23" ht="15.6" hidden="1" customHeight="1" x14ac:dyDescent="0.2">
      <c r="A992" s="245"/>
      <c r="B992" s="48" t="s">
        <v>1721</v>
      </c>
      <c r="G992" s="199">
        <v>0</v>
      </c>
      <c r="I992" s="199">
        <v>0</v>
      </c>
      <c r="K992" s="199">
        <f t="shared" si="19"/>
        <v>0</v>
      </c>
      <c r="O992" s="1146"/>
      <c r="P992" s="1110" t="s">
        <v>3604</v>
      </c>
      <c r="Q992" s="1111" t="s">
        <v>2765</v>
      </c>
      <c r="V992" s="48"/>
      <c r="W992" s="48"/>
    </row>
    <row r="993" spans="1:23" ht="15.6" hidden="1" customHeight="1" x14ac:dyDescent="0.2">
      <c r="A993" s="245"/>
      <c r="B993" s="48" t="s">
        <v>1722</v>
      </c>
      <c r="G993" s="199">
        <v>0</v>
      </c>
      <c r="I993" s="199">
        <v>0</v>
      </c>
      <c r="K993" s="199">
        <f t="shared" si="19"/>
        <v>0</v>
      </c>
      <c r="O993" s="1146"/>
      <c r="P993" s="1110" t="s">
        <v>3605</v>
      </c>
      <c r="Q993" s="1111" t="s">
        <v>2765</v>
      </c>
      <c r="T993" s="1110"/>
      <c r="U993" s="1111"/>
      <c r="V993" s="48"/>
      <c r="W993" s="48"/>
    </row>
    <row r="994" spans="1:23" ht="15.6" hidden="1" customHeight="1" x14ac:dyDescent="0.2">
      <c r="A994" s="245"/>
      <c r="B994" s="48" t="s">
        <v>1723</v>
      </c>
      <c r="G994" s="199">
        <v>0</v>
      </c>
      <c r="I994" s="199">
        <v>0</v>
      </c>
      <c r="K994" s="199">
        <f t="shared" si="19"/>
        <v>0</v>
      </c>
      <c r="N994" s="1134">
        <v>0</v>
      </c>
      <c r="O994" s="1146"/>
      <c r="P994" s="1110" t="s">
        <v>3606</v>
      </c>
      <c r="Q994" s="1111" t="s">
        <v>2765</v>
      </c>
      <c r="T994" s="1110" t="s">
        <v>3616</v>
      </c>
      <c r="U994" s="1111" t="s">
        <v>2775</v>
      </c>
      <c r="V994" s="48"/>
      <c r="W994" s="48"/>
    </row>
    <row r="995" spans="1:23" ht="15.6" hidden="1" customHeight="1" x14ac:dyDescent="0.2">
      <c r="A995" s="245"/>
      <c r="B995" s="48" t="s">
        <v>1724</v>
      </c>
      <c r="G995" s="199">
        <v>0</v>
      </c>
      <c r="I995" s="199">
        <v>0</v>
      </c>
      <c r="K995" s="199">
        <f t="shared" si="19"/>
        <v>0</v>
      </c>
      <c r="O995" s="1146"/>
      <c r="P995" s="1110" t="s">
        <v>3607</v>
      </c>
      <c r="Q995" s="1111" t="s">
        <v>2765</v>
      </c>
      <c r="U995" s="1111"/>
      <c r="V995" s="48"/>
      <c r="W995" s="48"/>
    </row>
    <row r="996" spans="1:23" ht="15.6" hidden="1" customHeight="1" x14ac:dyDescent="0.2">
      <c r="A996" s="245"/>
      <c r="G996" s="246"/>
      <c r="I996" s="246"/>
      <c r="K996" s="246"/>
      <c r="O996" s="1146"/>
      <c r="V996" s="48"/>
      <c r="W996" s="48"/>
    </row>
    <row r="997" spans="1:23" ht="15.6" hidden="1" customHeight="1" thickBot="1" x14ac:dyDescent="0.25">
      <c r="A997" s="245"/>
      <c r="G997" s="280">
        <f>SUM(G988:G996)</f>
        <v>0</v>
      </c>
      <c r="I997" s="280">
        <f>SUM(I988:I996)</f>
        <v>0</v>
      </c>
      <c r="K997" s="250">
        <f>SUM(K988:K996)</f>
        <v>0</v>
      </c>
      <c r="N997" s="1574">
        <f>SUM(N985:N996)</f>
        <v>0</v>
      </c>
      <c r="O997" s="1146"/>
      <c r="V997" s="48"/>
      <c r="W997" s="48"/>
    </row>
    <row r="998" spans="1:23" ht="15.6" hidden="1" customHeight="1" thickTop="1" x14ac:dyDescent="0.2">
      <c r="A998" s="245"/>
      <c r="B998" s="48" t="s">
        <v>589</v>
      </c>
      <c r="I998" s="57"/>
      <c r="K998" s="246">
        <f>SUM(K999:K1005)</f>
        <v>0</v>
      </c>
      <c r="M998" s="1214" t="s">
        <v>1972</v>
      </c>
      <c r="N998" s="1134">
        <v>0</v>
      </c>
      <c r="O998" s="1146"/>
      <c r="T998" s="1110" t="s">
        <v>3617</v>
      </c>
      <c r="U998" s="1111" t="s">
        <v>2799</v>
      </c>
      <c r="V998" s="48"/>
      <c r="W998" s="48"/>
    </row>
    <row r="999" spans="1:23" ht="15.6" hidden="1" customHeight="1" x14ac:dyDescent="0.2">
      <c r="A999" s="245"/>
      <c r="B999" s="48" t="s">
        <v>1725</v>
      </c>
      <c r="I999" s="57"/>
      <c r="K999" s="247">
        <v>0</v>
      </c>
      <c r="O999" s="1146"/>
      <c r="P999" s="1110" t="s">
        <v>3609</v>
      </c>
      <c r="Q999" s="1111" t="s">
        <v>2790</v>
      </c>
      <c r="T999" s="1110"/>
      <c r="U999" s="1111"/>
      <c r="V999" s="48"/>
      <c r="W999" s="48"/>
    </row>
    <row r="1000" spans="1:23" ht="15.6" hidden="1" customHeight="1" x14ac:dyDescent="0.2">
      <c r="A1000" s="245"/>
      <c r="B1000" s="48" t="s">
        <v>1726</v>
      </c>
      <c r="I1000" s="57"/>
      <c r="K1000" s="186">
        <v>0</v>
      </c>
      <c r="P1000" s="1110" t="s">
        <v>3610</v>
      </c>
      <c r="Q1000" s="1111" t="s">
        <v>2790</v>
      </c>
      <c r="V1000" s="48"/>
      <c r="W1000" s="48"/>
    </row>
    <row r="1001" spans="1:23" ht="15.6" hidden="1" customHeight="1" x14ac:dyDescent="0.2">
      <c r="A1001" s="245"/>
      <c r="B1001" s="48" t="s">
        <v>1727</v>
      </c>
      <c r="I1001" s="57"/>
      <c r="K1001" s="186">
        <v>0</v>
      </c>
      <c r="P1001" s="1110" t="s">
        <v>3611</v>
      </c>
      <c r="Q1001" s="1111" t="s">
        <v>2790</v>
      </c>
      <c r="V1001" s="48"/>
      <c r="W1001" s="48"/>
    </row>
    <row r="1002" spans="1:23" ht="15.6" hidden="1" customHeight="1" x14ac:dyDescent="0.2">
      <c r="A1002" s="245"/>
      <c r="B1002" s="48" t="s">
        <v>1728</v>
      </c>
      <c r="I1002" s="57"/>
      <c r="K1002" s="186">
        <v>0</v>
      </c>
      <c r="P1002" s="1110" t="s">
        <v>3612</v>
      </c>
      <c r="Q1002" s="1111" t="s">
        <v>2790</v>
      </c>
      <c r="V1002" s="48"/>
      <c r="W1002" s="48"/>
    </row>
    <row r="1003" spans="1:23" ht="15.6" hidden="1" customHeight="1" x14ac:dyDescent="0.2">
      <c r="A1003" s="245"/>
      <c r="B1003" s="48" t="s">
        <v>1729</v>
      </c>
      <c r="I1003" s="57"/>
      <c r="K1003" s="186">
        <v>0</v>
      </c>
      <c r="P1003" s="1110" t="s">
        <v>3613</v>
      </c>
      <c r="Q1003" s="1111" t="s">
        <v>2790</v>
      </c>
      <c r="V1003" s="48"/>
      <c r="W1003" s="48"/>
    </row>
    <row r="1004" spans="1:23" ht="15.6" hidden="1" customHeight="1" x14ac:dyDescent="0.2">
      <c r="A1004" s="245"/>
      <c r="B1004" s="48" t="s">
        <v>1730</v>
      </c>
      <c r="I1004" s="57"/>
      <c r="K1004" s="186">
        <v>0</v>
      </c>
      <c r="P1004" s="1110" t="s">
        <v>3614</v>
      </c>
      <c r="Q1004" s="1111" t="s">
        <v>2790</v>
      </c>
      <c r="V1004" s="48"/>
      <c r="W1004" s="48"/>
    </row>
    <row r="1005" spans="1:23" ht="15.6" hidden="1" customHeight="1" x14ac:dyDescent="0.2">
      <c r="A1005" s="245"/>
      <c r="I1005" s="57"/>
      <c r="K1005" s="248"/>
      <c r="V1005" s="48"/>
      <c r="W1005" s="48"/>
    </row>
    <row r="1006" spans="1:23" ht="5.0999999999999996" hidden="1" customHeight="1" x14ac:dyDescent="0.2">
      <c r="I1006" s="57"/>
      <c r="J1006" s="58"/>
      <c r="K1006" s="216"/>
      <c r="L1006" s="59"/>
      <c r="M1006" s="1133"/>
      <c r="V1006" s="48"/>
      <c r="W1006" s="48"/>
    </row>
    <row r="1007" spans="1:23" ht="15.6" hidden="1" customHeight="1" thickBot="1" x14ac:dyDescent="0.3">
      <c r="B1007" s="50" t="s">
        <v>9</v>
      </c>
      <c r="C1007" s="50"/>
      <c r="I1007" s="57"/>
      <c r="K1007" s="202">
        <f>+K997-K998</f>
        <v>0</v>
      </c>
      <c r="M1007" s="1214" t="s">
        <v>2319</v>
      </c>
      <c r="V1007" s="48"/>
      <c r="W1007" s="48"/>
    </row>
    <row r="1008" spans="1:23" ht="15.6" hidden="1" customHeight="1" thickTop="1" x14ac:dyDescent="0.2">
      <c r="I1008" s="57"/>
      <c r="J1008" s="218"/>
      <c r="K1008" s="217">
        <v>0</v>
      </c>
      <c r="Q1008" s="48"/>
      <c r="R1008" s="48"/>
      <c r="S1008" s="48"/>
      <c r="T1008" s="48"/>
      <c r="U1008" s="48"/>
      <c r="V1008" s="48"/>
      <c r="W1008" s="48"/>
    </row>
    <row r="1009" spans="1:23" ht="30.95" hidden="1" customHeight="1" x14ac:dyDescent="0.2">
      <c r="A1009" s="781"/>
      <c r="B1009" s="2899" t="s">
        <v>2503</v>
      </c>
      <c r="C1009" s="2899"/>
      <c r="D1009" s="2899"/>
      <c r="E1009" s="2899"/>
      <c r="F1009" s="2899"/>
      <c r="G1009" s="2899"/>
      <c r="H1009" s="2899"/>
      <c r="I1009" s="2899"/>
      <c r="J1009" s="2899"/>
      <c r="K1009" s="2899"/>
      <c r="L1009" s="781"/>
      <c r="M1009" s="1133"/>
      <c r="N1009" s="1147"/>
      <c r="O1009" s="1133"/>
      <c r="Q1009" s="48"/>
      <c r="R1009" s="48"/>
      <c r="S1009" s="48"/>
      <c r="T1009" s="48"/>
      <c r="U1009" s="48"/>
      <c r="V1009" s="48"/>
      <c r="W1009" s="48"/>
    </row>
    <row r="1010" spans="1:23" ht="15.6" hidden="1" customHeight="1" x14ac:dyDescent="0.2">
      <c r="A1010" s="767"/>
      <c r="B1010" s="767"/>
      <c r="C1010" s="767"/>
      <c r="D1010" s="769"/>
      <c r="E1010" s="767"/>
      <c r="F1010" s="769"/>
      <c r="G1010" s="769"/>
      <c r="H1010" s="769"/>
      <c r="I1010" s="779"/>
      <c r="J1010" s="779"/>
      <c r="K1010" s="779"/>
      <c r="L1010" s="777"/>
      <c r="N1010" s="1471"/>
      <c r="P1010" s="1115"/>
      <c r="Q1010" s="48"/>
      <c r="R1010" s="48"/>
      <c r="S1010" s="48"/>
      <c r="T1010" s="48"/>
      <c r="U1010" s="48"/>
      <c r="V1010" s="48"/>
      <c r="W1010" s="48"/>
    </row>
    <row r="1011" spans="1:23" ht="30.95" hidden="1" customHeight="1" x14ac:dyDescent="0.2">
      <c r="A1011" s="781"/>
      <c r="B1011" s="2899" t="s">
        <v>2504</v>
      </c>
      <c r="C1011" s="2899"/>
      <c r="D1011" s="2899"/>
      <c r="E1011" s="2899"/>
      <c r="F1011" s="2899"/>
      <c r="G1011" s="2899"/>
      <c r="H1011" s="2899"/>
      <c r="I1011" s="2899"/>
      <c r="J1011" s="2899"/>
      <c r="K1011" s="2899"/>
      <c r="L1011" s="781"/>
      <c r="M1011" s="1133"/>
      <c r="N1011" s="1147"/>
      <c r="O1011" s="1133"/>
      <c r="P1011" s="1115"/>
      <c r="Q1011" s="48"/>
      <c r="R1011" s="48"/>
      <c r="S1011" s="48"/>
      <c r="T1011" s="48"/>
      <c r="U1011" s="48"/>
      <c r="V1011" s="48"/>
      <c r="W1011" s="48"/>
    </row>
    <row r="1012" spans="1:23" ht="15.6" hidden="1" customHeight="1" x14ac:dyDescent="0.2">
      <c r="A1012" s="767"/>
      <c r="B1012" s="767"/>
      <c r="C1012" s="767"/>
      <c r="D1012" s="769"/>
      <c r="E1012" s="767"/>
      <c r="F1012" s="769"/>
      <c r="G1012" s="769"/>
      <c r="H1012" s="769"/>
      <c r="I1012" s="779"/>
      <c r="J1012" s="779"/>
      <c r="K1012" s="779"/>
      <c r="L1012" s="777"/>
      <c r="N1012" s="1471"/>
      <c r="Q1012" s="48"/>
      <c r="R1012" s="48"/>
      <c r="S1012" s="48"/>
      <c r="T1012" s="48"/>
      <c r="U1012" s="48"/>
      <c r="V1012" s="48"/>
      <c r="W1012" s="48"/>
    </row>
    <row r="1013" spans="1:23" ht="15.6" hidden="1" customHeight="1" x14ac:dyDescent="0.25">
      <c r="A1013" s="745"/>
      <c r="B1013" s="2841" t="s">
        <v>2492</v>
      </c>
      <c r="C1013" s="2841"/>
      <c r="D1013" s="2841"/>
      <c r="E1013" s="2841"/>
      <c r="F1013" s="2841"/>
      <c r="G1013" s="2841"/>
      <c r="H1013" s="2841"/>
      <c r="I1013" s="2841"/>
      <c r="J1013" s="2841"/>
      <c r="K1013" s="2841"/>
      <c r="L1013" s="755"/>
      <c r="M1013" s="1133"/>
      <c r="N1013" s="1147"/>
      <c r="O1013" s="1146"/>
      <c r="Q1013" s="48"/>
      <c r="R1013" s="48"/>
      <c r="S1013" s="48"/>
      <c r="T1013" s="48"/>
      <c r="U1013" s="48"/>
      <c r="V1013" s="48"/>
      <c r="W1013" s="48"/>
    </row>
    <row r="1014" spans="1:23" ht="15.6" hidden="1" customHeight="1" x14ac:dyDescent="0.2">
      <c r="A1014" s="745"/>
      <c r="B1014" s="745"/>
      <c r="C1014" s="745"/>
      <c r="D1014" s="746"/>
      <c r="E1014" s="745"/>
      <c r="F1014" s="746"/>
      <c r="G1014" s="746"/>
      <c r="H1014" s="746"/>
      <c r="I1014" s="747"/>
      <c r="J1014" s="747"/>
      <c r="K1014" s="747"/>
      <c r="L1014" s="754"/>
      <c r="M1014" s="1133"/>
      <c r="N1014" s="1133"/>
      <c r="O1014" s="1146"/>
      <c r="P1014" s="1115"/>
      <c r="Q1014" s="48"/>
      <c r="R1014" s="48"/>
      <c r="S1014" s="48"/>
      <c r="T1014" s="48"/>
      <c r="U1014" s="48"/>
      <c r="V1014" s="48"/>
      <c r="W1014" s="48"/>
    </row>
    <row r="1015" spans="1:23" ht="15.6" hidden="1" customHeight="1" x14ac:dyDescent="0.25">
      <c r="B1015" s="50" t="s">
        <v>1733</v>
      </c>
      <c r="C1015" s="50"/>
      <c r="Q1015" s="48"/>
      <c r="R1015" s="48"/>
      <c r="S1015" s="48"/>
      <c r="T1015" s="48"/>
      <c r="U1015" s="48"/>
      <c r="V1015" s="48"/>
      <c r="W1015" s="48"/>
    </row>
    <row r="1016" spans="1:23" ht="46.5" hidden="1" customHeight="1" x14ac:dyDescent="0.2">
      <c r="A1016" s="201"/>
      <c r="B1016" s="2861" t="s">
        <v>1930</v>
      </c>
      <c r="C1016" s="2861"/>
      <c r="D1016" s="2861"/>
      <c r="E1016" s="2861"/>
      <c r="F1016" s="2861"/>
      <c r="G1016" s="2861"/>
      <c r="H1016" s="2861"/>
      <c r="I1016" s="2861"/>
      <c r="J1016" s="2861"/>
      <c r="K1016" s="2861"/>
      <c r="L1016" s="201"/>
      <c r="M1016" s="1217" t="s">
        <v>2319</v>
      </c>
      <c r="N1016" s="1147"/>
      <c r="O1016" s="1146"/>
      <c r="Q1016" s="48"/>
      <c r="R1016" s="48"/>
      <c r="S1016" s="48"/>
      <c r="T1016" s="48"/>
      <c r="U1016" s="48"/>
      <c r="V1016" s="48"/>
      <c r="W1016" s="48"/>
    </row>
    <row r="1017" spans="1:23" ht="15.6" hidden="1" customHeight="1" x14ac:dyDescent="0.25">
      <c r="I1017" s="58"/>
      <c r="J1017" s="200"/>
      <c r="K1017" s="58"/>
      <c r="M1017" s="1133"/>
      <c r="N1017" s="1147"/>
      <c r="O1017" s="1146"/>
      <c r="P1017" s="1115"/>
      <c r="Q1017" s="48"/>
      <c r="R1017" s="48"/>
      <c r="S1017" s="48"/>
      <c r="T1017" s="48"/>
      <c r="U1017" s="48"/>
      <c r="V1017" s="48"/>
      <c r="W1017" s="48"/>
    </row>
    <row r="1018" spans="1:23" ht="15.6" hidden="1" customHeight="1" x14ac:dyDescent="0.25">
      <c r="A1018" s="655"/>
      <c r="B1018" s="659" t="s">
        <v>1734</v>
      </c>
      <c r="C1018" s="659"/>
      <c r="D1018" s="656"/>
      <c r="E1018" s="655"/>
      <c r="F1018" s="656"/>
      <c r="G1018" s="656"/>
      <c r="H1018" s="656"/>
      <c r="I1018" s="661"/>
      <c r="J1018" s="661"/>
      <c r="K1018" s="661"/>
      <c r="L1018" s="655"/>
      <c r="Q1018" s="48"/>
      <c r="R1018" s="48"/>
      <c r="S1018" s="48"/>
      <c r="T1018" s="48"/>
      <c r="U1018" s="48"/>
      <c r="V1018" s="48"/>
      <c r="W1018" s="48"/>
    </row>
    <row r="1019" spans="1:23" ht="30.95" hidden="1" customHeight="1" x14ac:dyDescent="0.2">
      <c r="A1019" s="1505"/>
      <c r="B1019" s="2925" t="s">
        <v>1732</v>
      </c>
      <c r="C1019" s="2925"/>
      <c r="D1019" s="2925"/>
      <c r="E1019" s="2925"/>
      <c r="F1019" s="2925"/>
      <c r="G1019" s="2925"/>
      <c r="H1019" s="2925"/>
      <c r="I1019" s="2925"/>
      <c r="J1019" s="2925"/>
      <c r="K1019" s="2925"/>
      <c r="L1019" s="1505"/>
      <c r="M1019" s="1133"/>
      <c r="N1019" s="1147"/>
      <c r="O1019" s="1146"/>
      <c r="Q1019" s="48"/>
      <c r="R1019" s="48"/>
      <c r="S1019" s="48"/>
      <c r="T1019" s="48"/>
      <c r="U1019" s="48"/>
      <c r="V1019" s="48"/>
      <c r="W1019" s="48"/>
    </row>
    <row r="1020" spans="1:23" ht="15.6" hidden="1" customHeight="1" x14ac:dyDescent="0.25">
      <c r="A1020" s="655"/>
      <c r="B1020" s="655"/>
      <c r="C1020" s="655"/>
      <c r="D1020" s="656"/>
      <c r="E1020" s="655"/>
      <c r="F1020" s="656"/>
      <c r="G1020" s="656"/>
      <c r="H1020" s="656"/>
      <c r="I1020" s="658"/>
      <c r="J1020" s="657"/>
      <c r="K1020" s="658"/>
      <c r="L1020" s="655"/>
      <c r="M1020" s="1217" t="s">
        <v>2319</v>
      </c>
      <c r="N1020" s="1147"/>
      <c r="O1020" s="1146"/>
      <c r="P1020" s="1115"/>
      <c r="Q1020" s="48"/>
      <c r="R1020" s="48"/>
      <c r="S1020" s="48"/>
      <c r="T1020" s="48"/>
      <c r="U1020" s="48"/>
      <c r="V1020" s="48"/>
      <c r="W1020" s="48"/>
    </row>
    <row r="1021" spans="1:23" ht="15.6" hidden="1" customHeight="1" x14ac:dyDescent="0.25">
      <c r="B1021" s="50" t="s">
        <v>1735</v>
      </c>
      <c r="C1021" s="50"/>
      <c r="Q1021" s="48"/>
      <c r="R1021" s="48"/>
      <c r="S1021" s="48"/>
      <c r="T1021" s="48"/>
      <c r="U1021" s="48"/>
      <c r="V1021" s="48"/>
      <c r="W1021" s="48"/>
    </row>
    <row r="1022" spans="1:23" ht="30.95" hidden="1" customHeight="1" x14ac:dyDescent="0.2">
      <c r="A1022" s="201"/>
      <c r="B1022" s="2861" t="s">
        <v>2192</v>
      </c>
      <c r="C1022" s="2861"/>
      <c r="D1022" s="2861"/>
      <c r="E1022" s="2861"/>
      <c r="F1022" s="2861"/>
      <c r="G1022" s="2861"/>
      <c r="H1022" s="2861"/>
      <c r="I1022" s="2861"/>
      <c r="J1022" s="2861"/>
      <c r="K1022" s="2861"/>
      <c r="L1022" s="201"/>
      <c r="M1022" s="1217" t="s">
        <v>2319</v>
      </c>
      <c r="N1022" s="1147"/>
      <c r="O1022" s="1146"/>
      <c r="Q1022" s="48"/>
      <c r="R1022" s="48"/>
      <c r="S1022" s="48"/>
      <c r="T1022" s="48"/>
      <c r="U1022" s="48"/>
      <c r="V1022" s="48"/>
      <c r="W1022" s="48"/>
    </row>
    <row r="1023" spans="1:23" ht="15.6" hidden="1" customHeight="1" x14ac:dyDescent="0.25">
      <c r="I1023" s="58"/>
      <c r="J1023" s="200"/>
      <c r="K1023" s="58"/>
      <c r="M1023" s="1133"/>
      <c r="N1023" s="1147"/>
      <c r="O1023" s="1146"/>
      <c r="P1023" s="1115"/>
      <c r="Q1023" s="48"/>
      <c r="R1023" s="48"/>
      <c r="S1023" s="48"/>
      <c r="T1023" s="48"/>
      <c r="U1023" s="48"/>
      <c r="V1023" s="48"/>
      <c r="W1023" s="48"/>
    </row>
    <row r="1024" spans="1:23" ht="15.6" hidden="1" customHeight="1" x14ac:dyDescent="0.25">
      <c r="B1024" s="50" t="s">
        <v>1736</v>
      </c>
      <c r="C1024" s="50"/>
      <c r="Q1024" s="48"/>
      <c r="R1024" s="48"/>
      <c r="S1024" s="48"/>
      <c r="T1024" s="48"/>
      <c r="U1024" s="48"/>
      <c r="V1024" s="48"/>
      <c r="W1024" s="48"/>
    </row>
    <row r="1025" spans="1:23" ht="15.6" hidden="1" customHeight="1" x14ac:dyDescent="0.2">
      <c r="A1025" s="201"/>
      <c r="B1025" s="2861" t="s">
        <v>2615</v>
      </c>
      <c r="C1025" s="2861"/>
      <c r="D1025" s="2861"/>
      <c r="E1025" s="2861"/>
      <c r="F1025" s="2861"/>
      <c r="G1025" s="2861"/>
      <c r="H1025" s="2861"/>
      <c r="I1025" s="2861"/>
      <c r="J1025" s="2861"/>
      <c r="K1025" s="2861"/>
      <c r="L1025" s="201"/>
      <c r="M1025" s="1217" t="s">
        <v>2319</v>
      </c>
      <c r="N1025" s="1147"/>
      <c r="O1025" s="1146"/>
      <c r="Q1025" s="48"/>
      <c r="R1025" s="48"/>
      <c r="S1025" s="48"/>
      <c r="T1025" s="48"/>
      <c r="U1025" s="48"/>
      <c r="V1025" s="48"/>
      <c r="W1025" s="48"/>
    </row>
    <row r="1026" spans="1:23" ht="15.6" hidden="1" customHeight="1" x14ac:dyDescent="0.25">
      <c r="I1026" s="58"/>
      <c r="J1026" s="200"/>
      <c r="K1026" s="58"/>
      <c r="M1026" s="1133"/>
      <c r="N1026" s="1147"/>
      <c r="O1026" s="1146"/>
      <c r="P1026" s="1115"/>
      <c r="Q1026" s="48"/>
      <c r="R1026" s="48"/>
      <c r="S1026" s="48"/>
      <c r="T1026" s="48"/>
      <c r="U1026" s="48"/>
      <c r="V1026" s="48"/>
      <c r="W1026" s="48"/>
    </row>
    <row r="1027" spans="1:23" ht="15.6" hidden="1" customHeight="1" x14ac:dyDescent="0.25">
      <c r="B1027" s="50" t="s">
        <v>2130</v>
      </c>
      <c r="C1027" s="50"/>
      <c r="Q1027" s="48"/>
      <c r="R1027" s="48"/>
      <c r="S1027" s="48"/>
      <c r="T1027" s="48"/>
      <c r="U1027" s="48"/>
      <c r="V1027" s="48"/>
      <c r="W1027" s="48"/>
    </row>
    <row r="1028" spans="1:23" ht="46.5" hidden="1" customHeight="1" x14ac:dyDescent="0.2">
      <c r="A1028" s="201"/>
      <c r="B1028" s="2861" t="s">
        <v>2616</v>
      </c>
      <c r="C1028" s="2861"/>
      <c r="D1028" s="2861"/>
      <c r="E1028" s="2861"/>
      <c r="F1028" s="2861"/>
      <c r="G1028" s="2861"/>
      <c r="H1028" s="2861"/>
      <c r="I1028" s="2861"/>
      <c r="J1028" s="2861"/>
      <c r="K1028" s="2861"/>
      <c r="L1028" s="201"/>
      <c r="M1028" s="1217" t="s">
        <v>2319</v>
      </c>
      <c r="N1028" s="1147"/>
      <c r="O1028" s="1146"/>
      <c r="Q1028" s="48"/>
      <c r="R1028" s="48"/>
      <c r="S1028" s="48"/>
      <c r="T1028" s="48"/>
      <c r="U1028" s="48"/>
      <c r="V1028" s="48"/>
      <c r="W1028" s="48"/>
    </row>
    <row r="1029" spans="1:23" ht="15.6" hidden="1" customHeight="1" x14ac:dyDescent="0.25">
      <c r="I1029" s="58"/>
      <c r="J1029" s="200"/>
      <c r="K1029" s="58"/>
      <c r="M1029" s="1133"/>
      <c r="N1029" s="1147"/>
      <c r="O1029" s="1146"/>
      <c r="P1029" s="1115"/>
      <c r="Q1029" s="48"/>
      <c r="R1029" s="48"/>
      <c r="S1029" s="48"/>
      <c r="T1029" s="48"/>
      <c r="U1029" s="48"/>
      <c r="V1029" s="48"/>
      <c r="W1029" s="48"/>
    </row>
    <row r="1030" spans="1:23" ht="15.6" hidden="1" customHeight="1" x14ac:dyDescent="0.25">
      <c r="A1030" s="655"/>
      <c r="B1030" s="659" t="s">
        <v>1731</v>
      </c>
      <c r="C1030" s="659"/>
      <c r="D1030" s="656"/>
      <c r="E1030" s="655"/>
      <c r="F1030" s="656"/>
      <c r="G1030" s="656"/>
      <c r="H1030" s="656"/>
      <c r="I1030" s="661"/>
      <c r="J1030" s="661"/>
      <c r="K1030" s="661"/>
      <c r="L1030" s="655"/>
      <c r="Q1030" s="48"/>
      <c r="R1030" s="48"/>
      <c r="S1030" s="48"/>
      <c r="T1030" s="48"/>
      <c r="U1030" s="48"/>
      <c r="V1030" s="48"/>
      <c r="W1030" s="48"/>
    </row>
    <row r="1031" spans="1:23" ht="46.5" hidden="1" customHeight="1" x14ac:dyDescent="0.2">
      <c r="A1031" s="1505"/>
      <c r="B1031" s="2925" t="s">
        <v>1737</v>
      </c>
      <c r="C1031" s="2925"/>
      <c r="D1031" s="2925"/>
      <c r="E1031" s="2925"/>
      <c r="F1031" s="2925"/>
      <c r="G1031" s="2925"/>
      <c r="H1031" s="2925"/>
      <c r="I1031" s="2925"/>
      <c r="J1031" s="2925"/>
      <c r="K1031" s="2925"/>
      <c r="L1031" s="1505"/>
      <c r="M1031" s="1217" t="s">
        <v>2319</v>
      </c>
      <c r="N1031" s="1147"/>
      <c r="O1031" s="1146"/>
      <c r="P1031" s="1117"/>
      <c r="Q1031" s="48"/>
      <c r="R1031" s="48"/>
      <c r="S1031" s="48"/>
      <c r="T1031" s="48"/>
      <c r="U1031" s="48"/>
      <c r="V1031" s="48"/>
      <c r="W1031" s="48"/>
    </row>
    <row r="1032" spans="1:23" ht="15.6" hidden="1" customHeight="1" x14ac:dyDescent="0.25">
      <c r="A1032" s="655"/>
      <c r="B1032" s="655"/>
      <c r="C1032" s="655"/>
      <c r="D1032" s="656"/>
      <c r="E1032" s="655"/>
      <c r="F1032" s="656"/>
      <c r="G1032" s="656"/>
      <c r="H1032" s="656"/>
      <c r="I1032" s="658"/>
      <c r="J1032" s="657"/>
      <c r="K1032" s="658"/>
      <c r="L1032" s="655"/>
      <c r="M1032" s="1133"/>
      <c r="N1032" s="1147"/>
      <c r="O1032" s="1146"/>
      <c r="Q1032" s="48"/>
      <c r="R1032" s="48"/>
      <c r="S1032" s="48"/>
      <c r="T1032" s="48"/>
      <c r="U1032" s="48"/>
      <c r="V1032" s="48"/>
      <c r="W1032" s="48"/>
    </row>
    <row r="1033" spans="1:23" ht="15.6" hidden="1" customHeight="1" x14ac:dyDescent="0.2">
      <c r="A1033" s="201"/>
      <c r="B1033" s="2861" t="s">
        <v>2010</v>
      </c>
      <c r="C1033" s="2861"/>
      <c r="D1033" s="2861"/>
      <c r="E1033" s="2861"/>
      <c r="F1033" s="2861"/>
      <c r="G1033" s="2861"/>
      <c r="H1033" s="2861"/>
      <c r="I1033" s="2861"/>
      <c r="J1033" s="2861"/>
      <c r="K1033" s="2861"/>
      <c r="L1033" s="201"/>
      <c r="M1033" s="1133"/>
      <c r="N1033" s="1147"/>
      <c r="O1033" s="1133"/>
      <c r="P1033" s="1117"/>
      <c r="Q1033" s="48"/>
      <c r="R1033" s="48"/>
      <c r="S1033" s="48"/>
      <c r="T1033" s="48"/>
      <c r="U1033" s="48"/>
      <c r="V1033" s="48"/>
      <c r="W1033" s="48"/>
    </row>
    <row r="1034" spans="1:23" ht="15.6" hidden="1" customHeight="1" x14ac:dyDescent="0.25">
      <c r="I1034" s="200"/>
      <c r="J1034" s="200"/>
      <c r="K1034" s="200"/>
      <c r="L1034" s="210"/>
      <c r="M1034" s="1133"/>
      <c r="N1034" s="1133"/>
      <c r="O1034" s="1133"/>
      <c r="Q1034" s="48"/>
      <c r="R1034" s="48"/>
      <c r="S1034" s="48"/>
      <c r="T1034" s="48"/>
      <c r="U1034" s="48"/>
      <c r="V1034" s="48"/>
      <c r="W1034" s="48"/>
    </row>
    <row r="1035" spans="1:23" ht="15.6" hidden="1" customHeight="1" x14ac:dyDescent="0.2">
      <c r="A1035" s="201"/>
      <c r="B1035" s="2861" t="s">
        <v>2011</v>
      </c>
      <c r="C1035" s="2861"/>
      <c r="D1035" s="2861"/>
      <c r="E1035" s="2861"/>
      <c r="F1035" s="2861"/>
      <c r="G1035" s="2861"/>
      <c r="H1035" s="2861"/>
      <c r="I1035" s="2861"/>
      <c r="J1035" s="2861"/>
      <c r="K1035" s="2861"/>
      <c r="L1035" s="201"/>
      <c r="M1035" s="1217" t="s">
        <v>1907</v>
      </c>
      <c r="N1035" s="1147"/>
      <c r="O1035" s="1133"/>
      <c r="P1035" s="1117"/>
      <c r="Q1035" s="48"/>
      <c r="R1035" s="48"/>
      <c r="S1035" s="48"/>
      <c r="T1035" s="48"/>
      <c r="U1035" s="48"/>
      <c r="V1035" s="48"/>
      <c r="W1035" s="48"/>
    </row>
    <row r="1036" spans="1:23" ht="15" hidden="1" customHeight="1" x14ac:dyDescent="0.25">
      <c r="I1036" s="200"/>
      <c r="J1036" s="200"/>
      <c r="K1036" s="200"/>
      <c r="L1036" s="210"/>
      <c r="M1036" s="1133"/>
      <c r="N1036" s="1133"/>
      <c r="O1036" s="1133"/>
      <c r="Q1036" s="48"/>
      <c r="R1036" s="48"/>
      <c r="S1036" s="48"/>
      <c r="T1036" s="48"/>
      <c r="U1036" s="48"/>
      <c r="V1036" s="48"/>
      <c r="W1036" s="48"/>
    </row>
    <row r="1037" spans="1:23" ht="15.6" hidden="1" customHeight="1" x14ac:dyDescent="0.2">
      <c r="A1037" s="781"/>
      <c r="B1037" s="2899" t="s">
        <v>1524</v>
      </c>
      <c r="C1037" s="2899"/>
      <c r="D1037" s="2899"/>
      <c r="E1037" s="2899"/>
      <c r="F1037" s="2899"/>
      <c r="G1037" s="2899"/>
      <c r="H1037" s="2899"/>
      <c r="I1037" s="2899"/>
      <c r="J1037" s="2899"/>
      <c r="K1037" s="2899"/>
      <c r="L1037" s="781"/>
      <c r="M1037" s="1217" t="s">
        <v>822</v>
      </c>
      <c r="N1037" s="1147"/>
      <c r="O1037" s="1146"/>
      <c r="P1037" s="1115"/>
      <c r="Q1037" s="48"/>
      <c r="R1037" s="48"/>
      <c r="S1037" s="48"/>
      <c r="T1037" s="48"/>
      <c r="U1037" s="48"/>
      <c r="V1037" s="48"/>
      <c r="W1037" s="48"/>
    </row>
    <row r="1038" spans="1:23" ht="15.6" hidden="1" customHeight="1" x14ac:dyDescent="0.25">
      <c r="A1038" s="767"/>
      <c r="B1038" s="767"/>
      <c r="C1038" s="767"/>
      <c r="D1038" s="769"/>
      <c r="E1038" s="767"/>
      <c r="F1038" s="769"/>
      <c r="G1038" s="769"/>
      <c r="H1038" s="769"/>
      <c r="I1038" s="770"/>
      <c r="J1038" s="770"/>
      <c r="K1038" s="770"/>
      <c r="L1038" s="771"/>
      <c r="M1038" s="1133"/>
      <c r="N1038" s="1133"/>
      <c r="O1038" s="1133"/>
      <c r="Q1038" s="48"/>
      <c r="R1038" s="48"/>
      <c r="S1038" s="48"/>
      <c r="T1038" s="48"/>
      <c r="U1038" s="48"/>
      <c r="V1038" s="48"/>
      <c r="W1038" s="48"/>
    </row>
    <row r="1039" spans="1:23" ht="30.95" hidden="1" customHeight="1" x14ac:dyDescent="0.2">
      <c r="A1039" s="633"/>
      <c r="B1039" s="2867" t="s">
        <v>1008</v>
      </c>
      <c r="C1039" s="2867"/>
      <c r="D1039" s="2867"/>
      <c r="E1039" s="2867"/>
      <c r="F1039" s="2867"/>
      <c r="G1039" s="2867"/>
      <c r="H1039" s="2867"/>
      <c r="I1039" s="2867"/>
      <c r="J1039" s="2867"/>
      <c r="K1039" s="2867"/>
      <c r="L1039" s="633"/>
      <c r="M1039" s="1217" t="s">
        <v>822</v>
      </c>
      <c r="N1039" s="1147"/>
      <c r="O1039" s="1146"/>
      <c r="P1039" s="1115"/>
      <c r="Q1039" s="48"/>
      <c r="R1039" s="48"/>
      <c r="S1039" s="48"/>
      <c r="T1039" s="48"/>
      <c r="U1039" s="48"/>
      <c r="V1039" s="48"/>
      <c r="W1039" s="48"/>
    </row>
    <row r="1040" spans="1:23" ht="15.6" hidden="1" customHeight="1" x14ac:dyDescent="0.25">
      <c r="A1040" s="625"/>
      <c r="B1040" s="625"/>
      <c r="C1040" s="625"/>
      <c r="D1040" s="626"/>
      <c r="E1040" s="625"/>
      <c r="F1040" s="626"/>
      <c r="G1040" s="626"/>
      <c r="H1040" s="626"/>
      <c r="I1040" s="630"/>
      <c r="J1040" s="627"/>
      <c r="K1040" s="630"/>
      <c r="L1040" s="625"/>
      <c r="M1040" s="1133"/>
      <c r="N1040" s="1147"/>
      <c r="O1040" s="1146"/>
      <c r="P1040" s="1121"/>
    </row>
    <row r="1041" spans="1:23" ht="30.95" hidden="1" customHeight="1" x14ac:dyDescent="0.2">
      <c r="A1041" s="633"/>
      <c r="B1041" s="2867" t="s">
        <v>1009</v>
      </c>
      <c r="C1041" s="2867"/>
      <c r="D1041" s="2867"/>
      <c r="E1041" s="2867"/>
      <c r="F1041" s="2867"/>
      <c r="G1041" s="2867"/>
      <c r="H1041" s="2867"/>
      <c r="I1041" s="2867"/>
      <c r="J1041" s="2867"/>
      <c r="K1041" s="2867"/>
      <c r="L1041" s="633"/>
      <c r="M1041" s="1217" t="s">
        <v>822</v>
      </c>
      <c r="N1041" s="1147"/>
      <c r="O1041" s="1146"/>
      <c r="P1041" s="1115"/>
    </row>
    <row r="1042" spans="1:23" ht="15.6" hidden="1" customHeight="1" x14ac:dyDescent="0.25">
      <c r="A1042" s="625"/>
      <c r="B1042" s="625"/>
      <c r="C1042" s="625"/>
      <c r="D1042" s="626"/>
      <c r="E1042" s="625"/>
      <c r="F1042" s="626"/>
      <c r="G1042" s="626"/>
      <c r="H1042" s="626"/>
      <c r="I1042" s="630"/>
      <c r="J1042" s="627"/>
      <c r="K1042" s="630"/>
      <c r="L1042" s="625"/>
      <c r="M1042" s="1133"/>
      <c r="N1042" s="1147"/>
      <c r="O1042" s="1146"/>
      <c r="P1042" s="1115"/>
    </row>
    <row r="1043" spans="1:23" ht="15.6" hidden="1" customHeight="1" x14ac:dyDescent="0.25">
      <c r="A1043" s="50"/>
      <c r="D1043" s="48"/>
      <c r="F1043" s="48"/>
      <c r="H1043" s="209"/>
      <c r="I1043" s="1263">
        <f>Parameters!C17</f>
        <v>2012</v>
      </c>
      <c r="J1043" s="1190"/>
      <c r="K1043" s="1263">
        <f>Parameters!C19</f>
        <v>2011</v>
      </c>
      <c r="M1043" s="232" t="s">
        <v>803</v>
      </c>
      <c r="N1043" s="1224">
        <f>Parameters!C21</f>
        <v>2010</v>
      </c>
      <c r="O1043" s="1460"/>
      <c r="P1043" s="1115"/>
    </row>
    <row r="1044" spans="1:23" ht="15.6" hidden="1" customHeight="1" x14ac:dyDescent="0.25">
      <c r="I1044" s="209" t="s">
        <v>255</v>
      </c>
      <c r="J1044" s="200"/>
      <c r="K1044" s="209" t="s">
        <v>255</v>
      </c>
      <c r="L1044" s="210"/>
      <c r="M1044" s="1133"/>
      <c r="N1044" s="1147"/>
      <c r="O1044" s="1146"/>
      <c r="P1044" s="1117"/>
    </row>
    <row r="1045" spans="1:23" ht="15.6" hidden="1" customHeight="1" x14ac:dyDescent="0.2">
      <c r="J1045" s="57"/>
      <c r="M1045" s="1133"/>
      <c r="N1045" s="1147"/>
      <c r="O1045" s="1146"/>
    </row>
    <row r="1046" spans="1:23" ht="15.6" hidden="1" customHeight="1" x14ac:dyDescent="0.25">
      <c r="B1046" s="229" t="s">
        <v>4143</v>
      </c>
      <c r="C1046" s="50"/>
      <c r="D1046" s="199"/>
      <c r="F1046" s="199"/>
      <c r="G1046" s="199"/>
      <c r="H1046" s="199"/>
      <c r="M1046" s="1220" t="s">
        <v>1025</v>
      </c>
      <c r="N1046" s="1147"/>
      <c r="O1046" s="1133"/>
      <c r="W1046" s="1114" t="s">
        <v>3857</v>
      </c>
    </row>
    <row r="1047" spans="1:23" ht="15.6" hidden="1" customHeight="1" x14ac:dyDescent="0.25">
      <c r="I1047" s="200"/>
      <c r="J1047" s="200"/>
      <c r="K1047" s="200"/>
      <c r="L1047" s="210"/>
      <c r="M1047" s="1133"/>
      <c r="N1047" s="1133"/>
      <c r="O1047" s="1133"/>
    </row>
    <row r="1048" spans="1:23" ht="15.6" hidden="1" customHeight="1" x14ac:dyDescent="0.25">
      <c r="B1048" s="842" t="s">
        <v>1527</v>
      </c>
      <c r="C1048" s="50"/>
      <c r="D1048" s="199"/>
      <c r="F1048" s="199"/>
      <c r="G1048" s="199"/>
      <c r="H1048" s="199"/>
      <c r="O1048" s="1134"/>
    </row>
    <row r="1049" spans="1:23" ht="15.6" hidden="1" customHeight="1" x14ac:dyDescent="0.2">
      <c r="B1049" s="48" t="s">
        <v>1528</v>
      </c>
      <c r="D1049" s="199"/>
      <c r="F1049" s="199"/>
      <c r="G1049" s="199"/>
      <c r="H1049" s="199"/>
      <c r="I1049" s="206">
        <f>G966</f>
        <v>0</v>
      </c>
      <c r="K1049" s="206">
        <f>G990</f>
        <v>0</v>
      </c>
      <c r="O1049" s="1134"/>
    </row>
    <row r="1050" spans="1:23" ht="15.6" hidden="1" customHeight="1" x14ac:dyDescent="0.2">
      <c r="B1050" s="842" t="s">
        <v>1526</v>
      </c>
      <c r="D1050" s="199"/>
      <c r="F1050" s="199"/>
      <c r="G1050" s="199"/>
      <c r="H1050" s="199"/>
      <c r="I1050" s="206"/>
      <c r="K1050" s="206"/>
      <c r="O1050" s="1134"/>
    </row>
    <row r="1051" spans="1:23" ht="15.6" hidden="1" customHeight="1" x14ac:dyDescent="0.2">
      <c r="B1051" s="48" t="s">
        <v>293</v>
      </c>
      <c r="D1051" s="199"/>
      <c r="F1051" s="199"/>
      <c r="G1051" s="199"/>
      <c r="H1051" s="199"/>
      <c r="I1051" s="206">
        <v>0</v>
      </c>
      <c r="K1051" s="206">
        <v>0</v>
      </c>
      <c r="O1051" s="1134"/>
    </row>
    <row r="1052" spans="1:23" ht="15.6" hidden="1" customHeight="1" x14ac:dyDescent="0.2">
      <c r="B1052" s="48" t="s">
        <v>294</v>
      </c>
      <c r="D1052" s="199"/>
      <c r="F1052" s="199"/>
      <c r="G1052" s="199"/>
      <c r="H1052" s="199"/>
      <c r="I1052" s="206">
        <f>G969</f>
        <v>0</v>
      </c>
      <c r="K1052" s="206">
        <f>G993</f>
        <v>0</v>
      </c>
      <c r="O1052" s="1134"/>
    </row>
    <row r="1053" spans="1:23" ht="15.6" hidden="1" customHeight="1" x14ac:dyDescent="0.2">
      <c r="B1053" s="48" t="s">
        <v>295</v>
      </c>
      <c r="D1053" s="199"/>
      <c r="F1053" s="199"/>
      <c r="G1053" s="199"/>
      <c r="H1053" s="199"/>
      <c r="I1053" s="206">
        <v>0</v>
      </c>
      <c r="K1053" s="206">
        <v>0</v>
      </c>
      <c r="O1053" s="1134"/>
    </row>
    <row r="1054" spans="1:23" ht="15.6" hidden="1" customHeight="1" x14ac:dyDescent="0.2">
      <c r="B1054" s="61" t="s">
        <v>375</v>
      </c>
      <c r="C1054" s="61"/>
      <c r="D1054" s="199"/>
      <c r="F1054" s="199"/>
      <c r="G1054" s="199"/>
      <c r="H1054" s="199"/>
      <c r="I1054" s="843">
        <f>G973-SUM(I1049:I1053)</f>
        <v>0</v>
      </c>
      <c r="K1054" s="843">
        <f>G997-SUM(K1049:K1053)</f>
        <v>0</v>
      </c>
      <c r="O1054" s="1134"/>
      <c r="P1054" s="1115"/>
    </row>
    <row r="1055" spans="1:23" ht="15.6" hidden="1" customHeight="1" x14ac:dyDescent="0.25">
      <c r="B1055" s="50" t="s">
        <v>234</v>
      </c>
      <c r="C1055" s="50"/>
      <c r="D1055" s="199"/>
      <c r="F1055" s="199"/>
      <c r="G1055" s="199"/>
      <c r="H1055" s="199"/>
      <c r="I1055" s="844">
        <f>SUM(I1049:I1054)</f>
        <v>0</v>
      </c>
      <c r="K1055" s="844">
        <f>SUM(K1049:K1054)</f>
        <v>0</v>
      </c>
      <c r="O1055" s="1134"/>
      <c r="P1055" s="1115"/>
    </row>
    <row r="1056" spans="1:23" ht="15.6" hidden="1" customHeight="1" x14ac:dyDescent="0.2">
      <c r="D1056" s="199"/>
      <c r="F1056" s="199"/>
      <c r="G1056" s="199"/>
      <c r="H1056" s="199"/>
      <c r="I1056" s="252">
        <f>I1055-G973</f>
        <v>0</v>
      </c>
      <c r="K1056" s="252">
        <f>K1055-G997</f>
        <v>0</v>
      </c>
      <c r="O1056" s="1134"/>
    </row>
    <row r="1057" spans="2:23" ht="46.5" hidden="1" customHeight="1" x14ac:dyDescent="0.2">
      <c r="B1057" s="2839" t="s">
        <v>2621</v>
      </c>
      <c r="C1057" s="2839"/>
      <c r="D1057" s="2839"/>
      <c r="E1057" s="2839"/>
      <c r="F1057" s="2839"/>
      <c r="G1057" s="2839"/>
      <c r="H1057" s="56"/>
      <c r="I1057" s="56"/>
      <c r="J1057" s="56"/>
      <c r="K1057" s="56"/>
      <c r="L1057" s="59"/>
      <c r="M1057" s="1133"/>
      <c r="N1057" s="1147"/>
      <c r="O1057" s="1133"/>
    </row>
    <row r="1058" spans="2:23" ht="15.6" hidden="1" customHeight="1" x14ac:dyDescent="0.2">
      <c r="I1058" s="58"/>
      <c r="J1058" s="58"/>
      <c r="K1058" s="58"/>
      <c r="L1058" s="59"/>
      <c r="N1058" s="1471"/>
      <c r="O1058" s="1134"/>
    </row>
    <row r="1059" spans="2:23" ht="15.6" hidden="1" customHeight="1" x14ac:dyDescent="0.2">
      <c r="B1059" s="48" t="s">
        <v>293</v>
      </c>
      <c r="D1059" s="199"/>
      <c r="F1059" s="199"/>
      <c r="G1059" s="199"/>
      <c r="H1059" s="199"/>
      <c r="I1059" s="206">
        <f>I1051</f>
        <v>0</v>
      </c>
      <c r="K1059" s="206">
        <f>K1051</f>
        <v>0</v>
      </c>
      <c r="O1059" s="1134"/>
    </row>
    <row r="1060" spans="2:23" ht="15.6" hidden="1" customHeight="1" x14ac:dyDescent="0.2">
      <c r="B1060" s="48" t="s">
        <v>294</v>
      </c>
      <c r="D1060" s="199"/>
      <c r="F1060" s="199"/>
      <c r="G1060" s="199"/>
      <c r="H1060" s="199"/>
      <c r="I1060" s="206">
        <f>I1052</f>
        <v>0</v>
      </c>
      <c r="K1060" s="206">
        <f>K1052</f>
        <v>0</v>
      </c>
      <c r="O1060" s="1134"/>
    </row>
    <row r="1061" spans="2:23" ht="15.6" hidden="1" customHeight="1" x14ac:dyDescent="0.2">
      <c r="B1061" s="61" t="s">
        <v>1345</v>
      </c>
      <c r="D1061" s="199"/>
      <c r="F1061" s="199"/>
      <c r="G1061" s="199"/>
      <c r="H1061" s="199"/>
      <c r="I1061" s="206">
        <f>I1053</f>
        <v>0</v>
      </c>
      <c r="K1061" s="206">
        <f>K1053</f>
        <v>0</v>
      </c>
      <c r="O1061" s="1134"/>
    </row>
    <row r="1062" spans="2:23" ht="15.6" hidden="1" customHeight="1" x14ac:dyDescent="0.2">
      <c r="B1062" s="61" t="s">
        <v>375</v>
      </c>
      <c r="D1062" s="199"/>
      <c r="F1062" s="199"/>
      <c r="G1062" s="199"/>
      <c r="H1062" s="199"/>
      <c r="I1062" s="843">
        <f>I1054</f>
        <v>0</v>
      </c>
      <c r="K1062" s="843">
        <f>K1054</f>
        <v>0</v>
      </c>
      <c r="O1062" s="1134"/>
    </row>
    <row r="1063" spans="2:23" ht="15.6" hidden="1" customHeight="1" x14ac:dyDescent="0.25">
      <c r="B1063" s="50" t="s">
        <v>234</v>
      </c>
      <c r="C1063" s="50"/>
      <c r="D1063" s="199"/>
      <c r="F1063" s="199"/>
      <c r="G1063" s="199"/>
      <c r="H1063" s="199"/>
      <c r="I1063" s="844">
        <f>SUM(I1059:I1062)</f>
        <v>0</v>
      </c>
      <c r="K1063" s="844">
        <f>SUM(K1059:K1062)</f>
        <v>0</v>
      </c>
      <c r="O1063" s="1134"/>
    </row>
    <row r="1064" spans="2:23" ht="15.6" hidden="1" customHeight="1" x14ac:dyDescent="0.2">
      <c r="D1064" s="199"/>
      <c r="F1064" s="199"/>
      <c r="G1064" s="199"/>
      <c r="H1064" s="199"/>
      <c r="I1064" s="252">
        <f>I1063-G973+I1049</f>
        <v>0</v>
      </c>
      <c r="K1064" s="252">
        <f>K1063-G997+K1049</f>
        <v>0</v>
      </c>
      <c r="O1064" s="1134"/>
    </row>
    <row r="1065" spans="2:23" ht="15.6" hidden="1" customHeight="1" x14ac:dyDescent="0.25">
      <c r="B1065" s="2853" t="s">
        <v>4144</v>
      </c>
      <c r="C1065" s="2853"/>
      <c r="D1065" s="2853"/>
      <c r="E1065" s="2853"/>
      <c r="F1065" s="2853"/>
      <c r="G1065" s="2853"/>
      <c r="I1065" s="200"/>
      <c r="J1065" s="200"/>
      <c r="K1065" s="200"/>
      <c r="L1065" s="210"/>
      <c r="M1065" s="1214" t="s">
        <v>2326</v>
      </c>
      <c r="W1065" s="1114" t="s">
        <v>3857</v>
      </c>
    </row>
    <row r="1066" spans="2:23" ht="15.6" hidden="1" customHeight="1" x14ac:dyDescent="0.25">
      <c r="I1066" s="209"/>
      <c r="J1066" s="200"/>
      <c r="K1066" s="209"/>
      <c r="L1066" s="210"/>
    </row>
    <row r="1067" spans="2:23" ht="15.6" hidden="1" customHeight="1" x14ac:dyDescent="0.25">
      <c r="B1067" s="48" t="s">
        <v>273</v>
      </c>
      <c r="I1067" s="206">
        <f>K1073</f>
        <v>0</v>
      </c>
      <c r="J1067" s="206"/>
      <c r="K1067" s="206">
        <f>N1073</f>
        <v>0</v>
      </c>
      <c r="L1067" s="210"/>
      <c r="M1067" s="1133"/>
    </row>
    <row r="1068" spans="2:23" ht="15.6" hidden="1" customHeight="1" x14ac:dyDescent="0.25">
      <c r="B1068" s="48" t="s">
        <v>1010</v>
      </c>
      <c r="I1068" s="206">
        <v>0</v>
      </c>
      <c r="J1068" s="206"/>
      <c r="K1068" s="206">
        <v>0</v>
      </c>
      <c r="L1068" s="210"/>
      <c r="M1068" s="1133"/>
      <c r="P1068" s="1110" t="s">
        <v>3618</v>
      </c>
      <c r="Q1068" s="1111" t="s">
        <v>2781</v>
      </c>
      <c r="R1068" s="1110" t="s">
        <v>3622</v>
      </c>
      <c r="S1068" s="1111" t="s">
        <v>2790</v>
      </c>
    </row>
    <row r="1069" spans="2:23" ht="15.6" hidden="1" customHeight="1" x14ac:dyDescent="0.25">
      <c r="B1069" s="48" t="s">
        <v>1011</v>
      </c>
      <c r="I1069" s="206">
        <v>0</v>
      </c>
      <c r="J1069" s="206"/>
      <c r="K1069" s="206">
        <v>0</v>
      </c>
      <c r="L1069" s="210"/>
      <c r="M1069" s="1133"/>
      <c r="P1069" s="1110" t="s">
        <v>3619</v>
      </c>
      <c r="Q1069" s="1111" t="s">
        <v>2781</v>
      </c>
      <c r="R1069" s="1110" t="s">
        <v>3623</v>
      </c>
      <c r="S1069" s="1111" t="s">
        <v>2790</v>
      </c>
    </row>
    <row r="1070" spans="2:23" ht="15.6" hidden="1" customHeight="1" x14ac:dyDescent="0.25">
      <c r="B1070" s="48" t="s">
        <v>1012</v>
      </c>
      <c r="I1070" s="206">
        <v>0</v>
      </c>
      <c r="J1070" s="206"/>
      <c r="K1070" s="206">
        <v>0</v>
      </c>
      <c r="L1070" s="210"/>
      <c r="M1070" s="1133"/>
      <c r="P1070" s="1110" t="s">
        <v>3620</v>
      </c>
      <c r="Q1070" s="1111" t="s">
        <v>2781</v>
      </c>
      <c r="R1070" s="1110" t="s">
        <v>3624</v>
      </c>
      <c r="S1070" s="1111" t="s">
        <v>2790</v>
      </c>
    </row>
    <row r="1071" spans="2:23" ht="15.6" hidden="1" customHeight="1" x14ac:dyDescent="0.25">
      <c r="B1071" s="48" t="s">
        <v>1013</v>
      </c>
      <c r="I1071" s="206">
        <v>0</v>
      </c>
      <c r="J1071" s="206"/>
      <c r="K1071" s="206">
        <v>0</v>
      </c>
      <c r="L1071" s="210"/>
      <c r="M1071" s="1133"/>
      <c r="P1071" s="1110" t="s">
        <v>3621</v>
      </c>
      <c r="Q1071" s="1111" t="s">
        <v>2781</v>
      </c>
      <c r="R1071" s="1110" t="s">
        <v>3625</v>
      </c>
      <c r="S1071" s="1111" t="s">
        <v>2790</v>
      </c>
    </row>
    <row r="1072" spans="2:23" ht="15.6" hidden="1" customHeight="1" x14ac:dyDescent="0.25">
      <c r="I1072" s="206"/>
      <c r="J1072" s="206"/>
      <c r="K1072" s="206"/>
      <c r="L1072" s="210"/>
      <c r="M1072" s="1133"/>
      <c r="P1072" s="1117"/>
    </row>
    <row r="1073" spans="1:27" ht="15.6" hidden="1" customHeight="1" thickBot="1" x14ac:dyDescent="0.3">
      <c r="B1073" s="50" t="s">
        <v>274</v>
      </c>
      <c r="C1073" s="50"/>
      <c r="I1073" s="222">
        <f>SUM(I1067:I1072)</f>
        <v>0</v>
      </c>
      <c r="J1073" s="200"/>
      <c r="K1073" s="222">
        <f>SUM(K1067:K1072)</f>
        <v>0</v>
      </c>
      <c r="L1073" s="210"/>
      <c r="M1073" s="1133"/>
      <c r="N1073" s="1134">
        <v>0</v>
      </c>
      <c r="O1073" s="1134"/>
      <c r="P1073" s="1117" t="s">
        <v>3615</v>
      </c>
      <c r="Q1073" s="1111" t="s">
        <v>2799</v>
      </c>
    </row>
    <row r="1074" spans="1:27" ht="15.6" hidden="1" customHeight="1" thickTop="1" x14ac:dyDescent="0.2">
      <c r="I1074" s="217">
        <v>0</v>
      </c>
      <c r="J1074" s="218"/>
      <c r="K1074" s="217">
        <v>0</v>
      </c>
      <c r="L1074" s="59"/>
      <c r="M1074" s="1133"/>
      <c r="P1074" s="1117"/>
    </row>
    <row r="1075" spans="1:27" ht="123.95" hidden="1" customHeight="1" x14ac:dyDescent="0.2">
      <c r="A1075" s="625"/>
      <c r="B1075" s="2854" t="s">
        <v>2327</v>
      </c>
      <c r="C1075" s="2854"/>
      <c r="D1075" s="2854"/>
      <c r="E1075" s="2854"/>
      <c r="F1075" s="2854"/>
      <c r="G1075" s="2854"/>
      <c r="H1075" s="632"/>
      <c r="I1075" s="632"/>
      <c r="J1075" s="632"/>
      <c r="K1075" s="632"/>
      <c r="L1075" s="625"/>
      <c r="M1075" s="1220" t="s">
        <v>2240</v>
      </c>
      <c r="N1075" s="1147"/>
      <c r="O1075" s="1146"/>
      <c r="P1075" s="1117"/>
    </row>
    <row r="1076" spans="1:27" ht="77.45" hidden="1" customHeight="1" x14ac:dyDescent="0.2">
      <c r="A1076" s="767"/>
      <c r="B1076" s="2855" t="s">
        <v>1014</v>
      </c>
      <c r="C1076" s="2855"/>
      <c r="D1076" s="2855"/>
      <c r="E1076" s="2855"/>
      <c r="F1076" s="2855"/>
      <c r="G1076" s="2855"/>
      <c r="H1076" s="768"/>
      <c r="I1076" s="768"/>
      <c r="J1076" s="768"/>
      <c r="K1076" s="768"/>
      <c r="L1076" s="767"/>
      <c r="M1076" s="1220" t="s">
        <v>2240</v>
      </c>
      <c r="N1076" s="1147"/>
      <c r="O1076" s="1146"/>
      <c r="P1076" s="1117"/>
    </row>
    <row r="1077" spans="1:27" ht="15.6" hidden="1" customHeight="1" x14ac:dyDescent="0.25">
      <c r="A1077" s="767"/>
      <c r="B1077" s="767"/>
      <c r="C1077" s="767"/>
      <c r="D1077" s="769"/>
      <c r="E1077" s="767"/>
      <c r="F1077" s="769"/>
      <c r="G1077" s="769"/>
      <c r="H1077" s="769"/>
      <c r="I1077" s="770"/>
      <c r="J1077" s="770"/>
      <c r="K1077" s="770"/>
      <c r="L1077" s="771"/>
      <c r="M1077" s="1133"/>
      <c r="N1077" s="1133"/>
      <c r="O1077" s="1146"/>
    </row>
    <row r="1078" spans="1:27" ht="77.45" hidden="1" customHeight="1" x14ac:dyDescent="0.2">
      <c r="A1078" s="767"/>
      <c r="B1078" s="2855" t="s">
        <v>1015</v>
      </c>
      <c r="C1078" s="2855"/>
      <c r="D1078" s="2855"/>
      <c r="E1078" s="2855"/>
      <c r="F1078" s="2855"/>
      <c r="G1078" s="2855"/>
      <c r="H1078" s="768"/>
      <c r="I1078" s="768"/>
      <c r="J1078" s="768"/>
      <c r="K1078" s="768"/>
      <c r="L1078" s="767"/>
      <c r="M1078" s="1220" t="s">
        <v>2255</v>
      </c>
      <c r="N1078" s="1147"/>
      <c r="O1078" s="1146"/>
    </row>
    <row r="1079" spans="1:27" ht="15.6" hidden="1" customHeight="1" x14ac:dyDescent="0.25">
      <c r="A1079" s="767"/>
      <c r="B1079" s="767"/>
      <c r="C1079" s="767"/>
      <c r="D1079" s="769"/>
      <c r="E1079" s="767"/>
      <c r="F1079" s="769"/>
      <c r="G1079" s="769"/>
      <c r="H1079" s="769"/>
      <c r="I1079" s="770"/>
      <c r="J1079" s="770"/>
      <c r="K1079" s="770"/>
      <c r="L1079" s="771"/>
      <c r="M1079" s="1133"/>
      <c r="N1079" s="1133"/>
      <c r="O1079" s="1146"/>
    </row>
    <row r="1080" spans="1:27" ht="15.6" customHeight="1" x14ac:dyDescent="0.25">
      <c r="I1080" s="200"/>
      <c r="J1080" s="200"/>
      <c r="K1080" s="200"/>
      <c r="L1080" s="210"/>
      <c r="M1080" s="1133"/>
      <c r="N1080" s="1147"/>
      <c r="O1080" s="1592"/>
    </row>
    <row r="1081" spans="1:27" ht="15.6" customHeight="1" x14ac:dyDescent="0.25">
      <c r="A1081" s="211">
        <v>13</v>
      </c>
      <c r="B1081" s="50" t="s">
        <v>279</v>
      </c>
      <c r="C1081" s="50"/>
      <c r="M1081" s="1133"/>
      <c r="N1081" s="1147"/>
      <c r="O1081" s="1592"/>
      <c r="W1081" s="1114" t="s">
        <v>3520</v>
      </c>
    </row>
    <row r="1082" spans="1:27" ht="15.6" customHeight="1" x14ac:dyDescent="0.25">
      <c r="A1082" s="211"/>
      <c r="B1082" s="50"/>
      <c r="C1082" s="50"/>
      <c r="M1082" s="1133"/>
      <c r="N1082" s="1147"/>
      <c r="O1082" s="1592"/>
    </row>
    <row r="1083" spans="1:27" ht="15.6" customHeight="1" x14ac:dyDescent="0.2">
      <c r="B1083" s="48" t="s">
        <v>58</v>
      </c>
      <c r="I1083" s="58">
        <f>-'Trial Balance - FPos'!F109</f>
        <v>164402.49</v>
      </c>
      <c r="J1083" s="58"/>
      <c r="K1083" s="58">
        <f>-'Trial Balance - FPos'!C109</f>
        <v>163971.03999999998</v>
      </c>
      <c r="L1083" s="59"/>
      <c r="M1083" s="1217" t="s">
        <v>2319</v>
      </c>
      <c r="N1083" s="1147">
        <v>68563</v>
      </c>
      <c r="O1083" s="1592"/>
      <c r="P1083" s="1110" t="s">
        <v>3097</v>
      </c>
      <c r="Q1083" s="1111" t="s">
        <v>2763</v>
      </c>
      <c r="R1083" s="1110" t="s">
        <v>3098</v>
      </c>
      <c r="S1083" s="1111" t="s">
        <v>2765</v>
      </c>
      <c r="T1083" s="1110" t="s">
        <v>3099</v>
      </c>
      <c r="U1083" s="1112" t="s">
        <v>2775</v>
      </c>
    </row>
    <row r="1084" spans="1:27" ht="15.6" customHeight="1" x14ac:dyDescent="0.25">
      <c r="I1084" s="58"/>
      <c r="J1084" s="58"/>
      <c r="K1084" s="58"/>
      <c r="L1084" s="59"/>
      <c r="M1084" s="1133"/>
      <c r="N1084" s="1147"/>
      <c r="O1084" s="1592"/>
      <c r="X1084" s="50"/>
    </row>
    <row r="1085" spans="1:27" ht="15.6" customHeight="1" thickBot="1" x14ac:dyDescent="0.3">
      <c r="A1085" s="57"/>
      <c r="B1085" s="219" t="s">
        <v>280</v>
      </c>
      <c r="C1085" s="219"/>
      <c r="E1085" s="57"/>
      <c r="I1085" s="204">
        <f>SUM(I1083:I1084)</f>
        <v>164402.49</v>
      </c>
      <c r="J1085" s="58"/>
      <c r="K1085" s="204">
        <f>SUM(K1083:K1084)</f>
        <v>163971.03999999998</v>
      </c>
      <c r="L1085" s="57"/>
      <c r="M1085" s="1133"/>
      <c r="N1085" s="620">
        <f>SUM(N1083:N1084)</f>
        <v>68563</v>
      </c>
      <c r="O1085" s="1147"/>
    </row>
    <row r="1086" spans="1:27" ht="15.6" customHeight="1" thickTop="1" x14ac:dyDescent="0.25">
      <c r="I1086" s="217">
        <v>0</v>
      </c>
      <c r="J1086" s="218"/>
      <c r="K1086" s="217">
        <v>0</v>
      </c>
      <c r="M1086" s="1133"/>
      <c r="N1086" s="1147"/>
      <c r="O1086" s="1592"/>
      <c r="Y1086" s="50"/>
      <c r="Z1086" s="50"/>
      <c r="AA1086" s="50"/>
    </row>
    <row r="1087" spans="1:27" s="50" customFormat="1" ht="15.6" hidden="1" customHeight="1" thickBot="1" x14ac:dyDescent="0.3">
      <c r="B1087" s="50" t="s">
        <v>615</v>
      </c>
      <c r="D1087" s="219"/>
      <c r="F1087" s="219"/>
      <c r="G1087" s="219"/>
      <c r="H1087" s="219"/>
      <c r="I1087" s="2088">
        <v>0</v>
      </c>
      <c r="J1087" s="224"/>
      <c r="K1087" s="2088">
        <v>0</v>
      </c>
      <c r="L1087" s="225"/>
      <c r="M1087" s="235"/>
      <c r="N1087" s="1147"/>
      <c r="O1087" s="1592"/>
      <c r="P1087" s="1113"/>
      <c r="Q1087" s="1114"/>
      <c r="R1087" s="1114"/>
      <c r="S1087" s="1114"/>
      <c r="T1087" s="1114"/>
      <c r="U1087" s="316"/>
      <c r="V1087" s="234"/>
      <c r="W1087" s="1114"/>
      <c r="X1087" s="48"/>
      <c r="Y1087" s="48"/>
      <c r="Z1087" s="48"/>
      <c r="AA1087" s="48"/>
    </row>
    <row r="1088" spans="1:27" ht="15.6" hidden="1" customHeight="1" thickTop="1" x14ac:dyDescent="0.2">
      <c r="M1088" s="1133"/>
      <c r="N1088" s="1147"/>
      <c r="O1088" s="1592"/>
    </row>
    <row r="1089" spans="1:23" ht="15.6" hidden="1" customHeight="1" x14ac:dyDescent="0.2">
      <c r="A1089" s="979"/>
      <c r="B1089" s="2926" t="s">
        <v>2477</v>
      </c>
      <c r="C1089" s="2926"/>
      <c r="D1089" s="2926"/>
      <c r="E1089" s="2926"/>
      <c r="F1089" s="2926"/>
      <c r="G1089" s="2926"/>
      <c r="H1089" s="2926"/>
      <c r="I1089" s="2926"/>
      <c r="J1089" s="2926"/>
      <c r="K1089" s="2926"/>
      <c r="L1089" s="979"/>
      <c r="N1089" s="1147"/>
      <c r="O1089" s="1596"/>
    </row>
    <row r="1090" spans="1:23" ht="15.6" hidden="1" customHeight="1" x14ac:dyDescent="0.25">
      <c r="A1090" s="979"/>
      <c r="B1090" s="979"/>
      <c r="C1090" s="979"/>
      <c r="D1090" s="981"/>
      <c r="E1090" s="979"/>
      <c r="F1090" s="981"/>
      <c r="G1090" s="981"/>
      <c r="H1090" s="981"/>
      <c r="I1090" s="982"/>
      <c r="J1090" s="982"/>
      <c r="K1090" s="982"/>
      <c r="L1090" s="980"/>
      <c r="M1090" s="1133"/>
      <c r="N1090" s="1147"/>
      <c r="O1090" s="1596"/>
    </row>
    <row r="1091" spans="1:23" ht="62.1" customHeight="1" x14ac:dyDescent="0.2">
      <c r="B1091" s="2839" t="s">
        <v>913</v>
      </c>
      <c r="C1091" s="2839"/>
      <c r="D1091" s="2839"/>
      <c r="E1091" s="2839"/>
      <c r="F1091" s="2839"/>
      <c r="G1091" s="2839"/>
      <c r="H1091" s="56"/>
      <c r="I1091" s="56"/>
      <c r="J1091" s="56"/>
      <c r="K1091" s="56"/>
      <c r="N1091" s="1147"/>
      <c r="O1091" s="1596"/>
    </row>
    <row r="1092" spans="1:23" ht="15.6" customHeight="1" x14ac:dyDescent="0.25">
      <c r="I1092" s="200"/>
      <c r="J1092" s="200"/>
      <c r="K1092" s="200"/>
      <c r="L1092" s="210"/>
      <c r="M1092" s="1133"/>
      <c r="N1092" s="1147"/>
      <c r="O1092" s="1596"/>
    </row>
    <row r="1093" spans="1:23" ht="15.6" customHeight="1" x14ac:dyDescent="0.2">
      <c r="B1093" s="2839" t="s">
        <v>914</v>
      </c>
      <c r="C1093" s="2839"/>
      <c r="D1093" s="2839"/>
      <c r="E1093" s="2839"/>
      <c r="F1093" s="2839"/>
      <c r="G1093" s="2839"/>
      <c r="H1093" s="56"/>
      <c r="I1093" s="56"/>
      <c r="J1093" s="56"/>
      <c r="K1093" s="56"/>
      <c r="N1093" s="1147"/>
      <c r="O1093" s="1596"/>
    </row>
    <row r="1094" spans="1:23" ht="15.6" customHeight="1" x14ac:dyDescent="0.25">
      <c r="I1094" s="200"/>
      <c r="J1094" s="200"/>
      <c r="K1094" s="200"/>
      <c r="L1094" s="210"/>
      <c r="M1094" s="1133"/>
      <c r="N1094" s="1147"/>
      <c r="O1094" s="1596"/>
    </row>
    <row r="1095" spans="1:23" ht="30.95" hidden="1" customHeight="1" x14ac:dyDescent="0.2">
      <c r="A1095" s="625"/>
      <c r="B1095" s="2854" t="s">
        <v>915</v>
      </c>
      <c r="C1095" s="2854"/>
      <c r="D1095" s="2854"/>
      <c r="E1095" s="2854"/>
      <c r="F1095" s="2854"/>
      <c r="G1095" s="2854"/>
      <c r="H1095" s="632"/>
      <c r="I1095" s="632"/>
      <c r="J1095" s="632"/>
      <c r="K1095" s="632"/>
      <c r="L1095" s="625"/>
      <c r="N1095" s="1147"/>
      <c r="O1095" s="1596"/>
    </row>
    <row r="1096" spans="1:23" ht="15.6" hidden="1" customHeight="1" x14ac:dyDescent="0.25">
      <c r="A1096" s="625"/>
      <c r="B1096" s="625"/>
      <c r="C1096" s="625"/>
      <c r="D1096" s="626"/>
      <c r="E1096" s="625"/>
      <c r="F1096" s="626"/>
      <c r="G1096" s="626"/>
      <c r="H1096" s="626"/>
      <c r="I1096" s="627"/>
      <c r="J1096" s="627"/>
      <c r="K1096" s="627"/>
      <c r="L1096" s="628"/>
      <c r="M1096" s="1133"/>
      <c r="N1096" s="1147"/>
      <c r="O1096" s="1596"/>
    </row>
    <row r="1097" spans="1:23" ht="30.95" hidden="1" customHeight="1" x14ac:dyDescent="0.2">
      <c r="A1097" s="625"/>
      <c r="B1097" s="2854" t="s">
        <v>916</v>
      </c>
      <c r="C1097" s="2854"/>
      <c r="D1097" s="2854"/>
      <c r="E1097" s="2854"/>
      <c r="F1097" s="2854"/>
      <c r="G1097" s="2854"/>
      <c r="H1097" s="632"/>
      <c r="I1097" s="632"/>
      <c r="J1097" s="632"/>
      <c r="K1097" s="632"/>
      <c r="L1097" s="625"/>
      <c r="N1097" s="1147"/>
      <c r="O1097" s="1596"/>
    </row>
    <row r="1098" spans="1:23" ht="15.6" hidden="1" customHeight="1" x14ac:dyDescent="0.25">
      <c r="A1098" s="625"/>
      <c r="B1098" s="625"/>
      <c r="C1098" s="625"/>
      <c r="D1098" s="626"/>
      <c r="E1098" s="625"/>
      <c r="F1098" s="626"/>
      <c r="G1098" s="626"/>
      <c r="H1098" s="626"/>
      <c r="I1098" s="627"/>
      <c r="J1098" s="627"/>
      <c r="K1098" s="627"/>
      <c r="L1098" s="628"/>
      <c r="M1098" s="1133"/>
      <c r="N1098" s="1147"/>
      <c r="O1098" s="1596"/>
    </row>
    <row r="1099" spans="1:23" ht="15.6" hidden="1" customHeight="1" x14ac:dyDescent="0.2">
      <c r="M1099" s="1133"/>
      <c r="N1099" s="1147"/>
      <c r="O1099" s="1592"/>
    </row>
    <row r="1100" spans="1:23" ht="15.6" customHeight="1" x14ac:dyDescent="0.25">
      <c r="A1100" s="211">
        <v>14</v>
      </c>
      <c r="B1100" s="50" t="s">
        <v>616</v>
      </c>
      <c r="C1100" s="50"/>
      <c r="M1100" s="1133"/>
      <c r="N1100" s="1147"/>
      <c r="O1100" s="1592"/>
      <c r="W1100" s="1114" t="s">
        <v>3520</v>
      </c>
    </row>
    <row r="1101" spans="1:23" ht="15.6" customHeight="1" x14ac:dyDescent="0.25">
      <c r="A1101" s="211"/>
      <c r="B1101" s="50"/>
      <c r="C1101" s="50"/>
      <c r="M1101" s="1133"/>
      <c r="N1101" s="1147"/>
      <c r="O1101" s="1592"/>
    </row>
    <row r="1102" spans="1:23" ht="15.6" hidden="1" customHeight="1" x14ac:dyDescent="0.2">
      <c r="B1102" s="2045" t="s">
        <v>2721</v>
      </c>
      <c r="I1102" s="2043">
        <f>I1129</f>
        <v>0</v>
      </c>
      <c r="J1102" s="58"/>
      <c r="K1102" s="2043">
        <f>K1129</f>
        <v>0</v>
      </c>
      <c r="L1102" s="59"/>
      <c r="M1102" s="1214" t="s">
        <v>1973</v>
      </c>
      <c r="N1102" s="1147"/>
      <c r="O1102" s="1592"/>
    </row>
    <row r="1103" spans="1:23" ht="15.6" hidden="1" customHeight="1" x14ac:dyDescent="0.2">
      <c r="B1103" s="2045" t="s">
        <v>7404</v>
      </c>
      <c r="I1103" s="2043"/>
      <c r="J1103" s="58"/>
      <c r="K1103" s="2043"/>
      <c r="L1103" s="59"/>
      <c r="M1103" s="1214"/>
      <c r="N1103" s="1147"/>
      <c r="O1103" s="1592"/>
    </row>
    <row r="1104" spans="1:23" ht="15.6" hidden="1" customHeight="1" x14ac:dyDescent="0.25">
      <c r="B1104" s="2511" t="s">
        <v>2505</v>
      </c>
      <c r="C1104" s="2046"/>
      <c r="D1104" s="2077"/>
      <c r="E1104" s="2046"/>
      <c r="I1104" s="2078">
        <f>K1143</f>
        <v>0</v>
      </c>
      <c r="J1104" s="206"/>
      <c r="K1104" s="2078">
        <f>K1153</f>
        <v>0</v>
      </c>
      <c r="L1104" s="210"/>
      <c r="M1104" s="1133"/>
      <c r="N1104" s="1147"/>
      <c r="O1104" s="1592"/>
    </row>
    <row r="1105" spans="2:23" ht="15.6" customHeight="1" x14ac:dyDescent="0.2">
      <c r="B1105" s="2045" t="s">
        <v>7554</v>
      </c>
      <c r="I1105" s="212">
        <f>SUM(I1106:I1110)</f>
        <v>0</v>
      </c>
      <c r="J1105" s="58"/>
      <c r="K1105" s="212">
        <f>SUM(K1106:K1110)</f>
        <v>0</v>
      </c>
      <c r="L1105" s="59"/>
      <c r="M1105" s="1133"/>
      <c r="N1105" s="1147"/>
      <c r="O1105" s="1592"/>
      <c r="R1105" s="48"/>
      <c r="S1105" s="48"/>
      <c r="T1105" s="48"/>
      <c r="U1105" s="48"/>
      <c r="V1105" s="48"/>
      <c r="W1105" s="48"/>
    </row>
    <row r="1106" spans="2:23" ht="15.6" hidden="1" customHeight="1" x14ac:dyDescent="0.25">
      <c r="B1106" s="2046" t="s">
        <v>211</v>
      </c>
      <c r="I1106" s="2063">
        <f>C1143</f>
        <v>0</v>
      </c>
      <c r="J1106" s="206"/>
      <c r="K1106" s="2063">
        <f>C1153</f>
        <v>0</v>
      </c>
      <c r="L1106" s="210"/>
      <c r="M1106" s="1133"/>
      <c r="N1106" s="1147"/>
      <c r="O1106" s="1592"/>
      <c r="R1106" s="48"/>
      <c r="S1106" s="48"/>
      <c r="T1106" s="48"/>
      <c r="U1106" s="48"/>
      <c r="V1106" s="48"/>
      <c r="W1106" s="48"/>
    </row>
    <row r="1107" spans="2:23" ht="15.6" hidden="1" customHeight="1" x14ac:dyDescent="0.25">
      <c r="B1107" s="2046" t="s">
        <v>212</v>
      </c>
      <c r="I1107" s="2058">
        <f>E1143</f>
        <v>0</v>
      </c>
      <c r="J1107" s="206"/>
      <c r="K1107" s="2058">
        <f>E1153</f>
        <v>0</v>
      </c>
      <c r="L1107" s="210"/>
      <c r="M1107" s="1133"/>
      <c r="N1107" s="1147"/>
      <c r="O1107" s="1592"/>
      <c r="R1107" s="48"/>
      <c r="S1107" s="48"/>
      <c r="T1107" s="48"/>
      <c r="U1107" s="48"/>
      <c r="V1107" s="48"/>
      <c r="W1107" s="48"/>
    </row>
    <row r="1108" spans="2:23" ht="15.6" hidden="1" customHeight="1" x14ac:dyDescent="0.25">
      <c r="B1108" s="48" t="s">
        <v>656</v>
      </c>
      <c r="I1108" s="2058">
        <f>I1143</f>
        <v>0</v>
      </c>
      <c r="J1108" s="206"/>
      <c r="K1108" s="2058">
        <f>I1153</f>
        <v>0</v>
      </c>
      <c r="L1108" s="210"/>
      <c r="M1108" s="1133"/>
      <c r="N1108" s="1147"/>
      <c r="O1108" s="1592"/>
      <c r="R1108" s="48"/>
      <c r="S1108" s="48"/>
      <c r="T1108" s="48"/>
      <c r="U1108" s="48"/>
      <c r="V1108" s="48"/>
      <c r="W1108" s="48"/>
    </row>
    <row r="1109" spans="2:23" ht="15.6" customHeight="1" x14ac:dyDescent="0.25">
      <c r="B1109" s="48" t="s">
        <v>213</v>
      </c>
      <c r="I1109" s="227">
        <v>0</v>
      </c>
      <c r="J1109" s="206"/>
      <c r="K1109" s="227">
        <f>-K1732</f>
        <v>0</v>
      </c>
      <c r="L1109" s="210"/>
      <c r="M1109" s="1133"/>
      <c r="N1109" s="1147"/>
      <c r="O1109" s="1592"/>
      <c r="R1109" s="48"/>
      <c r="S1109" s="48"/>
      <c r="T1109" s="48"/>
      <c r="U1109" s="48"/>
      <c r="V1109" s="48"/>
      <c r="W1109" s="48"/>
    </row>
    <row r="1110" spans="2:23" ht="15.6" customHeight="1" x14ac:dyDescent="0.25">
      <c r="I1110" s="228"/>
      <c r="J1110" s="206"/>
      <c r="K1110" s="228"/>
      <c r="L1110" s="210"/>
      <c r="M1110" s="1133"/>
      <c r="N1110" s="1147"/>
      <c r="O1110" s="1592"/>
      <c r="R1110" s="48"/>
      <c r="S1110" s="48"/>
      <c r="T1110" s="48"/>
      <c r="U1110" s="48"/>
      <c r="V1110" s="48"/>
      <c r="W1110" s="48"/>
    </row>
    <row r="1111" spans="2:23" ht="5.0999999999999996" customHeight="1" x14ac:dyDescent="0.2">
      <c r="I1111" s="216"/>
      <c r="J1111" s="58"/>
      <c r="K1111" s="216"/>
      <c r="L1111" s="59"/>
      <c r="M1111" s="1133"/>
      <c r="N1111" s="1147"/>
      <c r="O1111" s="1592"/>
      <c r="R1111" s="48"/>
      <c r="S1111" s="48"/>
      <c r="T1111" s="48"/>
      <c r="U1111" s="48"/>
      <c r="V1111" s="48"/>
      <c r="W1111" s="48"/>
    </row>
    <row r="1112" spans="2:23" ht="15.6" customHeight="1" thickBot="1" x14ac:dyDescent="0.3">
      <c r="B1112" s="50" t="s">
        <v>617</v>
      </c>
      <c r="C1112" s="50"/>
      <c r="I1112" s="204">
        <f>SUM(I1102:I1105)</f>
        <v>0</v>
      </c>
      <c r="J1112" s="58"/>
      <c r="K1112" s="204">
        <f>SUM(K1102:K1105)</f>
        <v>0</v>
      </c>
      <c r="L1112" s="59"/>
      <c r="M1112" s="1133"/>
      <c r="N1112" s="1147">
        <v>0</v>
      </c>
      <c r="O1112" s="1147"/>
      <c r="P1112" s="1110" t="s">
        <v>3626</v>
      </c>
      <c r="Q1112" s="1111" t="s">
        <v>2775</v>
      </c>
      <c r="R1112" s="48"/>
      <c r="S1112" s="48"/>
      <c r="T1112" s="48"/>
      <c r="U1112" s="48"/>
      <c r="V1112" s="48"/>
      <c r="W1112" s="48"/>
    </row>
    <row r="1113" spans="2:23" ht="15.6" customHeight="1" thickTop="1" x14ac:dyDescent="0.2">
      <c r="I1113" s="217">
        <v>0</v>
      </c>
      <c r="J1113" s="218"/>
      <c r="K1113" s="217">
        <v>0</v>
      </c>
      <c r="L1113" s="59"/>
      <c r="M1113" s="1133"/>
      <c r="N1113" s="1147"/>
      <c r="O1113" s="1592"/>
      <c r="R1113" s="48"/>
      <c r="S1113" s="48"/>
      <c r="T1113" s="48"/>
      <c r="U1113" s="48"/>
      <c r="V1113" s="48"/>
      <c r="W1113" s="48"/>
    </row>
    <row r="1114" spans="2:23" ht="30.95" hidden="1" customHeight="1" x14ac:dyDescent="0.2">
      <c r="B1114" s="2840" t="s">
        <v>7472</v>
      </c>
      <c r="C1114" s="2840"/>
      <c r="D1114" s="2840"/>
      <c r="E1114" s="2840"/>
      <c r="F1114" s="2840"/>
      <c r="G1114" s="2840"/>
      <c r="H1114" s="56"/>
      <c r="I1114" s="56"/>
      <c r="J1114" s="56"/>
      <c r="K1114" s="56"/>
      <c r="L1114" s="59"/>
      <c r="M1114" s="1133"/>
      <c r="N1114" s="1147"/>
      <c r="O1114" s="1146"/>
      <c r="P1114" s="1115"/>
      <c r="R1114" s="48"/>
      <c r="S1114" s="48"/>
      <c r="T1114" s="48"/>
      <c r="U1114" s="48"/>
      <c r="V1114" s="48"/>
      <c r="W1114" s="48"/>
    </row>
    <row r="1115" spans="2:23" ht="15.6" hidden="1" customHeight="1" x14ac:dyDescent="0.2">
      <c r="I1115" s="58"/>
      <c r="J1115" s="58"/>
      <c r="K1115" s="58"/>
      <c r="L1115" s="59"/>
      <c r="N1115" s="1471"/>
      <c r="R1115" s="48"/>
      <c r="S1115" s="48"/>
      <c r="T1115" s="48"/>
      <c r="U1115" s="48"/>
      <c r="V1115" s="48"/>
      <c r="W1115" s="48"/>
    </row>
    <row r="1116" spans="2:23" ht="30.95" hidden="1" customHeight="1" x14ac:dyDescent="0.2">
      <c r="B1116" s="2840" t="s">
        <v>2559</v>
      </c>
      <c r="C1116" s="2840"/>
      <c r="D1116" s="2840"/>
      <c r="E1116" s="2840"/>
      <c r="F1116" s="2840"/>
      <c r="G1116" s="2840"/>
      <c r="H1116" s="56"/>
      <c r="I1116" s="56"/>
      <c r="J1116" s="56"/>
      <c r="K1116" s="56"/>
      <c r="N1116" s="1147"/>
      <c r="O1116" s="1592"/>
      <c r="R1116" s="48"/>
      <c r="S1116" s="48"/>
      <c r="T1116" s="48"/>
      <c r="U1116" s="48"/>
      <c r="V1116" s="48"/>
      <c r="W1116" s="48"/>
    </row>
    <row r="1117" spans="2:23" ht="46.5" hidden="1" customHeight="1" x14ac:dyDescent="0.2">
      <c r="B1117" s="2840" t="s">
        <v>2597</v>
      </c>
      <c r="C1117" s="2840"/>
      <c r="D1117" s="2840"/>
      <c r="E1117" s="2840"/>
      <c r="F1117" s="2840"/>
      <c r="G1117" s="2840"/>
      <c r="H1117" s="56"/>
      <c r="I1117" s="56"/>
      <c r="J1117" s="56"/>
      <c r="K1117" s="56"/>
      <c r="N1117" s="1147"/>
      <c r="O1117" s="1592"/>
      <c r="R1117" s="48"/>
      <c r="S1117" s="48"/>
      <c r="T1117" s="48"/>
      <c r="U1117" s="48"/>
      <c r="V1117" s="48"/>
      <c r="W1117" s="48"/>
    </row>
    <row r="1118" spans="2:23" ht="15.6" hidden="1" customHeight="1" x14ac:dyDescent="0.2">
      <c r="I1118" s="58"/>
      <c r="J1118" s="58"/>
      <c r="K1118" s="58"/>
      <c r="L1118" s="59"/>
      <c r="M1118" s="1133"/>
      <c r="N1118" s="1147"/>
      <c r="O1118" s="1146"/>
      <c r="R1118" s="48"/>
      <c r="S1118" s="48"/>
      <c r="T1118" s="48"/>
      <c r="U1118" s="48"/>
      <c r="V1118" s="48"/>
      <c r="W1118" s="48"/>
    </row>
    <row r="1119" spans="2:23" ht="15.6" hidden="1" customHeight="1" x14ac:dyDescent="0.2">
      <c r="B1119" s="48" t="s">
        <v>4020</v>
      </c>
      <c r="I1119" s="58"/>
      <c r="J1119" s="58"/>
      <c r="K1119" s="58"/>
      <c r="L1119" s="59"/>
      <c r="M1119" s="1217" t="s">
        <v>1974</v>
      </c>
      <c r="N1119" s="1147"/>
      <c r="O1119" s="1592"/>
      <c r="R1119" s="48"/>
      <c r="S1119" s="48"/>
      <c r="T1119" s="48"/>
      <c r="U1119" s="48"/>
      <c r="V1119" s="48"/>
      <c r="W1119" s="48"/>
    </row>
    <row r="1120" spans="2:23" ht="15.6" hidden="1" customHeight="1" x14ac:dyDescent="0.2">
      <c r="I1120" s="58"/>
      <c r="J1120" s="58"/>
      <c r="K1120" s="58"/>
      <c r="L1120" s="59"/>
      <c r="M1120" s="1133"/>
      <c r="N1120" s="1147"/>
      <c r="O1120" s="1592"/>
      <c r="R1120" s="48"/>
      <c r="S1120" s="48"/>
      <c r="T1120" s="48"/>
      <c r="U1120" s="48"/>
      <c r="V1120" s="48"/>
      <c r="W1120" s="48"/>
    </row>
    <row r="1121" spans="2:27" ht="15.6" hidden="1" customHeight="1" x14ac:dyDescent="0.25">
      <c r="B1121" s="50" t="s">
        <v>1633</v>
      </c>
      <c r="I1121" s="58"/>
      <c r="J1121" s="58"/>
      <c r="K1121" s="58"/>
      <c r="L1121" s="59"/>
      <c r="M1121" s="1133"/>
      <c r="N1121" s="1147"/>
      <c r="O1121" s="1147"/>
    </row>
    <row r="1122" spans="2:27" ht="15.6" hidden="1" customHeight="1" x14ac:dyDescent="0.2">
      <c r="I1122" s="58"/>
      <c r="J1122" s="58"/>
      <c r="K1122" s="58"/>
      <c r="L1122" s="59"/>
      <c r="M1122" s="1133"/>
      <c r="N1122" s="1147"/>
      <c r="O1122" s="1147"/>
    </row>
    <row r="1123" spans="2:27" ht="15.6" hidden="1" customHeight="1" x14ac:dyDescent="0.25">
      <c r="B1123" s="50" t="s">
        <v>2066</v>
      </c>
      <c r="I1123" s="58"/>
      <c r="J1123" s="58"/>
      <c r="K1123" s="58"/>
      <c r="L1123" s="59"/>
      <c r="M1123" s="1133"/>
      <c r="N1123" s="1147"/>
      <c r="O1123" s="1592"/>
    </row>
    <row r="1124" spans="2:27" ht="15.6" hidden="1" customHeight="1" x14ac:dyDescent="0.2">
      <c r="I1124" s="58"/>
      <c r="J1124" s="58"/>
      <c r="K1124" s="58"/>
      <c r="L1124" s="59"/>
      <c r="M1124" s="1133"/>
      <c r="N1124" s="1147"/>
      <c r="O1124" s="1592"/>
    </row>
    <row r="1125" spans="2:27" ht="15.6" hidden="1" customHeight="1" x14ac:dyDescent="0.2">
      <c r="B1125" s="48" t="s">
        <v>273</v>
      </c>
      <c r="I1125" s="2078">
        <v>0</v>
      </c>
      <c r="J1125" s="58"/>
      <c r="K1125" s="2078">
        <v>0</v>
      </c>
      <c r="L1125" s="59"/>
      <c r="M1125" s="1133"/>
      <c r="N1125" s="1147">
        <v>0</v>
      </c>
      <c r="O1125" s="1592"/>
      <c r="P1125" s="1110" t="s">
        <v>3100</v>
      </c>
      <c r="Q1125" s="1111" t="s">
        <v>2763</v>
      </c>
      <c r="R1125" s="1110" t="s">
        <v>3101</v>
      </c>
      <c r="S1125" s="1111" t="s">
        <v>2765</v>
      </c>
      <c r="T1125" s="1110" t="s">
        <v>3102</v>
      </c>
      <c r="U1125" s="1112" t="s">
        <v>2775</v>
      </c>
    </row>
    <row r="1126" spans="2:27" ht="15.6" hidden="1" customHeight="1" x14ac:dyDescent="0.2">
      <c r="B1126" s="48" t="s">
        <v>93</v>
      </c>
      <c r="I1126" s="2078">
        <v>0</v>
      </c>
      <c r="J1126" s="58"/>
      <c r="K1126" s="2078">
        <v>0</v>
      </c>
      <c r="L1126" s="59"/>
      <c r="M1126" s="1133"/>
      <c r="N1126" s="1147">
        <v>0</v>
      </c>
      <c r="O1126" s="1592"/>
      <c r="P1126" s="1110" t="s">
        <v>3103</v>
      </c>
      <c r="Q1126" s="1111" t="s">
        <v>2763</v>
      </c>
      <c r="R1126" s="1110" t="s">
        <v>3104</v>
      </c>
      <c r="S1126" s="1111" t="s">
        <v>2765</v>
      </c>
      <c r="T1126" s="1110" t="s">
        <v>3105</v>
      </c>
      <c r="U1126" s="1112" t="s">
        <v>2775</v>
      </c>
    </row>
    <row r="1127" spans="2:27" ht="15.6" hidden="1" customHeight="1" x14ac:dyDescent="0.2">
      <c r="B1127" s="48" t="s">
        <v>278</v>
      </c>
      <c r="I1127" s="2078">
        <v>0</v>
      </c>
      <c r="J1127" s="58"/>
      <c r="K1127" s="2078">
        <v>0</v>
      </c>
      <c r="L1127" s="59"/>
      <c r="M1127" s="1133"/>
      <c r="N1127" s="1147">
        <v>0</v>
      </c>
      <c r="O1127" s="1592"/>
      <c r="P1127" s="1110" t="s">
        <v>3106</v>
      </c>
      <c r="Q1127" s="1111" t="s">
        <v>2763</v>
      </c>
      <c r="R1127" s="1110" t="s">
        <v>3107</v>
      </c>
      <c r="S1127" s="1111" t="s">
        <v>2765</v>
      </c>
      <c r="T1127" s="1110" t="s">
        <v>3108</v>
      </c>
      <c r="U1127" s="1112" t="s">
        <v>2775</v>
      </c>
    </row>
    <row r="1128" spans="2:27" ht="15.6" hidden="1" customHeight="1" x14ac:dyDescent="0.25">
      <c r="I1128" s="206"/>
      <c r="J1128" s="58"/>
      <c r="K1128" s="206"/>
      <c r="L1128" s="59"/>
      <c r="M1128" s="1133"/>
      <c r="N1128" s="1147"/>
      <c r="O1128" s="1592"/>
      <c r="X1128" s="50"/>
    </row>
    <row r="1129" spans="2:27" ht="15.6" hidden="1" customHeight="1" thickBot="1" x14ac:dyDescent="0.3">
      <c r="B1129" s="50" t="s">
        <v>274</v>
      </c>
      <c r="I1129" s="222">
        <f>SUM(I1125:I1128)</f>
        <v>0</v>
      </c>
      <c r="J1129" s="58"/>
      <c r="K1129" s="222">
        <f>SUM(K1125:K1128)</f>
        <v>0</v>
      </c>
      <c r="L1129" s="59"/>
      <c r="M1129" s="1133"/>
      <c r="N1129" s="1147"/>
      <c r="O1129" s="1592"/>
    </row>
    <row r="1130" spans="2:27" ht="15.6" hidden="1" customHeight="1" thickTop="1" x14ac:dyDescent="0.25">
      <c r="I1130" s="217">
        <v>0</v>
      </c>
      <c r="J1130" s="58"/>
      <c r="K1130" s="217">
        <v>0</v>
      </c>
      <c r="L1130" s="59"/>
      <c r="M1130" s="1133"/>
      <c r="N1130" s="1147"/>
      <c r="O1130" s="1592"/>
      <c r="Y1130" s="50"/>
      <c r="Z1130" s="50"/>
      <c r="AA1130" s="50"/>
    </row>
    <row r="1131" spans="2:27" ht="15.6" hidden="1" customHeight="1" x14ac:dyDescent="0.25">
      <c r="B1131" s="50" t="s">
        <v>598</v>
      </c>
      <c r="I1131" s="58"/>
      <c r="J1131" s="58"/>
      <c r="K1131" s="58"/>
      <c r="L1131" s="59"/>
      <c r="M1131" s="1217" t="s">
        <v>1974</v>
      </c>
      <c r="N1131" s="1147"/>
      <c r="O1131" s="1592"/>
      <c r="Y1131" s="50"/>
      <c r="Z1131" s="50"/>
      <c r="AA1131" s="50"/>
    </row>
    <row r="1132" spans="2:27" ht="15.6" hidden="1" customHeight="1" x14ac:dyDescent="0.2">
      <c r="I1132" s="58"/>
      <c r="J1132" s="58"/>
      <c r="K1132" s="58"/>
      <c r="L1132" s="59"/>
      <c r="M1132" s="1133"/>
      <c r="N1132" s="1147"/>
      <c r="O1132" s="1147"/>
    </row>
    <row r="1133" spans="2:27" s="50" customFormat="1" ht="30.95" hidden="1" customHeight="1" x14ac:dyDescent="0.25">
      <c r="C1133" s="1571" t="s">
        <v>221</v>
      </c>
      <c r="D1133" s="714"/>
      <c r="E1133" s="1571" t="s">
        <v>222</v>
      </c>
      <c r="F1133" s="714"/>
      <c r="G1133" s="1571" t="s">
        <v>225</v>
      </c>
      <c r="H1133" s="219"/>
      <c r="I1133" s="223" t="s">
        <v>223</v>
      </c>
      <c r="J1133" s="224"/>
      <c r="K1133" s="223" t="s">
        <v>224</v>
      </c>
      <c r="L1133" s="225"/>
      <c r="M1133" s="234"/>
      <c r="N1133" s="235"/>
      <c r="O1133" s="1460"/>
      <c r="P1133" s="1113"/>
      <c r="Q1133" s="1114"/>
      <c r="R1133" s="1114"/>
      <c r="S1133" s="1114"/>
      <c r="T1133" s="1114"/>
      <c r="U1133" s="316"/>
      <c r="V1133" s="234"/>
      <c r="W1133" s="1114"/>
      <c r="X1133" s="48"/>
      <c r="Y1133" s="48"/>
      <c r="Z1133" s="48"/>
      <c r="AA1133" s="48"/>
    </row>
    <row r="1134" spans="2:27" ht="15.6" hidden="1" customHeight="1" x14ac:dyDescent="0.25">
      <c r="C1134" s="1572" t="s">
        <v>255</v>
      </c>
      <c r="D1134" s="715"/>
      <c r="E1134" s="1572" t="s">
        <v>255</v>
      </c>
      <c r="F1134" s="960"/>
      <c r="G1134" s="1572" t="s">
        <v>255</v>
      </c>
      <c r="H1134" s="238"/>
      <c r="I1134" s="237" t="s">
        <v>255</v>
      </c>
      <c r="J1134" s="206"/>
      <c r="K1134" s="237" t="s">
        <v>255</v>
      </c>
      <c r="L1134" s="207"/>
      <c r="M1134" s="1133"/>
      <c r="N1134" s="1147"/>
      <c r="O1134" s="1596"/>
    </row>
    <row r="1135" spans="2:27" ht="15.6" hidden="1" customHeight="1" x14ac:dyDescent="0.25">
      <c r="B1135" s="737" t="str">
        <f>Parameters!C11</f>
        <v>30 June 2012</v>
      </c>
      <c r="C1135" s="960"/>
      <c r="D1135" s="960"/>
      <c r="E1135" s="960"/>
      <c r="F1135" s="960"/>
      <c r="G1135" s="960"/>
      <c r="I1135" s="57"/>
      <c r="J1135" s="58"/>
      <c r="K1135" s="58"/>
      <c r="L1135" s="59"/>
      <c r="M1135" s="1133"/>
      <c r="N1135" s="1147"/>
      <c r="O1135" s="1592"/>
    </row>
    <row r="1136" spans="2:27" ht="15.6" hidden="1" customHeight="1" x14ac:dyDescent="0.25">
      <c r="B1136" s="50"/>
      <c r="C1136" s="960"/>
      <c r="D1136" s="960"/>
      <c r="E1136" s="960"/>
      <c r="F1136" s="960"/>
      <c r="G1136" s="960"/>
      <c r="I1136" s="57"/>
      <c r="J1136" s="58"/>
      <c r="K1136" s="58"/>
      <c r="L1136" s="59"/>
      <c r="M1136" s="1133"/>
      <c r="N1136" s="1147"/>
      <c r="O1136" s="1592"/>
    </row>
    <row r="1137" spans="2:23" ht="15.6" hidden="1" customHeight="1" x14ac:dyDescent="0.25">
      <c r="B1137" s="48" t="s">
        <v>273</v>
      </c>
      <c r="C1137" s="962">
        <v>0</v>
      </c>
      <c r="D1137" s="960"/>
      <c r="E1137" s="962">
        <v>0</v>
      </c>
      <c r="F1137" s="960"/>
      <c r="G1137" s="962">
        <v>0</v>
      </c>
      <c r="I1137" s="2078">
        <v>0</v>
      </c>
      <c r="J1137" s="206"/>
      <c r="K1137" s="2078">
        <v>0</v>
      </c>
      <c r="L1137" s="210"/>
      <c r="M1137" s="1133"/>
      <c r="N1137" s="1147"/>
      <c r="O1137" s="1592"/>
      <c r="P1137" s="1110" t="s">
        <v>3109</v>
      </c>
      <c r="Q1137" s="1111" t="s">
        <v>2763</v>
      </c>
      <c r="R1137" s="1111" t="s">
        <v>3110</v>
      </c>
      <c r="S1137" s="1111" t="s">
        <v>2763</v>
      </c>
      <c r="T1137" s="48"/>
      <c r="U1137" s="48"/>
      <c r="V1137" s="48"/>
      <c r="W1137" s="48"/>
    </row>
    <row r="1138" spans="2:23" ht="15.6" hidden="1" customHeight="1" x14ac:dyDescent="0.25">
      <c r="B1138" s="48" t="s">
        <v>597</v>
      </c>
      <c r="C1138" s="962">
        <v>0</v>
      </c>
      <c r="D1138" s="960"/>
      <c r="E1138" s="962">
        <v>0</v>
      </c>
      <c r="F1138" s="960"/>
      <c r="G1138" s="962">
        <v>0</v>
      </c>
      <c r="I1138" s="2078">
        <v>0</v>
      </c>
      <c r="J1138" s="206"/>
      <c r="K1138" s="2078">
        <v>0</v>
      </c>
      <c r="L1138" s="210"/>
      <c r="M1138" s="1133"/>
      <c r="N1138" s="1147"/>
      <c r="O1138" s="1592"/>
      <c r="P1138" s="1110" t="s">
        <v>3111</v>
      </c>
      <c r="Q1138" s="1111" t="s">
        <v>2763</v>
      </c>
      <c r="R1138" s="1111" t="s">
        <v>3112</v>
      </c>
      <c r="S1138" s="1111" t="s">
        <v>2763</v>
      </c>
      <c r="T1138" s="48"/>
      <c r="U1138" s="48"/>
      <c r="V1138" s="48"/>
      <c r="W1138" s="48"/>
    </row>
    <row r="1139" spans="2:23" ht="15.6" hidden="1" customHeight="1" x14ac:dyDescent="0.25">
      <c r="B1139" s="48" t="s">
        <v>93</v>
      </c>
      <c r="C1139" s="962">
        <v>0</v>
      </c>
      <c r="D1139" s="960"/>
      <c r="E1139" s="962">
        <v>0</v>
      </c>
      <c r="F1139" s="960"/>
      <c r="G1139" s="962">
        <v>0</v>
      </c>
      <c r="I1139" s="2078">
        <v>0</v>
      </c>
      <c r="J1139" s="206"/>
      <c r="K1139" s="2078">
        <v>0</v>
      </c>
      <c r="L1139" s="210"/>
      <c r="M1139" s="1147">
        <f>SUM(C1139:K1139)</f>
        <v>0</v>
      </c>
      <c r="N1139" s="1147"/>
      <c r="O1139" s="1592"/>
      <c r="P1139" s="1110" t="s">
        <v>3113</v>
      </c>
      <c r="Q1139" s="1111" t="s">
        <v>2763</v>
      </c>
      <c r="R1139" s="1111" t="s">
        <v>3114</v>
      </c>
      <c r="S1139" s="1111" t="s">
        <v>2763</v>
      </c>
      <c r="T1139" s="48"/>
      <c r="U1139" s="48"/>
      <c r="V1139" s="48"/>
      <c r="W1139" s="48"/>
    </row>
    <row r="1140" spans="2:23" ht="15.6" hidden="1" customHeight="1" x14ac:dyDescent="0.25">
      <c r="B1140" s="48" t="s">
        <v>278</v>
      </c>
      <c r="C1140" s="962">
        <v>0</v>
      </c>
      <c r="D1140" s="960"/>
      <c r="E1140" s="962">
        <v>0</v>
      </c>
      <c r="F1140" s="960"/>
      <c r="G1140" s="962">
        <v>0</v>
      </c>
      <c r="I1140" s="2078">
        <v>0</v>
      </c>
      <c r="J1140" s="206"/>
      <c r="K1140" s="2078">
        <v>0</v>
      </c>
      <c r="L1140" s="210"/>
      <c r="M1140" s="1147">
        <f>SUM(C1140:K1140)</f>
        <v>0</v>
      </c>
      <c r="N1140" s="1147"/>
      <c r="O1140" s="1592"/>
      <c r="P1140" s="1110" t="s">
        <v>3115</v>
      </c>
      <c r="Q1140" s="1111" t="s">
        <v>2763</v>
      </c>
      <c r="R1140" s="1111" t="s">
        <v>3116</v>
      </c>
      <c r="S1140" s="1111" t="s">
        <v>2763</v>
      </c>
      <c r="T1140" s="48"/>
      <c r="U1140" s="48"/>
      <c r="V1140" s="48"/>
      <c r="W1140" s="48"/>
    </row>
    <row r="1141" spans="2:23" ht="15.6" hidden="1" customHeight="1" x14ac:dyDescent="0.25">
      <c r="B1141" s="48" t="s">
        <v>906</v>
      </c>
      <c r="C1141" s="962">
        <v>0</v>
      </c>
      <c r="D1141" s="960"/>
      <c r="E1141" s="962">
        <v>0</v>
      </c>
      <c r="F1141" s="960"/>
      <c r="G1141" s="962">
        <v>0</v>
      </c>
      <c r="I1141" s="2078">
        <v>0</v>
      </c>
      <c r="J1141" s="206"/>
      <c r="K1141" s="2078">
        <v>0</v>
      </c>
      <c r="L1141" s="210"/>
      <c r="M1141" s="1482"/>
      <c r="N1141" s="1147"/>
      <c r="O1141" s="1596"/>
      <c r="T1141" s="48"/>
      <c r="U1141" s="48"/>
      <c r="V1141" s="48"/>
      <c r="W1141" s="48"/>
    </row>
    <row r="1142" spans="2:23" ht="15.6" hidden="1" customHeight="1" x14ac:dyDescent="0.25">
      <c r="C1142" s="962"/>
      <c r="D1142" s="960"/>
      <c r="E1142" s="962"/>
      <c r="F1142" s="960"/>
      <c r="G1142" s="962"/>
      <c r="I1142" s="206"/>
      <c r="J1142" s="206"/>
      <c r="K1142" s="206"/>
      <c r="L1142" s="210"/>
      <c r="M1142" s="1133"/>
      <c r="N1142" s="1147"/>
      <c r="O1142" s="1592"/>
      <c r="T1142" s="48"/>
      <c r="U1142" s="48"/>
      <c r="V1142" s="48"/>
      <c r="W1142" s="48"/>
    </row>
    <row r="1143" spans="2:23" ht="15.6" hidden="1" customHeight="1" thickBot="1" x14ac:dyDescent="0.3">
      <c r="B1143" s="50" t="s">
        <v>274</v>
      </c>
      <c r="C1143" s="1573">
        <f>SUM(C1137:C1142)</f>
        <v>0</v>
      </c>
      <c r="D1143" s="960"/>
      <c r="E1143" s="1573">
        <f>SUM(E1137:E1142)</f>
        <v>0</v>
      </c>
      <c r="F1143" s="960"/>
      <c r="G1143" s="1573">
        <f>SUM(G1137:G1142)</f>
        <v>0</v>
      </c>
      <c r="I1143" s="222">
        <f>SUM(I1137:I1142)</f>
        <v>0</v>
      </c>
      <c r="J1143" s="200"/>
      <c r="K1143" s="222">
        <f>SUM(K1137:K1142)</f>
        <v>0</v>
      </c>
      <c r="L1143" s="210"/>
      <c r="M1143" s="1133"/>
      <c r="N1143" s="1147"/>
      <c r="O1143" s="1592"/>
      <c r="T1143" s="48"/>
      <c r="U1143" s="48"/>
      <c r="V1143" s="48"/>
      <c r="W1143" s="48"/>
    </row>
    <row r="1144" spans="2:23" ht="15.6" hidden="1" customHeight="1" thickTop="1" x14ac:dyDescent="0.2">
      <c r="C1144" s="217">
        <v>0</v>
      </c>
      <c r="E1144" s="217">
        <v>0</v>
      </c>
      <c r="G1144" s="217">
        <v>0</v>
      </c>
      <c r="I1144" s="217">
        <v>0</v>
      </c>
      <c r="J1144" s="58"/>
      <c r="K1144" s="217">
        <v>0</v>
      </c>
      <c r="L1144" s="59"/>
      <c r="M1144" s="1133"/>
      <c r="N1144" s="1147"/>
      <c r="O1144" s="1592"/>
      <c r="T1144" s="48"/>
      <c r="U1144" s="48"/>
      <c r="V1144" s="48"/>
      <c r="W1144" s="48"/>
    </row>
    <row r="1145" spans="2:23" ht="15.6" hidden="1" customHeight="1" x14ac:dyDescent="0.25">
      <c r="B1145" s="737" t="str">
        <f>Parameters!C13</f>
        <v>30 June 2011</v>
      </c>
      <c r="C1145" s="961"/>
      <c r="D1145" s="960"/>
      <c r="E1145" s="961"/>
      <c r="F1145" s="960"/>
      <c r="G1145" s="961"/>
      <c r="I1145" s="57"/>
      <c r="J1145" s="58"/>
      <c r="K1145" s="58"/>
      <c r="L1145" s="59"/>
      <c r="M1145" s="1133"/>
      <c r="N1145" s="1147"/>
      <c r="O1145" s="1592"/>
      <c r="T1145" s="48"/>
      <c r="U1145" s="48"/>
      <c r="V1145" s="48"/>
      <c r="W1145" s="48"/>
    </row>
    <row r="1146" spans="2:23" ht="15.6" hidden="1" customHeight="1" x14ac:dyDescent="0.25">
      <c r="B1146" s="50"/>
      <c r="C1146" s="960"/>
      <c r="D1146" s="960"/>
      <c r="E1146" s="960"/>
      <c r="F1146" s="960"/>
      <c r="G1146" s="960"/>
      <c r="I1146" s="57"/>
      <c r="J1146" s="58"/>
      <c r="K1146" s="58"/>
      <c r="L1146" s="59"/>
      <c r="M1146" s="1133"/>
      <c r="N1146" s="1147"/>
      <c r="O1146" s="1592"/>
      <c r="T1146" s="48"/>
      <c r="U1146" s="48"/>
      <c r="V1146" s="48"/>
      <c r="W1146" s="48"/>
    </row>
    <row r="1147" spans="2:23" ht="15.6" hidden="1" customHeight="1" x14ac:dyDescent="0.25">
      <c r="B1147" s="48" t="s">
        <v>273</v>
      </c>
      <c r="C1147" s="962">
        <v>0</v>
      </c>
      <c r="D1147" s="960"/>
      <c r="E1147" s="962">
        <v>0</v>
      </c>
      <c r="F1147" s="960"/>
      <c r="G1147" s="962">
        <v>0</v>
      </c>
      <c r="I1147" s="2078">
        <v>0</v>
      </c>
      <c r="J1147" s="206"/>
      <c r="K1147" s="2078">
        <v>0</v>
      </c>
      <c r="L1147" s="210"/>
      <c r="M1147" s="1133"/>
      <c r="N1147" s="1147"/>
      <c r="O1147" s="1592"/>
      <c r="P1147" s="1110" t="s">
        <v>3109</v>
      </c>
      <c r="Q1147" s="1111" t="s">
        <v>2765</v>
      </c>
      <c r="R1147" s="1111" t="s">
        <v>3110</v>
      </c>
      <c r="S1147" s="1111" t="s">
        <v>2765</v>
      </c>
      <c r="T1147" s="48"/>
      <c r="U1147" s="48"/>
      <c r="V1147" s="48"/>
      <c r="W1147" s="48"/>
    </row>
    <row r="1148" spans="2:23" ht="15.6" hidden="1" customHeight="1" x14ac:dyDescent="0.25">
      <c r="B1148" s="48" t="s">
        <v>597</v>
      </c>
      <c r="C1148" s="962">
        <v>0</v>
      </c>
      <c r="D1148" s="960"/>
      <c r="E1148" s="962">
        <v>0</v>
      </c>
      <c r="F1148" s="960"/>
      <c r="G1148" s="962">
        <v>0</v>
      </c>
      <c r="I1148" s="2078">
        <v>0</v>
      </c>
      <c r="J1148" s="206"/>
      <c r="K1148" s="2078">
        <v>0</v>
      </c>
      <c r="L1148" s="210"/>
      <c r="M1148" s="1133"/>
      <c r="N1148" s="1147"/>
      <c r="O1148" s="1592"/>
      <c r="P1148" s="1110" t="s">
        <v>3111</v>
      </c>
      <c r="Q1148" s="1111" t="s">
        <v>2765</v>
      </c>
      <c r="R1148" s="1111" t="s">
        <v>3112</v>
      </c>
      <c r="S1148" s="1111" t="s">
        <v>2765</v>
      </c>
      <c r="T1148" s="48"/>
      <c r="U1148" s="48"/>
      <c r="V1148" s="48"/>
      <c r="W1148" s="48"/>
    </row>
    <row r="1149" spans="2:23" ht="15.6" hidden="1" customHeight="1" x14ac:dyDescent="0.25">
      <c r="B1149" s="48" t="s">
        <v>93</v>
      </c>
      <c r="C1149" s="962">
        <v>0</v>
      </c>
      <c r="D1149" s="960"/>
      <c r="E1149" s="962">
        <v>0</v>
      </c>
      <c r="F1149" s="960"/>
      <c r="G1149" s="962">
        <v>0</v>
      </c>
      <c r="I1149" s="2078">
        <v>0</v>
      </c>
      <c r="J1149" s="206"/>
      <c r="K1149" s="2078">
        <v>0</v>
      </c>
      <c r="L1149" s="210"/>
      <c r="M1149" s="1147">
        <f>SUM(C1149:K1149)</f>
        <v>0</v>
      </c>
      <c r="N1149" s="1147"/>
      <c r="O1149" s="1592"/>
      <c r="P1149" s="1110" t="s">
        <v>3113</v>
      </c>
      <c r="Q1149" s="1111" t="s">
        <v>2765</v>
      </c>
      <c r="R1149" s="1111" t="s">
        <v>3114</v>
      </c>
      <c r="S1149" s="1111" t="s">
        <v>2765</v>
      </c>
      <c r="T1149" s="48"/>
      <c r="U1149" s="48"/>
      <c r="V1149" s="48"/>
      <c r="W1149" s="48"/>
    </row>
    <row r="1150" spans="2:23" ht="15.6" hidden="1" customHeight="1" x14ac:dyDescent="0.25">
      <c r="B1150" s="48" t="s">
        <v>278</v>
      </c>
      <c r="C1150" s="962">
        <v>0</v>
      </c>
      <c r="D1150" s="960"/>
      <c r="E1150" s="962">
        <v>0</v>
      </c>
      <c r="F1150" s="960"/>
      <c r="G1150" s="962">
        <v>0</v>
      </c>
      <c r="I1150" s="2078">
        <v>0</v>
      </c>
      <c r="J1150" s="206"/>
      <c r="K1150" s="2078">
        <v>0</v>
      </c>
      <c r="L1150" s="210"/>
      <c r="M1150" s="1147">
        <f>SUM(C1150:K1150)</f>
        <v>0</v>
      </c>
      <c r="N1150" s="1147"/>
      <c r="O1150" s="1592"/>
      <c r="P1150" s="1110" t="s">
        <v>3115</v>
      </c>
      <c r="Q1150" s="1111" t="s">
        <v>2765</v>
      </c>
      <c r="R1150" s="1111" t="s">
        <v>3116</v>
      </c>
      <c r="S1150" s="1111" t="s">
        <v>2765</v>
      </c>
      <c r="T1150" s="48"/>
      <c r="U1150" s="48"/>
      <c r="V1150" s="48"/>
      <c r="W1150" s="48"/>
    </row>
    <row r="1151" spans="2:23" ht="15.6" hidden="1" customHeight="1" x14ac:dyDescent="0.25">
      <c r="B1151" s="48" t="s">
        <v>906</v>
      </c>
      <c r="C1151" s="962">
        <v>0</v>
      </c>
      <c r="D1151" s="960"/>
      <c r="E1151" s="962">
        <v>0</v>
      </c>
      <c r="F1151" s="960"/>
      <c r="G1151" s="962">
        <v>0</v>
      </c>
      <c r="I1151" s="2078">
        <v>0</v>
      </c>
      <c r="J1151" s="206"/>
      <c r="K1151" s="2078">
        <v>0</v>
      </c>
      <c r="L1151" s="210"/>
      <c r="M1151" s="1482"/>
      <c r="N1151" s="1147"/>
      <c r="O1151" s="1596"/>
      <c r="T1151" s="48"/>
      <c r="U1151" s="48"/>
      <c r="V1151" s="48"/>
      <c r="W1151" s="48"/>
    </row>
    <row r="1152" spans="2:23" ht="15.6" hidden="1" customHeight="1" x14ac:dyDescent="0.25">
      <c r="C1152" s="962"/>
      <c r="D1152" s="960"/>
      <c r="E1152" s="962"/>
      <c r="F1152" s="960"/>
      <c r="G1152" s="962"/>
      <c r="I1152" s="206"/>
      <c r="J1152" s="206"/>
      <c r="K1152" s="206"/>
      <c r="L1152" s="210"/>
      <c r="M1152" s="1133"/>
      <c r="N1152" s="1147"/>
      <c r="O1152" s="1592"/>
      <c r="T1152" s="48"/>
      <c r="U1152" s="48"/>
      <c r="V1152" s="48"/>
      <c r="W1152" s="48"/>
    </row>
    <row r="1153" spans="1:23" ht="15.6" hidden="1" customHeight="1" thickBot="1" x14ac:dyDescent="0.3">
      <c r="B1153" s="50" t="s">
        <v>274</v>
      </c>
      <c r="C1153" s="1573">
        <f>SUM(C1147:C1152)</f>
        <v>0</v>
      </c>
      <c r="D1153" s="960"/>
      <c r="E1153" s="1573">
        <f>SUM(E1147:E1152)</f>
        <v>0</v>
      </c>
      <c r="F1153" s="960"/>
      <c r="G1153" s="1573">
        <f>SUM(G1147:G1152)</f>
        <v>0</v>
      </c>
      <c r="I1153" s="222">
        <f>SUM(I1147:I1152)</f>
        <v>0</v>
      </c>
      <c r="J1153" s="200"/>
      <c r="K1153" s="222">
        <f>SUM(K1147:K1152)</f>
        <v>0</v>
      </c>
      <c r="L1153" s="210"/>
      <c r="M1153" s="1133"/>
      <c r="N1153" s="1147"/>
      <c r="O1153" s="1592"/>
    </row>
    <row r="1154" spans="1:23" ht="15.6" hidden="1" customHeight="1" thickTop="1" x14ac:dyDescent="0.2">
      <c r="C1154" s="217">
        <v>0</v>
      </c>
      <c r="E1154" s="217">
        <v>0</v>
      </c>
      <c r="G1154" s="217">
        <v>0</v>
      </c>
      <c r="I1154" s="217">
        <v>0</v>
      </c>
      <c r="J1154" s="58"/>
      <c r="K1154" s="217">
        <v>0</v>
      </c>
      <c r="L1154" s="59"/>
      <c r="M1154" s="1133"/>
      <c r="N1154" s="1147"/>
      <c r="O1154" s="1592"/>
    </row>
    <row r="1155" spans="1:23" ht="15.6" customHeight="1" x14ac:dyDescent="0.25">
      <c r="A1155" s="50"/>
      <c r="D1155" s="48"/>
      <c r="F1155" s="48"/>
      <c r="H1155" s="49"/>
      <c r="I1155" s="1245">
        <f>Parameters!C17</f>
        <v>2012</v>
      </c>
      <c r="J1155" s="1228"/>
      <c r="K1155" s="1245">
        <f>Parameters!C19</f>
        <v>2011</v>
      </c>
      <c r="L1155" s="49"/>
      <c r="M1155" s="232" t="s">
        <v>803</v>
      </c>
      <c r="N1155" s="1224">
        <f>Parameters!C21</f>
        <v>2010</v>
      </c>
      <c r="O1155" s="1592"/>
    </row>
    <row r="1156" spans="1:23" ht="15.6" customHeight="1" x14ac:dyDescent="0.25">
      <c r="I1156" s="1227" t="s">
        <v>255</v>
      </c>
      <c r="J1156" s="200"/>
      <c r="K1156" s="1227" t="s">
        <v>255</v>
      </c>
      <c r="L1156" s="210"/>
      <c r="M1156" s="1133"/>
      <c r="N1156" s="1147"/>
      <c r="O1156" s="1592"/>
      <c r="P1156" s="1115"/>
    </row>
    <row r="1157" spans="1:23" ht="15.6" customHeight="1" x14ac:dyDescent="0.2">
      <c r="J1157" s="57"/>
      <c r="M1157" s="1133"/>
      <c r="N1157" s="1147"/>
      <c r="O1157" s="1592"/>
      <c r="P1157" s="1115"/>
    </row>
    <row r="1158" spans="1:23" ht="15.6" customHeight="1" x14ac:dyDescent="0.25">
      <c r="A1158" s="211">
        <v>15</v>
      </c>
      <c r="B1158" s="50" t="s">
        <v>4341</v>
      </c>
      <c r="C1158" s="50"/>
      <c r="M1158" s="1251" t="s">
        <v>2328</v>
      </c>
      <c r="N1158" s="1147"/>
      <c r="O1158" s="1592"/>
      <c r="W1158" s="1114" t="s">
        <v>3520</v>
      </c>
    </row>
    <row r="1159" spans="1:23" ht="15.6" customHeight="1" x14ac:dyDescent="0.25">
      <c r="A1159" s="211"/>
      <c r="B1159" s="50"/>
      <c r="C1159" s="50"/>
      <c r="M1159" s="1133"/>
      <c r="N1159" s="1147"/>
      <c r="O1159" s="1592"/>
    </row>
    <row r="1160" spans="1:23" ht="15.6" customHeight="1" x14ac:dyDescent="0.25">
      <c r="A1160" s="50"/>
      <c r="B1160" s="48" t="s">
        <v>59</v>
      </c>
      <c r="I1160" s="58">
        <f>-SUM('Trial Balance - FPos'!F125:F126)-52589.8-533655.37+334985</f>
        <v>8502473.3199999854</v>
      </c>
      <c r="K1160" s="58">
        <f>-'Trial Balance - FPos'!C126-'Trial Balance - FPos'!C125-205248-34462.54</f>
        <v>14117074.239999998</v>
      </c>
      <c r="M1160" s="1133"/>
      <c r="N1160" s="1147">
        <v>6405923</v>
      </c>
      <c r="O1160" s="1592"/>
      <c r="P1160" s="1110" t="s">
        <v>3117</v>
      </c>
      <c r="Q1160" s="1111" t="s">
        <v>2763</v>
      </c>
      <c r="R1160" s="1110" t="s">
        <v>3118</v>
      </c>
      <c r="S1160" s="1111" t="s">
        <v>2765</v>
      </c>
      <c r="T1160" s="1110" t="s">
        <v>3119</v>
      </c>
      <c r="U1160" s="1112" t="s">
        <v>2775</v>
      </c>
    </row>
    <row r="1161" spans="1:23" ht="15.6" customHeight="1" x14ac:dyDescent="0.25">
      <c r="A1161" s="50"/>
      <c r="B1161" s="48" t="s">
        <v>658</v>
      </c>
      <c r="I1161" s="58">
        <f>-'Trial Balance - FPos'!F71+52589.8+533655.37-334985</f>
        <v>586245.13000000012</v>
      </c>
      <c r="K1161" s="58">
        <f>205248+34462.54</f>
        <v>239710.54</v>
      </c>
      <c r="M1161" s="1133"/>
      <c r="N1161" s="1147">
        <v>0</v>
      </c>
      <c r="O1161" s="1592"/>
      <c r="P1161" s="1110" t="s">
        <v>3120</v>
      </c>
      <c r="Q1161" s="1111" t="s">
        <v>2763</v>
      </c>
      <c r="R1161" s="1110" t="s">
        <v>3121</v>
      </c>
      <c r="S1161" s="1111" t="s">
        <v>2765</v>
      </c>
      <c r="T1161" s="1110" t="s">
        <v>3122</v>
      </c>
      <c r="U1161" s="1112" t="s">
        <v>2775</v>
      </c>
    </row>
    <row r="1162" spans="1:23" ht="15.6" hidden="1" customHeight="1" x14ac:dyDescent="0.25">
      <c r="A1162" s="50"/>
      <c r="B1162" s="48" t="s">
        <v>1416</v>
      </c>
      <c r="I1162" s="58">
        <v>0</v>
      </c>
      <c r="K1162" s="58">
        <v>0</v>
      </c>
      <c r="M1162" s="1133"/>
      <c r="N1162" s="1147">
        <v>0</v>
      </c>
      <c r="O1162" s="1592"/>
      <c r="P1162" s="1110" t="s">
        <v>3123</v>
      </c>
      <c r="Q1162" s="1111" t="s">
        <v>2763</v>
      </c>
      <c r="R1162" s="1110" t="s">
        <v>3124</v>
      </c>
      <c r="S1162" s="1111" t="s">
        <v>2765</v>
      </c>
      <c r="T1162" s="1110" t="s">
        <v>3125</v>
      </c>
      <c r="U1162" s="1112" t="s">
        <v>2775</v>
      </c>
    </row>
    <row r="1163" spans="1:23" ht="15.6" hidden="1" customHeight="1" x14ac:dyDescent="0.25">
      <c r="A1163" s="50"/>
      <c r="B1163" s="48" t="s">
        <v>659</v>
      </c>
      <c r="I1163" s="58">
        <v>0</v>
      </c>
      <c r="K1163" s="58">
        <v>0</v>
      </c>
      <c r="M1163" s="1133"/>
      <c r="N1163" s="1147">
        <v>0</v>
      </c>
      <c r="O1163" s="1592"/>
      <c r="P1163" s="1110" t="s">
        <v>3126</v>
      </c>
      <c r="Q1163" s="1111" t="s">
        <v>2763</v>
      </c>
      <c r="R1163" s="1110" t="s">
        <v>3127</v>
      </c>
      <c r="S1163" s="1111" t="s">
        <v>2765</v>
      </c>
      <c r="T1163" s="1110" t="s">
        <v>3128</v>
      </c>
      <c r="U1163" s="1112" t="s">
        <v>2775</v>
      </c>
    </row>
    <row r="1164" spans="1:23" ht="15.6" customHeight="1" x14ac:dyDescent="0.25">
      <c r="A1164" s="50"/>
      <c r="B1164" s="48" t="s">
        <v>2721</v>
      </c>
      <c r="I1164" s="58">
        <f>-SUM('Trial Balance - FPos'!F115:F116)</f>
        <v>834728.32000000007</v>
      </c>
      <c r="K1164" s="58">
        <f>-'Trial Balance - FPos'!C115</f>
        <v>689433.13</v>
      </c>
      <c r="M1164" s="1133"/>
      <c r="N1164" s="1147">
        <v>569243</v>
      </c>
      <c r="O1164" s="1592"/>
      <c r="P1164" s="1110" t="s">
        <v>3132</v>
      </c>
      <c r="Q1164" s="1111" t="s">
        <v>2763</v>
      </c>
      <c r="R1164" s="1110" t="s">
        <v>3133</v>
      </c>
      <c r="S1164" s="1111" t="s">
        <v>2765</v>
      </c>
      <c r="T1164" s="1110" t="s">
        <v>3134</v>
      </c>
      <c r="U1164" s="1112" t="s">
        <v>2775</v>
      </c>
    </row>
    <row r="1165" spans="1:23" ht="15.6" customHeight="1" x14ac:dyDescent="0.25">
      <c r="A1165" s="50"/>
      <c r="B1165" s="48" t="s">
        <v>8104</v>
      </c>
      <c r="I1165" s="58">
        <v>135461</v>
      </c>
      <c r="K1165" s="58">
        <v>0</v>
      </c>
      <c r="M1165" s="1133"/>
      <c r="N1165" s="1147"/>
      <c r="O1165" s="1592"/>
      <c r="R1165" s="1110"/>
      <c r="T1165" s="1110"/>
    </row>
    <row r="1166" spans="1:23" ht="15.6" customHeight="1" x14ac:dyDescent="0.2">
      <c r="B1166" s="48" t="s">
        <v>1975</v>
      </c>
      <c r="I1166" s="58">
        <f>-SUM('Trial Balance - FPos'!F117)-I1165</f>
        <v>2147944.41</v>
      </c>
      <c r="K1166" s="58">
        <f>-'Trial Balance - FPos'!C117</f>
        <v>2147944.4300000002</v>
      </c>
      <c r="L1166" s="59"/>
      <c r="M1166" s="1217" t="s">
        <v>2004</v>
      </c>
      <c r="N1166" s="1147">
        <v>1495528</v>
      </c>
      <c r="O1166" s="1592"/>
      <c r="P1166" s="1110" t="s">
        <v>3135</v>
      </c>
      <c r="Q1166" s="1111" t="s">
        <v>2763</v>
      </c>
      <c r="R1166" s="1110" t="s">
        <v>3136</v>
      </c>
      <c r="S1166" s="1111" t="s">
        <v>2765</v>
      </c>
      <c r="T1166" s="1110" t="s">
        <v>3137</v>
      </c>
      <c r="U1166" s="1112" t="s">
        <v>2775</v>
      </c>
    </row>
    <row r="1167" spans="1:23" ht="15.6" customHeight="1" x14ac:dyDescent="0.25">
      <c r="A1167" s="50"/>
      <c r="B1167" s="48" t="s">
        <v>3627</v>
      </c>
      <c r="I1167" s="58">
        <f>-'Trial Balance - FPos'!F78-'Trial Balance - FPos'!F124</f>
        <v>2719737.05</v>
      </c>
      <c r="K1167" s="58">
        <f>-'Trial Balance - FPos'!C124</f>
        <v>1402051.14</v>
      </c>
      <c r="M1167" s="1133"/>
      <c r="N1167" s="1147">
        <v>0</v>
      </c>
      <c r="O1167" s="1592"/>
      <c r="P1167" s="1110" t="s">
        <v>3129</v>
      </c>
      <c r="Q1167" s="1111" t="s">
        <v>2763</v>
      </c>
      <c r="R1167" s="1110" t="s">
        <v>3130</v>
      </c>
      <c r="S1167" s="1111" t="s">
        <v>2765</v>
      </c>
      <c r="T1167" s="1110" t="s">
        <v>3131</v>
      </c>
      <c r="U1167" s="1112" t="s">
        <v>2775</v>
      </c>
    </row>
    <row r="1168" spans="1:23" ht="15.6" customHeight="1" x14ac:dyDescent="0.2">
      <c r="B1168" s="48" t="s">
        <v>6443</v>
      </c>
      <c r="I1168" s="58">
        <f>-'Trial Balance - FPos'!F121</f>
        <v>1041707.1500000001</v>
      </c>
      <c r="K1168" s="58">
        <f>-'Trial Balance - FPos'!C121</f>
        <v>236574.36</v>
      </c>
      <c r="L1168" s="59"/>
      <c r="M1168" s="1133"/>
      <c r="N1168" s="1147">
        <v>0</v>
      </c>
      <c r="O1168" s="1592"/>
      <c r="P1168" s="1110" t="s">
        <v>3138</v>
      </c>
      <c r="Q1168" s="1111" t="s">
        <v>2763</v>
      </c>
      <c r="R1168" s="1110" t="s">
        <v>3139</v>
      </c>
      <c r="S1168" s="1111" t="s">
        <v>2765</v>
      </c>
      <c r="T1168" s="1110" t="s">
        <v>3140</v>
      </c>
      <c r="U1168" s="1112" t="s">
        <v>2775</v>
      </c>
    </row>
    <row r="1169" spans="1:27" ht="15.6" customHeight="1" x14ac:dyDescent="0.2">
      <c r="B1169" s="48" t="s">
        <v>60</v>
      </c>
      <c r="I1169" s="58">
        <f>-SUM('Trial Balance - FPos'!F118:F120,'Trial Balance - FPos'!F122:F123)</f>
        <v>100570.93</v>
      </c>
      <c r="K1169" s="58">
        <f>-SUM('Trial Balance - FPos'!C118:C120,'Trial Balance - FPos'!C122:C123)</f>
        <v>76648.03</v>
      </c>
      <c r="L1169" s="59"/>
      <c r="M1169" s="1133"/>
      <c r="N1169" s="1147">
        <v>7708594</v>
      </c>
      <c r="O1169" s="1592"/>
      <c r="P1169" s="1110" t="s">
        <v>3141</v>
      </c>
      <c r="Q1169" s="1111" t="s">
        <v>2763</v>
      </c>
      <c r="R1169" s="1110" t="s">
        <v>3142</v>
      </c>
      <c r="S1169" s="1111" t="s">
        <v>2765</v>
      </c>
      <c r="T1169" s="1110" t="s">
        <v>3143</v>
      </c>
      <c r="U1169" s="1112" t="s">
        <v>2775</v>
      </c>
    </row>
    <row r="1170" spans="1:27" ht="15.6" customHeight="1" x14ac:dyDescent="0.2">
      <c r="A1170" s="1166"/>
      <c r="D1170" s="199"/>
      <c r="F1170" s="199"/>
      <c r="G1170" s="199"/>
      <c r="H1170" s="199"/>
      <c r="O1170" s="1592"/>
      <c r="P1170" s="1097"/>
      <c r="Q1170" s="1098"/>
      <c r="R1170" s="1098"/>
      <c r="S1170" s="1098"/>
      <c r="T1170" s="1098"/>
      <c r="U1170" s="1098"/>
    </row>
    <row r="1171" spans="1:27" ht="15.6" customHeight="1" thickBot="1" x14ac:dyDescent="0.3">
      <c r="B1171" s="50" t="s">
        <v>282</v>
      </c>
      <c r="C1171" s="50"/>
      <c r="I1171" s="204">
        <f>SUM(I1160:I1170)</f>
        <v>16068867.309999986</v>
      </c>
      <c r="J1171" s="58"/>
      <c r="K1171" s="204">
        <f>SUM(K1160:K1170)</f>
        <v>18909435.870000001</v>
      </c>
      <c r="L1171" s="59"/>
      <c r="M1171" s="1133"/>
      <c r="N1171" s="236">
        <f>SUM(N1160:N1170)</f>
        <v>16179288</v>
      </c>
      <c r="O1171" s="1592"/>
    </row>
    <row r="1172" spans="1:27" ht="15.6" customHeight="1" thickTop="1" x14ac:dyDescent="0.25">
      <c r="B1172" s="50"/>
      <c r="C1172" s="50"/>
      <c r="I1172" s="217">
        <v>0</v>
      </c>
      <c r="J1172" s="218"/>
      <c r="K1172" s="217">
        <v>0</v>
      </c>
      <c r="L1172" s="59"/>
      <c r="M1172" s="1133"/>
      <c r="N1172" s="1147"/>
      <c r="O1172" s="1592"/>
      <c r="Y1172" s="230"/>
      <c r="Z1172" s="230"/>
      <c r="AA1172" s="230"/>
    </row>
    <row r="1173" spans="1:27" s="230" customFormat="1" ht="15.6" hidden="1" customHeight="1" thickTop="1" thickBot="1" x14ac:dyDescent="0.3">
      <c r="A1173" s="636"/>
      <c r="B1173" s="637"/>
      <c r="C1173" s="637"/>
      <c r="D1173" s="638"/>
      <c r="E1173" s="637"/>
      <c r="F1173" s="638"/>
      <c r="G1173" s="638"/>
      <c r="H1173" s="638"/>
      <c r="I1173" s="639"/>
      <c r="J1173" s="640"/>
      <c r="K1173" s="639"/>
      <c r="L1173" s="641"/>
      <c r="N1173" s="231"/>
      <c r="P1173" s="1110"/>
      <c r="Q1173" s="1111"/>
      <c r="R1173" s="1111"/>
      <c r="S1173" s="1111"/>
      <c r="T1173" s="1111"/>
      <c r="U1173" s="1112"/>
      <c r="V1173" s="48"/>
      <c r="W1173" s="1128"/>
      <c r="X1173" s="48"/>
      <c r="Y1173" s="48"/>
      <c r="Z1173" s="48"/>
      <c r="AA1173" s="48"/>
    </row>
    <row r="1174" spans="1:27" ht="15.6" hidden="1" customHeight="1" thickBot="1" x14ac:dyDescent="0.3">
      <c r="A1174" s="642"/>
      <c r="B1174" s="2850" t="s">
        <v>2670</v>
      </c>
      <c r="C1174" s="2851"/>
      <c r="D1174" s="2851"/>
      <c r="E1174" s="2851"/>
      <c r="F1174" s="2851"/>
      <c r="G1174" s="2851"/>
      <c r="H1174" s="2851"/>
      <c r="I1174" s="2851"/>
      <c r="J1174" s="2851"/>
      <c r="K1174" s="2852"/>
      <c r="L1174" s="643"/>
      <c r="M1174" s="230"/>
      <c r="N1174" s="231"/>
      <c r="O1174" s="230"/>
      <c r="P1174" s="1115"/>
      <c r="V1174" s="48"/>
      <c r="W1174" s="1128"/>
    </row>
    <row r="1175" spans="1:27" ht="15.6" hidden="1" customHeight="1" thickBot="1" x14ac:dyDescent="0.3">
      <c r="A1175" s="642"/>
      <c r="B1175" s="1002" t="s">
        <v>2671</v>
      </c>
      <c r="C1175" s="1003"/>
      <c r="D1175" s="1004"/>
      <c r="E1175" s="1003"/>
      <c r="F1175" s="1004"/>
      <c r="G1175" s="1003"/>
      <c r="H1175" s="1004"/>
      <c r="I1175" s="1003"/>
      <c r="J1175" s="1004"/>
      <c r="K1175" s="1005"/>
      <c r="L1175" s="643"/>
      <c r="M1175" s="230"/>
      <c r="N1175" s="231"/>
      <c r="O1175" s="230"/>
      <c r="V1175" s="48"/>
      <c r="W1175" s="1128"/>
    </row>
    <row r="1176" spans="1:27" ht="15.6" hidden="1" customHeight="1" thickBot="1" x14ac:dyDescent="0.3">
      <c r="A1176" s="642"/>
      <c r="B1176" s="1006" t="s">
        <v>2672</v>
      </c>
      <c r="C1176" s="1007" t="s">
        <v>2673</v>
      </c>
      <c r="D1176" s="1008"/>
      <c r="E1176" s="1007" t="s">
        <v>2674</v>
      </c>
      <c r="F1176" s="1004"/>
      <c r="G1176" s="1007" t="s">
        <v>2675</v>
      </c>
      <c r="H1176" s="1004"/>
      <c r="I1176" s="1007" t="s">
        <v>2676</v>
      </c>
      <c r="J1176" s="1004"/>
      <c r="K1176" s="1007" t="s">
        <v>861</v>
      </c>
      <c r="L1176" s="643"/>
      <c r="M1176" s="230"/>
      <c r="N1176" s="231"/>
      <c r="O1176" s="230"/>
      <c r="P1176" s="1115"/>
      <c r="V1176" s="48"/>
      <c r="W1176" s="1128"/>
    </row>
    <row r="1177" spans="1:27" ht="15.6" hidden="1" customHeight="1" x14ac:dyDescent="0.25">
      <c r="A1177" s="642"/>
      <c r="B1177" s="1009">
        <v>40262</v>
      </c>
      <c r="C1177" s="1010">
        <v>0.1</v>
      </c>
      <c r="D1177" s="1008"/>
      <c r="E1177" s="1010">
        <v>0.01</v>
      </c>
      <c r="F1177" s="1004"/>
      <c r="G1177" s="1011">
        <f>C1177+E1177</f>
        <v>0.11</v>
      </c>
      <c r="H1177" s="1004"/>
      <c r="I1177" s="1011">
        <v>0</v>
      </c>
      <c r="J1177" s="1004"/>
      <c r="K1177" s="1011">
        <f>G1177+I1177</f>
        <v>0.11</v>
      </c>
      <c r="L1177" s="643"/>
      <c r="M1177" s="230"/>
      <c r="N1177" s="231"/>
      <c r="O1177" s="230"/>
      <c r="V1177" s="48"/>
      <c r="W1177" s="1128"/>
    </row>
    <row r="1178" spans="1:27" ht="15.6" hidden="1" customHeight="1" x14ac:dyDescent="0.25">
      <c r="A1178" s="642"/>
      <c r="B1178" s="1012">
        <v>40430</v>
      </c>
      <c r="C1178" s="1013">
        <v>9.5000000000000001E-2</v>
      </c>
      <c r="D1178" s="1008"/>
      <c r="E1178" s="1013">
        <v>0.01</v>
      </c>
      <c r="F1178" s="1004"/>
      <c r="G1178" s="1014">
        <f>C1178+E1178</f>
        <v>0.105</v>
      </c>
      <c r="H1178" s="1004"/>
      <c r="I1178" s="1014">
        <v>0</v>
      </c>
      <c r="J1178" s="1004"/>
      <c r="K1178" s="1014">
        <f>G1178+I1178</f>
        <v>0.105</v>
      </c>
      <c r="L1178" s="643"/>
      <c r="M1178" s="230"/>
      <c r="N1178" s="231"/>
      <c r="O1178" s="230"/>
      <c r="P1178" s="1115"/>
      <c r="V1178" s="48"/>
      <c r="W1178" s="1128"/>
    </row>
    <row r="1179" spans="1:27" ht="15.6" hidden="1" customHeight="1" x14ac:dyDescent="0.25">
      <c r="A1179" s="642"/>
      <c r="B1179" s="1012">
        <v>40500</v>
      </c>
      <c r="C1179" s="1013">
        <v>0.09</v>
      </c>
      <c r="D1179" s="1008"/>
      <c r="E1179" s="1013">
        <v>0.01</v>
      </c>
      <c r="F1179" s="1004"/>
      <c r="G1179" s="1014">
        <f>C1179+E1179</f>
        <v>9.9999999999999992E-2</v>
      </c>
      <c r="H1179" s="1004"/>
      <c r="I1179" s="1014">
        <v>0</v>
      </c>
      <c r="J1179" s="1004"/>
      <c r="K1179" s="1015">
        <f>G1179+I1179</f>
        <v>9.9999999999999992E-2</v>
      </c>
      <c r="L1179" s="643"/>
      <c r="M1179" s="230"/>
      <c r="N1179" s="231"/>
      <c r="O1179" s="230"/>
      <c r="V1179" s="48"/>
      <c r="W1179" s="1128"/>
    </row>
    <row r="1180" spans="1:27" ht="15.6" hidden="1" customHeight="1" thickBot="1" x14ac:dyDescent="0.3">
      <c r="A1180" s="642"/>
      <c r="B1180" s="1016" t="str">
        <f>"Average for the Year "&amp;Parameters!C27</f>
        <v>Average for the Year 2010/11</v>
      </c>
      <c r="C1180" s="1017"/>
      <c r="D1180" s="1008"/>
      <c r="E1180" s="1018"/>
      <c r="F1180" s="1004"/>
      <c r="G1180" s="1018"/>
      <c r="H1180" s="1004"/>
      <c r="I1180" s="1018"/>
      <c r="J1180" s="1004"/>
      <c r="K1180" s="1019">
        <f>K1179</f>
        <v>9.9999999999999992E-2</v>
      </c>
      <c r="L1180" s="643"/>
      <c r="M1180" s="230"/>
      <c r="N1180" s="231"/>
      <c r="O1180" s="230"/>
      <c r="P1180" s="1115"/>
      <c r="V1180" s="48"/>
      <c r="W1180" s="1128"/>
    </row>
    <row r="1181" spans="1:27" ht="15.6" hidden="1" customHeight="1" x14ac:dyDescent="0.25">
      <c r="A1181" s="642"/>
      <c r="B1181" s="1012">
        <v>40501</v>
      </c>
      <c r="C1181" s="1013">
        <v>0.09</v>
      </c>
      <c r="D1181" s="1008"/>
      <c r="E1181" s="1010">
        <v>0.01</v>
      </c>
      <c r="F1181" s="1004"/>
      <c r="G1181" s="1011">
        <f>C1181+E1181</f>
        <v>9.9999999999999992E-2</v>
      </c>
      <c r="H1181" s="1004"/>
      <c r="I1181" s="1011">
        <v>0</v>
      </c>
      <c r="J1181" s="1004"/>
      <c r="K1181" s="1011">
        <f>G1181+I1181</f>
        <v>9.9999999999999992E-2</v>
      </c>
      <c r="L1181" s="643"/>
      <c r="M1181" s="230"/>
      <c r="N1181" s="231"/>
      <c r="O1181" s="230"/>
      <c r="V1181" s="48"/>
      <c r="W1181" s="1128"/>
    </row>
    <row r="1182" spans="1:27" ht="15.6" hidden="1" customHeight="1" x14ac:dyDescent="0.25">
      <c r="A1182" s="642"/>
      <c r="B1182" s="1012">
        <v>40795</v>
      </c>
      <c r="C1182" s="1013">
        <v>9.5000000000000001E-2</v>
      </c>
      <c r="D1182" s="1008"/>
      <c r="E1182" s="1013">
        <v>0.01</v>
      </c>
      <c r="F1182" s="1004"/>
      <c r="G1182" s="1014">
        <f>C1182+E1182</f>
        <v>0.105</v>
      </c>
      <c r="H1182" s="1004"/>
      <c r="I1182" s="1014">
        <v>0</v>
      </c>
      <c r="J1182" s="1004"/>
      <c r="K1182" s="1014">
        <f>G1182+I1182</f>
        <v>0.105</v>
      </c>
      <c r="L1182" s="643"/>
      <c r="M1182" s="230"/>
      <c r="N1182" s="231"/>
      <c r="O1182" s="230"/>
      <c r="P1182" s="1115"/>
      <c r="V1182" s="48"/>
      <c r="W1182" s="1128"/>
    </row>
    <row r="1183" spans="1:27" ht="15.6" hidden="1" customHeight="1" x14ac:dyDescent="0.25">
      <c r="A1183" s="642"/>
      <c r="B1183" s="1012">
        <v>40865</v>
      </c>
      <c r="C1183" s="1013">
        <v>0.09</v>
      </c>
      <c r="D1183" s="1008"/>
      <c r="E1183" s="1013">
        <v>0.01</v>
      </c>
      <c r="F1183" s="1004"/>
      <c r="G1183" s="1014">
        <f>C1183+E1183</f>
        <v>9.9999999999999992E-2</v>
      </c>
      <c r="H1183" s="1004"/>
      <c r="I1183" s="1014">
        <v>0</v>
      </c>
      <c r="J1183" s="1004"/>
      <c r="K1183" s="1015">
        <f>G1183+I1183</f>
        <v>9.9999999999999992E-2</v>
      </c>
      <c r="L1183" s="643"/>
      <c r="M1183" s="230"/>
      <c r="N1183" s="231"/>
      <c r="O1183" s="230"/>
      <c r="V1183" s="48"/>
      <c r="W1183" s="1128"/>
    </row>
    <row r="1184" spans="1:27" ht="15.6" hidden="1" customHeight="1" thickBot="1" x14ac:dyDescent="0.3">
      <c r="A1184" s="642"/>
      <c r="B1184" s="1016" t="str">
        <f>"Average for the Year "&amp;Parameters!C25</f>
        <v>Average for the Year 2011/12</v>
      </c>
      <c r="C1184" s="1017"/>
      <c r="D1184" s="1008"/>
      <c r="E1184" s="1018"/>
      <c r="F1184" s="1004"/>
      <c r="G1184" s="1018"/>
      <c r="H1184" s="1004"/>
      <c r="I1184" s="1018"/>
      <c r="J1184" s="1004"/>
      <c r="K1184" s="1019">
        <f>K1183</f>
        <v>9.9999999999999992E-2</v>
      </c>
      <c r="L1184" s="643"/>
      <c r="M1184" s="230"/>
      <c r="N1184" s="231"/>
      <c r="O1184" s="230"/>
      <c r="V1184" s="48"/>
      <c r="W1184" s="1128"/>
    </row>
    <row r="1185" spans="1:24" ht="15.6" hidden="1" customHeight="1" x14ac:dyDescent="0.25">
      <c r="A1185" s="642"/>
      <c r="B1185" s="1020"/>
      <c r="C1185" s="1021"/>
      <c r="D1185" s="1008"/>
      <c r="E1185" s="2845">
        <f>Parameters!C17</f>
        <v>2012</v>
      </c>
      <c r="F1185" s="2846"/>
      <c r="G1185" s="2847"/>
      <c r="H1185" s="1004"/>
      <c r="I1185" s="2845">
        <f>Parameters!C19</f>
        <v>2011</v>
      </c>
      <c r="J1185" s="2846"/>
      <c r="K1185" s="2847"/>
      <c r="L1185" s="643"/>
      <c r="M1185" s="230"/>
      <c r="N1185" s="231"/>
      <c r="O1185" s="230"/>
      <c r="V1185" s="48"/>
      <c r="W1185" s="1128"/>
    </row>
    <row r="1186" spans="1:24" ht="15.6" hidden="1" customHeight="1" thickBot="1" x14ac:dyDescent="0.3">
      <c r="A1186" s="642"/>
      <c r="B1186" s="1022"/>
      <c r="C1186" s="1023"/>
      <c r="D1186" s="1008"/>
      <c r="E1186" s="1024" t="s">
        <v>2677</v>
      </c>
      <c r="F1186" s="1025"/>
      <c r="G1186" s="1024" t="s">
        <v>2678</v>
      </c>
      <c r="H1186" s="1004"/>
      <c r="I1186" s="1024" t="s">
        <v>2677</v>
      </c>
      <c r="J1186" s="1025"/>
      <c r="K1186" s="1024" t="s">
        <v>2678</v>
      </c>
      <c r="L1186" s="643"/>
      <c r="M1186" s="230"/>
      <c r="N1186" s="231"/>
      <c r="O1186" s="230"/>
      <c r="V1186" s="48"/>
      <c r="W1186" s="1128"/>
    </row>
    <row r="1187" spans="1:24" ht="15.6" hidden="1" customHeight="1" x14ac:dyDescent="0.25">
      <c r="A1187" s="642"/>
      <c r="B1187" s="1009">
        <f>B1177</f>
        <v>40262</v>
      </c>
      <c r="C1187" s="1010"/>
      <c r="D1187" s="1008"/>
      <c r="E1187" s="1026"/>
      <c r="F1187" s="1004"/>
      <c r="G1187" s="1011"/>
      <c r="H1187" s="1004"/>
      <c r="I1187" s="1027">
        <f>$B1188-DATE(2010,6,30)</f>
        <v>71</v>
      </c>
      <c r="J1187" s="1004"/>
      <c r="K1187" s="1011">
        <f>K1177*I1187/365</f>
        <v>2.1397260273972603E-2</v>
      </c>
      <c r="L1187" s="643"/>
      <c r="M1187" s="1028" t="s">
        <v>2679</v>
      </c>
      <c r="N1187" s="231"/>
      <c r="O1187" s="230"/>
      <c r="V1187" s="48"/>
      <c r="W1187" s="1128"/>
    </row>
    <row r="1188" spans="1:24" ht="15.6" hidden="1" customHeight="1" x14ac:dyDescent="0.25">
      <c r="A1188" s="642"/>
      <c r="B1188" s="1012">
        <f>B1178</f>
        <v>40430</v>
      </c>
      <c r="C1188" s="1013"/>
      <c r="D1188" s="1008"/>
      <c r="E1188" s="1029"/>
      <c r="F1188" s="1004"/>
      <c r="G1188" s="1014"/>
      <c r="H1188" s="1004"/>
      <c r="I1188" s="1029">
        <f>$B1189-$B1188</f>
        <v>70</v>
      </c>
      <c r="J1188" s="1004"/>
      <c r="K1188" s="1014">
        <f>K1178*I1188/365</f>
        <v>2.0136986301369862E-2</v>
      </c>
      <c r="L1188" s="643"/>
      <c r="M1188" s="1028" t="s">
        <v>2679</v>
      </c>
      <c r="N1188" s="231"/>
      <c r="O1188" s="230"/>
      <c r="V1188" s="48"/>
      <c r="W1188" s="1128"/>
    </row>
    <row r="1189" spans="1:24" ht="15.6" hidden="1" customHeight="1" x14ac:dyDescent="0.25">
      <c r="A1189" s="642"/>
      <c r="B1189" s="1012">
        <f>B1179</f>
        <v>40500</v>
      </c>
      <c r="C1189" s="1013"/>
      <c r="D1189" s="1008"/>
      <c r="E1189" s="1029"/>
      <c r="F1189" s="1004"/>
      <c r="G1189" s="1014"/>
      <c r="H1189" s="1004"/>
      <c r="I1189" s="1029">
        <f>DATE(2011,6,30)-$B1189</f>
        <v>224</v>
      </c>
      <c r="J1189" s="1004"/>
      <c r="K1189" s="1014">
        <f>K1179*I1189/365</f>
        <v>6.1369863013698629E-2</v>
      </c>
      <c r="L1189" s="643"/>
      <c r="M1189" s="1028" t="s">
        <v>2679</v>
      </c>
      <c r="N1189" s="231"/>
      <c r="O1189" s="230"/>
      <c r="V1189" s="48"/>
      <c r="W1189" s="1128"/>
    </row>
    <row r="1190" spans="1:24" ht="15.6" hidden="1" customHeight="1" x14ac:dyDescent="0.25">
      <c r="A1190" s="642"/>
      <c r="B1190" s="1012">
        <f>B1181</f>
        <v>40501</v>
      </c>
      <c r="C1190" s="1013"/>
      <c r="D1190" s="1008"/>
      <c r="E1190" s="1029">
        <f>$B1191-DATE(2011,6,30)</f>
        <v>71</v>
      </c>
      <c r="F1190" s="1004"/>
      <c r="G1190" s="1014">
        <f>K1181*E1190/365</f>
        <v>1.9452054794520546E-2</v>
      </c>
      <c r="H1190" s="1004"/>
      <c r="I1190" s="1029"/>
      <c r="J1190" s="1004"/>
      <c r="K1190" s="1014"/>
      <c r="L1190" s="643"/>
      <c r="M1190" s="1028" t="s">
        <v>2679</v>
      </c>
      <c r="N1190" s="231"/>
      <c r="O1190" s="230"/>
      <c r="V1190" s="48"/>
      <c r="W1190" s="1128"/>
    </row>
    <row r="1191" spans="1:24" ht="15.6" hidden="1" customHeight="1" x14ac:dyDescent="0.25">
      <c r="A1191" s="642"/>
      <c r="B1191" s="1012">
        <f>B1182</f>
        <v>40795</v>
      </c>
      <c r="C1191" s="1013"/>
      <c r="D1191" s="1008"/>
      <c r="E1191" s="1029">
        <f>$B1192-$B1191</f>
        <v>70</v>
      </c>
      <c r="F1191" s="1004"/>
      <c r="G1191" s="1014">
        <f>K1182*E1191/365</f>
        <v>2.0136986301369862E-2</v>
      </c>
      <c r="H1191" s="1004"/>
      <c r="I1191" s="1029"/>
      <c r="J1191" s="1004"/>
      <c r="K1191" s="1014"/>
      <c r="L1191" s="643"/>
      <c r="M1191" s="1028" t="s">
        <v>2679</v>
      </c>
      <c r="N1191" s="231"/>
      <c r="O1191" s="230"/>
      <c r="P1191" s="1115"/>
      <c r="V1191" s="48"/>
      <c r="W1191" s="1128"/>
    </row>
    <row r="1192" spans="1:24" ht="15.6" hidden="1" customHeight="1" x14ac:dyDescent="0.25">
      <c r="A1192" s="642"/>
      <c r="B1192" s="1012">
        <f>B1183</f>
        <v>40865</v>
      </c>
      <c r="C1192" s="1013"/>
      <c r="D1192" s="1008"/>
      <c r="E1192" s="1029">
        <f>DATE(2012,6,30)-$B1192</f>
        <v>225</v>
      </c>
      <c r="F1192" s="1004"/>
      <c r="G1192" s="1014">
        <f>K1183*E1192/365</f>
        <v>6.1643835616438346E-2</v>
      </c>
      <c r="H1192" s="1004"/>
      <c r="I1192" s="1029"/>
      <c r="J1192" s="1004"/>
      <c r="K1192" s="1014"/>
      <c r="L1192" s="643"/>
      <c r="M1192" s="1028" t="s">
        <v>2679</v>
      </c>
      <c r="N1192" s="231"/>
      <c r="O1192" s="230"/>
      <c r="V1192" s="48"/>
      <c r="W1192" s="1128"/>
    </row>
    <row r="1193" spans="1:24" ht="15.6" hidden="1" customHeight="1" thickBot="1" x14ac:dyDescent="0.3">
      <c r="A1193" s="642"/>
      <c r="B1193" s="1030"/>
      <c r="C1193" s="1030"/>
      <c r="D1193" s="1008"/>
      <c r="E1193" s="1031">
        <f>SUM(E1187:E1192)</f>
        <v>366</v>
      </c>
      <c r="F1193" s="1004"/>
      <c r="G1193" s="1032">
        <f>SUM(G1187:G1192)</f>
        <v>0.10123287671232875</v>
      </c>
      <c r="H1193" s="1004"/>
      <c r="I1193" s="1031">
        <f>SUM(I1187:I1192)</f>
        <v>365</v>
      </c>
      <c r="J1193" s="1004"/>
      <c r="K1193" s="1032">
        <f>SUM(K1187:K1192)</f>
        <v>0.10290410958904109</v>
      </c>
      <c r="L1193" s="643"/>
      <c r="M1193" s="230"/>
      <c r="N1193" s="231"/>
      <c r="O1193" s="230"/>
      <c r="V1193" s="48"/>
      <c r="W1193" s="1128"/>
    </row>
    <row r="1194" spans="1:24" ht="15.6" hidden="1" customHeight="1" thickBot="1" x14ac:dyDescent="0.3">
      <c r="A1194" s="642"/>
      <c r="B1194" s="1002" t="s">
        <v>2701</v>
      </c>
      <c r="C1194" s="1003"/>
      <c r="D1194" s="1004"/>
      <c r="E1194" s="1003"/>
      <c r="F1194" s="1004"/>
      <c r="G1194" s="1003"/>
      <c r="H1194" s="1004"/>
      <c r="I1194" s="1003"/>
      <c r="J1194" s="1004"/>
      <c r="K1194" s="1005"/>
      <c r="L1194" s="643"/>
      <c r="M1194" s="230"/>
      <c r="N1194" s="231"/>
      <c r="O1194" s="230"/>
      <c r="V1194" s="48"/>
      <c r="W1194" s="1128"/>
    </row>
    <row r="1195" spans="1:24" ht="15.6" hidden="1" customHeight="1" thickBot="1" x14ac:dyDescent="0.3">
      <c r="A1195" s="642"/>
      <c r="B1195" s="1033" t="s">
        <v>2702</v>
      </c>
      <c r="C1195" s="1034"/>
      <c r="D1195" s="1008"/>
      <c r="E1195" s="1006"/>
      <c r="F1195" s="1004"/>
      <c r="G1195" s="1006"/>
      <c r="H1195" s="1004"/>
      <c r="I1195" s="1006"/>
      <c r="J1195" s="1004"/>
      <c r="K1195" s="1006"/>
      <c r="L1195" s="643"/>
      <c r="M1195" s="230"/>
      <c r="N1195" s="231"/>
      <c r="O1195" s="230"/>
      <c r="V1195" s="48"/>
      <c r="W1195" s="1128"/>
    </row>
    <row r="1196" spans="1:24" ht="15.6" hidden="1" customHeight="1" x14ac:dyDescent="0.25">
      <c r="A1196" s="642"/>
      <c r="B1196" s="1035" t="s">
        <v>59</v>
      </c>
      <c r="C1196" s="1036"/>
      <c r="D1196" s="1008"/>
      <c r="E1196" s="1037"/>
      <c r="F1196" s="1004"/>
      <c r="G1196" s="1038" t="s">
        <v>340</v>
      </c>
      <c r="H1196" s="1004"/>
      <c r="I1196" s="1039">
        <f>IF(G1196="Yes",'Notes II'!I1160,0)</f>
        <v>8502473.3199999854</v>
      </c>
      <c r="J1196" s="1040"/>
      <c r="K1196" s="1039">
        <f>IF(G1196="Yes",'Notes II'!K1160,0)</f>
        <v>14117074.239999998</v>
      </c>
      <c r="L1196" s="643"/>
      <c r="M1196" s="230"/>
      <c r="N1196" s="231"/>
      <c r="O1196" s="230"/>
      <c r="V1196" s="48"/>
      <c r="W1196" s="1128"/>
    </row>
    <row r="1197" spans="1:24" ht="15.6" hidden="1" customHeight="1" x14ac:dyDescent="0.25">
      <c r="A1197" s="642"/>
      <c r="B1197" s="1035" t="s">
        <v>658</v>
      </c>
      <c r="C1197" s="1036"/>
      <c r="D1197" s="1008"/>
      <c r="E1197" s="1037"/>
      <c r="F1197" s="1004"/>
      <c r="G1197" s="1038" t="s">
        <v>340</v>
      </c>
      <c r="H1197" s="1004"/>
      <c r="I1197" s="1039">
        <f>IF(G1197="Yes",'Notes II'!I1161,0)</f>
        <v>586245.13000000012</v>
      </c>
      <c r="J1197" s="1040"/>
      <c r="K1197" s="1039">
        <f>IF(G1197="Yes",'Notes II'!K1161,0)</f>
        <v>239710.54</v>
      </c>
      <c r="L1197" s="643"/>
      <c r="M1197" s="230"/>
      <c r="N1197" s="231"/>
      <c r="O1197" s="230"/>
      <c r="V1197" s="48"/>
      <c r="W1197" s="1128"/>
    </row>
    <row r="1198" spans="1:24" ht="15.6" hidden="1" customHeight="1" x14ac:dyDescent="0.25">
      <c r="A1198" s="642"/>
      <c r="B1198" s="1035" t="s">
        <v>1416</v>
      </c>
      <c r="C1198" s="1036"/>
      <c r="D1198" s="1008"/>
      <c r="E1198" s="1037"/>
      <c r="F1198" s="1004"/>
      <c r="G1198" s="1038" t="s">
        <v>2684</v>
      </c>
      <c r="H1198" s="1004"/>
      <c r="I1198" s="1039">
        <f>IF(G1198="Yes",'Notes II'!I1162,0)</f>
        <v>0</v>
      </c>
      <c r="J1198" s="1040"/>
      <c r="K1198" s="1039">
        <f>IF(G1198="Yes",'Notes II'!K1162,0)</f>
        <v>0</v>
      </c>
      <c r="L1198" s="643"/>
      <c r="M1198" s="230"/>
      <c r="N1198" s="231"/>
      <c r="O1198" s="230"/>
      <c r="V1198" s="48"/>
      <c r="W1198" s="1128"/>
    </row>
    <row r="1199" spans="1:24" ht="15.6" hidden="1" customHeight="1" x14ac:dyDescent="0.25">
      <c r="A1199" s="642"/>
      <c r="B1199" s="1035" t="s">
        <v>659</v>
      </c>
      <c r="C1199" s="1036"/>
      <c r="D1199" s="1008"/>
      <c r="E1199" s="1037"/>
      <c r="F1199" s="1004"/>
      <c r="G1199" s="1038" t="s">
        <v>2684</v>
      </c>
      <c r="H1199" s="1004"/>
      <c r="I1199" s="1039">
        <f>IF(G1199="Yes",'Notes II'!I1163,0)</f>
        <v>0</v>
      </c>
      <c r="J1199" s="1040"/>
      <c r="K1199" s="1039">
        <f>IF(G1199="Yes",'Notes II'!K1163,0)</f>
        <v>0</v>
      </c>
      <c r="L1199" s="643"/>
      <c r="M1199" s="230"/>
      <c r="N1199" s="231"/>
      <c r="O1199" s="230"/>
      <c r="V1199" s="48"/>
      <c r="W1199" s="1128"/>
      <c r="X1199" s="230"/>
    </row>
    <row r="1200" spans="1:24" ht="15.6" hidden="1" customHeight="1" x14ac:dyDescent="0.25">
      <c r="A1200" s="642"/>
      <c r="B1200" s="1035" t="s">
        <v>2721</v>
      </c>
      <c r="C1200" s="1036"/>
      <c r="D1200" s="1008"/>
      <c r="E1200" s="1037"/>
      <c r="F1200" s="1004"/>
      <c r="G1200" s="1038" t="s">
        <v>340</v>
      </c>
      <c r="H1200" s="1004"/>
      <c r="I1200" s="1039">
        <f>IF(G1200="Yes",'Notes II'!I1164,0)</f>
        <v>834728.32000000007</v>
      </c>
      <c r="J1200" s="1040"/>
      <c r="K1200" s="1039">
        <f>IF(G1200="Yes",'Notes II'!K1164,0)</f>
        <v>689433.13</v>
      </c>
      <c r="L1200" s="643"/>
      <c r="M1200" s="230"/>
      <c r="N1200" s="231"/>
      <c r="O1200" s="230"/>
      <c r="V1200" s="48"/>
      <c r="W1200" s="1128"/>
      <c r="X1200" s="230"/>
    </row>
    <row r="1201" spans="1:27" ht="15.6" hidden="1" customHeight="1" x14ac:dyDescent="0.25">
      <c r="A1201" s="642"/>
      <c r="B1201" s="1035" t="s">
        <v>1975</v>
      </c>
      <c r="C1201" s="1036"/>
      <c r="D1201" s="1008"/>
      <c r="E1201" s="1037"/>
      <c r="F1201" s="1004"/>
      <c r="G1201" s="1038" t="s">
        <v>340</v>
      </c>
      <c r="H1201" s="1004"/>
      <c r="I1201" s="1039">
        <f>IF(G1201="Yes",'Notes II'!I1166,0)</f>
        <v>2147944.41</v>
      </c>
      <c r="J1201" s="1040"/>
      <c r="K1201" s="1039">
        <f>IF(G1201="Yes",'Notes II'!K1166,0)</f>
        <v>2147944.4300000002</v>
      </c>
      <c r="L1201" s="643"/>
      <c r="M1201" s="230"/>
      <c r="N1201" s="231"/>
      <c r="O1201" s="230"/>
      <c r="V1201" s="48"/>
      <c r="W1201" s="1128"/>
      <c r="X1201" s="230"/>
    </row>
    <row r="1202" spans="1:27" ht="15.6" hidden="1" customHeight="1" x14ac:dyDescent="0.25">
      <c r="A1202" s="642"/>
      <c r="B1202" s="1035" t="s">
        <v>3627</v>
      </c>
      <c r="C1202" s="1036"/>
      <c r="D1202" s="1008"/>
      <c r="E1202" s="1037"/>
      <c r="F1202" s="1004"/>
      <c r="G1202" s="1038" t="s">
        <v>2684</v>
      </c>
      <c r="H1202" s="1004"/>
      <c r="I1202" s="1039">
        <f>IF(G1202="Yes",'Notes II'!I1167,0)</f>
        <v>0</v>
      </c>
      <c r="J1202" s="1040"/>
      <c r="K1202" s="1039">
        <f>IF(G1202="Yes",'Notes II'!K1167,0)</f>
        <v>0</v>
      </c>
      <c r="L1202" s="643"/>
      <c r="M1202" s="230"/>
      <c r="N1202" s="231"/>
      <c r="O1202" s="230"/>
      <c r="V1202" s="48"/>
      <c r="W1202" s="1128"/>
      <c r="X1202" s="230"/>
    </row>
    <row r="1203" spans="1:27" ht="15.6" hidden="1" customHeight="1" x14ac:dyDescent="0.25">
      <c r="A1203" s="642"/>
      <c r="B1203" s="1035" t="s">
        <v>660</v>
      </c>
      <c r="C1203" s="1036"/>
      <c r="D1203" s="1008"/>
      <c r="E1203" s="1037"/>
      <c r="F1203" s="1004"/>
      <c r="G1203" s="1038" t="s">
        <v>340</v>
      </c>
      <c r="H1203" s="1004"/>
      <c r="I1203" s="1039">
        <f>IF(G1203="Yes",'Notes II'!I1168,0)</f>
        <v>1041707.1500000001</v>
      </c>
      <c r="J1203" s="1040"/>
      <c r="K1203" s="1039">
        <f>IF(G1203="Yes",'Notes II'!K1168,0)</f>
        <v>236574.36</v>
      </c>
      <c r="L1203" s="643"/>
      <c r="M1203" s="230"/>
      <c r="N1203" s="231"/>
      <c r="O1203" s="230"/>
      <c r="V1203" s="48"/>
      <c r="W1203" s="1128"/>
      <c r="X1203" s="230"/>
    </row>
    <row r="1204" spans="1:27" ht="15.6" hidden="1" customHeight="1" x14ac:dyDescent="0.25">
      <c r="A1204" s="642"/>
      <c r="B1204" s="1035" t="s">
        <v>60</v>
      </c>
      <c r="C1204" s="1036"/>
      <c r="D1204" s="1008"/>
      <c r="E1204" s="1037"/>
      <c r="F1204" s="1004"/>
      <c r="G1204" s="1038" t="s">
        <v>340</v>
      </c>
      <c r="H1204" s="1004"/>
      <c r="I1204" s="1039">
        <f>IF(G1204="Yes",'Notes II'!I1169,0)</f>
        <v>100570.93</v>
      </c>
      <c r="J1204" s="1040"/>
      <c r="K1204" s="1039">
        <f>IF(G1204="Yes",'Notes II'!K1169,0)</f>
        <v>76648.03</v>
      </c>
      <c r="L1204" s="643"/>
      <c r="M1204" s="230"/>
      <c r="N1204" s="231"/>
      <c r="O1204" s="230"/>
      <c r="V1204" s="48"/>
      <c r="W1204" s="1128"/>
      <c r="X1204" s="230"/>
    </row>
    <row r="1205" spans="1:27" s="230" customFormat="1" ht="15.6" hidden="1" customHeight="1" thickBot="1" x14ac:dyDescent="0.3">
      <c r="A1205" s="645"/>
      <c r="B1205" s="1041" t="s">
        <v>2682</v>
      </c>
      <c r="C1205" s="1042"/>
      <c r="D1205" s="1004"/>
      <c r="E1205" s="1043"/>
      <c r="F1205" s="1004"/>
      <c r="G1205" s="1044"/>
      <c r="H1205" s="1045">
        <v>-234</v>
      </c>
      <c r="I1205" s="1046">
        <f>SUM(I1196:I1204)</f>
        <v>13213669.259999987</v>
      </c>
      <c r="J1205" s="1047"/>
      <c r="K1205" s="1046">
        <f>SUM(K1196:K1204)</f>
        <v>17507384.73</v>
      </c>
      <c r="L1205" s="648"/>
      <c r="N1205" s="231"/>
      <c r="P1205" s="1110"/>
      <c r="Q1205" s="1111"/>
      <c r="R1205" s="1111"/>
      <c r="S1205" s="1111"/>
      <c r="T1205" s="1111"/>
      <c r="U1205" s="1112"/>
      <c r="V1205" s="48"/>
      <c r="W1205" s="1128"/>
    </row>
    <row r="1206" spans="1:27" s="230" customFormat="1" ht="15.6" hidden="1" customHeight="1" thickBot="1" x14ac:dyDescent="0.3">
      <c r="A1206" s="645"/>
      <c r="B1206" s="1048"/>
      <c r="C1206" s="1048"/>
      <c r="D1206" s="1004"/>
      <c r="E1206" s="1048"/>
      <c r="F1206" s="1004"/>
      <c r="G1206" s="1004"/>
      <c r="H1206" s="1004"/>
      <c r="I1206" s="1005"/>
      <c r="J1206" s="1049"/>
      <c r="K1206" s="1005"/>
      <c r="L1206" s="648"/>
      <c r="N1206" s="231"/>
      <c r="P1206" s="1110"/>
      <c r="Q1206" s="1111"/>
      <c r="R1206" s="1111"/>
      <c r="S1206" s="1111"/>
      <c r="T1206" s="1111"/>
      <c r="U1206" s="1112"/>
      <c r="V1206" s="48"/>
      <c r="W1206" s="1128"/>
      <c r="Y1206" s="48"/>
      <c r="Z1206" s="48"/>
      <c r="AA1206" s="48"/>
    </row>
    <row r="1207" spans="1:27" ht="15.6" hidden="1" customHeight="1" thickBot="1" x14ac:dyDescent="0.3">
      <c r="A1207" s="642"/>
      <c r="B1207" s="1033" t="s">
        <v>2683</v>
      </c>
      <c r="C1207" s="1034"/>
      <c r="D1207" s="1008"/>
      <c r="E1207" s="1006"/>
      <c r="F1207" s="1004"/>
      <c r="G1207" s="1006"/>
      <c r="H1207" s="1004"/>
      <c r="I1207" s="1006"/>
      <c r="J1207" s="1004"/>
      <c r="K1207" s="1006"/>
      <c r="L1207" s="643"/>
      <c r="M1207" s="230"/>
      <c r="N1207" s="231"/>
      <c r="O1207" s="230"/>
      <c r="V1207" s="48"/>
      <c r="W1207" s="1128"/>
      <c r="X1207" s="230"/>
    </row>
    <row r="1208" spans="1:27" ht="15.6" hidden="1" customHeight="1" x14ac:dyDescent="0.25">
      <c r="A1208" s="642"/>
      <c r="B1208" s="1035" t="s">
        <v>416</v>
      </c>
      <c r="C1208" s="1036"/>
      <c r="D1208" s="1008"/>
      <c r="E1208" s="1037"/>
      <c r="F1208" s="1004"/>
      <c r="G1208" s="1038" t="s">
        <v>2684</v>
      </c>
      <c r="H1208" s="1004"/>
      <c r="I1208" s="1039">
        <f>IF(G1208="Yes",'Fin Perform'!I33,0)</f>
        <v>0</v>
      </c>
      <c r="J1208" s="1040"/>
      <c r="K1208" s="1039">
        <f>IF(G1208="Yes",'Fin Perform'!K33,0)</f>
        <v>0</v>
      </c>
      <c r="L1208" s="643"/>
      <c r="M1208" s="230"/>
      <c r="N1208" s="231"/>
      <c r="O1208" s="230"/>
      <c r="V1208" s="48"/>
      <c r="W1208" s="1128"/>
      <c r="X1208" s="230"/>
    </row>
    <row r="1209" spans="1:27" ht="15.6" hidden="1" customHeight="1" x14ac:dyDescent="0.25">
      <c r="A1209" s="642"/>
      <c r="B1209" s="1035" t="s">
        <v>250</v>
      </c>
      <c r="C1209" s="1036"/>
      <c r="D1209" s="1008"/>
      <c r="E1209" s="1037"/>
      <c r="F1209" s="1004"/>
      <c r="G1209" s="1038" t="s">
        <v>2684</v>
      </c>
      <c r="H1209" s="1004"/>
      <c r="I1209" s="1039">
        <f>IF(G1209="Yes",'Fin Perform'!I34,0)</f>
        <v>0</v>
      </c>
      <c r="J1209" s="1040"/>
      <c r="K1209" s="1039">
        <f>IF(G1209="Yes",'Fin Perform'!K34,0)</f>
        <v>0</v>
      </c>
      <c r="L1209" s="643"/>
      <c r="M1209" s="230"/>
      <c r="N1209" s="231"/>
      <c r="O1209" s="230"/>
      <c r="V1209" s="48"/>
      <c r="W1209" s="1128"/>
      <c r="X1209" s="230"/>
    </row>
    <row r="1210" spans="1:27" ht="15.6" hidden="1" customHeight="1" x14ac:dyDescent="0.25">
      <c r="A1210" s="642"/>
      <c r="B1210" s="1035" t="s">
        <v>417</v>
      </c>
      <c r="C1210" s="1036"/>
      <c r="D1210" s="1008"/>
      <c r="E1210" s="1037"/>
      <c r="F1210" s="1004"/>
      <c r="G1210" s="1038" t="s">
        <v>2684</v>
      </c>
      <c r="H1210" s="1004"/>
      <c r="I1210" s="1039">
        <f>IF(G1210="Yes",'Fin Perform'!I35,0)</f>
        <v>0</v>
      </c>
      <c r="J1210" s="1040"/>
      <c r="K1210" s="1039">
        <f>IF(G1210="Yes",'Fin Perform'!K35,0)</f>
        <v>0</v>
      </c>
      <c r="L1210" s="643"/>
      <c r="M1210" s="230"/>
      <c r="N1210" s="231"/>
      <c r="O1210" s="230"/>
      <c r="V1210" s="48"/>
      <c r="W1210" s="1128"/>
      <c r="X1210" s="230"/>
    </row>
    <row r="1211" spans="1:27" ht="15.6" hidden="1" customHeight="1" x14ac:dyDescent="0.25">
      <c r="A1211" s="642"/>
      <c r="B1211" s="1035" t="s">
        <v>792</v>
      </c>
      <c r="C1211" s="1036"/>
      <c r="D1211" s="1008"/>
      <c r="E1211" s="1037"/>
      <c r="F1211" s="1004"/>
      <c r="G1211" s="1038" t="s">
        <v>2684</v>
      </c>
      <c r="H1211" s="1004"/>
      <c r="I1211" s="1039">
        <f>IF(G1211="Yes",'Fin Perform'!I36,0)</f>
        <v>0</v>
      </c>
      <c r="J1211" s="1040"/>
      <c r="K1211" s="1039">
        <f>IF(G1211="Yes",'Fin Perform'!K36,0)</f>
        <v>0</v>
      </c>
      <c r="L1211" s="643"/>
      <c r="M1211" s="230"/>
      <c r="N1211" s="231"/>
      <c r="O1211" s="230"/>
      <c r="V1211" s="48"/>
      <c r="W1211" s="1128"/>
      <c r="X1211" s="230"/>
    </row>
    <row r="1212" spans="1:27" ht="15.6" hidden="1" customHeight="1" x14ac:dyDescent="0.25">
      <c r="A1212" s="642"/>
      <c r="B1212" s="1035" t="s">
        <v>154</v>
      </c>
      <c r="C1212" s="1036"/>
      <c r="D1212" s="1008"/>
      <c r="E1212" s="1037"/>
      <c r="F1212" s="1004"/>
      <c r="G1212" s="1038" t="s">
        <v>2684</v>
      </c>
      <c r="H1212" s="1004"/>
      <c r="I1212" s="1039">
        <f>IF(G1212="Yes",'Fin Perform'!I37,0)</f>
        <v>0</v>
      </c>
      <c r="J1212" s="1040"/>
      <c r="K1212" s="1039">
        <f>IF(G1212="Yes",'Fin Perform'!K37,0)</f>
        <v>0</v>
      </c>
      <c r="L1212" s="643"/>
      <c r="M1212" s="230"/>
      <c r="N1212" s="231"/>
      <c r="O1212" s="230"/>
      <c r="V1212" s="48"/>
      <c r="W1212" s="1128"/>
      <c r="X1212" s="230"/>
    </row>
    <row r="1213" spans="1:27" ht="15.6" hidden="1" customHeight="1" x14ac:dyDescent="0.25">
      <c r="A1213" s="642"/>
      <c r="B1213" s="1035" t="s">
        <v>418</v>
      </c>
      <c r="C1213" s="1036"/>
      <c r="D1213" s="1008"/>
      <c r="E1213" s="1037"/>
      <c r="F1213" s="1004"/>
      <c r="G1213" s="1038" t="s">
        <v>2684</v>
      </c>
      <c r="H1213" s="1004"/>
      <c r="I1213" s="1039">
        <f>IF(G1213="Yes",'Fin Perform'!I38,0)</f>
        <v>0</v>
      </c>
      <c r="J1213" s="1040"/>
      <c r="K1213" s="1039">
        <f>IF(G1213="Yes",'Fin Perform'!K38,0)</f>
        <v>0</v>
      </c>
      <c r="L1213" s="643"/>
      <c r="M1213" s="230"/>
      <c r="N1213" s="231"/>
      <c r="O1213" s="230"/>
      <c r="V1213" s="48"/>
      <c r="W1213" s="1128"/>
      <c r="X1213" s="230"/>
    </row>
    <row r="1214" spans="1:27" ht="15.6" hidden="1" customHeight="1" x14ac:dyDescent="0.25">
      <c r="A1214" s="642"/>
      <c r="B1214" s="1035" t="s">
        <v>1455</v>
      </c>
      <c r="C1214" s="1036"/>
      <c r="D1214" s="1008"/>
      <c r="E1214" s="1037"/>
      <c r="F1214" s="1004"/>
      <c r="G1214" s="1038" t="s">
        <v>2684</v>
      </c>
      <c r="H1214" s="1004"/>
      <c r="I1214" s="1039">
        <f>IF(G1214="Yes",'Fin Perform'!I39,0)</f>
        <v>0</v>
      </c>
      <c r="J1214" s="1040"/>
      <c r="K1214" s="1039">
        <f>IF(G1214="Yes",'Fin Perform'!K39,0)</f>
        <v>0</v>
      </c>
      <c r="L1214" s="643"/>
      <c r="M1214" s="230"/>
      <c r="N1214" s="231"/>
      <c r="O1214" s="230"/>
      <c r="V1214" s="48"/>
      <c r="W1214" s="1128"/>
      <c r="X1214" s="230"/>
    </row>
    <row r="1215" spans="1:27" ht="15.6" hidden="1" customHeight="1" x14ac:dyDescent="0.25">
      <c r="A1215" s="642"/>
      <c r="B1215" s="1035" t="s">
        <v>420</v>
      </c>
      <c r="C1215" s="1036"/>
      <c r="D1215" s="1008"/>
      <c r="E1215" s="1037"/>
      <c r="F1215" s="1004"/>
      <c r="G1215" s="1038" t="s">
        <v>340</v>
      </c>
      <c r="H1215" s="1004"/>
      <c r="I1215" s="1039">
        <f>IF(G1215="Yes",'Fin Perform'!I40,0)</f>
        <v>14183362.850000001</v>
      </c>
      <c r="J1215" s="1040"/>
      <c r="K1215" s="1039">
        <f>IF(G1215="Yes",'Fin Perform'!K40,0)</f>
        <v>16136859.409999998</v>
      </c>
      <c r="L1215" s="643"/>
      <c r="M1215" s="230"/>
      <c r="N1215" s="231"/>
      <c r="O1215" s="230"/>
      <c r="V1215" s="48"/>
      <c r="W1215" s="1128"/>
      <c r="X1215" s="230"/>
    </row>
    <row r="1216" spans="1:27" ht="15.6" hidden="1" customHeight="1" x14ac:dyDescent="0.25">
      <c r="A1216" s="642"/>
      <c r="B1216" s="1035" t="s">
        <v>421</v>
      </c>
      <c r="C1216" s="1036"/>
      <c r="D1216" s="1008"/>
      <c r="E1216" s="1037"/>
      <c r="F1216" s="1004"/>
      <c r="G1216" s="1038" t="s">
        <v>340</v>
      </c>
      <c r="H1216" s="1004"/>
      <c r="I1216" s="1039">
        <f>IF(G1216="Yes",'Fin Perform'!I41,0)</f>
        <v>5169265.92</v>
      </c>
      <c r="J1216" s="1040"/>
      <c r="K1216" s="1039">
        <f>IF(G1216="Yes",'Fin Perform'!K41,0)</f>
        <v>8020299.459999999</v>
      </c>
      <c r="L1216" s="643"/>
      <c r="M1216" s="230"/>
      <c r="N1216" s="231"/>
      <c r="O1216" s="230"/>
      <c r="V1216" s="48"/>
      <c r="W1216" s="1128"/>
      <c r="X1216" s="230"/>
    </row>
    <row r="1217" spans="1:27" ht="15.6" hidden="1" customHeight="1" x14ac:dyDescent="0.25">
      <c r="A1217" s="642"/>
      <c r="B1217" s="1035" t="s">
        <v>422</v>
      </c>
      <c r="C1217" s="1036"/>
      <c r="D1217" s="1008"/>
      <c r="E1217" s="1037"/>
      <c r="F1217" s="1004"/>
      <c r="G1217" s="1038" t="s">
        <v>2684</v>
      </c>
      <c r="H1217" s="1004"/>
      <c r="I1217" s="1039">
        <f>IF(G1217="Yes",'Fin Perform'!I42,0)</f>
        <v>0</v>
      </c>
      <c r="J1217" s="1040"/>
      <c r="K1217" s="1039">
        <f>IF(G1217="Yes",'Fin Perform'!K42,0)</f>
        <v>0</v>
      </c>
      <c r="L1217" s="643"/>
      <c r="M1217" s="230"/>
      <c r="N1217" s="231"/>
      <c r="O1217" s="230"/>
      <c r="V1217" s="48"/>
      <c r="W1217" s="1128"/>
      <c r="X1217" s="230"/>
    </row>
    <row r="1218" spans="1:27" ht="15.6" hidden="1" customHeight="1" x14ac:dyDescent="0.25">
      <c r="A1218" s="642"/>
      <c r="B1218" s="1035" t="s">
        <v>793</v>
      </c>
      <c r="C1218" s="1036"/>
      <c r="D1218" s="1008"/>
      <c r="E1218" s="1037"/>
      <c r="F1218" s="1004"/>
      <c r="G1218" s="1038" t="s">
        <v>340</v>
      </c>
      <c r="H1218" s="1004"/>
      <c r="I1218" s="1039">
        <f>IF(G1218="Yes",'Fin Perform'!I43,0)</f>
        <v>0</v>
      </c>
      <c r="J1218" s="1040"/>
      <c r="K1218" s="1039">
        <f>IF(G1218="Yes",'Fin Perform'!K43,0)</f>
        <v>0</v>
      </c>
      <c r="L1218" s="643"/>
      <c r="M1218" s="230"/>
      <c r="N1218" s="231"/>
      <c r="O1218" s="230"/>
      <c r="V1218" s="48"/>
      <c r="W1218" s="1128"/>
      <c r="X1218" s="230"/>
    </row>
    <row r="1219" spans="1:27" ht="15.6" hidden="1" customHeight="1" x14ac:dyDescent="0.25">
      <c r="A1219" s="642"/>
      <c r="B1219" s="1035" t="s">
        <v>423</v>
      </c>
      <c r="C1219" s="1036"/>
      <c r="D1219" s="1008"/>
      <c r="E1219" s="1037"/>
      <c r="F1219" s="1004"/>
      <c r="G1219" s="1038" t="s">
        <v>2684</v>
      </c>
      <c r="H1219" s="1004"/>
      <c r="I1219" s="1039">
        <f>IF(G1219="Yes",'Fin Perform'!I44,0)</f>
        <v>0</v>
      </c>
      <c r="J1219" s="1040"/>
      <c r="K1219" s="1039">
        <f>IF(G1219="Yes",'Fin Perform'!K44,0)</f>
        <v>0</v>
      </c>
      <c r="L1219" s="643"/>
      <c r="M1219" s="230"/>
      <c r="N1219" s="231"/>
      <c r="O1219" s="230"/>
      <c r="V1219" s="48"/>
      <c r="W1219" s="1128"/>
      <c r="X1219" s="230"/>
    </row>
    <row r="1220" spans="1:27" ht="15.6" hidden="1" customHeight="1" x14ac:dyDescent="0.25">
      <c r="A1220" s="642"/>
      <c r="B1220" s="1035" t="s">
        <v>794</v>
      </c>
      <c r="C1220" s="1036"/>
      <c r="D1220" s="1008"/>
      <c r="E1220" s="1037"/>
      <c r="F1220" s="1004"/>
      <c r="G1220" s="1038" t="s">
        <v>2684</v>
      </c>
      <c r="H1220" s="1004"/>
      <c r="I1220" s="1039">
        <f>IF(G1220="Yes",'Fin Perform'!I45,0)</f>
        <v>0</v>
      </c>
      <c r="J1220" s="1040"/>
      <c r="K1220" s="1039">
        <f>IF(G1220="Yes",'Fin Perform'!K45,0)</f>
        <v>0</v>
      </c>
      <c r="L1220" s="643"/>
      <c r="M1220" s="230"/>
      <c r="N1220" s="231"/>
      <c r="O1220" s="230"/>
      <c r="V1220" s="48"/>
      <c r="W1220" s="1128"/>
      <c r="X1220" s="230"/>
    </row>
    <row r="1221" spans="1:27" ht="15.6" hidden="1" customHeight="1" x14ac:dyDescent="0.25">
      <c r="A1221" s="642"/>
      <c r="B1221" s="1035" t="s">
        <v>1462</v>
      </c>
      <c r="C1221" s="1036"/>
      <c r="D1221" s="1008"/>
      <c r="E1221" s="1037"/>
      <c r="F1221" s="1004"/>
      <c r="G1221" s="1038" t="s">
        <v>2684</v>
      </c>
      <c r="H1221" s="1004"/>
      <c r="I1221" s="1039">
        <f>IF(G1221="Yes",'Fin Perform'!I46,0)</f>
        <v>0</v>
      </c>
      <c r="J1221" s="1040"/>
      <c r="K1221" s="1039">
        <f>IF(G1221="Yes",'Fin Perform'!K46,0)</f>
        <v>0</v>
      </c>
      <c r="L1221" s="643"/>
      <c r="M1221" s="230"/>
      <c r="N1221" s="231"/>
      <c r="O1221" s="230"/>
      <c r="V1221" s="48"/>
      <c r="W1221" s="1128"/>
      <c r="X1221" s="230"/>
    </row>
    <row r="1222" spans="1:27" ht="15.6" hidden="1" customHeight="1" x14ac:dyDescent="0.25">
      <c r="A1222" s="642"/>
      <c r="B1222" s="1035" t="s">
        <v>2703</v>
      </c>
      <c r="C1222" s="1036"/>
      <c r="D1222" s="1008"/>
      <c r="E1222" s="1037"/>
      <c r="F1222" s="1004"/>
      <c r="G1222" s="1038" t="s">
        <v>340</v>
      </c>
      <c r="H1222" s="1004"/>
      <c r="I1222" s="1039">
        <f>IF(G1222="Yes",'PPE Note'!K25,0)</f>
        <v>0</v>
      </c>
      <c r="J1222" s="1040"/>
      <c r="K1222" s="1039">
        <f>IF(G1222="Yes",'PPE Note'!K96,0)</f>
        <v>12232169.370000001</v>
      </c>
      <c r="L1222" s="643"/>
      <c r="M1222" s="230"/>
      <c r="N1222" s="231"/>
      <c r="O1222" s="230"/>
      <c r="V1222" s="48"/>
      <c r="W1222" s="1128"/>
      <c r="X1222" s="230"/>
    </row>
    <row r="1223" spans="1:27" ht="15.6" hidden="1" customHeight="1" x14ac:dyDescent="0.25">
      <c r="A1223" s="642"/>
      <c r="B1223" s="1035" t="s">
        <v>2704</v>
      </c>
      <c r="C1223" s="1036"/>
      <c r="D1223" s="1008"/>
      <c r="E1223" s="1037"/>
      <c r="F1223" s="1004"/>
      <c r="G1223" s="1038" t="s">
        <v>340</v>
      </c>
      <c r="H1223" s="1004"/>
      <c r="I1223" s="1039">
        <f>IF(G1223="Yes",'PPE Note'!K28,0)</f>
        <v>20098951.68</v>
      </c>
      <c r="J1223" s="1040"/>
      <c r="K1223" s="1039">
        <f>IF(G1223="Yes",'PPE Note'!K99,0)</f>
        <v>17748057.699999999</v>
      </c>
      <c r="L1223" s="643"/>
      <c r="M1223" s="230"/>
      <c r="N1223" s="231"/>
      <c r="O1223" s="230"/>
      <c r="V1223" s="48"/>
      <c r="W1223" s="1128"/>
      <c r="X1223" s="230"/>
    </row>
    <row r="1224" spans="1:27" ht="15.6" hidden="1" customHeight="1" x14ac:dyDescent="0.25">
      <c r="A1224" s="642"/>
      <c r="B1224" s="1035" t="s">
        <v>2705</v>
      </c>
      <c r="C1224" s="1036"/>
      <c r="D1224" s="1008"/>
      <c r="E1224" s="1037"/>
      <c r="F1224" s="1004"/>
      <c r="G1224" s="1038" t="s">
        <v>340</v>
      </c>
      <c r="H1224" s="1004"/>
      <c r="I1224" s="1039">
        <f>IF(G1224="Yes",'Notes II'!K171,0)</f>
        <v>0</v>
      </c>
      <c r="J1224" s="1040"/>
      <c r="K1224" s="1039">
        <f>IF(G1224="Yes",'Notes II'!K211,0)</f>
        <v>0</v>
      </c>
      <c r="L1224" s="643"/>
      <c r="M1224" s="230"/>
      <c r="N1224" s="231"/>
      <c r="O1224" s="230"/>
      <c r="V1224" s="48"/>
      <c r="W1224" s="1128"/>
      <c r="X1224" s="230"/>
    </row>
    <row r="1225" spans="1:27" ht="15.6" hidden="1" customHeight="1" x14ac:dyDescent="0.25">
      <c r="A1225" s="642"/>
      <c r="B1225" s="1035" t="s">
        <v>2706</v>
      </c>
      <c r="C1225" s="1036"/>
      <c r="D1225" s="1008"/>
      <c r="E1225" s="1037"/>
      <c r="F1225" s="1004"/>
      <c r="G1225" s="1038" t="s">
        <v>340</v>
      </c>
      <c r="H1225" s="1004"/>
      <c r="I1225" s="1039">
        <f>IF(G1225="Yes",'Notes II'!I360,0)</f>
        <v>0</v>
      </c>
      <c r="J1225" s="1040"/>
      <c r="K1225" s="1039">
        <f>IF(G1225="Yes",'Notes II'!K360,0)</f>
        <v>0</v>
      </c>
      <c r="L1225" s="643"/>
      <c r="M1225" s="230"/>
      <c r="N1225" s="231"/>
      <c r="O1225" s="230"/>
      <c r="V1225" s="48"/>
      <c r="W1225" s="1128"/>
      <c r="X1225" s="230"/>
      <c r="Y1225" s="230"/>
      <c r="Z1225" s="230"/>
      <c r="AA1225" s="230"/>
    </row>
    <row r="1226" spans="1:27" s="230" customFormat="1" ht="15.6" hidden="1" customHeight="1" thickBot="1" x14ac:dyDescent="0.3">
      <c r="A1226" s="645"/>
      <c r="B1226" s="1041" t="s">
        <v>2685</v>
      </c>
      <c r="C1226" s="1042"/>
      <c r="D1226" s="1004"/>
      <c r="E1226" s="1043"/>
      <c r="F1226" s="1004"/>
      <c r="G1226" s="1044"/>
      <c r="H1226" s="1045">
        <v>-234</v>
      </c>
      <c r="I1226" s="1046">
        <f>SUM(I1208:I1225)</f>
        <v>39451580.450000003</v>
      </c>
      <c r="J1226" s="1047"/>
      <c r="K1226" s="1046">
        <f>SUM(K1208:K1225)</f>
        <v>54137385.939999998</v>
      </c>
      <c r="L1226" s="648"/>
      <c r="N1226" s="231"/>
      <c r="P1226" s="1110"/>
      <c r="Q1226" s="1111"/>
      <c r="R1226" s="1111"/>
      <c r="S1226" s="1111"/>
      <c r="T1226" s="1111"/>
      <c r="U1226" s="1112"/>
      <c r="V1226" s="48"/>
      <c r="W1226" s="1128"/>
    </row>
    <row r="1227" spans="1:27" s="230" customFormat="1" ht="15.6" hidden="1" customHeight="1" thickBot="1" x14ac:dyDescent="0.3">
      <c r="A1227" s="645"/>
      <c r="B1227" s="1048"/>
      <c r="C1227" s="1048"/>
      <c r="D1227" s="1004"/>
      <c r="E1227" s="1048"/>
      <c r="F1227" s="1004"/>
      <c r="G1227" s="1004"/>
      <c r="H1227" s="1004"/>
      <c r="I1227" s="1005"/>
      <c r="J1227" s="1049"/>
      <c r="K1227" s="1005"/>
      <c r="L1227" s="648"/>
      <c r="N1227" s="231"/>
      <c r="P1227" s="1110"/>
      <c r="Q1227" s="1111"/>
      <c r="R1227" s="1111"/>
      <c r="S1227" s="1111"/>
      <c r="T1227" s="1111"/>
      <c r="U1227" s="1112"/>
      <c r="V1227" s="48"/>
      <c r="W1227" s="1128"/>
      <c r="Y1227" s="48"/>
      <c r="Z1227" s="48"/>
      <c r="AA1227" s="48"/>
    </row>
    <row r="1228" spans="1:27" ht="15.6" hidden="1" customHeight="1" thickBot="1" x14ac:dyDescent="0.3">
      <c r="A1228" s="642"/>
      <c r="B1228" s="1033" t="s">
        <v>2686</v>
      </c>
      <c r="C1228" s="1034"/>
      <c r="D1228" s="1008"/>
      <c r="E1228" s="1006"/>
      <c r="F1228" s="1004"/>
      <c r="G1228" s="1006"/>
      <c r="H1228" s="1004"/>
      <c r="I1228" s="1006"/>
      <c r="J1228" s="1004"/>
      <c r="K1228" s="1006"/>
      <c r="L1228" s="643"/>
      <c r="M1228" s="230"/>
      <c r="N1228" s="231"/>
      <c r="O1228" s="230"/>
      <c r="V1228" s="48"/>
      <c r="W1228" s="1128"/>
      <c r="X1228" s="230"/>
    </row>
    <row r="1229" spans="1:27" ht="15.6" hidden="1" customHeight="1" x14ac:dyDescent="0.25">
      <c r="A1229" s="642"/>
      <c r="B1229" s="1035"/>
      <c r="C1229" s="1036"/>
      <c r="D1229" s="1008"/>
      <c r="E1229" s="1037"/>
      <c r="F1229" s="1004"/>
      <c r="G1229" s="1038"/>
      <c r="H1229" s="1004"/>
      <c r="I1229" s="1050"/>
      <c r="J1229" s="1051"/>
      <c r="K1229" s="1050"/>
      <c r="L1229" s="643"/>
      <c r="M1229" s="230"/>
      <c r="N1229" s="231"/>
      <c r="O1229" s="230"/>
      <c r="V1229" s="48"/>
      <c r="W1229" s="1128"/>
      <c r="X1229" s="230"/>
    </row>
    <row r="1230" spans="1:27" ht="15.6" hidden="1" customHeight="1" x14ac:dyDescent="0.25">
      <c r="A1230" s="642"/>
      <c r="B1230" s="1052" t="s">
        <v>2687</v>
      </c>
      <c r="C1230" s="1036"/>
      <c r="D1230" s="1008"/>
      <c r="E1230" s="1037"/>
      <c r="F1230" s="1004"/>
      <c r="G1230" s="1038"/>
      <c r="H1230" s="1004"/>
      <c r="I1230" s="1050"/>
      <c r="J1230" s="1051"/>
      <c r="K1230" s="1050"/>
      <c r="L1230" s="643"/>
      <c r="M1230" s="230"/>
      <c r="N1230" s="231"/>
      <c r="O1230" s="230"/>
      <c r="V1230" s="48"/>
      <c r="W1230" s="1128"/>
      <c r="X1230" s="230"/>
    </row>
    <row r="1231" spans="1:27" ht="15.6" hidden="1" customHeight="1" x14ac:dyDescent="0.25">
      <c r="A1231" s="642"/>
      <c r="B1231" s="1035" t="s">
        <v>2707</v>
      </c>
      <c r="C1231" s="2848" t="s">
        <v>2689</v>
      </c>
      <c r="D1231" s="1008"/>
      <c r="E1231" s="1037"/>
      <c r="F1231" s="1004"/>
      <c r="G1231" s="1038"/>
      <c r="H1231" s="1004"/>
      <c r="I1231" s="2844">
        <f>IF(SUM((I1205/I1226)*365)&lt;365,SUM((I1205/I1226)*365),365)</f>
        <v>122.25085091362911</v>
      </c>
      <c r="J1231" s="1051"/>
      <c r="K1231" s="2844">
        <f>IF(SUM((K1205/K1226)*365)&lt;365,SUM((K1205/K1226)*365),365)</f>
        <v>118.03664538831259</v>
      </c>
      <c r="L1231" s="643"/>
      <c r="M1231" s="230"/>
      <c r="N1231" s="231"/>
      <c r="O1231" s="230"/>
      <c r="V1231" s="48"/>
      <c r="W1231" s="1128"/>
      <c r="X1231" s="230"/>
    </row>
    <row r="1232" spans="1:27" ht="15.6" hidden="1" customHeight="1" x14ac:dyDescent="0.25">
      <c r="A1232" s="642"/>
      <c r="B1232" s="1035" t="s">
        <v>2708</v>
      </c>
      <c r="C1232" s="2849"/>
      <c r="D1232" s="1008"/>
      <c r="E1232" s="1037"/>
      <c r="F1232" s="1004"/>
      <c r="G1232" s="1038"/>
      <c r="H1232" s="1004"/>
      <c r="I1232" s="2844"/>
      <c r="J1232" s="1051"/>
      <c r="K1232" s="2844"/>
      <c r="L1232" s="643"/>
      <c r="M1232" s="230"/>
      <c r="N1232" s="231"/>
      <c r="O1232" s="230"/>
      <c r="V1232" s="48"/>
      <c r="W1232" s="1128"/>
      <c r="X1232" s="230"/>
    </row>
    <row r="1233" spans="1:27" ht="15.6" hidden="1" customHeight="1" x14ac:dyDescent="0.25">
      <c r="A1233" s="642"/>
      <c r="B1233" s="1035"/>
      <c r="C1233" s="1036"/>
      <c r="D1233" s="1008"/>
      <c r="E1233" s="1037"/>
      <c r="F1233" s="1004"/>
      <c r="G1233" s="1038"/>
      <c r="H1233" s="1004"/>
      <c r="I1233" s="1050"/>
      <c r="J1233" s="1051"/>
      <c r="K1233" s="1050"/>
      <c r="L1233" s="643"/>
      <c r="M1233" s="230"/>
      <c r="N1233" s="231"/>
      <c r="O1233" s="230"/>
      <c r="V1233" s="48"/>
      <c r="W1233" s="1128"/>
      <c r="X1233" s="230"/>
    </row>
    <row r="1234" spans="1:27" ht="15.6" hidden="1" customHeight="1" x14ac:dyDescent="0.25">
      <c r="A1234" s="642"/>
      <c r="B1234" s="1052" t="s">
        <v>2709</v>
      </c>
      <c r="C1234" s="1036"/>
      <c r="D1234" s="1008"/>
      <c r="E1234" s="1037"/>
      <c r="F1234" s="1004"/>
      <c r="G1234" s="1038"/>
      <c r="H1234" s="1004"/>
      <c r="I1234" s="1053">
        <f>-PV(G1193/365,I1231,0,I1226,0)</f>
        <v>38136525.359232359</v>
      </c>
      <c r="J1234" s="1051"/>
      <c r="K1234" s="1053">
        <f>-PV(K1193/365,K1231,0,K1226,0)</f>
        <v>52365696.419186637</v>
      </c>
      <c r="L1234" s="643"/>
      <c r="M1234" s="230"/>
      <c r="N1234" s="231"/>
      <c r="O1234" s="230"/>
      <c r="V1234" s="48"/>
      <c r="W1234" s="1128"/>
      <c r="X1234" s="230"/>
    </row>
    <row r="1235" spans="1:27" ht="15.6" hidden="1" customHeight="1" x14ac:dyDescent="0.25">
      <c r="A1235" s="642"/>
      <c r="B1235" s="1035"/>
      <c r="C1235" s="1036"/>
      <c r="D1235" s="1008"/>
      <c r="E1235" s="1037"/>
      <c r="F1235" s="1004"/>
      <c r="G1235" s="1038"/>
      <c r="H1235" s="1004"/>
      <c r="I1235" s="1050"/>
      <c r="J1235" s="1051"/>
      <c r="K1235" s="1050"/>
      <c r="L1235" s="643"/>
      <c r="M1235" s="230"/>
      <c r="N1235" s="231"/>
      <c r="O1235" s="230"/>
      <c r="V1235" s="48"/>
      <c r="W1235" s="1128"/>
      <c r="X1235" s="230"/>
    </row>
    <row r="1236" spans="1:27" ht="15.6" hidden="1" customHeight="1" x14ac:dyDescent="0.25">
      <c r="A1236" s="642"/>
      <c r="B1236" s="1052" t="s">
        <v>2710</v>
      </c>
      <c r="C1236" s="1036"/>
      <c r="D1236" s="1008"/>
      <c r="E1236" s="1037"/>
      <c r="F1236" s="1004"/>
      <c r="G1236" s="1038"/>
      <c r="H1236" s="1004"/>
      <c r="I1236" s="1054">
        <f>I1226-I1234</f>
        <v>1315055.0907676443</v>
      </c>
      <c r="J1236" s="1051"/>
      <c r="K1236" s="1054">
        <f>K1226-K1234</f>
        <v>1771689.5208133608</v>
      </c>
      <c r="L1236" s="643"/>
      <c r="M1236" s="230"/>
      <c r="N1236" s="231"/>
      <c r="O1236" s="230"/>
      <c r="V1236" s="48"/>
      <c r="W1236" s="1128"/>
      <c r="X1236" s="230"/>
    </row>
    <row r="1237" spans="1:27" ht="15.6" hidden="1" customHeight="1" x14ac:dyDescent="0.25">
      <c r="A1237" s="642"/>
      <c r="B1237" s="1035"/>
      <c r="C1237" s="1036"/>
      <c r="D1237" s="1008"/>
      <c r="E1237" s="1037"/>
      <c r="F1237" s="1004"/>
      <c r="G1237" s="1038"/>
      <c r="H1237" s="1004"/>
      <c r="I1237" s="1050"/>
      <c r="J1237" s="1051"/>
      <c r="K1237" s="1050"/>
      <c r="L1237" s="643"/>
      <c r="M1237" s="230"/>
      <c r="N1237" s="231"/>
      <c r="O1237" s="230"/>
      <c r="V1237" s="48"/>
      <c r="W1237" s="1128"/>
      <c r="X1237" s="230"/>
    </row>
    <row r="1238" spans="1:27" ht="15.6" hidden="1" customHeight="1" x14ac:dyDescent="0.25">
      <c r="A1238" s="642"/>
      <c r="B1238" s="1052" t="s">
        <v>2711</v>
      </c>
      <c r="C1238" s="1036"/>
      <c r="D1238" s="1008"/>
      <c r="E1238" s="1037"/>
      <c r="F1238" s="1004"/>
      <c r="G1238" s="1038"/>
      <c r="H1238" s="1004"/>
      <c r="I1238" s="1053">
        <f>-PV(K1184/365,I1231,0,I1205,0)</f>
        <v>12778486.916054696</v>
      </c>
      <c r="J1238" s="1051"/>
      <c r="K1238" s="1053">
        <f>-PV(K1180/365,K1231,0,K1205,0)</f>
        <v>16950348.578179702</v>
      </c>
      <c r="L1238" s="643"/>
      <c r="M1238" s="230"/>
      <c r="N1238" s="231"/>
      <c r="O1238" s="230"/>
      <c r="V1238" s="48"/>
      <c r="W1238" s="1128"/>
      <c r="X1238" s="230"/>
    </row>
    <row r="1239" spans="1:27" ht="15.6" hidden="1" customHeight="1" x14ac:dyDescent="0.25">
      <c r="A1239" s="642"/>
      <c r="B1239" s="1035"/>
      <c r="C1239" s="1036"/>
      <c r="D1239" s="1008"/>
      <c r="E1239" s="1037"/>
      <c r="F1239" s="1004"/>
      <c r="G1239" s="1038"/>
      <c r="H1239" s="1004"/>
      <c r="I1239" s="1050"/>
      <c r="J1239" s="1051"/>
      <c r="K1239" s="1050"/>
      <c r="L1239" s="643"/>
      <c r="M1239" s="230"/>
      <c r="N1239" s="231"/>
      <c r="O1239" s="230"/>
      <c r="V1239" s="48"/>
      <c r="W1239" s="1128"/>
      <c r="X1239" s="230"/>
    </row>
    <row r="1240" spans="1:27" ht="15.6" hidden="1" customHeight="1" x14ac:dyDescent="0.25">
      <c r="A1240" s="642"/>
      <c r="B1240" s="1052" t="s">
        <v>2712</v>
      </c>
      <c r="C1240" s="1036"/>
      <c r="D1240" s="1008"/>
      <c r="E1240" s="1037"/>
      <c r="F1240" s="1004"/>
      <c r="G1240" s="1038"/>
      <c r="H1240" s="1004"/>
      <c r="I1240" s="1054">
        <f>I1205-I1238</f>
        <v>435182.34394529089</v>
      </c>
      <c r="J1240" s="1051"/>
      <c r="K1240" s="1054">
        <f>K1205-K1238</f>
        <v>557036.15182029828</v>
      </c>
      <c r="L1240" s="643"/>
      <c r="M1240" s="230"/>
      <c r="N1240" s="231"/>
      <c r="O1240" s="230"/>
      <c r="V1240" s="48"/>
      <c r="W1240" s="1128"/>
      <c r="X1240" s="230"/>
    </row>
    <row r="1241" spans="1:27" ht="15.6" hidden="1" customHeight="1" thickBot="1" x14ac:dyDescent="0.3">
      <c r="A1241" s="642"/>
      <c r="B1241" s="1055"/>
      <c r="C1241" s="1056"/>
      <c r="D1241" s="1008"/>
      <c r="E1241" s="1057"/>
      <c r="F1241" s="1004"/>
      <c r="G1241" s="1057"/>
      <c r="H1241" s="1004"/>
      <c r="I1241" s="1057"/>
      <c r="J1241" s="1051"/>
      <c r="K1241" s="1057"/>
      <c r="L1241" s="643"/>
      <c r="M1241" s="230"/>
      <c r="N1241" s="231"/>
      <c r="O1241" s="230"/>
      <c r="V1241" s="48"/>
      <c r="W1241" s="1128"/>
      <c r="X1241" s="230"/>
      <c r="Y1241" s="230"/>
      <c r="Z1241" s="230"/>
      <c r="AA1241" s="230"/>
    </row>
    <row r="1242" spans="1:27" s="230" customFormat="1" ht="15.6" hidden="1" customHeight="1" thickBot="1" x14ac:dyDescent="0.3">
      <c r="A1242" s="645"/>
      <c r="B1242" s="1048"/>
      <c r="C1242" s="1048"/>
      <c r="D1242" s="1004"/>
      <c r="E1242" s="1048"/>
      <c r="F1242" s="1004"/>
      <c r="G1242" s="1004"/>
      <c r="H1242" s="1004"/>
      <c r="I1242" s="1005"/>
      <c r="J1242" s="1049"/>
      <c r="K1242" s="1005"/>
      <c r="L1242" s="648"/>
      <c r="N1242" s="231"/>
      <c r="P1242" s="1110"/>
      <c r="Q1242" s="1111"/>
      <c r="R1242" s="1111"/>
      <c r="S1242" s="1111"/>
      <c r="T1242" s="1111"/>
      <c r="U1242" s="1112"/>
      <c r="V1242" s="48"/>
      <c r="W1242" s="1128"/>
      <c r="Y1242" s="48"/>
      <c r="Z1242" s="48"/>
      <c r="AA1242" s="48"/>
    </row>
    <row r="1243" spans="1:27" ht="15.6" hidden="1" customHeight="1" thickBot="1" x14ac:dyDescent="0.3">
      <c r="A1243" s="642"/>
      <c r="B1243" s="1033" t="s">
        <v>2713</v>
      </c>
      <c r="C1243" s="1034"/>
      <c r="D1243" s="1008"/>
      <c r="E1243" s="1006"/>
      <c r="F1243" s="1004"/>
      <c r="G1243" s="1006"/>
      <c r="H1243" s="1004"/>
      <c r="I1243" s="1058">
        <f>IF(AND(SUM(I1262-I1236)&lt;0.001,SUM(I1262-I1236)&gt;-0.001),"",SUM(I1262-I1236))</f>
        <v>-669966.28333750053</v>
      </c>
      <c r="J1243" s="1004"/>
      <c r="K1243" s="1058">
        <f>IF(AND(SUM(K1262-K1236)&lt;0.001,SUM(K1262-K1236)&gt;-0.001),"",SUM(K1262-K1236))</f>
        <v>-981127.05682523479</v>
      </c>
      <c r="L1243" s="643"/>
      <c r="M1243" s="230"/>
      <c r="N1243" s="231"/>
      <c r="O1243" s="230"/>
      <c r="V1243" s="48"/>
      <c r="W1243" s="1128"/>
      <c r="X1243" s="230"/>
    </row>
    <row r="1244" spans="1:27" ht="15.6" hidden="1" customHeight="1" x14ac:dyDescent="0.25">
      <c r="A1244" s="642"/>
      <c r="B1244" s="1035" t="s">
        <v>416</v>
      </c>
      <c r="C1244" s="1036"/>
      <c r="D1244" s="1008"/>
      <c r="E1244" s="1038" t="s">
        <v>1241</v>
      </c>
      <c r="F1244" s="1004"/>
      <c r="G1244" s="1038" t="s">
        <v>2684</v>
      </c>
      <c r="H1244" s="1004"/>
      <c r="I1244" s="1039">
        <f t="shared" ref="I1244:I1261" si="20">IF($G1244="Yes",I1208/I$1226*I$1236,0)</f>
        <v>0</v>
      </c>
      <c r="J1244" s="1040"/>
      <c r="K1244" s="1039">
        <f t="shared" ref="K1244:K1261" si="21">IF($G1244="Yes",K1208/K$1226*K$1236,0)</f>
        <v>0</v>
      </c>
      <c r="L1244" s="643"/>
      <c r="M1244" s="230"/>
      <c r="N1244" s="231"/>
      <c r="O1244" s="230"/>
      <c r="V1244" s="48"/>
      <c r="W1244" s="1128"/>
      <c r="X1244" s="230"/>
    </row>
    <row r="1245" spans="1:27" ht="15.6" hidden="1" customHeight="1" x14ac:dyDescent="0.25">
      <c r="A1245" s="642"/>
      <c r="B1245" s="1035" t="s">
        <v>250</v>
      </c>
      <c r="C1245" s="1036"/>
      <c r="D1245" s="1008"/>
      <c r="E1245" s="1038" t="s">
        <v>1241</v>
      </c>
      <c r="F1245" s="1004"/>
      <c r="G1245" s="1038" t="s">
        <v>2684</v>
      </c>
      <c r="H1245" s="1004"/>
      <c r="I1245" s="1039">
        <f t="shared" si="20"/>
        <v>0</v>
      </c>
      <c r="J1245" s="1040"/>
      <c r="K1245" s="1039">
        <f t="shared" si="21"/>
        <v>0</v>
      </c>
      <c r="L1245" s="643"/>
      <c r="M1245" s="230"/>
      <c r="N1245" s="231"/>
      <c r="O1245" s="230"/>
      <c r="V1245" s="48"/>
      <c r="W1245" s="1128"/>
      <c r="X1245" s="230"/>
    </row>
    <row r="1246" spans="1:27" ht="15.6" hidden="1" customHeight="1" x14ac:dyDescent="0.25">
      <c r="A1246" s="642"/>
      <c r="B1246" s="1035" t="s">
        <v>417</v>
      </c>
      <c r="C1246" s="1036"/>
      <c r="D1246" s="1008"/>
      <c r="E1246" s="1038" t="s">
        <v>1241</v>
      </c>
      <c r="F1246" s="1004"/>
      <c r="G1246" s="1038" t="s">
        <v>2684</v>
      </c>
      <c r="H1246" s="1004"/>
      <c r="I1246" s="1039">
        <f t="shared" si="20"/>
        <v>0</v>
      </c>
      <c r="J1246" s="1040"/>
      <c r="K1246" s="1039">
        <f t="shared" si="21"/>
        <v>0</v>
      </c>
      <c r="L1246" s="643"/>
      <c r="M1246" s="230"/>
      <c r="N1246" s="231"/>
      <c r="O1246" s="230"/>
      <c r="V1246" s="48"/>
      <c r="W1246" s="1128"/>
      <c r="X1246" s="230"/>
    </row>
    <row r="1247" spans="1:27" ht="15.6" hidden="1" customHeight="1" x14ac:dyDescent="0.25">
      <c r="A1247" s="642"/>
      <c r="B1247" s="1035" t="s">
        <v>792</v>
      </c>
      <c r="C1247" s="1036"/>
      <c r="D1247" s="1008"/>
      <c r="E1247" s="1038" t="s">
        <v>1241</v>
      </c>
      <c r="F1247" s="1004"/>
      <c r="G1247" s="1038" t="s">
        <v>2684</v>
      </c>
      <c r="H1247" s="1004"/>
      <c r="I1247" s="1039">
        <f t="shared" si="20"/>
        <v>0</v>
      </c>
      <c r="J1247" s="1040"/>
      <c r="K1247" s="1039">
        <f t="shared" si="21"/>
        <v>0</v>
      </c>
      <c r="L1247" s="643"/>
      <c r="M1247" s="230"/>
      <c r="N1247" s="231"/>
      <c r="O1247" s="230"/>
      <c r="V1247" s="48"/>
      <c r="W1247" s="1128"/>
      <c r="X1247" s="230"/>
    </row>
    <row r="1248" spans="1:27" ht="15.6" hidden="1" customHeight="1" x14ac:dyDescent="0.25">
      <c r="A1248" s="642"/>
      <c r="B1248" s="1035" t="s">
        <v>154</v>
      </c>
      <c r="C1248" s="1036"/>
      <c r="D1248" s="1008"/>
      <c r="E1248" s="1038" t="s">
        <v>1241</v>
      </c>
      <c r="F1248" s="1004"/>
      <c r="G1248" s="1038" t="s">
        <v>2684</v>
      </c>
      <c r="H1248" s="1004"/>
      <c r="I1248" s="1039">
        <f t="shared" si="20"/>
        <v>0</v>
      </c>
      <c r="J1248" s="1040"/>
      <c r="K1248" s="1039">
        <f t="shared" si="21"/>
        <v>0</v>
      </c>
      <c r="L1248" s="643"/>
      <c r="M1248" s="230"/>
      <c r="N1248" s="231"/>
      <c r="O1248" s="230"/>
      <c r="V1248" s="48"/>
      <c r="W1248" s="1128"/>
      <c r="X1248" s="230"/>
    </row>
    <row r="1249" spans="1:27" ht="15.6" hidden="1" customHeight="1" x14ac:dyDescent="0.25">
      <c r="A1249" s="642"/>
      <c r="B1249" s="1035" t="s">
        <v>418</v>
      </c>
      <c r="C1249" s="1036"/>
      <c r="D1249" s="1008"/>
      <c r="E1249" s="1038" t="s">
        <v>1241</v>
      </c>
      <c r="F1249" s="1004"/>
      <c r="G1249" s="1038" t="s">
        <v>340</v>
      </c>
      <c r="H1249" s="1004"/>
      <c r="I1249" s="1039">
        <f t="shared" si="20"/>
        <v>0</v>
      </c>
      <c r="J1249" s="1040"/>
      <c r="K1249" s="1039">
        <f t="shared" si="21"/>
        <v>0</v>
      </c>
      <c r="L1249" s="643"/>
      <c r="M1249" s="230"/>
      <c r="N1249" s="231"/>
      <c r="O1249" s="230"/>
      <c r="V1249" s="48"/>
      <c r="W1249" s="1128"/>
      <c r="X1249" s="230"/>
    </row>
    <row r="1250" spans="1:27" ht="15.6" hidden="1" customHeight="1" x14ac:dyDescent="0.25">
      <c r="A1250" s="642"/>
      <c r="B1250" s="1035" t="s">
        <v>1455</v>
      </c>
      <c r="C1250" s="1036"/>
      <c r="D1250" s="1008"/>
      <c r="E1250" s="1038" t="s">
        <v>1241</v>
      </c>
      <c r="F1250" s="1004"/>
      <c r="G1250" s="1038" t="s">
        <v>2684</v>
      </c>
      <c r="H1250" s="1004"/>
      <c r="I1250" s="1039">
        <f t="shared" si="20"/>
        <v>0</v>
      </c>
      <c r="J1250" s="1040"/>
      <c r="K1250" s="1039">
        <f t="shared" si="21"/>
        <v>0</v>
      </c>
      <c r="L1250" s="643"/>
      <c r="M1250" s="230"/>
      <c r="N1250" s="231"/>
      <c r="O1250" s="230"/>
      <c r="V1250" s="48"/>
      <c r="W1250" s="1128"/>
      <c r="X1250" s="230"/>
    </row>
    <row r="1251" spans="1:27" ht="15.6" hidden="1" customHeight="1" x14ac:dyDescent="0.25">
      <c r="A1251" s="642"/>
      <c r="B1251" s="1035" t="s">
        <v>420</v>
      </c>
      <c r="C1251" s="1036"/>
      <c r="D1251" s="1008"/>
      <c r="E1251" s="1038" t="s">
        <v>1241</v>
      </c>
      <c r="F1251" s="1004"/>
      <c r="G1251" s="1038" t="s">
        <v>340</v>
      </c>
      <c r="H1251" s="1004"/>
      <c r="I1251" s="1039">
        <f t="shared" si="20"/>
        <v>472779.62777020218</v>
      </c>
      <c r="J1251" s="1040"/>
      <c r="K1251" s="1039">
        <f t="shared" si="21"/>
        <v>528091.70999170467</v>
      </c>
      <c r="L1251" s="643"/>
      <c r="M1251" s="230"/>
      <c r="N1251" s="231"/>
      <c r="O1251" s="230"/>
      <c r="V1251" s="48"/>
      <c r="W1251" s="1128"/>
      <c r="X1251" s="230"/>
    </row>
    <row r="1252" spans="1:27" ht="15.6" hidden="1" customHeight="1" x14ac:dyDescent="0.25">
      <c r="A1252" s="642"/>
      <c r="B1252" s="1035" t="s">
        <v>421</v>
      </c>
      <c r="C1252" s="1036"/>
      <c r="D1252" s="1008"/>
      <c r="E1252" s="1038" t="s">
        <v>1241</v>
      </c>
      <c r="F1252" s="1004"/>
      <c r="G1252" s="1038" t="s">
        <v>340</v>
      </c>
      <c r="H1252" s="1004"/>
      <c r="I1252" s="1039">
        <f t="shared" si="20"/>
        <v>172309.17965994161</v>
      </c>
      <c r="J1252" s="1040"/>
      <c r="K1252" s="1039">
        <f t="shared" si="21"/>
        <v>262470.75399642129</v>
      </c>
      <c r="L1252" s="643"/>
      <c r="M1252" s="230"/>
      <c r="N1252" s="231"/>
      <c r="O1252" s="230"/>
      <c r="V1252" s="48"/>
      <c r="W1252" s="1128"/>
      <c r="X1252" s="230"/>
    </row>
    <row r="1253" spans="1:27" ht="15.6" hidden="1" customHeight="1" x14ac:dyDescent="0.25">
      <c r="A1253" s="642"/>
      <c r="B1253" s="1035" t="s">
        <v>422</v>
      </c>
      <c r="C1253" s="1036"/>
      <c r="D1253" s="1008"/>
      <c r="E1253" s="1038" t="s">
        <v>1241</v>
      </c>
      <c r="F1253" s="1004"/>
      <c r="G1253" s="1038" t="s">
        <v>2684</v>
      </c>
      <c r="H1253" s="1004"/>
      <c r="I1253" s="1039">
        <f t="shared" si="20"/>
        <v>0</v>
      </c>
      <c r="J1253" s="1040"/>
      <c r="K1253" s="1039">
        <f t="shared" si="21"/>
        <v>0</v>
      </c>
      <c r="L1253" s="643"/>
      <c r="M1253" s="230"/>
      <c r="N1253" s="231"/>
      <c r="O1253" s="230"/>
      <c r="V1253" s="48"/>
      <c r="W1253" s="1128"/>
      <c r="X1253" s="230"/>
    </row>
    <row r="1254" spans="1:27" ht="15.6" hidden="1" customHeight="1" x14ac:dyDescent="0.25">
      <c r="A1254" s="642"/>
      <c r="B1254" s="1035" t="s">
        <v>793</v>
      </c>
      <c r="C1254" s="1036"/>
      <c r="D1254" s="1008"/>
      <c r="E1254" s="1038" t="s">
        <v>1241</v>
      </c>
      <c r="F1254" s="1004"/>
      <c r="G1254" s="1038" t="s">
        <v>340</v>
      </c>
      <c r="H1254" s="1004"/>
      <c r="I1254" s="1039">
        <f t="shared" si="20"/>
        <v>0</v>
      </c>
      <c r="J1254" s="1040"/>
      <c r="K1254" s="1039">
        <f t="shared" si="21"/>
        <v>0</v>
      </c>
      <c r="L1254" s="643"/>
      <c r="M1254" s="230"/>
      <c r="N1254" s="231"/>
      <c r="O1254" s="230"/>
      <c r="V1254" s="48"/>
      <c r="W1254" s="1128"/>
      <c r="X1254" s="230"/>
    </row>
    <row r="1255" spans="1:27" ht="15.6" hidden="1" customHeight="1" x14ac:dyDescent="0.25">
      <c r="A1255" s="642"/>
      <c r="B1255" s="1035" t="s">
        <v>423</v>
      </c>
      <c r="C1255" s="1036"/>
      <c r="D1255" s="1008"/>
      <c r="E1255" s="1038" t="s">
        <v>1241</v>
      </c>
      <c r="F1255" s="1004"/>
      <c r="G1255" s="1038" t="s">
        <v>340</v>
      </c>
      <c r="H1255" s="1004"/>
      <c r="I1255" s="1039">
        <f t="shared" si="20"/>
        <v>0</v>
      </c>
      <c r="J1255" s="1040"/>
      <c r="K1255" s="1039">
        <f t="shared" si="21"/>
        <v>0</v>
      </c>
      <c r="L1255" s="643"/>
      <c r="M1255" s="230"/>
      <c r="N1255" s="231"/>
      <c r="O1255" s="230"/>
      <c r="V1255" s="48"/>
      <c r="W1255" s="1128"/>
      <c r="X1255" s="230"/>
    </row>
    <row r="1256" spans="1:27" ht="15.6" hidden="1" customHeight="1" x14ac:dyDescent="0.25">
      <c r="A1256" s="642"/>
      <c r="B1256" s="1035" t="s">
        <v>794</v>
      </c>
      <c r="C1256" s="1036"/>
      <c r="D1256" s="1008"/>
      <c r="E1256" s="1038" t="s">
        <v>1241</v>
      </c>
      <c r="F1256" s="1004"/>
      <c r="G1256" s="1038" t="s">
        <v>2684</v>
      </c>
      <c r="H1256" s="1004"/>
      <c r="I1256" s="1039">
        <f t="shared" si="20"/>
        <v>0</v>
      </c>
      <c r="J1256" s="1040"/>
      <c r="K1256" s="1039">
        <f t="shared" si="21"/>
        <v>0</v>
      </c>
      <c r="L1256" s="643"/>
      <c r="M1256" s="230"/>
      <c r="N1256" s="231"/>
      <c r="O1256" s="230"/>
      <c r="V1256" s="48"/>
      <c r="W1256" s="1128"/>
      <c r="X1256" s="230"/>
    </row>
    <row r="1257" spans="1:27" ht="15.6" hidden="1" customHeight="1" x14ac:dyDescent="0.25">
      <c r="A1257" s="642"/>
      <c r="B1257" s="1035" t="s">
        <v>1462</v>
      </c>
      <c r="C1257" s="1036"/>
      <c r="D1257" s="1008"/>
      <c r="E1257" s="1038" t="s">
        <v>1241</v>
      </c>
      <c r="F1257" s="1004"/>
      <c r="G1257" s="1038" t="s">
        <v>2684</v>
      </c>
      <c r="H1257" s="1004"/>
      <c r="I1257" s="1039">
        <f t="shared" si="20"/>
        <v>0</v>
      </c>
      <c r="J1257" s="1040"/>
      <c r="K1257" s="1039">
        <f t="shared" si="21"/>
        <v>0</v>
      </c>
      <c r="L1257" s="643"/>
      <c r="M1257" s="230"/>
      <c r="N1257" s="231"/>
      <c r="O1257" s="230"/>
      <c r="V1257" s="48"/>
      <c r="W1257" s="1128"/>
      <c r="X1257" s="230"/>
    </row>
    <row r="1258" spans="1:27" ht="15.6" hidden="1" customHeight="1" x14ac:dyDescent="0.25">
      <c r="A1258" s="642"/>
      <c r="B1258" s="1035" t="s">
        <v>2703</v>
      </c>
      <c r="C1258" s="1036"/>
      <c r="D1258" s="1008"/>
      <c r="E1258" s="1038" t="s">
        <v>1241</v>
      </c>
      <c r="F1258" s="1004"/>
      <c r="G1258" s="1038" t="s">
        <v>2684</v>
      </c>
      <c r="H1258" s="1004"/>
      <c r="I1258" s="1039">
        <f t="shared" si="20"/>
        <v>0</v>
      </c>
      <c r="J1258" s="1040"/>
      <c r="K1258" s="1039">
        <f t="shared" si="21"/>
        <v>0</v>
      </c>
      <c r="L1258" s="643"/>
      <c r="M1258" s="230"/>
      <c r="N1258" s="231"/>
      <c r="O1258" s="230"/>
      <c r="V1258" s="48"/>
      <c r="W1258" s="1128"/>
      <c r="X1258" s="230"/>
    </row>
    <row r="1259" spans="1:27" ht="15.6" hidden="1" customHeight="1" x14ac:dyDescent="0.25">
      <c r="A1259" s="642"/>
      <c r="B1259" s="1035" t="s">
        <v>2704</v>
      </c>
      <c r="C1259" s="1036"/>
      <c r="D1259" s="1008"/>
      <c r="E1259" s="1038" t="s">
        <v>1241</v>
      </c>
      <c r="F1259" s="1004"/>
      <c r="G1259" s="1038" t="s">
        <v>2684</v>
      </c>
      <c r="H1259" s="1004"/>
      <c r="I1259" s="1039">
        <f t="shared" si="20"/>
        <v>0</v>
      </c>
      <c r="J1259" s="1040"/>
      <c r="K1259" s="1039">
        <f t="shared" si="21"/>
        <v>0</v>
      </c>
      <c r="L1259" s="643"/>
      <c r="M1259" s="230"/>
      <c r="N1259" s="231"/>
      <c r="O1259" s="230"/>
      <c r="V1259" s="48"/>
      <c r="W1259" s="1128"/>
      <c r="X1259" s="230"/>
    </row>
    <row r="1260" spans="1:27" ht="15.6" hidden="1" customHeight="1" x14ac:dyDescent="0.25">
      <c r="A1260" s="642"/>
      <c r="B1260" s="1035" t="s">
        <v>2705</v>
      </c>
      <c r="C1260" s="1036"/>
      <c r="D1260" s="1008"/>
      <c r="E1260" s="1038" t="s">
        <v>1241</v>
      </c>
      <c r="F1260" s="1004"/>
      <c r="G1260" s="1038" t="s">
        <v>2684</v>
      </c>
      <c r="H1260" s="1004"/>
      <c r="I1260" s="1039">
        <f t="shared" si="20"/>
        <v>0</v>
      </c>
      <c r="J1260" s="1040"/>
      <c r="K1260" s="1039">
        <f t="shared" si="21"/>
        <v>0</v>
      </c>
      <c r="L1260" s="643"/>
      <c r="M1260" s="230"/>
      <c r="N1260" s="231"/>
      <c r="O1260" s="230"/>
      <c r="V1260" s="48"/>
      <c r="W1260" s="1128"/>
      <c r="X1260" s="230"/>
    </row>
    <row r="1261" spans="1:27" ht="15.6" hidden="1" customHeight="1" x14ac:dyDescent="0.25">
      <c r="A1261" s="642"/>
      <c r="B1261" s="1035" t="s">
        <v>2706</v>
      </c>
      <c r="C1261" s="1036"/>
      <c r="D1261" s="1008"/>
      <c r="E1261" s="1038" t="s">
        <v>1241</v>
      </c>
      <c r="F1261" s="1004"/>
      <c r="G1261" s="1038" t="s">
        <v>2684</v>
      </c>
      <c r="H1261" s="1004"/>
      <c r="I1261" s="1039">
        <f t="shared" si="20"/>
        <v>0</v>
      </c>
      <c r="J1261" s="1040"/>
      <c r="K1261" s="1039">
        <f t="shared" si="21"/>
        <v>0</v>
      </c>
      <c r="L1261" s="643"/>
      <c r="M1261" s="230"/>
      <c r="N1261" s="231"/>
      <c r="O1261" s="230"/>
      <c r="V1261" s="48"/>
      <c r="W1261" s="1128"/>
      <c r="X1261" s="230"/>
      <c r="Y1261" s="230"/>
      <c r="Z1261" s="230"/>
      <c r="AA1261" s="230"/>
    </row>
    <row r="1262" spans="1:27" s="230" customFormat="1" ht="15.6" hidden="1" customHeight="1" thickBot="1" x14ac:dyDescent="0.3">
      <c r="A1262" s="645"/>
      <c r="B1262" s="1041" t="s">
        <v>2714</v>
      </c>
      <c r="C1262" s="1042"/>
      <c r="D1262" s="1004"/>
      <c r="E1262" s="1059" t="s">
        <v>2696</v>
      </c>
      <c r="F1262" s="1004"/>
      <c r="G1262" s="1044"/>
      <c r="H1262" s="1045">
        <v>-234</v>
      </c>
      <c r="I1262" s="1046">
        <f>SUM(I1244:I1261)</f>
        <v>645088.80743014382</v>
      </c>
      <c r="J1262" s="1047"/>
      <c r="K1262" s="1046">
        <f>SUM(K1244:K1261)</f>
        <v>790562.46398812602</v>
      </c>
      <c r="L1262" s="648"/>
      <c r="N1262" s="231"/>
      <c r="P1262" s="1110"/>
      <c r="Q1262" s="1111"/>
      <c r="R1262" s="1111"/>
      <c r="S1262" s="1111"/>
      <c r="T1262" s="1111"/>
      <c r="U1262" s="1112"/>
      <c r="V1262" s="48"/>
      <c r="W1262" s="1128"/>
    </row>
    <row r="1263" spans="1:27" s="230" customFormat="1" ht="15.6" hidden="1" customHeight="1" thickBot="1" x14ac:dyDescent="0.3">
      <c r="A1263" s="645"/>
      <c r="D1263" s="646"/>
      <c r="F1263" s="646"/>
      <c r="G1263" s="646"/>
      <c r="H1263" s="646"/>
      <c r="I1263" s="617"/>
      <c r="J1263" s="647"/>
      <c r="K1263" s="617"/>
      <c r="L1263" s="648"/>
      <c r="N1263" s="231"/>
      <c r="P1263" s="1110"/>
      <c r="Q1263" s="1111"/>
      <c r="R1263" s="1111"/>
      <c r="S1263" s="1111"/>
      <c r="T1263" s="1111"/>
      <c r="U1263" s="1112"/>
      <c r="V1263" s="48"/>
      <c r="W1263" s="1128"/>
      <c r="Y1263" s="48"/>
      <c r="Z1263" s="48"/>
      <c r="AA1263" s="48"/>
    </row>
    <row r="1264" spans="1:27" ht="15.6" hidden="1" customHeight="1" thickBot="1" x14ac:dyDescent="0.3">
      <c r="A1264" s="642"/>
      <c r="B1264" s="1033" t="s">
        <v>2715</v>
      </c>
      <c r="C1264" s="1034"/>
      <c r="D1264" s="1008"/>
      <c r="E1264" s="1006"/>
      <c r="F1264" s="1004"/>
      <c r="G1264" s="1006"/>
      <c r="H1264" s="1004"/>
      <c r="I1264" s="1058">
        <f>IF(AND(SUM(I1274-I1240)&lt;0.001,SUM(I1274-I1240)&gt;-0.001),"",SUM(I1274-I1240))</f>
        <v>-34307.848207907169</v>
      </c>
      <c r="J1264" s="1004"/>
      <c r="K1264" s="1058">
        <f>IF(AND(SUM(K1274-K1240)&lt;0.001,SUM(K1274-K1240)&gt;-0.001),"",SUM(K1274-K1240))</f>
        <v>-7527.1362996860407</v>
      </c>
      <c r="L1264" s="643"/>
      <c r="M1264" s="230"/>
      <c r="N1264" s="231"/>
      <c r="O1264" s="230"/>
      <c r="V1264" s="48"/>
      <c r="W1264" s="1128"/>
      <c r="X1264" s="230"/>
    </row>
    <row r="1265" spans="1:27" ht="15.6" hidden="1" customHeight="1" x14ac:dyDescent="0.25">
      <c r="A1265" s="642"/>
      <c r="B1265" s="1035" t="s">
        <v>59</v>
      </c>
      <c r="C1265" s="1036"/>
      <c r="D1265" s="1008"/>
      <c r="E1265" s="1038" t="s">
        <v>2696</v>
      </c>
      <c r="F1265" s="1004"/>
      <c r="G1265" s="1038" t="s">
        <v>340</v>
      </c>
      <c r="H1265" s="1004"/>
      <c r="I1265" s="1039">
        <f t="shared" ref="I1265:I1273" si="22">IF($G1265="Yes",I1196/I$1205*I$1240,0)</f>
        <v>280022.61869311362</v>
      </c>
      <c r="J1265" s="1040"/>
      <c r="K1265" s="1039">
        <f t="shared" ref="K1265:K1273" si="23">IF($G1265="Yes",K1196/K$1205*K$1240,0)</f>
        <v>449165.92802899244</v>
      </c>
      <c r="L1265" s="643"/>
      <c r="M1265" s="230"/>
      <c r="N1265" s="231"/>
      <c r="O1265" s="230"/>
      <c r="V1265" s="48"/>
      <c r="W1265" s="1128"/>
      <c r="X1265" s="230"/>
    </row>
    <row r="1266" spans="1:27" ht="15.6" hidden="1" customHeight="1" x14ac:dyDescent="0.25">
      <c r="A1266" s="642"/>
      <c r="B1266" s="1035" t="s">
        <v>658</v>
      </c>
      <c r="C1266" s="1036"/>
      <c r="D1266" s="1008"/>
      <c r="E1266" s="1038" t="s">
        <v>2696</v>
      </c>
      <c r="F1266" s="1004"/>
      <c r="G1266" s="1038" t="s">
        <v>340</v>
      </c>
      <c r="H1266" s="1004"/>
      <c r="I1266" s="1039">
        <f t="shared" si="22"/>
        <v>19307.546206882438</v>
      </c>
      <c r="J1266" s="1040"/>
      <c r="K1266" s="1039">
        <f t="shared" si="23"/>
        <v>7626.9208000871804</v>
      </c>
      <c r="L1266" s="643"/>
      <c r="M1266" s="230"/>
      <c r="N1266" s="231"/>
      <c r="O1266" s="230"/>
      <c r="V1266" s="48"/>
      <c r="W1266" s="1128"/>
      <c r="X1266" s="230"/>
    </row>
    <row r="1267" spans="1:27" ht="15.6" hidden="1" customHeight="1" x14ac:dyDescent="0.25">
      <c r="A1267" s="642"/>
      <c r="B1267" s="1035" t="s">
        <v>1416</v>
      </c>
      <c r="C1267" s="1036"/>
      <c r="D1267" s="1008"/>
      <c r="E1267" s="1038" t="s">
        <v>2696</v>
      </c>
      <c r="F1267" s="1004"/>
      <c r="G1267" s="1038" t="s">
        <v>2684</v>
      </c>
      <c r="H1267" s="1004"/>
      <c r="I1267" s="1039">
        <f t="shared" si="22"/>
        <v>0</v>
      </c>
      <c r="J1267" s="1040"/>
      <c r="K1267" s="1039">
        <f t="shared" si="23"/>
        <v>0</v>
      </c>
      <c r="L1267" s="643"/>
      <c r="M1267" s="230"/>
      <c r="N1267" s="231"/>
      <c r="O1267" s="230"/>
      <c r="V1267" s="48"/>
      <c r="W1267" s="1128"/>
      <c r="X1267" s="230"/>
    </row>
    <row r="1268" spans="1:27" ht="15.6" hidden="1" customHeight="1" x14ac:dyDescent="0.25">
      <c r="A1268" s="642"/>
      <c r="B1268" s="1035" t="s">
        <v>659</v>
      </c>
      <c r="C1268" s="1036"/>
      <c r="D1268" s="1008"/>
      <c r="E1268" s="1038" t="s">
        <v>2696</v>
      </c>
      <c r="F1268" s="1004"/>
      <c r="G1268" s="1038" t="s">
        <v>2684</v>
      </c>
      <c r="H1268" s="1004"/>
      <c r="I1268" s="1039">
        <f t="shared" si="22"/>
        <v>0</v>
      </c>
      <c r="J1268" s="1040"/>
      <c r="K1268" s="1039">
        <f t="shared" si="23"/>
        <v>0</v>
      </c>
      <c r="L1268" s="643"/>
      <c r="M1268" s="230"/>
      <c r="N1268" s="231"/>
      <c r="O1268" s="230"/>
      <c r="V1268" s="48"/>
      <c r="W1268" s="1128"/>
      <c r="X1268" s="230"/>
    </row>
    <row r="1269" spans="1:27" ht="15.6" hidden="1" customHeight="1" x14ac:dyDescent="0.25">
      <c r="A1269" s="642"/>
      <c r="B1269" s="1035" t="s">
        <v>2721</v>
      </c>
      <c r="C1269" s="1036"/>
      <c r="D1269" s="1008"/>
      <c r="E1269" s="1038" t="s">
        <v>2696</v>
      </c>
      <c r="F1269" s="1004"/>
      <c r="G1269" s="1038" t="s">
        <v>340</v>
      </c>
      <c r="H1269" s="1004"/>
      <c r="I1269" s="1039">
        <f t="shared" si="22"/>
        <v>27491.154781265901</v>
      </c>
      <c r="J1269" s="1040"/>
      <c r="K1269" s="1039">
        <f t="shared" si="23"/>
        <v>21935.839281269022</v>
      </c>
      <c r="L1269" s="643"/>
      <c r="M1269" s="230"/>
      <c r="N1269" s="231"/>
      <c r="O1269" s="230"/>
      <c r="V1269" s="48"/>
      <c r="W1269" s="1128"/>
      <c r="X1269" s="230"/>
    </row>
    <row r="1270" spans="1:27" ht="15.6" hidden="1" customHeight="1" x14ac:dyDescent="0.25">
      <c r="A1270" s="642"/>
      <c r="B1270" s="1035" t="s">
        <v>1975</v>
      </c>
      <c r="C1270" s="1036"/>
      <c r="D1270" s="1008"/>
      <c r="E1270" s="1038" t="s">
        <v>2696</v>
      </c>
      <c r="F1270" s="1004"/>
      <c r="G1270" s="1038" t="s">
        <v>340</v>
      </c>
      <c r="H1270" s="1004"/>
      <c r="I1270" s="1039">
        <f t="shared" si="22"/>
        <v>70740.947470028172</v>
      </c>
      <c r="J1270" s="1040"/>
      <c r="K1270" s="1039">
        <f t="shared" si="23"/>
        <v>68341.600876617289</v>
      </c>
      <c r="L1270" s="643"/>
      <c r="M1270" s="230"/>
      <c r="N1270" s="231"/>
      <c r="O1270" s="230"/>
      <c r="V1270" s="48"/>
      <c r="W1270" s="1128"/>
      <c r="X1270" s="230"/>
    </row>
    <row r="1271" spans="1:27" ht="15.6" hidden="1" customHeight="1" x14ac:dyDescent="0.25">
      <c r="A1271" s="642"/>
      <c r="B1271" s="1035" t="s">
        <v>3627</v>
      </c>
      <c r="C1271" s="1036"/>
      <c r="D1271" s="1008"/>
      <c r="E1271" s="1038" t="s">
        <v>2696</v>
      </c>
      <c r="F1271" s="1004"/>
      <c r="G1271" s="1038" t="s">
        <v>2684</v>
      </c>
      <c r="H1271" s="1004"/>
      <c r="I1271" s="1039">
        <f t="shared" si="22"/>
        <v>0</v>
      </c>
      <c r="J1271" s="1040"/>
      <c r="K1271" s="1039">
        <f t="shared" si="23"/>
        <v>0</v>
      </c>
      <c r="L1271" s="643"/>
      <c r="M1271" s="230"/>
      <c r="N1271" s="231"/>
      <c r="O1271" s="230"/>
      <c r="V1271" s="48"/>
      <c r="W1271" s="1128"/>
      <c r="X1271" s="230"/>
    </row>
    <row r="1272" spans="1:27" ht="15.6" hidden="1" customHeight="1" x14ac:dyDescent="0.25">
      <c r="A1272" s="642"/>
      <c r="B1272" s="1035" t="s">
        <v>660</v>
      </c>
      <c r="C1272" s="1036"/>
      <c r="D1272" s="1008"/>
      <c r="E1272" s="1038" t="s">
        <v>2696</v>
      </c>
      <c r="F1272" s="1004"/>
      <c r="G1272" s="1038" t="s">
        <v>2684</v>
      </c>
      <c r="H1272" s="1004"/>
      <c r="I1272" s="1039">
        <f t="shared" si="22"/>
        <v>0</v>
      </c>
      <c r="J1272" s="1040"/>
      <c r="K1272" s="1039">
        <f t="shared" si="23"/>
        <v>0</v>
      </c>
      <c r="L1272" s="643"/>
      <c r="M1272" s="230"/>
      <c r="N1272" s="231"/>
      <c r="O1272" s="230"/>
      <c r="V1272" s="48"/>
      <c r="W1272" s="1128"/>
      <c r="X1272" s="230"/>
    </row>
    <row r="1273" spans="1:27" ht="15.6" hidden="1" customHeight="1" x14ac:dyDescent="0.25">
      <c r="A1273" s="642"/>
      <c r="B1273" s="1035" t="s">
        <v>60</v>
      </c>
      <c r="C1273" s="1036"/>
      <c r="D1273" s="1008"/>
      <c r="E1273" s="1038" t="s">
        <v>2696</v>
      </c>
      <c r="F1273" s="1004"/>
      <c r="G1273" s="1038" t="s">
        <v>340</v>
      </c>
      <c r="H1273" s="1004"/>
      <c r="I1273" s="1039">
        <f t="shared" si="22"/>
        <v>3312.2285860935658</v>
      </c>
      <c r="J1273" s="1040"/>
      <c r="K1273" s="1039">
        <f t="shared" si="23"/>
        <v>2438.7265336463975</v>
      </c>
      <c r="L1273" s="643"/>
      <c r="M1273" s="230"/>
      <c r="N1273" s="231"/>
      <c r="O1273" s="230"/>
      <c r="V1273" s="48"/>
      <c r="W1273" s="1128"/>
      <c r="X1273" s="230"/>
    </row>
    <row r="1274" spans="1:27" s="230" customFormat="1" ht="15.6" hidden="1" customHeight="1" thickBot="1" x14ac:dyDescent="0.3">
      <c r="A1274" s="645"/>
      <c r="B1274" s="1041" t="s">
        <v>2714</v>
      </c>
      <c r="C1274" s="1042"/>
      <c r="D1274" s="1004"/>
      <c r="E1274" s="1059" t="s">
        <v>1241</v>
      </c>
      <c r="F1274" s="1004"/>
      <c r="G1274" s="1044"/>
      <c r="H1274" s="1045">
        <v>-234</v>
      </c>
      <c r="I1274" s="1046">
        <f>SUM(I1265:I1273)</f>
        <v>400874.49573738372</v>
      </c>
      <c r="J1274" s="1047"/>
      <c r="K1274" s="1046">
        <f>SUM(K1265:K1273)</f>
        <v>549509.01552061224</v>
      </c>
      <c r="L1274" s="648"/>
      <c r="N1274" s="231"/>
      <c r="P1274" s="1110"/>
      <c r="Q1274" s="1111"/>
      <c r="R1274" s="1111"/>
      <c r="S1274" s="1111"/>
      <c r="T1274" s="1111"/>
      <c r="U1274" s="1112"/>
      <c r="V1274" s="48"/>
      <c r="W1274" s="1128"/>
    </row>
    <row r="1275" spans="1:27" s="230" customFormat="1" ht="15.6" hidden="1" customHeight="1" thickBot="1" x14ac:dyDescent="0.3">
      <c r="A1275" s="649"/>
      <c r="B1275" s="650"/>
      <c r="C1275" s="650"/>
      <c r="D1275" s="651"/>
      <c r="E1275" s="650"/>
      <c r="F1275" s="651"/>
      <c r="G1275" s="651"/>
      <c r="H1275" s="651"/>
      <c r="I1275" s="652"/>
      <c r="J1275" s="653"/>
      <c r="K1275" s="652"/>
      <c r="L1275" s="654"/>
      <c r="N1275" s="231"/>
      <c r="P1275" s="1110"/>
      <c r="Q1275" s="1111"/>
      <c r="R1275" s="1111"/>
      <c r="S1275" s="1111"/>
      <c r="T1275" s="1111"/>
      <c r="U1275" s="1112"/>
      <c r="V1275" s="48"/>
      <c r="W1275" s="1128"/>
      <c r="Y1275" s="48"/>
      <c r="Z1275" s="48"/>
      <c r="AA1275" s="48"/>
    </row>
    <row r="1276" spans="1:27" ht="46.5" hidden="1" customHeight="1" thickTop="1" x14ac:dyDescent="0.2">
      <c r="B1276" s="2839" t="s">
        <v>4342</v>
      </c>
      <c r="C1276" s="2839"/>
      <c r="D1276" s="2839"/>
      <c r="E1276" s="2839"/>
      <c r="F1276" s="2839"/>
      <c r="G1276" s="2839"/>
      <c r="H1276" s="56"/>
      <c r="I1276" s="56"/>
      <c r="J1276" s="56"/>
      <c r="K1276" s="56"/>
      <c r="L1276" s="59"/>
      <c r="M1276" s="1133"/>
      <c r="N1276" s="1147"/>
      <c r="O1276" s="1592"/>
      <c r="X1276" s="230"/>
    </row>
    <row r="1277" spans="1:27" ht="15.6" hidden="1" customHeight="1" x14ac:dyDescent="0.2">
      <c r="I1277" s="58"/>
      <c r="J1277" s="58"/>
      <c r="K1277" s="58"/>
      <c r="L1277" s="59"/>
      <c r="N1277" s="1471"/>
      <c r="X1277" s="230"/>
    </row>
    <row r="1278" spans="1:27" ht="46.5" hidden="1" customHeight="1" x14ac:dyDescent="0.2">
      <c r="B1278" s="2839" t="s">
        <v>4343</v>
      </c>
      <c r="C1278" s="2839"/>
      <c r="D1278" s="2839"/>
      <c r="E1278" s="2839"/>
      <c r="F1278" s="2839"/>
      <c r="G1278" s="2839"/>
      <c r="H1278" s="56"/>
      <c r="I1278" s="56"/>
      <c r="J1278" s="56"/>
      <c r="K1278" s="56"/>
      <c r="L1278" s="59"/>
      <c r="M1278" s="1133"/>
      <c r="N1278" s="1147"/>
      <c r="O1278" s="1146"/>
      <c r="X1278" s="230"/>
    </row>
    <row r="1279" spans="1:27" ht="15.6" hidden="1" customHeight="1" x14ac:dyDescent="0.2">
      <c r="I1279" s="58"/>
      <c r="J1279" s="58"/>
      <c r="K1279" s="58"/>
      <c r="L1279" s="59"/>
      <c r="N1279" s="1471"/>
      <c r="X1279" s="230"/>
    </row>
    <row r="1280" spans="1:27" ht="46.5" hidden="1" customHeight="1" x14ac:dyDescent="0.2">
      <c r="B1280" s="2839" t="s">
        <v>4344</v>
      </c>
      <c r="C1280" s="2839"/>
      <c r="D1280" s="2839"/>
      <c r="E1280" s="2839"/>
      <c r="F1280" s="2839"/>
      <c r="G1280" s="2839"/>
      <c r="H1280" s="56"/>
      <c r="I1280" s="56"/>
      <c r="J1280" s="56"/>
      <c r="K1280" s="56"/>
      <c r="L1280" s="59"/>
      <c r="M1280" s="1133"/>
      <c r="N1280" s="1147"/>
      <c r="O1280" s="1146"/>
      <c r="X1280" s="230"/>
    </row>
    <row r="1281" spans="2:24" ht="15.6" hidden="1" customHeight="1" x14ac:dyDescent="0.2">
      <c r="I1281" s="58"/>
      <c r="J1281" s="58"/>
      <c r="K1281" s="58"/>
      <c r="L1281" s="59"/>
      <c r="N1281" s="1471"/>
      <c r="X1281" s="230"/>
    </row>
    <row r="1282" spans="2:24" ht="62.1" hidden="1" customHeight="1" x14ac:dyDescent="0.2">
      <c r="B1282" s="2839" t="s">
        <v>4345</v>
      </c>
      <c r="C1282" s="2839"/>
      <c r="D1282" s="2839"/>
      <c r="E1282" s="2839"/>
      <c r="F1282" s="2839"/>
      <c r="G1282" s="2839"/>
      <c r="H1282" s="56"/>
      <c r="I1282" s="56"/>
      <c r="J1282" s="56"/>
      <c r="K1282" s="56"/>
      <c r="L1282" s="59"/>
      <c r="M1282" s="1133"/>
      <c r="N1282" s="1147"/>
      <c r="O1282" s="1146"/>
      <c r="X1282" s="230"/>
    </row>
    <row r="1283" spans="2:24" ht="15.6" hidden="1" customHeight="1" x14ac:dyDescent="0.2">
      <c r="I1283" s="58"/>
      <c r="J1283" s="58"/>
      <c r="K1283" s="58"/>
      <c r="L1283" s="59"/>
      <c r="N1283" s="1471"/>
      <c r="X1283" s="230"/>
    </row>
    <row r="1284" spans="2:24" ht="30.95" customHeight="1" x14ac:dyDescent="0.2">
      <c r="B1284" s="2839" t="s">
        <v>1536</v>
      </c>
      <c r="C1284" s="2839"/>
      <c r="D1284" s="2839"/>
      <c r="E1284" s="2839"/>
      <c r="F1284" s="2839"/>
      <c r="G1284" s="2839"/>
      <c r="H1284" s="56"/>
      <c r="I1284" s="56"/>
      <c r="J1284" s="56"/>
      <c r="K1284" s="56"/>
      <c r="N1284" s="1147"/>
      <c r="O1284" s="1592"/>
      <c r="X1284" s="230"/>
    </row>
    <row r="1285" spans="2:24" ht="15.6" customHeight="1" x14ac:dyDescent="0.2">
      <c r="I1285" s="58"/>
      <c r="J1285" s="58"/>
      <c r="K1285" s="58"/>
      <c r="L1285" s="59"/>
      <c r="M1285" s="1133"/>
      <c r="N1285" s="1147"/>
      <c r="O1285" s="1146"/>
      <c r="X1285" s="230"/>
    </row>
    <row r="1286" spans="2:24" ht="46.5" hidden="1" customHeight="1" x14ac:dyDescent="0.2">
      <c r="B1286" s="2839" t="s">
        <v>917</v>
      </c>
      <c r="C1286" s="2839"/>
      <c r="D1286" s="2839"/>
      <c r="E1286" s="2839"/>
      <c r="F1286" s="2839"/>
      <c r="G1286" s="2839"/>
      <c r="H1286" s="56"/>
      <c r="I1286" s="56"/>
      <c r="J1286" s="56"/>
      <c r="K1286" s="56"/>
      <c r="M1286" s="1482"/>
      <c r="N1286" s="1147"/>
      <c r="O1286" s="1596"/>
      <c r="X1286" s="230"/>
    </row>
    <row r="1287" spans="2:24" ht="15.6" hidden="1" customHeight="1" x14ac:dyDescent="0.25">
      <c r="I1287" s="200"/>
      <c r="J1287" s="200"/>
      <c r="K1287" s="200"/>
      <c r="L1287" s="210"/>
      <c r="M1287" s="1133"/>
      <c r="N1287" s="1147"/>
      <c r="O1287" s="1596"/>
      <c r="X1287" s="230"/>
    </row>
    <row r="1288" spans="2:24" ht="77.45" hidden="1" customHeight="1" x14ac:dyDescent="0.2">
      <c r="B1288" s="2839" t="s">
        <v>918</v>
      </c>
      <c r="C1288" s="2839"/>
      <c r="D1288" s="2839"/>
      <c r="E1288" s="2839"/>
      <c r="F1288" s="2839"/>
      <c r="G1288" s="2839"/>
      <c r="H1288" s="56"/>
      <c r="I1288" s="56"/>
      <c r="J1288" s="56"/>
      <c r="K1288" s="56"/>
      <c r="M1288" s="1244" t="s">
        <v>2319</v>
      </c>
      <c r="N1288" s="1147"/>
      <c r="O1288" s="1596"/>
      <c r="X1288" s="230"/>
    </row>
    <row r="1289" spans="2:24" ht="77.45" customHeight="1" x14ac:dyDescent="0.2">
      <c r="B1289" s="2839" t="s">
        <v>2131</v>
      </c>
      <c r="C1289" s="2839"/>
      <c r="D1289" s="2839"/>
      <c r="E1289" s="2839"/>
      <c r="F1289" s="2839"/>
      <c r="G1289" s="2839"/>
      <c r="H1289" s="56"/>
      <c r="I1289" s="56"/>
      <c r="J1289" s="56"/>
      <c r="K1289" s="56"/>
      <c r="M1289" s="1244" t="s">
        <v>2319</v>
      </c>
      <c r="N1289" s="1147"/>
      <c r="O1289" s="1596"/>
      <c r="X1289" s="230"/>
    </row>
    <row r="1290" spans="2:24" ht="15.6" customHeight="1" x14ac:dyDescent="0.25">
      <c r="I1290" s="200"/>
      <c r="J1290" s="200"/>
      <c r="K1290" s="200"/>
      <c r="L1290" s="210"/>
      <c r="M1290" s="1133"/>
      <c r="N1290" s="1147"/>
      <c r="O1290" s="1596"/>
      <c r="X1290" s="230"/>
    </row>
    <row r="1291" spans="2:24" ht="30.95" customHeight="1" x14ac:dyDescent="0.2">
      <c r="B1291" s="2839" t="s">
        <v>4346</v>
      </c>
      <c r="C1291" s="2839"/>
      <c r="D1291" s="2839"/>
      <c r="E1291" s="2839"/>
      <c r="F1291" s="2839"/>
      <c r="G1291" s="2839"/>
      <c r="H1291" s="56"/>
      <c r="I1291" s="56"/>
      <c r="J1291" s="56"/>
      <c r="K1291" s="56"/>
      <c r="L1291" s="59"/>
      <c r="M1291" s="1133"/>
      <c r="N1291" s="1147"/>
      <c r="O1291" s="1133"/>
      <c r="X1291" s="1133"/>
    </row>
    <row r="1292" spans="2:24" ht="30.95" hidden="1" customHeight="1" x14ac:dyDescent="0.2">
      <c r="B1292" s="2839" t="s">
        <v>2012</v>
      </c>
      <c r="C1292" s="2839"/>
      <c r="D1292" s="2839"/>
      <c r="E1292" s="2839"/>
      <c r="F1292" s="2839"/>
      <c r="G1292" s="2839"/>
      <c r="H1292" s="56"/>
      <c r="I1292" s="56"/>
      <c r="J1292" s="56"/>
      <c r="K1292" s="56"/>
      <c r="L1292" s="59"/>
      <c r="M1292" s="1133"/>
      <c r="N1292" s="1147"/>
      <c r="O1292" s="1133"/>
      <c r="X1292" s="230"/>
    </row>
    <row r="1293" spans="2:24" ht="15.6" customHeight="1" x14ac:dyDescent="0.25">
      <c r="I1293" s="200"/>
      <c r="J1293" s="200"/>
      <c r="K1293" s="200"/>
      <c r="L1293" s="210"/>
      <c r="M1293" s="1133"/>
      <c r="N1293" s="1147"/>
      <c r="O1293" s="1212"/>
      <c r="X1293" s="230"/>
    </row>
    <row r="1294" spans="2:24" ht="30.95" hidden="1" customHeight="1" x14ac:dyDescent="0.2">
      <c r="B1294" s="2839" t="s">
        <v>919</v>
      </c>
      <c r="C1294" s="2839"/>
      <c r="D1294" s="2839"/>
      <c r="E1294" s="2839"/>
      <c r="F1294" s="2839"/>
      <c r="G1294" s="2839"/>
      <c r="H1294" s="56"/>
      <c r="I1294" s="56"/>
      <c r="J1294" s="56"/>
      <c r="K1294" s="56"/>
      <c r="N1294" s="1147"/>
      <c r="O1294" s="1596"/>
      <c r="X1294" s="230"/>
    </row>
    <row r="1295" spans="2:24" ht="15.6" hidden="1" customHeight="1" x14ac:dyDescent="0.25">
      <c r="I1295" s="200"/>
      <c r="J1295" s="200"/>
      <c r="K1295" s="200"/>
      <c r="L1295" s="210"/>
      <c r="M1295" s="1133"/>
      <c r="N1295" s="1147"/>
      <c r="O1295" s="1596"/>
      <c r="X1295" s="230"/>
    </row>
    <row r="1296" spans="2:24" ht="30.95" customHeight="1" x14ac:dyDescent="0.2">
      <c r="B1296" s="2839" t="s">
        <v>920</v>
      </c>
      <c r="C1296" s="2839"/>
      <c r="D1296" s="2839"/>
      <c r="E1296" s="2839"/>
      <c r="F1296" s="2839"/>
      <c r="G1296" s="2839"/>
      <c r="H1296" s="56"/>
      <c r="I1296" s="56"/>
      <c r="J1296" s="56"/>
      <c r="K1296" s="56"/>
      <c r="N1296" s="1147"/>
      <c r="O1296" s="1596"/>
      <c r="X1296" s="230"/>
    </row>
    <row r="1297" spans="1:24" ht="15.6" customHeight="1" x14ac:dyDescent="0.25">
      <c r="I1297" s="200"/>
      <c r="J1297" s="200"/>
      <c r="K1297" s="200"/>
      <c r="L1297" s="210"/>
      <c r="M1297" s="1133"/>
      <c r="N1297" s="1147"/>
      <c r="O1297" s="1596"/>
      <c r="X1297" s="230"/>
    </row>
    <row r="1298" spans="1:24" ht="15.6" hidden="1" customHeight="1" x14ac:dyDescent="0.2">
      <c r="M1298" s="1133"/>
      <c r="N1298" s="1147"/>
      <c r="O1298" s="1592"/>
      <c r="X1298" s="230"/>
    </row>
    <row r="1299" spans="1:24" ht="15.6" customHeight="1" x14ac:dyDescent="0.25">
      <c r="A1299" s="211">
        <v>16</v>
      </c>
      <c r="B1299" s="50" t="s">
        <v>664</v>
      </c>
      <c r="C1299" s="50"/>
      <c r="M1299" s="1133"/>
      <c r="N1299" s="1147"/>
      <c r="O1299" s="1592"/>
      <c r="W1299" s="1114" t="s">
        <v>3520</v>
      </c>
      <c r="X1299" s="230"/>
    </row>
    <row r="1300" spans="1:24" ht="15.6" customHeight="1" x14ac:dyDescent="0.25">
      <c r="A1300" s="211"/>
      <c r="B1300" s="50"/>
      <c r="C1300" s="50"/>
      <c r="M1300" s="1133"/>
      <c r="N1300" s="1147"/>
      <c r="O1300" s="1592"/>
      <c r="X1300" s="230"/>
    </row>
    <row r="1301" spans="1:24" ht="15.6" customHeight="1" x14ac:dyDescent="0.25">
      <c r="B1301" s="229" t="s">
        <v>7555</v>
      </c>
      <c r="C1301" s="50"/>
      <c r="I1301" s="239">
        <f>SUM(I1302:I1306)</f>
        <v>12080659.279999999</v>
      </c>
      <c r="J1301" s="58"/>
      <c r="K1301" s="239">
        <f>SUM(K1302:K1306)</f>
        <v>12487502.699999999</v>
      </c>
      <c r="L1301" s="59"/>
      <c r="M1301" s="1133"/>
      <c r="N1301" s="1575">
        <f>SUM(N1302:N1306)</f>
        <v>10688892</v>
      </c>
      <c r="O1301" s="1592"/>
      <c r="W1301" s="1114" t="s">
        <v>3857</v>
      </c>
      <c r="X1301" s="230"/>
    </row>
    <row r="1302" spans="1:24" ht="15.6" customHeight="1" x14ac:dyDescent="0.2">
      <c r="B1302" s="48" t="s">
        <v>686</v>
      </c>
      <c r="I1302" s="213">
        <f>-SUM('Trial Balance - FPos'!F134:F138)</f>
        <v>12080659.279999999</v>
      </c>
      <c r="J1302" s="58"/>
      <c r="K1302" s="213">
        <f>-SUM('Trial Balance - FPos'!C134:C138)</f>
        <v>12487502.699999999</v>
      </c>
      <c r="L1302" s="59"/>
      <c r="M1302" s="1133"/>
      <c r="N1302" s="1576">
        <v>10688892</v>
      </c>
      <c r="O1302" s="1592"/>
      <c r="P1302" s="1110" t="s">
        <v>3144</v>
      </c>
      <c r="Q1302" s="1111" t="s">
        <v>2763</v>
      </c>
      <c r="R1302" s="1110" t="s">
        <v>3145</v>
      </c>
      <c r="S1302" s="1111" t="s">
        <v>2765</v>
      </c>
      <c r="T1302" s="1110" t="s">
        <v>3146</v>
      </c>
      <c r="U1302" s="1112" t="s">
        <v>2775</v>
      </c>
    </row>
    <row r="1303" spans="1:24" ht="15.6" hidden="1" customHeight="1" x14ac:dyDescent="0.2">
      <c r="B1303" s="48" t="s">
        <v>687</v>
      </c>
      <c r="I1303" s="2027">
        <f>-SUM('Trial Balance - FPos'!F133,'Trial Balance - FPos'!F139:F145)</f>
        <v>0</v>
      </c>
      <c r="J1303" s="58"/>
      <c r="K1303" s="2027">
        <f>-SUM('Trial Balance - FPos'!C133,'Trial Balance - FPos'!C139:C145)</f>
        <v>0</v>
      </c>
      <c r="L1303" s="59"/>
      <c r="M1303" s="1133"/>
      <c r="N1303" s="1577">
        <v>0</v>
      </c>
      <c r="O1303" s="1592"/>
      <c r="P1303" s="1110" t="s">
        <v>3147</v>
      </c>
      <c r="Q1303" s="1111" t="s">
        <v>2763</v>
      </c>
      <c r="R1303" s="1110" t="s">
        <v>3148</v>
      </c>
      <c r="S1303" s="1111" t="s">
        <v>2765</v>
      </c>
      <c r="T1303" s="1110" t="s">
        <v>3149</v>
      </c>
      <c r="U1303" s="1112" t="s">
        <v>2775</v>
      </c>
    </row>
    <row r="1304" spans="1:24" ht="15.6" hidden="1" customHeight="1" x14ac:dyDescent="0.2">
      <c r="B1304" s="48" t="s">
        <v>599</v>
      </c>
      <c r="I1304" s="214">
        <v>0</v>
      </c>
      <c r="J1304" s="58"/>
      <c r="K1304" s="214">
        <v>0</v>
      </c>
      <c r="L1304" s="59"/>
      <c r="M1304" s="1133"/>
      <c r="N1304" s="1578">
        <v>0</v>
      </c>
      <c r="O1304" s="1592"/>
      <c r="P1304" s="1110" t="s">
        <v>3150</v>
      </c>
      <c r="Q1304" s="1111" t="s">
        <v>2763</v>
      </c>
      <c r="R1304" s="1110" t="s">
        <v>3151</v>
      </c>
      <c r="S1304" s="1111" t="s">
        <v>2765</v>
      </c>
      <c r="T1304" s="1110" t="s">
        <v>3152</v>
      </c>
      <c r="U1304" s="1112" t="s">
        <v>2775</v>
      </c>
    </row>
    <row r="1305" spans="1:24" ht="15.6" hidden="1" customHeight="1" x14ac:dyDescent="0.2">
      <c r="B1305" s="48" t="s">
        <v>452</v>
      </c>
      <c r="I1305" s="214">
        <v>0</v>
      </c>
      <c r="J1305" s="58"/>
      <c r="K1305" s="214">
        <v>0</v>
      </c>
      <c r="L1305" s="59"/>
      <c r="M1305" s="1133"/>
      <c r="N1305" s="1577">
        <v>0</v>
      </c>
      <c r="O1305" s="1592"/>
      <c r="P1305" s="1110" t="s">
        <v>3153</v>
      </c>
      <c r="Q1305" s="1111" t="s">
        <v>2763</v>
      </c>
      <c r="R1305" s="1110" t="s">
        <v>3154</v>
      </c>
      <c r="S1305" s="1111" t="s">
        <v>2765</v>
      </c>
      <c r="T1305" s="1110" t="s">
        <v>3155</v>
      </c>
      <c r="U1305" s="1112" t="s">
        <v>2775</v>
      </c>
    </row>
    <row r="1306" spans="1:24" ht="15.6" customHeight="1" x14ac:dyDescent="0.2">
      <c r="I1306" s="215"/>
      <c r="J1306" s="58"/>
      <c r="K1306" s="215"/>
      <c r="L1306" s="59"/>
      <c r="M1306" s="1133"/>
      <c r="N1306" s="1579"/>
      <c r="O1306" s="1592"/>
    </row>
    <row r="1307" spans="1:24" ht="15.6" hidden="1" customHeight="1" x14ac:dyDescent="0.2">
      <c r="I1307" s="203"/>
      <c r="J1307" s="58"/>
      <c r="K1307" s="203"/>
      <c r="L1307" s="59"/>
      <c r="M1307" s="1133"/>
      <c r="N1307" s="1580"/>
      <c r="O1307" s="1592"/>
    </row>
    <row r="1308" spans="1:24" ht="15.6" hidden="1" customHeight="1" x14ac:dyDescent="0.25">
      <c r="B1308" s="229" t="s">
        <v>6444</v>
      </c>
      <c r="C1308" s="50"/>
      <c r="I1308" s="239">
        <f>SUM(I1309:I1311)</f>
        <v>0</v>
      </c>
      <c r="J1308" s="58"/>
      <c r="K1308" s="239">
        <f>SUM(K1309:K1311)</f>
        <v>0</v>
      </c>
      <c r="L1308" s="59"/>
      <c r="M1308" s="1133"/>
      <c r="N1308" s="1575">
        <f>SUM(N1309:N1311)</f>
        <v>0</v>
      </c>
      <c r="O1308" s="1592"/>
      <c r="W1308" s="1114" t="s">
        <v>3857</v>
      </c>
    </row>
    <row r="1309" spans="1:24" ht="15.6" hidden="1" customHeight="1" x14ac:dyDescent="0.2">
      <c r="A1309" s="655"/>
      <c r="B1309" s="655" t="s">
        <v>600</v>
      </c>
      <c r="C1309" s="655"/>
      <c r="D1309" s="656"/>
      <c r="E1309" s="655"/>
      <c r="F1309" s="656"/>
      <c r="G1309" s="656"/>
      <c r="H1309" s="656"/>
      <c r="I1309" s="1548">
        <v>0</v>
      </c>
      <c r="J1309" s="658"/>
      <c r="K1309" s="1548">
        <v>0</v>
      </c>
      <c r="L1309" s="1415"/>
      <c r="M1309" s="1133"/>
      <c r="N1309" s="1576">
        <v>0</v>
      </c>
      <c r="O1309" s="1592"/>
    </row>
    <row r="1310" spans="1:24" ht="15.6" hidden="1" customHeight="1" x14ac:dyDescent="0.2">
      <c r="B1310" s="48" t="s">
        <v>79</v>
      </c>
      <c r="I1310" s="214">
        <v>0</v>
      </c>
      <c r="J1310" s="58"/>
      <c r="K1310" s="214">
        <v>0</v>
      </c>
      <c r="L1310" s="59"/>
      <c r="M1310" s="1133"/>
      <c r="N1310" s="1577">
        <v>0</v>
      </c>
      <c r="O1310" s="1592"/>
      <c r="P1310" s="1110" t="s">
        <v>3156</v>
      </c>
      <c r="Q1310" s="1111" t="s">
        <v>2763</v>
      </c>
      <c r="R1310" s="1110" t="s">
        <v>3157</v>
      </c>
      <c r="S1310" s="1111" t="s">
        <v>2765</v>
      </c>
      <c r="T1310" s="1110" t="s">
        <v>3158</v>
      </c>
      <c r="U1310" s="1112" t="s">
        <v>2775</v>
      </c>
    </row>
    <row r="1311" spans="1:24" ht="15.6" hidden="1" customHeight="1" x14ac:dyDescent="0.2">
      <c r="I1311" s="215"/>
      <c r="J1311" s="58"/>
      <c r="K1311" s="215"/>
      <c r="L1311" s="59"/>
      <c r="M1311" s="1133"/>
      <c r="N1311" s="1579"/>
      <c r="O1311" s="1592"/>
    </row>
    <row r="1312" spans="1:24" ht="5.0999999999999996" customHeight="1" x14ac:dyDescent="0.2">
      <c r="I1312" s="216"/>
      <c r="J1312" s="58"/>
      <c r="K1312" s="216"/>
      <c r="L1312" s="59"/>
      <c r="M1312" s="1133"/>
      <c r="N1312" s="1581"/>
      <c r="O1312" s="1146"/>
    </row>
    <row r="1313" spans="1:24" ht="15.6" customHeight="1" thickBot="1" x14ac:dyDescent="0.3">
      <c r="B1313" s="50" t="s">
        <v>283</v>
      </c>
      <c r="C1313" s="50"/>
      <c r="I1313" s="204">
        <f>+I1301+I1308</f>
        <v>12080659.279999999</v>
      </c>
      <c r="J1313" s="58"/>
      <c r="K1313" s="204">
        <f>+K1301+K1308</f>
        <v>12487502.699999999</v>
      </c>
      <c r="L1313" s="59"/>
      <c r="M1313" s="1133"/>
      <c r="N1313" s="620">
        <f>+N1301+N1308</f>
        <v>10688892</v>
      </c>
      <c r="O1313" s="1147"/>
    </row>
    <row r="1314" spans="1:24" ht="15.6" customHeight="1" thickTop="1" x14ac:dyDescent="0.2">
      <c r="I1314" s="217">
        <v>0</v>
      </c>
      <c r="J1314" s="218"/>
      <c r="K1314" s="217">
        <v>0</v>
      </c>
      <c r="M1314" s="1133"/>
      <c r="N1314" s="1147"/>
      <c r="O1314" s="1592"/>
    </row>
    <row r="1315" spans="1:24" ht="46.5" hidden="1" customHeight="1" x14ac:dyDescent="0.2">
      <c r="A1315" s="745"/>
      <c r="B1315" s="2841" t="s">
        <v>2506</v>
      </c>
      <c r="C1315" s="2841"/>
      <c r="D1315" s="2841"/>
      <c r="E1315" s="2841"/>
      <c r="F1315" s="2841"/>
      <c r="G1315" s="2841"/>
      <c r="H1315" s="845"/>
      <c r="I1315" s="845"/>
      <c r="J1315" s="845"/>
      <c r="K1315" s="845"/>
      <c r="L1315" s="754"/>
      <c r="M1315" s="1133"/>
      <c r="N1315" s="1147"/>
      <c r="O1315" s="1146"/>
      <c r="P1315" s="1115"/>
    </row>
    <row r="1316" spans="1:24" ht="15.6" hidden="1" customHeight="1" x14ac:dyDescent="0.2">
      <c r="A1316" s="745"/>
      <c r="B1316" s="745"/>
      <c r="C1316" s="745"/>
      <c r="D1316" s="746"/>
      <c r="E1316" s="745"/>
      <c r="F1316" s="746"/>
      <c r="G1316" s="746"/>
      <c r="H1316" s="746"/>
      <c r="I1316" s="750"/>
      <c r="J1316" s="750"/>
      <c r="K1316" s="750"/>
      <c r="L1316" s="745"/>
      <c r="M1316" s="1133"/>
      <c r="N1316" s="1147"/>
      <c r="O1316" s="1592"/>
    </row>
    <row r="1317" spans="1:24" ht="46.5" hidden="1" customHeight="1" x14ac:dyDescent="0.2">
      <c r="A1317" s="745"/>
      <c r="B1317" s="2841" t="s">
        <v>2507</v>
      </c>
      <c r="C1317" s="2841"/>
      <c r="D1317" s="2841"/>
      <c r="E1317" s="2841"/>
      <c r="F1317" s="2841"/>
      <c r="G1317" s="2841"/>
      <c r="H1317" s="845"/>
      <c r="I1317" s="845"/>
      <c r="J1317" s="845"/>
      <c r="K1317" s="845"/>
      <c r="L1317" s="754"/>
      <c r="M1317" s="1133"/>
      <c r="N1317" s="1147"/>
      <c r="O1317" s="1146"/>
      <c r="P1317" s="1115"/>
    </row>
    <row r="1318" spans="1:24" ht="15.6" hidden="1" customHeight="1" x14ac:dyDescent="0.2">
      <c r="A1318" s="745"/>
      <c r="B1318" s="745"/>
      <c r="C1318" s="745"/>
      <c r="D1318" s="746"/>
      <c r="E1318" s="745"/>
      <c r="F1318" s="746"/>
      <c r="G1318" s="746"/>
      <c r="H1318" s="746"/>
      <c r="I1318" s="750"/>
      <c r="J1318" s="750"/>
      <c r="K1318" s="750"/>
      <c r="L1318" s="745"/>
      <c r="M1318" s="1133"/>
      <c r="N1318" s="1147"/>
      <c r="O1318" s="1592"/>
    </row>
    <row r="1319" spans="1:24" ht="15.6" hidden="1" customHeight="1" x14ac:dyDescent="0.2">
      <c r="B1319" s="2840" t="s">
        <v>2329</v>
      </c>
      <c r="C1319" s="2840"/>
      <c r="D1319" s="2840"/>
      <c r="E1319" s="2840"/>
      <c r="F1319" s="2840"/>
      <c r="G1319" s="2840"/>
      <c r="H1319" s="56"/>
      <c r="I1319" s="56"/>
      <c r="J1319" s="56"/>
      <c r="K1319" s="56"/>
      <c r="M1319" s="1214" t="s">
        <v>1999</v>
      </c>
      <c r="N1319" s="1147"/>
      <c r="O1319" s="1147"/>
    </row>
    <row r="1320" spans="1:24" ht="15.6" hidden="1" customHeight="1" x14ac:dyDescent="0.2">
      <c r="M1320" s="1133"/>
      <c r="N1320" s="1147"/>
      <c r="O1320" s="1592"/>
    </row>
    <row r="1321" spans="1:24" ht="46.5" customHeight="1" x14ac:dyDescent="0.2">
      <c r="B1321" s="2839" t="s">
        <v>7556</v>
      </c>
      <c r="C1321" s="2839"/>
      <c r="D1321" s="2839"/>
      <c r="E1321" s="2839"/>
      <c r="F1321" s="2839"/>
      <c r="G1321" s="2839"/>
      <c r="H1321" s="56"/>
      <c r="I1321" s="56"/>
      <c r="J1321" s="56"/>
      <c r="K1321" s="56"/>
      <c r="N1321" s="1471"/>
      <c r="O1321" s="1212"/>
      <c r="X1321" s="230"/>
    </row>
    <row r="1322" spans="1:24" ht="46.5" hidden="1" customHeight="1" x14ac:dyDescent="0.2">
      <c r="B1322" s="2865" t="s">
        <v>2563</v>
      </c>
      <c r="C1322" s="2865"/>
      <c r="D1322" s="2865"/>
      <c r="E1322" s="2865"/>
      <c r="F1322" s="2865"/>
      <c r="G1322" s="2865"/>
      <c r="H1322" s="56"/>
      <c r="I1322" s="56"/>
      <c r="J1322" s="56"/>
      <c r="K1322" s="56"/>
      <c r="N1322" s="1471"/>
      <c r="O1322" s="1212"/>
      <c r="X1322" s="230"/>
    </row>
    <row r="1323" spans="1:24" ht="15.6" customHeight="1" x14ac:dyDescent="0.2">
      <c r="M1323" s="1133"/>
      <c r="N1323" s="1147"/>
      <c r="O1323" s="1592"/>
    </row>
    <row r="1324" spans="1:24" ht="15.6" customHeight="1" x14ac:dyDescent="0.2">
      <c r="B1324" s="2839" t="s">
        <v>921</v>
      </c>
      <c r="C1324" s="2839"/>
      <c r="D1324" s="2839"/>
      <c r="E1324" s="2839"/>
      <c r="F1324" s="2839"/>
      <c r="G1324" s="2839"/>
      <c r="H1324" s="56"/>
      <c r="I1324" s="56"/>
      <c r="J1324" s="56"/>
      <c r="K1324" s="56"/>
      <c r="N1324" s="1147"/>
      <c r="O1324" s="1596"/>
    </row>
    <row r="1325" spans="1:24" ht="15.6" customHeight="1" x14ac:dyDescent="0.2">
      <c r="M1325" s="1133"/>
      <c r="N1325" s="1147"/>
      <c r="O1325" s="1596"/>
    </row>
    <row r="1326" spans="1:24" ht="15.6" hidden="1" customHeight="1" x14ac:dyDescent="0.2">
      <c r="M1326" s="1133"/>
      <c r="N1326" s="1147"/>
      <c r="O1326" s="1592"/>
    </row>
    <row r="1327" spans="1:24" ht="15.6" hidden="1" customHeight="1" x14ac:dyDescent="0.25">
      <c r="A1327" s="211">
        <v>16</v>
      </c>
      <c r="B1327" s="50" t="s">
        <v>1458</v>
      </c>
      <c r="C1327" s="50"/>
      <c r="I1327" s="58"/>
      <c r="J1327" s="58"/>
      <c r="K1327" s="58"/>
      <c r="M1327" s="1133"/>
      <c r="N1327" s="1147"/>
      <c r="O1327" s="1592"/>
      <c r="W1327" s="1114" t="s">
        <v>3520</v>
      </c>
    </row>
    <row r="1328" spans="1:24" ht="15.6" hidden="1" customHeight="1" x14ac:dyDescent="0.2">
      <c r="I1328" s="58"/>
      <c r="J1328" s="58"/>
      <c r="K1328" s="58"/>
      <c r="M1328" s="1133"/>
      <c r="N1328" s="1147"/>
      <c r="O1328" s="1592"/>
    </row>
    <row r="1329" spans="1:24" ht="15.6" hidden="1" customHeight="1" x14ac:dyDescent="0.25">
      <c r="A1329" s="1166"/>
      <c r="B1329" s="2869" t="s">
        <v>4347</v>
      </c>
      <c r="C1329" s="2870"/>
      <c r="D1329" s="2870"/>
      <c r="E1329" s="2870"/>
      <c r="F1329" s="2870"/>
      <c r="G1329" s="2870"/>
      <c r="H1329" s="2870"/>
      <c r="I1329" s="2870"/>
      <c r="J1329" s="2870"/>
      <c r="K1329" s="2870"/>
      <c r="L1329" s="210"/>
      <c r="M1329" s="1133"/>
      <c r="N1329" s="1133"/>
      <c r="O1329" s="1133"/>
      <c r="P1329" s="1097"/>
      <c r="Q1329" s="1098"/>
      <c r="R1329" s="1097"/>
      <c r="S1329" s="1098"/>
      <c r="T1329" s="1101"/>
      <c r="U1329" s="1102"/>
      <c r="V1329" s="48"/>
      <c r="W1329" s="1128"/>
    </row>
    <row r="1330" spans="1:24" ht="15.6" hidden="1" customHeight="1" x14ac:dyDescent="0.2">
      <c r="B1330" s="48" t="s">
        <v>3522</v>
      </c>
      <c r="I1330" s="2079">
        <v>0</v>
      </c>
      <c r="J1330" s="58"/>
      <c r="K1330" s="2079">
        <v>0</v>
      </c>
      <c r="M1330" s="1133"/>
      <c r="N1330" s="1147">
        <v>0</v>
      </c>
      <c r="O1330" s="1592"/>
      <c r="P1330" s="1110" t="s">
        <v>2854</v>
      </c>
      <c r="Q1330" s="1111" t="s">
        <v>2763</v>
      </c>
      <c r="R1330" s="1110" t="s">
        <v>2855</v>
      </c>
      <c r="S1330" s="1111" t="s">
        <v>2765</v>
      </c>
      <c r="T1330" s="1110" t="s">
        <v>2856</v>
      </c>
      <c r="U1330" s="1112" t="s">
        <v>2775</v>
      </c>
    </row>
    <row r="1331" spans="1:24" ht="15.6" hidden="1" customHeight="1" x14ac:dyDescent="0.2">
      <c r="B1331" s="48" t="s">
        <v>3523</v>
      </c>
      <c r="I1331" s="2044">
        <v>0</v>
      </c>
      <c r="J1331" s="58"/>
      <c r="K1331" s="2044">
        <v>0</v>
      </c>
      <c r="M1331" s="1133"/>
      <c r="N1331" s="1147">
        <v>0</v>
      </c>
      <c r="O1331" s="1592"/>
      <c r="P1331" s="1110" t="s">
        <v>2851</v>
      </c>
      <c r="Q1331" s="1111" t="s">
        <v>2763</v>
      </c>
      <c r="R1331" s="1110" t="s">
        <v>2852</v>
      </c>
      <c r="S1331" s="1111" t="s">
        <v>2765</v>
      </c>
      <c r="T1331" s="1110" t="s">
        <v>2853</v>
      </c>
      <c r="U1331" s="1112" t="s">
        <v>2775</v>
      </c>
    </row>
    <row r="1332" spans="1:24" ht="15.6" hidden="1" customHeight="1" thickBot="1" x14ac:dyDescent="0.3">
      <c r="B1332" s="48" t="s">
        <v>601</v>
      </c>
      <c r="C1332" s="50"/>
      <c r="I1332" s="226">
        <f>IF((I1330-I1331)&gt;0,(I1330-I1331),0)</f>
        <v>0</v>
      </c>
      <c r="J1332" s="58"/>
      <c r="K1332" s="226">
        <f>IF((K1330-K1331)&gt;0,(K1330-K1331),0)</f>
        <v>0</v>
      </c>
      <c r="M1332" s="1133"/>
      <c r="N1332" s="1147">
        <v>0</v>
      </c>
      <c r="O1332" s="1147"/>
    </row>
    <row r="1333" spans="1:24" ht="15.6" hidden="1" customHeight="1" thickTop="1" x14ac:dyDescent="0.2">
      <c r="I1333" s="217">
        <v>0</v>
      </c>
      <c r="J1333" s="218"/>
      <c r="K1333" s="217">
        <v>0</v>
      </c>
      <c r="M1333" s="1133"/>
      <c r="N1333" s="1147"/>
      <c r="O1333" s="1592"/>
    </row>
    <row r="1334" spans="1:24" ht="30.95" hidden="1" customHeight="1" x14ac:dyDescent="0.2">
      <c r="B1334" s="2839" t="s">
        <v>194</v>
      </c>
      <c r="C1334" s="2839"/>
      <c r="D1334" s="2839"/>
      <c r="E1334" s="2839"/>
      <c r="F1334" s="2839"/>
      <c r="G1334" s="2839"/>
      <c r="H1334" s="56"/>
      <c r="I1334" s="56"/>
      <c r="J1334" s="56"/>
      <c r="K1334" s="56"/>
      <c r="N1334" s="1147"/>
      <c r="O1334" s="1592"/>
    </row>
    <row r="1335" spans="1:24" ht="15.6" hidden="1" customHeight="1" x14ac:dyDescent="0.2">
      <c r="M1335" s="1133"/>
      <c r="N1335" s="1147"/>
      <c r="O1335" s="1592"/>
    </row>
    <row r="1336" spans="1:24" ht="46.5" hidden="1" customHeight="1" x14ac:dyDescent="0.2">
      <c r="B1336" s="2839" t="s">
        <v>922</v>
      </c>
      <c r="C1336" s="2839"/>
      <c r="D1336" s="2839"/>
      <c r="E1336" s="2839"/>
      <c r="F1336" s="2839"/>
      <c r="G1336" s="2839"/>
      <c r="H1336" s="56"/>
      <c r="I1336" s="56"/>
      <c r="J1336" s="56"/>
      <c r="K1336" s="56"/>
      <c r="N1336" s="1147"/>
      <c r="O1336" s="1596"/>
    </row>
    <row r="1337" spans="1:24" ht="15.6" hidden="1" customHeight="1" x14ac:dyDescent="0.2">
      <c r="M1337" s="1133"/>
      <c r="N1337" s="1147"/>
      <c r="O1337" s="1592"/>
    </row>
    <row r="1338" spans="1:24" ht="15.6" hidden="1" customHeight="1" x14ac:dyDescent="0.2">
      <c r="M1338" s="1133"/>
      <c r="N1338" s="1147"/>
      <c r="O1338" s="1592"/>
      <c r="X1338" s="230"/>
    </row>
    <row r="1339" spans="1:24" ht="15.6" hidden="1" customHeight="1" x14ac:dyDescent="0.25">
      <c r="A1339" s="211">
        <v>17</v>
      </c>
      <c r="B1339" s="50" t="s">
        <v>575</v>
      </c>
      <c r="C1339" s="50"/>
      <c r="I1339" s="58"/>
      <c r="J1339" s="58"/>
      <c r="K1339" s="58"/>
      <c r="M1339" s="1133"/>
      <c r="N1339" s="1147"/>
      <c r="O1339" s="1592"/>
      <c r="W1339" s="1114" t="s">
        <v>3520</v>
      </c>
    </row>
    <row r="1340" spans="1:24" ht="15.6" hidden="1" customHeight="1" x14ac:dyDescent="0.2">
      <c r="I1340" s="58"/>
      <c r="J1340" s="58"/>
      <c r="K1340" s="58"/>
      <c r="M1340" s="1133"/>
      <c r="N1340" s="1147"/>
      <c r="O1340" s="1592"/>
    </row>
    <row r="1341" spans="1:24" ht="15.6" hidden="1" customHeight="1" x14ac:dyDescent="0.25">
      <c r="B1341" s="48" t="s">
        <v>576</v>
      </c>
      <c r="I1341" s="2078">
        <v>0</v>
      </c>
      <c r="J1341" s="2078"/>
      <c r="K1341" s="2078">
        <v>0</v>
      </c>
      <c r="L1341" s="210"/>
      <c r="M1341" s="1133"/>
      <c r="N1341" s="1147">
        <v>0</v>
      </c>
      <c r="O1341" s="1592"/>
      <c r="P1341" s="1110" t="s">
        <v>3159</v>
      </c>
      <c r="Q1341" s="1111" t="s">
        <v>2763</v>
      </c>
      <c r="R1341" s="1110" t="s">
        <v>3160</v>
      </c>
      <c r="S1341" s="1111" t="s">
        <v>2765</v>
      </c>
      <c r="T1341" s="1110" t="s">
        <v>3161</v>
      </c>
      <c r="U1341" s="1112" t="s">
        <v>2775</v>
      </c>
    </row>
    <row r="1342" spans="1:24" ht="15.6" hidden="1" customHeight="1" x14ac:dyDescent="0.25">
      <c r="B1342" s="48" t="s">
        <v>577</v>
      </c>
      <c r="I1342" s="2078">
        <v>0</v>
      </c>
      <c r="J1342" s="2078"/>
      <c r="K1342" s="2078">
        <v>0</v>
      </c>
      <c r="L1342" s="210"/>
      <c r="M1342" s="1133"/>
      <c r="N1342" s="1147">
        <v>0</v>
      </c>
      <c r="O1342" s="1592"/>
      <c r="P1342" s="1110" t="s">
        <v>3162</v>
      </c>
      <c r="Q1342" s="1111" t="s">
        <v>2763</v>
      </c>
      <c r="R1342" s="1110" t="s">
        <v>3163</v>
      </c>
      <c r="S1342" s="1111" t="s">
        <v>2765</v>
      </c>
      <c r="T1342" s="1110" t="s">
        <v>3164</v>
      </c>
      <c r="U1342" s="1112" t="s">
        <v>2775</v>
      </c>
    </row>
    <row r="1343" spans="1:24" ht="15.6" hidden="1" customHeight="1" x14ac:dyDescent="0.25">
      <c r="I1343" s="2078"/>
      <c r="J1343" s="2078"/>
      <c r="K1343" s="2078"/>
      <c r="L1343" s="210"/>
      <c r="M1343" s="1133"/>
      <c r="N1343" s="1147"/>
      <c r="O1343" s="1592"/>
    </row>
    <row r="1344" spans="1:24" ht="15.6" hidden="1" customHeight="1" thickBot="1" x14ac:dyDescent="0.3">
      <c r="B1344" s="50" t="s">
        <v>578</v>
      </c>
      <c r="C1344" s="50"/>
      <c r="I1344" s="2091">
        <f>SUM(I1341:I1343)</f>
        <v>0</v>
      </c>
      <c r="J1344" s="2092"/>
      <c r="K1344" s="2091">
        <f>SUM(K1341:K1343)</f>
        <v>0</v>
      </c>
      <c r="L1344" s="210"/>
      <c r="M1344" s="1133"/>
      <c r="N1344" s="1147">
        <v>0</v>
      </c>
      <c r="O1344" s="1147"/>
    </row>
    <row r="1345" spans="1:24" ht="15.6" hidden="1" customHeight="1" thickTop="1" x14ac:dyDescent="0.2">
      <c r="I1345" s="217">
        <v>0</v>
      </c>
      <c r="J1345" s="218"/>
      <c r="K1345" s="217">
        <v>0</v>
      </c>
      <c r="L1345" s="59"/>
      <c r="M1345" s="1133"/>
      <c r="N1345" s="1147"/>
      <c r="O1345" s="1592"/>
    </row>
    <row r="1346" spans="1:24" ht="62.1" hidden="1" customHeight="1" x14ac:dyDescent="0.2">
      <c r="B1346" s="2840" t="s">
        <v>579</v>
      </c>
      <c r="C1346" s="2840"/>
      <c r="D1346" s="2840"/>
      <c r="E1346" s="2840"/>
      <c r="F1346" s="2840"/>
      <c r="G1346" s="2840"/>
      <c r="H1346" s="2090"/>
      <c r="I1346" s="56"/>
      <c r="J1346" s="56"/>
      <c r="K1346" s="56"/>
      <c r="M1346" s="1214" t="s">
        <v>2319</v>
      </c>
      <c r="N1346" s="1147"/>
      <c r="O1346" s="1592"/>
    </row>
    <row r="1347" spans="1:24" ht="15.6" hidden="1" customHeight="1" x14ac:dyDescent="0.2">
      <c r="M1347" s="1133"/>
      <c r="N1347" s="1147"/>
      <c r="O1347" s="1592"/>
    </row>
    <row r="1348" spans="1:24" ht="15.6" hidden="1" customHeight="1" x14ac:dyDescent="0.2">
      <c r="M1348" s="1133"/>
      <c r="N1348" s="1147"/>
      <c r="O1348" s="1596"/>
    </row>
    <row r="1349" spans="1:24" ht="15.6" hidden="1" customHeight="1" x14ac:dyDescent="0.25">
      <c r="A1349" s="211">
        <v>25</v>
      </c>
      <c r="B1349" s="50" t="s">
        <v>4348</v>
      </c>
      <c r="C1349" s="50"/>
      <c r="M1349" s="1133"/>
      <c r="N1349" s="1147"/>
      <c r="O1349" s="1596"/>
      <c r="W1349" s="1114" t="s">
        <v>3520</v>
      </c>
    </row>
    <row r="1350" spans="1:24" ht="15.6" hidden="1" customHeight="1" x14ac:dyDescent="0.2">
      <c r="A1350" s="245"/>
      <c r="M1350" s="1133"/>
      <c r="N1350" s="1147"/>
      <c r="O1350" s="1596"/>
    </row>
    <row r="1351" spans="1:24" ht="30.95" hidden="1" customHeight="1" x14ac:dyDescent="0.2">
      <c r="A1351" s="625"/>
      <c r="B1351" s="2854" t="s">
        <v>1402</v>
      </c>
      <c r="C1351" s="2854"/>
      <c r="D1351" s="2854"/>
      <c r="E1351" s="2854"/>
      <c r="F1351" s="2854"/>
      <c r="G1351" s="2854"/>
      <c r="H1351" s="632"/>
      <c r="I1351" s="632"/>
      <c r="J1351" s="632"/>
      <c r="K1351" s="632"/>
      <c r="L1351" s="625"/>
      <c r="M1351" s="1214" t="s">
        <v>2330</v>
      </c>
      <c r="N1351" s="1147"/>
      <c r="O1351" s="1596"/>
    </row>
    <row r="1352" spans="1:24" ht="30.95" hidden="1" customHeight="1" x14ac:dyDescent="0.2">
      <c r="B1352" s="2839" t="s">
        <v>1674</v>
      </c>
      <c r="C1352" s="2839"/>
      <c r="D1352" s="2839"/>
      <c r="E1352" s="2839"/>
      <c r="F1352" s="2839"/>
      <c r="G1352" s="2839"/>
      <c r="H1352" s="56"/>
      <c r="I1352" s="56"/>
      <c r="J1352" s="56"/>
      <c r="K1352" s="56"/>
      <c r="M1352" s="1214" t="s">
        <v>2330</v>
      </c>
      <c r="N1352" s="1147"/>
      <c r="O1352" s="1596"/>
    </row>
    <row r="1353" spans="1:24" ht="15.6" hidden="1" customHeight="1" x14ac:dyDescent="0.2">
      <c r="A1353" s="245"/>
      <c r="M1353" s="1133"/>
      <c r="N1353" s="1147"/>
      <c r="O1353" s="1596"/>
    </row>
    <row r="1354" spans="1:24" ht="15.6" hidden="1" customHeight="1" x14ac:dyDescent="0.2">
      <c r="A1354" s="245"/>
      <c r="B1354" s="48" t="s">
        <v>273</v>
      </c>
      <c r="I1354" s="199">
        <v>-5.8207660913467407E-11</v>
      </c>
      <c r="K1354" s="199">
        <v>0</v>
      </c>
      <c r="M1354" s="1217" t="s">
        <v>2331</v>
      </c>
      <c r="N1354" s="1274">
        <v>0</v>
      </c>
      <c r="O1354" s="1596"/>
      <c r="P1354" s="1110" t="s">
        <v>3165</v>
      </c>
      <c r="Q1354" s="1111" t="s">
        <v>2763</v>
      </c>
      <c r="R1354" s="1110" t="s">
        <v>3166</v>
      </c>
      <c r="S1354" s="1111" t="s">
        <v>2765</v>
      </c>
      <c r="T1354" s="1110" t="s">
        <v>3167</v>
      </c>
      <c r="U1354" s="1112" t="s">
        <v>2775</v>
      </c>
    </row>
    <row r="1355" spans="1:24" ht="15.6" hidden="1" customHeight="1" x14ac:dyDescent="0.25">
      <c r="A1355" s="50"/>
      <c r="B1355" s="48" t="s">
        <v>923</v>
      </c>
      <c r="I1355" s="58">
        <v>0</v>
      </c>
      <c r="K1355" s="58">
        <v>0</v>
      </c>
      <c r="M1355" s="1133"/>
      <c r="N1355" s="1472">
        <v>0</v>
      </c>
      <c r="O1355" s="1596"/>
      <c r="P1355" s="1110" t="s">
        <v>3168</v>
      </c>
      <c r="Q1355" s="1111" t="s">
        <v>2763</v>
      </c>
      <c r="R1355" s="1110" t="s">
        <v>3169</v>
      </c>
      <c r="S1355" s="1111" t="s">
        <v>2765</v>
      </c>
      <c r="T1355" s="1110" t="s">
        <v>3170</v>
      </c>
      <c r="U1355" s="1112" t="s">
        <v>2775</v>
      </c>
    </row>
    <row r="1356" spans="1:24" ht="15.6" hidden="1" customHeight="1" x14ac:dyDescent="0.25">
      <c r="A1356" s="50"/>
      <c r="B1356" s="48" t="s">
        <v>924</v>
      </c>
      <c r="I1356" s="58">
        <v>0</v>
      </c>
      <c r="K1356" s="58">
        <v>0</v>
      </c>
      <c r="M1356" s="1133"/>
      <c r="N1356" s="1472">
        <v>0</v>
      </c>
      <c r="O1356" s="1596"/>
      <c r="P1356" s="1110" t="s">
        <v>3171</v>
      </c>
      <c r="Q1356" s="1111" t="s">
        <v>2763</v>
      </c>
      <c r="R1356" s="1110" t="s">
        <v>3172</v>
      </c>
      <c r="S1356" s="1111" t="s">
        <v>2765</v>
      </c>
      <c r="T1356" s="1110" t="s">
        <v>3173</v>
      </c>
      <c r="U1356" s="1112" t="s">
        <v>2775</v>
      </c>
    </row>
    <row r="1357" spans="1:24" ht="15.6" hidden="1" customHeight="1" x14ac:dyDescent="0.2">
      <c r="I1357" s="58"/>
      <c r="J1357" s="58"/>
      <c r="K1357" s="58"/>
      <c r="L1357" s="59"/>
      <c r="M1357" s="1133"/>
      <c r="N1357" s="1472"/>
      <c r="O1357" s="1596"/>
    </row>
    <row r="1358" spans="1:24" ht="15.6" hidden="1" customHeight="1" thickBot="1" x14ac:dyDescent="0.3">
      <c r="B1358" s="50" t="s">
        <v>1310</v>
      </c>
      <c r="C1358" s="50"/>
      <c r="I1358" s="204">
        <f>SUM(I1354:I1357)</f>
        <v>-5.8207660913467407E-11</v>
      </c>
      <c r="J1358" s="58"/>
      <c r="K1358" s="204">
        <f>SUM(K1354:K1357)</f>
        <v>0</v>
      </c>
      <c r="L1358" s="59"/>
      <c r="M1358" s="1133"/>
      <c r="N1358" s="620">
        <f>SUM(N1354:N1357)</f>
        <v>0</v>
      </c>
      <c r="O1358" s="1147"/>
      <c r="X1358" s="230"/>
    </row>
    <row r="1359" spans="1:24" ht="15.6" hidden="1" customHeight="1" thickTop="1" x14ac:dyDescent="0.25">
      <c r="B1359" s="50"/>
      <c r="C1359" s="50"/>
      <c r="I1359" s="217">
        <v>0</v>
      </c>
      <c r="J1359" s="218"/>
      <c r="K1359" s="217">
        <v>0</v>
      </c>
      <c r="L1359" s="59"/>
      <c r="M1359" s="1133"/>
      <c r="N1359" s="1147"/>
      <c r="O1359" s="1596"/>
      <c r="X1359" s="230"/>
    </row>
    <row r="1360" spans="1:24" ht="30.95" hidden="1" customHeight="1" x14ac:dyDescent="0.2">
      <c r="A1360" s="767"/>
      <c r="B1360" s="2855" t="s">
        <v>2508</v>
      </c>
      <c r="C1360" s="2855"/>
      <c r="D1360" s="2855"/>
      <c r="E1360" s="2855"/>
      <c r="F1360" s="2855"/>
      <c r="G1360" s="2855"/>
      <c r="H1360" s="768"/>
      <c r="I1360" s="768"/>
      <c r="J1360" s="768"/>
      <c r="K1360" s="768"/>
      <c r="L1360" s="777"/>
      <c r="M1360" s="1133"/>
      <c r="N1360" s="1147"/>
      <c r="O1360" s="1146"/>
      <c r="P1360" s="1115"/>
    </row>
    <row r="1361" spans="1:24" ht="15.6" hidden="1" customHeight="1" x14ac:dyDescent="0.2">
      <c r="A1361" s="767"/>
      <c r="B1361" s="767"/>
      <c r="C1361" s="767"/>
      <c r="D1361" s="769"/>
      <c r="E1361" s="767"/>
      <c r="F1361" s="769"/>
      <c r="G1361" s="769"/>
      <c r="H1361" s="769"/>
      <c r="I1361" s="779"/>
      <c r="J1361" s="779"/>
      <c r="K1361" s="779"/>
      <c r="L1361" s="777"/>
      <c r="N1361" s="1471"/>
    </row>
    <row r="1362" spans="1:24" ht="15.6" hidden="1" customHeight="1" x14ac:dyDescent="0.25">
      <c r="B1362" s="229" t="s">
        <v>4145</v>
      </c>
      <c r="C1362" s="50"/>
      <c r="I1362" s="58"/>
      <c r="K1362" s="58"/>
      <c r="M1362" s="1133"/>
      <c r="N1362" s="1147"/>
      <c r="O1362" s="1146"/>
      <c r="W1362" s="1114" t="s">
        <v>3857</v>
      </c>
    </row>
    <row r="1363" spans="1:24" ht="15.6" hidden="1" customHeight="1" x14ac:dyDescent="0.25">
      <c r="I1363" s="58"/>
      <c r="J1363" s="200"/>
      <c r="K1363" s="58"/>
      <c r="M1363" s="1133"/>
      <c r="N1363" s="1147"/>
      <c r="O1363" s="1146"/>
    </row>
    <row r="1364" spans="1:24" ht="15.6" hidden="1" customHeight="1" x14ac:dyDescent="0.25">
      <c r="B1364" s="50" t="s">
        <v>506</v>
      </c>
      <c r="I1364" s="58"/>
      <c r="J1364" s="200"/>
      <c r="K1364" s="58"/>
      <c r="M1364" s="1133"/>
      <c r="N1364" s="1147"/>
      <c r="O1364" s="1146"/>
    </row>
    <row r="1365" spans="1:24" ht="62.1" hidden="1" customHeight="1" x14ac:dyDescent="0.2">
      <c r="A1365" s="201"/>
      <c r="B1365" s="2861" t="s">
        <v>1492</v>
      </c>
      <c r="C1365" s="2861"/>
      <c r="D1365" s="2861"/>
      <c r="E1365" s="2861"/>
      <c r="F1365" s="2861"/>
      <c r="G1365" s="2861"/>
      <c r="H1365" s="201"/>
      <c r="I1365" s="58"/>
      <c r="K1365" s="58"/>
      <c r="L1365" s="201"/>
      <c r="M1365" s="1213" t="s">
        <v>2332</v>
      </c>
      <c r="N1365" s="1147"/>
      <c r="O1365" s="1146"/>
    </row>
    <row r="1366" spans="1:24" ht="15.6" hidden="1" customHeight="1" x14ac:dyDescent="0.25">
      <c r="I1366" s="58"/>
      <c r="J1366" s="200"/>
      <c r="K1366" s="58"/>
      <c r="M1366" s="1133"/>
      <c r="N1366" s="1147"/>
      <c r="O1366" s="1146"/>
    </row>
    <row r="1367" spans="1:24" ht="15.6" hidden="1" customHeight="1" x14ac:dyDescent="0.25">
      <c r="B1367" s="229" t="s">
        <v>4146</v>
      </c>
      <c r="C1367" s="50"/>
      <c r="I1367" s="58"/>
      <c r="K1367" s="58"/>
      <c r="M1367" s="1133"/>
      <c r="N1367" s="1147"/>
      <c r="O1367" s="1146"/>
      <c r="W1367" s="1114" t="s">
        <v>3857</v>
      </c>
      <c r="X1367" s="230"/>
    </row>
    <row r="1368" spans="1:24" ht="15.6" hidden="1" customHeight="1" x14ac:dyDescent="0.25">
      <c r="I1368" s="58"/>
      <c r="J1368" s="200"/>
      <c r="K1368" s="58"/>
      <c r="M1368" s="1133"/>
      <c r="N1368" s="1147"/>
      <c r="O1368" s="1146"/>
      <c r="X1368" s="230"/>
    </row>
    <row r="1369" spans="1:24" ht="30.95" hidden="1" customHeight="1" x14ac:dyDescent="0.2">
      <c r="A1369" s="201"/>
      <c r="B1369" s="2861" t="s">
        <v>1495</v>
      </c>
      <c r="C1369" s="2861"/>
      <c r="D1369" s="2861"/>
      <c r="E1369" s="2861"/>
      <c r="F1369" s="2861"/>
      <c r="G1369" s="2861"/>
      <c r="H1369" s="201"/>
      <c r="I1369" s="58"/>
      <c r="K1369" s="58"/>
      <c r="L1369" s="201"/>
      <c r="M1369" s="1213" t="s">
        <v>2333</v>
      </c>
      <c r="N1369" s="1147"/>
      <c r="O1369" s="1146"/>
    </row>
    <row r="1370" spans="1:24" ht="15.6" hidden="1" customHeight="1" x14ac:dyDescent="0.25">
      <c r="I1370" s="58"/>
      <c r="J1370" s="200"/>
      <c r="K1370" s="58"/>
      <c r="M1370" s="1133"/>
      <c r="N1370" s="1147"/>
      <c r="O1370" s="1146"/>
    </row>
    <row r="1371" spans="1:24" ht="15.6" hidden="1" customHeight="1" x14ac:dyDescent="0.25">
      <c r="A1371" s="655"/>
      <c r="B1371" s="659" t="s">
        <v>1127</v>
      </c>
      <c r="C1371" s="655"/>
      <c r="D1371" s="656"/>
      <c r="E1371" s="655"/>
      <c r="F1371" s="656"/>
      <c r="G1371" s="656"/>
      <c r="H1371" s="656"/>
      <c r="I1371" s="658">
        <f>SUM(I1372:I1374)</f>
        <v>0</v>
      </c>
      <c r="J1371" s="657"/>
      <c r="K1371" s="658">
        <f>SUM(K1372:K1374)</f>
        <v>0</v>
      </c>
      <c r="L1371" s="655"/>
      <c r="M1371" s="1217" t="s">
        <v>2331</v>
      </c>
      <c r="N1371" s="1147"/>
      <c r="O1371" s="1146"/>
    </row>
    <row r="1372" spans="1:24" ht="15.6" hidden="1" customHeight="1" x14ac:dyDescent="0.25">
      <c r="A1372" s="655"/>
      <c r="B1372" s="655" t="s">
        <v>507</v>
      </c>
      <c r="C1372" s="655"/>
      <c r="D1372" s="656"/>
      <c r="E1372" s="655"/>
      <c r="F1372" s="656"/>
      <c r="G1372" s="656"/>
      <c r="H1372" s="656"/>
      <c r="I1372" s="1548">
        <v>0</v>
      </c>
      <c r="J1372" s="657"/>
      <c r="K1372" s="1548">
        <v>0</v>
      </c>
      <c r="L1372" s="655"/>
      <c r="M1372" s="1133"/>
      <c r="N1372" s="1147"/>
      <c r="O1372" s="1146"/>
    </row>
    <row r="1373" spans="1:24" ht="15.6" hidden="1" customHeight="1" x14ac:dyDescent="0.25">
      <c r="A1373" s="655"/>
      <c r="B1373" s="655" t="s">
        <v>1202</v>
      </c>
      <c r="C1373" s="655"/>
      <c r="D1373" s="656"/>
      <c r="E1373" s="655"/>
      <c r="F1373" s="656"/>
      <c r="G1373" s="656"/>
      <c r="H1373" s="656"/>
      <c r="I1373" s="668">
        <v>0</v>
      </c>
      <c r="J1373" s="657"/>
      <c r="K1373" s="668">
        <v>0</v>
      </c>
      <c r="L1373" s="655"/>
      <c r="M1373" s="1133"/>
      <c r="N1373" s="1147"/>
      <c r="O1373" s="1146"/>
    </row>
    <row r="1374" spans="1:24" ht="15.6" hidden="1" customHeight="1" x14ac:dyDescent="0.25">
      <c r="A1374" s="655"/>
      <c r="B1374" s="655" t="s">
        <v>1128</v>
      </c>
      <c r="C1374" s="655"/>
      <c r="D1374" s="656"/>
      <c r="E1374" s="655"/>
      <c r="F1374" s="656"/>
      <c r="G1374" s="656"/>
      <c r="H1374" s="656"/>
      <c r="I1374" s="1535">
        <v>0</v>
      </c>
      <c r="J1374" s="657"/>
      <c r="K1374" s="1535">
        <v>0</v>
      </c>
      <c r="L1374" s="655"/>
      <c r="M1374" s="1133"/>
      <c r="N1374" s="1147"/>
      <c r="O1374" s="1146"/>
    </row>
    <row r="1375" spans="1:24" ht="15.6" hidden="1" customHeight="1" x14ac:dyDescent="0.25">
      <c r="A1375" s="655"/>
      <c r="B1375" s="655"/>
      <c r="C1375" s="655"/>
      <c r="D1375" s="656"/>
      <c r="E1375" s="655"/>
      <c r="F1375" s="656"/>
      <c r="G1375" s="656"/>
      <c r="H1375" s="656"/>
      <c r="I1375" s="658"/>
      <c r="J1375" s="657"/>
      <c r="K1375" s="658"/>
      <c r="L1375" s="655"/>
      <c r="M1375" s="1133"/>
      <c r="N1375" s="1147"/>
      <c r="O1375" s="1146"/>
    </row>
    <row r="1376" spans="1:24" ht="15.6" hidden="1" customHeight="1" x14ac:dyDescent="0.25">
      <c r="B1376" s="50" t="s">
        <v>1675</v>
      </c>
      <c r="I1376" s="58">
        <f>SUM(I1377:I1379)</f>
        <v>0</v>
      </c>
      <c r="J1376" s="200"/>
      <c r="K1376" s="58">
        <f>SUM(K1377:K1379)</f>
        <v>0</v>
      </c>
      <c r="M1376" s="1217" t="s">
        <v>2331</v>
      </c>
      <c r="N1376" s="1147"/>
      <c r="O1376" s="1146"/>
    </row>
    <row r="1377" spans="1:23" ht="15.6" hidden="1" customHeight="1" x14ac:dyDescent="0.25">
      <c r="B1377" s="48" t="s">
        <v>507</v>
      </c>
      <c r="I1377" s="213">
        <v>0</v>
      </c>
      <c r="J1377" s="200"/>
      <c r="K1377" s="213">
        <v>0</v>
      </c>
      <c r="M1377" s="1133"/>
      <c r="N1377" s="1147"/>
      <c r="O1377" s="1146"/>
    </row>
    <row r="1378" spans="1:23" ht="15.6" hidden="1" customHeight="1" x14ac:dyDescent="0.25">
      <c r="B1378" s="48" t="s">
        <v>1202</v>
      </c>
      <c r="I1378" s="214">
        <v>0</v>
      </c>
      <c r="J1378" s="200"/>
      <c r="K1378" s="214">
        <v>0</v>
      </c>
      <c r="M1378" s="1133"/>
      <c r="N1378" s="1147"/>
      <c r="O1378" s="1146"/>
      <c r="P1378" s="48"/>
      <c r="Q1378" s="48"/>
      <c r="R1378" s="48"/>
      <c r="S1378" s="48"/>
      <c r="T1378" s="48"/>
      <c r="U1378" s="48"/>
      <c r="V1378" s="48"/>
      <c r="W1378" s="48"/>
    </row>
    <row r="1379" spans="1:23" ht="15.6" hidden="1" customHeight="1" x14ac:dyDescent="0.25">
      <c r="B1379" s="48" t="s">
        <v>1128</v>
      </c>
      <c r="I1379" s="215">
        <v>0</v>
      </c>
      <c r="J1379" s="200"/>
      <c r="K1379" s="215">
        <v>0</v>
      </c>
      <c r="M1379" s="1133"/>
      <c r="N1379" s="1147"/>
      <c r="O1379" s="1146"/>
      <c r="P1379" s="48"/>
      <c r="Q1379" s="48"/>
      <c r="R1379" s="48"/>
      <c r="S1379" s="48"/>
      <c r="T1379" s="48"/>
      <c r="U1379" s="48"/>
      <c r="V1379" s="48"/>
      <c r="W1379" s="48"/>
    </row>
    <row r="1380" spans="1:23" ht="15.6" hidden="1" customHeight="1" x14ac:dyDescent="0.25">
      <c r="I1380" s="58"/>
      <c r="J1380" s="200"/>
      <c r="K1380" s="58"/>
      <c r="M1380" s="1133"/>
      <c r="N1380" s="1147"/>
      <c r="O1380" s="1146"/>
      <c r="P1380" s="48"/>
      <c r="Q1380" s="48"/>
      <c r="R1380" s="48"/>
      <c r="S1380" s="48"/>
      <c r="T1380" s="48"/>
      <c r="U1380" s="48"/>
      <c r="V1380" s="48"/>
      <c r="W1380" s="48"/>
    </row>
    <row r="1381" spans="1:23" ht="15.6" hidden="1" customHeight="1" thickBot="1" x14ac:dyDescent="0.3">
      <c r="B1381" s="50" t="s">
        <v>1308</v>
      </c>
      <c r="C1381" s="50"/>
      <c r="I1381" s="202">
        <f>SUM(I1371,I1376)</f>
        <v>0</v>
      </c>
      <c r="K1381" s="202">
        <f>SUM(K1371,K1376)</f>
        <v>0</v>
      </c>
      <c r="M1381" s="1133"/>
      <c r="N1381" s="1147"/>
      <c r="O1381" s="1146"/>
      <c r="P1381" s="48"/>
      <c r="Q1381" s="48"/>
      <c r="R1381" s="48"/>
      <c r="S1381" s="48"/>
      <c r="T1381" s="48"/>
      <c r="U1381" s="48"/>
      <c r="V1381" s="48"/>
      <c r="W1381" s="48"/>
    </row>
    <row r="1382" spans="1:23" ht="15.6" hidden="1" customHeight="1" thickTop="1" x14ac:dyDescent="0.25">
      <c r="I1382" s="58"/>
      <c r="J1382" s="200"/>
      <c r="K1382" s="58"/>
      <c r="M1382" s="1133"/>
      <c r="N1382" s="1147"/>
      <c r="O1382" s="1146"/>
      <c r="P1382" s="48"/>
      <c r="Q1382" s="48"/>
      <c r="R1382" s="48"/>
      <c r="S1382" s="48"/>
      <c r="T1382" s="48"/>
      <c r="U1382" s="48"/>
      <c r="V1382" s="48"/>
      <c r="W1382" s="48"/>
    </row>
    <row r="1383" spans="1:23" ht="30.95" hidden="1" customHeight="1" x14ac:dyDescent="0.2">
      <c r="A1383" s="201"/>
      <c r="B1383" s="2861" t="s">
        <v>1129</v>
      </c>
      <c r="C1383" s="2861"/>
      <c r="D1383" s="2861"/>
      <c r="E1383" s="2861"/>
      <c r="F1383" s="2861"/>
      <c r="G1383" s="2861"/>
      <c r="H1383" s="201"/>
      <c r="I1383" s="58"/>
      <c r="K1383" s="58"/>
      <c r="L1383" s="201"/>
      <c r="M1383" s="1482"/>
      <c r="N1383" s="1147"/>
      <c r="O1383" s="1146"/>
      <c r="P1383" s="48"/>
      <c r="Q1383" s="48"/>
      <c r="R1383" s="48"/>
      <c r="S1383" s="48"/>
      <c r="T1383" s="48"/>
      <c r="U1383" s="48"/>
      <c r="V1383" s="48"/>
      <c r="W1383" s="48"/>
    </row>
    <row r="1384" spans="1:23" ht="15.6" hidden="1" customHeight="1" x14ac:dyDescent="0.25">
      <c r="I1384" s="58"/>
      <c r="J1384" s="200"/>
      <c r="K1384" s="58"/>
      <c r="M1384" s="1133"/>
      <c r="N1384" s="1147"/>
      <c r="O1384" s="1146"/>
      <c r="P1384" s="48"/>
      <c r="Q1384" s="48"/>
      <c r="R1384" s="48"/>
      <c r="S1384" s="48"/>
      <c r="T1384" s="48"/>
      <c r="U1384" s="48"/>
      <c r="V1384" s="48"/>
      <c r="W1384" s="48"/>
    </row>
    <row r="1385" spans="1:23" ht="15.6" hidden="1" customHeight="1" x14ac:dyDescent="0.25">
      <c r="B1385" s="48" t="s">
        <v>1130</v>
      </c>
      <c r="I1385" s="58">
        <f>-I1356</f>
        <v>0</v>
      </c>
      <c r="J1385" s="200"/>
      <c r="K1385" s="58">
        <f>-K1356</f>
        <v>0</v>
      </c>
      <c r="M1385" s="1213" t="s">
        <v>2334</v>
      </c>
      <c r="N1385" s="1147"/>
      <c r="O1385" s="1146"/>
      <c r="P1385" s="48"/>
      <c r="Q1385" s="48"/>
      <c r="R1385" s="48"/>
      <c r="S1385" s="48"/>
      <c r="T1385" s="48"/>
      <c r="U1385" s="48"/>
      <c r="V1385" s="48"/>
      <c r="W1385" s="48"/>
    </row>
    <row r="1386" spans="1:23" ht="15.6" hidden="1" customHeight="1" x14ac:dyDescent="0.25">
      <c r="A1386" s="655"/>
      <c r="B1386" s="655" t="s">
        <v>1131</v>
      </c>
      <c r="C1386" s="655"/>
      <c r="D1386" s="656"/>
      <c r="E1386" s="655"/>
      <c r="F1386" s="656"/>
      <c r="G1386" s="656"/>
      <c r="H1386" s="656"/>
      <c r="I1386" s="658">
        <v>0</v>
      </c>
      <c r="J1386" s="657"/>
      <c r="K1386" s="658">
        <v>0</v>
      </c>
      <c r="L1386" s="655"/>
      <c r="M1386" s="1213" t="s">
        <v>2334</v>
      </c>
      <c r="N1386" s="1147"/>
      <c r="O1386" s="1146"/>
      <c r="P1386" s="48"/>
      <c r="Q1386" s="48"/>
      <c r="R1386" s="48"/>
      <c r="S1386" s="48"/>
      <c r="T1386" s="48"/>
      <c r="U1386" s="48"/>
      <c r="V1386" s="48"/>
      <c r="W1386" s="48"/>
    </row>
    <row r="1387" spans="1:23" ht="15.6" hidden="1" customHeight="1" x14ac:dyDescent="0.25">
      <c r="A1387" s="655"/>
      <c r="B1387" s="655" t="s">
        <v>1132</v>
      </c>
      <c r="C1387" s="655"/>
      <c r="D1387" s="656"/>
      <c r="E1387" s="655"/>
      <c r="F1387" s="656"/>
      <c r="G1387" s="656"/>
      <c r="H1387" s="656"/>
      <c r="I1387" s="658">
        <v>0</v>
      </c>
      <c r="J1387" s="657"/>
      <c r="K1387" s="658">
        <v>0</v>
      </c>
      <c r="L1387" s="655"/>
      <c r="M1387" s="1213" t="s">
        <v>2334</v>
      </c>
      <c r="N1387" s="1147"/>
      <c r="O1387" s="1146"/>
      <c r="P1387" s="48"/>
      <c r="Q1387" s="48"/>
      <c r="R1387" s="48"/>
      <c r="S1387" s="48"/>
      <c r="T1387" s="48"/>
      <c r="U1387" s="48"/>
      <c r="V1387" s="48"/>
      <c r="W1387" s="48"/>
    </row>
    <row r="1388" spans="1:23" ht="15.6" hidden="1" customHeight="1" x14ac:dyDescent="0.25">
      <c r="I1388" s="58"/>
      <c r="J1388" s="200"/>
      <c r="K1388" s="58"/>
      <c r="M1388" s="1133"/>
      <c r="N1388" s="1147"/>
      <c r="O1388" s="1146"/>
      <c r="P1388" s="48"/>
      <c r="Q1388" s="48"/>
      <c r="R1388" s="48"/>
      <c r="S1388" s="48"/>
      <c r="T1388" s="48"/>
      <c r="U1388" s="48"/>
      <c r="V1388" s="48"/>
      <c r="W1388" s="48"/>
    </row>
    <row r="1389" spans="1:23" ht="15.6" hidden="1" customHeight="1" thickBot="1" x14ac:dyDescent="0.3">
      <c r="B1389" s="50" t="s">
        <v>1309</v>
      </c>
      <c r="C1389" s="50"/>
      <c r="I1389" s="202">
        <f>SUM(I1385:I1388)</f>
        <v>0</v>
      </c>
      <c r="K1389" s="202">
        <f>SUM(K1385:K1388)</f>
        <v>0</v>
      </c>
      <c r="M1389" s="1133"/>
      <c r="N1389" s="1147"/>
      <c r="O1389" s="1146"/>
      <c r="P1389" s="48"/>
      <c r="Q1389" s="48"/>
      <c r="R1389" s="48"/>
      <c r="S1389" s="48"/>
      <c r="T1389" s="48"/>
      <c r="U1389" s="48"/>
      <c r="V1389" s="48"/>
      <c r="W1389" s="48"/>
    </row>
    <row r="1390" spans="1:23" ht="15.6" hidden="1" customHeight="1" thickTop="1" x14ac:dyDescent="0.25">
      <c r="I1390" s="58"/>
      <c r="J1390" s="200"/>
      <c r="K1390" s="58"/>
      <c r="M1390" s="1133"/>
      <c r="N1390" s="1147"/>
      <c r="O1390" s="1146"/>
      <c r="P1390" s="48"/>
      <c r="Q1390" s="48"/>
      <c r="R1390" s="48"/>
      <c r="S1390" s="48"/>
      <c r="T1390" s="48"/>
      <c r="U1390" s="48"/>
      <c r="V1390" s="48"/>
      <c r="W1390" s="48"/>
    </row>
    <row r="1391" spans="1:23" ht="15.6" hidden="1" customHeight="1" x14ac:dyDescent="0.2">
      <c r="A1391" s="781"/>
      <c r="B1391" s="2899" t="s">
        <v>1133</v>
      </c>
      <c r="C1391" s="2899"/>
      <c r="D1391" s="2899"/>
      <c r="E1391" s="2899"/>
      <c r="F1391" s="2899"/>
      <c r="G1391" s="2899"/>
      <c r="H1391" s="781"/>
      <c r="I1391" s="779"/>
      <c r="J1391" s="775"/>
      <c r="K1391" s="779"/>
      <c r="L1391" s="781"/>
      <c r="M1391" s="1482"/>
      <c r="N1391" s="1147"/>
      <c r="O1391" s="1146"/>
      <c r="P1391" s="48"/>
      <c r="Q1391" s="48"/>
      <c r="R1391" s="48"/>
      <c r="S1391" s="48"/>
      <c r="T1391" s="48"/>
      <c r="U1391" s="48"/>
      <c r="V1391" s="48"/>
      <c r="W1391" s="48"/>
    </row>
    <row r="1392" spans="1:23" ht="15.6" hidden="1" customHeight="1" x14ac:dyDescent="0.25">
      <c r="A1392" s="767"/>
      <c r="B1392" s="767"/>
      <c r="C1392" s="767"/>
      <c r="D1392" s="769"/>
      <c r="E1392" s="767"/>
      <c r="F1392" s="769"/>
      <c r="G1392" s="769"/>
      <c r="H1392" s="769"/>
      <c r="I1392" s="779"/>
      <c r="J1392" s="770"/>
      <c r="K1392" s="779"/>
      <c r="L1392" s="767"/>
      <c r="M1392" s="1133"/>
      <c r="N1392" s="1147"/>
      <c r="O1392" s="1146"/>
      <c r="P1392" s="48"/>
      <c r="Q1392" s="48"/>
      <c r="R1392" s="48"/>
      <c r="S1392" s="48"/>
      <c r="T1392" s="48"/>
      <c r="U1392" s="48"/>
      <c r="V1392" s="48"/>
      <c r="W1392" s="48"/>
    </row>
    <row r="1393" spans="1:23" ht="15.6" hidden="1" customHeight="1" x14ac:dyDescent="0.25">
      <c r="A1393" s="767"/>
      <c r="B1393" s="767" t="s">
        <v>1134</v>
      </c>
      <c r="C1393" s="767"/>
      <c r="D1393" s="769"/>
      <c r="E1393" s="767"/>
      <c r="F1393" s="769"/>
      <c r="G1393" s="769"/>
      <c r="H1393" s="769"/>
      <c r="I1393" s="779"/>
      <c r="J1393" s="770"/>
      <c r="K1393" s="779"/>
      <c r="L1393" s="767"/>
      <c r="M1393" s="1133"/>
      <c r="N1393" s="1147"/>
      <c r="O1393" s="1146"/>
      <c r="P1393" s="48"/>
      <c r="Q1393" s="48"/>
      <c r="R1393" s="48"/>
      <c r="S1393" s="48"/>
      <c r="T1393" s="48"/>
      <c r="U1393" s="48"/>
      <c r="V1393" s="48"/>
      <c r="W1393" s="48"/>
    </row>
    <row r="1394" spans="1:23" ht="15.6" hidden="1" customHeight="1" x14ac:dyDescent="0.25">
      <c r="A1394" s="767"/>
      <c r="B1394" s="767" t="s">
        <v>1135</v>
      </c>
      <c r="C1394" s="767"/>
      <c r="D1394" s="769"/>
      <c r="E1394" s="767"/>
      <c r="F1394" s="769"/>
      <c r="G1394" s="769"/>
      <c r="H1394" s="769"/>
      <c r="I1394" s="779">
        <v>0</v>
      </c>
      <c r="J1394" s="770"/>
      <c r="K1394" s="779">
        <v>0</v>
      </c>
      <c r="L1394" s="767"/>
      <c r="M1394" s="1482"/>
      <c r="N1394" s="1147"/>
      <c r="O1394" s="1146"/>
      <c r="P1394" s="48"/>
      <c r="Q1394" s="48"/>
      <c r="R1394" s="48"/>
      <c r="S1394" s="48"/>
      <c r="T1394" s="48"/>
      <c r="U1394" s="48"/>
      <c r="V1394" s="48"/>
      <c r="W1394" s="48"/>
    </row>
    <row r="1395" spans="1:23" ht="15.6" hidden="1" customHeight="1" x14ac:dyDescent="0.25">
      <c r="A1395" s="767"/>
      <c r="B1395" s="767" t="s">
        <v>1136</v>
      </c>
      <c r="C1395" s="767"/>
      <c r="D1395" s="769"/>
      <c r="E1395" s="767"/>
      <c r="F1395" s="769"/>
      <c r="G1395" s="769"/>
      <c r="H1395" s="769"/>
      <c r="I1395" s="779">
        <v>0</v>
      </c>
      <c r="J1395" s="770"/>
      <c r="K1395" s="779">
        <v>0</v>
      </c>
      <c r="L1395" s="767"/>
      <c r="M1395" s="1482"/>
      <c r="N1395" s="1147"/>
      <c r="O1395" s="1146"/>
      <c r="P1395" s="48"/>
      <c r="Q1395" s="48"/>
      <c r="R1395" s="48"/>
      <c r="S1395" s="48"/>
      <c r="T1395" s="48"/>
      <c r="U1395" s="48"/>
      <c r="V1395" s="48"/>
      <c r="W1395" s="48"/>
    </row>
    <row r="1396" spans="1:23" ht="15.6" hidden="1" customHeight="1" x14ac:dyDescent="0.25">
      <c r="A1396" s="767"/>
      <c r="B1396" s="767"/>
      <c r="C1396" s="767"/>
      <c r="D1396" s="769"/>
      <c r="E1396" s="767"/>
      <c r="F1396" s="769"/>
      <c r="G1396" s="769"/>
      <c r="H1396" s="769"/>
      <c r="I1396" s="779"/>
      <c r="J1396" s="770"/>
      <c r="K1396" s="779"/>
      <c r="L1396" s="767"/>
      <c r="M1396" s="1133"/>
      <c r="N1396" s="1147"/>
      <c r="O1396" s="1146"/>
      <c r="P1396" s="48"/>
      <c r="Q1396" s="48"/>
      <c r="R1396" s="48"/>
      <c r="S1396" s="48"/>
      <c r="T1396" s="48"/>
      <c r="U1396" s="48"/>
      <c r="V1396" s="48"/>
      <c r="W1396" s="48"/>
    </row>
    <row r="1397" spans="1:23" ht="15.6" hidden="1" customHeight="1" x14ac:dyDescent="0.25">
      <c r="A1397" s="767"/>
      <c r="B1397" s="767" t="s">
        <v>1137</v>
      </c>
      <c r="C1397" s="767"/>
      <c r="D1397" s="769"/>
      <c r="E1397" s="767"/>
      <c r="F1397" s="769"/>
      <c r="G1397" s="769"/>
      <c r="H1397" s="769"/>
      <c r="I1397" s="779"/>
      <c r="J1397" s="770"/>
      <c r="K1397" s="779"/>
      <c r="L1397" s="767"/>
      <c r="M1397" s="1133"/>
      <c r="N1397" s="1147"/>
      <c r="O1397" s="1146"/>
      <c r="P1397" s="48"/>
      <c r="Q1397" s="48"/>
      <c r="R1397" s="48"/>
      <c r="S1397" s="48"/>
      <c r="T1397" s="48"/>
      <c r="U1397" s="48"/>
      <c r="V1397" s="48"/>
      <c r="W1397" s="48"/>
    </row>
    <row r="1398" spans="1:23" ht="15.6" hidden="1" customHeight="1" x14ac:dyDescent="0.25">
      <c r="A1398" s="767"/>
      <c r="B1398" s="767" t="s">
        <v>1135</v>
      </c>
      <c r="C1398" s="767"/>
      <c r="D1398" s="769"/>
      <c r="E1398" s="767"/>
      <c r="F1398" s="769"/>
      <c r="G1398" s="769"/>
      <c r="H1398" s="769"/>
      <c r="I1398" s="779">
        <v>0</v>
      </c>
      <c r="J1398" s="770"/>
      <c r="K1398" s="779">
        <v>0</v>
      </c>
      <c r="L1398" s="767"/>
      <c r="M1398" s="1482"/>
      <c r="N1398" s="1147"/>
      <c r="O1398" s="1146"/>
      <c r="P1398" s="48"/>
      <c r="Q1398" s="48"/>
      <c r="R1398" s="48"/>
      <c r="S1398" s="48"/>
      <c r="T1398" s="48"/>
      <c r="U1398" s="48"/>
      <c r="V1398" s="48"/>
      <c r="W1398" s="48"/>
    </row>
    <row r="1399" spans="1:23" ht="15.6" hidden="1" customHeight="1" x14ac:dyDescent="0.25">
      <c r="A1399" s="767"/>
      <c r="B1399" s="767" t="s">
        <v>1136</v>
      </c>
      <c r="C1399" s="767"/>
      <c r="D1399" s="769"/>
      <c r="E1399" s="767"/>
      <c r="F1399" s="769"/>
      <c r="G1399" s="769"/>
      <c r="H1399" s="769"/>
      <c r="I1399" s="779">
        <v>0</v>
      </c>
      <c r="J1399" s="770"/>
      <c r="K1399" s="779">
        <v>0</v>
      </c>
      <c r="L1399" s="767"/>
      <c r="M1399" s="1482"/>
      <c r="N1399" s="1147"/>
      <c r="O1399" s="1146"/>
      <c r="P1399" s="48"/>
      <c r="Q1399" s="48"/>
      <c r="R1399" s="48"/>
      <c r="S1399" s="48"/>
      <c r="T1399" s="48"/>
      <c r="U1399" s="48"/>
      <c r="V1399" s="48"/>
      <c r="W1399" s="48"/>
    </row>
    <row r="1400" spans="1:23" ht="15.6" hidden="1" customHeight="1" x14ac:dyDescent="0.25">
      <c r="A1400" s="767"/>
      <c r="B1400" s="767"/>
      <c r="C1400" s="767"/>
      <c r="D1400" s="769"/>
      <c r="E1400" s="767"/>
      <c r="F1400" s="769"/>
      <c r="G1400" s="769"/>
      <c r="H1400" s="769"/>
      <c r="I1400" s="779"/>
      <c r="J1400" s="770"/>
      <c r="K1400" s="779"/>
      <c r="L1400" s="767"/>
      <c r="M1400" s="1133"/>
      <c r="N1400" s="1147"/>
      <c r="O1400" s="1146"/>
      <c r="P1400" s="48"/>
      <c r="Q1400" s="48"/>
      <c r="R1400" s="48"/>
      <c r="S1400" s="48"/>
      <c r="T1400" s="48"/>
      <c r="U1400" s="48"/>
      <c r="V1400" s="48"/>
      <c r="W1400" s="48"/>
    </row>
    <row r="1401" spans="1:23" ht="15.6" hidden="1" customHeight="1" thickBot="1" x14ac:dyDescent="0.3">
      <c r="A1401" s="767"/>
      <c r="B1401" s="774" t="s">
        <v>1310</v>
      </c>
      <c r="C1401" s="774"/>
      <c r="D1401" s="769"/>
      <c r="E1401" s="767"/>
      <c r="F1401" s="769"/>
      <c r="G1401" s="769"/>
      <c r="H1401" s="769"/>
      <c r="I1401" s="1539">
        <f>SUM(I1394:I1400)</f>
        <v>0</v>
      </c>
      <c r="J1401" s="775"/>
      <c r="K1401" s="1539">
        <f>SUM(K1394:K1400)</f>
        <v>0</v>
      </c>
      <c r="L1401" s="767"/>
      <c r="M1401" s="1133"/>
      <c r="N1401" s="1147"/>
      <c r="O1401" s="1146"/>
      <c r="P1401" s="48"/>
      <c r="Q1401" s="48"/>
      <c r="R1401" s="48"/>
      <c r="S1401" s="48"/>
      <c r="T1401" s="48"/>
      <c r="U1401" s="48"/>
      <c r="V1401" s="48"/>
      <c r="W1401" s="48"/>
    </row>
    <row r="1402" spans="1:23" ht="15.6" hidden="1" customHeight="1" thickTop="1" x14ac:dyDescent="0.25">
      <c r="A1402" s="767"/>
      <c r="B1402" s="767"/>
      <c r="C1402" s="767"/>
      <c r="D1402" s="769"/>
      <c r="E1402" s="767"/>
      <c r="F1402" s="769"/>
      <c r="G1402" s="769"/>
      <c r="H1402" s="769"/>
      <c r="I1402" s="779"/>
      <c r="J1402" s="770"/>
      <c r="K1402" s="779"/>
      <c r="L1402" s="767"/>
      <c r="M1402" s="1133"/>
      <c r="N1402" s="1147"/>
      <c r="O1402" s="1146"/>
      <c r="P1402" s="48"/>
      <c r="Q1402" s="48"/>
      <c r="R1402" s="48"/>
      <c r="S1402" s="48"/>
      <c r="T1402" s="48"/>
      <c r="U1402" s="48"/>
      <c r="V1402" s="48"/>
      <c r="W1402" s="48"/>
    </row>
    <row r="1403" spans="1:23" ht="30.95" hidden="1" customHeight="1" x14ac:dyDescent="0.2">
      <c r="A1403" s="201"/>
      <c r="B1403" s="2861" t="s">
        <v>1138</v>
      </c>
      <c r="C1403" s="2861"/>
      <c r="D1403" s="2861"/>
      <c r="E1403" s="2861"/>
      <c r="F1403" s="2861"/>
      <c r="G1403" s="2861"/>
      <c r="H1403" s="201"/>
      <c r="I1403" s="58"/>
      <c r="K1403" s="58"/>
      <c r="L1403" s="201"/>
      <c r="M1403" s="1217" t="s">
        <v>2335</v>
      </c>
      <c r="N1403" s="1147"/>
      <c r="O1403" s="1146"/>
      <c r="P1403" s="48"/>
      <c r="Q1403" s="48"/>
      <c r="R1403" s="48"/>
      <c r="S1403" s="48"/>
      <c r="T1403" s="48"/>
      <c r="U1403" s="48"/>
      <c r="V1403" s="48"/>
      <c r="W1403" s="48"/>
    </row>
    <row r="1404" spans="1:23" ht="15.6" hidden="1" customHeight="1" x14ac:dyDescent="0.25">
      <c r="A1404" s="655"/>
      <c r="B1404" s="1553" t="s">
        <v>1403</v>
      </c>
      <c r="C1404" s="655"/>
      <c r="D1404" s="656"/>
      <c r="E1404" s="655"/>
      <c r="F1404" s="656"/>
      <c r="G1404" s="656"/>
      <c r="H1404" s="656"/>
      <c r="I1404" s="658"/>
      <c r="J1404" s="657"/>
      <c r="K1404" s="658"/>
      <c r="L1404" s="655"/>
      <c r="M1404" s="1133"/>
      <c r="N1404" s="1147"/>
      <c r="O1404" s="1146"/>
      <c r="P1404" s="48"/>
      <c r="Q1404" s="48"/>
      <c r="R1404" s="48"/>
      <c r="S1404" s="48"/>
      <c r="T1404" s="48"/>
      <c r="U1404" s="48"/>
      <c r="V1404" s="48"/>
      <c r="W1404" s="48"/>
    </row>
    <row r="1405" spans="1:23" ht="15.6" hidden="1" customHeight="1" x14ac:dyDescent="0.25">
      <c r="B1405" s="61" t="s">
        <v>835</v>
      </c>
      <c r="I1405" s="58"/>
      <c r="J1405" s="200"/>
      <c r="K1405" s="58"/>
      <c r="M1405" s="1133"/>
      <c r="N1405" s="1147"/>
      <c r="O1405" s="1146"/>
      <c r="P1405" s="48"/>
      <c r="Q1405" s="48"/>
      <c r="R1405" s="48"/>
      <c r="S1405" s="48"/>
      <c r="T1405" s="48"/>
      <c r="U1405" s="48"/>
      <c r="V1405" s="48"/>
      <c r="W1405" s="48"/>
    </row>
    <row r="1406" spans="1:23" ht="15.6" hidden="1" customHeight="1" x14ac:dyDescent="0.25">
      <c r="A1406" s="655"/>
      <c r="B1406" s="1553" t="s">
        <v>836</v>
      </c>
      <c r="C1406" s="655"/>
      <c r="D1406" s="656"/>
      <c r="E1406" s="655"/>
      <c r="F1406" s="656"/>
      <c r="G1406" s="656"/>
      <c r="H1406" s="656"/>
      <c r="I1406" s="658"/>
      <c r="J1406" s="657"/>
      <c r="K1406" s="658"/>
      <c r="L1406" s="655"/>
      <c r="M1406" s="1133"/>
      <c r="N1406" s="1147"/>
      <c r="O1406" s="1146"/>
      <c r="P1406" s="48"/>
      <c r="Q1406" s="48"/>
      <c r="R1406" s="48"/>
      <c r="S1406" s="48"/>
      <c r="T1406" s="48"/>
      <c r="U1406" s="48"/>
      <c r="V1406" s="48"/>
      <c r="W1406" s="48"/>
    </row>
    <row r="1407" spans="1:23" ht="15.6" hidden="1" customHeight="1" x14ac:dyDescent="0.25">
      <c r="I1407" s="58"/>
      <c r="J1407" s="200"/>
      <c r="K1407" s="58"/>
      <c r="M1407" s="1133"/>
      <c r="N1407" s="1147"/>
      <c r="O1407" s="1146"/>
      <c r="P1407" s="48"/>
      <c r="Q1407" s="48"/>
      <c r="R1407" s="48"/>
      <c r="S1407" s="48"/>
      <c r="T1407" s="48"/>
      <c r="U1407" s="48"/>
      <c r="V1407" s="48"/>
      <c r="W1407" s="48"/>
    </row>
    <row r="1408" spans="1:23" ht="15.6" hidden="1" customHeight="1" x14ac:dyDescent="0.2">
      <c r="A1408" s="633"/>
      <c r="B1408" s="2867" t="s">
        <v>1139</v>
      </c>
      <c r="C1408" s="2867"/>
      <c r="D1408" s="2867"/>
      <c r="E1408" s="2867"/>
      <c r="F1408" s="2867"/>
      <c r="G1408" s="2867"/>
      <c r="H1408" s="633"/>
      <c r="I1408" s="630"/>
      <c r="J1408" s="286"/>
      <c r="K1408" s="630"/>
      <c r="L1408" s="633"/>
      <c r="M1408" s="1214" t="s">
        <v>2335</v>
      </c>
      <c r="N1408" s="1147"/>
      <c r="O1408" s="1146"/>
      <c r="P1408" s="48"/>
      <c r="Q1408" s="48"/>
      <c r="R1408" s="48"/>
      <c r="S1408" s="48"/>
      <c r="T1408" s="48"/>
      <c r="U1408" s="48"/>
      <c r="V1408" s="48"/>
      <c r="W1408" s="48"/>
    </row>
    <row r="1409" spans="1:23" ht="30.95" hidden="1" customHeight="1" x14ac:dyDescent="0.2">
      <c r="A1409" s="201"/>
      <c r="B1409" s="2861" t="s">
        <v>1664</v>
      </c>
      <c r="C1409" s="2861"/>
      <c r="D1409" s="2861"/>
      <c r="E1409" s="2861"/>
      <c r="F1409" s="2861"/>
      <c r="G1409" s="2861"/>
      <c r="H1409" s="201"/>
      <c r="I1409" s="58"/>
      <c r="K1409" s="58"/>
      <c r="L1409" s="201"/>
      <c r="M1409" s="1214" t="s">
        <v>2335</v>
      </c>
      <c r="N1409" s="1147"/>
      <c r="O1409" s="1146"/>
      <c r="P1409" s="48"/>
      <c r="Q1409" s="48"/>
      <c r="R1409" s="48"/>
      <c r="S1409" s="48"/>
      <c r="T1409" s="48"/>
      <c r="U1409" s="48"/>
      <c r="V1409" s="48"/>
      <c r="W1409" s="48"/>
    </row>
    <row r="1410" spans="1:23" ht="15.6" hidden="1" customHeight="1" x14ac:dyDescent="0.2">
      <c r="A1410" s="201"/>
      <c r="B1410" s="2861" t="s">
        <v>2132</v>
      </c>
      <c r="C1410" s="2861"/>
      <c r="D1410" s="2861"/>
      <c r="E1410" s="2861"/>
      <c r="F1410" s="2861"/>
      <c r="G1410" s="2861"/>
      <c r="H1410" s="201"/>
      <c r="I1410" s="58"/>
      <c r="K1410" s="58"/>
      <c r="L1410" s="201"/>
      <c r="N1410" s="1147"/>
      <c r="O1410" s="1146"/>
    </row>
    <row r="1411" spans="1:23" ht="30.95" hidden="1" customHeight="1" x14ac:dyDescent="0.2">
      <c r="A1411" s="201"/>
      <c r="B1411" s="2861" t="s">
        <v>1665</v>
      </c>
      <c r="C1411" s="2861"/>
      <c r="D1411" s="2861"/>
      <c r="E1411" s="2861"/>
      <c r="F1411" s="2861"/>
      <c r="G1411" s="2861"/>
      <c r="H1411" s="201"/>
      <c r="I1411" s="58"/>
      <c r="K1411" s="58"/>
      <c r="L1411" s="201"/>
      <c r="N1411" s="1147"/>
      <c r="O1411" s="1146"/>
    </row>
    <row r="1412" spans="1:23" ht="30.95" hidden="1" customHeight="1" x14ac:dyDescent="0.2">
      <c r="A1412" s="201"/>
      <c r="B1412" s="2861" t="s">
        <v>2133</v>
      </c>
      <c r="C1412" s="2861"/>
      <c r="D1412" s="2861"/>
      <c r="E1412" s="2861"/>
      <c r="F1412" s="2861"/>
      <c r="G1412" s="2861"/>
      <c r="H1412" s="201"/>
      <c r="I1412" s="58"/>
      <c r="K1412" s="58"/>
      <c r="L1412" s="201"/>
      <c r="N1412" s="1147"/>
      <c r="O1412" s="1146"/>
    </row>
    <row r="1413" spans="1:23" ht="30.95" hidden="1" customHeight="1" x14ac:dyDescent="0.2">
      <c r="A1413" s="201"/>
      <c r="B1413" s="2861" t="s">
        <v>2564</v>
      </c>
      <c r="C1413" s="2861"/>
      <c r="D1413" s="2861"/>
      <c r="E1413" s="2861"/>
      <c r="F1413" s="2861"/>
      <c r="G1413" s="2861"/>
      <c r="H1413" s="201"/>
      <c r="I1413" s="58"/>
      <c r="K1413" s="58"/>
      <c r="L1413" s="201"/>
      <c r="N1413" s="1147"/>
      <c r="O1413" s="1133"/>
    </row>
    <row r="1414" spans="1:23" ht="15.6" hidden="1" customHeight="1" x14ac:dyDescent="0.2"/>
    <row r="1415" spans="1:23" ht="15.6" hidden="1" customHeight="1" x14ac:dyDescent="0.2">
      <c r="I1415" s="58"/>
      <c r="J1415" s="58"/>
      <c r="K1415" s="58"/>
      <c r="L1415" s="59"/>
      <c r="M1415" s="1133"/>
      <c r="N1415" s="1147"/>
      <c r="O1415" s="1592"/>
    </row>
    <row r="1416" spans="1:23" ht="15.6" customHeight="1" x14ac:dyDescent="0.25">
      <c r="A1416" s="211">
        <v>17</v>
      </c>
      <c r="B1416" s="50" t="s">
        <v>103</v>
      </c>
      <c r="C1416" s="50"/>
      <c r="M1416" s="1133"/>
      <c r="N1416" s="1147"/>
      <c r="O1416" s="1592"/>
      <c r="W1416" s="1114" t="s">
        <v>3520</v>
      </c>
    </row>
    <row r="1417" spans="1:23" ht="15.6" customHeight="1" x14ac:dyDescent="0.25">
      <c r="A1417" s="211"/>
      <c r="B1417" s="50"/>
      <c r="C1417" s="50"/>
      <c r="M1417" s="1133"/>
      <c r="N1417" s="1147"/>
      <c r="O1417" s="1592"/>
    </row>
    <row r="1418" spans="1:23" ht="15.6" hidden="1" customHeight="1" x14ac:dyDescent="0.2">
      <c r="A1418" s="655"/>
      <c r="B1418" s="2046" t="s">
        <v>206</v>
      </c>
      <c r="C1418" s="655"/>
      <c r="D1418" s="656"/>
      <c r="E1418" s="655"/>
      <c r="F1418" s="656"/>
      <c r="G1418" s="656"/>
      <c r="H1418" s="656"/>
      <c r="I1418" s="658">
        <v>0</v>
      </c>
      <c r="J1418" s="658"/>
      <c r="K1418" s="658">
        <v>0</v>
      </c>
      <c r="L1418" s="1415"/>
      <c r="M1418" s="1133"/>
      <c r="N1418" s="1472">
        <v>0</v>
      </c>
      <c r="O1418" s="1592"/>
      <c r="P1418" s="1110" t="s">
        <v>3174</v>
      </c>
      <c r="Q1418" s="1111" t="s">
        <v>2763</v>
      </c>
      <c r="R1418" s="1110" t="s">
        <v>3175</v>
      </c>
      <c r="S1418" s="1111" t="s">
        <v>2765</v>
      </c>
      <c r="T1418" s="1110" t="s">
        <v>3176</v>
      </c>
      <c r="U1418" s="1112" t="s">
        <v>2775</v>
      </c>
    </row>
    <row r="1419" spans="1:23" ht="15.6" hidden="1" customHeight="1" x14ac:dyDescent="0.2">
      <c r="A1419" s="655"/>
      <c r="B1419" s="2046" t="s">
        <v>275</v>
      </c>
      <c r="C1419" s="655"/>
      <c r="D1419" s="656"/>
      <c r="E1419" s="655"/>
      <c r="F1419" s="656"/>
      <c r="G1419" s="656"/>
      <c r="H1419" s="656"/>
      <c r="I1419" s="658">
        <v>0</v>
      </c>
      <c r="J1419" s="658"/>
      <c r="K1419" s="658">
        <v>0</v>
      </c>
      <c r="L1419" s="1415"/>
      <c r="M1419" s="1133"/>
      <c r="N1419" s="1472">
        <v>0</v>
      </c>
      <c r="O1419" s="1592"/>
      <c r="P1419" s="1110" t="s">
        <v>3177</v>
      </c>
      <c r="Q1419" s="1111" t="s">
        <v>2763</v>
      </c>
      <c r="R1419" s="1110" t="s">
        <v>3178</v>
      </c>
      <c r="S1419" s="1111" t="s">
        <v>2765</v>
      </c>
      <c r="T1419" s="1110" t="s">
        <v>3179</v>
      </c>
      <c r="U1419" s="1112" t="s">
        <v>2775</v>
      </c>
    </row>
    <row r="1420" spans="1:23" ht="15.6" customHeight="1" x14ac:dyDescent="0.2">
      <c r="B1420" s="48" t="s">
        <v>1486</v>
      </c>
      <c r="I1420" s="58">
        <f>-'Trial Balance - FPos'!F265</f>
        <v>650326.16999999993</v>
      </c>
      <c r="J1420" s="58"/>
      <c r="K1420" s="58">
        <f>-'Trial Balance - FPos'!C265</f>
        <v>1108598.6099999999</v>
      </c>
      <c r="L1420" s="59"/>
      <c r="M1420" s="1133"/>
      <c r="N1420" s="1472">
        <v>1622137</v>
      </c>
      <c r="O1420" s="1592"/>
      <c r="P1420" s="1110" t="s">
        <v>3180</v>
      </c>
      <c r="Q1420" s="1111" t="s">
        <v>2763</v>
      </c>
      <c r="R1420" s="1110" t="s">
        <v>3181</v>
      </c>
      <c r="S1420" s="1111" t="s">
        <v>2765</v>
      </c>
      <c r="T1420" s="1110" t="s">
        <v>3182</v>
      </c>
      <c r="U1420" s="1112" t="s">
        <v>2775</v>
      </c>
    </row>
    <row r="1421" spans="1:23" ht="15.6" customHeight="1" x14ac:dyDescent="0.2">
      <c r="B1421" s="48" t="s">
        <v>653</v>
      </c>
      <c r="I1421" s="58">
        <f>-SUM('Trial Balance - FPos'!F266:F267)</f>
        <v>1411709.66</v>
      </c>
      <c r="J1421" s="58"/>
      <c r="K1421" s="58">
        <f>-SUM('Trial Balance - FPos'!C266:C267)</f>
        <v>1728450.73</v>
      </c>
      <c r="L1421" s="59"/>
      <c r="M1421" s="1133"/>
      <c r="N1421" s="1472">
        <v>3196176</v>
      </c>
      <c r="O1421" s="1592"/>
      <c r="P1421" s="1110" t="s">
        <v>3183</v>
      </c>
      <c r="Q1421" s="1111" t="s">
        <v>2763</v>
      </c>
      <c r="R1421" s="1110" t="s">
        <v>3184</v>
      </c>
      <c r="S1421" s="1111" t="s">
        <v>2765</v>
      </c>
      <c r="T1421" s="1110" t="s">
        <v>3185</v>
      </c>
      <c r="U1421" s="1112" t="s">
        <v>2775</v>
      </c>
    </row>
    <row r="1422" spans="1:23" ht="15.6" customHeight="1" x14ac:dyDescent="0.2">
      <c r="B1422" s="48" t="s">
        <v>7559</v>
      </c>
      <c r="I1422" s="58">
        <f>-SUM('Trial Balance - FPos'!F275:F281)</f>
        <v>1214261.78</v>
      </c>
      <c r="J1422" s="58"/>
      <c r="K1422" s="58">
        <f>-SUM('Trial Balance - FPos'!C275:C281)</f>
        <v>1337754.6399999999</v>
      </c>
      <c r="L1422" s="59"/>
      <c r="M1422" s="1133"/>
      <c r="N1422" s="1472">
        <v>0</v>
      </c>
      <c r="O1422" s="1592"/>
      <c r="P1422" s="1110" t="s">
        <v>3186</v>
      </c>
      <c r="Q1422" s="1111" t="s">
        <v>2763</v>
      </c>
      <c r="R1422" s="1110" t="s">
        <v>3187</v>
      </c>
      <c r="S1422" s="1111" t="s">
        <v>2765</v>
      </c>
      <c r="T1422" s="1110" t="s">
        <v>3188</v>
      </c>
      <c r="U1422" s="1112" t="s">
        <v>2775</v>
      </c>
    </row>
    <row r="1423" spans="1:23" ht="15.6" customHeight="1" x14ac:dyDescent="0.2">
      <c r="B1423" s="48" t="s">
        <v>8158</v>
      </c>
      <c r="I1423" s="58">
        <f>-'Trial Balance - FPos'!F274</f>
        <v>10434795.419999998</v>
      </c>
      <c r="J1423" s="58"/>
      <c r="K1423" s="58">
        <f>-'Trial Balance - FPos'!C274</f>
        <v>6198904.6399999997</v>
      </c>
      <c r="L1423" s="59"/>
      <c r="M1423" s="1133"/>
      <c r="N1423" s="1472"/>
      <c r="O1423" s="1592"/>
      <c r="R1423" s="1110"/>
      <c r="T1423" s="1110"/>
    </row>
    <row r="1424" spans="1:23" ht="15.6" customHeight="1" x14ac:dyDescent="0.2">
      <c r="I1424" s="212"/>
      <c r="J1424" s="58"/>
      <c r="K1424" s="212"/>
      <c r="L1424" s="59"/>
      <c r="M1424" s="1133"/>
      <c r="N1424" s="1473"/>
      <c r="O1424" s="1592"/>
      <c r="R1424" s="1110"/>
      <c r="T1424" s="1110"/>
    </row>
    <row r="1425" spans="1:23" ht="15.6" customHeight="1" x14ac:dyDescent="0.2">
      <c r="B1425" s="48" t="s">
        <v>271</v>
      </c>
      <c r="I1425" s="203">
        <f>SUM(I1418:I1424)</f>
        <v>13711093.029999997</v>
      </c>
      <c r="J1425" s="58"/>
      <c r="K1425" s="203">
        <f>SUM(K1418:K1424)</f>
        <v>10373708.619999999</v>
      </c>
      <c r="L1425" s="59"/>
      <c r="M1425" s="1133"/>
      <c r="N1425" s="1580">
        <f>SUM(N1418:N1424)</f>
        <v>4818313</v>
      </c>
      <c r="O1425" s="1147"/>
      <c r="R1425" s="1110"/>
      <c r="T1425" s="1110"/>
    </row>
    <row r="1426" spans="1:23" ht="15.6" customHeight="1" x14ac:dyDescent="0.2">
      <c r="I1426" s="58"/>
      <c r="J1426" s="58"/>
      <c r="K1426" s="58"/>
      <c r="L1426" s="59"/>
      <c r="M1426" s="1133"/>
      <c r="N1426" s="1147"/>
      <c r="O1426" s="1147"/>
      <c r="R1426" s="1110"/>
      <c r="T1426" s="1110"/>
    </row>
    <row r="1427" spans="1:23" ht="15.6" customHeight="1" x14ac:dyDescent="0.2">
      <c r="B1427" s="48" t="s">
        <v>614</v>
      </c>
      <c r="I1427" s="212">
        <f>SUM(I1428:I1431)</f>
        <v>497144</v>
      </c>
      <c r="J1427" s="58"/>
      <c r="K1427" s="212">
        <f>SUM(K1428:K1431)</f>
        <v>761711</v>
      </c>
      <c r="L1427" s="59"/>
      <c r="M1427" s="1133"/>
      <c r="N1427" s="1473">
        <f>SUM(N1428:N1431)</f>
        <v>0</v>
      </c>
      <c r="O1427" s="1147"/>
      <c r="R1427" s="1110"/>
      <c r="T1427" s="1110"/>
    </row>
    <row r="1428" spans="1:23" ht="15.6" hidden="1" customHeight="1" x14ac:dyDescent="0.2">
      <c r="B1428" s="48" t="s">
        <v>654</v>
      </c>
      <c r="I1428" s="1548">
        <v>0</v>
      </c>
      <c r="J1428" s="58"/>
      <c r="K1428" s="1548">
        <v>0</v>
      </c>
      <c r="L1428" s="59"/>
      <c r="M1428" s="1133"/>
      <c r="N1428" s="1576">
        <v>0</v>
      </c>
      <c r="O1428" s="1592"/>
      <c r="P1428" s="1110" t="s">
        <v>3189</v>
      </c>
      <c r="Q1428" s="1111" t="s">
        <v>2781</v>
      </c>
      <c r="R1428" s="1110" t="s">
        <v>3190</v>
      </c>
      <c r="S1428" s="1111" t="s">
        <v>2790</v>
      </c>
      <c r="T1428" s="1110" t="s">
        <v>3191</v>
      </c>
      <c r="U1428" s="1112" t="s">
        <v>2799</v>
      </c>
    </row>
    <row r="1429" spans="1:23" ht="15.6" hidden="1" customHeight="1" x14ac:dyDescent="0.2">
      <c r="B1429" s="48" t="s">
        <v>210</v>
      </c>
      <c r="I1429" s="668">
        <v>0</v>
      </c>
      <c r="J1429" s="58"/>
      <c r="K1429" s="668">
        <v>0</v>
      </c>
      <c r="L1429" s="59"/>
      <c r="M1429" s="1133"/>
      <c r="N1429" s="1577">
        <v>0</v>
      </c>
      <c r="O1429" s="1592"/>
      <c r="P1429" s="1110" t="s">
        <v>3192</v>
      </c>
      <c r="Q1429" s="1111" t="s">
        <v>2781</v>
      </c>
      <c r="R1429" s="1110" t="s">
        <v>3193</v>
      </c>
      <c r="S1429" s="1111" t="s">
        <v>2790</v>
      </c>
      <c r="T1429" s="1110" t="s">
        <v>3194</v>
      </c>
      <c r="U1429" s="1112" t="s">
        <v>2799</v>
      </c>
    </row>
    <row r="1430" spans="1:23" ht="15.6" customHeight="1" x14ac:dyDescent="0.2">
      <c r="B1430" s="48" t="s">
        <v>1487</v>
      </c>
      <c r="I1430" s="214">
        <v>313217</v>
      </c>
      <c r="J1430" s="58"/>
      <c r="K1430" s="214">
        <v>458273</v>
      </c>
      <c r="L1430" s="59"/>
      <c r="M1430" s="1133"/>
      <c r="N1430" s="1577">
        <v>0</v>
      </c>
      <c r="O1430" s="1592"/>
      <c r="P1430" s="1110" t="s">
        <v>3195</v>
      </c>
      <c r="Q1430" s="1111" t="s">
        <v>2781</v>
      </c>
      <c r="R1430" s="1110" t="s">
        <v>3196</v>
      </c>
      <c r="S1430" s="1111" t="s">
        <v>2790</v>
      </c>
      <c r="T1430" s="1110" t="s">
        <v>3197</v>
      </c>
      <c r="U1430" s="1112" t="s">
        <v>2799</v>
      </c>
    </row>
    <row r="1431" spans="1:23" ht="15.6" customHeight="1" x14ac:dyDescent="0.2">
      <c r="B1431" s="48" t="s">
        <v>655</v>
      </c>
      <c r="I1431" s="214">
        <v>183927</v>
      </c>
      <c r="J1431" s="58"/>
      <c r="K1431" s="214">
        <v>303438</v>
      </c>
      <c r="L1431" s="59"/>
      <c r="M1431" s="1133"/>
      <c r="N1431" s="1577">
        <v>0</v>
      </c>
      <c r="O1431" s="1592"/>
      <c r="P1431" s="1110" t="s">
        <v>3198</v>
      </c>
      <c r="Q1431" s="1111" t="s">
        <v>2781</v>
      </c>
      <c r="R1431" s="1110" t="s">
        <v>3199</v>
      </c>
      <c r="S1431" s="1111" t="s">
        <v>2790</v>
      </c>
      <c r="T1431" s="1110" t="s">
        <v>3200</v>
      </c>
      <c r="U1431" s="1112" t="s">
        <v>2799</v>
      </c>
    </row>
    <row r="1432" spans="1:23" ht="15.6" customHeight="1" x14ac:dyDescent="0.2">
      <c r="B1432" s="48" t="s">
        <v>582</v>
      </c>
      <c r="I1432" s="215">
        <v>0</v>
      </c>
      <c r="J1432" s="58"/>
      <c r="K1432" s="215">
        <v>0</v>
      </c>
      <c r="L1432" s="59"/>
      <c r="M1432" s="1133"/>
      <c r="N1432" s="1577">
        <v>0</v>
      </c>
      <c r="O1432" s="1592"/>
      <c r="P1432" s="1110" t="s">
        <v>3201</v>
      </c>
      <c r="Q1432" s="1111" t="s">
        <v>2781</v>
      </c>
      <c r="R1432" s="1110" t="s">
        <v>3202</v>
      </c>
      <c r="S1432" s="1111" t="s">
        <v>2790</v>
      </c>
      <c r="T1432" s="1110" t="s">
        <v>3203</v>
      </c>
      <c r="U1432" s="1112" t="s">
        <v>2799</v>
      </c>
    </row>
    <row r="1433" spans="1:23" ht="15.6" hidden="1" customHeight="1" x14ac:dyDescent="0.2">
      <c r="I1433" s="215"/>
      <c r="J1433" s="58"/>
      <c r="K1433" s="215"/>
      <c r="L1433" s="59"/>
      <c r="M1433" s="1133"/>
      <c r="N1433" s="1579"/>
      <c r="O1433" s="1592"/>
    </row>
    <row r="1434" spans="1:23" x14ac:dyDescent="0.2">
      <c r="I1434" s="216"/>
      <c r="J1434" s="58"/>
      <c r="K1434" s="216"/>
      <c r="L1434" s="59"/>
      <c r="M1434" s="1133"/>
      <c r="N1434" s="1581"/>
      <c r="O1434" s="1592"/>
    </row>
    <row r="1435" spans="1:23" ht="15.6" customHeight="1" thickBot="1" x14ac:dyDescent="0.3">
      <c r="B1435" s="50" t="s">
        <v>1484</v>
      </c>
      <c r="C1435" s="50"/>
      <c r="I1435" s="204">
        <f>+I1425-I1427</f>
        <v>13213949.029999997</v>
      </c>
      <c r="J1435" s="58"/>
      <c r="K1435" s="204">
        <f>+K1425-K1427</f>
        <v>9611997.6199999992</v>
      </c>
      <c r="L1435" s="59"/>
      <c r="M1435" s="1133"/>
      <c r="N1435" s="620">
        <f>+N1425-N1427</f>
        <v>4818313</v>
      </c>
      <c r="O1435" s="1592"/>
    </row>
    <row r="1436" spans="1:23" ht="15.6" customHeight="1" thickTop="1" x14ac:dyDescent="0.2">
      <c r="I1436" s="217">
        <v>0</v>
      </c>
      <c r="J1436" s="218"/>
      <c r="K1436" s="217">
        <v>0</v>
      </c>
      <c r="M1436" s="1133"/>
      <c r="N1436" s="1147"/>
      <c r="O1436" s="1592"/>
    </row>
    <row r="1437" spans="1:23" ht="30.95" hidden="1" customHeight="1" x14ac:dyDescent="0.2">
      <c r="A1437" s="767"/>
      <c r="B1437" s="2855" t="s">
        <v>2509</v>
      </c>
      <c r="C1437" s="2855"/>
      <c r="D1437" s="2855"/>
      <c r="E1437" s="2855"/>
      <c r="F1437" s="2855"/>
      <c r="G1437" s="2855"/>
      <c r="H1437" s="2855"/>
      <c r="I1437" s="2855"/>
      <c r="J1437" s="2855"/>
      <c r="K1437" s="2855"/>
      <c r="L1437" s="767"/>
      <c r="M1437" s="1482"/>
      <c r="N1437" s="1147"/>
      <c r="O1437" s="1596"/>
    </row>
    <row r="1438" spans="1:23" ht="15.6" hidden="1" customHeight="1" x14ac:dyDescent="0.2">
      <c r="A1438" s="767"/>
      <c r="B1438" s="767"/>
      <c r="C1438" s="767"/>
      <c r="D1438" s="769"/>
      <c r="E1438" s="767"/>
      <c r="F1438" s="769"/>
      <c r="G1438" s="769"/>
      <c r="H1438" s="769"/>
      <c r="I1438" s="779"/>
      <c r="J1438" s="779"/>
      <c r="K1438" s="779"/>
      <c r="L1438" s="777"/>
      <c r="N1438" s="1471"/>
    </row>
    <row r="1439" spans="1:23" ht="15.6" customHeight="1" x14ac:dyDescent="0.25">
      <c r="B1439" s="229" t="s">
        <v>7557</v>
      </c>
      <c r="C1439" s="50"/>
      <c r="I1439" s="58"/>
      <c r="K1439" s="58"/>
      <c r="N1439" s="1133"/>
      <c r="O1439" s="1146"/>
      <c r="W1439" s="1114" t="s">
        <v>3857</v>
      </c>
    </row>
    <row r="1440" spans="1:23" ht="15.6" customHeight="1" x14ac:dyDescent="0.25">
      <c r="I1440" s="58"/>
      <c r="J1440" s="200"/>
      <c r="K1440" s="58"/>
      <c r="N1440" s="1133"/>
      <c r="O1440" s="1146"/>
    </row>
    <row r="1441" spans="2:23" ht="30.95" hidden="1" customHeight="1" x14ac:dyDescent="0.2">
      <c r="B1441" s="2839" t="s">
        <v>821</v>
      </c>
      <c r="C1441" s="2839"/>
      <c r="D1441" s="2839"/>
      <c r="E1441" s="2839"/>
      <c r="F1441" s="2839"/>
      <c r="G1441" s="2839"/>
      <c r="H1441" s="2839"/>
      <c r="I1441" s="2839"/>
      <c r="J1441" s="2839"/>
      <c r="K1441" s="2839"/>
      <c r="M1441" s="1213" t="s">
        <v>2319</v>
      </c>
      <c r="N1441" s="1147"/>
      <c r="O1441" s="1596"/>
    </row>
    <row r="1442" spans="2:23" ht="15.6" hidden="1" customHeight="1" x14ac:dyDescent="0.25">
      <c r="I1442" s="58"/>
      <c r="J1442" s="200"/>
      <c r="K1442" s="58"/>
      <c r="N1442" s="1133"/>
      <c r="O1442" s="1146"/>
    </row>
    <row r="1443" spans="2:23" ht="30.95" hidden="1" customHeight="1" x14ac:dyDescent="0.2">
      <c r="B1443" s="2839" t="s">
        <v>1376</v>
      </c>
      <c r="C1443" s="2839"/>
      <c r="D1443" s="2839"/>
      <c r="E1443" s="2839"/>
      <c r="F1443" s="2839"/>
      <c r="G1443" s="2839"/>
      <c r="H1443" s="2839"/>
      <c r="I1443" s="2839"/>
      <c r="J1443" s="2839"/>
      <c r="K1443" s="2839"/>
      <c r="M1443" s="1244" t="s">
        <v>2319</v>
      </c>
      <c r="N1443" s="1147"/>
      <c r="O1443" s="1596"/>
      <c r="P1443" s="48"/>
      <c r="Q1443" s="48"/>
      <c r="R1443" s="48"/>
      <c r="S1443" s="48"/>
      <c r="T1443" s="48"/>
      <c r="U1443" s="48"/>
      <c r="V1443" s="48"/>
      <c r="W1443" s="48"/>
    </row>
    <row r="1444" spans="2:23" ht="30.95" hidden="1" customHeight="1" x14ac:dyDescent="0.2">
      <c r="B1444" s="2839" t="s">
        <v>1885</v>
      </c>
      <c r="C1444" s="2839"/>
      <c r="D1444" s="2839"/>
      <c r="E1444" s="2839"/>
      <c r="F1444" s="2839"/>
      <c r="G1444" s="2839"/>
      <c r="H1444" s="2839"/>
      <c r="I1444" s="2839"/>
      <c r="J1444" s="2839"/>
      <c r="K1444" s="2839"/>
      <c r="M1444" s="1213" t="s">
        <v>2319</v>
      </c>
      <c r="N1444" s="1147"/>
      <c r="O1444" s="1596"/>
      <c r="P1444" s="48"/>
      <c r="Q1444" s="48"/>
      <c r="R1444" s="48"/>
      <c r="S1444" s="48"/>
      <c r="T1444" s="48"/>
      <c r="U1444" s="48"/>
      <c r="V1444" s="48"/>
      <c r="W1444" s="48"/>
    </row>
    <row r="1445" spans="2:23" ht="15.6" hidden="1" customHeight="1" x14ac:dyDescent="0.25">
      <c r="I1445" s="200"/>
      <c r="J1445" s="200"/>
      <c r="K1445" s="200"/>
      <c r="L1445" s="210"/>
      <c r="M1445" s="1133"/>
      <c r="N1445" s="1147"/>
      <c r="O1445" s="1596"/>
      <c r="P1445" s="48"/>
      <c r="Q1445" s="48"/>
      <c r="R1445" s="48"/>
      <c r="S1445" s="48"/>
      <c r="T1445" s="48"/>
      <c r="U1445" s="48"/>
      <c r="V1445" s="48"/>
      <c r="W1445" s="48"/>
    </row>
    <row r="1446" spans="2:23" ht="30.75" customHeight="1" x14ac:dyDescent="0.2">
      <c r="B1446" s="2839" t="s">
        <v>7379</v>
      </c>
      <c r="C1446" s="2839"/>
      <c r="D1446" s="2839"/>
      <c r="E1446" s="2839"/>
      <c r="F1446" s="2839"/>
      <c r="G1446" s="2839"/>
      <c r="H1446" s="2839"/>
      <c r="I1446" s="2839"/>
      <c r="J1446" s="2839"/>
      <c r="K1446" s="2839"/>
      <c r="M1446" s="1213" t="s">
        <v>2319</v>
      </c>
      <c r="N1446" s="1147"/>
      <c r="O1446" s="1596"/>
      <c r="P1446" s="48"/>
      <c r="Q1446" s="48"/>
      <c r="R1446" s="48"/>
      <c r="S1446" s="48"/>
      <c r="T1446" s="48"/>
      <c r="U1446" s="48"/>
      <c r="V1446" s="48"/>
      <c r="W1446" s="48"/>
    </row>
    <row r="1447" spans="2:23" ht="15.6" customHeight="1" x14ac:dyDescent="0.25">
      <c r="I1447" s="58"/>
      <c r="J1447" s="200"/>
      <c r="K1447" s="58"/>
      <c r="N1447" s="1133"/>
      <c r="O1447" s="1146"/>
      <c r="P1447" s="48"/>
      <c r="Q1447" s="48"/>
      <c r="R1447" s="48"/>
      <c r="S1447" s="48"/>
      <c r="T1447" s="48"/>
      <c r="U1447" s="48"/>
      <c r="V1447" s="48"/>
      <c r="W1447" s="48"/>
    </row>
    <row r="1448" spans="2:23" ht="30.95" customHeight="1" x14ac:dyDescent="0.2">
      <c r="B1448" s="2839" t="s">
        <v>7512</v>
      </c>
      <c r="C1448" s="2839"/>
      <c r="D1448" s="2839"/>
      <c r="E1448" s="2839"/>
      <c r="F1448" s="2839"/>
      <c r="G1448" s="2839"/>
      <c r="H1448" s="2839"/>
      <c r="I1448" s="2839"/>
      <c r="J1448" s="2839"/>
      <c r="K1448" s="2839"/>
      <c r="M1448" s="1213" t="s">
        <v>2319</v>
      </c>
      <c r="N1448" s="1147"/>
      <c r="O1448" s="1596"/>
      <c r="P1448" s="48"/>
      <c r="Q1448" s="48"/>
      <c r="R1448" s="48"/>
      <c r="S1448" s="48"/>
      <c r="T1448" s="48"/>
      <c r="U1448" s="48"/>
      <c r="V1448" s="48"/>
      <c r="W1448" s="48"/>
    </row>
    <row r="1449" spans="2:23" ht="15.6" customHeight="1" x14ac:dyDescent="0.25">
      <c r="I1449" s="58"/>
      <c r="J1449" s="200"/>
      <c r="K1449" s="58"/>
      <c r="N1449" s="1133"/>
      <c r="O1449" s="1146"/>
      <c r="P1449" s="48"/>
      <c r="Q1449" s="48"/>
      <c r="R1449" s="48"/>
      <c r="S1449" s="48"/>
      <c r="T1449" s="48"/>
      <c r="U1449" s="48"/>
      <c r="V1449" s="48"/>
      <c r="W1449" s="48"/>
    </row>
    <row r="1450" spans="2:23" ht="30.95" hidden="1" customHeight="1" x14ac:dyDescent="0.2">
      <c r="B1450" s="2855" t="s">
        <v>2199</v>
      </c>
      <c r="C1450" s="2864"/>
      <c r="D1450" s="2864"/>
      <c r="E1450" s="2864"/>
      <c r="F1450" s="2864"/>
      <c r="G1450" s="2864"/>
      <c r="H1450" s="2864"/>
      <c r="I1450" s="2864"/>
      <c r="J1450" s="2864"/>
      <c r="K1450" s="2864"/>
      <c r="N1450" s="1147"/>
      <c r="O1450" s="1592"/>
      <c r="P1450" s="48"/>
      <c r="Q1450" s="48"/>
      <c r="R1450" s="48"/>
      <c r="S1450" s="48"/>
      <c r="T1450" s="48"/>
      <c r="U1450" s="48"/>
      <c r="V1450" s="48"/>
      <c r="W1450" s="48"/>
    </row>
    <row r="1451" spans="2:23" ht="15.6" hidden="1" customHeight="1" x14ac:dyDescent="0.25">
      <c r="B1451" s="767"/>
      <c r="C1451" s="767"/>
      <c r="D1451" s="769"/>
      <c r="E1451" s="767"/>
      <c r="F1451" s="769"/>
      <c r="G1451" s="769"/>
      <c r="H1451" s="769"/>
      <c r="I1451" s="770"/>
      <c r="J1451" s="770"/>
      <c r="K1451" s="770"/>
      <c r="L1451" s="210"/>
      <c r="M1451" s="1133"/>
      <c r="N1451" s="1147"/>
      <c r="O1451" s="1592"/>
      <c r="P1451" s="48"/>
      <c r="Q1451" s="48"/>
      <c r="R1451" s="48"/>
      <c r="S1451" s="48"/>
      <c r="T1451" s="48"/>
      <c r="U1451" s="48"/>
      <c r="V1451" s="48"/>
      <c r="W1451" s="48"/>
    </row>
    <row r="1452" spans="2:23" ht="30.95" hidden="1" customHeight="1" x14ac:dyDescent="0.2">
      <c r="B1452" s="2855" t="s">
        <v>2200</v>
      </c>
      <c r="C1452" s="2864"/>
      <c r="D1452" s="2864"/>
      <c r="E1452" s="2864"/>
      <c r="F1452" s="2864"/>
      <c r="G1452" s="2864"/>
      <c r="H1452" s="2864"/>
      <c r="I1452" s="2864"/>
      <c r="J1452" s="2864"/>
      <c r="K1452" s="2864"/>
      <c r="N1452" s="1147"/>
      <c r="O1452" s="1592"/>
      <c r="P1452" s="48"/>
      <c r="Q1452" s="48"/>
      <c r="R1452" s="48"/>
      <c r="S1452" s="48"/>
      <c r="T1452" s="48"/>
      <c r="U1452" s="48"/>
      <c r="V1452" s="48"/>
      <c r="W1452" s="48"/>
    </row>
    <row r="1453" spans="2:23" ht="15.6" hidden="1" customHeight="1" x14ac:dyDescent="0.25">
      <c r="B1453" s="767"/>
      <c r="C1453" s="767"/>
      <c r="D1453" s="769"/>
      <c r="E1453" s="767"/>
      <c r="F1453" s="769"/>
      <c r="G1453" s="769"/>
      <c r="H1453" s="769"/>
      <c r="I1453" s="770"/>
      <c r="J1453" s="770"/>
      <c r="K1453" s="770"/>
      <c r="L1453" s="210"/>
      <c r="M1453" s="1133"/>
      <c r="N1453" s="1147"/>
      <c r="O1453" s="1592"/>
      <c r="P1453" s="48"/>
      <c r="Q1453" s="48"/>
      <c r="R1453" s="48"/>
      <c r="S1453" s="48"/>
      <c r="T1453" s="48"/>
      <c r="U1453" s="48"/>
      <c r="V1453" s="48"/>
      <c r="W1453" s="48"/>
    </row>
    <row r="1454" spans="2:23" ht="30.95" customHeight="1" x14ac:dyDescent="0.2">
      <c r="B1454" s="2839" t="s">
        <v>823</v>
      </c>
      <c r="C1454" s="2877"/>
      <c r="D1454" s="2877"/>
      <c r="E1454" s="2877"/>
      <c r="F1454" s="2877"/>
      <c r="G1454" s="2877"/>
      <c r="H1454" s="2877"/>
      <c r="I1454" s="2877"/>
      <c r="J1454" s="2877"/>
      <c r="K1454" s="2877"/>
      <c r="N1454" s="1147"/>
      <c r="O1454" s="1592"/>
      <c r="P1454" s="48"/>
      <c r="Q1454" s="48"/>
      <c r="R1454" s="48"/>
      <c r="S1454" s="48"/>
      <c r="T1454" s="48"/>
      <c r="U1454" s="48"/>
      <c r="V1454" s="48"/>
      <c r="W1454" s="48"/>
    </row>
    <row r="1455" spans="2:23" ht="15.6" customHeight="1" x14ac:dyDescent="0.25">
      <c r="I1455" s="200"/>
      <c r="J1455" s="200"/>
      <c r="K1455" s="200"/>
      <c r="L1455" s="210"/>
      <c r="M1455" s="1133"/>
      <c r="N1455" s="1147"/>
      <c r="O1455" s="1592"/>
      <c r="P1455" s="48"/>
      <c r="Q1455" s="48"/>
      <c r="R1455" s="48"/>
      <c r="S1455" s="48"/>
      <c r="T1455" s="48"/>
      <c r="U1455" s="48"/>
      <c r="V1455" s="48"/>
      <c r="W1455" s="48"/>
    </row>
    <row r="1456" spans="2:23" ht="30.95" customHeight="1" x14ac:dyDescent="0.2">
      <c r="B1456" s="2839" t="s">
        <v>824</v>
      </c>
      <c r="C1456" s="2839"/>
      <c r="D1456" s="2839"/>
      <c r="E1456" s="2839"/>
      <c r="F1456" s="2839"/>
      <c r="G1456" s="2839"/>
      <c r="H1456" s="2839"/>
      <c r="I1456" s="2839"/>
      <c r="J1456" s="2839"/>
      <c r="K1456" s="2839"/>
      <c r="N1456" s="1147"/>
      <c r="O1456" s="1592"/>
      <c r="P1456" s="48"/>
      <c r="Q1456" s="48"/>
      <c r="R1456" s="48"/>
      <c r="S1456" s="48"/>
      <c r="T1456" s="48"/>
      <c r="U1456" s="48"/>
      <c r="V1456" s="48"/>
      <c r="W1456" s="48"/>
    </row>
    <row r="1457" spans="2:23" ht="15.6" customHeight="1" x14ac:dyDescent="0.25">
      <c r="I1457" s="200"/>
      <c r="J1457" s="200"/>
      <c r="K1457" s="200"/>
      <c r="L1457" s="210"/>
      <c r="M1457" s="1133"/>
      <c r="N1457" s="1147"/>
      <c r="O1457" s="1596"/>
      <c r="P1457" s="48"/>
      <c r="Q1457" s="48"/>
      <c r="R1457" s="48"/>
      <c r="S1457" s="48"/>
      <c r="T1457" s="48"/>
      <c r="U1457" s="48"/>
      <c r="V1457" s="48"/>
      <c r="W1457" s="48"/>
    </row>
    <row r="1458" spans="2:23" ht="15.6" customHeight="1" x14ac:dyDescent="0.2">
      <c r="B1458" s="2839" t="s">
        <v>825</v>
      </c>
      <c r="C1458" s="2839"/>
      <c r="D1458" s="2839"/>
      <c r="E1458" s="2839"/>
      <c r="F1458" s="2839"/>
      <c r="G1458" s="2839"/>
      <c r="H1458" s="2839"/>
      <c r="I1458" s="2839"/>
      <c r="J1458" s="2839"/>
      <c r="K1458" s="2839"/>
      <c r="N1458" s="1147"/>
      <c r="O1458" s="1592"/>
      <c r="P1458" s="48"/>
      <c r="Q1458" s="48"/>
      <c r="R1458" s="48"/>
      <c r="S1458" s="48"/>
      <c r="T1458" s="48"/>
      <c r="U1458" s="48"/>
      <c r="V1458" s="48"/>
      <c r="W1458" s="48"/>
    </row>
    <row r="1459" spans="2:23" ht="15.6" customHeight="1" x14ac:dyDescent="0.25">
      <c r="I1459" s="200"/>
      <c r="J1459" s="200"/>
      <c r="K1459" s="200"/>
      <c r="L1459" s="210"/>
      <c r="M1459" s="1133"/>
      <c r="N1459" s="1147"/>
      <c r="O1459" s="1596"/>
    </row>
    <row r="1460" spans="2:23" ht="15.6" customHeight="1" x14ac:dyDescent="0.25">
      <c r="B1460" s="229" t="s">
        <v>7558</v>
      </c>
      <c r="C1460" s="50"/>
      <c r="I1460" s="58"/>
      <c r="K1460" s="58"/>
      <c r="N1460" s="1133"/>
      <c r="O1460" s="1146"/>
      <c r="W1460" s="1114" t="s">
        <v>3857</v>
      </c>
    </row>
    <row r="1461" spans="2:23" ht="15.6" customHeight="1" x14ac:dyDescent="0.25">
      <c r="I1461" s="58"/>
      <c r="J1461" s="200"/>
      <c r="K1461" s="58"/>
      <c r="N1461" s="1133"/>
      <c r="O1461" s="1146"/>
    </row>
    <row r="1462" spans="2:23" ht="15.6" customHeight="1" x14ac:dyDescent="0.25">
      <c r="B1462" s="50" t="s">
        <v>506</v>
      </c>
      <c r="I1462" s="58"/>
      <c r="J1462" s="200"/>
      <c r="K1462" s="58"/>
      <c r="M1462" s="1133"/>
      <c r="N1462" s="1147"/>
      <c r="O1462" s="1146"/>
    </row>
    <row r="1463" spans="2:23" ht="30.95" customHeight="1" x14ac:dyDescent="0.2">
      <c r="B1463" s="2839" t="s">
        <v>7380</v>
      </c>
      <c r="C1463" s="2839"/>
      <c r="D1463" s="2839"/>
      <c r="E1463" s="2839"/>
      <c r="F1463" s="2839"/>
      <c r="G1463" s="2839"/>
      <c r="H1463" s="2839"/>
      <c r="I1463" s="2839"/>
      <c r="J1463" s="2839"/>
      <c r="K1463" s="2839"/>
      <c r="M1463" s="1256" t="s">
        <v>2336</v>
      </c>
      <c r="N1463" s="1147"/>
      <c r="O1463" s="1596"/>
    </row>
    <row r="1464" spans="2:23" ht="15.6" customHeight="1" x14ac:dyDescent="0.25">
      <c r="I1464" s="58"/>
      <c r="J1464" s="200"/>
      <c r="K1464" s="58"/>
      <c r="M1464" s="1597"/>
      <c r="N1464" s="1147"/>
      <c r="O1464" s="1146"/>
    </row>
    <row r="1465" spans="2:23" ht="30.95" hidden="1" customHeight="1" x14ac:dyDescent="0.2">
      <c r="B1465" s="2839" t="s">
        <v>1485</v>
      </c>
      <c r="C1465" s="2839"/>
      <c r="D1465" s="2839"/>
      <c r="E1465" s="2839"/>
      <c r="F1465" s="2839"/>
      <c r="G1465" s="2839"/>
      <c r="H1465" s="2839"/>
      <c r="I1465" s="2839"/>
      <c r="J1465" s="2839"/>
      <c r="K1465" s="2839"/>
      <c r="M1465" s="1256" t="s">
        <v>2336</v>
      </c>
      <c r="N1465" s="1147"/>
      <c r="O1465" s="1596"/>
    </row>
    <row r="1466" spans="2:23" ht="30.95" hidden="1" customHeight="1" x14ac:dyDescent="0.2">
      <c r="B1466" s="2839" t="s">
        <v>1491</v>
      </c>
      <c r="C1466" s="2839"/>
      <c r="D1466" s="2839"/>
      <c r="E1466" s="2839"/>
      <c r="F1466" s="2839"/>
      <c r="G1466" s="2839"/>
      <c r="H1466" s="2839"/>
      <c r="I1466" s="2839"/>
      <c r="J1466" s="2839"/>
      <c r="K1466" s="2839"/>
      <c r="M1466" s="1256" t="s">
        <v>2336</v>
      </c>
      <c r="N1466" s="1147"/>
      <c r="O1466" s="1596"/>
    </row>
    <row r="1467" spans="2:23" ht="29.25" customHeight="1" x14ac:dyDescent="0.2">
      <c r="B1467" s="2839" t="s">
        <v>6455</v>
      </c>
      <c r="C1467" s="2839"/>
      <c r="D1467" s="2839"/>
      <c r="E1467" s="2839"/>
      <c r="F1467" s="2839"/>
      <c r="G1467" s="2839"/>
      <c r="H1467" s="2839"/>
      <c r="I1467" s="2839"/>
      <c r="J1467" s="2839"/>
      <c r="K1467" s="2839"/>
      <c r="M1467" s="1256" t="s">
        <v>2336</v>
      </c>
      <c r="N1467" s="1147"/>
      <c r="O1467" s="1596"/>
    </row>
    <row r="1468" spans="2:23" ht="15" x14ac:dyDescent="0.25">
      <c r="I1468" s="58"/>
      <c r="J1468" s="200"/>
      <c r="K1468" s="58"/>
      <c r="M1468" s="1597"/>
      <c r="N1468" s="1147"/>
      <c r="O1468" s="1133"/>
    </row>
    <row r="1469" spans="2:23" ht="15.6" customHeight="1" x14ac:dyDescent="0.2">
      <c r="B1469" s="2839" t="s">
        <v>2013</v>
      </c>
      <c r="C1469" s="2839"/>
      <c r="D1469" s="2839"/>
      <c r="E1469" s="2839"/>
      <c r="F1469" s="2839"/>
      <c r="G1469" s="2839"/>
      <c r="H1469" s="2839"/>
      <c r="I1469" s="2839"/>
      <c r="J1469" s="2839"/>
      <c r="K1469" s="2839"/>
      <c r="M1469" s="1256" t="s">
        <v>2336</v>
      </c>
      <c r="N1469" s="1147"/>
      <c r="O1469" s="1212"/>
    </row>
    <row r="1470" spans="2:23" ht="15.6" customHeight="1" x14ac:dyDescent="0.25">
      <c r="I1470" s="58"/>
      <c r="J1470" s="200"/>
      <c r="K1470" s="58"/>
      <c r="M1470" s="1597"/>
      <c r="N1470" s="1147"/>
      <c r="O1470" s="1133"/>
    </row>
    <row r="1471" spans="2:23" ht="15.6" customHeight="1" x14ac:dyDescent="0.2">
      <c r="B1471" s="2839" t="s">
        <v>826</v>
      </c>
      <c r="C1471" s="2839"/>
      <c r="D1471" s="2839"/>
      <c r="E1471" s="2839"/>
      <c r="F1471" s="2839"/>
      <c r="G1471" s="2839"/>
      <c r="H1471" s="56"/>
      <c r="I1471" s="56"/>
      <c r="J1471" s="56"/>
      <c r="K1471" s="56"/>
      <c r="M1471" s="1256" t="s">
        <v>1976</v>
      </c>
      <c r="N1471" s="1147"/>
      <c r="O1471" s="1596"/>
    </row>
    <row r="1472" spans="2:23" ht="15.6" customHeight="1" x14ac:dyDescent="0.25">
      <c r="I1472" s="58"/>
      <c r="J1472" s="200"/>
      <c r="K1472" s="58"/>
      <c r="M1472" s="1597"/>
      <c r="N1472" s="1147"/>
      <c r="O1472" s="1146"/>
    </row>
    <row r="1473" spans="1:27" ht="30.95" customHeight="1" x14ac:dyDescent="0.25">
      <c r="B1473" s="50"/>
      <c r="C1473" s="50"/>
      <c r="D1473" s="1264"/>
      <c r="E1473" s="2945" t="s">
        <v>827</v>
      </c>
      <c r="F1473" s="2945"/>
      <c r="G1473" s="2945"/>
      <c r="H1473" s="1264"/>
      <c r="I1473" s="2945" t="s">
        <v>828</v>
      </c>
      <c r="J1473" s="2945"/>
      <c r="K1473" s="2945"/>
      <c r="M1473" s="1257" t="s">
        <v>1977</v>
      </c>
      <c r="N1473" s="1147"/>
      <c r="O1473" s="1146"/>
      <c r="P1473" s="1115"/>
    </row>
    <row r="1474" spans="1:27" ht="15.6" customHeight="1" x14ac:dyDescent="0.25">
      <c r="B1474" s="50"/>
      <c r="C1474" s="50"/>
      <c r="D1474" s="1264"/>
      <c r="E1474" s="1189">
        <f>Parameters!C17</f>
        <v>2012</v>
      </c>
      <c r="F1474" s="1264"/>
      <c r="G1474" s="1647">
        <f>Parameters!C19</f>
        <v>2011</v>
      </c>
      <c r="H1474" s="1264"/>
      <c r="I1474" s="1189">
        <f>Parameters!C17</f>
        <v>2012</v>
      </c>
      <c r="J1474" s="1264"/>
      <c r="K1474" s="1647">
        <f>Parameters!C19</f>
        <v>2011</v>
      </c>
      <c r="M1474" s="1133"/>
      <c r="N1474" s="1147"/>
      <c r="O1474" s="1146"/>
      <c r="P1474" s="1115"/>
    </row>
    <row r="1475" spans="1:27" ht="15.6" customHeight="1" x14ac:dyDescent="0.25">
      <c r="B1475" s="50"/>
      <c r="C1475" s="50"/>
      <c r="D1475" s="199"/>
      <c r="E1475" s="1264" t="s">
        <v>255</v>
      </c>
      <c r="F1475" s="199"/>
      <c r="G1475" s="1264" t="s">
        <v>255</v>
      </c>
      <c r="H1475" s="199"/>
      <c r="I1475" s="1264" t="s">
        <v>255</v>
      </c>
      <c r="K1475" s="1264" t="s">
        <v>255</v>
      </c>
      <c r="M1475" s="1133"/>
      <c r="N1475" s="1147"/>
      <c r="O1475" s="1146"/>
      <c r="P1475" s="1115"/>
    </row>
    <row r="1476" spans="1:27" ht="15.6" customHeight="1" x14ac:dyDescent="0.25">
      <c r="A1476" s="211"/>
      <c r="B1476" s="249" t="s">
        <v>1488</v>
      </c>
      <c r="C1476" s="50"/>
      <c r="E1476" s="199"/>
      <c r="F1476" s="199"/>
      <c r="G1476" s="199"/>
      <c r="H1476" s="199"/>
      <c r="M1476" s="1133"/>
      <c r="N1476" s="1147"/>
      <c r="O1476" s="1146"/>
      <c r="P1476" s="1115"/>
    </row>
    <row r="1477" spans="1:27" ht="15.6" customHeight="1" x14ac:dyDescent="0.25">
      <c r="A1477" s="211"/>
      <c r="B1477" s="50"/>
      <c r="C1477" s="50"/>
      <c r="E1477" s="199"/>
      <c r="F1477" s="199"/>
      <c r="G1477" s="199"/>
      <c r="H1477" s="199"/>
      <c r="M1477" s="1133"/>
      <c r="N1477" s="1147"/>
      <c r="O1477" s="1146"/>
      <c r="P1477" s="1115"/>
    </row>
    <row r="1478" spans="1:27" ht="15.6" customHeight="1" x14ac:dyDescent="0.25">
      <c r="B1478" s="48" t="s">
        <v>829</v>
      </c>
      <c r="E1478" s="58">
        <v>351377</v>
      </c>
      <c r="G1478" s="199">
        <v>528386</v>
      </c>
      <c r="I1478" s="199">
        <f>E1478</f>
        <v>351377</v>
      </c>
      <c r="J1478" s="200"/>
      <c r="K1478" s="199">
        <f>G1478</f>
        <v>528386</v>
      </c>
      <c r="M1478" s="1133"/>
      <c r="N1478" s="1147"/>
      <c r="O1478" s="1146"/>
      <c r="P1478" s="1115"/>
    </row>
    <row r="1479" spans="1:27" ht="15.6" customHeight="1" x14ac:dyDescent="0.25">
      <c r="B1479" s="48" t="s">
        <v>830</v>
      </c>
      <c r="E1479" s="58">
        <v>352831</v>
      </c>
      <c r="G1479" s="199">
        <v>704208</v>
      </c>
      <c r="I1479" s="199">
        <f>E1479</f>
        <v>352831</v>
      </c>
      <c r="J1479" s="200"/>
      <c r="K1479" s="199">
        <f>G1479</f>
        <v>704208</v>
      </c>
      <c r="M1479" s="1133"/>
      <c r="N1479" s="1147"/>
      <c r="O1479" s="1146"/>
      <c r="P1479" s="1115"/>
    </row>
    <row r="1480" spans="1:27" ht="15.6" customHeight="1" x14ac:dyDescent="0.2">
      <c r="B1480" s="48" t="s">
        <v>831</v>
      </c>
      <c r="E1480" s="212">
        <v>0</v>
      </c>
      <c r="G1480" s="212">
        <f>E1480</f>
        <v>0</v>
      </c>
      <c r="I1480" s="212">
        <f>E1480</f>
        <v>0</v>
      </c>
      <c r="J1480" s="57"/>
      <c r="K1480" s="212">
        <f>G1480</f>
        <v>0</v>
      </c>
      <c r="M1480" s="1133"/>
      <c r="N1480" s="1147"/>
      <c r="O1480" s="1146"/>
      <c r="P1480" s="1115"/>
    </row>
    <row r="1481" spans="1:27" ht="15.6" customHeight="1" x14ac:dyDescent="0.2">
      <c r="E1481" s="250">
        <f>SUM(E1478:E1480)</f>
        <v>704208</v>
      </c>
      <c r="G1481" s="250">
        <f>SUM(G1478:G1480)</f>
        <v>1232594</v>
      </c>
      <c r="I1481" s="250">
        <f>SUM(I1478:I1480)</f>
        <v>704208</v>
      </c>
      <c r="J1481" s="57"/>
      <c r="K1481" s="250">
        <f>SUM(K1478:K1480)</f>
        <v>1232594</v>
      </c>
      <c r="M1481" s="1133"/>
      <c r="N1481" s="1147"/>
      <c r="O1481" s="1146"/>
      <c r="P1481" s="1115"/>
    </row>
    <row r="1482" spans="1:27" ht="15.6" customHeight="1" x14ac:dyDescent="0.25">
      <c r="E1482" s="199"/>
      <c r="G1482" s="199"/>
      <c r="J1482" s="200"/>
      <c r="M1482" s="1133"/>
      <c r="N1482" s="1147"/>
      <c r="O1482" s="1146"/>
      <c r="P1482" s="1115"/>
    </row>
    <row r="1483" spans="1:27" ht="15.6" customHeight="1" x14ac:dyDescent="0.2">
      <c r="B1483" s="48" t="s">
        <v>832</v>
      </c>
      <c r="E1483" s="199">
        <v>53882</v>
      </c>
      <c r="G1483" s="199">
        <v>123995</v>
      </c>
      <c r="I1483" s="199">
        <f>E1483</f>
        <v>53882</v>
      </c>
      <c r="J1483" s="57"/>
      <c r="K1483" s="199">
        <f>G1483</f>
        <v>123995</v>
      </c>
      <c r="M1483" s="1220" t="s">
        <v>1978</v>
      </c>
      <c r="N1483" s="1147"/>
      <c r="O1483" s="1146"/>
      <c r="P1483" s="1115"/>
    </row>
    <row r="1484" spans="1:27" ht="15.6" customHeight="1" x14ac:dyDescent="0.25">
      <c r="E1484" s="199"/>
      <c r="G1484" s="199"/>
      <c r="J1484" s="57"/>
      <c r="M1484" s="1133"/>
      <c r="N1484" s="1147"/>
      <c r="O1484" s="1146"/>
      <c r="P1484" s="1115"/>
      <c r="Y1484" s="50"/>
      <c r="Z1484" s="50"/>
      <c r="AA1484" s="50"/>
    </row>
    <row r="1485" spans="1:27" s="50" customFormat="1" ht="15.6" customHeight="1" thickBot="1" x14ac:dyDescent="0.3">
      <c r="B1485" s="2954" t="s">
        <v>833</v>
      </c>
      <c r="C1485" s="2954"/>
      <c r="D1485" s="219"/>
      <c r="E1485" s="202">
        <f>E1481-E1483</f>
        <v>650326</v>
      </c>
      <c r="F1485" s="2158"/>
      <c r="G1485" s="202">
        <f>G1481-G1483</f>
        <v>1108599</v>
      </c>
      <c r="H1485" s="219"/>
      <c r="I1485" s="272">
        <f>I1481-I1483</f>
        <v>650326</v>
      </c>
      <c r="J1485" s="219"/>
      <c r="K1485" s="272">
        <f>K1481-K1483</f>
        <v>1108599</v>
      </c>
      <c r="M1485" s="234"/>
      <c r="N1485" s="235"/>
      <c r="O1485" s="232"/>
      <c r="P1485" s="1116"/>
      <c r="Q1485" s="1114"/>
      <c r="R1485" s="1114"/>
      <c r="S1485" s="1114"/>
      <c r="T1485" s="1114"/>
      <c r="U1485" s="316"/>
      <c r="V1485" s="1133"/>
      <c r="W1485" s="1114"/>
      <c r="X1485" s="48"/>
      <c r="Y1485" s="48"/>
      <c r="Z1485" s="48"/>
      <c r="AA1485" s="48"/>
    </row>
    <row r="1486" spans="1:27" ht="15.6" customHeight="1" thickTop="1" x14ac:dyDescent="0.2">
      <c r="B1486" s="1248"/>
      <c r="C1486" s="1248"/>
      <c r="E1486" s="199"/>
      <c r="G1486" s="199"/>
      <c r="J1486" s="57"/>
      <c r="M1486" s="1133"/>
      <c r="N1486" s="1147"/>
      <c r="O1486" s="1146"/>
      <c r="P1486" s="1115"/>
    </row>
    <row r="1487" spans="1:27" ht="15.6" customHeight="1" x14ac:dyDescent="0.2">
      <c r="B1487" s="48" t="s">
        <v>1489</v>
      </c>
      <c r="I1487" s="199">
        <f>-I1430</f>
        <v>-313217</v>
      </c>
      <c r="J1487" s="57"/>
      <c r="K1487" s="199">
        <f>-K1430</f>
        <v>-458273</v>
      </c>
      <c r="M1487" s="1220" t="s">
        <v>1979</v>
      </c>
      <c r="N1487" s="1147"/>
      <c r="O1487" s="1146"/>
      <c r="P1487" s="1115"/>
    </row>
    <row r="1488" spans="1:27" ht="15.6" customHeight="1" x14ac:dyDescent="0.2">
      <c r="I1488" s="265"/>
      <c r="J1488" s="270"/>
      <c r="K1488" s="265"/>
      <c r="M1488" s="1133"/>
      <c r="N1488" s="1147"/>
      <c r="O1488" s="1146"/>
      <c r="P1488" s="1115"/>
    </row>
    <row r="1489" spans="2:23" ht="15.6" customHeight="1" thickBot="1" x14ac:dyDescent="0.3">
      <c r="B1489" s="50" t="s">
        <v>1490</v>
      </c>
      <c r="E1489" s="199"/>
      <c r="F1489" s="200"/>
      <c r="G1489" s="199"/>
      <c r="I1489" s="280">
        <f>SUM(I1485:I1488)</f>
        <v>337109</v>
      </c>
      <c r="J1489" s="200"/>
      <c r="K1489" s="280">
        <f>SUM(K1485:K1488)</f>
        <v>650326</v>
      </c>
      <c r="M1489" s="1133"/>
      <c r="N1489" s="1147"/>
      <c r="O1489" s="1146"/>
      <c r="P1489" s="1115"/>
    </row>
    <row r="1490" spans="2:23" ht="15.6" customHeight="1" thickTop="1" x14ac:dyDescent="0.2">
      <c r="I1490" s="217"/>
      <c r="J1490" s="218"/>
      <c r="K1490" s="217"/>
      <c r="M1490" s="1133"/>
      <c r="N1490" s="1147"/>
      <c r="O1490" s="1146"/>
      <c r="P1490" s="1115"/>
    </row>
    <row r="1491" spans="2:23" ht="15.6" customHeight="1" x14ac:dyDescent="0.2">
      <c r="B1491" s="2839" t="s">
        <v>834</v>
      </c>
      <c r="C1491" s="2839"/>
      <c r="D1491" s="2839"/>
      <c r="E1491" s="2839"/>
      <c r="F1491" s="2839"/>
      <c r="G1491" s="2839"/>
      <c r="H1491" s="2839"/>
      <c r="I1491" s="2839"/>
      <c r="J1491" s="2839"/>
      <c r="K1491" s="2839"/>
      <c r="M1491" s="1482"/>
      <c r="N1491" s="1147"/>
      <c r="O1491" s="1596"/>
      <c r="P1491" s="48"/>
      <c r="Q1491" s="48"/>
      <c r="R1491" s="48"/>
      <c r="S1491" s="48"/>
      <c r="T1491" s="48"/>
      <c r="U1491" s="48"/>
      <c r="V1491" s="48"/>
      <c r="W1491" s="48"/>
    </row>
    <row r="1492" spans="2:23" ht="15.6" customHeight="1" x14ac:dyDescent="0.25">
      <c r="B1492" s="61" t="s">
        <v>835</v>
      </c>
      <c r="I1492" s="58"/>
      <c r="J1492" s="200"/>
      <c r="K1492" s="58"/>
      <c r="M1492" s="1133"/>
      <c r="N1492" s="1147"/>
      <c r="O1492" s="1146"/>
      <c r="P1492" s="48"/>
      <c r="Q1492" s="48"/>
      <c r="R1492" s="48"/>
      <c r="S1492" s="48"/>
      <c r="T1492" s="48"/>
      <c r="U1492" s="48"/>
      <c r="V1492" s="48"/>
      <c r="W1492" s="48"/>
    </row>
    <row r="1493" spans="2:23" ht="15.6" customHeight="1" x14ac:dyDescent="0.25">
      <c r="B1493" s="61" t="s">
        <v>836</v>
      </c>
      <c r="I1493" s="58"/>
      <c r="J1493" s="200"/>
      <c r="K1493" s="58"/>
      <c r="M1493" s="1133"/>
      <c r="N1493" s="1147"/>
      <c r="O1493" s="1146"/>
      <c r="P1493" s="48"/>
      <c r="Q1493" s="48"/>
      <c r="R1493" s="48"/>
      <c r="S1493" s="48"/>
      <c r="T1493" s="48"/>
      <c r="U1493" s="48"/>
      <c r="V1493" s="48"/>
      <c r="W1493" s="48"/>
    </row>
    <row r="1494" spans="2:23" ht="15.6" customHeight="1" x14ac:dyDescent="0.25">
      <c r="I1494" s="58"/>
      <c r="J1494" s="200"/>
      <c r="K1494" s="58"/>
      <c r="M1494" s="1133"/>
      <c r="N1494" s="1147"/>
      <c r="O1494" s="1146"/>
      <c r="P1494" s="48"/>
      <c r="Q1494" s="48"/>
      <c r="R1494" s="48"/>
      <c r="S1494" s="48"/>
      <c r="T1494" s="48"/>
      <c r="U1494" s="48"/>
      <c r="V1494" s="48"/>
      <c r="W1494" s="48"/>
    </row>
    <row r="1495" spans="2:23" ht="15.6" customHeight="1" x14ac:dyDescent="0.2">
      <c r="B1495" s="2839" t="s">
        <v>837</v>
      </c>
      <c r="C1495" s="2839"/>
      <c r="D1495" s="2839"/>
      <c r="E1495" s="2839"/>
      <c r="F1495" s="2839"/>
      <c r="G1495" s="2839"/>
      <c r="H1495" s="56"/>
      <c r="I1495" s="56"/>
      <c r="J1495" s="56"/>
      <c r="K1495" s="56"/>
      <c r="M1495" s="1133"/>
      <c r="N1495" s="1147"/>
      <c r="O1495" s="1596"/>
      <c r="P1495" s="48"/>
      <c r="Q1495" s="48"/>
      <c r="R1495" s="48"/>
      <c r="S1495" s="48"/>
      <c r="T1495" s="48"/>
      <c r="U1495" s="48"/>
      <c r="V1495" s="48"/>
      <c r="W1495" s="48"/>
    </row>
    <row r="1496" spans="2:23" ht="15.6" customHeight="1" x14ac:dyDescent="0.25">
      <c r="I1496" s="58"/>
      <c r="J1496" s="200"/>
      <c r="K1496" s="58"/>
      <c r="M1496" s="1133"/>
      <c r="N1496" s="1147"/>
      <c r="O1496" s="1146"/>
      <c r="P1496" s="48"/>
      <c r="Q1496" s="48"/>
      <c r="R1496" s="48"/>
      <c r="S1496" s="48"/>
      <c r="T1496" s="48"/>
      <c r="U1496" s="48"/>
      <c r="V1496" s="48"/>
      <c r="W1496" s="48"/>
    </row>
    <row r="1497" spans="2:23" ht="15.6" customHeight="1" x14ac:dyDescent="0.25">
      <c r="B1497" s="48" t="s">
        <v>6458</v>
      </c>
      <c r="E1497" s="57"/>
      <c r="I1497" s="58"/>
      <c r="J1497" s="200"/>
      <c r="K1497" s="58"/>
      <c r="M1497" s="1133"/>
      <c r="N1497" s="1147"/>
      <c r="O1497" s="1146"/>
      <c r="P1497" s="48"/>
      <c r="Q1497" s="48"/>
      <c r="R1497" s="48"/>
      <c r="S1497" s="48"/>
      <c r="T1497" s="48"/>
      <c r="U1497" s="48"/>
      <c r="V1497" s="48"/>
      <c r="W1497" s="48"/>
    </row>
    <row r="1498" spans="2:23" ht="15.6" customHeight="1" x14ac:dyDescent="0.25">
      <c r="B1498" s="61" t="s">
        <v>6456</v>
      </c>
      <c r="E1498" s="57"/>
      <c r="I1498" s="48"/>
      <c r="J1498" s="200"/>
      <c r="K1498" s="48"/>
      <c r="M1498" s="1133"/>
      <c r="N1498" s="1147"/>
      <c r="O1498" s="1146"/>
      <c r="P1498" s="48"/>
      <c r="Q1498" s="48"/>
      <c r="R1498" s="48"/>
      <c r="S1498" s="48"/>
      <c r="T1498" s="48"/>
      <c r="U1498" s="48"/>
      <c r="V1498" s="48"/>
      <c r="W1498" s="48"/>
    </row>
    <row r="1499" spans="2:23" ht="15.6" customHeight="1" x14ac:dyDescent="0.25">
      <c r="B1499" s="61" t="s">
        <v>838</v>
      </c>
      <c r="E1499" s="57"/>
      <c r="I1499" s="48" t="s">
        <v>6457</v>
      </c>
      <c r="J1499" s="200"/>
      <c r="K1499" s="48" t="s">
        <v>6457</v>
      </c>
      <c r="M1499" s="1133"/>
      <c r="N1499" s="1147"/>
      <c r="O1499" s="1146"/>
      <c r="P1499" s="48"/>
      <c r="Q1499" s="48"/>
      <c r="R1499" s="48"/>
      <c r="S1499" s="48"/>
      <c r="T1499" s="48"/>
      <c r="U1499" s="48"/>
      <c r="V1499" s="48"/>
      <c r="W1499" s="48"/>
    </row>
    <row r="1500" spans="2:23" ht="15.6" customHeight="1" x14ac:dyDescent="0.25">
      <c r="B1500" s="61" t="s">
        <v>839</v>
      </c>
      <c r="E1500" s="57"/>
      <c r="I1500" s="2159">
        <v>9.4299999999999995E-2</v>
      </c>
      <c r="J1500" s="200"/>
      <c r="K1500" s="2159">
        <v>9.4299999999999995E-2</v>
      </c>
      <c r="M1500" s="1133"/>
      <c r="N1500" s="1147"/>
      <c r="O1500" s="1146"/>
      <c r="P1500" s="48"/>
      <c r="Q1500" s="48"/>
      <c r="R1500" s="48"/>
      <c r="S1500" s="48"/>
      <c r="T1500" s="48"/>
      <c r="U1500" s="48"/>
      <c r="V1500" s="48"/>
      <c r="W1500" s="48"/>
    </row>
    <row r="1501" spans="2:23" ht="15.6" customHeight="1" x14ac:dyDescent="0.25">
      <c r="B1501" s="61" t="s">
        <v>841</v>
      </c>
      <c r="E1501" s="57"/>
      <c r="I1501" s="2160">
        <v>16850</v>
      </c>
      <c r="J1501" s="200"/>
      <c r="K1501" s="2160">
        <v>16850</v>
      </c>
      <c r="M1501" s="1133"/>
      <c r="N1501" s="1147"/>
      <c r="O1501" s="1146"/>
      <c r="P1501" s="48"/>
      <c r="Q1501" s="48"/>
      <c r="R1501" s="48"/>
      <c r="S1501" s="48"/>
      <c r="T1501" s="48"/>
      <c r="U1501" s="48"/>
      <c r="V1501" s="48"/>
      <c r="W1501" s="48"/>
    </row>
    <row r="1502" spans="2:23" ht="15.6" customHeight="1" x14ac:dyDescent="0.25">
      <c r="E1502" s="57"/>
      <c r="I1502" s="48"/>
      <c r="J1502" s="200"/>
      <c r="K1502" s="48"/>
      <c r="M1502" s="1133"/>
      <c r="N1502" s="1147"/>
      <c r="O1502" s="1146"/>
      <c r="P1502" s="48"/>
      <c r="Q1502" s="48"/>
      <c r="R1502" s="48"/>
      <c r="S1502" s="48"/>
      <c r="T1502" s="48"/>
      <c r="U1502" s="48"/>
      <c r="V1502" s="48"/>
      <c r="W1502" s="48"/>
    </row>
    <row r="1503" spans="2:23" ht="15.6" customHeight="1" x14ac:dyDescent="0.25">
      <c r="B1503" s="48" t="s">
        <v>6459</v>
      </c>
      <c r="E1503" s="57"/>
      <c r="I1503" s="48"/>
      <c r="J1503" s="200"/>
      <c r="K1503" s="48"/>
      <c r="M1503" s="1133"/>
      <c r="N1503" s="1147"/>
      <c r="O1503" s="1146"/>
      <c r="P1503" s="48"/>
      <c r="Q1503" s="48"/>
      <c r="R1503" s="48"/>
      <c r="S1503" s="48"/>
      <c r="T1503" s="48"/>
      <c r="U1503" s="48"/>
      <c r="V1503" s="48"/>
      <c r="W1503" s="48"/>
    </row>
    <row r="1504" spans="2:23" ht="15.6" customHeight="1" x14ac:dyDescent="0.25">
      <c r="B1504" s="61" t="s">
        <v>6456</v>
      </c>
      <c r="E1504" s="57"/>
      <c r="I1504" s="48"/>
      <c r="J1504" s="200"/>
      <c r="K1504" s="48"/>
      <c r="M1504" s="1133"/>
      <c r="N1504" s="1147"/>
      <c r="O1504" s="1146"/>
      <c r="P1504" s="48"/>
      <c r="Q1504" s="48"/>
      <c r="R1504" s="48"/>
      <c r="S1504" s="48"/>
      <c r="T1504" s="48"/>
      <c r="U1504" s="48"/>
      <c r="V1504" s="48"/>
      <c r="W1504" s="48"/>
    </row>
    <row r="1505" spans="1:23" ht="15.6" customHeight="1" x14ac:dyDescent="0.25">
      <c r="B1505" s="61" t="s">
        <v>838</v>
      </c>
      <c r="E1505" s="57"/>
      <c r="I1505" s="48" t="s">
        <v>6460</v>
      </c>
      <c r="J1505" s="200"/>
      <c r="K1505" s="48" t="s">
        <v>6460</v>
      </c>
      <c r="M1505" s="1133"/>
      <c r="N1505" s="1147"/>
      <c r="O1505" s="1146"/>
      <c r="P1505" s="48"/>
      <c r="Q1505" s="48"/>
      <c r="R1505" s="48"/>
      <c r="S1505" s="48"/>
      <c r="T1505" s="48"/>
      <c r="U1505" s="48"/>
      <c r="V1505" s="48"/>
      <c r="W1505" s="48"/>
    </row>
    <row r="1506" spans="1:23" ht="15.6" customHeight="1" x14ac:dyDescent="0.25">
      <c r="B1506" s="61" t="s">
        <v>840</v>
      </c>
      <c r="E1506" s="57"/>
      <c r="I1506" s="2159">
        <v>9.4299999999999995E-2</v>
      </c>
      <c r="J1506" s="200"/>
      <c r="K1506" s="2159">
        <v>9.4299999999999995E-2</v>
      </c>
      <c r="M1506" s="1133"/>
      <c r="N1506" s="1147"/>
      <c r="O1506" s="1146"/>
      <c r="P1506" s="48"/>
      <c r="Q1506" s="48"/>
      <c r="R1506" s="48"/>
      <c r="S1506" s="48"/>
      <c r="T1506" s="48"/>
      <c r="U1506" s="48"/>
      <c r="V1506" s="48"/>
      <c r="W1506" s="48"/>
    </row>
    <row r="1507" spans="1:23" ht="15.6" customHeight="1" x14ac:dyDescent="0.25">
      <c r="B1507" s="61" t="s">
        <v>841</v>
      </c>
      <c r="E1507" s="57"/>
      <c r="I1507" s="2160">
        <v>16811</v>
      </c>
      <c r="J1507" s="200"/>
      <c r="K1507" s="2160">
        <v>16811</v>
      </c>
      <c r="M1507" s="1133"/>
      <c r="N1507" s="1147"/>
      <c r="O1507" s="1146"/>
    </row>
    <row r="1508" spans="1:23" ht="15.6" customHeight="1" x14ac:dyDescent="0.25">
      <c r="B1508" s="61"/>
      <c r="E1508" s="57"/>
      <c r="I1508" s="2160"/>
      <c r="J1508" s="200"/>
      <c r="K1508" s="2160"/>
      <c r="M1508" s="1133"/>
      <c r="N1508" s="1147"/>
      <c r="O1508" s="1146"/>
    </row>
    <row r="1509" spans="1:23" ht="15.6" hidden="1" customHeight="1" x14ac:dyDescent="0.25">
      <c r="B1509" s="2046" t="s">
        <v>6461</v>
      </c>
      <c r="C1509" s="2046"/>
      <c r="D1509" s="2077"/>
      <c r="E1509" s="2077"/>
      <c r="F1509" s="2077"/>
      <c r="G1509" s="2077"/>
      <c r="H1509" s="2077"/>
      <c r="I1509" s="2093">
        <v>0</v>
      </c>
      <c r="J1509" s="2092"/>
      <c r="K1509" s="2093">
        <v>0</v>
      </c>
      <c r="M1509" s="1133"/>
      <c r="N1509" s="1147"/>
      <c r="O1509" s="1146"/>
    </row>
    <row r="1510" spans="1:23" ht="15.6" hidden="1" customHeight="1" x14ac:dyDescent="0.25">
      <c r="B1510" s="2094" t="s">
        <v>6456</v>
      </c>
      <c r="C1510" s="2046"/>
      <c r="D1510" s="2077"/>
      <c r="E1510" s="2077"/>
      <c r="F1510" s="2077"/>
      <c r="G1510" s="2077"/>
      <c r="H1510" s="2077"/>
      <c r="I1510" s="2046"/>
      <c r="J1510" s="2092"/>
      <c r="K1510" s="2046"/>
      <c r="M1510" s="1133"/>
      <c r="N1510" s="1147"/>
      <c r="O1510" s="1146"/>
    </row>
    <row r="1511" spans="1:23" ht="15.6" hidden="1" customHeight="1" x14ac:dyDescent="0.25">
      <c r="B1511" s="2094" t="s">
        <v>838</v>
      </c>
      <c r="C1511" s="2046"/>
      <c r="D1511" s="2077"/>
      <c r="E1511" s="2077"/>
      <c r="F1511" s="2077"/>
      <c r="G1511" s="2077"/>
      <c r="H1511" s="2077"/>
      <c r="I1511" s="2046" t="s">
        <v>6462</v>
      </c>
      <c r="J1511" s="2092"/>
      <c r="K1511" s="2046" t="s">
        <v>6462</v>
      </c>
      <c r="M1511" s="1133"/>
      <c r="N1511" s="1147"/>
      <c r="O1511" s="1146"/>
    </row>
    <row r="1512" spans="1:23" ht="15.6" hidden="1" customHeight="1" x14ac:dyDescent="0.25">
      <c r="B1512" s="2094" t="s">
        <v>840</v>
      </c>
      <c r="C1512" s="2046"/>
      <c r="D1512" s="2077"/>
      <c r="E1512" s="2077"/>
      <c r="F1512" s="2077"/>
      <c r="G1512" s="2077"/>
      <c r="H1512" s="2077"/>
      <c r="I1512" s="2095">
        <v>0</v>
      </c>
      <c r="J1512" s="2092"/>
      <c r="K1512" s="2095">
        <v>0</v>
      </c>
      <c r="M1512" s="1133"/>
      <c r="N1512" s="1147"/>
      <c r="O1512" s="1146"/>
    </row>
    <row r="1513" spans="1:23" ht="15.6" hidden="1" customHeight="1" x14ac:dyDescent="0.25">
      <c r="B1513" s="2094" t="s">
        <v>841</v>
      </c>
      <c r="C1513" s="2046"/>
      <c r="D1513" s="2077"/>
      <c r="E1513" s="2077"/>
      <c r="F1513" s="2077"/>
      <c r="G1513" s="2077"/>
      <c r="H1513" s="2077"/>
      <c r="I1513" s="2096">
        <v>0</v>
      </c>
      <c r="J1513" s="2092"/>
      <c r="K1513" s="2096">
        <v>0</v>
      </c>
      <c r="M1513" s="1133"/>
      <c r="N1513" s="1147"/>
      <c r="O1513" s="1146"/>
    </row>
    <row r="1514" spans="1:23" ht="15.6" hidden="1" customHeight="1" x14ac:dyDescent="0.25">
      <c r="B1514" s="2094"/>
      <c r="C1514" s="2046"/>
      <c r="D1514" s="2077"/>
      <c r="E1514" s="2077"/>
      <c r="F1514" s="2077"/>
      <c r="G1514" s="2077"/>
      <c r="H1514" s="2077"/>
      <c r="I1514" s="2096"/>
      <c r="J1514" s="2092"/>
      <c r="K1514" s="2096"/>
      <c r="M1514" s="1133"/>
      <c r="N1514" s="1147"/>
      <c r="O1514" s="1146"/>
    </row>
    <row r="1515" spans="1:23" ht="15.6" hidden="1" customHeight="1" x14ac:dyDescent="0.2">
      <c r="I1515" s="265"/>
      <c r="J1515" s="270"/>
      <c r="K1515" s="265"/>
      <c r="M1515" s="1133"/>
      <c r="N1515" s="1147"/>
      <c r="O1515" s="1146"/>
      <c r="P1515" s="1115"/>
    </row>
    <row r="1516" spans="1:23" ht="15.6" hidden="1" customHeight="1" x14ac:dyDescent="0.25">
      <c r="A1516" s="767"/>
      <c r="B1516" s="776" t="s">
        <v>4147</v>
      </c>
      <c r="C1516" s="767"/>
      <c r="D1516" s="769"/>
      <c r="E1516" s="767"/>
      <c r="F1516" s="769"/>
      <c r="G1516" s="769"/>
      <c r="H1516" s="769"/>
      <c r="I1516" s="779"/>
      <c r="J1516" s="770"/>
      <c r="K1516" s="779"/>
      <c r="L1516" s="767"/>
      <c r="M1516" s="1133"/>
      <c r="N1516" s="1471"/>
      <c r="O1516" s="1133"/>
      <c r="W1516" s="1114" t="s">
        <v>3857</v>
      </c>
    </row>
    <row r="1517" spans="1:23" ht="15.6" hidden="1" customHeight="1" x14ac:dyDescent="0.25">
      <c r="A1517" s="767"/>
      <c r="B1517" s="767"/>
      <c r="C1517" s="767"/>
      <c r="D1517" s="769"/>
      <c r="E1517" s="767"/>
      <c r="F1517" s="769"/>
      <c r="G1517" s="769"/>
      <c r="H1517" s="769"/>
      <c r="I1517" s="779"/>
      <c r="J1517" s="770"/>
      <c r="K1517" s="779"/>
      <c r="L1517" s="767"/>
      <c r="M1517" s="1133"/>
      <c r="N1517" s="1471"/>
      <c r="O1517" s="1133"/>
    </row>
    <row r="1518" spans="1:23" ht="93" hidden="1" customHeight="1" x14ac:dyDescent="0.2">
      <c r="A1518" s="767"/>
      <c r="B1518" s="2855" t="s">
        <v>1886</v>
      </c>
      <c r="C1518" s="2855"/>
      <c r="D1518" s="2855"/>
      <c r="E1518" s="2855"/>
      <c r="F1518" s="2855"/>
      <c r="G1518" s="2855"/>
      <c r="H1518" s="2855"/>
      <c r="I1518" s="2855"/>
      <c r="J1518" s="2855"/>
      <c r="K1518" s="2855"/>
      <c r="L1518" s="767"/>
      <c r="M1518" s="1213" t="s">
        <v>2337</v>
      </c>
      <c r="N1518" s="1471"/>
      <c r="O1518" s="1212"/>
    </row>
    <row r="1519" spans="1:23" ht="15.6" hidden="1" customHeight="1" x14ac:dyDescent="0.25">
      <c r="A1519" s="767"/>
      <c r="B1519" s="767"/>
      <c r="C1519" s="767"/>
      <c r="D1519" s="769"/>
      <c r="E1519" s="767"/>
      <c r="F1519" s="769"/>
      <c r="G1519" s="769"/>
      <c r="H1519" s="769"/>
      <c r="I1519" s="779"/>
      <c r="J1519" s="770"/>
      <c r="K1519" s="779"/>
      <c r="L1519" s="767"/>
      <c r="M1519" s="1133"/>
      <c r="N1519" s="1471"/>
      <c r="O1519" s="1133"/>
    </row>
    <row r="1520" spans="1:23" ht="15.6" hidden="1" customHeight="1" x14ac:dyDescent="0.25">
      <c r="A1520" s="767"/>
      <c r="B1520" s="776" t="s">
        <v>4148</v>
      </c>
      <c r="C1520" s="774"/>
      <c r="D1520" s="769"/>
      <c r="E1520" s="767"/>
      <c r="F1520" s="769"/>
      <c r="G1520" s="769"/>
      <c r="H1520" s="769"/>
      <c r="I1520" s="779"/>
      <c r="J1520" s="775"/>
      <c r="K1520" s="779"/>
      <c r="L1520" s="767"/>
      <c r="N1520" s="1133"/>
      <c r="O1520" s="1146"/>
      <c r="W1520" s="1114" t="s">
        <v>3857</v>
      </c>
    </row>
    <row r="1521" spans="1:27" ht="15.6" hidden="1" customHeight="1" x14ac:dyDescent="0.25">
      <c r="A1521" s="767"/>
      <c r="B1521" s="767"/>
      <c r="C1521" s="767"/>
      <c r="D1521" s="769"/>
      <c r="E1521" s="767"/>
      <c r="F1521" s="769"/>
      <c r="G1521" s="769"/>
      <c r="H1521" s="769"/>
      <c r="I1521" s="779"/>
      <c r="J1521" s="770"/>
      <c r="K1521" s="779"/>
      <c r="L1521" s="767"/>
      <c r="N1521" s="1133"/>
      <c r="O1521" s="1146"/>
    </row>
    <row r="1522" spans="1:27" ht="77.45" hidden="1" customHeight="1" x14ac:dyDescent="0.2">
      <c r="A1522" s="625"/>
      <c r="B1522" s="2854" t="s">
        <v>842</v>
      </c>
      <c r="C1522" s="2854"/>
      <c r="D1522" s="2854"/>
      <c r="E1522" s="2854"/>
      <c r="F1522" s="2854"/>
      <c r="G1522" s="2854"/>
      <c r="H1522" s="2854"/>
      <c r="I1522" s="2854"/>
      <c r="J1522" s="2854"/>
      <c r="K1522" s="2854"/>
      <c r="L1522" s="625"/>
      <c r="M1522" s="1244" t="s">
        <v>2338</v>
      </c>
      <c r="N1522" s="1147"/>
      <c r="O1522" s="1596"/>
    </row>
    <row r="1523" spans="1:27" ht="30.95" hidden="1" customHeight="1" x14ac:dyDescent="0.2">
      <c r="A1523" s="767"/>
      <c r="B1523" s="2855" t="s">
        <v>2014</v>
      </c>
      <c r="C1523" s="2855"/>
      <c r="D1523" s="2855"/>
      <c r="E1523" s="2855"/>
      <c r="F1523" s="2855"/>
      <c r="G1523" s="2855"/>
      <c r="H1523" s="2855"/>
      <c r="I1523" s="2855"/>
      <c r="J1523" s="2855"/>
      <c r="K1523" s="2855"/>
      <c r="L1523" s="767"/>
      <c r="M1523" s="1244" t="s">
        <v>2338</v>
      </c>
      <c r="N1523" s="1147"/>
      <c r="O1523" s="1212"/>
    </row>
    <row r="1524" spans="1:27" ht="15.6" hidden="1" customHeight="1" x14ac:dyDescent="0.25">
      <c r="A1524" s="767"/>
      <c r="B1524" s="767"/>
      <c r="C1524" s="767"/>
      <c r="D1524" s="769"/>
      <c r="E1524" s="767"/>
      <c r="F1524" s="769"/>
      <c r="G1524" s="769"/>
      <c r="H1524" s="769"/>
      <c r="I1524" s="779"/>
      <c r="J1524" s="770"/>
      <c r="K1524" s="779"/>
      <c r="L1524" s="767"/>
      <c r="M1524" s="1133"/>
      <c r="N1524" s="1471"/>
      <c r="O1524" s="1133"/>
    </row>
    <row r="1525" spans="1:27" ht="15.6" customHeight="1" x14ac:dyDescent="0.25">
      <c r="A1525" s="50"/>
      <c r="D1525" s="48"/>
      <c r="F1525" s="48"/>
      <c r="H1525" s="49"/>
      <c r="I1525" s="1245">
        <f>Parameters!C17</f>
        <v>2012</v>
      </c>
      <c r="J1525" s="1247"/>
      <c r="K1525" s="1245">
        <f>Parameters!C19</f>
        <v>2011</v>
      </c>
      <c r="L1525" s="49"/>
      <c r="M1525" s="232" t="s">
        <v>803</v>
      </c>
      <c r="N1525" s="1224">
        <f>Parameters!C21</f>
        <v>2010</v>
      </c>
      <c r="O1525" s="1460"/>
    </row>
    <row r="1526" spans="1:27" ht="15.6" customHeight="1" x14ac:dyDescent="0.25">
      <c r="I1526" s="1249" t="s">
        <v>255</v>
      </c>
      <c r="J1526" s="200"/>
      <c r="K1526" s="1249" t="s">
        <v>255</v>
      </c>
      <c r="L1526" s="210"/>
      <c r="M1526" s="1133"/>
      <c r="N1526" s="1147"/>
      <c r="O1526" s="1146"/>
      <c r="P1526" s="1115"/>
    </row>
    <row r="1527" spans="1:27" ht="15.6" customHeight="1" x14ac:dyDescent="0.25">
      <c r="J1527" s="57"/>
      <c r="M1527" s="1133"/>
      <c r="N1527" s="1147"/>
      <c r="O1527" s="1146"/>
      <c r="P1527" s="1115"/>
      <c r="Y1527" s="50"/>
      <c r="Z1527" s="50"/>
      <c r="AA1527" s="50"/>
    </row>
    <row r="1528" spans="1:27" s="50" customFormat="1" ht="15.6" hidden="1" customHeight="1" x14ac:dyDescent="0.25">
      <c r="A1528" s="1151">
        <v>17</v>
      </c>
      <c r="B1528" s="50" t="s">
        <v>843</v>
      </c>
      <c r="D1528" s="219"/>
      <c r="F1528" s="219"/>
      <c r="G1528" s="219"/>
      <c r="H1528" s="219"/>
      <c r="I1528" s="220"/>
      <c r="J1528" s="220"/>
      <c r="K1528" s="220"/>
      <c r="L1528" s="210"/>
      <c r="M1528" s="234"/>
      <c r="N1528" s="235"/>
      <c r="O1528" s="854"/>
      <c r="P1528" s="1113"/>
      <c r="Q1528" s="1114"/>
      <c r="R1528" s="1114"/>
      <c r="S1528" s="1114"/>
      <c r="T1528" s="1114"/>
      <c r="U1528" s="316"/>
      <c r="V1528" s="1133"/>
      <c r="W1528" s="1114" t="s">
        <v>3520</v>
      </c>
      <c r="X1528" s="48"/>
      <c r="Y1528" s="48"/>
      <c r="Z1528" s="48"/>
      <c r="AA1528" s="48"/>
    </row>
    <row r="1529" spans="1:27" ht="15.6" hidden="1" customHeight="1" x14ac:dyDescent="0.25">
      <c r="I1529" s="206"/>
      <c r="J1529" s="206"/>
      <c r="K1529" s="206"/>
      <c r="L1529" s="210"/>
      <c r="M1529" s="1133"/>
      <c r="N1529" s="1147"/>
      <c r="O1529" s="1596"/>
    </row>
    <row r="1530" spans="1:27" ht="15.6" hidden="1" customHeight="1" x14ac:dyDescent="0.25">
      <c r="B1530" s="229" t="s">
        <v>6869</v>
      </c>
      <c r="C1530" s="50"/>
      <c r="I1530" s="58"/>
      <c r="K1530" s="58"/>
      <c r="N1530" s="1133"/>
      <c r="O1530" s="1146"/>
      <c r="W1530" s="1114" t="s">
        <v>3857</v>
      </c>
    </row>
    <row r="1531" spans="1:27" ht="15.6" hidden="1" customHeight="1" x14ac:dyDescent="0.25">
      <c r="I1531" s="58"/>
      <c r="J1531" s="200"/>
      <c r="K1531" s="58"/>
      <c r="N1531" s="1133"/>
      <c r="O1531" s="1146"/>
    </row>
    <row r="1532" spans="1:27" ht="15.6" hidden="1" customHeight="1" x14ac:dyDescent="0.25">
      <c r="B1532" s="48" t="s">
        <v>844</v>
      </c>
      <c r="I1532" s="2078">
        <f>K1542</f>
        <v>0</v>
      </c>
      <c r="J1532" s="206"/>
      <c r="K1532" s="2078">
        <f>N1542</f>
        <v>0</v>
      </c>
      <c r="L1532" s="210"/>
      <c r="M1532" s="1133"/>
      <c r="N1532" s="1484">
        <v>0</v>
      </c>
      <c r="O1532" s="1146"/>
      <c r="R1532" s="1110"/>
      <c r="T1532" s="1110" t="s">
        <v>3204</v>
      </c>
      <c r="U1532" s="1112" t="s">
        <v>2775</v>
      </c>
    </row>
    <row r="1533" spans="1:27" ht="15.6" hidden="1" customHeight="1" x14ac:dyDescent="0.25">
      <c r="B1533" s="48" t="s">
        <v>845</v>
      </c>
      <c r="I1533" s="2078">
        <v>0</v>
      </c>
      <c r="J1533" s="206"/>
      <c r="K1533" s="2078">
        <v>0</v>
      </c>
      <c r="L1533" s="210"/>
      <c r="M1533" s="1133"/>
      <c r="N1533" s="1484">
        <v>0</v>
      </c>
      <c r="O1533" s="1146"/>
      <c r="P1533" s="1110" t="s">
        <v>3205</v>
      </c>
      <c r="Q1533" s="1111" t="s">
        <v>2763</v>
      </c>
      <c r="R1533" s="1110" t="s">
        <v>3206</v>
      </c>
      <c r="S1533" s="1111" t="s">
        <v>2765</v>
      </c>
      <c r="T1533" s="1110" t="s">
        <v>3207</v>
      </c>
      <c r="U1533" s="1112" t="s">
        <v>2775</v>
      </c>
    </row>
    <row r="1534" spans="1:27" ht="15.6" hidden="1" customHeight="1" x14ac:dyDescent="0.25">
      <c r="B1534" s="48" t="s">
        <v>846</v>
      </c>
      <c r="I1534" s="2078">
        <v>0</v>
      </c>
      <c r="J1534" s="206"/>
      <c r="K1534" s="2078">
        <v>0</v>
      </c>
      <c r="L1534" s="210"/>
      <c r="M1534" s="1133"/>
      <c r="N1534" s="1484">
        <v>0</v>
      </c>
      <c r="O1534" s="1146"/>
      <c r="P1534" s="1110" t="s">
        <v>3208</v>
      </c>
      <c r="Q1534" s="1111" t="s">
        <v>2763</v>
      </c>
      <c r="R1534" s="1110" t="s">
        <v>3209</v>
      </c>
      <c r="S1534" s="1111" t="s">
        <v>2765</v>
      </c>
      <c r="T1534" s="1110" t="s">
        <v>3210</v>
      </c>
      <c r="U1534" s="1112" t="s">
        <v>2775</v>
      </c>
    </row>
    <row r="1535" spans="1:27" ht="15.6" hidden="1" customHeight="1" x14ac:dyDescent="0.25">
      <c r="B1535" s="48" t="s">
        <v>278</v>
      </c>
      <c r="I1535" s="2078">
        <v>0</v>
      </c>
      <c r="J1535" s="206"/>
      <c r="K1535" s="2078">
        <v>0</v>
      </c>
      <c r="L1535" s="210"/>
      <c r="M1535" s="1133"/>
      <c r="N1535" s="1484">
        <v>0</v>
      </c>
      <c r="O1535" s="1146"/>
      <c r="P1535" s="1110" t="s">
        <v>3211</v>
      </c>
      <c r="Q1535" s="1111" t="s">
        <v>2763</v>
      </c>
      <c r="R1535" s="1110" t="s">
        <v>3212</v>
      </c>
      <c r="S1535" s="1111" t="s">
        <v>2765</v>
      </c>
      <c r="T1535" s="1110" t="s">
        <v>3213</v>
      </c>
      <c r="U1535" s="1112" t="s">
        <v>2775</v>
      </c>
    </row>
    <row r="1536" spans="1:27" ht="15.6" hidden="1" customHeight="1" x14ac:dyDescent="0.25">
      <c r="B1536" s="48" t="s">
        <v>847</v>
      </c>
      <c r="E1536" s="206"/>
      <c r="G1536" s="206"/>
      <c r="I1536" s="2078">
        <v>0</v>
      </c>
      <c r="J1536" s="206"/>
      <c r="K1536" s="2078">
        <v>0</v>
      </c>
      <c r="L1536" s="210"/>
      <c r="M1536" s="1482"/>
      <c r="N1536" s="1484">
        <v>0</v>
      </c>
      <c r="O1536" s="1146"/>
      <c r="R1536" s="1110"/>
      <c r="T1536" s="1110"/>
    </row>
    <row r="1537" spans="1:23" ht="15.6" hidden="1" customHeight="1" x14ac:dyDescent="0.25">
      <c r="I1537" s="2102"/>
      <c r="J1537" s="206"/>
      <c r="K1537" s="2102"/>
      <c r="L1537" s="210"/>
      <c r="M1537" s="1133"/>
      <c r="N1537" s="1582"/>
      <c r="O1537" s="1146"/>
      <c r="R1537" s="1110"/>
      <c r="T1537" s="1110"/>
    </row>
    <row r="1538" spans="1:23" ht="15.6" hidden="1" customHeight="1" x14ac:dyDescent="0.25">
      <c r="B1538" s="48" t="s">
        <v>848</v>
      </c>
      <c r="I1538" s="665">
        <f>SUM(I1532:I1537)</f>
        <v>0</v>
      </c>
      <c r="J1538" s="206"/>
      <c r="K1538" s="665">
        <f>SUM(K1532:K1537)</f>
        <v>0</v>
      </c>
      <c r="L1538" s="210"/>
      <c r="M1538" s="1133"/>
      <c r="N1538" s="1583">
        <f>SUM(N1532:N1537)</f>
        <v>0</v>
      </c>
      <c r="O1538" s="1146"/>
      <c r="R1538" s="1110"/>
      <c r="T1538" s="1110"/>
    </row>
    <row r="1539" spans="1:23" ht="15.6" hidden="1" customHeight="1" x14ac:dyDescent="0.25">
      <c r="I1539" s="206"/>
      <c r="J1539" s="206"/>
      <c r="K1539" s="206"/>
      <c r="L1539" s="210"/>
      <c r="M1539" s="1133"/>
      <c r="N1539" s="1147"/>
      <c r="O1539" s="1146"/>
      <c r="R1539" s="1110"/>
      <c r="T1539" s="1110"/>
    </row>
    <row r="1540" spans="1:23" ht="15.6" hidden="1" customHeight="1" x14ac:dyDescent="0.25">
      <c r="B1540" s="48" t="s">
        <v>849</v>
      </c>
      <c r="I1540" s="2078">
        <v>0</v>
      </c>
      <c r="J1540" s="206"/>
      <c r="K1540" s="2078">
        <v>0</v>
      </c>
      <c r="L1540" s="210"/>
      <c r="M1540" s="1133"/>
      <c r="N1540" s="1147">
        <v>0</v>
      </c>
      <c r="O1540" s="1146"/>
      <c r="P1540" s="1110" t="s">
        <v>3214</v>
      </c>
      <c r="Q1540" s="1111" t="s">
        <v>2763</v>
      </c>
      <c r="R1540" s="1110" t="s">
        <v>3215</v>
      </c>
      <c r="S1540" s="1111" t="s">
        <v>2765</v>
      </c>
      <c r="T1540" s="1110" t="s">
        <v>3216</v>
      </c>
      <c r="U1540" s="1112" t="s">
        <v>2775</v>
      </c>
    </row>
    <row r="1541" spans="1:23" ht="15.6" hidden="1" customHeight="1" x14ac:dyDescent="0.25">
      <c r="I1541" s="221"/>
      <c r="J1541" s="206"/>
      <c r="K1541" s="221"/>
      <c r="L1541" s="210"/>
      <c r="M1541" s="1133"/>
      <c r="N1541" s="1147"/>
      <c r="O1541" s="1146"/>
    </row>
    <row r="1542" spans="1:23" ht="15.6" hidden="1" customHeight="1" thickBot="1" x14ac:dyDescent="0.3">
      <c r="B1542" s="50" t="s">
        <v>1338</v>
      </c>
      <c r="C1542" s="50"/>
      <c r="I1542" s="222">
        <f>SUM(I1538:I1541)</f>
        <v>0</v>
      </c>
      <c r="J1542" s="200"/>
      <c r="K1542" s="222">
        <f>SUM(K1538:K1541)</f>
        <v>0</v>
      </c>
      <c r="L1542" s="210"/>
      <c r="M1542" s="1133"/>
      <c r="N1542" s="1487">
        <f>SUM(N1538:N1541)</f>
        <v>0</v>
      </c>
      <c r="O1542" s="1146"/>
    </row>
    <row r="1543" spans="1:23" ht="15.6" hidden="1" customHeight="1" thickTop="1" x14ac:dyDescent="0.25">
      <c r="I1543" s="217">
        <v>0</v>
      </c>
      <c r="J1543" s="218"/>
      <c r="K1543" s="217">
        <v>0</v>
      </c>
      <c r="L1543" s="210"/>
      <c r="M1543" s="1133"/>
      <c r="N1543" s="1147"/>
      <c r="O1543" s="1146"/>
    </row>
    <row r="1544" spans="1:23" ht="30.95" hidden="1" customHeight="1" x14ac:dyDescent="0.2">
      <c r="B1544" s="2840" t="s">
        <v>2510</v>
      </c>
      <c r="C1544" s="2946"/>
      <c r="D1544" s="2946"/>
      <c r="E1544" s="2946"/>
      <c r="F1544" s="2946"/>
      <c r="G1544" s="2946"/>
      <c r="H1544" s="56"/>
      <c r="I1544" s="56"/>
      <c r="J1544" s="56"/>
      <c r="K1544" s="56"/>
      <c r="L1544" s="59"/>
      <c r="M1544" s="1133"/>
      <c r="N1544" s="1147"/>
      <c r="O1544" s="1146"/>
      <c r="P1544" s="1115"/>
    </row>
    <row r="1545" spans="1:23" ht="15.6" hidden="1" customHeight="1" x14ac:dyDescent="0.2">
      <c r="I1545" s="58"/>
      <c r="J1545" s="58"/>
      <c r="K1545" s="58"/>
      <c r="L1545" s="59"/>
      <c r="N1545" s="1471"/>
    </row>
    <row r="1546" spans="1:23" ht="108.6" hidden="1" customHeight="1" x14ac:dyDescent="0.2">
      <c r="A1546" s="201"/>
      <c r="B1546" s="2879" t="s">
        <v>1339</v>
      </c>
      <c r="C1546" s="2879"/>
      <c r="D1546" s="2879"/>
      <c r="E1546" s="2879"/>
      <c r="F1546" s="2879"/>
      <c r="G1546" s="2879"/>
      <c r="H1546" s="201"/>
      <c r="I1546" s="58"/>
      <c r="K1546" s="58"/>
      <c r="L1546" s="201"/>
      <c r="M1546" s="1213" t="s">
        <v>2339</v>
      </c>
      <c r="N1546" s="1133"/>
      <c r="O1546" s="1146"/>
      <c r="P1546" s="48"/>
      <c r="Q1546" s="48"/>
      <c r="R1546" s="48"/>
      <c r="S1546" s="48"/>
      <c r="T1546" s="48"/>
      <c r="U1546" s="48"/>
      <c r="V1546" s="48"/>
      <c r="W1546" s="48"/>
    </row>
    <row r="1547" spans="1:23" ht="15.6" hidden="1" customHeight="1" x14ac:dyDescent="0.2">
      <c r="A1547" s="201"/>
      <c r="B1547" s="201"/>
      <c r="C1547" s="201"/>
      <c r="D1547" s="201"/>
      <c r="E1547" s="201"/>
      <c r="F1547" s="201"/>
      <c r="G1547" s="201"/>
      <c r="H1547" s="201"/>
      <c r="I1547" s="58"/>
      <c r="K1547" s="58"/>
      <c r="L1547" s="201"/>
      <c r="N1547" s="1133"/>
      <c r="O1547" s="1146"/>
      <c r="P1547" s="48"/>
      <c r="Q1547" s="48"/>
      <c r="R1547" s="48"/>
      <c r="S1547" s="48"/>
      <c r="T1547" s="48"/>
      <c r="U1547" s="48"/>
      <c r="V1547" s="48"/>
      <c r="W1547" s="48"/>
    </row>
    <row r="1548" spans="1:23" ht="62.1" hidden="1" customHeight="1" x14ac:dyDescent="0.2">
      <c r="A1548" s="201"/>
      <c r="B1548" s="2879" t="s">
        <v>4349</v>
      </c>
      <c r="C1548" s="2879"/>
      <c r="D1548" s="2879"/>
      <c r="E1548" s="2879"/>
      <c r="F1548" s="2879"/>
      <c r="G1548" s="2879"/>
      <c r="H1548" s="201"/>
      <c r="I1548" s="58"/>
      <c r="K1548" s="58"/>
      <c r="L1548" s="201"/>
      <c r="N1548" s="1133"/>
      <c r="O1548" s="1146"/>
      <c r="P1548" s="48"/>
      <c r="Q1548" s="48"/>
      <c r="R1548" s="48"/>
      <c r="S1548" s="48"/>
      <c r="T1548" s="48"/>
      <c r="U1548" s="48"/>
      <c r="V1548" s="48"/>
      <c r="W1548" s="48"/>
    </row>
    <row r="1549" spans="1:23" ht="15.6" hidden="1" customHeight="1" x14ac:dyDescent="0.2">
      <c r="A1549" s="201"/>
      <c r="B1549" s="201"/>
      <c r="C1549" s="201"/>
      <c r="D1549" s="201"/>
      <c r="E1549" s="201"/>
      <c r="F1549" s="201"/>
      <c r="G1549" s="201"/>
      <c r="H1549" s="201"/>
      <c r="I1549" s="58"/>
      <c r="K1549" s="58"/>
      <c r="L1549" s="201"/>
      <c r="N1549" s="1133"/>
      <c r="O1549" s="1146"/>
      <c r="P1549" s="48"/>
      <c r="Q1549" s="48"/>
      <c r="R1549" s="48"/>
      <c r="S1549" s="48"/>
      <c r="T1549" s="48"/>
      <c r="U1549" s="48"/>
      <c r="V1549" s="48"/>
      <c r="W1549" s="48"/>
    </row>
    <row r="1550" spans="1:23" ht="15.6" hidden="1" customHeight="1" x14ac:dyDescent="0.2">
      <c r="A1550" s="201"/>
      <c r="B1550" s="2879" t="s">
        <v>1340</v>
      </c>
      <c r="C1550" s="2879"/>
      <c r="D1550" s="2879"/>
      <c r="E1550" s="2879"/>
      <c r="F1550" s="2879"/>
      <c r="G1550" s="2879"/>
      <c r="H1550" s="201"/>
      <c r="I1550" s="58"/>
      <c r="K1550" s="58"/>
      <c r="L1550" s="201"/>
      <c r="N1550" s="1133"/>
      <c r="O1550" s="1146"/>
      <c r="P1550" s="48"/>
      <c r="Q1550" s="48"/>
      <c r="R1550" s="48"/>
      <c r="S1550" s="48"/>
      <c r="T1550" s="48"/>
      <c r="U1550" s="48"/>
      <c r="V1550" s="48"/>
      <c r="W1550" s="48"/>
    </row>
    <row r="1551" spans="1:23" ht="15.6" hidden="1" customHeight="1" x14ac:dyDescent="0.25">
      <c r="I1551" s="58"/>
      <c r="J1551" s="200"/>
      <c r="K1551" s="58"/>
      <c r="N1551" s="1133"/>
      <c r="O1551" s="1146"/>
      <c r="P1551" s="48"/>
      <c r="Q1551" s="48"/>
      <c r="R1551" s="48"/>
      <c r="S1551" s="48"/>
      <c r="T1551" s="48"/>
      <c r="U1551" s="48"/>
      <c r="V1551" s="48"/>
      <c r="W1551" s="48"/>
    </row>
    <row r="1552" spans="1:23" ht="15.6" hidden="1" customHeight="1" x14ac:dyDescent="0.25">
      <c r="B1552" s="48" t="s">
        <v>508</v>
      </c>
      <c r="I1552" s="2043">
        <v>0</v>
      </c>
      <c r="J1552" s="200"/>
      <c r="K1552" s="2043">
        <v>0</v>
      </c>
      <c r="N1552" s="1147"/>
      <c r="O1552" s="1146"/>
      <c r="P1552" s="48"/>
      <c r="Q1552" s="48"/>
      <c r="R1552" s="48"/>
      <c r="S1552" s="48"/>
      <c r="T1552" s="48"/>
      <c r="U1552" s="48"/>
      <c r="V1552" s="48"/>
      <c r="W1552" s="48"/>
    </row>
    <row r="1553" spans="1:23" ht="15.6" hidden="1" customHeight="1" x14ac:dyDescent="0.25">
      <c r="B1553" s="48" t="s">
        <v>2064</v>
      </c>
      <c r="I1553" s="2043">
        <v>0</v>
      </c>
      <c r="J1553" s="200"/>
      <c r="K1553" s="2043">
        <v>0</v>
      </c>
      <c r="N1553" s="1147"/>
      <c r="O1553" s="1146"/>
      <c r="P1553" s="48"/>
      <c r="Q1553" s="48"/>
      <c r="R1553" s="48"/>
      <c r="S1553" s="48"/>
      <c r="T1553" s="48"/>
      <c r="U1553" s="48"/>
      <c r="V1553" s="48"/>
      <c r="W1553" s="48"/>
    </row>
    <row r="1554" spans="1:23" ht="15.6" hidden="1" customHeight="1" x14ac:dyDescent="0.25">
      <c r="B1554" s="48" t="s">
        <v>509</v>
      </c>
      <c r="I1554" s="2043">
        <v>0</v>
      </c>
      <c r="J1554" s="200"/>
      <c r="K1554" s="2043">
        <v>0</v>
      </c>
      <c r="N1554" s="1147"/>
      <c r="O1554" s="1146"/>
      <c r="P1554" s="48"/>
      <c r="Q1554" s="48"/>
      <c r="R1554" s="48"/>
      <c r="S1554" s="48"/>
      <c r="T1554" s="48"/>
      <c r="U1554" s="48"/>
      <c r="V1554" s="48"/>
      <c r="W1554" s="48"/>
    </row>
    <row r="1555" spans="1:23" ht="15.6" hidden="1" customHeight="1" x14ac:dyDescent="0.25">
      <c r="I1555" s="58"/>
      <c r="J1555" s="200"/>
      <c r="K1555" s="58"/>
      <c r="N1555" s="1147"/>
      <c r="O1555" s="1146"/>
      <c r="P1555" s="48"/>
      <c r="Q1555" s="48"/>
      <c r="R1555" s="48"/>
      <c r="S1555" s="48"/>
      <c r="T1555" s="48"/>
      <c r="U1555" s="48"/>
      <c r="V1555" s="48"/>
      <c r="W1555" s="48"/>
    </row>
    <row r="1556" spans="1:23" ht="15.6" hidden="1" customHeight="1" thickBot="1" x14ac:dyDescent="0.3">
      <c r="B1556" s="50" t="s">
        <v>510</v>
      </c>
      <c r="C1556" s="50"/>
      <c r="I1556" s="202">
        <f>SUM(I1552:I1555)</f>
        <v>0</v>
      </c>
      <c r="K1556" s="202">
        <f>SUM(K1552:K1555)</f>
        <v>0</v>
      </c>
      <c r="N1556" s="1147"/>
      <c r="O1556" s="1146"/>
      <c r="P1556" s="48"/>
      <c r="Q1556" s="48"/>
      <c r="R1556" s="48"/>
      <c r="S1556" s="48"/>
      <c r="T1556" s="48"/>
      <c r="U1556" s="48"/>
      <c r="V1556" s="48"/>
      <c r="W1556" s="48"/>
    </row>
    <row r="1557" spans="1:23" ht="15.6" hidden="1" customHeight="1" thickTop="1" x14ac:dyDescent="0.25">
      <c r="I1557" s="58"/>
      <c r="J1557" s="200"/>
      <c r="K1557" s="58"/>
      <c r="N1557" s="1147"/>
      <c r="O1557" s="1146"/>
      <c r="P1557" s="48"/>
      <c r="Q1557" s="48"/>
      <c r="R1557" s="48"/>
      <c r="S1557" s="48"/>
      <c r="T1557" s="48"/>
      <c r="U1557" s="48"/>
      <c r="V1557" s="48"/>
      <c r="W1557" s="48"/>
    </row>
    <row r="1558" spans="1:23" ht="15.6" hidden="1" customHeight="1" x14ac:dyDescent="0.2">
      <c r="A1558" s="201"/>
      <c r="B1558" s="2861" t="s">
        <v>1401</v>
      </c>
      <c r="C1558" s="2861"/>
      <c r="D1558" s="2861"/>
      <c r="E1558" s="2861"/>
      <c r="F1558" s="2861"/>
      <c r="G1558" s="2861"/>
      <c r="H1558" s="201"/>
      <c r="I1558" s="58"/>
      <c r="K1558" s="58"/>
      <c r="L1558" s="201"/>
      <c r="N1558" s="1147"/>
      <c r="O1558" s="1146"/>
      <c r="P1558" s="48"/>
      <c r="Q1558" s="48"/>
      <c r="R1558" s="48"/>
      <c r="S1558" s="48"/>
      <c r="T1558" s="48"/>
      <c r="U1558" s="48"/>
      <c r="V1558" s="48"/>
      <c r="W1558" s="48"/>
    </row>
    <row r="1559" spans="1:23" ht="15.6" hidden="1" customHeight="1" x14ac:dyDescent="0.25">
      <c r="I1559" s="58"/>
      <c r="J1559" s="200"/>
      <c r="K1559" s="58"/>
      <c r="N1559" s="1147"/>
      <c r="O1559" s="1146"/>
      <c r="P1559" s="48"/>
      <c r="Q1559" s="48"/>
      <c r="R1559" s="48"/>
      <c r="S1559" s="48"/>
      <c r="T1559" s="48"/>
      <c r="U1559" s="48"/>
      <c r="V1559" s="48"/>
      <c r="W1559" s="48"/>
    </row>
    <row r="1560" spans="1:23" ht="15.6" hidden="1" customHeight="1" x14ac:dyDescent="0.25">
      <c r="B1560" s="48" t="s">
        <v>511</v>
      </c>
      <c r="I1560" s="2043">
        <v>0</v>
      </c>
      <c r="J1560" s="200"/>
      <c r="K1560" s="2043">
        <v>0</v>
      </c>
      <c r="N1560" s="1147"/>
      <c r="O1560" s="1146"/>
      <c r="P1560" s="48"/>
      <c r="Q1560" s="48"/>
      <c r="R1560" s="48"/>
      <c r="S1560" s="48"/>
      <c r="T1560" s="48"/>
      <c r="U1560" s="48"/>
      <c r="V1560" s="48"/>
      <c r="W1560" s="48"/>
    </row>
    <row r="1561" spans="1:23" ht="15.6" hidden="1" customHeight="1" x14ac:dyDescent="0.25">
      <c r="B1561" s="48" t="s">
        <v>512</v>
      </c>
      <c r="I1561" s="2043">
        <v>0</v>
      </c>
      <c r="J1561" s="200"/>
      <c r="K1561" s="2043">
        <v>0</v>
      </c>
      <c r="N1561" s="1147"/>
      <c r="O1561" s="1146"/>
      <c r="P1561" s="48"/>
      <c r="Q1561" s="48"/>
      <c r="R1561" s="48"/>
      <c r="S1561" s="48"/>
      <c r="T1561" s="48"/>
      <c r="U1561" s="48"/>
      <c r="V1561" s="48"/>
      <c r="W1561" s="48"/>
    </row>
    <row r="1562" spans="1:23" ht="15.6" hidden="1" customHeight="1" x14ac:dyDescent="0.25">
      <c r="I1562" s="58"/>
      <c r="J1562" s="200"/>
      <c r="K1562" s="58"/>
      <c r="N1562" s="1147"/>
      <c r="O1562" s="1146"/>
      <c r="P1562" s="48"/>
      <c r="Q1562" s="48"/>
      <c r="R1562" s="48"/>
      <c r="S1562" s="48"/>
      <c r="T1562" s="48"/>
      <c r="U1562" s="48"/>
      <c r="V1562" s="48"/>
      <c r="W1562" s="48"/>
    </row>
    <row r="1563" spans="1:23" ht="15.6" hidden="1" customHeight="1" thickBot="1" x14ac:dyDescent="0.3">
      <c r="B1563" s="50" t="s">
        <v>513</v>
      </c>
      <c r="C1563" s="50"/>
      <c r="I1563" s="202">
        <f>SUM(I1560:I1562)</f>
        <v>0</v>
      </c>
      <c r="K1563" s="202">
        <f>SUM(K1560:K1562)</f>
        <v>0</v>
      </c>
      <c r="N1563" s="1147"/>
      <c r="O1563" s="1146"/>
      <c r="P1563" s="48"/>
      <c r="Q1563" s="48"/>
      <c r="R1563" s="48"/>
      <c r="S1563" s="48"/>
      <c r="T1563" s="48"/>
      <c r="U1563" s="48"/>
      <c r="V1563" s="48"/>
      <c r="W1563" s="48"/>
    </row>
    <row r="1564" spans="1:23" ht="15.6" hidden="1" customHeight="1" thickTop="1" x14ac:dyDescent="0.2">
      <c r="I1564" s="217"/>
      <c r="J1564" s="218"/>
      <c r="K1564" s="217"/>
      <c r="N1564" s="1147"/>
      <c r="O1564" s="1146"/>
      <c r="P1564" s="48"/>
      <c r="Q1564" s="48"/>
      <c r="R1564" s="48"/>
      <c r="S1564" s="48"/>
      <c r="T1564" s="48"/>
      <c r="U1564" s="48"/>
      <c r="V1564" s="48"/>
      <c r="W1564" s="48"/>
    </row>
    <row r="1565" spans="1:23" ht="30.95" hidden="1" customHeight="1" x14ac:dyDescent="0.2">
      <c r="A1565" s="201"/>
      <c r="B1565" s="2861" t="s">
        <v>514</v>
      </c>
      <c r="C1565" s="2861"/>
      <c r="D1565" s="2861"/>
      <c r="E1565" s="2861"/>
      <c r="F1565" s="2861"/>
      <c r="G1565" s="2861"/>
      <c r="H1565" s="201"/>
      <c r="I1565" s="58"/>
      <c r="K1565" s="58"/>
      <c r="L1565" s="201"/>
      <c r="N1565" s="1147"/>
      <c r="O1565" s="1146"/>
      <c r="P1565" s="48"/>
      <c r="Q1565" s="48"/>
      <c r="R1565" s="48"/>
      <c r="S1565" s="48"/>
      <c r="T1565" s="48"/>
      <c r="U1565" s="48"/>
      <c r="V1565" s="48"/>
      <c r="W1565" s="48"/>
    </row>
    <row r="1566" spans="1:23" ht="15.6" hidden="1" customHeight="1" x14ac:dyDescent="0.25">
      <c r="B1566" s="2046" t="s">
        <v>1398</v>
      </c>
      <c r="I1566" s="58"/>
      <c r="J1566" s="200"/>
      <c r="K1566" s="58"/>
      <c r="N1566" s="1147"/>
      <c r="O1566" s="1146"/>
      <c r="P1566" s="48"/>
      <c r="Q1566" s="48"/>
      <c r="R1566" s="48"/>
      <c r="S1566" s="48"/>
      <c r="T1566" s="48"/>
      <c r="U1566" s="48"/>
      <c r="V1566" s="48"/>
      <c r="W1566" s="48"/>
    </row>
    <row r="1567" spans="1:23" ht="15.6" hidden="1" customHeight="1" x14ac:dyDescent="0.25">
      <c r="B1567" s="2046" t="s">
        <v>2062</v>
      </c>
      <c r="I1567" s="58"/>
      <c r="J1567" s="200"/>
      <c r="K1567" s="58"/>
      <c r="N1567" s="1147"/>
      <c r="O1567" s="1146"/>
      <c r="P1567" s="48"/>
      <c r="Q1567" s="48"/>
      <c r="R1567" s="48"/>
      <c r="S1567" s="48"/>
      <c r="T1567" s="48"/>
      <c r="U1567" s="48"/>
      <c r="V1567" s="48"/>
      <c r="W1567" s="48"/>
    </row>
    <row r="1568" spans="1:23" ht="15.6" hidden="1" customHeight="1" x14ac:dyDescent="0.25">
      <c r="B1568" s="2046" t="s">
        <v>1341</v>
      </c>
      <c r="I1568" s="58"/>
      <c r="J1568" s="200"/>
      <c r="K1568" s="58"/>
      <c r="N1568" s="1147"/>
      <c r="O1568" s="1146"/>
      <c r="P1568" s="48"/>
      <c r="Q1568" s="48"/>
      <c r="R1568" s="48"/>
      <c r="S1568" s="48"/>
      <c r="T1568" s="48"/>
      <c r="U1568" s="48"/>
      <c r="V1568" s="48"/>
      <c r="W1568" s="48"/>
    </row>
    <row r="1569" spans="1:23" ht="15.6" hidden="1" customHeight="1" x14ac:dyDescent="0.25">
      <c r="B1569" s="2046" t="s">
        <v>1399</v>
      </c>
      <c r="I1569" s="58"/>
      <c r="J1569" s="200"/>
      <c r="K1569" s="58"/>
      <c r="N1569" s="1147"/>
      <c r="O1569" s="1146"/>
      <c r="P1569" s="48"/>
      <c r="Q1569" s="48"/>
      <c r="R1569" s="48"/>
      <c r="S1569" s="48"/>
      <c r="T1569" s="48"/>
      <c r="U1569" s="48"/>
      <c r="V1569" s="48"/>
      <c r="W1569" s="48"/>
    </row>
    <row r="1570" spans="1:23" ht="15.6" hidden="1" customHeight="1" x14ac:dyDescent="0.25">
      <c r="B1570" s="2046" t="s">
        <v>1400</v>
      </c>
      <c r="I1570" s="58"/>
      <c r="J1570" s="200"/>
      <c r="K1570" s="58"/>
      <c r="N1570" s="1147"/>
      <c r="O1570" s="1146"/>
      <c r="P1570" s="48"/>
      <c r="Q1570" s="48"/>
      <c r="R1570" s="48"/>
      <c r="S1570" s="48"/>
      <c r="T1570" s="48"/>
      <c r="U1570" s="48"/>
      <c r="V1570" s="48"/>
      <c r="W1570" s="48"/>
    </row>
    <row r="1571" spans="1:23" ht="15.6" hidden="1" customHeight="1" x14ac:dyDescent="0.25">
      <c r="I1571" s="58"/>
      <c r="J1571" s="200"/>
      <c r="K1571" s="58"/>
      <c r="N1571" s="1147"/>
      <c r="O1571" s="1146"/>
      <c r="P1571" s="48"/>
      <c r="Q1571" s="48"/>
      <c r="R1571" s="48"/>
      <c r="S1571" s="48"/>
      <c r="T1571" s="48"/>
      <c r="U1571" s="48"/>
      <c r="V1571" s="48"/>
      <c r="W1571" s="48"/>
    </row>
    <row r="1572" spans="1:23" ht="46.5" hidden="1" customHeight="1" x14ac:dyDescent="0.2">
      <c r="A1572" s="201"/>
      <c r="B1572" s="2879" t="str">
        <f>"The Current-service Cost for the year ending "&amp;Parameters!C11&amp;" is estimated to be R1 539 645, whereas the cost for the ensuing year is estimated to be R1 953 916 ("&amp;Parameters!C13&amp;": R1 539 645 and R1 953 916 respectively)."</f>
        <v>The Current-service Cost for the year ending 30 June 2012 is estimated to be R1 539 645, whereas the cost for the ensuing year is estimated to be R1 953 916 (30 June 2011: R1 539 645 and R1 953 916 respectively).</v>
      </c>
      <c r="C1572" s="2879"/>
      <c r="D1572" s="2879"/>
      <c r="E1572" s="2879"/>
      <c r="F1572" s="2879"/>
      <c r="G1572" s="2879"/>
      <c r="H1572" s="201"/>
      <c r="I1572" s="58"/>
      <c r="K1572" s="58"/>
      <c r="L1572" s="201"/>
      <c r="N1572" s="1147"/>
      <c r="O1572" s="1146"/>
      <c r="P1572" s="48"/>
      <c r="Q1572" s="48"/>
      <c r="R1572" s="48"/>
      <c r="S1572" s="48"/>
      <c r="T1572" s="48"/>
      <c r="U1572" s="48"/>
      <c r="V1572" s="48"/>
      <c r="W1572" s="48"/>
    </row>
    <row r="1573" spans="1:23" ht="15.6" hidden="1" customHeight="1" x14ac:dyDescent="0.25">
      <c r="I1573" s="58"/>
      <c r="J1573" s="200"/>
      <c r="K1573" s="58"/>
      <c r="N1573" s="1147"/>
      <c r="O1573" s="1146"/>
      <c r="P1573" s="48"/>
      <c r="Q1573" s="48"/>
      <c r="R1573" s="48"/>
      <c r="S1573" s="48"/>
      <c r="T1573" s="48"/>
      <c r="U1573" s="48"/>
      <c r="V1573" s="48"/>
      <c r="W1573" s="48"/>
    </row>
    <row r="1574" spans="1:23" ht="30.95" hidden="1" customHeight="1" x14ac:dyDescent="0.2">
      <c r="A1574" s="201"/>
      <c r="B1574" s="2878" t="s">
        <v>850</v>
      </c>
      <c r="C1574" s="2878"/>
      <c r="D1574" s="2878"/>
      <c r="E1574" s="2878"/>
      <c r="F1574" s="2878"/>
      <c r="G1574" s="2878"/>
      <c r="H1574" s="201"/>
      <c r="I1574" s="58"/>
      <c r="K1574" s="58"/>
      <c r="L1574" s="201"/>
      <c r="M1574" s="1213" t="s">
        <v>2340</v>
      </c>
      <c r="N1574" s="1133"/>
      <c r="O1574" s="1146"/>
      <c r="P1574" s="48"/>
      <c r="Q1574" s="48"/>
      <c r="R1574" s="48"/>
      <c r="S1574" s="48"/>
      <c r="T1574" s="48"/>
      <c r="U1574" s="48"/>
      <c r="V1574" s="48"/>
      <c r="W1574" s="48"/>
    </row>
    <row r="1575" spans="1:23" ht="15.6" hidden="1" customHeight="1" x14ac:dyDescent="0.25">
      <c r="B1575" s="48" t="s">
        <v>861</v>
      </c>
      <c r="I1575" s="2161">
        <v>8.6800000000000002E-2</v>
      </c>
      <c r="J1575" s="200"/>
      <c r="K1575" s="2161">
        <v>8.6800000000000002E-2</v>
      </c>
      <c r="N1575" s="1147"/>
      <c r="O1575" s="1146"/>
      <c r="P1575" s="48"/>
      <c r="Q1575" s="48"/>
      <c r="R1575" s="48"/>
      <c r="S1575" s="48"/>
      <c r="T1575" s="48"/>
      <c r="U1575" s="48"/>
      <c r="V1575" s="48"/>
      <c r="W1575" s="48"/>
    </row>
    <row r="1576" spans="1:23" ht="15.6" hidden="1" customHeight="1" x14ac:dyDescent="0.25">
      <c r="B1576" s="48" t="s">
        <v>524</v>
      </c>
      <c r="I1576" s="2161">
        <v>7.3400000000000007E-2</v>
      </c>
      <c r="J1576" s="200"/>
      <c r="K1576" s="2161">
        <v>7.3400000000000007E-2</v>
      </c>
      <c r="N1576" s="1147"/>
      <c r="O1576" s="1146"/>
      <c r="P1576" s="48"/>
      <c r="Q1576" s="48"/>
      <c r="R1576" s="48"/>
      <c r="S1576" s="48"/>
      <c r="T1576" s="48"/>
      <c r="U1576" s="48"/>
      <c r="V1576" s="48"/>
      <c r="W1576" s="48"/>
    </row>
    <row r="1577" spans="1:23" ht="15.6" hidden="1" customHeight="1" x14ac:dyDescent="0.25">
      <c r="B1577" s="48" t="s">
        <v>525</v>
      </c>
      <c r="I1577" s="2161">
        <v>1.2500000000000001E-2</v>
      </c>
      <c r="J1577" s="200"/>
      <c r="K1577" s="2161">
        <v>1.2500000000000001E-2</v>
      </c>
      <c r="N1577" s="1147"/>
      <c r="O1577" s="1146"/>
      <c r="P1577" s="48"/>
      <c r="Q1577" s="48"/>
      <c r="R1577" s="48"/>
      <c r="S1577" s="48"/>
      <c r="T1577" s="48"/>
      <c r="U1577" s="48"/>
      <c r="V1577" s="48"/>
      <c r="W1577" s="48"/>
    </row>
    <row r="1578" spans="1:23" ht="15.6" hidden="1" customHeight="1" x14ac:dyDescent="0.25">
      <c r="B1578" s="48" t="s">
        <v>851</v>
      </c>
      <c r="I1578" s="2161">
        <v>0</v>
      </c>
      <c r="J1578" s="200"/>
      <c r="K1578" s="2161">
        <v>0</v>
      </c>
      <c r="N1578" s="1133"/>
      <c r="O1578" s="1146"/>
    </row>
    <row r="1579" spans="1:23" ht="15.6" hidden="1" customHeight="1" x14ac:dyDescent="0.25">
      <c r="B1579" s="48" t="s">
        <v>852</v>
      </c>
      <c r="I1579" s="2161">
        <v>0</v>
      </c>
      <c r="J1579" s="200"/>
      <c r="K1579" s="2161">
        <v>0</v>
      </c>
      <c r="N1579" s="1133"/>
      <c r="O1579" s="1146"/>
    </row>
    <row r="1580" spans="1:23" ht="15.6" hidden="1" customHeight="1" x14ac:dyDescent="0.25">
      <c r="B1580" s="48" t="s">
        <v>853</v>
      </c>
      <c r="I1580" s="2161">
        <v>0</v>
      </c>
      <c r="J1580" s="200"/>
      <c r="K1580" s="2161">
        <v>0</v>
      </c>
      <c r="N1580" s="1133"/>
      <c r="O1580" s="1146"/>
    </row>
    <row r="1581" spans="1:23" ht="15.6" hidden="1" customHeight="1" x14ac:dyDescent="0.25">
      <c r="B1581" s="48" t="s">
        <v>854</v>
      </c>
      <c r="I1581" s="2043">
        <v>63</v>
      </c>
      <c r="J1581" s="200"/>
      <c r="K1581" s="2043">
        <v>63</v>
      </c>
      <c r="N1581" s="1133"/>
      <c r="O1581" s="1146"/>
    </row>
    <row r="1582" spans="1:23" ht="15.6" hidden="1" customHeight="1" x14ac:dyDescent="0.25">
      <c r="B1582" s="48" t="s">
        <v>855</v>
      </c>
      <c r="I1582" s="2043">
        <v>63</v>
      </c>
      <c r="J1582" s="200"/>
      <c r="K1582" s="2043">
        <v>63</v>
      </c>
      <c r="N1582" s="1133"/>
      <c r="O1582" s="1146"/>
    </row>
    <row r="1583" spans="1:23" ht="15.6" hidden="1" customHeight="1" x14ac:dyDescent="0.25">
      <c r="I1583" s="58"/>
      <c r="J1583" s="200"/>
      <c r="K1583" s="58"/>
      <c r="N1583" s="1133"/>
      <c r="O1583" s="1146"/>
    </row>
    <row r="1584" spans="1:23" ht="15.6" hidden="1" customHeight="1" x14ac:dyDescent="0.25">
      <c r="B1584" s="50" t="s">
        <v>872</v>
      </c>
      <c r="I1584" s="58"/>
      <c r="J1584" s="200"/>
      <c r="K1584" s="58"/>
      <c r="M1584" s="1256" t="s">
        <v>2341</v>
      </c>
      <c r="N1584" s="1133"/>
      <c r="O1584" s="1146"/>
    </row>
    <row r="1585" spans="2:24" ht="15.6" hidden="1" customHeight="1" x14ac:dyDescent="0.25">
      <c r="B1585" s="48" t="s">
        <v>877</v>
      </c>
      <c r="I1585" s="2043">
        <f>K1595</f>
        <v>0</v>
      </c>
      <c r="J1585" s="200"/>
      <c r="K1585" s="2043">
        <v>0</v>
      </c>
      <c r="N1585" s="1147"/>
      <c r="O1585" s="1146"/>
    </row>
    <row r="1586" spans="2:24" ht="15.6" hidden="1" customHeight="1" x14ac:dyDescent="0.25">
      <c r="B1586" s="48" t="s">
        <v>518</v>
      </c>
      <c r="I1586" s="2043">
        <v>0</v>
      </c>
      <c r="J1586" s="200"/>
      <c r="K1586" s="2043">
        <v>0</v>
      </c>
      <c r="N1586" s="1147"/>
      <c r="O1586" s="1146"/>
    </row>
    <row r="1587" spans="2:24" ht="15.6" hidden="1" customHeight="1" x14ac:dyDescent="0.25">
      <c r="B1587" s="48" t="s">
        <v>520</v>
      </c>
      <c r="I1587" s="2043">
        <v>0</v>
      </c>
      <c r="J1587" s="200"/>
      <c r="K1587" s="2043">
        <v>0</v>
      </c>
      <c r="N1587" s="1147"/>
      <c r="O1587" s="1146"/>
      <c r="X1587" s="50"/>
    </row>
    <row r="1588" spans="2:24" ht="15.6" hidden="1" customHeight="1" x14ac:dyDescent="0.25">
      <c r="B1588" s="48" t="s">
        <v>873</v>
      </c>
      <c r="I1588" s="2043">
        <v>0</v>
      </c>
      <c r="J1588" s="200"/>
      <c r="K1588" s="2043">
        <v>0</v>
      </c>
      <c r="N1588" s="1133"/>
      <c r="O1588" s="1146"/>
    </row>
    <row r="1589" spans="2:24" ht="15.6" hidden="1" customHeight="1" x14ac:dyDescent="0.25">
      <c r="B1589" s="48" t="s">
        <v>523</v>
      </c>
      <c r="I1589" s="2043">
        <v>0</v>
      </c>
      <c r="J1589" s="200"/>
      <c r="K1589" s="2043">
        <v>0</v>
      </c>
      <c r="N1589" s="1147"/>
      <c r="O1589" s="1146"/>
      <c r="V1589" s="234"/>
    </row>
    <row r="1590" spans="2:24" ht="15.6" hidden="1" customHeight="1" x14ac:dyDescent="0.25">
      <c r="B1590" s="48" t="s">
        <v>519</v>
      </c>
      <c r="I1590" s="2043">
        <v>0</v>
      </c>
      <c r="J1590" s="200"/>
      <c r="K1590" s="2043">
        <v>0</v>
      </c>
      <c r="N1590" s="1147"/>
      <c r="O1590" s="1146"/>
    </row>
    <row r="1591" spans="2:24" ht="15.6" hidden="1" customHeight="1" x14ac:dyDescent="0.25">
      <c r="B1591" s="48" t="s">
        <v>868</v>
      </c>
      <c r="I1591" s="2043">
        <v>0</v>
      </c>
      <c r="J1591" s="200"/>
      <c r="K1591" s="2043">
        <v>0</v>
      </c>
      <c r="N1591" s="1147"/>
      <c r="O1591" s="1146"/>
    </row>
    <row r="1592" spans="2:24" ht="15.6" hidden="1" customHeight="1" x14ac:dyDescent="0.25">
      <c r="B1592" s="48" t="s">
        <v>874</v>
      </c>
      <c r="I1592" s="2043">
        <v>0</v>
      </c>
      <c r="J1592" s="200"/>
      <c r="K1592" s="2043">
        <v>0</v>
      </c>
      <c r="N1592" s="1133"/>
      <c r="O1592" s="1146"/>
    </row>
    <row r="1593" spans="2:24" ht="15.6" hidden="1" customHeight="1" x14ac:dyDescent="0.25">
      <c r="B1593" s="48" t="s">
        <v>875</v>
      </c>
      <c r="I1593" s="2043">
        <v>0</v>
      </c>
      <c r="J1593" s="200"/>
      <c r="K1593" s="2043">
        <v>0</v>
      </c>
      <c r="N1593" s="1133"/>
      <c r="O1593" s="1146"/>
    </row>
    <row r="1594" spans="2:24" ht="15.6" hidden="1" customHeight="1" x14ac:dyDescent="0.25">
      <c r="I1594" s="212"/>
      <c r="J1594" s="200"/>
      <c r="K1594" s="212"/>
      <c r="N1594" s="1133"/>
      <c r="O1594" s="1146"/>
      <c r="P1594" s="48"/>
      <c r="Q1594" s="48"/>
      <c r="R1594" s="48"/>
      <c r="S1594" s="48"/>
      <c r="T1594" s="48"/>
      <c r="U1594" s="48"/>
      <c r="V1594" s="48"/>
      <c r="W1594" s="48"/>
    </row>
    <row r="1595" spans="2:24" ht="15.6" hidden="1" customHeight="1" x14ac:dyDescent="0.25">
      <c r="B1595" s="50" t="s">
        <v>521</v>
      </c>
      <c r="I1595" s="667">
        <f>SUM(I1585:I1594)</f>
        <v>0</v>
      </c>
      <c r="J1595" s="200"/>
      <c r="K1595" s="667">
        <f>SUM(K1585:K1594)</f>
        <v>0</v>
      </c>
      <c r="N1595" s="1133"/>
      <c r="O1595" s="1146"/>
      <c r="P1595" s="48"/>
      <c r="Q1595" s="48"/>
      <c r="R1595" s="48"/>
      <c r="S1595" s="48"/>
      <c r="T1595" s="48"/>
      <c r="U1595" s="48"/>
      <c r="V1595" s="48"/>
      <c r="W1595" s="48"/>
    </row>
    <row r="1596" spans="2:24" ht="15.6" hidden="1" customHeight="1" x14ac:dyDescent="0.25">
      <c r="I1596" s="58"/>
      <c r="J1596" s="200"/>
      <c r="K1596" s="58"/>
      <c r="N1596" s="1133"/>
      <c r="O1596" s="1146"/>
      <c r="P1596" s="48"/>
      <c r="Q1596" s="48"/>
      <c r="R1596" s="48"/>
      <c r="S1596" s="48"/>
      <c r="T1596" s="48"/>
      <c r="U1596" s="48"/>
      <c r="V1596" s="48"/>
      <c r="W1596" s="48"/>
    </row>
    <row r="1597" spans="2:24" ht="15.6" hidden="1" customHeight="1" x14ac:dyDescent="0.25">
      <c r="B1597" s="48" t="s">
        <v>1343</v>
      </c>
      <c r="I1597" s="2043">
        <v>0</v>
      </c>
      <c r="J1597" s="200"/>
      <c r="K1597" s="2043">
        <v>0</v>
      </c>
      <c r="N1597" s="1133"/>
      <c r="O1597" s="1146"/>
      <c r="P1597" s="48"/>
      <c r="Q1597" s="48"/>
      <c r="R1597" s="48"/>
      <c r="S1597" s="48"/>
      <c r="T1597" s="48"/>
      <c r="U1597" s="48"/>
      <c r="V1597" s="48"/>
      <c r="W1597" s="48"/>
    </row>
    <row r="1598" spans="2:24" ht="15.6" hidden="1" customHeight="1" x14ac:dyDescent="0.25">
      <c r="I1598" s="58"/>
      <c r="J1598" s="200"/>
      <c r="K1598" s="58"/>
      <c r="N1598" s="1147"/>
      <c r="O1598" s="1146"/>
      <c r="P1598" s="48"/>
      <c r="Q1598" s="48"/>
      <c r="R1598" s="48"/>
      <c r="S1598" s="48"/>
      <c r="T1598" s="48"/>
      <c r="U1598" s="48"/>
      <c r="V1598" s="48"/>
      <c r="W1598" s="48"/>
    </row>
    <row r="1599" spans="2:24" ht="15.6" hidden="1" customHeight="1" thickBot="1" x14ac:dyDescent="0.3">
      <c r="B1599" s="50" t="s">
        <v>1344</v>
      </c>
      <c r="I1599" s="204">
        <f>SUM(I1595:I1598)</f>
        <v>0</v>
      </c>
      <c r="J1599" s="200"/>
      <c r="K1599" s="204">
        <f>SUM(K1595:K1598)</f>
        <v>0</v>
      </c>
      <c r="N1599" s="1471"/>
      <c r="O1599" s="1146"/>
      <c r="P1599" s="48"/>
      <c r="Q1599" s="48"/>
      <c r="R1599" s="48"/>
      <c r="S1599" s="48"/>
      <c r="T1599" s="48"/>
      <c r="U1599" s="48"/>
      <c r="V1599" s="48"/>
      <c r="W1599" s="48"/>
    </row>
    <row r="1600" spans="2:24" ht="15.6" hidden="1" customHeight="1" thickTop="1" x14ac:dyDescent="0.2">
      <c r="I1600" s="217">
        <f>I1599-I1538</f>
        <v>0</v>
      </c>
      <c r="J1600" s="218"/>
      <c r="K1600" s="217">
        <f>K1599-K1538</f>
        <v>0</v>
      </c>
      <c r="N1600" s="1147"/>
      <c r="O1600" s="1146"/>
      <c r="P1600" s="48"/>
      <c r="Q1600" s="48"/>
      <c r="R1600" s="48"/>
      <c r="S1600" s="48"/>
      <c r="T1600" s="48"/>
      <c r="U1600" s="48"/>
      <c r="V1600" s="48"/>
      <c r="W1600" s="48"/>
    </row>
    <row r="1601" spans="2:23" ht="15.6" hidden="1" customHeight="1" x14ac:dyDescent="0.25">
      <c r="B1601" s="50" t="s">
        <v>878</v>
      </c>
      <c r="I1601" s="58"/>
      <c r="J1601" s="200"/>
      <c r="K1601" s="58"/>
      <c r="N1601" s="1147"/>
      <c r="O1601" s="1146"/>
      <c r="P1601" s="48"/>
      <c r="Q1601" s="48"/>
      <c r="R1601" s="48"/>
      <c r="S1601" s="48"/>
      <c r="T1601" s="48"/>
      <c r="U1601" s="48"/>
      <c r="V1601" s="48"/>
      <c r="W1601" s="48"/>
    </row>
    <row r="1602" spans="2:23" ht="15.6" hidden="1" customHeight="1" x14ac:dyDescent="0.25">
      <c r="B1602" s="48" t="s">
        <v>877</v>
      </c>
      <c r="I1602" s="2043">
        <v>0</v>
      </c>
      <c r="J1602" s="200"/>
      <c r="K1602" s="2043">
        <v>0</v>
      </c>
      <c r="N1602" s="1147"/>
      <c r="O1602" s="1146"/>
      <c r="P1602" s="48"/>
      <c r="Q1602" s="48"/>
      <c r="R1602" s="48"/>
      <c r="S1602" s="48"/>
      <c r="T1602" s="48"/>
      <c r="U1602" s="48"/>
      <c r="V1602" s="48"/>
      <c r="W1602" s="48"/>
    </row>
    <row r="1603" spans="2:23" ht="15.6" hidden="1" customHeight="1" x14ac:dyDescent="0.25">
      <c r="B1603" s="48" t="s">
        <v>522</v>
      </c>
      <c r="I1603" s="2043">
        <v>0</v>
      </c>
      <c r="J1603" s="200"/>
      <c r="K1603" s="2043">
        <v>0</v>
      </c>
      <c r="N1603" s="1147"/>
      <c r="O1603" s="1146"/>
      <c r="P1603" s="48"/>
      <c r="Q1603" s="48"/>
      <c r="R1603" s="48"/>
      <c r="S1603" s="48"/>
      <c r="T1603" s="48"/>
      <c r="U1603" s="48"/>
      <c r="V1603" s="48"/>
      <c r="W1603" s="48"/>
    </row>
    <row r="1604" spans="2:23" ht="15.6" hidden="1" customHeight="1" x14ac:dyDescent="0.25">
      <c r="B1604" s="48" t="s">
        <v>879</v>
      </c>
      <c r="I1604" s="2043">
        <v>0</v>
      </c>
      <c r="J1604" s="200"/>
      <c r="K1604" s="2043">
        <v>0</v>
      </c>
      <c r="N1604" s="1147"/>
      <c r="O1604" s="1146"/>
      <c r="P1604" s="48"/>
      <c r="Q1604" s="48"/>
      <c r="R1604" s="48"/>
      <c r="S1604" s="48"/>
      <c r="T1604" s="48"/>
      <c r="U1604" s="48"/>
      <c r="V1604" s="48"/>
      <c r="W1604" s="48"/>
    </row>
    <row r="1605" spans="2:23" ht="15.6" hidden="1" customHeight="1" x14ac:dyDescent="0.25">
      <c r="B1605" s="48" t="s">
        <v>873</v>
      </c>
      <c r="I1605" s="2043">
        <v>0</v>
      </c>
      <c r="J1605" s="200"/>
      <c r="K1605" s="2043">
        <v>0</v>
      </c>
      <c r="N1605" s="1147"/>
      <c r="O1605" s="1146"/>
      <c r="P1605" s="48"/>
      <c r="Q1605" s="48"/>
      <c r="R1605" s="48"/>
      <c r="S1605" s="48"/>
      <c r="T1605" s="48"/>
      <c r="U1605" s="48"/>
      <c r="V1605" s="48"/>
      <c r="W1605" s="48"/>
    </row>
    <row r="1606" spans="2:23" ht="15.6" hidden="1" customHeight="1" x14ac:dyDescent="0.25">
      <c r="B1606" s="48" t="s">
        <v>523</v>
      </c>
      <c r="I1606" s="2043">
        <v>0</v>
      </c>
      <c r="J1606" s="200"/>
      <c r="K1606" s="2043">
        <v>0</v>
      </c>
      <c r="N1606" s="1147"/>
      <c r="O1606" s="1146"/>
      <c r="P1606" s="48"/>
      <c r="Q1606" s="48"/>
      <c r="R1606" s="48"/>
      <c r="S1606" s="48"/>
      <c r="T1606" s="48"/>
      <c r="U1606" s="48"/>
      <c r="V1606" s="48"/>
      <c r="W1606" s="48"/>
    </row>
    <row r="1607" spans="2:23" ht="15.6" hidden="1" customHeight="1" x14ac:dyDescent="0.25">
      <c r="B1607" s="48" t="s">
        <v>519</v>
      </c>
      <c r="I1607" s="2043">
        <v>0</v>
      </c>
      <c r="J1607" s="200"/>
      <c r="K1607" s="2043">
        <v>0</v>
      </c>
      <c r="N1607" s="1147"/>
      <c r="O1607" s="1146"/>
      <c r="P1607" s="48"/>
      <c r="Q1607" s="48"/>
      <c r="R1607" s="48"/>
      <c r="S1607" s="48"/>
      <c r="T1607" s="48"/>
      <c r="U1607" s="48"/>
      <c r="V1607" s="48"/>
      <c r="W1607" s="48"/>
    </row>
    <row r="1608" spans="2:23" ht="15.6" hidden="1" customHeight="1" x14ac:dyDescent="0.25">
      <c r="B1608" s="48" t="s">
        <v>880</v>
      </c>
      <c r="I1608" s="2043">
        <v>0</v>
      </c>
      <c r="J1608" s="200"/>
      <c r="K1608" s="2043">
        <v>0</v>
      </c>
      <c r="N1608" s="1147"/>
      <c r="O1608" s="1146"/>
      <c r="P1608" s="48"/>
      <c r="Q1608" s="48"/>
      <c r="R1608" s="48"/>
      <c r="S1608" s="48"/>
      <c r="T1608" s="48"/>
      <c r="U1608" s="48"/>
      <c r="V1608" s="48"/>
      <c r="W1608" s="48"/>
    </row>
    <row r="1609" spans="2:23" ht="15.6" hidden="1" customHeight="1" x14ac:dyDescent="0.25">
      <c r="B1609" s="48" t="s">
        <v>876</v>
      </c>
      <c r="I1609" s="2043">
        <v>0</v>
      </c>
      <c r="J1609" s="200"/>
      <c r="K1609" s="2043">
        <v>0</v>
      </c>
      <c r="N1609" s="1133"/>
      <c r="O1609" s="1146"/>
      <c r="P1609" s="48"/>
      <c r="Q1609" s="48"/>
      <c r="R1609" s="48"/>
      <c r="S1609" s="48"/>
      <c r="T1609" s="48"/>
      <c r="U1609" s="48"/>
      <c r="V1609" s="48"/>
      <c r="W1609" s="48"/>
    </row>
    <row r="1610" spans="2:23" ht="15.6" hidden="1" customHeight="1" x14ac:dyDescent="0.25">
      <c r="I1610" s="58"/>
      <c r="J1610" s="200"/>
      <c r="K1610" s="58"/>
      <c r="N1610" s="1147"/>
      <c r="O1610" s="1146"/>
    </row>
    <row r="1611" spans="2:23" ht="15.6" hidden="1" customHeight="1" thickBot="1" x14ac:dyDescent="0.3">
      <c r="B1611" s="50" t="s">
        <v>881</v>
      </c>
      <c r="I1611" s="204">
        <f>SUM(I1602:I1610)</f>
        <v>0</v>
      </c>
      <c r="J1611" s="200"/>
      <c r="K1611" s="204">
        <f>SUM(K1602:K1610)</f>
        <v>0</v>
      </c>
      <c r="N1611" s="1147"/>
      <c r="O1611" s="1146"/>
    </row>
    <row r="1612" spans="2:23" ht="15.6" hidden="1" customHeight="1" thickTop="1" x14ac:dyDescent="0.2">
      <c r="I1612" s="217">
        <f>I1611-I1624</f>
        <v>0</v>
      </c>
      <c r="J1612" s="218"/>
      <c r="K1612" s="217">
        <f>K1611-K1624</f>
        <v>0</v>
      </c>
      <c r="N1612" s="1147"/>
      <c r="O1612" s="1146"/>
    </row>
    <row r="1613" spans="2:23" ht="15.6" hidden="1" customHeight="1" x14ac:dyDescent="0.25">
      <c r="B1613" s="50" t="s">
        <v>856</v>
      </c>
      <c r="I1613" s="58"/>
      <c r="J1613" s="200"/>
      <c r="K1613" s="58"/>
      <c r="M1613" s="1256" t="s">
        <v>857</v>
      </c>
      <c r="N1613" s="1133"/>
      <c r="O1613" s="1146"/>
    </row>
    <row r="1614" spans="2:23" ht="15.6" hidden="1" customHeight="1" x14ac:dyDescent="0.25">
      <c r="B1614" s="48" t="s">
        <v>515</v>
      </c>
      <c r="I1614" s="2043">
        <f>I1595</f>
        <v>0</v>
      </c>
      <c r="J1614" s="200"/>
      <c r="K1614" s="2043">
        <f>K1595</f>
        <v>0</v>
      </c>
      <c r="N1614" s="1147"/>
      <c r="O1614" s="1146"/>
    </row>
    <row r="1615" spans="2:23" ht="15.6" hidden="1" customHeight="1" x14ac:dyDescent="0.25">
      <c r="B1615" s="48" t="s">
        <v>516</v>
      </c>
      <c r="I1615" s="2043">
        <v>0</v>
      </c>
      <c r="J1615" s="200"/>
      <c r="K1615" s="2043">
        <v>0</v>
      </c>
      <c r="N1615" s="1147"/>
      <c r="O1615" s="1146"/>
    </row>
    <row r="1616" spans="2:23" ht="15.6" hidden="1" customHeight="1" x14ac:dyDescent="0.25">
      <c r="I1616" s="58"/>
      <c r="J1616" s="200"/>
      <c r="K1616" s="58"/>
      <c r="N1616" s="1147"/>
      <c r="O1616" s="1146"/>
    </row>
    <row r="1617" spans="2:24" ht="15.6" hidden="1" customHeight="1" x14ac:dyDescent="0.25">
      <c r="I1617" s="203">
        <f>SUM(I1614:I1616)</f>
        <v>0</v>
      </c>
      <c r="J1617" s="200"/>
      <c r="K1617" s="203">
        <f>SUM(K1614:K1616)</f>
        <v>0</v>
      </c>
      <c r="N1617" s="1147"/>
      <c r="O1617" s="1146"/>
    </row>
    <row r="1618" spans="2:24" ht="15.6" hidden="1" customHeight="1" x14ac:dyDescent="0.25">
      <c r="B1618" s="48" t="s">
        <v>517</v>
      </c>
      <c r="I1618" s="2043">
        <v>0</v>
      </c>
      <c r="J1618" s="200"/>
      <c r="K1618" s="2043">
        <v>0</v>
      </c>
      <c r="N1618" s="1133"/>
      <c r="O1618" s="1146"/>
    </row>
    <row r="1619" spans="2:24" ht="15.6" hidden="1" customHeight="1" x14ac:dyDescent="0.25">
      <c r="I1619" s="58"/>
      <c r="J1619" s="200"/>
      <c r="K1619" s="58"/>
      <c r="N1619" s="1133"/>
      <c r="O1619" s="1146"/>
    </row>
    <row r="1620" spans="2:24" ht="15.6" hidden="1" customHeight="1" x14ac:dyDescent="0.25">
      <c r="B1620" s="48" t="s">
        <v>1692</v>
      </c>
      <c r="I1620" s="2162">
        <f>SUM(I1617:I1619)</f>
        <v>0</v>
      </c>
      <c r="J1620" s="200"/>
      <c r="K1620" s="2162">
        <f>SUM(K1617:K1619)</f>
        <v>0</v>
      </c>
      <c r="N1620" s="1133"/>
      <c r="O1620" s="1146"/>
    </row>
    <row r="1621" spans="2:24" ht="15.6" hidden="1" customHeight="1" x14ac:dyDescent="0.25">
      <c r="B1621" s="48" t="s">
        <v>862</v>
      </c>
      <c r="I1621" s="2043">
        <v>0</v>
      </c>
      <c r="J1621" s="200"/>
      <c r="K1621" s="2043">
        <v>0</v>
      </c>
      <c r="N1621" s="1147"/>
      <c r="O1621" s="1146"/>
    </row>
    <row r="1622" spans="2:24" ht="15.6" hidden="1" customHeight="1" x14ac:dyDescent="0.25">
      <c r="B1622" s="48" t="s">
        <v>863</v>
      </c>
      <c r="I1622" s="2043">
        <f>I1597</f>
        <v>0</v>
      </c>
      <c r="J1622" s="200"/>
      <c r="K1622" s="2043">
        <f>K1597</f>
        <v>0</v>
      </c>
      <c r="N1622" s="1147"/>
      <c r="O1622" s="1146"/>
    </row>
    <row r="1623" spans="2:24" ht="15.6" hidden="1" customHeight="1" x14ac:dyDescent="0.25">
      <c r="B1623" s="48" t="s">
        <v>859</v>
      </c>
      <c r="I1623" s="2043">
        <v>0</v>
      </c>
      <c r="J1623" s="200"/>
      <c r="K1623" s="2043">
        <v>0</v>
      </c>
      <c r="N1623" s="1133"/>
      <c r="O1623" s="1146"/>
      <c r="X1623" s="50"/>
    </row>
    <row r="1624" spans="2:24" ht="15.6" hidden="1" customHeight="1" x14ac:dyDescent="0.25">
      <c r="B1624" s="48" t="s">
        <v>860</v>
      </c>
      <c r="I1624" s="2043">
        <v>0</v>
      </c>
      <c r="J1624" s="200"/>
      <c r="K1624" s="2043">
        <v>0</v>
      </c>
      <c r="N1624" s="1133"/>
      <c r="O1624" s="1146"/>
    </row>
    <row r="1625" spans="2:24" ht="15.6" hidden="1" customHeight="1" x14ac:dyDescent="0.25">
      <c r="I1625" s="58"/>
      <c r="J1625" s="200"/>
      <c r="K1625" s="58"/>
      <c r="N1625" s="1147"/>
      <c r="O1625" s="1146"/>
      <c r="V1625" s="234"/>
    </row>
    <row r="1626" spans="2:24" ht="15.6" hidden="1" customHeight="1" thickBot="1" x14ac:dyDescent="0.3">
      <c r="B1626" s="50" t="s">
        <v>864</v>
      </c>
      <c r="I1626" s="204">
        <f>SUM(I1620:I1625)</f>
        <v>0</v>
      </c>
      <c r="J1626" s="200"/>
      <c r="K1626" s="204">
        <f>SUM(K1620:K1625)</f>
        <v>0</v>
      </c>
      <c r="N1626" s="1147"/>
      <c r="O1626" s="1146"/>
    </row>
    <row r="1627" spans="2:24" ht="15.6" hidden="1" customHeight="1" thickTop="1" x14ac:dyDescent="0.2">
      <c r="I1627" s="217">
        <f>I1626-I1538</f>
        <v>0</v>
      </c>
      <c r="J1627" s="218"/>
      <c r="K1627" s="217">
        <f>K1626-K1538</f>
        <v>0</v>
      </c>
      <c r="N1627" s="1147"/>
      <c r="O1627" s="1146"/>
    </row>
    <row r="1628" spans="2:24" ht="15.6" hidden="1" customHeight="1" x14ac:dyDescent="0.25">
      <c r="B1628" s="50" t="s">
        <v>865</v>
      </c>
      <c r="I1628" s="58"/>
      <c r="J1628" s="200"/>
      <c r="K1628" s="58"/>
      <c r="M1628" s="1256" t="s">
        <v>2342</v>
      </c>
      <c r="N1628" s="1133"/>
      <c r="O1628" s="1146"/>
    </row>
    <row r="1629" spans="2:24" ht="15.6" hidden="1" customHeight="1" x14ac:dyDescent="0.25">
      <c r="B1629" s="48" t="s">
        <v>866</v>
      </c>
      <c r="I1629" s="2043">
        <f>I1586</f>
        <v>0</v>
      </c>
      <c r="J1629" s="200"/>
      <c r="K1629" s="2043">
        <f>K1586</f>
        <v>0</v>
      </c>
      <c r="N1629" s="1133"/>
      <c r="O1629" s="1146"/>
    </row>
    <row r="1630" spans="2:24" ht="15.6" hidden="1" customHeight="1" x14ac:dyDescent="0.25">
      <c r="B1630" s="48" t="s">
        <v>520</v>
      </c>
      <c r="I1630" s="2043">
        <f>I1587</f>
        <v>0</v>
      </c>
      <c r="J1630" s="200"/>
      <c r="K1630" s="2043">
        <f>K1587</f>
        <v>0</v>
      </c>
      <c r="N1630" s="1133"/>
      <c r="O1630" s="1146"/>
    </row>
    <row r="1631" spans="2:24" ht="15.6" hidden="1" customHeight="1" x14ac:dyDescent="0.25">
      <c r="B1631" s="48" t="s">
        <v>522</v>
      </c>
      <c r="I1631" s="2043">
        <v>0</v>
      </c>
      <c r="J1631" s="200"/>
      <c r="K1631" s="2043">
        <v>0</v>
      </c>
      <c r="N1631" s="1133"/>
      <c r="O1631" s="1146"/>
    </row>
    <row r="1632" spans="2:24" ht="15.6" hidden="1" customHeight="1" x14ac:dyDescent="0.25">
      <c r="B1632" s="48" t="s">
        <v>867</v>
      </c>
      <c r="I1632" s="2043">
        <v>0</v>
      </c>
      <c r="J1632" s="200"/>
      <c r="K1632" s="2043">
        <v>0</v>
      </c>
      <c r="N1632" s="1133"/>
      <c r="O1632" s="1146"/>
    </row>
    <row r="1633" spans="1:27" ht="15.6" hidden="1" customHeight="1" x14ac:dyDescent="0.25">
      <c r="B1633" s="48" t="s">
        <v>868</v>
      </c>
      <c r="I1633" s="2043">
        <f>I1591</f>
        <v>0</v>
      </c>
      <c r="J1633" s="200"/>
      <c r="K1633" s="2043">
        <f>K1591</f>
        <v>0</v>
      </c>
      <c r="N1633" s="1133"/>
      <c r="O1633" s="1146"/>
    </row>
    <row r="1634" spans="1:27" ht="15.6" hidden="1" customHeight="1" x14ac:dyDescent="0.25">
      <c r="B1634" s="48" t="s">
        <v>869</v>
      </c>
      <c r="I1634" s="2043">
        <v>0</v>
      </c>
      <c r="J1634" s="200"/>
      <c r="K1634" s="2043">
        <v>0</v>
      </c>
      <c r="N1634" s="1133"/>
      <c r="O1634" s="1146"/>
    </row>
    <row r="1635" spans="1:27" ht="15.6" hidden="1" customHeight="1" x14ac:dyDescent="0.25">
      <c r="B1635" s="48" t="s">
        <v>870</v>
      </c>
      <c r="I1635" s="2043">
        <v>0</v>
      </c>
      <c r="J1635" s="200"/>
      <c r="K1635" s="2043">
        <v>0</v>
      </c>
      <c r="N1635" s="1133"/>
      <c r="O1635" s="1146"/>
    </row>
    <row r="1636" spans="1:27" ht="15.6" hidden="1" customHeight="1" x14ac:dyDescent="0.25">
      <c r="B1636" s="48" t="s">
        <v>871</v>
      </c>
      <c r="I1636" s="2043">
        <v>0</v>
      </c>
      <c r="J1636" s="200"/>
      <c r="K1636" s="2043">
        <v>0</v>
      </c>
      <c r="N1636" s="1133"/>
      <c r="O1636" s="1146"/>
    </row>
    <row r="1637" spans="1:27" ht="15.6" hidden="1" customHeight="1" x14ac:dyDescent="0.25">
      <c r="I1637" s="58"/>
      <c r="J1637" s="200"/>
      <c r="K1637" s="58"/>
      <c r="N1637" s="1133"/>
      <c r="O1637" s="1146"/>
    </row>
    <row r="1638" spans="1:27" ht="15.6" hidden="1" customHeight="1" thickBot="1" x14ac:dyDescent="0.3">
      <c r="B1638" s="50" t="str">
        <f>"Total Post-retirement Benefit included in Employee Related Costs  (Note "&amp;'AFS Structure'!C62&amp;")"</f>
        <v>Total Post-retirement Benefit included in Employee Related Costs  (Note 39)</v>
      </c>
      <c r="I1638" s="204">
        <f>SUM(I1629:I1637)</f>
        <v>0</v>
      </c>
      <c r="J1638" s="200"/>
      <c r="K1638" s="204">
        <f>SUM(K1629:K1637)</f>
        <v>0</v>
      </c>
      <c r="M1638" s="1256" t="s">
        <v>2342</v>
      </c>
      <c r="N1638" s="1133"/>
      <c r="O1638" s="1146"/>
    </row>
    <row r="1639" spans="1:27" ht="15.6" hidden="1" customHeight="1" thickTop="1" x14ac:dyDescent="0.25">
      <c r="I1639" s="217">
        <f>I1638-I1533</f>
        <v>0</v>
      </c>
      <c r="J1639" s="200"/>
      <c r="K1639" s="217">
        <f>K1638-K1533</f>
        <v>0</v>
      </c>
      <c r="N1639" s="1133"/>
      <c r="O1639" s="1146"/>
    </row>
    <row r="1640" spans="1:27" ht="30.95" hidden="1" customHeight="1" x14ac:dyDescent="0.25">
      <c r="A1640" s="201"/>
      <c r="B1640" s="2878" t="s">
        <v>882</v>
      </c>
      <c r="C1640" s="2878"/>
      <c r="D1640" s="2878"/>
      <c r="E1640" s="2878"/>
      <c r="F1640" s="2878"/>
      <c r="G1640" s="2878"/>
      <c r="H1640" s="201"/>
      <c r="I1640" s="58"/>
      <c r="K1640" s="58"/>
      <c r="L1640" s="201"/>
      <c r="M1640" s="1213" t="s">
        <v>2343</v>
      </c>
      <c r="N1640" s="1133"/>
      <c r="O1640" s="1146"/>
      <c r="Y1640" s="50"/>
      <c r="Z1640" s="50"/>
      <c r="AA1640" s="50"/>
    </row>
    <row r="1641" spans="1:27" s="50" customFormat="1" ht="15.6" hidden="1" customHeight="1" x14ac:dyDescent="0.25">
      <c r="D1641" s="219"/>
      <c r="E1641" s="2882" t="s">
        <v>883</v>
      </c>
      <c r="F1641" s="2882"/>
      <c r="G1641" s="2882"/>
      <c r="H1641" s="219"/>
      <c r="I1641" s="2882" t="s">
        <v>884</v>
      </c>
      <c r="J1641" s="2882"/>
      <c r="K1641" s="2882"/>
      <c r="L1641" s="225"/>
      <c r="M1641" s="234"/>
      <c r="N1641" s="235"/>
      <c r="O1641" s="854"/>
      <c r="P1641" s="1113"/>
      <c r="Q1641" s="1114"/>
      <c r="R1641" s="1114"/>
      <c r="S1641" s="1114"/>
      <c r="T1641" s="1114"/>
      <c r="U1641" s="316"/>
      <c r="V1641" s="1133"/>
      <c r="W1641" s="1114"/>
      <c r="X1641" s="48"/>
      <c r="Y1641" s="48"/>
      <c r="Z1641" s="48"/>
      <c r="AA1641" s="48"/>
    </row>
    <row r="1642" spans="1:27" ht="15.6" hidden="1" customHeight="1" x14ac:dyDescent="0.25">
      <c r="C1642" s="1647"/>
      <c r="E1642" s="1245">
        <f>Parameters!C17</f>
        <v>2012</v>
      </c>
      <c r="F1642" s="49"/>
      <c r="G1642" s="1245">
        <f>Parameters!C19</f>
        <v>2011</v>
      </c>
      <c r="I1642" s="1245">
        <f>Parameters!C17</f>
        <v>2012</v>
      </c>
      <c r="J1642" s="2150"/>
      <c r="K1642" s="1245">
        <f>Parameters!C19</f>
        <v>2011</v>
      </c>
      <c r="L1642" s="207"/>
      <c r="M1642" s="1133"/>
      <c r="N1642" s="1147"/>
      <c r="O1642" s="1596"/>
      <c r="P1642" s="48"/>
      <c r="Q1642" s="48"/>
      <c r="R1642" s="48"/>
      <c r="S1642" s="48"/>
      <c r="T1642" s="48"/>
      <c r="U1642" s="48"/>
      <c r="V1642" s="48"/>
      <c r="W1642" s="48"/>
    </row>
    <row r="1643" spans="1:27" ht="15.6" hidden="1" customHeight="1" x14ac:dyDescent="0.25">
      <c r="C1643" s="237"/>
      <c r="D1643" s="238"/>
      <c r="E1643" s="237" t="s">
        <v>218</v>
      </c>
      <c r="G1643" s="237" t="s">
        <v>218</v>
      </c>
      <c r="H1643" s="238"/>
      <c r="I1643" s="237" t="s">
        <v>255</v>
      </c>
      <c r="J1643" s="206"/>
      <c r="K1643" s="237" t="s">
        <v>255</v>
      </c>
      <c r="L1643" s="207"/>
      <c r="M1643" s="1133"/>
      <c r="N1643" s="1147"/>
      <c r="O1643" s="1596"/>
      <c r="P1643" s="48"/>
      <c r="Q1643" s="48"/>
      <c r="R1643" s="48"/>
      <c r="S1643" s="48"/>
      <c r="T1643" s="48"/>
      <c r="U1643" s="48"/>
      <c r="V1643" s="48"/>
      <c r="W1643" s="48"/>
    </row>
    <row r="1644" spans="1:27" ht="15.6" hidden="1" customHeight="1" x14ac:dyDescent="0.25">
      <c r="B1644" s="48" t="s">
        <v>885</v>
      </c>
      <c r="E1644" s="2163">
        <v>0</v>
      </c>
      <c r="G1644" s="2163">
        <v>0</v>
      </c>
      <c r="I1644" s="2043">
        <f>K1649</f>
        <v>0</v>
      </c>
      <c r="J1644" s="200"/>
      <c r="K1644" s="2043">
        <v>0</v>
      </c>
      <c r="N1644" s="1133"/>
      <c r="O1644" s="1146"/>
      <c r="P1644" s="48"/>
      <c r="Q1644" s="48"/>
      <c r="R1644" s="48"/>
      <c r="S1644" s="48"/>
      <c r="T1644" s="48"/>
      <c r="U1644" s="48"/>
      <c r="V1644" s="48"/>
      <c r="W1644" s="48"/>
    </row>
    <row r="1645" spans="1:27" ht="15.6" hidden="1" customHeight="1" x14ac:dyDescent="0.25">
      <c r="B1645" s="48" t="s">
        <v>886</v>
      </c>
      <c r="E1645" s="2163">
        <v>0</v>
      </c>
      <c r="G1645" s="2163">
        <v>0</v>
      </c>
      <c r="I1645" s="2043">
        <v>0</v>
      </c>
      <c r="J1645" s="200"/>
      <c r="K1645" s="2043">
        <v>0</v>
      </c>
      <c r="N1645" s="1133"/>
      <c r="O1645" s="1146"/>
      <c r="P1645" s="48"/>
      <c r="Q1645" s="48"/>
      <c r="R1645" s="48"/>
      <c r="S1645" s="48"/>
      <c r="T1645" s="48"/>
      <c r="U1645" s="48"/>
      <c r="V1645" s="48"/>
      <c r="W1645" s="48"/>
    </row>
    <row r="1646" spans="1:27" ht="15.6" hidden="1" customHeight="1" x14ac:dyDescent="0.25">
      <c r="B1646" s="48" t="s">
        <v>887</v>
      </c>
      <c r="E1646" s="2163">
        <v>0</v>
      </c>
      <c r="G1646" s="2163">
        <v>0</v>
      </c>
      <c r="I1646" s="2043">
        <v>0</v>
      </c>
      <c r="J1646" s="200"/>
      <c r="K1646" s="2043">
        <v>0</v>
      </c>
      <c r="N1646" s="1133"/>
      <c r="O1646" s="1146"/>
      <c r="P1646" s="48"/>
      <c r="Q1646" s="48"/>
      <c r="R1646" s="48"/>
      <c r="S1646" s="48"/>
      <c r="T1646" s="48"/>
      <c r="U1646" s="48"/>
      <c r="V1646" s="48"/>
      <c r="W1646" s="48"/>
    </row>
    <row r="1647" spans="1:27" ht="15.6" hidden="1" customHeight="1" x14ac:dyDescent="0.25">
      <c r="B1647" s="48" t="s">
        <v>888</v>
      </c>
      <c r="E1647" s="2163">
        <v>0</v>
      </c>
      <c r="G1647" s="2163">
        <v>0</v>
      </c>
      <c r="I1647" s="2043">
        <v>0</v>
      </c>
      <c r="J1647" s="200"/>
      <c r="K1647" s="2043">
        <v>0</v>
      </c>
      <c r="N1647" s="1133"/>
      <c r="O1647" s="1146"/>
      <c r="P1647" s="48"/>
      <c r="Q1647" s="48"/>
      <c r="R1647" s="48"/>
      <c r="S1647" s="48"/>
      <c r="T1647" s="48"/>
      <c r="U1647" s="48"/>
      <c r="V1647" s="48"/>
      <c r="W1647" s="48"/>
    </row>
    <row r="1648" spans="1:27" ht="15.6" hidden="1" customHeight="1" x14ac:dyDescent="0.25">
      <c r="E1648" s="996"/>
      <c r="G1648" s="996"/>
      <c r="I1648" s="58"/>
      <c r="J1648" s="200"/>
      <c r="K1648" s="58"/>
      <c r="N1648" s="1133"/>
      <c r="O1648" s="1146"/>
      <c r="P1648" s="48"/>
      <c r="Q1648" s="48"/>
      <c r="R1648" s="48"/>
      <c r="S1648" s="48"/>
      <c r="T1648" s="48"/>
      <c r="U1648" s="48"/>
      <c r="V1648" s="48"/>
      <c r="W1648" s="48"/>
    </row>
    <row r="1649" spans="1:23" ht="15.6" hidden="1" customHeight="1" thickBot="1" x14ac:dyDescent="0.3">
      <c r="B1649" s="50" t="s">
        <v>889</v>
      </c>
      <c r="E1649" s="204">
        <f>AVERAGE(E1644:E1648)</f>
        <v>0</v>
      </c>
      <c r="F1649" s="200"/>
      <c r="G1649" s="204">
        <f>AVERAGE(G1644:G1648)</f>
        <v>0</v>
      </c>
      <c r="I1649" s="204">
        <f>AVERAGE(I1644:I1648)</f>
        <v>0</v>
      </c>
      <c r="J1649" s="200"/>
      <c r="K1649" s="204">
        <f>AVERAGE(K1644:K1648)</f>
        <v>0</v>
      </c>
      <c r="N1649" s="1133"/>
      <c r="O1649" s="1146"/>
      <c r="P1649" s="48"/>
      <c r="Q1649" s="48"/>
      <c r="R1649" s="48"/>
      <c r="S1649" s="48"/>
      <c r="T1649" s="48"/>
      <c r="U1649" s="48"/>
      <c r="V1649" s="48"/>
      <c r="W1649" s="48"/>
    </row>
    <row r="1650" spans="1:23" ht="15.6" hidden="1" customHeight="1" thickTop="1" x14ac:dyDescent="0.25">
      <c r="I1650" s="217"/>
      <c r="J1650" s="200"/>
      <c r="K1650" s="217"/>
      <c r="N1650" s="1133"/>
      <c r="O1650" s="1146"/>
      <c r="P1650" s="48"/>
      <c r="Q1650" s="48"/>
      <c r="R1650" s="48"/>
      <c r="S1650" s="48"/>
      <c r="T1650" s="48"/>
      <c r="U1650" s="48"/>
      <c r="V1650" s="48"/>
      <c r="W1650" s="48"/>
    </row>
    <row r="1651" spans="1:23" ht="46.5" hidden="1" customHeight="1" x14ac:dyDescent="0.2">
      <c r="A1651" s="201"/>
      <c r="B1651" s="2861" t="s">
        <v>890</v>
      </c>
      <c r="C1651" s="2861"/>
      <c r="D1651" s="2861"/>
      <c r="E1651" s="2861"/>
      <c r="F1651" s="2861"/>
      <c r="G1651" s="2861"/>
      <c r="H1651" s="2861"/>
      <c r="I1651" s="2861"/>
      <c r="J1651" s="2861"/>
      <c r="K1651" s="2861"/>
      <c r="L1651" s="201"/>
      <c r="M1651" s="1213" t="s">
        <v>891</v>
      </c>
      <c r="N1651" s="1133"/>
      <c r="O1651" s="1146"/>
      <c r="P1651" s="48"/>
      <c r="Q1651" s="48"/>
      <c r="R1651" s="48"/>
      <c r="S1651" s="48"/>
      <c r="T1651" s="48"/>
      <c r="U1651" s="48"/>
      <c r="V1651" s="48"/>
      <c r="W1651" s="48"/>
    </row>
    <row r="1652" spans="1:23" ht="15.6" hidden="1" customHeight="1" x14ac:dyDescent="0.2">
      <c r="A1652" s="201"/>
      <c r="B1652" s="201"/>
      <c r="C1652" s="201"/>
      <c r="D1652" s="201"/>
      <c r="E1652" s="201"/>
      <c r="F1652" s="201"/>
      <c r="G1652" s="201"/>
      <c r="H1652" s="201"/>
      <c r="I1652" s="58"/>
      <c r="K1652" s="58"/>
      <c r="L1652" s="201"/>
      <c r="N1652" s="1133"/>
      <c r="O1652" s="1146"/>
      <c r="P1652" s="48"/>
      <c r="Q1652" s="48"/>
      <c r="R1652" s="48"/>
      <c r="S1652" s="48"/>
      <c r="T1652" s="48"/>
      <c r="U1652" s="48"/>
      <c r="V1652" s="48"/>
      <c r="W1652" s="48"/>
    </row>
    <row r="1653" spans="1:23" ht="15.6" hidden="1" customHeight="1" x14ac:dyDescent="0.2">
      <c r="B1653" s="2840" t="s">
        <v>892</v>
      </c>
      <c r="C1653" s="2840"/>
      <c r="D1653" s="2840"/>
      <c r="E1653" s="2840"/>
      <c r="F1653" s="2840"/>
      <c r="G1653" s="2840"/>
      <c r="H1653" s="2840"/>
      <c r="I1653" s="2840"/>
      <c r="J1653" s="2840"/>
      <c r="K1653" s="2840"/>
      <c r="M1653" s="1256" t="s">
        <v>2344</v>
      </c>
      <c r="N1653" s="1147"/>
      <c r="O1653" s="1596"/>
      <c r="P1653" s="48"/>
      <c r="Q1653" s="48"/>
      <c r="R1653" s="48"/>
      <c r="S1653" s="48"/>
      <c r="T1653" s="48"/>
      <c r="U1653" s="48"/>
      <c r="V1653" s="48"/>
      <c r="W1653" s="48"/>
    </row>
    <row r="1654" spans="1:23" ht="15.6" hidden="1" customHeight="1" x14ac:dyDescent="0.25">
      <c r="I1654" s="200"/>
      <c r="J1654" s="200"/>
      <c r="K1654" s="200"/>
      <c r="L1654" s="210"/>
      <c r="M1654" s="1133"/>
      <c r="N1654" s="1147"/>
      <c r="O1654" s="1596"/>
      <c r="P1654" s="48"/>
      <c r="Q1654" s="48"/>
      <c r="R1654" s="48"/>
      <c r="S1654" s="48"/>
      <c r="T1654" s="48"/>
      <c r="U1654" s="48"/>
      <c r="V1654" s="48"/>
      <c r="W1654" s="48"/>
    </row>
    <row r="1655" spans="1:23" ht="30.95" hidden="1" customHeight="1" x14ac:dyDescent="0.2">
      <c r="A1655" s="201"/>
      <c r="B1655" s="2879" t="s">
        <v>893</v>
      </c>
      <c r="C1655" s="2879"/>
      <c r="D1655" s="2879"/>
      <c r="E1655" s="2879"/>
      <c r="F1655" s="2879"/>
      <c r="G1655" s="2879"/>
      <c r="H1655" s="2879"/>
      <c r="I1655" s="2879"/>
      <c r="J1655" s="2879"/>
      <c r="K1655" s="2879"/>
      <c r="L1655" s="201"/>
      <c r="M1655" s="1213" t="s">
        <v>2345</v>
      </c>
      <c r="N1655" s="1133"/>
      <c r="O1655" s="1596"/>
      <c r="P1655" s="48"/>
      <c r="Q1655" s="48"/>
      <c r="R1655" s="48"/>
      <c r="S1655" s="48"/>
      <c r="T1655" s="48"/>
      <c r="U1655" s="48"/>
      <c r="V1655" s="48"/>
      <c r="W1655" s="48"/>
    </row>
    <row r="1656" spans="1:23" ht="15.6" hidden="1" customHeight="1" x14ac:dyDescent="0.2">
      <c r="A1656" s="201"/>
      <c r="B1656" s="201"/>
      <c r="C1656" s="201"/>
      <c r="D1656" s="201"/>
      <c r="E1656" s="201"/>
      <c r="F1656" s="201"/>
      <c r="G1656" s="201"/>
      <c r="H1656" s="201"/>
      <c r="I1656" s="58"/>
      <c r="K1656" s="58"/>
      <c r="L1656" s="201"/>
      <c r="N1656" s="1133"/>
      <c r="O1656" s="1596"/>
      <c r="P1656" s="48"/>
      <c r="Q1656" s="48"/>
      <c r="R1656" s="48"/>
      <c r="S1656" s="48"/>
      <c r="T1656" s="48"/>
      <c r="U1656" s="48"/>
      <c r="V1656" s="48"/>
      <c r="W1656" s="48"/>
    </row>
    <row r="1657" spans="1:23" ht="15.6" hidden="1" customHeight="1" x14ac:dyDescent="0.2">
      <c r="B1657" s="2939" t="s">
        <v>894</v>
      </c>
      <c r="C1657" s="2939"/>
      <c r="D1657" s="2939"/>
      <c r="E1657" s="2939"/>
      <c r="F1657" s="2939"/>
      <c r="G1657" s="2939"/>
      <c r="H1657" s="56"/>
      <c r="I1657" s="56"/>
      <c r="J1657" s="56"/>
      <c r="K1657" s="56"/>
      <c r="M1657" s="1256" t="s">
        <v>2346</v>
      </c>
      <c r="N1657" s="1147"/>
      <c r="O1657" s="1596"/>
      <c r="P1657" s="48"/>
      <c r="Q1657" s="48"/>
      <c r="R1657" s="48"/>
      <c r="S1657" s="48"/>
      <c r="T1657" s="48"/>
      <c r="U1657" s="48"/>
      <c r="V1657" s="48"/>
      <c r="W1657" s="48"/>
    </row>
    <row r="1658" spans="1:23" ht="15.6" hidden="1" customHeight="1" x14ac:dyDescent="0.25">
      <c r="C1658" s="1245">
        <f>Parameters!C17</f>
        <v>2012</v>
      </c>
      <c r="D1658" s="49"/>
      <c r="E1658" s="1245">
        <f>Parameters!C19</f>
        <v>2011</v>
      </c>
      <c r="F1658" s="49"/>
      <c r="G1658" s="1245">
        <f>Parameters!C21</f>
        <v>2010</v>
      </c>
      <c r="I1658" s="1245">
        <f>G1658-1</f>
        <v>2009</v>
      </c>
      <c r="J1658" s="206"/>
      <c r="K1658" s="1536">
        <f>I1658-1</f>
        <v>2008</v>
      </c>
      <c r="L1658" s="207"/>
      <c r="M1658" s="1133"/>
      <c r="N1658" s="1147"/>
      <c r="O1658" s="1596"/>
      <c r="P1658" s="48"/>
      <c r="Q1658" s="48"/>
      <c r="R1658" s="48"/>
      <c r="S1658" s="48"/>
      <c r="T1658" s="48"/>
      <c r="U1658" s="48"/>
      <c r="V1658" s="48"/>
      <c r="W1658" s="48"/>
    </row>
    <row r="1659" spans="1:23" ht="15.6" hidden="1" customHeight="1" x14ac:dyDescent="0.25">
      <c r="C1659" s="237" t="s">
        <v>255</v>
      </c>
      <c r="D1659" s="238"/>
      <c r="E1659" s="237" t="s">
        <v>255</v>
      </c>
      <c r="G1659" s="237" t="s">
        <v>255</v>
      </c>
      <c r="H1659" s="238"/>
      <c r="I1659" s="237" t="s">
        <v>255</v>
      </c>
      <c r="J1659" s="206"/>
      <c r="K1659" s="237" t="s">
        <v>255</v>
      </c>
      <c r="L1659" s="207"/>
      <c r="M1659" s="1133"/>
      <c r="N1659" s="1147"/>
      <c r="O1659" s="1596"/>
      <c r="P1659" s="48"/>
      <c r="Q1659" s="48"/>
      <c r="R1659" s="48"/>
      <c r="S1659" s="48"/>
      <c r="T1659" s="48"/>
      <c r="U1659" s="48"/>
      <c r="V1659" s="48"/>
      <c r="W1659" s="48"/>
    </row>
    <row r="1660" spans="1:23" ht="15.6" hidden="1" customHeight="1" x14ac:dyDescent="0.2">
      <c r="I1660" s="206"/>
      <c r="J1660" s="206"/>
      <c r="K1660" s="206"/>
      <c r="L1660" s="207"/>
      <c r="M1660" s="1133"/>
      <c r="N1660" s="1147"/>
      <c r="O1660" s="1596"/>
      <c r="P1660" s="48"/>
      <c r="Q1660" s="48"/>
      <c r="R1660" s="48"/>
      <c r="S1660" s="48"/>
      <c r="T1660" s="48"/>
      <c r="U1660" s="48"/>
      <c r="V1660" s="48"/>
      <c r="W1660" s="48"/>
    </row>
    <row r="1661" spans="1:23" ht="30.95" hidden="1" customHeight="1" x14ac:dyDescent="0.2">
      <c r="B1661" s="1248" t="s">
        <v>895</v>
      </c>
      <c r="C1661" s="2060">
        <f>I1595</f>
        <v>0</v>
      </c>
      <c r="E1661" s="2060">
        <f>K1595</f>
        <v>0</v>
      </c>
      <c r="G1661" s="2060">
        <f>K1585</f>
        <v>0</v>
      </c>
      <c r="I1661" s="2078">
        <v>0</v>
      </c>
      <c r="J1661" s="206"/>
      <c r="K1661" s="2078">
        <v>0</v>
      </c>
      <c r="L1661" s="207"/>
      <c r="M1661" s="1133"/>
      <c r="N1661" s="1147"/>
      <c r="O1661" s="1596"/>
      <c r="P1661" s="48"/>
      <c r="Q1661" s="48"/>
      <c r="R1661" s="48"/>
      <c r="S1661" s="48"/>
      <c r="T1661" s="48"/>
      <c r="U1661" s="48"/>
      <c r="V1661" s="48"/>
      <c r="W1661" s="48"/>
    </row>
    <row r="1662" spans="1:23" ht="15.6" hidden="1" customHeight="1" x14ac:dyDescent="0.2">
      <c r="B1662" s="48" t="s">
        <v>884</v>
      </c>
      <c r="C1662" s="2060">
        <v>0</v>
      </c>
      <c r="E1662" s="2060">
        <v>0</v>
      </c>
      <c r="G1662" s="2060">
        <v>0</v>
      </c>
      <c r="I1662" s="2078">
        <v>0</v>
      </c>
      <c r="J1662" s="206"/>
      <c r="K1662" s="2078">
        <v>0</v>
      </c>
      <c r="L1662" s="207"/>
      <c r="M1662" s="1133"/>
      <c r="N1662" s="1147"/>
      <c r="O1662" s="1596"/>
      <c r="P1662" s="48"/>
      <c r="Q1662" s="48"/>
      <c r="R1662" s="48"/>
      <c r="S1662" s="48"/>
      <c r="T1662" s="48"/>
      <c r="U1662" s="48"/>
      <c r="V1662" s="48"/>
      <c r="W1662" s="48"/>
    </row>
    <row r="1663" spans="1:23" ht="15.6" hidden="1" customHeight="1" x14ac:dyDescent="0.2">
      <c r="C1663" s="199"/>
      <c r="E1663" s="199"/>
      <c r="G1663" s="206"/>
      <c r="I1663" s="206"/>
      <c r="J1663" s="206"/>
      <c r="K1663" s="206"/>
      <c r="L1663" s="207"/>
      <c r="M1663" s="1133"/>
      <c r="N1663" s="1147"/>
      <c r="O1663" s="1596"/>
      <c r="P1663" s="48"/>
      <c r="Q1663" s="48"/>
      <c r="R1663" s="48"/>
      <c r="S1663" s="48"/>
      <c r="T1663" s="48"/>
      <c r="U1663" s="48"/>
      <c r="V1663" s="48"/>
      <c r="W1663" s="48"/>
    </row>
    <row r="1664" spans="1:23" ht="15.6" hidden="1" customHeight="1" thickBot="1" x14ac:dyDescent="0.3">
      <c r="B1664" s="50" t="s">
        <v>858</v>
      </c>
      <c r="C1664" s="202">
        <f>SUM(C1661:C1663)</f>
        <v>0</v>
      </c>
      <c r="D1664" s="219"/>
      <c r="E1664" s="202">
        <f>SUM(E1661:E1663)</f>
        <v>0</v>
      </c>
      <c r="F1664" s="219"/>
      <c r="G1664" s="202">
        <f>SUM(G1661:G1663)</f>
        <v>0</v>
      </c>
      <c r="H1664" s="219"/>
      <c r="I1664" s="202">
        <f>SUM(I1661:I1663)</f>
        <v>0</v>
      </c>
      <c r="J1664" s="666"/>
      <c r="K1664" s="202">
        <f>SUM(K1661:K1663)</f>
        <v>0</v>
      </c>
      <c r="L1664" s="207"/>
      <c r="M1664" s="1133"/>
      <c r="N1664" s="1147"/>
      <c r="O1664" s="1596"/>
      <c r="P1664" s="48"/>
      <c r="Q1664" s="48"/>
      <c r="R1664" s="48"/>
      <c r="S1664" s="48"/>
      <c r="T1664" s="48"/>
      <c r="U1664" s="48"/>
      <c r="V1664" s="48"/>
      <c r="W1664" s="48"/>
    </row>
    <row r="1665" spans="1:23" ht="15.6" hidden="1" customHeight="1" thickTop="1" x14ac:dyDescent="0.2">
      <c r="C1665" s="199"/>
      <c r="E1665" s="199"/>
      <c r="G1665" s="206"/>
      <c r="I1665" s="206"/>
      <c r="J1665" s="206"/>
      <c r="K1665" s="206"/>
      <c r="L1665" s="207"/>
      <c r="M1665" s="1133"/>
      <c r="N1665" s="1147"/>
      <c r="O1665" s="1596"/>
      <c r="P1665" s="48"/>
      <c r="Q1665" s="48"/>
      <c r="R1665" s="48"/>
      <c r="S1665" s="48"/>
      <c r="T1665" s="48"/>
      <c r="U1665" s="48"/>
      <c r="V1665" s="48"/>
      <c r="W1665" s="48"/>
    </row>
    <row r="1666" spans="1:23" ht="30.95" hidden="1" customHeight="1" x14ac:dyDescent="0.2">
      <c r="B1666" s="1248" t="s">
        <v>896</v>
      </c>
      <c r="C1666" s="2060">
        <v>0</v>
      </c>
      <c r="E1666" s="2060">
        <v>0</v>
      </c>
      <c r="G1666" s="2078">
        <v>0</v>
      </c>
      <c r="I1666" s="2078">
        <v>0</v>
      </c>
      <c r="J1666" s="206"/>
      <c r="K1666" s="2078">
        <v>0</v>
      </c>
      <c r="L1666" s="207"/>
      <c r="M1666" s="1133"/>
      <c r="N1666" s="1147"/>
      <c r="O1666" s="1596"/>
      <c r="P1666" s="48"/>
      <c r="Q1666" s="48"/>
      <c r="R1666" s="48"/>
      <c r="S1666" s="48"/>
      <c r="T1666" s="48"/>
      <c r="U1666" s="48"/>
      <c r="V1666" s="48"/>
      <c r="W1666" s="48"/>
    </row>
    <row r="1667" spans="1:23" ht="15.6" hidden="1" customHeight="1" x14ac:dyDescent="0.2">
      <c r="B1667" s="1248" t="s">
        <v>897</v>
      </c>
      <c r="C1667" s="2060">
        <v>0</v>
      </c>
      <c r="E1667" s="2060">
        <v>0</v>
      </c>
      <c r="G1667" s="2078">
        <v>0</v>
      </c>
      <c r="I1667" s="2078">
        <v>0</v>
      </c>
      <c r="J1667" s="206"/>
      <c r="K1667" s="2078">
        <v>0</v>
      </c>
      <c r="L1667" s="207"/>
      <c r="M1667" s="1133"/>
      <c r="N1667" s="1147"/>
      <c r="O1667" s="1596"/>
      <c r="P1667" s="48"/>
      <c r="Q1667" s="48"/>
      <c r="R1667" s="48"/>
      <c r="S1667" s="48"/>
      <c r="T1667" s="48"/>
      <c r="U1667" s="48"/>
      <c r="V1667" s="48"/>
      <c r="W1667" s="48"/>
    </row>
    <row r="1668" spans="1:23" ht="15.6" hidden="1" customHeight="1" x14ac:dyDescent="0.2">
      <c r="I1668" s="206"/>
      <c r="J1668" s="206"/>
      <c r="K1668" s="206"/>
      <c r="L1668" s="207"/>
      <c r="M1668" s="1133"/>
      <c r="N1668" s="1147"/>
      <c r="O1668" s="1596"/>
      <c r="P1668" s="48"/>
      <c r="Q1668" s="48"/>
      <c r="R1668" s="48"/>
      <c r="S1668" s="48"/>
      <c r="T1668" s="48"/>
      <c r="U1668" s="48"/>
      <c r="V1668" s="48"/>
      <c r="W1668" s="48"/>
    </row>
    <row r="1669" spans="1:23" ht="30.95" hidden="1" customHeight="1" x14ac:dyDescent="0.2">
      <c r="A1669" s="201"/>
      <c r="B1669" s="2879" t="s">
        <v>1691</v>
      </c>
      <c r="C1669" s="2879"/>
      <c r="D1669" s="2879"/>
      <c r="E1669" s="2879"/>
      <c r="F1669" s="2879"/>
      <c r="G1669" s="2879"/>
      <c r="H1669" s="2879"/>
      <c r="I1669" s="2879"/>
      <c r="J1669" s="2879"/>
      <c r="K1669" s="2879"/>
      <c r="L1669" s="201"/>
      <c r="N1669" s="1133"/>
      <c r="O1669" s="1596"/>
      <c r="P1669" s="48"/>
      <c r="Q1669" s="48"/>
      <c r="R1669" s="48"/>
      <c r="S1669" s="48"/>
      <c r="T1669" s="48"/>
      <c r="U1669" s="48"/>
      <c r="V1669" s="48"/>
      <c r="W1669" s="48"/>
    </row>
    <row r="1670" spans="1:23" ht="15.6" hidden="1" customHeight="1" x14ac:dyDescent="0.2">
      <c r="I1670" s="206"/>
      <c r="J1670" s="206"/>
      <c r="K1670" s="206"/>
      <c r="L1670" s="207"/>
      <c r="M1670" s="1133"/>
      <c r="N1670" s="1147"/>
      <c r="O1670" s="1596"/>
      <c r="P1670" s="48"/>
      <c r="Q1670" s="48"/>
      <c r="R1670" s="48"/>
      <c r="S1670" s="48"/>
      <c r="T1670" s="48"/>
      <c r="U1670" s="48"/>
      <c r="V1670" s="48"/>
      <c r="W1670" s="48"/>
    </row>
    <row r="1671" spans="1:23" ht="15.6" hidden="1" customHeight="1" x14ac:dyDescent="0.25">
      <c r="A1671" s="50"/>
      <c r="D1671" s="48"/>
      <c r="F1671" s="48"/>
      <c r="H1671" s="49"/>
      <c r="I1671" s="1245">
        <f>Parameters!C17</f>
        <v>2012</v>
      </c>
      <c r="J1671" s="1247"/>
      <c r="K1671" s="1245">
        <f>Parameters!C19</f>
        <v>2011</v>
      </c>
      <c r="L1671" s="49"/>
      <c r="M1671" s="232" t="s">
        <v>803</v>
      </c>
      <c r="N1671" s="1224">
        <f>Parameters!C21</f>
        <v>2010</v>
      </c>
      <c r="O1671" s="1460"/>
      <c r="P1671" s="48"/>
      <c r="Q1671" s="48"/>
      <c r="R1671" s="48"/>
      <c r="S1671" s="48"/>
      <c r="T1671" s="48"/>
      <c r="U1671" s="48"/>
      <c r="V1671" s="48"/>
      <c r="W1671" s="48"/>
    </row>
    <row r="1672" spans="1:23" ht="15.6" hidden="1" customHeight="1" x14ac:dyDescent="0.25">
      <c r="I1672" s="1249" t="s">
        <v>255</v>
      </c>
      <c r="J1672" s="200"/>
      <c r="K1672" s="1249" t="s">
        <v>255</v>
      </c>
      <c r="L1672" s="210"/>
      <c r="M1672" s="1133"/>
      <c r="N1672" s="1147"/>
      <c r="O1672" s="1146"/>
      <c r="P1672" s="48"/>
      <c r="Q1672" s="48"/>
      <c r="R1672" s="48"/>
      <c r="S1672" s="48"/>
      <c r="T1672" s="48"/>
      <c r="U1672" s="48"/>
      <c r="V1672" s="48"/>
      <c r="W1672" s="48"/>
    </row>
    <row r="1673" spans="1:23" ht="15.6" hidden="1" customHeight="1" x14ac:dyDescent="0.2">
      <c r="J1673" s="57"/>
      <c r="M1673" s="1133"/>
      <c r="N1673" s="1147"/>
      <c r="O1673" s="1146"/>
      <c r="P1673" s="48"/>
      <c r="Q1673" s="48"/>
      <c r="R1673" s="48"/>
      <c r="S1673" s="48"/>
      <c r="T1673" s="48"/>
      <c r="U1673" s="48"/>
      <c r="V1673" s="48"/>
      <c r="W1673" s="48"/>
    </row>
    <row r="1674" spans="1:23" ht="15.6" hidden="1" customHeight="1" x14ac:dyDescent="0.2">
      <c r="B1674" s="48" t="s">
        <v>898</v>
      </c>
      <c r="J1674" s="57"/>
      <c r="M1674" s="1217" t="s">
        <v>2347</v>
      </c>
      <c r="N1674" s="1147"/>
      <c r="O1674" s="1146"/>
      <c r="P1674" s="48"/>
      <c r="Q1674" s="48"/>
      <c r="R1674" s="48"/>
      <c r="S1674" s="48"/>
      <c r="T1674" s="48"/>
      <c r="U1674" s="48"/>
      <c r="V1674" s="48"/>
      <c r="W1674" s="48"/>
    </row>
    <row r="1675" spans="1:23" ht="15.6" hidden="1" customHeight="1" x14ac:dyDescent="0.2">
      <c r="J1675" s="57"/>
      <c r="M1675" s="1133"/>
      <c r="N1675" s="1147"/>
      <c r="O1675" s="1146"/>
      <c r="P1675" s="48"/>
      <c r="Q1675" s="48"/>
      <c r="R1675" s="48"/>
      <c r="S1675" s="48"/>
      <c r="T1675" s="48"/>
      <c r="U1675" s="48"/>
      <c r="V1675" s="48"/>
      <c r="W1675" s="48"/>
    </row>
    <row r="1676" spans="1:23" ht="15.6" hidden="1" customHeight="1" x14ac:dyDescent="0.25">
      <c r="B1676" s="50" t="s">
        <v>899</v>
      </c>
      <c r="J1676" s="57"/>
      <c r="M1676" s="1133"/>
      <c r="N1676" s="1147"/>
      <c r="O1676" s="1146"/>
      <c r="P1676" s="48"/>
      <c r="Q1676" s="48"/>
      <c r="R1676" s="48"/>
      <c r="S1676" s="48"/>
      <c r="T1676" s="48"/>
      <c r="U1676" s="48"/>
      <c r="V1676" s="48"/>
      <c r="W1676" s="48"/>
    </row>
    <row r="1677" spans="1:23" ht="15.6" hidden="1" customHeight="1" x14ac:dyDescent="0.25">
      <c r="B1677" s="48" t="s">
        <v>900</v>
      </c>
      <c r="I1677" s="2043">
        <v>0</v>
      </c>
      <c r="J1677" s="200"/>
      <c r="K1677" s="2043">
        <v>0</v>
      </c>
      <c r="M1677" s="1133"/>
      <c r="N1677" s="1147"/>
      <c r="O1677" s="1146"/>
      <c r="P1677" s="48"/>
      <c r="Q1677" s="48"/>
      <c r="R1677" s="48"/>
      <c r="S1677" s="48"/>
      <c r="T1677" s="48"/>
      <c r="U1677" s="48"/>
      <c r="V1677" s="48"/>
      <c r="W1677" s="48"/>
    </row>
    <row r="1678" spans="1:23" ht="15.6" hidden="1" customHeight="1" x14ac:dyDescent="0.25">
      <c r="B1678" s="48" t="s">
        <v>901</v>
      </c>
      <c r="I1678" s="2043">
        <v>0</v>
      </c>
      <c r="J1678" s="200"/>
      <c r="K1678" s="2043">
        <v>0</v>
      </c>
      <c r="M1678" s="1133"/>
      <c r="N1678" s="1147"/>
      <c r="O1678" s="1146"/>
      <c r="P1678" s="48"/>
      <c r="Q1678" s="48"/>
      <c r="R1678" s="48"/>
      <c r="S1678" s="48"/>
      <c r="T1678" s="48"/>
      <c r="U1678" s="48"/>
      <c r="V1678" s="48"/>
      <c r="W1678" s="48"/>
    </row>
    <row r="1679" spans="1:23" ht="15.6" hidden="1" customHeight="1" x14ac:dyDescent="0.2">
      <c r="J1679" s="57"/>
      <c r="M1679" s="1133"/>
      <c r="N1679" s="1147"/>
      <c r="O1679" s="1146"/>
      <c r="P1679" s="48"/>
      <c r="Q1679" s="48"/>
      <c r="R1679" s="48"/>
      <c r="S1679" s="48"/>
      <c r="T1679" s="48"/>
      <c r="U1679" s="48"/>
      <c r="V1679" s="48"/>
      <c r="W1679" s="48"/>
    </row>
    <row r="1680" spans="1:23" ht="15.6" hidden="1" customHeight="1" x14ac:dyDescent="0.25">
      <c r="B1680" s="50" t="s">
        <v>902</v>
      </c>
      <c r="J1680" s="57"/>
      <c r="M1680" s="1133"/>
      <c r="N1680" s="1147"/>
      <c r="O1680" s="1146"/>
      <c r="P1680" s="48"/>
      <c r="Q1680" s="48"/>
      <c r="R1680" s="48"/>
      <c r="S1680" s="48"/>
      <c r="T1680" s="48"/>
      <c r="U1680" s="48"/>
      <c r="V1680" s="48"/>
      <c r="W1680" s="48"/>
    </row>
    <row r="1681" spans="1:27" ht="15.6" hidden="1" customHeight="1" x14ac:dyDescent="0.25">
      <c r="B1681" s="48" t="s">
        <v>900</v>
      </c>
      <c r="I1681" s="2043">
        <v>0</v>
      </c>
      <c r="J1681" s="200"/>
      <c r="K1681" s="2043">
        <v>0</v>
      </c>
      <c r="M1681" s="1133"/>
      <c r="N1681" s="1147"/>
      <c r="O1681" s="1146"/>
      <c r="P1681" s="48"/>
      <c r="Q1681" s="48"/>
      <c r="R1681" s="48"/>
      <c r="S1681" s="48"/>
      <c r="T1681" s="48"/>
      <c r="U1681" s="48"/>
      <c r="V1681" s="48"/>
      <c r="W1681" s="48"/>
    </row>
    <row r="1682" spans="1:27" ht="15.6" hidden="1" customHeight="1" x14ac:dyDescent="0.25">
      <c r="B1682" s="48" t="s">
        <v>901</v>
      </c>
      <c r="I1682" s="2043">
        <v>0</v>
      </c>
      <c r="J1682" s="200"/>
      <c r="K1682" s="2043">
        <v>0</v>
      </c>
      <c r="M1682" s="1133"/>
      <c r="N1682" s="1147"/>
      <c r="O1682" s="1146"/>
      <c r="P1682" s="48"/>
      <c r="Q1682" s="48"/>
      <c r="R1682" s="48"/>
      <c r="S1682" s="48"/>
      <c r="T1682" s="48"/>
      <c r="U1682" s="48"/>
      <c r="V1682" s="48"/>
      <c r="W1682" s="48"/>
    </row>
    <row r="1683" spans="1:27" ht="15.6" hidden="1" customHeight="1" x14ac:dyDescent="0.2">
      <c r="J1683" s="57"/>
      <c r="M1683" s="1133"/>
      <c r="N1683" s="1147"/>
      <c r="O1683" s="1146"/>
      <c r="P1683" s="48"/>
      <c r="Q1683" s="48"/>
      <c r="R1683" s="48"/>
      <c r="S1683" s="48"/>
      <c r="T1683" s="48"/>
      <c r="U1683" s="48"/>
      <c r="V1683" s="48"/>
      <c r="W1683" s="48"/>
    </row>
    <row r="1684" spans="1:27" ht="30.95" hidden="1" customHeight="1" x14ac:dyDescent="0.2">
      <c r="B1684" s="2840" t="s">
        <v>2572</v>
      </c>
      <c r="C1684" s="2840"/>
      <c r="D1684" s="2840"/>
      <c r="E1684" s="2840"/>
      <c r="F1684" s="2840"/>
      <c r="G1684" s="2840"/>
      <c r="J1684" s="57"/>
      <c r="M1684" s="1217" t="s">
        <v>2348</v>
      </c>
      <c r="N1684" s="1147"/>
      <c r="O1684" s="1146"/>
      <c r="P1684" s="48"/>
      <c r="Q1684" s="48"/>
      <c r="R1684" s="48"/>
      <c r="S1684" s="48"/>
      <c r="T1684" s="48"/>
      <c r="U1684" s="48"/>
      <c r="V1684" s="48"/>
      <c r="W1684" s="48"/>
    </row>
    <row r="1685" spans="1:27" ht="15.6" hidden="1" customHeight="1" x14ac:dyDescent="0.2">
      <c r="J1685" s="57"/>
      <c r="M1685" s="1133"/>
      <c r="N1685" s="1147"/>
      <c r="O1685" s="1146"/>
      <c r="P1685" s="48"/>
      <c r="Q1685" s="48"/>
      <c r="R1685" s="48"/>
      <c r="S1685" s="48"/>
      <c r="T1685" s="48"/>
      <c r="U1685" s="48"/>
      <c r="V1685" s="48"/>
      <c r="W1685" s="48"/>
    </row>
    <row r="1686" spans="1:27" ht="77.45" hidden="1" customHeight="1" x14ac:dyDescent="0.2">
      <c r="B1686" s="2840" t="s">
        <v>2063</v>
      </c>
      <c r="C1686" s="2840"/>
      <c r="D1686" s="2840"/>
      <c r="E1686" s="2840"/>
      <c r="F1686" s="2840"/>
      <c r="G1686" s="2840"/>
      <c r="H1686" s="56"/>
      <c r="I1686" s="56"/>
      <c r="J1686" s="56"/>
      <c r="K1686" s="56"/>
      <c r="M1686" s="1482"/>
      <c r="N1686" s="1147"/>
      <c r="O1686" s="1596"/>
      <c r="P1686" s="48"/>
      <c r="Q1686" s="48"/>
      <c r="R1686" s="48"/>
      <c r="S1686" s="48"/>
      <c r="T1686" s="48"/>
      <c r="U1686" s="48"/>
      <c r="V1686" s="48"/>
      <c r="W1686" s="48"/>
    </row>
    <row r="1687" spans="1:27" ht="15.6" hidden="1" customHeight="1" x14ac:dyDescent="0.2">
      <c r="I1687" s="206"/>
      <c r="J1687" s="206"/>
      <c r="K1687" s="206"/>
      <c r="L1687" s="207"/>
      <c r="M1687" s="1133"/>
      <c r="N1687" s="1147"/>
      <c r="O1687" s="1596"/>
      <c r="P1687" s="48"/>
      <c r="Q1687" s="48"/>
      <c r="R1687" s="48"/>
      <c r="S1687" s="48"/>
      <c r="T1687" s="48"/>
      <c r="U1687" s="48"/>
      <c r="V1687" s="48"/>
      <c r="W1687" s="48"/>
    </row>
    <row r="1688" spans="1:27" ht="46.5" hidden="1" customHeight="1" x14ac:dyDescent="0.2">
      <c r="B1688" s="2840" t="str">
        <f>"Refer to Note "&amp;'AFS Structure'!C85&amp;", ""Multi-employer Retirement Benefit Information"", to the Annual Financial Statements for more information regarding the municipality's other retirement funds that is Provincially and Nationally administered."</f>
        <v>Refer to Note 62, "Multi-employer Retirement Benefit Information", to the Annual Financial Statements for more information regarding the municipality's other retirement funds that is Provincially and Nationally administered.</v>
      </c>
      <c r="C1688" s="2840"/>
      <c r="D1688" s="2840"/>
      <c r="E1688" s="2840"/>
      <c r="F1688" s="2840"/>
      <c r="G1688" s="2840"/>
      <c r="H1688" s="56"/>
      <c r="I1688" s="56"/>
      <c r="J1688" s="56"/>
      <c r="K1688" s="56"/>
      <c r="M1688" s="1482"/>
      <c r="N1688" s="1147"/>
      <c r="O1688" s="1596"/>
      <c r="P1688" s="48"/>
      <c r="Q1688" s="48"/>
      <c r="R1688" s="48"/>
      <c r="S1688" s="48"/>
      <c r="T1688" s="48"/>
      <c r="U1688" s="48"/>
      <c r="V1688" s="48"/>
      <c r="W1688" s="48"/>
    </row>
    <row r="1689" spans="1:27" ht="15.6" hidden="1" customHeight="1" x14ac:dyDescent="0.25">
      <c r="I1689" s="58"/>
      <c r="J1689" s="200"/>
      <c r="K1689" s="58"/>
      <c r="N1689" s="1133"/>
      <c r="O1689" s="1146"/>
      <c r="P1689" s="48"/>
      <c r="Q1689" s="48"/>
      <c r="R1689" s="48"/>
      <c r="S1689" s="48"/>
      <c r="T1689" s="48"/>
      <c r="U1689" s="48"/>
      <c r="V1689" s="48"/>
      <c r="W1689" s="48"/>
    </row>
    <row r="1690" spans="1:27" ht="15.6" hidden="1" customHeight="1" x14ac:dyDescent="0.25">
      <c r="I1690" s="200"/>
      <c r="J1690" s="200"/>
      <c r="K1690" s="200"/>
      <c r="L1690" s="210"/>
      <c r="M1690" s="1133"/>
      <c r="N1690" s="1147"/>
      <c r="O1690" s="1592"/>
      <c r="Y1690" s="50"/>
      <c r="Z1690" s="50"/>
      <c r="AA1690" s="50"/>
    </row>
    <row r="1691" spans="1:27" s="50" customFormat="1" ht="15.6" customHeight="1" x14ac:dyDescent="0.25">
      <c r="A1691" s="211">
        <v>18</v>
      </c>
      <c r="B1691" s="50" t="s">
        <v>277</v>
      </c>
      <c r="D1691" s="219"/>
      <c r="F1691" s="219"/>
      <c r="G1691" s="219"/>
      <c r="H1691" s="219"/>
      <c r="I1691" s="220"/>
      <c r="J1691" s="220"/>
      <c r="K1691" s="220"/>
      <c r="L1691" s="210"/>
      <c r="M1691" s="234"/>
      <c r="N1691" s="235"/>
      <c r="O1691" s="1460"/>
      <c r="P1691" s="1113"/>
      <c r="Q1691" s="1114"/>
      <c r="R1691" s="1114"/>
      <c r="S1691" s="1114"/>
      <c r="T1691" s="1114"/>
      <c r="U1691" s="316"/>
      <c r="V1691" s="1133"/>
      <c r="W1691" s="1114" t="s">
        <v>3520</v>
      </c>
      <c r="X1691" s="48"/>
      <c r="Y1691" s="48"/>
      <c r="Z1691" s="48"/>
      <c r="AA1691" s="48"/>
    </row>
    <row r="1692" spans="1:27" ht="15.6" customHeight="1" x14ac:dyDescent="0.25">
      <c r="I1692" s="206"/>
      <c r="J1692" s="206"/>
      <c r="K1692" s="206"/>
      <c r="L1692" s="210"/>
      <c r="M1692" s="1133"/>
      <c r="N1692" s="1147"/>
      <c r="O1692" s="1592"/>
    </row>
    <row r="1693" spans="1:27" ht="15.6" hidden="1" customHeight="1" x14ac:dyDescent="0.25">
      <c r="B1693" s="48" t="s">
        <v>207</v>
      </c>
      <c r="I1693" s="2078">
        <f>E1718</f>
        <v>0</v>
      </c>
      <c r="J1693" s="206"/>
      <c r="K1693" s="2078">
        <f>E1734</f>
        <v>0</v>
      </c>
      <c r="L1693" s="210"/>
      <c r="M1693" s="1217" t="s">
        <v>1980</v>
      </c>
      <c r="N1693" s="1147">
        <v>0</v>
      </c>
      <c r="O1693" s="1592"/>
      <c r="P1693" s="1110" t="s">
        <v>3628</v>
      </c>
      <c r="Q1693" s="1111" t="s">
        <v>2775</v>
      </c>
    </row>
    <row r="1694" spans="1:27" ht="15.6" hidden="1" customHeight="1" x14ac:dyDescent="0.25">
      <c r="B1694" s="48" t="s">
        <v>208</v>
      </c>
      <c r="I1694" s="2078">
        <f>G1718</f>
        <v>0</v>
      </c>
      <c r="J1694" s="206"/>
      <c r="K1694" s="2078">
        <f>G1734</f>
        <v>0</v>
      </c>
      <c r="L1694" s="210"/>
      <c r="M1694" s="1133"/>
      <c r="N1694" s="1147">
        <v>0</v>
      </c>
      <c r="O1694" s="1592"/>
      <c r="P1694" s="1110" t="s">
        <v>3629</v>
      </c>
      <c r="Q1694" s="1111" t="s">
        <v>2775</v>
      </c>
    </row>
    <row r="1695" spans="1:27" ht="15.6" hidden="1" customHeight="1" x14ac:dyDescent="0.25">
      <c r="B1695" s="48" t="s">
        <v>909</v>
      </c>
      <c r="I1695" s="2078">
        <f>I1718</f>
        <v>0</v>
      </c>
      <c r="J1695" s="206"/>
      <c r="K1695" s="2078">
        <f>I1734</f>
        <v>0</v>
      </c>
      <c r="L1695" s="210"/>
      <c r="M1695" s="1133"/>
      <c r="N1695" s="1147">
        <v>0</v>
      </c>
      <c r="O1695" s="1147"/>
      <c r="P1695" s="1110" t="s">
        <v>3630</v>
      </c>
      <c r="Q1695" s="1111" t="s">
        <v>2775</v>
      </c>
    </row>
    <row r="1696" spans="1:27" ht="15.6" customHeight="1" x14ac:dyDescent="0.25">
      <c r="B1696" s="48" t="s">
        <v>209</v>
      </c>
      <c r="I1696" s="206">
        <f>K1718</f>
        <v>17049944.82</v>
      </c>
      <c r="J1696" s="206"/>
      <c r="K1696" s="206">
        <f>K1734</f>
        <v>15563008.82</v>
      </c>
      <c r="L1696" s="210"/>
      <c r="M1696" s="1133"/>
      <c r="N1696" s="1147">
        <v>0</v>
      </c>
      <c r="O1696" s="1147"/>
      <c r="P1696" s="1110" t="s">
        <v>3631</v>
      </c>
      <c r="Q1696" s="1111" t="s">
        <v>2775</v>
      </c>
    </row>
    <row r="1697" spans="2:27" ht="15.6" customHeight="1" x14ac:dyDescent="0.25">
      <c r="I1697" s="221"/>
      <c r="J1697" s="206"/>
      <c r="K1697" s="221"/>
      <c r="L1697" s="210"/>
      <c r="M1697" s="1133"/>
      <c r="N1697" s="1147"/>
      <c r="O1697" s="1592"/>
    </row>
    <row r="1698" spans="2:27" ht="15.6" customHeight="1" thickBot="1" x14ac:dyDescent="0.3">
      <c r="B1698" s="50" t="s">
        <v>57</v>
      </c>
      <c r="C1698" s="50"/>
      <c r="I1698" s="222">
        <f>SUM(I1693:I1697)</f>
        <v>17049944.82</v>
      </c>
      <c r="J1698" s="200"/>
      <c r="K1698" s="222">
        <f>SUM(K1693:K1697)</f>
        <v>15563008.82</v>
      </c>
      <c r="L1698" s="210"/>
      <c r="M1698" s="1133"/>
      <c r="N1698" s="1487">
        <f>SUM(N1693:N1697)</f>
        <v>0</v>
      </c>
    </row>
    <row r="1699" spans="2:27" ht="15.6" customHeight="1" thickTop="1" x14ac:dyDescent="0.25">
      <c r="I1699" s="217">
        <v>0</v>
      </c>
      <c r="J1699" s="218"/>
      <c r="K1699" s="217">
        <v>0</v>
      </c>
      <c r="L1699" s="210"/>
      <c r="M1699" s="1133"/>
      <c r="N1699" s="1147"/>
      <c r="O1699" s="1592"/>
    </row>
    <row r="1700" spans="2:27" ht="30.95" hidden="1" customHeight="1" x14ac:dyDescent="0.2">
      <c r="B1700" s="2865" t="s">
        <v>7405</v>
      </c>
      <c r="C1700" s="2865"/>
      <c r="D1700" s="2865"/>
      <c r="E1700" s="2865"/>
      <c r="F1700" s="2865"/>
      <c r="G1700" s="2865"/>
      <c r="H1700" s="2865"/>
      <c r="I1700" s="2865"/>
      <c r="J1700" s="2865"/>
      <c r="K1700" s="2865"/>
      <c r="N1700" s="1147"/>
      <c r="O1700" s="1592"/>
    </row>
    <row r="1701" spans="2:27" ht="15.6" hidden="1" customHeight="1" x14ac:dyDescent="0.2">
      <c r="I1701" s="58"/>
      <c r="J1701" s="58"/>
      <c r="K1701" s="58"/>
      <c r="L1701" s="59"/>
      <c r="N1701" s="1471"/>
    </row>
    <row r="1702" spans="2:27" ht="15.6" customHeight="1" x14ac:dyDescent="0.25">
      <c r="B1702" s="50" t="s">
        <v>905</v>
      </c>
      <c r="I1702" s="58"/>
      <c r="J1702" s="58"/>
      <c r="K1702" s="58"/>
      <c r="L1702" s="59"/>
      <c r="M1702" s="1133"/>
      <c r="N1702" s="1147"/>
      <c r="O1702" s="1592"/>
    </row>
    <row r="1703" spans="2:27" ht="15.6" customHeight="1" x14ac:dyDescent="0.25">
      <c r="I1703" s="58"/>
      <c r="J1703" s="58"/>
      <c r="K1703" s="58"/>
      <c r="L1703" s="59"/>
      <c r="M1703" s="1133"/>
      <c r="N1703" s="1147"/>
      <c r="O1703" s="1592"/>
      <c r="Y1703" s="50"/>
      <c r="Z1703" s="50"/>
      <c r="AA1703" s="50"/>
    </row>
    <row r="1704" spans="2:27" s="50" customFormat="1" ht="30.95" customHeight="1" x14ac:dyDescent="0.25">
      <c r="D1704" s="219"/>
      <c r="E1704" s="1571" t="s">
        <v>221</v>
      </c>
      <c r="F1704" s="714"/>
      <c r="G1704" s="1571" t="s">
        <v>222</v>
      </c>
      <c r="H1704" s="219"/>
      <c r="I1704" s="58"/>
      <c r="J1704" s="224"/>
      <c r="K1704" s="223" t="s">
        <v>225</v>
      </c>
      <c r="L1704" s="225"/>
      <c r="M1704" s="234"/>
      <c r="N1704" s="235"/>
      <c r="O1704" s="1460"/>
      <c r="P1704" s="1113"/>
      <c r="Q1704" s="1114"/>
      <c r="R1704" s="1114"/>
      <c r="S1704" s="1114"/>
      <c r="T1704" s="1114"/>
      <c r="U1704" s="316"/>
      <c r="V1704" s="1133"/>
      <c r="W1704" s="1114"/>
      <c r="X1704" s="48"/>
      <c r="Y1704" s="48"/>
      <c r="Z1704" s="48"/>
      <c r="AA1704" s="48"/>
    </row>
    <row r="1705" spans="2:27" ht="15.6" customHeight="1" x14ac:dyDescent="0.25">
      <c r="C1705" s="237"/>
      <c r="D1705" s="238"/>
      <c r="E1705" s="1572" t="s">
        <v>255</v>
      </c>
      <c r="F1705" s="960"/>
      <c r="G1705" s="1572" t="s">
        <v>255</v>
      </c>
      <c r="H1705" s="238"/>
      <c r="I1705" s="58"/>
      <c r="J1705" s="206"/>
      <c r="K1705" s="237" t="s">
        <v>255</v>
      </c>
      <c r="L1705" s="207"/>
      <c r="M1705" s="1133"/>
      <c r="N1705" s="1147"/>
      <c r="O1705" s="1596"/>
    </row>
    <row r="1706" spans="2:27" ht="15.6" customHeight="1" x14ac:dyDescent="0.25">
      <c r="B1706" s="737" t="str">
        <f>Parameters!C11</f>
        <v>30 June 2012</v>
      </c>
      <c r="E1706" s="287"/>
      <c r="F1706" s="960"/>
      <c r="G1706" s="287"/>
      <c r="I1706" s="58"/>
      <c r="J1706" s="58"/>
      <c r="K1706" s="58"/>
      <c r="L1706" s="59"/>
      <c r="M1706" s="1133"/>
      <c r="N1706" s="1147"/>
      <c r="O1706" s="1592"/>
    </row>
    <row r="1707" spans="2:27" ht="15.6" customHeight="1" x14ac:dyDescent="0.25">
      <c r="B1707" s="50"/>
      <c r="E1707" s="287"/>
      <c r="F1707" s="960"/>
      <c r="G1707" s="287"/>
      <c r="I1707" s="58"/>
      <c r="J1707" s="58"/>
      <c r="K1707" s="58"/>
      <c r="L1707" s="59"/>
      <c r="M1707" s="1133"/>
      <c r="N1707" s="1147"/>
      <c r="O1707" s="1592"/>
    </row>
    <row r="1708" spans="2:27" ht="15.6" customHeight="1" x14ac:dyDescent="0.25">
      <c r="B1708" s="48" t="s">
        <v>273</v>
      </c>
      <c r="E1708" s="962">
        <f>E1734</f>
        <v>0</v>
      </c>
      <c r="F1708" s="960"/>
      <c r="G1708" s="962">
        <f>G1734</f>
        <v>0</v>
      </c>
      <c r="I1708" s="58"/>
      <c r="J1708" s="206"/>
      <c r="K1708" s="206">
        <f>K1734</f>
        <v>15563008.82</v>
      </c>
      <c r="L1708" s="210"/>
      <c r="M1708" s="1217" t="s">
        <v>1981</v>
      </c>
      <c r="N1708" s="1147"/>
      <c r="O1708" s="1592"/>
    </row>
    <row r="1709" spans="2:27" ht="15.6" hidden="1" customHeight="1" x14ac:dyDescent="0.25">
      <c r="B1709" s="48" t="s">
        <v>93</v>
      </c>
      <c r="E1709" s="962">
        <v>0</v>
      </c>
      <c r="F1709" s="960"/>
      <c r="G1709" s="962">
        <v>0</v>
      </c>
      <c r="I1709" s="58"/>
      <c r="J1709" s="206"/>
      <c r="K1709" s="206">
        <v>0</v>
      </c>
      <c r="L1709" s="210"/>
      <c r="M1709" s="1147">
        <f>SUM(C1709:K1709)</f>
        <v>0</v>
      </c>
      <c r="N1709" s="1147"/>
      <c r="O1709" s="1592"/>
      <c r="P1709" s="1110" t="s">
        <v>3219</v>
      </c>
      <c r="Q1709" s="1111" t="s">
        <v>2763</v>
      </c>
      <c r="R1709" s="1111" t="s">
        <v>3220</v>
      </c>
      <c r="S1709" s="1111" t="s">
        <v>2763</v>
      </c>
    </row>
    <row r="1710" spans="2:27" ht="15.6" customHeight="1" x14ac:dyDescent="0.25">
      <c r="B1710" s="48" t="s">
        <v>81</v>
      </c>
      <c r="E1710" s="962">
        <v>0</v>
      </c>
      <c r="F1710" s="960"/>
      <c r="G1710" s="962">
        <v>0</v>
      </c>
      <c r="I1710" s="58"/>
      <c r="J1710" s="206"/>
      <c r="K1710" s="206">
        <v>1486936</v>
      </c>
      <c r="L1710" s="210"/>
      <c r="M1710" s="1217" t="s">
        <v>2349</v>
      </c>
      <c r="N1710" s="1147"/>
      <c r="O1710" s="1592"/>
      <c r="P1710" s="1110" t="s">
        <v>3221</v>
      </c>
      <c r="Q1710" s="1111" t="s">
        <v>2763</v>
      </c>
      <c r="R1710" s="1111" t="s">
        <v>3222</v>
      </c>
      <c r="S1710" s="1111" t="s">
        <v>2763</v>
      </c>
    </row>
    <row r="1711" spans="2:27" ht="15.6" hidden="1" customHeight="1" x14ac:dyDescent="0.25">
      <c r="B1711" s="48" t="s">
        <v>278</v>
      </c>
      <c r="E1711" s="962">
        <v>0</v>
      </c>
      <c r="F1711" s="960"/>
      <c r="G1711" s="962">
        <v>0</v>
      </c>
      <c r="I1711" s="58"/>
      <c r="J1711" s="206"/>
      <c r="K1711" s="2078">
        <v>0</v>
      </c>
      <c r="L1711" s="210"/>
      <c r="M1711" s="1147">
        <f>SUM(C1711:K1711)</f>
        <v>0</v>
      </c>
      <c r="N1711" s="1147"/>
      <c r="O1711" s="1592"/>
      <c r="P1711" s="1110" t="s">
        <v>3223</v>
      </c>
      <c r="Q1711" s="1111" t="s">
        <v>2763</v>
      </c>
      <c r="R1711" s="1111" t="s">
        <v>3224</v>
      </c>
      <c r="S1711" s="1111" t="s">
        <v>2763</v>
      </c>
    </row>
    <row r="1712" spans="2:27" ht="15.6" hidden="1" customHeight="1" x14ac:dyDescent="0.25">
      <c r="B1712" s="48" t="s">
        <v>906</v>
      </c>
      <c r="E1712" s="962">
        <v>0</v>
      </c>
      <c r="F1712" s="960"/>
      <c r="G1712" s="962">
        <v>0</v>
      </c>
      <c r="I1712" s="58"/>
      <c r="J1712" s="206"/>
      <c r="K1712" s="2078">
        <v>0</v>
      </c>
      <c r="L1712" s="210"/>
      <c r="M1712" s="1217" t="s">
        <v>1982</v>
      </c>
      <c r="N1712" s="1147"/>
      <c r="O1712" s="1596"/>
    </row>
    <row r="1713" spans="2:27" ht="15.6" customHeight="1" x14ac:dyDescent="0.25">
      <c r="E1713" s="962"/>
      <c r="F1713" s="960"/>
      <c r="G1713" s="962"/>
      <c r="I1713" s="58"/>
      <c r="J1713" s="206"/>
      <c r="K1713" s="221"/>
      <c r="L1713" s="210"/>
      <c r="M1713" s="1133"/>
      <c r="N1713" s="1584"/>
      <c r="O1713" s="1212"/>
    </row>
    <row r="1714" spans="2:27" ht="15.6" customHeight="1" x14ac:dyDescent="0.25">
      <c r="E1714" s="962">
        <f>SUM(E1708:E1712)</f>
        <v>0</v>
      </c>
      <c r="F1714" s="960"/>
      <c r="G1714" s="962">
        <f>SUM(G1708:G1712)</f>
        <v>0</v>
      </c>
      <c r="I1714" s="58"/>
      <c r="J1714" s="206"/>
      <c r="K1714" s="665">
        <f>SUM(K1708:K1712)</f>
        <v>17049944.82</v>
      </c>
      <c r="L1714" s="210"/>
      <c r="M1714" s="1482"/>
      <c r="N1714" s="1147"/>
      <c r="O1714" s="1596"/>
    </row>
    <row r="1715" spans="2:27" ht="15.6" customHeight="1" x14ac:dyDescent="0.25">
      <c r="E1715" s="962"/>
      <c r="F1715" s="960"/>
      <c r="G1715" s="962"/>
      <c r="I1715" s="58"/>
      <c r="J1715" s="206"/>
      <c r="K1715" s="206"/>
      <c r="L1715" s="210"/>
      <c r="M1715" s="1482"/>
      <c r="N1715" s="1147"/>
      <c r="O1715" s="1596"/>
    </row>
    <row r="1716" spans="2:27" ht="15.6" customHeight="1" x14ac:dyDescent="0.25">
      <c r="B1716" s="48" t="s">
        <v>220</v>
      </c>
      <c r="E1716" s="962">
        <v>0</v>
      </c>
      <c r="F1716" s="960"/>
      <c r="G1716" s="962">
        <v>0</v>
      </c>
      <c r="I1716" s="58"/>
      <c r="J1716" s="206"/>
      <c r="K1716" s="206">
        <v>0</v>
      </c>
      <c r="L1716" s="210"/>
      <c r="M1716" s="1133"/>
      <c r="N1716" s="1147"/>
      <c r="O1716" s="1592"/>
      <c r="P1716" s="1110" t="s">
        <v>3225</v>
      </c>
      <c r="Q1716" s="1111" t="s">
        <v>2763</v>
      </c>
      <c r="R1716" s="1111" t="s">
        <v>3226</v>
      </c>
      <c r="S1716" s="1111" t="s">
        <v>2763</v>
      </c>
    </row>
    <row r="1717" spans="2:27" ht="15.6" customHeight="1" x14ac:dyDescent="0.25">
      <c r="E1717" s="962"/>
      <c r="F1717" s="960"/>
      <c r="G1717" s="962"/>
      <c r="I1717" s="58"/>
      <c r="J1717" s="206"/>
      <c r="K1717" s="206"/>
      <c r="L1717" s="210"/>
      <c r="M1717" s="1133"/>
      <c r="N1717" s="1147"/>
      <c r="O1717" s="1592"/>
    </row>
    <row r="1718" spans="2:27" ht="15.6" customHeight="1" thickBot="1" x14ac:dyDescent="0.3">
      <c r="B1718" s="50" t="s">
        <v>274</v>
      </c>
      <c r="E1718" s="1573">
        <f>SUM(E1714:E1717)</f>
        <v>0</v>
      </c>
      <c r="F1718" s="960"/>
      <c r="G1718" s="1573">
        <f>SUM(G1714:G1717)</f>
        <v>0</v>
      </c>
      <c r="I1718" s="58"/>
      <c r="J1718" s="200"/>
      <c r="K1718" s="222">
        <f>SUM(K1714:K1717)</f>
        <v>17049944.82</v>
      </c>
      <c r="L1718" s="210"/>
      <c r="M1718" s="1133"/>
      <c r="N1718" s="1147"/>
      <c r="O1718" s="1592"/>
    </row>
    <row r="1719" spans="2:27" ht="15.6" customHeight="1" thickTop="1" x14ac:dyDescent="0.25">
      <c r="E1719" s="199">
        <v>0</v>
      </c>
      <c r="G1719" s="199">
        <v>0</v>
      </c>
      <c r="I1719" s="58"/>
      <c r="J1719" s="58"/>
      <c r="K1719" s="199">
        <v>0</v>
      </c>
      <c r="L1719" s="59"/>
      <c r="M1719" s="1133"/>
      <c r="N1719" s="1147"/>
      <c r="O1719" s="1592"/>
      <c r="Y1719" s="50"/>
      <c r="Z1719" s="50"/>
      <c r="AA1719" s="50"/>
    </row>
    <row r="1720" spans="2:27" s="50" customFormat="1" ht="30.95" customHeight="1" x14ac:dyDescent="0.25">
      <c r="D1720" s="219"/>
      <c r="E1720" s="1571" t="s">
        <v>221</v>
      </c>
      <c r="F1720" s="714"/>
      <c r="G1720" s="1571" t="s">
        <v>222</v>
      </c>
      <c r="H1720" s="219"/>
      <c r="I1720" s="58"/>
      <c r="J1720" s="224"/>
      <c r="K1720" s="223" t="s">
        <v>225</v>
      </c>
      <c r="L1720" s="225"/>
      <c r="M1720" s="234"/>
      <c r="N1720" s="235"/>
      <c r="O1720" s="1460"/>
      <c r="P1720" s="1113"/>
      <c r="Q1720" s="1114"/>
      <c r="R1720" s="1114"/>
      <c r="S1720" s="1114"/>
      <c r="T1720" s="1114"/>
      <c r="U1720" s="316"/>
      <c r="V1720" s="1133"/>
      <c r="W1720" s="1114"/>
      <c r="X1720" s="48"/>
      <c r="Y1720" s="48"/>
      <c r="Z1720" s="48"/>
      <c r="AA1720" s="48"/>
    </row>
    <row r="1721" spans="2:27" ht="15.6" customHeight="1" x14ac:dyDescent="0.25">
      <c r="C1721" s="237"/>
      <c r="D1721" s="238"/>
      <c r="E1721" s="1572" t="s">
        <v>255</v>
      </c>
      <c r="F1721" s="960"/>
      <c r="G1721" s="1572" t="s">
        <v>255</v>
      </c>
      <c r="H1721" s="238"/>
      <c r="I1721" s="58"/>
      <c r="J1721" s="206"/>
      <c r="K1721" s="237" t="s">
        <v>255</v>
      </c>
      <c r="L1721" s="207"/>
      <c r="M1721" s="1133"/>
      <c r="N1721" s="1147"/>
      <c r="O1721" s="1596"/>
    </row>
    <row r="1722" spans="2:27" ht="15.6" customHeight="1" x14ac:dyDescent="0.25">
      <c r="B1722" s="737" t="str">
        <f>Parameters!C13</f>
        <v>30 June 2011</v>
      </c>
      <c r="E1722" s="287"/>
      <c r="F1722" s="960"/>
      <c r="G1722" s="287"/>
      <c r="I1722" s="58"/>
      <c r="J1722" s="58"/>
      <c r="K1722" s="58"/>
      <c r="L1722" s="59"/>
      <c r="M1722" s="1133"/>
      <c r="N1722" s="1147"/>
      <c r="O1722" s="1592"/>
    </row>
    <row r="1723" spans="2:27" ht="15.6" customHeight="1" x14ac:dyDescent="0.25">
      <c r="B1723" s="50"/>
      <c r="E1723" s="287"/>
      <c r="F1723" s="960"/>
      <c r="G1723" s="287"/>
      <c r="I1723" s="58"/>
      <c r="J1723" s="58"/>
      <c r="K1723" s="58"/>
      <c r="L1723" s="59"/>
      <c r="M1723" s="1133"/>
      <c r="N1723" s="1147"/>
      <c r="O1723" s="1592"/>
    </row>
    <row r="1724" spans="2:27" ht="15.6" customHeight="1" x14ac:dyDescent="0.25">
      <c r="B1724" s="48" t="s">
        <v>273</v>
      </c>
      <c r="E1724" s="962">
        <v>0</v>
      </c>
      <c r="F1724" s="960"/>
      <c r="G1724" s="962">
        <v>0</v>
      </c>
      <c r="I1724" s="58"/>
      <c r="J1724" s="206"/>
      <c r="K1724" s="206">
        <v>14205749</v>
      </c>
      <c r="L1724" s="210"/>
      <c r="M1724" s="1217" t="s">
        <v>1981</v>
      </c>
      <c r="N1724" s="1147"/>
      <c r="O1724" s="1592"/>
      <c r="P1724" s="1110" t="s">
        <v>3217</v>
      </c>
      <c r="Q1724" s="1111" t="s">
        <v>2765</v>
      </c>
      <c r="R1724" s="1111" t="s">
        <v>3218</v>
      </c>
      <c r="S1724" s="1111" t="s">
        <v>2765</v>
      </c>
    </row>
    <row r="1725" spans="2:27" ht="15.6" hidden="1" customHeight="1" x14ac:dyDescent="0.25">
      <c r="B1725" s="48" t="s">
        <v>93</v>
      </c>
      <c r="E1725" s="962">
        <v>0</v>
      </c>
      <c r="F1725" s="960"/>
      <c r="G1725" s="962">
        <v>0</v>
      </c>
      <c r="I1725" s="58"/>
      <c r="J1725" s="206"/>
      <c r="K1725" s="206">
        <v>0</v>
      </c>
      <c r="L1725" s="210"/>
      <c r="M1725" s="1147">
        <f>SUM(C1725:K1725)</f>
        <v>0</v>
      </c>
      <c r="N1725" s="1147"/>
      <c r="O1725" s="1592"/>
      <c r="P1725" s="1110" t="s">
        <v>3219</v>
      </c>
      <c r="Q1725" s="1111" t="s">
        <v>2765</v>
      </c>
      <c r="R1725" s="1111" t="s">
        <v>3220</v>
      </c>
      <c r="S1725" s="1111" t="s">
        <v>2765</v>
      </c>
    </row>
    <row r="1726" spans="2:27" ht="15.6" customHeight="1" x14ac:dyDescent="0.25">
      <c r="B1726" s="48" t="s">
        <v>81</v>
      </c>
      <c r="E1726" s="962">
        <v>0</v>
      </c>
      <c r="F1726" s="960"/>
      <c r="G1726" s="962">
        <v>0</v>
      </c>
      <c r="I1726" s="58"/>
      <c r="J1726" s="206"/>
      <c r="K1726" s="206">
        <v>1357259.82</v>
      </c>
      <c r="L1726" s="210"/>
      <c r="M1726" s="1217" t="s">
        <v>2349</v>
      </c>
      <c r="N1726" s="1147"/>
      <c r="O1726" s="1592"/>
      <c r="P1726" s="1110" t="s">
        <v>3221</v>
      </c>
      <c r="Q1726" s="1111" t="s">
        <v>2765</v>
      </c>
      <c r="R1726" s="1111" t="s">
        <v>3222</v>
      </c>
      <c r="S1726" s="1111" t="s">
        <v>2765</v>
      </c>
    </row>
    <row r="1727" spans="2:27" ht="15.6" hidden="1" customHeight="1" x14ac:dyDescent="0.25">
      <c r="B1727" s="48" t="s">
        <v>278</v>
      </c>
      <c r="E1727" s="962">
        <v>0</v>
      </c>
      <c r="F1727" s="960"/>
      <c r="G1727" s="962">
        <v>0</v>
      </c>
      <c r="I1727" s="58"/>
      <c r="J1727" s="206"/>
      <c r="K1727" s="2078">
        <v>0</v>
      </c>
      <c r="L1727" s="210"/>
      <c r="M1727" s="1147">
        <f>SUM(C1727:K1727)</f>
        <v>0</v>
      </c>
      <c r="N1727" s="1147"/>
      <c r="O1727" s="1592"/>
      <c r="P1727" s="1110" t="s">
        <v>3223</v>
      </c>
      <c r="Q1727" s="1111" t="s">
        <v>2765</v>
      </c>
      <c r="R1727" s="1111" t="s">
        <v>3224</v>
      </c>
      <c r="S1727" s="1111" t="s">
        <v>2765</v>
      </c>
    </row>
    <row r="1728" spans="2:27" ht="15.6" hidden="1" customHeight="1" x14ac:dyDescent="0.25">
      <c r="B1728" s="48" t="s">
        <v>906</v>
      </c>
      <c r="E1728" s="962">
        <v>0</v>
      </c>
      <c r="F1728" s="960"/>
      <c r="G1728" s="962">
        <v>0</v>
      </c>
      <c r="I1728" s="58"/>
      <c r="J1728" s="206"/>
      <c r="K1728" s="2078">
        <v>0</v>
      </c>
      <c r="L1728" s="210"/>
      <c r="M1728" s="1217" t="s">
        <v>1982</v>
      </c>
      <c r="N1728" s="1147"/>
      <c r="O1728" s="1596"/>
    </row>
    <row r="1729" spans="1:24" ht="15.6" customHeight="1" x14ac:dyDescent="0.25">
      <c r="E1729" s="962"/>
      <c r="F1729" s="960"/>
      <c r="G1729" s="962"/>
      <c r="I1729" s="58"/>
      <c r="J1729" s="206"/>
      <c r="K1729" s="221"/>
      <c r="L1729" s="210"/>
      <c r="M1729" s="1133"/>
      <c r="N1729" s="1584"/>
      <c r="O1729" s="1212"/>
    </row>
    <row r="1730" spans="1:24" ht="15.6" customHeight="1" x14ac:dyDescent="0.25">
      <c r="E1730" s="962">
        <f>SUM(E1724:E1729)</f>
        <v>0</v>
      </c>
      <c r="F1730" s="960"/>
      <c r="G1730" s="962">
        <f>SUM(G1724:G1729)</f>
        <v>0</v>
      </c>
      <c r="I1730" s="58"/>
      <c r="J1730" s="206"/>
      <c r="K1730" s="665">
        <f>SUM(K1724:K1729)</f>
        <v>15563008.82</v>
      </c>
      <c r="L1730" s="210"/>
      <c r="M1730" s="1482"/>
      <c r="N1730" s="1147"/>
      <c r="O1730" s="1596"/>
    </row>
    <row r="1731" spans="1:24" ht="15.6" customHeight="1" x14ac:dyDescent="0.25">
      <c r="E1731" s="962"/>
      <c r="F1731" s="960"/>
      <c r="G1731" s="962"/>
      <c r="I1731" s="58"/>
      <c r="J1731" s="206"/>
      <c r="K1731" s="206"/>
      <c r="L1731" s="210"/>
      <c r="M1731" s="1482"/>
      <c r="N1731" s="1147"/>
      <c r="O1731" s="1596"/>
    </row>
    <row r="1732" spans="1:24" ht="15.6" customHeight="1" x14ac:dyDescent="0.25">
      <c r="B1732" s="48" t="s">
        <v>220</v>
      </c>
      <c r="E1732" s="962">
        <v>0</v>
      </c>
      <c r="F1732" s="960"/>
      <c r="G1732" s="962">
        <v>0</v>
      </c>
      <c r="I1732" s="58"/>
      <c r="J1732" s="206"/>
      <c r="K1732" s="206">
        <v>0</v>
      </c>
      <c r="L1732" s="210"/>
      <c r="M1732" s="1133"/>
      <c r="N1732" s="1147"/>
      <c r="O1732" s="1592"/>
      <c r="P1732" s="1110" t="s">
        <v>3225</v>
      </c>
      <c r="Q1732" s="1111" t="s">
        <v>2765</v>
      </c>
      <c r="R1732" s="1111" t="s">
        <v>3226</v>
      </c>
      <c r="S1732" s="1111" t="s">
        <v>2765</v>
      </c>
    </row>
    <row r="1733" spans="1:24" ht="15.6" customHeight="1" x14ac:dyDescent="0.25">
      <c r="E1733" s="962"/>
      <c r="F1733" s="960"/>
      <c r="G1733" s="962"/>
      <c r="I1733" s="58"/>
      <c r="J1733" s="206"/>
      <c r="K1733" s="206"/>
      <c r="L1733" s="210"/>
      <c r="M1733" s="1133"/>
      <c r="N1733" s="1147"/>
      <c r="O1733" s="1592"/>
    </row>
    <row r="1734" spans="1:24" ht="15.6" customHeight="1" thickBot="1" x14ac:dyDescent="0.3">
      <c r="B1734" s="50" t="s">
        <v>274</v>
      </c>
      <c r="E1734" s="1573">
        <f>SUM(E1730:E1733)</f>
        <v>0</v>
      </c>
      <c r="F1734" s="960"/>
      <c r="G1734" s="1573">
        <f>SUM(G1730:G1733)</f>
        <v>0</v>
      </c>
      <c r="I1734" s="58"/>
      <c r="J1734" s="200"/>
      <c r="K1734" s="222">
        <f>SUM(K1730:K1733)</f>
        <v>15563008.82</v>
      </c>
      <c r="L1734" s="210"/>
      <c r="M1734" s="1133"/>
      <c r="N1734" s="1147"/>
      <c r="O1734" s="1592"/>
    </row>
    <row r="1735" spans="1:24" ht="15.6" customHeight="1" thickTop="1" x14ac:dyDescent="0.2">
      <c r="E1735" s="287">
        <v>0</v>
      </c>
      <c r="F1735" s="960"/>
      <c r="G1735" s="287">
        <v>0</v>
      </c>
      <c r="I1735" s="199">
        <v>0</v>
      </c>
      <c r="J1735" s="58"/>
      <c r="K1735" s="199">
        <v>0</v>
      </c>
      <c r="L1735" s="59"/>
      <c r="M1735" s="1133"/>
      <c r="N1735" s="1147"/>
      <c r="O1735" s="1592"/>
    </row>
    <row r="1736" spans="1:24" ht="62.1" hidden="1" customHeight="1" x14ac:dyDescent="0.25">
      <c r="A1736" s="201"/>
      <c r="B1736" s="2879" t="s">
        <v>2201</v>
      </c>
      <c r="C1736" s="2879"/>
      <c r="D1736" s="2879"/>
      <c r="E1736" s="2879"/>
      <c r="F1736" s="2879"/>
      <c r="G1736" s="2879"/>
      <c r="H1736" s="2879"/>
      <c r="I1736" s="2879"/>
      <c r="J1736" s="2879"/>
      <c r="K1736" s="2879"/>
      <c r="L1736" s="201"/>
      <c r="M1736" s="1213" t="s">
        <v>1983</v>
      </c>
      <c r="N1736" s="1133"/>
      <c r="O1736" s="1146"/>
      <c r="X1736" s="50"/>
    </row>
    <row r="1737" spans="1:24" ht="15.6" hidden="1" customHeight="1" x14ac:dyDescent="0.25">
      <c r="I1737" s="200"/>
      <c r="J1737" s="200"/>
      <c r="K1737" s="200"/>
      <c r="L1737" s="210"/>
      <c r="M1737" s="1133"/>
      <c r="N1737" s="1147"/>
      <c r="O1737" s="1596"/>
    </row>
    <row r="1738" spans="1:24" ht="15.6" hidden="1" customHeight="1" x14ac:dyDescent="0.25">
      <c r="B1738" s="229" t="s">
        <v>6870</v>
      </c>
      <c r="C1738" s="50"/>
      <c r="I1738" s="58"/>
      <c r="K1738" s="58"/>
      <c r="N1738" s="1133"/>
      <c r="O1738" s="1146"/>
      <c r="V1738" s="234"/>
      <c r="W1738" s="1114" t="s">
        <v>3857</v>
      </c>
    </row>
    <row r="1739" spans="1:24" ht="15.6" hidden="1" customHeight="1" x14ac:dyDescent="0.25">
      <c r="I1739" s="58"/>
      <c r="J1739" s="200"/>
      <c r="K1739" s="58"/>
      <c r="N1739" s="1133"/>
      <c r="O1739" s="1146"/>
    </row>
    <row r="1740" spans="1:24" ht="46.5" hidden="1" customHeight="1" x14ac:dyDescent="0.2">
      <c r="A1740" s="201"/>
      <c r="B1740" s="2879" t="s">
        <v>907</v>
      </c>
      <c r="C1740" s="2879"/>
      <c r="D1740" s="2879"/>
      <c r="E1740" s="2879"/>
      <c r="F1740" s="2879"/>
      <c r="G1740" s="2879"/>
      <c r="H1740" s="2879"/>
      <c r="I1740" s="2879"/>
      <c r="J1740" s="2879"/>
      <c r="K1740" s="2879"/>
      <c r="L1740" s="201"/>
      <c r="M1740" s="1217" t="s">
        <v>1984</v>
      </c>
      <c r="N1740" s="1133"/>
      <c r="O1740" s="1146"/>
    </row>
    <row r="1741" spans="1:24" ht="15.6" hidden="1" customHeight="1" x14ac:dyDescent="0.25">
      <c r="I1741" s="200"/>
      <c r="J1741" s="200"/>
      <c r="K1741" s="200"/>
      <c r="L1741" s="210"/>
      <c r="M1741" s="1133"/>
      <c r="N1741" s="1147"/>
      <c r="O1741" s="1596"/>
    </row>
    <row r="1742" spans="1:24" ht="15.6" hidden="1" customHeight="1" x14ac:dyDescent="0.25">
      <c r="B1742" s="229" t="s">
        <v>6871</v>
      </c>
      <c r="C1742" s="50"/>
      <c r="I1742" s="58"/>
      <c r="K1742" s="58"/>
      <c r="N1742" s="1133"/>
      <c r="O1742" s="1146"/>
      <c r="W1742" s="1114" t="s">
        <v>3857</v>
      </c>
    </row>
    <row r="1743" spans="1:24" ht="15.6" hidden="1" customHeight="1" x14ac:dyDescent="0.25">
      <c r="I1743" s="58"/>
      <c r="J1743" s="200"/>
      <c r="K1743" s="58"/>
      <c r="N1743" s="1133"/>
      <c r="O1743" s="1146"/>
    </row>
    <row r="1744" spans="1:24" ht="46.5" hidden="1" customHeight="1" x14ac:dyDescent="0.2">
      <c r="A1744" s="201"/>
      <c r="B1744" s="2879" t="s">
        <v>908</v>
      </c>
      <c r="C1744" s="2879"/>
      <c r="D1744" s="2879"/>
      <c r="E1744" s="2879"/>
      <c r="F1744" s="2879"/>
      <c r="G1744" s="2879"/>
      <c r="H1744" s="2879"/>
      <c r="I1744" s="2879"/>
      <c r="J1744" s="2879"/>
      <c r="K1744" s="2879"/>
      <c r="L1744" s="201"/>
      <c r="M1744" s="1217" t="s">
        <v>1984</v>
      </c>
      <c r="N1744" s="1133"/>
      <c r="O1744" s="1146"/>
    </row>
    <row r="1745" spans="1:23" ht="15.6" hidden="1" customHeight="1" x14ac:dyDescent="0.25">
      <c r="I1745" s="200"/>
      <c r="J1745" s="200"/>
      <c r="K1745" s="200"/>
      <c r="L1745" s="210"/>
      <c r="M1745" s="1133"/>
      <c r="N1745" s="1147"/>
      <c r="O1745" s="1596"/>
    </row>
    <row r="1746" spans="1:23" ht="15.6" hidden="1" customHeight="1" x14ac:dyDescent="0.25">
      <c r="B1746" s="229" t="s">
        <v>6872</v>
      </c>
      <c r="C1746" s="50"/>
      <c r="I1746" s="58"/>
      <c r="K1746" s="58"/>
      <c r="N1746" s="1133"/>
      <c r="O1746" s="1146"/>
      <c r="W1746" s="1114" t="s">
        <v>3857</v>
      </c>
    </row>
    <row r="1747" spans="1:23" ht="15.6" hidden="1" customHeight="1" x14ac:dyDescent="0.25">
      <c r="I1747" s="58"/>
      <c r="J1747" s="200"/>
      <c r="K1747" s="58"/>
      <c r="N1747" s="1133"/>
      <c r="O1747" s="1146"/>
    </row>
    <row r="1748" spans="1:23" ht="46.5" hidden="1" customHeight="1" x14ac:dyDescent="0.2">
      <c r="A1748" s="201"/>
      <c r="B1748" s="2879" t="s">
        <v>2065</v>
      </c>
      <c r="C1748" s="2879"/>
      <c r="D1748" s="2879"/>
      <c r="E1748" s="2879"/>
      <c r="F1748" s="2879"/>
      <c r="G1748" s="2879"/>
      <c r="H1748" s="2879"/>
      <c r="I1748" s="2879"/>
      <c r="J1748" s="2879"/>
      <c r="K1748" s="2879"/>
      <c r="L1748" s="201"/>
      <c r="M1748" s="1213" t="s">
        <v>2339</v>
      </c>
      <c r="N1748" s="1133"/>
      <c r="O1748" s="1146"/>
    </row>
    <row r="1749" spans="1:23" ht="15.6" hidden="1" customHeight="1" x14ac:dyDescent="0.2">
      <c r="A1749" s="201"/>
      <c r="B1749" s="201"/>
      <c r="C1749" s="201"/>
      <c r="D1749" s="201"/>
      <c r="E1749" s="201"/>
      <c r="F1749" s="201"/>
      <c r="G1749" s="201"/>
      <c r="H1749" s="201"/>
      <c r="I1749" s="58"/>
      <c r="K1749" s="58"/>
      <c r="L1749" s="201"/>
      <c r="N1749" s="1133"/>
      <c r="O1749" s="1146"/>
    </row>
    <row r="1750" spans="1:23" ht="46.5" hidden="1" customHeight="1" x14ac:dyDescent="0.2">
      <c r="A1750" s="201"/>
      <c r="B1750" s="2879" t="s">
        <v>4349</v>
      </c>
      <c r="C1750" s="2879"/>
      <c r="D1750" s="2879"/>
      <c r="E1750" s="2879"/>
      <c r="F1750" s="2879"/>
      <c r="G1750" s="2879"/>
      <c r="H1750" s="2879"/>
      <c r="I1750" s="2879"/>
      <c r="J1750" s="2879"/>
      <c r="K1750" s="2879"/>
      <c r="L1750" s="201"/>
      <c r="M1750" s="1482"/>
      <c r="N1750" s="1133"/>
      <c r="O1750" s="1146"/>
    </row>
    <row r="1751" spans="1:23" ht="15.6" hidden="1" customHeight="1" x14ac:dyDescent="0.2">
      <c r="A1751" s="201"/>
      <c r="B1751" s="201"/>
      <c r="C1751" s="201"/>
      <c r="D1751" s="201"/>
      <c r="E1751" s="201"/>
      <c r="F1751" s="201"/>
      <c r="G1751" s="201"/>
      <c r="H1751" s="201"/>
      <c r="I1751" s="58"/>
      <c r="K1751" s="58"/>
      <c r="L1751" s="201"/>
      <c r="N1751" s="1133"/>
      <c r="O1751" s="1146"/>
    </row>
    <row r="1752" spans="1:23" ht="15.6" hidden="1" customHeight="1" x14ac:dyDescent="0.2">
      <c r="B1752" s="2840" t="str">
        <f>"At year end, 662 ("&amp;Parameters!C19&amp;":  662) employees were eligible for Long-service Awards."</f>
        <v>At year end, 662 (2011:  662) employees were eligible for Long-service Awards.</v>
      </c>
      <c r="C1752" s="2840"/>
      <c r="D1752" s="2840"/>
      <c r="E1752" s="2840"/>
      <c r="F1752" s="2840"/>
      <c r="G1752" s="2840"/>
      <c r="H1752" s="2840"/>
      <c r="I1752" s="2840"/>
      <c r="J1752" s="2840"/>
      <c r="K1752" s="2840"/>
      <c r="M1752" s="1598"/>
      <c r="N1752" s="1147"/>
      <c r="O1752" s="1596"/>
    </row>
    <row r="1753" spans="1:23" ht="15.6" hidden="1" customHeight="1" x14ac:dyDescent="0.25">
      <c r="I1753" s="58"/>
      <c r="J1753" s="200"/>
      <c r="K1753" s="58"/>
      <c r="N1753" s="1147"/>
      <c r="O1753" s="1146"/>
    </row>
    <row r="1754" spans="1:23" ht="30.95" hidden="1" customHeight="1" x14ac:dyDescent="0.2">
      <c r="B1754" s="2840" t="str">
        <f>"The Current-service Cost for the year ending "&amp;Parameters!C11&amp;" is estimated to be R663 240, whereas the cost for the ensuing year is estimated to be R799 362 ("&amp;Parameters!C13&amp;": R663 240 and R799 362 respectively)."</f>
        <v>The Current-service Cost for the year ending 30 June 2012 is estimated to be R663 240, whereas the cost for the ensuing year is estimated to be R799 362 (30 June 2011: R663 240 and R799 362 respectively).</v>
      </c>
      <c r="C1754" s="2840"/>
      <c r="D1754" s="2840"/>
      <c r="E1754" s="2840"/>
      <c r="F1754" s="2840"/>
      <c r="G1754" s="2840"/>
      <c r="H1754" s="2840"/>
      <c r="I1754" s="2840"/>
      <c r="J1754" s="2840"/>
      <c r="K1754" s="2840"/>
      <c r="N1754" s="1147"/>
      <c r="O1754" s="1592"/>
      <c r="Q1754" s="48"/>
      <c r="R1754" s="48"/>
      <c r="S1754" s="48"/>
      <c r="T1754" s="48"/>
      <c r="U1754" s="48"/>
      <c r="V1754" s="48"/>
      <c r="W1754" s="48"/>
    </row>
    <row r="1755" spans="1:23" ht="15.6" hidden="1" customHeight="1" x14ac:dyDescent="0.25">
      <c r="I1755" s="58"/>
      <c r="J1755" s="200"/>
      <c r="K1755" s="58"/>
      <c r="N1755" s="1147"/>
      <c r="O1755" s="1146"/>
      <c r="Q1755" s="48"/>
      <c r="R1755" s="48"/>
      <c r="S1755" s="48"/>
      <c r="T1755" s="48"/>
      <c r="U1755" s="48"/>
      <c r="V1755" s="48"/>
      <c r="W1755" s="48"/>
    </row>
    <row r="1756" spans="1:23" ht="15.6" hidden="1" customHeight="1" x14ac:dyDescent="0.25">
      <c r="A1756" s="50"/>
      <c r="D1756" s="48"/>
      <c r="F1756" s="48"/>
      <c r="H1756" s="49"/>
      <c r="I1756" s="1245">
        <f>Parameters!C17</f>
        <v>2012</v>
      </c>
      <c r="J1756" s="1247"/>
      <c r="K1756" s="1245">
        <f>Parameters!C19</f>
        <v>2011</v>
      </c>
      <c r="L1756" s="49"/>
      <c r="M1756" s="232" t="s">
        <v>803</v>
      </c>
      <c r="N1756" s="1224">
        <f>Parameters!C21</f>
        <v>2010</v>
      </c>
      <c r="O1756" s="1460"/>
      <c r="Q1756" s="48"/>
      <c r="R1756" s="48"/>
      <c r="S1756" s="48"/>
      <c r="T1756" s="48"/>
      <c r="U1756" s="48"/>
      <c r="V1756" s="48"/>
      <c r="W1756" s="48"/>
    </row>
    <row r="1757" spans="1:23" ht="15.6" hidden="1" customHeight="1" x14ac:dyDescent="0.25">
      <c r="I1757" s="1249" t="s">
        <v>255</v>
      </c>
      <c r="J1757" s="200"/>
      <c r="K1757" s="1249" t="s">
        <v>255</v>
      </c>
      <c r="L1757" s="210"/>
      <c r="M1757" s="1133"/>
      <c r="N1757" s="1147"/>
      <c r="O1757" s="1146"/>
      <c r="P1757" s="1115"/>
      <c r="Q1757" s="48"/>
      <c r="R1757" s="48"/>
      <c r="S1757" s="48"/>
      <c r="T1757" s="48"/>
      <c r="U1757" s="48"/>
      <c r="V1757" s="48"/>
      <c r="W1757" s="48"/>
    </row>
    <row r="1758" spans="1:23" ht="15.6" hidden="1" customHeight="1" x14ac:dyDescent="0.2">
      <c r="J1758" s="57"/>
      <c r="M1758" s="1133"/>
      <c r="N1758" s="1147"/>
      <c r="O1758" s="1146"/>
      <c r="P1758" s="1115"/>
      <c r="Q1758" s="48"/>
      <c r="R1758" s="48"/>
      <c r="S1758" s="48"/>
      <c r="T1758" s="48"/>
      <c r="U1758" s="48"/>
      <c r="V1758" s="48"/>
      <c r="W1758" s="48"/>
    </row>
    <row r="1759" spans="1:23" ht="30.95" hidden="1" customHeight="1" x14ac:dyDescent="0.2">
      <c r="A1759" s="201"/>
      <c r="B1759" s="2878" t="s">
        <v>850</v>
      </c>
      <c r="C1759" s="2878"/>
      <c r="D1759" s="2878"/>
      <c r="E1759" s="2878"/>
      <c r="F1759" s="2878"/>
      <c r="G1759" s="2878"/>
      <c r="H1759" s="201"/>
      <c r="I1759" s="58"/>
      <c r="K1759" s="58"/>
      <c r="L1759" s="201"/>
      <c r="M1759" s="1213" t="s">
        <v>2340</v>
      </c>
      <c r="N1759" s="1133"/>
      <c r="O1759" s="1146"/>
      <c r="Q1759" s="48"/>
      <c r="R1759" s="48"/>
      <c r="S1759" s="48"/>
      <c r="T1759" s="48"/>
      <c r="U1759" s="48"/>
      <c r="V1759" s="48"/>
      <c r="W1759" s="48"/>
    </row>
    <row r="1760" spans="1:23" ht="15.6" hidden="1" customHeight="1" x14ac:dyDescent="0.25">
      <c r="B1760" s="48" t="s">
        <v>861</v>
      </c>
      <c r="I1760" s="2161">
        <v>7.7799999999999994E-2</v>
      </c>
      <c r="J1760" s="200"/>
      <c r="K1760" s="2161">
        <v>7.7799999999999994E-2</v>
      </c>
      <c r="M1760" s="1214" t="s">
        <v>2350</v>
      </c>
      <c r="N1760" s="1147"/>
      <c r="O1760" s="1146"/>
      <c r="Q1760" s="48"/>
      <c r="R1760" s="48"/>
      <c r="S1760" s="48"/>
      <c r="T1760" s="48"/>
      <c r="U1760" s="48"/>
      <c r="V1760" s="48"/>
      <c r="W1760" s="48"/>
    </row>
    <row r="1761" spans="2:23" ht="15.6" hidden="1" customHeight="1" x14ac:dyDescent="0.25">
      <c r="B1761" s="48" t="s">
        <v>910</v>
      </c>
      <c r="I1761" s="2161">
        <v>6.2700000000000006E-2</v>
      </c>
      <c r="J1761" s="200"/>
      <c r="K1761" s="2161">
        <v>6.2700000000000006E-2</v>
      </c>
      <c r="N1761" s="1147"/>
      <c r="O1761" s="1146"/>
      <c r="Q1761" s="48"/>
      <c r="R1761" s="48"/>
      <c r="S1761" s="48"/>
      <c r="T1761" s="48"/>
      <c r="U1761" s="48"/>
      <c r="V1761" s="48"/>
      <c r="W1761" s="48"/>
    </row>
    <row r="1762" spans="2:23" ht="15.6" hidden="1" customHeight="1" x14ac:dyDescent="0.25">
      <c r="B1762" s="48" t="s">
        <v>525</v>
      </c>
      <c r="I1762" s="2161">
        <v>1.4200000000000001E-2</v>
      </c>
      <c r="J1762" s="200"/>
      <c r="K1762" s="2161">
        <v>1.4200000000000001E-2</v>
      </c>
      <c r="N1762" s="1147"/>
      <c r="O1762" s="1146"/>
      <c r="Q1762" s="48"/>
      <c r="R1762" s="48"/>
      <c r="S1762" s="48"/>
      <c r="T1762" s="48"/>
      <c r="U1762" s="48"/>
      <c r="V1762" s="48"/>
      <c r="W1762" s="48"/>
    </row>
    <row r="1763" spans="2:23" ht="15.6" hidden="1" customHeight="1" x14ac:dyDescent="0.25">
      <c r="B1763" s="48" t="s">
        <v>851</v>
      </c>
      <c r="I1763" s="2161">
        <v>0.08</v>
      </c>
      <c r="J1763" s="200"/>
      <c r="K1763" s="2161">
        <v>0.08</v>
      </c>
      <c r="N1763" s="1133"/>
      <c r="O1763" s="1146"/>
      <c r="Q1763" s="48"/>
      <c r="R1763" s="48"/>
      <c r="S1763" s="48"/>
      <c r="T1763" s="48"/>
      <c r="U1763" s="48"/>
      <c r="V1763" s="48"/>
      <c r="W1763" s="48"/>
    </row>
    <row r="1764" spans="2:23" ht="15.6" hidden="1" customHeight="1" x14ac:dyDescent="0.25">
      <c r="B1764" s="48" t="s">
        <v>852</v>
      </c>
      <c r="I1764" s="2161">
        <v>6.5000000000000002E-2</v>
      </c>
      <c r="J1764" s="200"/>
      <c r="K1764" s="2161">
        <v>6.5000000000000002E-2</v>
      </c>
      <c r="N1764" s="1133"/>
      <c r="O1764" s="1146"/>
      <c r="Q1764" s="48"/>
      <c r="R1764" s="48"/>
      <c r="S1764" s="48"/>
      <c r="T1764" s="48"/>
      <c r="U1764" s="48"/>
      <c r="V1764" s="48"/>
      <c r="W1764" s="48"/>
    </row>
    <row r="1765" spans="2:23" ht="15.6" hidden="1" customHeight="1" x14ac:dyDescent="0.25">
      <c r="B1765" s="48" t="s">
        <v>853</v>
      </c>
      <c r="I1765" s="2161">
        <v>1.41E-2</v>
      </c>
      <c r="J1765" s="200"/>
      <c r="K1765" s="2161">
        <v>1.41E-2</v>
      </c>
      <c r="N1765" s="1133"/>
      <c r="O1765" s="1146"/>
      <c r="Q1765" s="48"/>
      <c r="R1765" s="48"/>
      <c r="S1765" s="48"/>
      <c r="T1765" s="48"/>
      <c r="U1765" s="48"/>
      <c r="V1765" s="48"/>
      <c r="W1765" s="48"/>
    </row>
    <row r="1766" spans="2:23" ht="15.6" hidden="1" customHeight="1" x14ac:dyDescent="0.25">
      <c r="B1766" s="48" t="s">
        <v>854</v>
      </c>
      <c r="I1766" s="2043">
        <v>63</v>
      </c>
      <c r="J1766" s="200"/>
      <c r="K1766" s="2043">
        <v>63</v>
      </c>
      <c r="N1766" s="1133"/>
      <c r="O1766" s="1146"/>
      <c r="Q1766" s="48"/>
      <c r="R1766" s="48"/>
      <c r="S1766" s="48"/>
      <c r="T1766" s="48"/>
      <c r="U1766" s="48"/>
      <c r="V1766" s="48"/>
      <c r="W1766" s="48"/>
    </row>
    <row r="1767" spans="2:23" ht="15.6" hidden="1" customHeight="1" x14ac:dyDescent="0.25">
      <c r="B1767" s="48" t="s">
        <v>855</v>
      </c>
      <c r="I1767" s="2043">
        <v>63</v>
      </c>
      <c r="J1767" s="200"/>
      <c r="K1767" s="2043">
        <v>63</v>
      </c>
      <c r="N1767" s="1133"/>
      <c r="O1767" s="1146"/>
      <c r="Q1767" s="48"/>
      <c r="R1767" s="48"/>
      <c r="S1767" s="48"/>
      <c r="T1767" s="48"/>
      <c r="U1767" s="48"/>
      <c r="V1767" s="48"/>
      <c r="W1767" s="48"/>
    </row>
    <row r="1768" spans="2:23" ht="15.6" hidden="1" customHeight="1" x14ac:dyDescent="0.25">
      <c r="I1768" s="58"/>
      <c r="J1768" s="200"/>
      <c r="K1768" s="58"/>
      <c r="N1768" s="1133"/>
      <c r="O1768" s="1146"/>
      <c r="Q1768" s="48"/>
      <c r="R1768" s="48"/>
      <c r="S1768" s="48"/>
      <c r="T1768" s="48"/>
      <c r="U1768" s="48"/>
      <c r="V1768" s="48"/>
      <c r="W1768" s="48"/>
    </row>
    <row r="1769" spans="2:23" ht="15.6" hidden="1" customHeight="1" x14ac:dyDescent="0.25">
      <c r="B1769" s="50" t="s">
        <v>872</v>
      </c>
      <c r="I1769" s="58"/>
      <c r="J1769" s="200"/>
      <c r="K1769" s="58"/>
      <c r="M1769" s="1214" t="s">
        <v>2341</v>
      </c>
      <c r="N1769" s="1147"/>
      <c r="O1769" s="1146"/>
      <c r="Q1769" s="48"/>
      <c r="R1769" s="48"/>
      <c r="S1769" s="48"/>
      <c r="T1769" s="48"/>
      <c r="U1769" s="48"/>
      <c r="V1769" s="48"/>
      <c r="W1769" s="48"/>
    </row>
    <row r="1770" spans="2:23" ht="15.6" hidden="1" customHeight="1" x14ac:dyDescent="0.25">
      <c r="B1770" s="48" t="s">
        <v>877</v>
      </c>
      <c r="I1770" s="2043">
        <f>K1784</f>
        <v>0</v>
      </c>
      <c r="J1770" s="200"/>
      <c r="K1770" s="2043">
        <v>0</v>
      </c>
      <c r="N1770" s="1147"/>
      <c r="O1770" s="1146"/>
      <c r="P1770" s="48"/>
      <c r="Q1770" s="48"/>
      <c r="R1770" s="48"/>
      <c r="S1770" s="48"/>
      <c r="T1770" s="48"/>
      <c r="U1770" s="48"/>
      <c r="V1770" s="48"/>
      <c r="W1770" s="48"/>
    </row>
    <row r="1771" spans="2:23" ht="15.6" hidden="1" customHeight="1" x14ac:dyDescent="0.25">
      <c r="B1771" s="48" t="s">
        <v>518</v>
      </c>
      <c r="I1771" s="2043">
        <v>0</v>
      </c>
      <c r="J1771" s="200"/>
      <c r="K1771" s="2043">
        <v>0</v>
      </c>
      <c r="N1771" s="1147"/>
      <c r="O1771" s="1146"/>
      <c r="P1771" s="48"/>
      <c r="Q1771" s="48"/>
      <c r="R1771" s="48"/>
      <c r="S1771" s="48"/>
      <c r="T1771" s="48"/>
      <c r="U1771" s="48"/>
      <c r="V1771" s="48"/>
      <c r="W1771" s="48"/>
    </row>
    <row r="1772" spans="2:23" ht="15.6" hidden="1" customHeight="1" x14ac:dyDescent="0.25">
      <c r="B1772" s="48" t="s">
        <v>520</v>
      </c>
      <c r="I1772" s="2043">
        <v>0</v>
      </c>
      <c r="J1772" s="200"/>
      <c r="K1772" s="2043">
        <v>0</v>
      </c>
      <c r="N1772" s="1147"/>
      <c r="O1772" s="1146"/>
      <c r="P1772" s="48"/>
      <c r="Q1772" s="48"/>
      <c r="R1772" s="48"/>
      <c r="S1772" s="48"/>
      <c r="T1772" s="48"/>
      <c r="U1772" s="48"/>
      <c r="V1772" s="48"/>
      <c r="W1772" s="48"/>
    </row>
    <row r="1773" spans="2:23" ht="15.6" hidden="1" customHeight="1" x14ac:dyDescent="0.25">
      <c r="B1773" s="48" t="s">
        <v>873</v>
      </c>
      <c r="I1773" s="2043">
        <v>0</v>
      </c>
      <c r="J1773" s="200"/>
      <c r="K1773" s="2043">
        <v>0</v>
      </c>
      <c r="N1773" s="1133"/>
      <c r="O1773" s="1146"/>
      <c r="P1773" s="48"/>
      <c r="Q1773" s="48"/>
      <c r="R1773" s="48"/>
      <c r="S1773" s="48"/>
      <c r="T1773" s="48"/>
      <c r="U1773" s="48"/>
      <c r="V1773" s="48"/>
      <c r="W1773" s="48"/>
    </row>
    <row r="1774" spans="2:23" ht="15.6" hidden="1" customHeight="1" x14ac:dyDescent="0.25">
      <c r="B1774" s="48" t="s">
        <v>523</v>
      </c>
      <c r="I1774" s="2043">
        <v>0</v>
      </c>
      <c r="J1774" s="200"/>
      <c r="K1774" s="2043">
        <v>0</v>
      </c>
      <c r="N1774" s="1147"/>
      <c r="O1774" s="1146"/>
      <c r="P1774" s="48"/>
      <c r="Q1774" s="48"/>
      <c r="R1774" s="48"/>
      <c r="S1774" s="48"/>
      <c r="T1774" s="48"/>
      <c r="U1774" s="48"/>
      <c r="V1774" s="48"/>
      <c r="W1774" s="48"/>
    </row>
    <row r="1775" spans="2:23" ht="15.6" hidden="1" customHeight="1" x14ac:dyDescent="0.25">
      <c r="B1775" s="48" t="s">
        <v>519</v>
      </c>
      <c r="I1775" s="2043">
        <v>0</v>
      </c>
      <c r="J1775" s="200"/>
      <c r="K1775" s="2043">
        <v>0</v>
      </c>
      <c r="N1775" s="1147"/>
      <c r="O1775" s="1146"/>
      <c r="P1775" s="48"/>
      <c r="Q1775" s="48"/>
      <c r="R1775" s="48"/>
      <c r="S1775" s="48"/>
      <c r="T1775" s="48"/>
      <c r="U1775" s="48"/>
      <c r="V1775" s="48"/>
      <c r="W1775" s="48"/>
    </row>
    <row r="1776" spans="2:23" ht="15.6" hidden="1" customHeight="1" x14ac:dyDescent="0.25">
      <c r="B1776" s="48" t="s">
        <v>868</v>
      </c>
      <c r="I1776" s="2043">
        <v>0</v>
      </c>
      <c r="J1776" s="200"/>
      <c r="K1776" s="2043">
        <v>0</v>
      </c>
      <c r="N1776" s="1147"/>
      <c r="O1776" s="1146"/>
      <c r="P1776" s="48"/>
      <c r="Q1776" s="48"/>
      <c r="R1776" s="48"/>
      <c r="S1776" s="48"/>
      <c r="T1776" s="48"/>
      <c r="U1776" s="48"/>
      <c r="V1776" s="48"/>
      <c r="W1776" s="48"/>
    </row>
    <row r="1777" spans="2:24" ht="15.6" hidden="1" customHeight="1" x14ac:dyDescent="0.25">
      <c r="B1777" s="48" t="s">
        <v>874</v>
      </c>
      <c r="I1777" s="2043">
        <v>0</v>
      </c>
      <c r="J1777" s="200"/>
      <c r="K1777" s="2043">
        <v>0</v>
      </c>
      <c r="N1777" s="1133"/>
      <c r="O1777" s="1146"/>
      <c r="P1777" s="48"/>
      <c r="Q1777" s="48"/>
      <c r="R1777" s="48"/>
      <c r="S1777" s="48"/>
      <c r="T1777" s="48"/>
      <c r="U1777" s="48"/>
      <c r="V1777" s="48"/>
      <c r="W1777" s="48"/>
    </row>
    <row r="1778" spans="2:24" ht="15.6" hidden="1" customHeight="1" x14ac:dyDescent="0.25">
      <c r="B1778" s="48" t="s">
        <v>875</v>
      </c>
      <c r="I1778" s="2043">
        <v>0</v>
      </c>
      <c r="J1778" s="200"/>
      <c r="K1778" s="2043">
        <v>0</v>
      </c>
      <c r="N1778" s="1133"/>
      <c r="O1778" s="1146"/>
      <c r="P1778" s="48"/>
      <c r="Q1778" s="48"/>
      <c r="R1778" s="48"/>
      <c r="S1778" s="48"/>
      <c r="T1778" s="48"/>
      <c r="U1778" s="48"/>
      <c r="V1778" s="48"/>
      <c r="W1778" s="48"/>
    </row>
    <row r="1779" spans="2:24" ht="15.6" hidden="1" customHeight="1" x14ac:dyDescent="0.25">
      <c r="I1779" s="212"/>
      <c r="J1779" s="200"/>
      <c r="K1779" s="212"/>
      <c r="N1779" s="1133"/>
      <c r="O1779" s="1146"/>
      <c r="P1779" s="48"/>
      <c r="Q1779" s="48"/>
      <c r="R1779" s="48"/>
      <c r="S1779" s="48"/>
      <c r="T1779" s="48"/>
      <c r="U1779" s="48"/>
      <c r="V1779" s="48"/>
      <c r="W1779" s="48"/>
    </row>
    <row r="1780" spans="2:24" ht="15.6" hidden="1" customHeight="1" x14ac:dyDescent="0.25">
      <c r="B1780" s="50" t="s">
        <v>521</v>
      </c>
      <c r="I1780" s="667">
        <f>SUM(I1770:I1779)</f>
        <v>0</v>
      </c>
      <c r="J1780" s="200"/>
      <c r="K1780" s="667">
        <f>SUM(K1770:K1779)</f>
        <v>0</v>
      </c>
      <c r="N1780" s="1133"/>
      <c r="O1780" s="1146"/>
      <c r="P1780" s="48"/>
      <c r="Q1780" s="48"/>
      <c r="R1780" s="48"/>
      <c r="S1780" s="48"/>
      <c r="T1780" s="48"/>
      <c r="U1780" s="48"/>
      <c r="V1780" s="48"/>
      <c r="W1780" s="48"/>
    </row>
    <row r="1781" spans="2:24" ht="15.6" hidden="1" customHeight="1" x14ac:dyDescent="0.25">
      <c r="I1781" s="58"/>
      <c r="J1781" s="200"/>
      <c r="K1781" s="58"/>
      <c r="N1781" s="1133"/>
      <c r="O1781" s="1146"/>
      <c r="P1781" s="48"/>
      <c r="Q1781" s="48"/>
      <c r="R1781" s="48"/>
      <c r="S1781" s="48"/>
      <c r="T1781" s="48"/>
      <c r="U1781" s="48"/>
      <c r="V1781" s="48"/>
      <c r="W1781" s="48"/>
    </row>
    <row r="1782" spans="2:24" ht="15.6" hidden="1" customHeight="1" x14ac:dyDescent="0.25">
      <c r="B1782" s="48" t="s">
        <v>1343</v>
      </c>
      <c r="I1782" s="2043">
        <v>0</v>
      </c>
      <c r="J1782" s="200"/>
      <c r="K1782" s="2043">
        <v>0</v>
      </c>
      <c r="N1782" s="1133"/>
      <c r="O1782" s="1146"/>
      <c r="P1782" s="48"/>
      <c r="Q1782" s="48"/>
      <c r="R1782" s="48"/>
      <c r="S1782" s="48"/>
      <c r="T1782" s="48"/>
      <c r="U1782" s="48"/>
      <c r="V1782" s="48"/>
      <c r="W1782" s="48"/>
    </row>
    <row r="1783" spans="2:24" ht="15.6" hidden="1" customHeight="1" x14ac:dyDescent="0.25">
      <c r="I1783" s="58"/>
      <c r="J1783" s="200"/>
      <c r="K1783" s="58"/>
      <c r="N1783" s="1147"/>
      <c r="O1783" s="1146"/>
      <c r="P1783" s="48"/>
      <c r="Q1783" s="48"/>
      <c r="R1783" s="48"/>
      <c r="S1783" s="48"/>
      <c r="T1783" s="48"/>
      <c r="U1783" s="48"/>
      <c r="V1783" s="48"/>
      <c r="W1783" s="48"/>
    </row>
    <row r="1784" spans="2:24" ht="15.6" hidden="1" customHeight="1" thickBot="1" x14ac:dyDescent="0.3">
      <c r="B1784" s="50" t="s">
        <v>1344</v>
      </c>
      <c r="I1784" s="204">
        <f>SUM(I1780:I1783)</f>
        <v>0</v>
      </c>
      <c r="J1784" s="200"/>
      <c r="K1784" s="204">
        <f>SUM(K1780:K1783)</f>
        <v>0</v>
      </c>
      <c r="N1784" s="1471"/>
      <c r="P1784" s="48"/>
      <c r="Q1784" s="48"/>
      <c r="R1784" s="48"/>
      <c r="S1784" s="48"/>
      <c r="T1784" s="48"/>
      <c r="U1784" s="48"/>
      <c r="V1784" s="48"/>
      <c r="W1784" s="48"/>
    </row>
    <row r="1785" spans="2:24" ht="15.6" hidden="1" customHeight="1" thickTop="1" x14ac:dyDescent="0.25">
      <c r="I1785" s="217">
        <f>I1784-I1714</f>
        <v>0</v>
      </c>
      <c r="J1785" s="200"/>
      <c r="K1785" s="217">
        <f>K1784-I1730</f>
        <v>0</v>
      </c>
      <c r="N1785" s="1147"/>
      <c r="O1785" s="1146"/>
      <c r="P1785" s="48"/>
      <c r="Q1785" s="48"/>
      <c r="R1785" s="48"/>
      <c r="S1785" s="48"/>
      <c r="T1785" s="48"/>
      <c r="U1785" s="48"/>
      <c r="V1785" s="48"/>
      <c r="W1785" s="48"/>
    </row>
    <row r="1786" spans="2:24" ht="15.6" hidden="1" customHeight="1" x14ac:dyDescent="0.25">
      <c r="B1786" s="50" t="s">
        <v>878</v>
      </c>
      <c r="I1786" s="58"/>
      <c r="J1786" s="200"/>
      <c r="K1786" s="58"/>
      <c r="M1786" s="1214" t="s">
        <v>2351</v>
      </c>
      <c r="N1786" s="1147"/>
      <c r="O1786" s="1146"/>
      <c r="X1786" s="50"/>
    </row>
    <row r="1787" spans="2:24" ht="15.6" hidden="1" customHeight="1" x14ac:dyDescent="0.25">
      <c r="B1787" s="48" t="s">
        <v>877</v>
      </c>
      <c r="I1787" s="2043">
        <v>0</v>
      </c>
      <c r="J1787" s="200"/>
      <c r="K1787" s="2043">
        <v>0</v>
      </c>
      <c r="N1787" s="1147"/>
      <c r="O1787" s="1146"/>
    </row>
    <row r="1788" spans="2:24" ht="15.6" hidden="1" customHeight="1" x14ac:dyDescent="0.25">
      <c r="B1788" s="48" t="s">
        <v>522</v>
      </c>
      <c r="I1788" s="2043">
        <v>0</v>
      </c>
      <c r="J1788" s="200"/>
      <c r="K1788" s="2043">
        <v>0</v>
      </c>
      <c r="N1788" s="1147"/>
      <c r="O1788" s="1146"/>
      <c r="V1788" s="234"/>
    </row>
    <row r="1789" spans="2:24" ht="15.6" hidden="1" customHeight="1" x14ac:dyDescent="0.25">
      <c r="B1789" s="48" t="s">
        <v>879</v>
      </c>
      <c r="I1789" s="2043">
        <v>0</v>
      </c>
      <c r="J1789" s="200"/>
      <c r="K1789" s="2043">
        <v>0</v>
      </c>
      <c r="N1789" s="1147"/>
      <c r="O1789" s="1146"/>
    </row>
    <row r="1790" spans="2:24" ht="15.6" hidden="1" customHeight="1" x14ac:dyDescent="0.25">
      <c r="B1790" s="48" t="s">
        <v>873</v>
      </c>
      <c r="I1790" s="2043">
        <v>0</v>
      </c>
      <c r="J1790" s="200"/>
      <c r="K1790" s="2043">
        <v>0</v>
      </c>
      <c r="N1790" s="1147"/>
      <c r="O1790" s="1146"/>
    </row>
    <row r="1791" spans="2:24" ht="15.6" hidden="1" customHeight="1" x14ac:dyDescent="0.25">
      <c r="B1791" s="48" t="s">
        <v>523</v>
      </c>
      <c r="I1791" s="2043">
        <v>0</v>
      </c>
      <c r="J1791" s="200"/>
      <c r="K1791" s="2043">
        <v>0</v>
      </c>
      <c r="N1791" s="1147"/>
      <c r="O1791" s="1146"/>
    </row>
    <row r="1792" spans="2:24" ht="15.6" hidden="1" customHeight="1" x14ac:dyDescent="0.25">
      <c r="B1792" s="48" t="s">
        <v>519</v>
      </c>
      <c r="I1792" s="2043">
        <v>0</v>
      </c>
      <c r="J1792" s="200"/>
      <c r="K1792" s="2043">
        <v>0</v>
      </c>
      <c r="N1792" s="1147"/>
      <c r="O1792" s="1146"/>
    </row>
    <row r="1793" spans="2:24" ht="15.6" hidden="1" customHeight="1" x14ac:dyDescent="0.25">
      <c r="B1793" s="48" t="s">
        <v>880</v>
      </c>
      <c r="I1793" s="2043">
        <v>0</v>
      </c>
      <c r="J1793" s="200"/>
      <c r="K1793" s="2043">
        <v>0</v>
      </c>
      <c r="N1793" s="1147"/>
      <c r="O1793" s="1146"/>
    </row>
    <row r="1794" spans="2:24" ht="15.6" hidden="1" customHeight="1" x14ac:dyDescent="0.25">
      <c r="B1794" s="48" t="s">
        <v>876</v>
      </c>
      <c r="I1794" s="2043">
        <v>0</v>
      </c>
      <c r="J1794" s="200"/>
      <c r="K1794" s="2043">
        <v>0</v>
      </c>
      <c r="N1794" s="1133"/>
      <c r="O1794" s="1146"/>
    </row>
    <row r="1795" spans="2:24" ht="15.6" hidden="1" customHeight="1" x14ac:dyDescent="0.25">
      <c r="I1795" s="58"/>
      <c r="J1795" s="200"/>
      <c r="K1795" s="58"/>
      <c r="N1795" s="1147"/>
      <c r="O1795" s="1146"/>
    </row>
    <row r="1796" spans="2:24" ht="15.6" hidden="1" customHeight="1" thickBot="1" x14ac:dyDescent="0.3">
      <c r="B1796" s="50" t="s">
        <v>881</v>
      </c>
      <c r="I1796" s="204">
        <f>SUM(I1787:I1795)</f>
        <v>0</v>
      </c>
      <c r="J1796" s="200"/>
      <c r="K1796" s="204">
        <f>SUM(K1787:K1795)</f>
        <v>0</v>
      </c>
      <c r="N1796" s="1147"/>
      <c r="O1796" s="1146"/>
    </row>
    <row r="1797" spans="2:24" ht="15.6" hidden="1" customHeight="1" thickTop="1" x14ac:dyDescent="0.25">
      <c r="I1797" s="217">
        <f>I1796-I1800</f>
        <v>0</v>
      </c>
      <c r="J1797" s="200"/>
      <c r="K1797" s="217">
        <f>K1796-K1800</f>
        <v>0</v>
      </c>
      <c r="N1797" s="1147"/>
      <c r="O1797" s="1146"/>
    </row>
    <row r="1798" spans="2:24" ht="15.6" hidden="1" customHeight="1" x14ac:dyDescent="0.25">
      <c r="B1798" s="50" t="s">
        <v>856</v>
      </c>
      <c r="I1798" s="58"/>
      <c r="J1798" s="200"/>
      <c r="K1798" s="58"/>
      <c r="M1798" s="1256" t="s">
        <v>857</v>
      </c>
      <c r="N1798" s="1133"/>
      <c r="O1798" s="1146"/>
    </row>
    <row r="1799" spans="2:24" ht="15.6" hidden="1" customHeight="1" x14ac:dyDescent="0.25">
      <c r="B1799" s="48" t="s">
        <v>515</v>
      </c>
      <c r="I1799" s="2043">
        <f>I1784</f>
        <v>0</v>
      </c>
      <c r="J1799" s="200"/>
      <c r="K1799" s="2043">
        <f>K1784</f>
        <v>0</v>
      </c>
      <c r="N1799" s="1147"/>
      <c r="O1799" s="1146"/>
      <c r="X1799" s="50"/>
    </row>
    <row r="1800" spans="2:24" ht="15.6" hidden="1" customHeight="1" x14ac:dyDescent="0.25">
      <c r="B1800" s="48" t="s">
        <v>516</v>
      </c>
      <c r="I1800" s="2043">
        <v>0</v>
      </c>
      <c r="J1800" s="200"/>
      <c r="K1800" s="2043">
        <v>0</v>
      </c>
      <c r="N1800" s="1147"/>
      <c r="O1800" s="1146"/>
    </row>
    <row r="1801" spans="2:24" ht="15.6" hidden="1" customHeight="1" x14ac:dyDescent="0.25">
      <c r="I1801" s="58"/>
      <c r="J1801" s="200"/>
      <c r="K1801" s="58"/>
      <c r="N1801" s="1147"/>
      <c r="O1801" s="1146"/>
      <c r="V1801" s="234"/>
    </row>
    <row r="1802" spans="2:24" ht="15.6" hidden="1" customHeight="1" x14ac:dyDescent="0.25">
      <c r="I1802" s="203">
        <f>SUM(I1799:I1801)</f>
        <v>0</v>
      </c>
      <c r="J1802" s="200"/>
      <c r="K1802" s="203">
        <f>SUM(K1799:K1801)</f>
        <v>0</v>
      </c>
      <c r="N1802" s="1147"/>
      <c r="O1802" s="1146"/>
    </row>
    <row r="1803" spans="2:24" ht="15.6" hidden="1" customHeight="1" x14ac:dyDescent="0.25">
      <c r="B1803" s="48" t="s">
        <v>517</v>
      </c>
      <c r="I1803" s="2043">
        <v>0</v>
      </c>
      <c r="J1803" s="200"/>
      <c r="K1803" s="2043">
        <v>0</v>
      </c>
      <c r="N1803" s="1133"/>
      <c r="O1803" s="1146"/>
    </row>
    <row r="1804" spans="2:24" ht="15.6" hidden="1" customHeight="1" x14ac:dyDescent="0.25">
      <c r="I1804" s="58"/>
      <c r="J1804" s="200"/>
      <c r="K1804" s="58"/>
      <c r="N1804" s="1133"/>
      <c r="O1804" s="1146"/>
    </row>
    <row r="1805" spans="2:24" ht="15.6" hidden="1" customHeight="1" x14ac:dyDescent="0.25">
      <c r="B1805" s="48" t="s">
        <v>1692</v>
      </c>
      <c r="I1805" s="2162">
        <f>SUM(I1802:I1804)</f>
        <v>0</v>
      </c>
      <c r="J1805" s="200"/>
      <c r="K1805" s="2162">
        <f>SUM(K1802:K1804)</f>
        <v>0</v>
      </c>
      <c r="N1805" s="1133"/>
      <c r="O1805" s="1146"/>
    </row>
    <row r="1806" spans="2:24" ht="15.6" hidden="1" customHeight="1" x14ac:dyDescent="0.25">
      <c r="B1806" s="48" t="s">
        <v>911</v>
      </c>
      <c r="I1806" s="2043">
        <v>0</v>
      </c>
      <c r="J1806" s="200"/>
      <c r="K1806" s="2043">
        <v>0</v>
      </c>
      <c r="N1806" s="1147"/>
      <c r="O1806" s="1146"/>
    </row>
    <row r="1807" spans="2:24" ht="15.6" hidden="1" customHeight="1" x14ac:dyDescent="0.25">
      <c r="B1807" s="48" t="s">
        <v>912</v>
      </c>
      <c r="I1807" s="2043">
        <v>0</v>
      </c>
      <c r="J1807" s="200"/>
      <c r="K1807" s="2043">
        <v>0</v>
      </c>
      <c r="N1807" s="1147"/>
      <c r="O1807" s="1146"/>
    </row>
    <row r="1808" spans="2:24" ht="15.6" hidden="1" customHeight="1" x14ac:dyDescent="0.25">
      <c r="B1808" s="48" t="s">
        <v>859</v>
      </c>
      <c r="I1808" s="2043">
        <v>0</v>
      </c>
      <c r="J1808" s="200"/>
      <c r="K1808" s="2043">
        <v>0</v>
      </c>
      <c r="N1808" s="1133"/>
      <c r="O1808" s="1146"/>
    </row>
    <row r="1809" spans="2:24" ht="15.6" hidden="1" customHeight="1" x14ac:dyDescent="0.25">
      <c r="B1809" s="48" t="s">
        <v>860</v>
      </c>
      <c r="I1809" s="2043">
        <v>0</v>
      </c>
      <c r="J1809" s="200"/>
      <c r="K1809" s="2043">
        <v>0</v>
      </c>
      <c r="N1809" s="1133"/>
      <c r="O1809" s="1146"/>
    </row>
    <row r="1810" spans="2:24" ht="15.6" hidden="1" customHeight="1" x14ac:dyDescent="0.25">
      <c r="I1810" s="58"/>
      <c r="J1810" s="200"/>
      <c r="K1810" s="58"/>
      <c r="N1810" s="1147"/>
      <c r="O1810" s="1146"/>
    </row>
    <row r="1811" spans="2:24" ht="15.6" hidden="1" customHeight="1" thickBot="1" x14ac:dyDescent="0.3">
      <c r="B1811" s="50" t="s">
        <v>864</v>
      </c>
      <c r="I1811" s="204">
        <f>SUM(I1805:I1810)</f>
        <v>0</v>
      </c>
      <c r="J1811" s="200"/>
      <c r="K1811" s="204">
        <f>SUM(K1805:K1810)</f>
        <v>0</v>
      </c>
      <c r="N1811" s="1147"/>
      <c r="O1811" s="1146"/>
    </row>
    <row r="1812" spans="2:24" ht="15.6" hidden="1" customHeight="1" thickTop="1" x14ac:dyDescent="0.2">
      <c r="I1812" s="217">
        <f>I1811-I1784</f>
        <v>0</v>
      </c>
      <c r="J1812" s="218"/>
      <c r="K1812" s="217">
        <f>K1811-K1784</f>
        <v>0</v>
      </c>
      <c r="N1812" s="1147"/>
      <c r="O1812" s="1146"/>
    </row>
    <row r="1813" spans="2:24" ht="15.6" hidden="1" customHeight="1" x14ac:dyDescent="0.25">
      <c r="B1813" s="50" t="s">
        <v>865</v>
      </c>
      <c r="I1813" s="58"/>
      <c r="J1813" s="200"/>
      <c r="K1813" s="58"/>
      <c r="M1813" s="1256" t="s">
        <v>2342</v>
      </c>
      <c r="N1813" s="1133"/>
      <c r="O1813" s="1146"/>
    </row>
    <row r="1814" spans="2:24" ht="15.6" hidden="1" customHeight="1" x14ac:dyDescent="0.25">
      <c r="B1814" s="48" t="s">
        <v>866</v>
      </c>
      <c r="I1814" s="2043">
        <f>I1771</f>
        <v>0</v>
      </c>
      <c r="J1814" s="200"/>
      <c r="K1814" s="2043">
        <f>K1771</f>
        <v>0</v>
      </c>
      <c r="N1814" s="1133"/>
      <c r="O1814" s="1146"/>
    </row>
    <row r="1815" spans="2:24" ht="15.6" hidden="1" customHeight="1" x14ac:dyDescent="0.25">
      <c r="B1815" s="48" t="s">
        <v>520</v>
      </c>
      <c r="I1815" s="2043">
        <f>I1772</f>
        <v>0</v>
      </c>
      <c r="J1815" s="200"/>
      <c r="K1815" s="2043">
        <f>K1772</f>
        <v>0</v>
      </c>
      <c r="N1815" s="1133"/>
      <c r="O1815" s="1146"/>
      <c r="X1815" s="50"/>
    </row>
    <row r="1816" spans="2:24" ht="15.6" hidden="1" customHeight="1" x14ac:dyDescent="0.25">
      <c r="B1816" s="48" t="s">
        <v>522</v>
      </c>
      <c r="I1816" s="2043">
        <v>0</v>
      </c>
      <c r="J1816" s="200"/>
      <c r="K1816" s="2043">
        <v>0</v>
      </c>
      <c r="N1816" s="1133"/>
      <c r="O1816" s="1146"/>
    </row>
    <row r="1817" spans="2:24" ht="15.6" hidden="1" customHeight="1" x14ac:dyDescent="0.25">
      <c r="B1817" s="48" t="s">
        <v>867</v>
      </c>
      <c r="I1817" s="2043">
        <v>0</v>
      </c>
      <c r="J1817" s="200"/>
      <c r="K1817" s="2043">
        <v>0</v>
      </c>
      <c r="N1817" s="1133"/>
      <c r="O1817" s="1146"/>
      <c r="V1817" s="234"/>
    </row>
    <row r="1818" spans="2:24" ht="15.6" hidden="1" customHeight="1" x14ac:dyDescent="0.25">
      <c r="B1818" s="48" t="s">
        <v>868</v>
      </c>
      <c r="I1818" s="2043">
        <f>I1776</f>
        <v>0</v>
      </c>
      <c r="J1818" s="200"/>
      <c r="K1818" s="2043">
        <f>K1776</f>
        <v>0</v>
      </c>
      <c r="N1818" s="1133"/>
      <c r="O1818" s="1146"/>
    </row>
    <row r="1819" spans="2:24" ht="15.6" hidden="1" customHeight="1" x14ac:dyDescent="0.25">
      <c r="B1819" s="48" t="s">
        <v>869</v>
      </c>
      <c r="I1819" s="2043">
        <v>0</v>
      </c>
      <c r="J1819" s="200"/>
      <c r="K1819" s="2043">
        <v>0</v>
      </c>
      <c r="N1819" s="1133"/>
      <c r="O1819" s="1146"/>
    </row>
    <row r="1820" spans="2:24" ht="15.6" hidden="1" customHeight="1" x14ac:dyDescent="0.25">
      <c r="B1820" s="48" t="s">
        <v>870</v>
      </c>
      <c r="I1820" s="2043">
        <v>0</v>
      </c>
      <c r="J1820" s="200"/>
      <c r="K1820" s="2043">
        <v>0</v>
      </c>
      <c r="N1820" s="1133"/>
      <c r="O1820" s="1146"/>
    </row>
    <row r="1821" spans="2:24" ht="15.6" hidden="1" customHeight="1" x14ac:dyDescent="0.25">
      <c r="B1821" s="48" t="s">
        <v>871</v>
      </c>
      <c r="I1821" s="2043">
        <v>0</v>
      </c>
      <c r="J1821" s="200"/>
      <c r="K1821" s="2043">
        <v>0</v>
      </c>
      <c r="N1821" s="1133"/>
      <c r="O1821" s="1146"/>
    </row>
    <row r="1822" spans="2:24" ht="15.6" hidden="1" customHeight="1" x14ac:dyDescent="0.25">
      <c r="I1822" s="58"/>
      <c r="J1822" s="200"/>
      <c r="K1822" s="58"/>
      <c r="N1822" s="1133"/>
      <c r="O1822" s="1146"/>
    </row>
    <row r="1823" spans="2:24" ht="15.6" hidden="1" customHeight="1" thickBot="1" x14ac:dyDescent="0.3">
      <c r="B1823" s="50" t="str">
        <f>"Total Post-retirement Benefit included in Employee Related Costs  (Note "&amp;'AFS Structure'!C62&amp;")"</f>
        <v>Total Post-retirement Benefit included in Employee Related Costs  (Note 39)</v>
      </c>
      <c r="I1823" s="204">
        <f>SUM(I1814:I1822)</f>
        <v>0</v>
      </c>
      <c r="J1823" s="200"/>
      <c r="K1823" s="204">
        <f>SUM(K1814:K1822)</f>
        <v>0</v>
      </c>
      <c r="M1823" s="1256" t="s">
        <v>2342</v>
      </c>
      <c r="N1823" s="1133"/>
      <c r="O1823" s="1146"/>
    </row>
    <row r="1824" spans="2:24" ht="15.6" hidden="1" customHeight="1" thickTop="1" x14ac:dyDescent="0.25">
      <c r="I1824" s="217">
        <f>I1823-I1709</f>
        <v>0</v>
      </c>
      <c r="J1824" s="200"/>
      <c r="K1824" s="217">
        <f>K1823-I1725</f>
        <v>0</v>
      </c>
      <c r="N1824" s="1133"/>
      <c r="O1824" s="1146"/>
    </row>
    <row r="1825" spans="1:27" ht="30.95" hidden="1" customHeight="1" x14ac:dyDescent="0.25">
      <c r="A1825" s="201"/>
      <c r="B1825" s="2878" t="s">
        <v>882</v>
      </c>
      <c r="C1825" s="2878"/>
      <c r="D1825" s="2878"/>
      <c r="E1825" s="2878"/>
      <c r="F1825" s="2878"/>
      <c r="G1825" s="2878"/>
      <c r="H1825" s="201"/>
      <c r="I1825" s="58"/>
      <c r="K1825" s="58"/>
      <c r="L1825" s="201"/>
      <c r="M1825" s="1256" t="s">
        <v>2343</v>
      </c>
      <c r="N1825" s="1133"/>
      <c r="O1825" s="1146"/>
      <c r="Y1825" s="50"/>
      <c r="Z1825" s="50"/>
      <c r="AA1825" s="50"/>
    </row>
    <row r="1826" spans="1:27" s="50" customFormat="1" ht="15.6" hidden="1" customHeight="1" x14ac:dyDescent="0.25">
      <c r="D1826" s="219"/>
      <c r="E1826" s="2882" t="s">
        <v>883</v>
      </c>
      <c r="F1826" s="2882"/>
      <c r="G1826" s="2882"/>
      <c r="H1826" s="219"/>
      <c r="I1826" s="2882" t="s">
        <v>884</v>
      </c>
      <c r="J1826" s="2882"/>
      <c r="K1826" s="2882"/>
      <c r="L1826" s="225"/>
      <c r="M1826" s="234"/>
      <c r="N1826" s="235"/>
      <c r="O1826" s="854"/>
      <c r="P1826" s="1113"/>
      <c r="Q1826" s="1114"/>
      <c r="R1826" s="1114"/>
      <c r="S1826" s="1114"/>
      <c r="T1826" s="1114"/>
      <c r="U1826" s="316"/>
      <c r="V1826" s="1133"/>
      <c r="W1826" s="1114"/>
      <c r="X1826" s="48"/>
      <c r="Y1826" s="48"/>
      <c r="Z1826" s="48"/>
      <c r="AA1826" s="48"/>
    </row>
    <row r="1827" spans="1:27" ht="15.6" hidden="1" customHeight="1" x14ac:dyDescent="0.25">
      <c r="C1827" s="1647"/>
      <c r="E1827" s="1245">
        <f>Parameters!C17</f>
        <v>2012</v>
      </c>
      <c r="F1827" s="49"/>
      <c r="G1827" s="1245">
        <f>Parameters!C19</f>
        <v>2011</v>
      </c>
      <c r="I1827" s="1245">
        <f>Parameters!C17</f>
        <v>2012</v>
      </c>
      <c r="J1827" s="2150"/>
      <c r="K1827" s="1245">
        <f>Parameters!C19</f>
        <v>2011</v>
      </c>
      <c r="L1827" s="207"/>
      <c r="M1827" s="1133"/>
      <c r="N1827" s="1147"/>
      <c r="O1827" s="1596"/>
    </row>
    <row r="1828" spans="1:27" ht="15.6" hidden="1" customHeight="1" x14ac:dyDescent="0.25">
      <c r="C1828" s="237"/>
      <c r="D1828" s="238"/>
      <c r="E1828" s="237" t="s">
        <v>218</v>
      </c>
      <c r="G1828" s="237" t="s">
        <v>218</v>
      </c>
      <c r="H1828" s="238"/>
      <c r="I1828" s="237" t="s">
        <v>255</v>
      </c>
      <c r="J1828" s="206"/>
      <c r="K1828" s="237" t="s">
        <v>255</v>
      </c>
      <c r="L1828" s="207"/>
      <c r="M1828" s="1133"/>
      <c r="N1828" s="1147"/>
      <c r="O1828" s="1596"/>
    </row>
    <row r="1829" spans="1:27" ht="15.6" hidden="1" customHeight="1" x14ac:dyDescent="0.25">
      <c r="B1829" s="48" t="s">
        <v>885</v>
      </c>
      <c r="E1829" s="2163">
        <v>0</v>
      </c>
      <c r="G1829" s="2163">
        <v>0</v>
      </c>
      <c r="I1829" s="2043">
        <f>K1834</f>
        <v>0</v>
      </c>
      <c r="J1829" s="200"/>
      <c r="K1829" s="2043">
        <v>0</v>
      </c>
      <c r="N1829" s="1133"/>
      <c r="O1829" s="1146"/>
    </row>
    <row r="1830" spans="1:27" ht="15.6" hidden="1" customHeight="1" x14ac:dyDescent="0.25">
      <c r="B1830" s="48" t="s">
        <v>886</v>
      </c>
      <c r="E1830" s="2163">
        <v>0</v>
      </c>
      <c r="G1830" s="2163">
        <v>0</v>
      </c>
      <c r="I1830" s="2043">
        <v>0</v>
      </c>
      <c r="J1830" s="200"/>
      <c r="K1830" s="2043">
        <v>0</v>
      </c>
      <c r="N1830" s="1133"/>
      <c r="O1830" s="1146"/>
    </row>
    <row r="1831" spans="1:27" ht="15.6" hidden="1" customHeight="1" x14ac:dyDescent="0.25">
      <c r="B1831" s="48" t="s">
        <v>887</v>
      </c>
      <c r="E1831" s="2163">
        <v>0</v>
      </c>
      <c r="G1831" s="2163">
        <v>0</v>
      </c>
      <c r="I1831" s="2043">
        <v>0</v>
      </c>
      <c r="J1831" s="200"/>
      <c r="K1831" s="2043">
        <v>0</v>
      </c>
      <c r="N1831" s="1133"/>
      <c r="O1831" s="1146"/>
    </row>
    <row r="1832" spans="1:27" ht="15.6" hidden="1" customHeight="1" x14ac:dyDescent="0.25">
      <c r="B1832" s="48" t="s">
        <v>888</v>
      </c>
      <c r="E1832" s="2163">
        <v>0</v>
      </c>
      <c r="G1832" s="2163">
        <v>0</v>
      </c>
      <c r="I1832" s="2043">
        <v>0</v>
      </c>
      <c r="J1832" s="200"/>
      <c r="K1832" s="2043">
        <v>0</v>
      </c>
      <c r="N1832" s="1133"/>
      <c r="O1832" s="1146"/>
    </row>
    <row r="1833" spans="1:27" ht="15.6" hidden="1" customHeight="1" x14ac:dyDescent="0.25">
      <c r="E1833" s="996"/>
      <c r="G1833" s="996"/>
      <c r="I1833" s="58"/>
      <c r="J1833" s="200"/>
      <c r="K1833" s="58"/>
      <c r="N1833" s="1133"/>
      <c r="O1833" s="1146"/>
    </row>
    <row r="1834" spans="1:27" ht="15.6" hidden="1" customHeight="1" thickBot="1" x14ac:dyDescent="0.3">
      <c r="B1834" s="50" t="s">
        <v>889</v>
      </c>
      <c r="E1834" s="204">
        <f>AVERAGE(E1829:E1833)</f>
        <v>0</v>
      </c>
      <c r="F1834" s="200"/>
      <c r="G1834" s="204">
        <f>AVERAGE(G1829:G1833)</f>
        <v>0</v>
      </c>
      <c r="I1834" s="204">
        <f>AVERAGE(I1829:I1833)</f>
        <v>0</v>
      </c>
      <c r="J1834" s="200"/>
      <c r="K1834" s="204">
        <f>AVERAGE(K1829:K1833)</f>
        <v>0</v>
      </c>
      <c r="N1834" s="1133"/>
      <c r="O1834" s="1146"/>
      <c r="P1834" s="48"/>
      <c r="Q1834" s="48"/>
      <c r="R1834" s="48"/>
      <c r="S1834" s="48"/>
      <c r="T1834" s="48"/>
      <c r="U1834" s="48"/>
      <c r="V1834" s="48"/>
      <c r="W1834" s="48"/>
    </row>
    <row r="1835" spans="1:27" ht="15.6" hidden="1" customHeight="1" thickTop="1" x14ac:dyDescent="0.25">
      <c r="I1835" s="217"/>
      <c r="J1835" s="200"/>
      <c r="K1835" s="217"/>
      <c r="N1835" s="1133"/>
      <c r="O1835" s="1146"/>
      <c r="P1835" s="48"/>
      <c r="Q1835" s="48"/>
      <c r="R1835" s="48"/>
      <c r="S1835" s="48"/>
      <c r="T1835" s="48"/>
      <c r="U1835" s="48"/>
      <c r="V1835" s="48"/>
      <c r="W1835" s="48"/>
    </row>
    <row r="1836" spans="1:27" ht="46.5" hidden="1" customHeight="1" x14ac:dyDescent="0.2">
      <c r="A1836" s="201"/>
      <c r="B1836" s="2861" t="s">
        <v>890</v>
      </c>
      <c r="C1836" s="2861"/>
      <c r="D1836" s="2861"/>
      <c r="E1836" s="2861"/>
      <c r="F1836" s="2861"/>
      <c r="G1836" s="2861"/>
      <c r="H1836" s="2861"/>
      <c r="I1836" s="2861"/>
      <c r="J1836" s="2861"/>
      <c r="K1836" s="2861"/>
      <c r="L1836" s="201"/>
      <c r="M1836" s="1213" t="s">
        <v>2352</v>
      </c>
      <c r="N1836" s="1133"/>
      <c r="O1836" s="1146"/>
      <c r="P1836" s="48"/>
      <c r="Q1836" s="48"/>
      <c r="R1836" s="48"/>
      <c r="S1836" s="48"/>
      <c r="T1836" s="48"/>
      <c r="U1836" s="48"/>
      <c r="V1836" s="48"/>
      <c r="W1836" s="48"/>
    </row>
    <row r="1837" spans="1:27" ht="15.6" hidden="1" customHeight="1" x14ac:dyDescent="0.2">
      <c r="A1837" s="201"/>
      <c r="B1837" s="201"/>
      <c r="C1837" s="201"/>
      <c r="D1837" s="201"/>
      <c r="E1837" s="201"/>
      <c r="F1837" s="201"/>
      <c r="G1837" s="201"/>
      <c r="H1837" s="201"/>
      <c r="I1837" s="58"/>
      <c r="K1837" s="58"/>
      <c r="L1837" s="201"/>
      <c r="N1837" s="1133"/>
      <c r="O1837" s="1146"/>
      <c r="P1837" s="48"/>
      <c r="Q1837" s="48"/>
      <c r="R1837" s="48"/>
      <c r="S1837" s="48"/>
      <c r="T1837" s="48"/>
      <c r="U1837" s="48"/>
      <c r="V1837" s="48"/>
      <c r="W1837" s="48"/>
    </row>
    <row r="1838" spans="1:27" ht="15.6" hidden="1" customHeight="1" x14ac:dyDescent="0.2">
      <c r="B1838" s="2840" t="s">
        <v>892</v>
      </c>
      <c r="C1838" s="2840"/>
      <c r="D1838" s="2840"/>
      <c r="E1838" s="2840"/>
      <c r="F1838" s="2840"/>
      <c r="G1838" s="2840"/>
      <c r="H1838" s="2840"/>
      <c r="I1838" s="2840"/>
      <c r="J1838" s="2840"/>
      <c r="K1838" s="2840"/>
      <c r="M1838" s="1256" t="s">
        <v>2344</v>
      </c>
      <c r="N1838" s="1147"/>
      <c r="O1838" s="1146"/>
      <c r="P1838" s="48"/>
      <c r="Q1838" s="48"/>
      <c r="R1838" s="48"/>
      <c r="S1838" s="48"/>
      <c r="T1838" s="48"/>
      <c r="U1838" s="48"/>
      <c r="V1838" s="48"/>
      <c r="W1838" s="48"/>
    </row>
    <row r="1839" spans="1:27" ht="15.6" hidden="1" customHeight="1" x14ac:dyDescent="0.25">
      <c r="I1839" s="200"/>
      <c r="J1839" s="200"/>
      <c r="K1839" s="200"/>
      <c r="L1839" s="210"/>
      <c r="M1839" s="1133"/>
      <c r="N1839" s="1147"/>
      <c r="O1839" s="1146"/>
      <c r="P1839" s="48"/>
      <c r="Q1839" s="48"/>
      <c r="R1839" s="48"/>
      <c r="S1839" s="48"/>
      <c r="T1839" s="48"/>
      <c r="U1839" s="48"/>
      <c r="V1839" s="48"/>
      <c r="W1839" s="48"/>
    </row>
    <row r="1840" spans="1:27" ht="30.95" hidden="1" customHeight="1" x14ac:dyDescent="0.2">
      <c r="A1840" s="201"/>
      <c r="B1840" s="2879" t="s">
        <v>893</v>
      </c>
      <c r="C1840" s="2879"/>
      <c r="D1840" s="2879"/>
      <c r="E1840" s="2879"/>
      <c r="F1840" s="2879"/>
      <c r="G1840" s="2879"/>
      <c r="H1840" s="2879"/>
      <c r="I1840" s="2879"/>
      <c r="J1840" s="2879"/>
      <c r="K1840" s="2879"/>
      <c r="L1840" s="201"/>
      <c r="M1840" s="1213" t="s">
        <v>2345</v>
      </c>
      <c r="N1840" s="1133"/>
      <c r="O1840" s="1146"/>
      <c r="P1840" s="48"/>
      <c r="Q1840" s="48"/>
      <c r="R1840" s="48"/>
      <c r="S1840" s="48"/>
      <c r="T1840" s="48"/>
      <c r="U1840" s="48"/>
      <c r="V1840" s="48"/>
      <c r="W1840" s="48"/>
    </row>
    <row r="1841" spans="1:23" ht="15.6" hidden="1" customHeight="1" x14ac:dyDescent="0.2">
      <c r="A1841" s="201"/>
      <c r="B1841" s="201"/>
      <c r="C1841" s="201"/>
      <c r="D1841" s="201"/>
      <c r="E1841" s="201"/>
      <c r="F1841" s="201"/>
      <c r="G1841" s="201"/>
      <c r="H1841" s="201"/>
      <c r="I1841" s="58"/>
      <c r="K1841" s="58"/>
      <c r="L1841" s="201"/>
      <c r="N1841" s="1133"/>
      <c r="O1841" s="1146"/>
      <c r="P1841" s="48"/>
      <c r="Q1841" s="48"/>
      <c r="R1841" s="48"/>
      <c r="S1841" s="48"/>
      <c r="T1841" s="48"/>
      <c r="U1841" s="48"/>
      <c r="V1841" s="48"/>
      <c r="W1841" s="48"/>
    </row>
    <row r="1842" spans="1:23" ht="15.6" hidden="1" customHeight="1" x14ac:dyDescent="0.2">
      <c r="B1842" s="2939" t="s">
        <v>894</v>
      </c>
      <c r="C1842" s="2939"/>
      <c r="D1842" s="2939"/>
      <c r="E1842" s="2939"/>
      <c r="F1842" s="2939"/>
      <c r="G1842" s="2939"/>
      <c r="H1842" s="56"/>
      <c r="I1842" s="56"/>
      <c r="J1842" s="56"/>
      <c r="K1842" s="56"/>
      <c r="M1842" s="1256" t="s">
        <v>2346</v>
      </c>
      <c r="N1842" s="1147"/>
      <c r="O1842" s="1146"/>
      <c r="P1842" s="48"/>
      <c r="Q1842" s="48"/>
      <c r="R1842" s="48"/>
      <c r="S1842" s="48"/>
      <c r="T1842" s="48"/>
      <c r="U1842" s="48"/>
      <c r="V1842" s="48"/>
      <c r="W1842" s="48"/>
    </row>
    <row r="1843" spans="1:23" ht="15.6" hidden="1" customHeight="1" x14ac:dyDescent="0.25">
      <c r="C1843" s="1245">
        <f>Parameters!C17</f>
        <v>2012</v>
      </c>
      <c r="D1843" s="49"/>
      <c r="E1843" s="1245">
        <f>Parameters!C19</f>
        <v>2011</v>
      </c>
      <c r="F1843" s="49"/>
      <c r="G1843" s="1245">
        <f>Parameters!C21</f>
        <v>2010</v>
      </c>
      <c r="I1843" s="1245">
        <f>G1843-1</f>
        <v>2009</v>
      </c>
      <c r="J1843" s="206"/>
      <c r="K1843" s="1245">
        <f>I1843-1</f>
        <v>2008</v>
      </c>
      <c r="L1843" s="207"/>
      <c r="M1843" s="1133"/>
      <c r="N1843" s="1147"/>
      <c r="O1843" s="1146"/>
      <c r="P1843" s="48"/>
      <c r="Q1843" s="48"/>
      <c r="R1843" s="48"/>
      <c r="S1843" s="48"/>
      <c r="T1843" s="48"/>
      <c r="U1843" s="48"/>
      <c r="V1843" s="48"/>
      <c r="W1843" s="48"/>
    </row>
    <row r="1844" spans="1:23" ht="15.6" hidden="1" customHeight="1" x14ac:dyDescent="0.25">
      <c r="C1844" s="237" t="s">
        <v>255</v>
      </c>
      <c r="D1844" s="238"/>
      <c r="E1844" s="237" t="s">
        <v>255</v>
      </c>
      <c r="G1844" s="237" t="s">
        <v>255</v>
      </c>
      <c r="H1844" s="238"/>
      <c r="I1844" s="237" t="s">
        <v>255</v>
      </c>
      <c r="J1844" s="206"/>
      <c r="K1844" s="237" t="s">
        <v>255</v>
      </c>
      <c r="L1844" s="207"/>
      <c r="M1844" s="1133"/>
      <c r="N1844" s="1147"/>
      <c r="O1844" s="1146"/>
      <c r="P1844" s="48"/>
      <c r="Q1844" s="48"/>
      <c r="R1844" s="48"/>
      <c r="S1844" s="48"/>
      <c r="T1844" s="48"/>
      <c r="U1844" s="48"/>
      <c r="V1844" s="48"/>
      <c r="W1844" s="48"/>
    </row>
    <row r="1845" spans="1:23" ht="15.6" hidden="1" customHeight="1" x14ac:dyDescent="0.2">
      <c r="I1845" s="206"/>
      <c r="J1845" s="206"/>
      <c r="K1845" s="206"/>
      <c r="L1845" s="207"/>
      <c r="M1845" s="1133"/>
      <c r="N1845" s="1147"/>
      <c r="O1845" s="1146"/>
      <c r="P1845" s="48"/>
      <c r="Q1845" s="48"/>
      <c r="R1845" s="48"/>
      <c r="S1845" s="48"/>
      <c r="T1845" s="48"/>
      <c r="U1845" s="48"/>
      <c r="V1845" s="48"/>
      <c r="W1845" s="48"/>
    </row>
    <row r="1846" spans="1:23" ht="30.95" hidden="1" customHeight="1" x14ac:dyDescent="0.2">
      <c r="B1846" s="1248" t="s">
        <v>895</v>
      </c>
      <c r="C1846" s="2060">
        <f>I1784</f>
        <v>0</v>
      </c>
      <c r="E1846" s="2060">
        <f>K1784</f>
        <v>0</v>
      </c>
      <c r="G1846" s="2078">
        <f>K1770</f>
        <v>0</v>
      </c>
      <c r="I1846" s="2078">
        <v>0</v>
      </c>
      <c r="J1846" s="206"/>
      <c r="K1846" s="2078">
        <v>0</v>
      </c>
      <c r="L1846" s="207"/>
      <c r="M1846" s="1133"/>
      <c r="N1846" s="1147"/>
      <c r="O1846" s="1146"/>
      <c r="P1846" s="48"/>
      <c r="Q1846" s="48"/>
      <c r="R1846" s="48"/>
      <c r="S1846" s="48"/>
      <c r="T1846" s="48"/>
      <c r="U1846" s="48"/>
      <c r="V1846" s="48"/>
      <c r="W1846" s="48"/>
    </row>
    <row r="1847" spans="1:23" ht="15.6" hidden="1" customHeight="1" x14ac:dyDescent="0.2">
      <c r="B1847" s="48" t="s">
        <v>884</v>
      </c>
      <c r="C1847" s="2060">
        <v>0</v>
      </c>
      <c r="E1847" s="2060">
        <v>0</v>
      </c>
      <c r="G1847" s="2078">
        <v>0</v>
      </c>
      <c r="I1847" s="2078">
        <v>0</v>
      </c>
      <c r="J1847" s="206"/>
      <c r="K1847" s="2078">
        <v>0</v>
      </c>
      <c r="L1847" s="207"/>
      <c r="M1847" s="1133"/>
      <c r="N1847" s="1147"/>
      <c r="O1847" s="1596"/>
      <c r="P1847" s="48"/>
      <c r="Q1847" s="48"/>
      <c r="R1847" s="48"/>
      <c r="S1847" s="48"/>
      <c r="T1847" s="48"/>
      <c r="U1847" s="48"/>
      <c r="V1847" s="48"/>
      <c r="W1847" s="48"/>
    </row>
    <row r="1848" spans="1:23" ht="15.6" hidden="1" customHeight="1" x14ac:dyDescent="0.2">
      <c r="C1848" s="199"/>
      <c r="E1848" s="199"/>
      <c r="G1848" s="206"/>
      <c r="I1848" s="206"/>
      <c r="J1848" s="206"/>
      <c r="K1848" s="206"/>
      <c r="L1848" s="207"/>
      <c r="M1848" s="1133"/>
      <c r="N1848" s="1147"/>
      <c r="O1848" s="1596"/>
      <c r="P1848" s="48"/>
      <c r="Q1848" s="48"/>
      <c r="R1848" s="48"/>
      <c r="S1848" s="48"/>
      <c r="T1848" s="48"/>
      <c r="U1848" s="48"/>
      <c r="V1848" s="48"/>
      <c r="W1848" s="48"/>
    </row>
    <row r="1849" spans="1:23" ht="15.6" hidden="1" customHeight="1" thickBot="1" x14ac:dyDescent="0.3">
      <c r="B1849" s="50" t="s">
        <v>858</v>
      </c>
      <c r="C1849" s="202">
        <f>SUM(C1846:C1848)</f>
        <v>0</v>
      </c>
      <c r="D1849" s="219"/>
      <c r="E1849" s="202">
        <f>SUM(E1846:E1848)</f>
        <v>0</v>
      </c>
      <c r="F1849" s="219"/>
      <c r="G1849" s="202">
        <f>SUM(G1846:G1848)</f>
        <v>0</v>
      </c>
      <c r="H1849" s="219"/>
      <c r="I1849" s="202">
        <f>SUM(I1846:I1848)</f>
        <v>0</v>
      </c>
      <c r="J1849" s="666"/>
      <c r="K1849" s="202">
        <f>SUM(K1846:K1848)</f>
        <v>0</v>
      </c>
      <c r="L1849" s="207"/>
      <c r="M1849" s="1133"/>
      <c r="N1849" s="1147"/>
      <c r="O1849" s="1596"/>
      <c r="P1849" s="48"/>
      <c r="Q1849" s="48"/>
      <c r="R1849" s="48"/>
      <c r="S1849" s="48"/>
      <c r="T1849" s="48"/>
      <c r="U1849" s="48"/>
      <c r="V1849" s="48"/>
      <c r="W1849" s="48"/>
    </row>
    <row r="1850" spans="1:23" ht="15.6" hidden="1" customHeight="1" thickTop="1" x14ac:dyDescent="0.2">
      <c r="C1850" s="199"/>
      <c r="E1850" s="199"/>
      <c r="G1850" s="206"/>
      <c r="I1850" s="206"/>
      <c r="J1850" s="206"/>
      <c r="K1850" s="206"/>
      <c r="L1850" s="207"/>
      <c r="M1850" s="1133"/>
      <c r="N1850" s="1147"/>
      <c r="O1850" s="1596"/>
      <c r="Q1850" s="48"/>
      <c r="R1850" s="48"/>
      <c r="S1850" s="48"/>
      <c r="T1850" s="48"/>
      <c r="U1850" s="48"/>
      <c r="V1850" s="48"/>
      <c r="W1850" s="48"/>
    </row>
    <row r="1851" spans="1:23" ht="30.95" hidden="1" customHeight="1" x14ac:dyDescent="0.2">
      <c r="B1851" s="1248" t="s">
        <v>896</v>
      </c>
      <c r="C1851" s="2060">
        <v>0</v>
      </c>
      <c r="E1851" s="2060">
        <v>0</v>
      </c>
      <c r="G1851" s="2078">
        <v>0</v>
      </c>
      <c r="I1851" s="2078">
        <v>0</v>
      </c>
      <c r="J1851" s="206"/>
      <c r="K1851" s="2078">
        <v>0</v>
      </c>
      <c r="L1851" s="207"/>
      <c r="M1851" s="1133"/>
      <c r="N1851" s="1147"/>
      <c r="O1851" s="1596"/>
      <c r="Q1851" s="48"/>
      <c r="R1851" s="48"/>
      <c r="S1851" s="48"/>
      <c r="T1851" s="48"/>
      <c r="U1851" s="48"/>
      <c r="V1851" s="48"/>
      <c r="W1851" s="48"/>
    </row>
    <row r="1852" spans="1:23" ht="15.6" hidden="1" customHeight="1" x14ac:dyDescent="0.2">
      <c r="I1852" s="206"/>
      <c r="J1852" s="206"/>
      <c r="K1852" s="206"/>
      <c r="L1852" s="207"/>
      <c r="M1852" s="1133"/>
      <c r="N1852" s="1147"/>
      <c r="O1852" s="1596"/>
      <c r="Q1852" s="48"/>
      <c r="R1852" s="48"/>
      <c r="S1852" s="48"/>
      <c r="T1852" s="48"/>
      <c r="U1852" s="48"/>
      <c r="V1852" s="48"/>
      <c r="W1852" s="48"/>
    </row>
    <row r="1853" spans="1:23" ht="15.6" hidden="1" customHeight="1" x14ac:dyDescent="0.2">
      <c r="B1853" s="1248" t="s">
        <v>897</v>
      </c>
      <c r="C1853" s="2060">
        <v>0</v>
      </c>
      <c r="E1853" s="2060">
        <v>0</v>
      </c>
      <c r="G1853" s="2078">
        <v>0</v>
      </c>
      <c r="I1853" s="2078">
        <v>0</v>
      </c>
      <c r="J1853" s="206"/>
      <c r="K1853" s="2078">
        <v>0</v>
      </c>
      <c r="L1853" s="207"/>
      <c r="M1853" s="1133"/>
      <c r="N1853" s="1147"/>
      <c r="O1853" s="1596"/>
      <c r="Q1853" s="48"/>
      <c r="R1853" s="48"/>
      <c r="S1853" s="48"/>
      <c r="T1853" s="48"/>
      <c r="U1853" s="48"/>
      <c r="V1853" s="48"/>
      <c r="W1853" s="48"/>
    </row>
    <row r="1854" spans="1:23" ht="15.6" hidden="1" customHeight="1" x14ac:dyDescent="0.2">
      <c r="I1854" s="206"/>
      <c r="J1854" s="206"/>
      <c r="K1854" s="206"/>
      <c r="L1854" s="207"/>
      <c r="M1854" s="1133"/>
      <c r="N1854" s="1147"/>
      <c r="O1854" s="1596"/>
      <c r="Q1854" s="48"/>
      <c r="R1854" s="48"/>
      <c r="S1854" s="48"/>
      <c r="T1854" s="48"/>
      <c r="U1854" s="48"/>
      <c r="V1854" s="48"/>
      <c r="W1854" s="48"/>
    </row>
    <row r="1855" spans="1:23" ht="30.95" hidden="1" customHeight="1" x14ac:dyDescent="0.2">
      <c r="A1855" s="201"/>
      <c r="B1855" s="2861" t="s">
        <v>1691</v>
      </c>
      <c r="C1855" s="2861"/>
      <c r="D1855" s="2861"/>
      <c r="E1855" s="2861"/>
      <c r="F1855" s="2861"/>
      <c r="G1855" s="2861"/>
      <c r="H1855" s="2861"/>
      <c r="I1855" s="2861"/>
      <c r="J1855" s="2861"/>
      <c r="K1855" s="2861"/>
      <c r="L1855" s="201"/>
      <c r="N1855" s="1133"/>
      <c r="O1855" s="1146"/>
      <c r="Q1855" s="48"/>
      <c r="R1855" s="48"/>
      <c r="S1855" s="48"/>
      <c r="T1855" s="48"/>
      <c r="U1855" s="48"/>
      <c r="V1855" s="48"/>
      <c r="W1855" s="48"/>
    </row>
    <row r="1856" spans="1:23" ht="15.6" hidden="1" customHeight="1" x14ac:dyDescent="0.2">
      <c r="I1856" s="206"/>
      <c r="J1856" s="206"/>
      <c r="K1856" s="206"/>
      <c r="L1856" s="207"/>
      <c r="M1856" s="1133"/>
      <c r="N1856" s="1147"/>
      <c r="O1856" s="1596"/>
      <c r="Q1856" s="48"/>
      <c r="R1856" s="48"/>
      <c r="S1856" s="48"/>
      <c r="T1856" s="48"/>
      <c r="U1856" s="48"/>
      <c r="V1856" s="48"/>
      <c r="W1856" s="48"/>
    </row>
    <row r="1857" spans="1:23" ht="15.6" hidden="1" customHeight="1" x14ac:dyDescent="0.25">
      <c r="A1857" s="50"/>
      <c r="D1857" s="48"/>
      <c r="F1857" s="48"/>
      <c r="H1857" s="49"/>
      <c r="I1857" s="1245">
        <f>Parameters!C17</f>
        <v>2012</v>
      </c>
      <c r="J1857" s="2150"/>
      <c r="K1857" s="1245">
        <f>Parameters!C19</f>
        <v>2011</v>
      </c>
      <c r="L1857" s="49"/>
      <c r="M1857" s="232" t="s">
        <v>803</v>
      </c>
      <c r="N1857" s="1224">
        <f>Parameters!C21</f>
        <v>2010</v>
      </c>
      <c r="O1857" s="1460"/>
      <c r="Q1857" s="48"/>
      <c r="R1857" s="48"/>
      <c r="S1857" s="48"/>
      <c r="T1857" s="48"/>
      <c r="U1857" s="48"/>
      <c r="V1857" s="48"/>
      <c r="W1857" s="48"/>
    </row>
    <row r="1858" spans="1:23" ht="15.6" hidden="1" customHeight="1" x14ac:dyDescent="0.25">
      <c r="I1858" s="1264" t="s">
        <v>255</v>
      </c>
      <c r="J1858" s="200"/>
      <c r="K1858" s="1264" t="s">
        <v>255</v>
      </c>
      <c r="L1858" s="210"/>
      <c r="M1858" s="1133"/>
      <c r="N1858" s="1147"/>
      <c r="O1858" s="1146"/>
      <c r="P1858" s="1115"/>
      <c r="Q1858" s="48"/>
      <c r="R1858" s="48"/>
      <c r="S1858" s="48"/>
      <c r="T1858" s="48"/>
      <c r="U1858" s="48"/>
      <c r="V1858" s="48"/>
      <c r="W1858" s="48"/>
    </row>
    <row r="1859" spans="1:23" ht="15.6" hidden="1" customHeight="1" x14ac:dyDescent="0.2">
      <c r="J1859" s="57"/>
      <c r="M1859" s="1133"/>
      <c r="N1859" s="1147"/>
      <c r="O1859" s="1146"/>
      <c r="P1859" s="1115"/>
      <c r="Q1859" s="48"/>
      <c r="R1859" s="48"/>
      <c r="S1859" s="48"/>
      <c r="T1859" s="48"/>
      <c r="U1859" s="48"/>
      <c r="V1859" s="48"/>
      <c r="W1859" s="48"/>
    </row>
    <row r="1860" spans="1:23" ht="15.6" hidden="1" customHeight="1" x14ac:dyDescent="0.2">
      <c r="B1860" s="48" t="s">
        <v>1342</v>
      </c>
      <c r="J1860" s="57"/>
      <c r="M1860" s="1133"/>
      <c r="N1860" s="1147"/>
      <c r="O1860" s="1146"/>
      <c r="P1860" s="1115"/>
      <c r="Q1860" s="48"/>
      <c r="R1860" s="48"/>
      <c r="S1860" s="48"/>
      <c r="T1860" s="48"/>
      <c r="U1860" s="48"/>
      <c r="V1860" s="48"/>
      <c r="W1860" s="48"/>
    </row>
    <row r="1861" spans="1:23" ht="15.6" hidden="1" customHeight="1" x14ac:dyDescent="0.2">
      <c r="J1861" s="57"/>
      <c r="M1861" s="1133"/>
      <c r="N1861" s="1147"/>
      <c r="O1861" s="1146"/>
      <c r="P1861" s="1115"/>
      <c r="Q1861" s="48"/>
      <c r="R1861" s="48"/>
      <c r="S1861" s="48"/>
      <c r="T1861" s="48"/>
      <c r="U1861" s="48"/>
      <c r="V1861" s="48"/>
      <c r="W1861" s="48"/>
    </row>
    <row r="1862" spans="1:23" ht="15.6" hidden="1" customHeight="1" x14ac:dyDescent="0.25">
      <c r="B1862" s="50" t="s">
        <v>899</v>
      </c>
      <c r="J1862" s="57"/>
      <c r="M1862" s="1133"/>
      <c r="N1862" s="1147"/>
      <c r="O1862" s="1146"/>
      <c r="P1862" s="1115"/>
      <c r="Q1862" s="48"/>
      <c r="R1862" s="48"/>
      <c r="S1862" s="48"/>
      <c r="T1862" s="48"/>
      <c r="U1862" s="48"/>
      <c r="V1862" s="48"/>
      <c r="W1862" s="48"/>
    </row>
    <row r="1863" spans="1:23" ht="15.6" hidden="1" customHeight="1" x14ac:dyDescent="0.25">
      <c r="B1863" s="48" t="s">
        <v>900</v>
      </c>
      <c r="I1863" s="2043">
        <v>0</v>
      </c>
      <c r="J1863" s="200"/>
      <c r="K1863" s="2043">
        <v>0</v>
      </c>
      <c r="M1863" s="1133"/>
      <c r="N1863" s="1147"/>
      <c r="O1863" s="1146"/>
      <c r="P1863" s="1115"/>
      <c r="Q1863" s="48"/>
      <c r="R1863" s="48"/>
      <c r="S1863" s="48"/>
      <c r="T1863" s="48"/>
      <c r="U1863" s="48"/>
      <c r="V1863" s="48"/>
      <c r="W1863" s="48"/>
    </row>
    <row r="1864" spans="1:23" ht="15.6" hidden="1" customHeight="1" x14ac:dyDescent="0.25">
      <c r="B1864" s="48" t="s">
        <v>901</v>
      </c>
      <c r="I1864" s="2043">
        <v>0</v>
      </c>
      <c r="J1864" s="200"/>
      <c r="K1864" s="2043">
        <v>0</v>
      </c>
      <c r="M1864" s="1133"/>
      <c r="N1864" s="1147"/>
      <c r="O1864" s="1146"/>
      <c r="P1864" s="1115"/>
      <c r="Q1864" s="48"/>
      <c r="R1864" s="48"/>
      <c r="S1864" s="48"/>
      <c r="T1864" s="48"/>
      <c r="U1864" s="48"/>
      <c r="V1864" s="48"/>
      <c r="W1864" s="48"/>
    </row>
    <row r="1865" spans="1:23" ht="15.6" hidden="1" customHeight="1" x14ac:dyDescent="0.2">
      <c r="J1865" s="57"/>
      <c r="M1865" s="1133"/>
      <c r="N1865" s="1147"/>
      <c r="O1865" s="1146"/>
      <c r="P1865" s="1115"/>
      <c r="Q1865" s="48"/>
      <c r="R1865" s="48"/>
      <c r="S1865" s="48"/>
      <c r="T1865" s="48"/>
      <c r="U1865" s="48"/>
      <c r="V1865" s="48"/>
      <c r="W1865" s="48"/>
    </row>
    <row r="1866" spans="1:23" ht="15.6" hidden="1" customHeight="1" x14ac:dyDescent="0.25">
      <c r="B1866" s="50" t="s">
        <v>902</v>
      </c>
      <c r="J1866" s="57"/>
      <c r="M1866" s="1133"/>
      <c r="N1866" s="1147"/>
      <c r="O1866" s="1146"/>
      <c r="P1866" s="1115"/>
    </row>
    <row r="1867" spans="1:23" ht="15.6" hidden="1" customHeight="1" x14ac:dyDescent="0.25">
      <c r="B1867" s="48" t="s">
        <v>900</v>
      </c>
      <c r="I1867" s="2043">
        <v>0</v>
      </c>
      <c r="J1867" s="200"/>
      <c r="K1867" s="2043">
        <v>0</v>
      </c>
      <c r="M1867" s="1133"/>
      <c r="N1867" s="1147"/>
      <c r="O1867" s="1146"/>
      <c r="P1867" s="1115"/>
    </row>
    <row r="1868" spans="1:23" ht="15.6" hidden="1" customHeight="1" x14ac:dyDescent="0.25">
      <c r="B1868" s="48" t="s">
        <v>901</v>
      </c>
      <c r="I1868" s="2043">
        <v>0</v>
      </c>
      <c r="J1868" s="200"/>
      <c r="K1868" s="2043">
        <v>0</v>
      </c>
      <c r="M1868" s="1133"/>
      <c r="N1868" s="1147"/>
      <c r="O1868" s="1146"/>
      <c r="P1868" s="1115"/>
    </row>
    <row r="1869" spans="1:23" ht="15.6" hidden="1" customHeight="1" x14ac:dyDescent="0.2">
      <c r="J1869" s="57"/>
      <c r="M1869" s="1133"/>
      <c r="N1869" s="1147"/>
      <c r="O1869" s="1146"/>
      <c r="P1869" s="1115"/>
    </row>
    <row r="1870" spans="1:23" ht="30.95" hidden="1" customHeight="1" x14ac:dyDescent="0.2">
      <c r="B1870" s="2840" t="str">
        <f>"The municipality expects to make a contribution of R1 231 million ("&amp;Parameters!C19&amp;": R1 231 million) to the defined benefit plans during the next financial year."</f>
        <v>The municipality expects to make a contribution of R1 231 million (2011: R1 231 million) to the defined benefit plans during the next financial year.</v>
      </c>
      <c r="C1870" s="2840"/>
      <c r="D1870" s="2840"/>
      <c r="E1870" s="2840"/>
      <c r="F1870" s="2840"/>
      <c r="G1870" s="2840"/>
      <c r="J1870" s="57"/>
      <c r="M1870" s="1217" t="s">
        <v>2348</v>
      </c>
      <c r="N1870" s="1147"/>
      <c r="O1870" s="1146"/>
      <c r="P1870" s="1115"/>
    </row>
    <row r="1871" spans="1:23" ht="15.6" hidden="1" customHeight="1" x14ac:dyDescent="0.2">
      <c r="A1871" s="201"/>
      <c r="B1871" s="201"/>
      <c r="C1871" s="201"/>
      <c r="D1871" s="201"/>
      <c r="E1871" s="201"/>
      <c r="F1871" s="201"/>
      <c r="G1871" s="201"/>
      <c r="H1871" s="201"/>
      <c r="I1871" s="58"/>
      <c r="K1871" s="58"/>
      <c r="L1871" s="201"/>
      <c r="N1871" s="1133"/>
      <c r="O1871" s="1146"/>
    </row>
    <row r="1872" spans="1:23" ht="77.45" hidden="1" customHeight="1" x14ac:dyDescent="0.2">
      <c r="B1872" s="2840" t="s">
        <v>1334</v>
      </c>
      <c r="C1872" s="2840"/>
      <c r="D1872" s="2840"/>
      <c r="E1872" s="2840"/>
      <c r="F1872" s="2840"/>
      <c r="G1872" s="2840"/>
      <c r="H1872" s="56"/>
      <c r="I1872" s="56"/>
      <c r="J1872" s="56"/>
      <c r="K1872" s="56"/>
      <c r="M1872" s="1482"/>
      <c r="N1872" s="1147"/>
      <c r="O1872" s="1596"/>
    </row>
    <row r="1873" spans="1:27" ht="15.6" hidden="1" customHeight="1" x14ac:dyDescent="0.2">
      <c r="I1873" s="206"/>
      <c r="J1873" s="206"/>
      <c r="K1873" s="206"/>
      <c r="L1873" s="207"/>
      <c r="M1873" s="1133"/>
      <c r="N1873" s="1147"/>
      <c r="O1873" s="1596"/>
    </row>
    <row r="1874" spans="1:27" ht="15.6" customHeight="1" x14ac:dyDescent="0.25">
      <c r="B1874" s="229" t="s">
        <v>7560</v>
      </c>
      <c r="C1874" s="50"/>
      <c r="I1874" s="58"/>
      <c r="K1874" s="58"/>
      <c r="N1874" s="1133"/>
      <c r="O1874" s="1146"/>
      <c r="W1874" s="1114" t="s">
        <v>3857</v>
      </c>
    </row>
    <row r="1875" spans="1:27" ht="15.6" customHeight="1" x14ac:dyDescent="0.25">
      <c r="I1875" s="58"/>
      <c r="J1875" s="200"/>
      <c r="K1875" s="58"/>
      <c r="N1875" s="1133"/>
      <c r="O1875" s="1146"/>
    </row>
    <row r="1876" spans="1:27" ht="46.5" customHeight="1" x14ac:dyDescent="0.2">
      <c r="B1876" s="2839" t="s">
        <v>7518</v>
      </c>
      <c r="C1876" s="2839"/>
      <c r="D1876" s="2839"/>
      <c r="E1876" s="2839"/>
      <c r="F1876" s="2839"/>
      <c r="G1876" s="2839"/>
      <c r="H1876" s="56"/>
      <c r="I1876" s="56"/>
      <c r="J1876" s="56"/>
      <c r="K1876" s="56"/>
      <c r="M1876" s="1217" t="s">
        <v>1984</v>
      </c>
      <c r="N1876" s="1147"/>
      <c r="O1876" s="1596"/>
    </row>
    <row r="1877" spans="1:27" ht="62.1" hidden="1" customHeight="1" x14ac:dyDescent="0.2">
      <c r="B1877" s="2840" t="s">
        <v>4350</v>
      </c>
      <c r="C1877" s="2840"/>
      <c r="D1877" s="2840"/>
      <c r="E1877" s="2840"/>
      <c r="F1877" s="2840"/>
      <c r="G1877" s="2840"/>
      <c r="H1877" s="56"/>
      <c r="I1877" s="56"/>
      <c r="J1877" s="56"/>
      <c r="K1877" s="56"/>
      <c r="M1877" s="1217" t="s">
        <v>1984</v>
      </c>
      <c r="N1877" s="1147"/>
      <c r="O1877" s="1596"/>
    </row>
    <row r="1878" spans="1:27" ht="15.6" customHeight="1" x14ac:dyDescent="0.25">
      <c r="I1878" s="200"/>
      <c r="J1878" s="200"/>
      <c r="K1878" s="200"/>
      <c r="L1878" s="210"/>
      <c r="M1878" s="1133"/>
      <c r="N1878" s="1147"/>
      <c r="O1878" s="1596"/>
    </row>
    <row r="1879" spans="1:27" ht="15.6" hidden="1" customHeight="1" x14ac:dyDescent="0.2">
      <c r="I1879" s="58"/>
      <c r="J1879" s="58"/>
      <c r="K1879" s="58"/>
      <c r="L1879" s="59"/>
      <c r="M1879" s="1133"/>
      <c r="N1879" s="1147"/>
      <c r="O1879" s="1592"/>
    </row>
    <row r="1880" spans="1:27" ht="15.6" hidden="1" customHeight="1" x14ac:dyDescent="0.25">
      <c r="A1880" s="211">
        <v>24</v>
      </c>
      <c r="B1880" s="50" t="s">
        <v>1410</v>
      </c>
      <c r="I1880" s="58"/>
      <c r="J1880" s="58"/>
      <c r="K1880" s="58"/>
      <c r="L1880" s="59"/>
      <c r="M1880" s="1133"/>
      <c r="N1880" s="1147"/>
      <c r="O1880" s="1592"/>
      <c r="W1880" s="1114" t="s">
        <v>3520</v>
      </c>
    </row>
    <row r="1881" spans="1:27" ht="15.6" hidden="1" customHeight="1" x14ac:dyDescent="0.2">
      <c r="I1881" s="58"/>
      <c r="J1881" s="58"/>
      <c r="K1881" s="58"/>
      <c r="L1881" s="59"/>
      <c r="M1881" s="1133"/>
      <c r="N1881" s="1147"/>
      <c r="O1881" s="1592"/>
    </row>
    <row r="1882" spans="1:27" ht="15.6" hidden="1" customHeight="1" x14ac:dyDescent="0.2">
      <c r="A1882" s="655"/>
      <c r="B1882" s="655" t="s">
        <v>1411</v>
      </c>
      <c r="C1882" s="655"/>
      <c r="D1882" s="656"/>
      <c r="E1882" s="655"/>
      <c r="F1882" s="656"/>
      <c r="G1882" s="656"/>
      <c r="H1882" s="656"/>
      <c r="I1882" s="658">
        <v>0</v>
      </c>
      <c r="J1882" s="658"/>
      <c r="K1882" s="658">
        <v>0</v>
      </c>
      <c r="L1882" s="1415"/>
      <c r="M1882" s="1133"/>
      <c r="N1882" s="1147"/>
      <c r="O1882" s="1592"/>
    </row>
    <row r="1883" spans="1:27" ht="15.6" hidden="1" customHeight="1" x14ac:dyDescent="0.2">
      <c r="A1883" s="655"/>
      <c r="B1883" s="655" t="s">
        <v>56</v>
      </c>
      <c r="C1883" s="655"/>
      <c r="D1883" s="656"/>
      <c r="E1883" s="655"/>
      <c r="F1883" s="656"/>
      <c r="G1883" s="656"/>
      <c r="H1883" s="656"/>
      <c r="I1883" s="658">
        <f>SUM(I1884:I1885)</f>
        <v>0</v>
      </c>
      <c r="J1883" s="658"/>
      <c r="K1883" s="658">
        <f>SUM(K1884:K1885)</f>
        <v>0</v>
      </c>
      <c r="L1883" s="1415"/>
      <c r="M1883" s="1133"/>
      <c r="N1883" s="1147"/>
      <c r="O1883" s="1592"/>
    </row>
    <row r="1884" spans="1:27" ht="15.6" hidden="1" customHeight="1" x14ac:dyDescent="0.2">
      <c r="A1884" s="655"/>
      <c r="B1884" s="655" t="s">
        <v>612</v>
      </c>
      <c r="C1884" s="655"/>
      <c r="D1884" s="656"/>
      <c r="E1884" s="655"/>
      <c r="F1884" s="656"/>
      <c r="G1884" s="656"/>
      <c r="H1884" s="656"/>
      <c r="I1884" s="1548">
        <f>I1907</f>
        <v>0</v>
      </c>
      <c r="J1884" s="658"/>
      <c r="K1884" s="1548">
        <f>K1907</f>
        <v>0</v>
      </c>
      <c r="L1884" s="1415"/>
      <c r="M1884" s="1133"/>
      <c r="N1884" s="1147"/>
      <c r="O1884" s="1592"/>
    </row>
    <row r="1885" spans="1:27" ht="15.6" hidden="1" customHeight="1" x14ac:dyDescent="0.2">
      <c r="A1885" s="655"/>
      <c r="B1885" s="655" t="s">
        <v>613</v>
      </c>
      <c r="C1885" s="655"/>
      <c r="D1885" s="656"/>
      <c r="E1885" s="655"/>
      <c r="F1885" s="656"/>
      <c r="G1885" s="656"/>
      <c r="H1885" s="656"/>
      <c r="I1885" s="1411">
        <v>0</v>
      </c>
      <c r="J1885" s="1615"/>
      <c r="K1885" s="1411">
        <v>0</v>
      </c>
      <c r="L1885" s="1415"/>
      <c r="M1885" s="1133"/>
      <c r="N1885" s="1147"/>
      <c r="O1885" s="1592"/>
    </row>
    <row r="1886" spans="1:27" ht="15.6" hidden="1" customHeight="1" x14ac:dyDescent="0.25">
      <c r="A1886" s="655"/>
      <c r="B1886" s="655"/>
      <c r="C1886" s="655"/>
      <c r="D1886" s="656"/>
      <c r="E1886" s="655"/>
      <c r="F1886" s="656"/>
      <c r="G1886" s="656"/>
      <c r="H1886" s="656"/>
      <c r="I1886" s="658"/>
      <c r="J1886" s="658"/>
      <c r="K1886" s="658"/>
      <c r="L1886" s="1415"/>
      <c r="M1886" s="1133"/>
      <c r="N1886" s="1147"/>
      <c r="O1886" s="1592"/>
      <c r="Y1886" s="50"/>
      <c r="Z1886" s="50"/>
      <c r="AA1886" s="50"/>
    </row>
    <row r="1887" spans="1:27" s="50" customFormat="1" ht="15.6" hidden="1" customHeight="1" thickBot="1" x14ac:dyDescent="0.3">
      <c r="A1887" s="659"/>
      <c r="B1887" s="659" t="s">
        <v>1412</v>
      </c>
      <c r="C1887" s="659"/>
      <c r="D1887" s="1454"/>
      <c r="E1887" s="659"/>
      <c r="F1887" s="1454"/>
      <c r="G1887" s="1454"/>
      <c r="H1887" s="1454"/>
      <c r="I1887" s="1457">
        <f>SUM(I1882:I1883)</f>
        <v>0</v>
      </c>
      <c r="J1887" s="1455"/>
      <c r="K1887" s="1457">
        <f>SUM(K1882:K1883)</f>
        <v>0</v>
      </c>
      <c r="L1887" s="662"/>
      <c r="M1887" s="234"/>
      <c r="N1887" s="1147">
        <v>0</v>
      </c>
      <c r="O1887" s="1147"/>
      <c r="P1887" s="1110" t="s">
        <v>3632</v>
      </c>
      <c r="Q1887" s="1111" t="s">
        <v>2775</v>
      </c>
      <c r="R1887" s="1111"/>
      <c r="S1887" s="1111"/>
      <c r="T1887" s="1111"/>
      <c r="U1887" s="1112"/>
      <c r="V1887" s="1133"/>
      <c r="W1887" s="1111"/>
      <c r="X1887" s="48"/>
      <c r="Y1887" s="48"/>
      <c r="Z1887" s="48"/>
      <c r="AA1887" s="48"/>
    </row>
    <row r="1888" spans="1:27" ht="15.6" hidden="1" customHeight="1" thickTop="1" x14ac:dyDescent="0.2">
      <c r="A1888" s="655"/>
      <c r="B1888" s="655"/>
      <c r="C1888" s="655"/>
      <c r="D1888" s="656"/>
      <c r="E1888" s="655"/>
      <c r="F1888" s="656"/>
      <c r="G1888" s="656"/>
      <c r="H1888" s="656"/>
      <c r="I1888" s="1528">
        <v>0</v>
      </c>
      <c r="J1888" s="660"/>
      <c r="K1888" s="1528">
        <v>0</v>
      </c>
      <c r="L1888" s="1415"/>
      <c r="M1888" s="1133"/>
      <c r="N1888" s="1147"/>
      <c r="O1888" s="1592"/>
    </row>
    <row r="1889" spans="1:23" ht="15.6" hidden="1" customHeight="1" x14ac:dyDescent="0.25">
      <c r="A1889" s="655"/>
      <c r="B1889" s="1456" t="s">
        <v>6445</v>
      </c>
      <c r="C1889" s="659"/>
      <c r="D1889" s="656"/>
      <c r="E1889" s="655"/>
      <c r="F1889" s="656"/>
      <c r="G1889" s="656"/>
      <c r="H1889" s="656"/>
      <c r="I1889" s="658"/>
      <c r="J1889" s="661"/>
      <c r="K1889" s="658"/>
      <c r="L1889" s="655"/>
      <c r="N1889" s="1133"/>
      <c r="O1889" s="1146"/>
      <c r="W1889" s="1114" t="s">
        <v>3857</v>
      </c>
    </row>
    <row r="1890" spans="1:23" ht="15.6" hidden="1" customHeight="1" x14ac:dyDescent="0.25">
      <c r="A1890" s="655"/>
      <c r="B1890" s="655"/>
      <c r="C1890" s="655"/>
      <c r="D1890" s="656"/>
      <c r="E1890" s="655"/>
      <c r="F1890" s="656"/>
      <c r="G1890" s="656"/>
      <c r="H1890" s="656"/>
      <c r="I1890" s="658"/>
      <c r="J1890" s="657"/>
      <c r="K1890" s="658"/>
      <c r="L1890" s="655"/>
      <c r="N1890" s="1133"/>
      <c r="O1890" s="1146"/>
    </row>
    <row r="1891" spans="1:23" ht="46.5" hidden="1" customHeight="1" x14ac:dyDescent="0.2">
      <c r="A1891" s="655"/>
      <c r="B1891" s="2868" t="s">
        <v>1477</v>
      </c>
      <c r="C1891" s="2868"/>
      <c r="D1891" s="2868"/>
      <c r="E1891" s="2868"/>
      <c r="F1891" s="2868"/>
      <c r="G1891" s="2868"/>
      <c r="H1891" s="1546"/>
      <c r="I1891" s="1546"/>
      <c r="J1891" s="1546"/>
      <c r="K1891" s="1546"/>
      <c r="L1891" s="655"/>
      <c r="N1891" s="1147"/>
      <c r="O1891" s="1592"/>
    </row>
    <row r="1892" spans="1:23" ht="15.6" hidden="1" customHeight="1" x14ac:dyDescent="0.2">
      <c r="A1892" s="655"/>
      <c r="B1892" s="655"/>
      <c r="C1892" s="655"/>
      <c r="D1892" s="656"/>
      <c r="E1892" s="655"/>
      <c r="F1892" s="656"/>
      <c r="G1892" s="656"/>
      <c r="H1892" s="656"/>
      <c r="I1892" s="658"/>
      <c r="J1892" s="658"/>
      <c r="K1892" s="658"/>
      <c r="L1892" s="1415"/>
      <c r="M1892" s="1133"/>
      <c r="N1892" s="1147"/>
      <c r="O1892" s="1592"/>
    </row>
    <row r="1893" spans="1:23" ht="62.1" hidden="1" customHeight="1" x14ac:dyDescent="0.2">
      <c r="A1893" s="655"/>
      <c r="B1893" s="2868" t="s">
        <v>1478</v>
      </c>
      <c r="C1893" s="2868"/>
      <c r="D1893" s="2868"/>
      <c r="E1893" s="2868"/>
      <c r="F1893" s="2868"/>
      <c r="G1893" s="2868"/>
      <c r="H1893" s="1546"/>
      <c r="I1893" s="1546"/>
      <c r="J1893" s="1546"/>
      <c r="K1893" s="1546"/>
      <c r="L1893" s="655"/>
      <c r="N1893" s="1147"/>
      <c r="O1893" s="1592"/>
    </row>
    <row r="1894" spans="1:23" ht="15.6" hidden="1" customHeight="1" x14ac:dyDescent="0.2">
      <c r="A1894" s="655"/>
      <c r="B1894" s="655"/>
      <c r="C1894" s="655"/>
      <c r="D1894" s="656"/>
      <c r="E1894" s="655"/>
      <c r="F1894" s="656"/>
      <c r="G1894" s="656"/>
      <c r="H1894" s="656"/>
      <c r="I1894" s="658"/>
      <c r="J1894" s="658"/>
      <c r="K1894" s="658"/>
      <c r="L1894" s="1415"/>
      <c r="M1894" s="1133"/>
      <c r="N1894" s="1147"/>
      <c r="O1894" s="1592"/>
    </row>
    <row r="1895" spans="1:23" ht="15.6" hidden="1" customHeight="1" x14ac:dyDescent="0.2">
      <c r="A1895" s="655"/>
      <c r="B1895" s="2942" t="s">
        <v>1469</v>
      </c>
      <c r="C1895" s="2942"/>
      <c r="D1895" s="2942"/>
      <c r="E1895" s="2942"/>
      <c r="F1895" s="2942"/>
      <c r="G1895" s="2942"/>
      <c r="H1895" s="656"/>
      <c r="I1895" s="658"/>
      <c r="J1895" s="658"/>
      <c r="K1895" s="658"/>
      <c r="L1895" s="1415"/>
      <c r="M1895" s="1133"/>
      <c r="N1895" s="1147"/>
      <c r="O1895" s="1592"/>
    </row>
    <row r="1896" spans="1:23" ht="15.6" hidden="1" customHeight="1" x14ac:dyDescent="0.2">
      <c r="A1896" s="655"/>
      <c r="B1896" s="655"/>
      <c r="C1896" s="655"/>
      <c r="D1896" s="656"/>
      <c r="E1896" s="655"/>
      <c r="F1896" s="656"/>
      <c r="G1896" s="656"/>
      <c r="H1896" s="656"/>
      <c r="I1896" s="658"/>
      <c r="J1896" s="658"/>
      <c r="K1896" s="658"/>
      <c r="L1896" s="1415"/>
      <c r="M1896" s="1133"/>
      <c r="N1896" s="1147"/>
      <c r="O1896" s="1592"/>
    </row>
    <row r="1897" spans="1:23" ht="15.6" hidden="1" customHeight="1" x14ac:dyDescent="0.2">
      <c r="A1897" s="655"/>
      <c r="B1897" s="655" t="s">
        <v>273</v>
      </c>
      <c r="C1897" s="655"/>
      <c r="D1897" s="656"/>
      <c r="E1897" s="655"/>
      <c r="F1897" s="656"/>
      <c r="G1897" s="656"/>
      <c r="H1897" s="656"/>
      <c r="I1897" s="658">
        <v>0</v>
      </c>
      <c r="J1897" s="658"/>
      <c r="K1897" s="658">
        <v>0</v>
      </c>
      <c r="L1897" s="1415"/>
      <c r="M1897" s="1133"/>
      <c r="N1897" s="1147"/>
      <c r="O1897" s="1592"/>
      <c r="P1897" s="1110" t="s">
        <v>3227</v>
      </c>
      <c r="Q1897" s="1111" t="s">
        <v>2763</v>
      </c>
      <c r="R1897" s="1110" t="s">
        <v>3228</v>
      </c>
      <c r="S1897" s="1111" t="s">
        <v>2765</v>
      </c>
    </row>
    <row r="1898" spans="1:23" ht="15.6" hidden="1" customHeight="1" x14ac:dyDescent="0.2">
      <c r="A1898" s="655"/>
      <c r="B1898" s="655" t="s">
        <v>1470</v>
      </c>
      <c r="C1898" s="655"/>
      <c r="D1898" s="656"/>
      <c r="E1898" s="655"/>
      <c r="F1898" s="656"/>
      <c r="G1898" s="656"/>
      <c r="H1898" s="656"/>
      <c r="I1898" s="658">
        <f>SUM(I1899:I1901)</f>
        <v>0</v>
      </c>
      <c r="J1898" s="658"/>
      <c r="K1898" s="658">
        <f>SUM(K1899:K1901)</f>
        <v>0</v>
      </c>
      <c r="L1898" s="1415"/>
      <c r="M1898" s="1133"/>
      <c r="N1898" s="1147"/>
      <c r="O1898" s="1592"/>
      <c r="R1898" s="1110"/>
      <c r="T1898" s="48"/>
      <c r="U1898" s="48"/>
      <c r="V1898" s="48"/>
      <c r="W1898" s="48"/>
    </row>
    <row r="1899" spans="1:23" ht="15.6" hidden="1" customHeight="1" x14ac:dyDescent="0.2">
      <c r="A1899" s="655"/>
      <c r="B1899" s="655" t="s">
        <v>1471</v>
      </c>
      <c r="C1899" s="655"/>
      <c r="D1899" s="656"/>
      <c r="E1899" s="655"/>
      <c r="F1899" s="656"/>
      <c r="G1899" s="656"/>
      <c r="H1899" s="656"/>
      <c r="I1899" s="1548">
        <v>0</v>
      </c>
      <c r="J1899" s="658"/>
      <c r="K1899" s="1548">
        <v>0</v>
      </c>
      <c r="L1899" s="1415"/>
      <c r="M1899" s="1133"/>
      <c r="N1899" s="1147"/>
      <c r="O1899" s="1592"/>
      <c r="P1899" s="1110" t="s">
        <v>3229</v>
      </c>
      <c r="Q1899" s="1111" t="s">
        <v>2763</v>
      </c>
      <c r="R1899" s="1110" t="s">
        <v>3230</v>
      </c>
      <c r="S1899" s="1111" t="s">
        <v>2765</v>
      </c>
      <c r="T1899" s="48"/>
      <c r="U1899" s="48"/>
      <c r="V1899" s="48"/>
      <c r="W1899" s="48"/>
    </row>
    <row r="1900" spans="1:23" ht="15.6" hidden="1" customHeight="1" x14ac:dyDescent="0.2">
      <c r="A1900" s="655"/>
      <c r="B1900" s="655" t="s">
        <v>1472</v>
      </c>
      <c r="C1900" s="655"/>
      <c r="D1900" s="656"/>
      <c r="E1900" s="655"/>
      <c r="F1900" s="656"/>
      <c r="G1900" s="656"/>
      <c r="H1900" s="656"/>
      <c r="I1900" s="668">
        <v>0</v>
      </c>
      <c r="J1900" s="658"/>
      <c r="K1900" s="668">
        <v>0</v>
      </c>
      <c r="L1900" s="1415"/>
      <c r="M1900" s="1133"/>
      <c r="N1900" s="1147"/>
      <c r="O1900" s="1592"/>
      <c r="P1900" s="1110" t="s">
        <v>3231</v>
      </c>
      <c r="Q1900" s="1111" t="s">
        <v>2763</v>
      </c>
      <c r="R1900" s="1110" t="s">
        <v>3232</v>
      </c>
      <c r="S1900" s="1111" t="s">
        <v>2765</v>
      </c>
      <c r="T1900" s="48"/>
      <c r="U1900" s="48"/>
      <c r="V1900" s="48"/>
      <c r="W1900" s="48"/>
    </row>
    <row r="1901" spans="1:23" ht="15.6" hidden="1" customHeight="1" x14ac:dyDescent="0.2">
      <c r="A1901" s="655"/>
      <c r="B1901" s="655" t="s">
        <v>1473</v>
      </c>
      <c r="C1901" s="655"/>
      <c r="D1901" s="656"/>
      <c r="E1901" s="655"/>
      <c r="F1901" s="656"/>
      <c r="G1901" s="656"/>
      <c r="H1901" s="656"/>
      <c r="I1901" s="1535">
        <v>0</v>
      </c>
      <c r="J1901" s="658"/>
      <c r="K1901" s="1535">
        <v>0</v>
      </c>
      <c r="L1901" s="1415"/>
      <c r="M1901" s="1133"/>
      <c r="N1901" s="1147"/>
      <c r="O1901" s="1592"/>
      <c r="R1901" s="1110"/>
      <c r="T1901" s="48"/>
      <c r="U1901" s="48"/>
      <c r="V1901" s="48"/>
      <c r="W1901" s="48"/>
    </row>
    <row r="1902" spans="1:23" ht="15.6" hidden="1" customHeight="1" x14ac:dyDescent="0.2">
      <c r="A1902" s="655"/>
      <c r="B1902" s="655"/>
      <c r="C1902" s="655"/>
      <c r="D1902" s="656"/>
      <c r="E1902" s="655"/>
      <c r="F1902" s="656"/>
      <c r="G1902" s="656"/>
      <c r="H1902" s="656"/>
      <c r="I1902" s="658"/>
      <c r="J1902" s="658"/>
      <c r="K1902" s="658"/>
      <c r="L1902" s="1415"/>
      <c r="M1902" s="1133"/>
      <c r="N1902" s="1147"/>
      <c r="O1902" s="1592"/>
      <c r="R1902" s="1110"/>
      <c r="T1902" s="48"/>
      <c r="U1902" s="48"/>
      <c r="V1902" s="48"/>
      <c r="W1902" s="48"/>
    </row>
    <row r="1903" spans="1:23" ht="15.6" hidden="1" customHeight="1" x14ac:dyDescent="0.2">
      <c r="A1903" s="655"/>
      <c r="B1903" s="655" t="s">
        <v>1474</v>
      </c>
      <c r="C1903" s="655"/>
      <c r="D1903" s="656"/>
      <c r="E1903" s="655"/>
      <c r="F1903" s="656"/>
      <c r="G1903" s="656"/>
      <c r="H1903" s="656"/>
      <c r="I1903" s="658">
        <f>SUM(I1904:I1905)</f>
        <v>0</v>
      </c>
      <c r="J1903" s="658"/>
      <c r="K1903" s="658">
        <f>SUM(K1904:K1905)</f>
        <v>0</v>
      </c>
      <c r="L1903" s="1415"/>
      <c r="M1903" s="1133"/>
      <c r="N1903" s="1147"/>
      <c r="O1903" s="1592"/>
      <c r="R1903" s="1110"/>
      <c r="T1903" s="48"/>
      <c r="U1903" s="48"/>
      <c r="V1903" s="48"/>
      <c r="W1903" s="48"/>
    </row>
    <row r="1904" spans="1:23" ht="15.6" hidden="1" customHeight="1" x14ac:dyDescent="0.2">
      <c r="A1904" s="655"/>
      <c r="B1904" s="655" t="s">
        <v>1475</v>
      </c>
      <c r="C1904" s="655"/>
      <c r="D1904" s="656"/>
      <c r="E1904" s="655"/>
      <c r="F1904" s="656"/>
      <c r="G1904" s="656"/>
      <c r="H1904" s="656"/>
      <c r="I1904" s="1548">
        <v>0</v>
      </c>
      <c r="J1904" s="658"/>
      <c r="K1904" s="1548">
        <v>0</v>
      </c>
      <c r="L1904" s="1415"/>
      <c r="M1904" s="1133"/>
      <c r="N1904" s="1147"/>
      <c r="O1904" s="1592"/>
      <c r="R1904" s="1110"/>
      <c r="T1904" s="48"/>
      <c r="U1904" s="48"/>
      <c r="V1904" s="48"/>
      <c r="W1904" s="48"/>
    </row>
    <row r="1905" spans="1:24" ht="15.6" hidden="1" customHeight="1" x14ac:dyDescent="0.2">
      <c r="A1905" s="655"/>
      <c r="B1905" s="655" t="s">
        <v>1476</v>
      </c>
      <c r="C1905" s="655"/>
      <c r="D1905" s="656"/>
      <c r="E1905" s="655"/>
      <c r="F1905" s="656"/>
      <c r="G1905" s="656"/>
      <c r="H1905" s="656"/>
      <c r="I1905" s="1535">
        <v>0</v>
      </c>
      <c r="J1905" s="658"/>
      <c r="K1905" s="1535">
        <v>0</v>
      </c>
      <c r="L1905" s="1415"/>
      <c r="M1905" s="1133"/>
      <c r="N1905" s="1147"/>
      <c r="O1905" s="1592"/>
      <c r="P1905" s="1110" t="s">
        <v>3233</v>
      </c>
      <c r="Q1905" s="1111" t="s">
        <v>2763</v>
      </c>
      <c r="R1905" s="1110" t="s">
        <v>3234</v>
      </c>
      <c r="S1905" s="1111" t="s">
        <v>2765</v>
      </c>
      <c r="T1905" s="48"/>
      <c r="U1905" s="48"/>
      <c r="V1905" s="48"/>
      <c r="W1905" s="48"/>
    </row>
    <row r="1906" spans="1:24" ht="15.6" hidden="1" customHeight="1" x14ac:dyDescent="0.2">
      <c r="A1906" s="655"/>
      <c r="B1906" s="655"/>
      <c r="C1906" s="655"/>
      <c r="D1906" s="656"/>
      <c r="E1906" s="655"/>
      <c r="F1906" s="656"/>
      <c r="G1906" s="656"/>
      <c r="H1906" s="656"/>
      <c r="I1906" s="661"/>
      <c r="J1906" s="661"/>
      <c r="K1906" s="661"/>
      <c r="L1906" s="655"/>
      <c r="M1906" s="1133"/>
      <c r="N1906" s="1147"/>
      <c r="O1906" s="1592"/>
      <c r="T1906" s="48"/>
      <c r="U1906" s="48"/>
      <c r="V1906" s="48"/>
      <c r="W1906" s="48"/>
    </row>
    <row r="1907" spans="1:24" ht="15.6" hidden="1" customHeight="1" thickBot="1" x14ac:dyDescent="0.3">
      <c r="A1907" s="655"/>
      <c r="B1907" s="659" t="s">
        <v>274</v>
      </c>
      <c r="C1907" s="659"/>
      <c r="D1907" s="656"/>
      <c r="E1907" s="655"/>
      <c r="F1907" s="656"/>
      <c r="G1907" s="656"/>
      <c r="H1907" s="656"/>
      <c r="I1907" s="1457">
        <f>I1897+I1898-I1903</f>
        <v>0</v>
      </c>
      <c r="J1907" s="658"/>
      <c r="K1907" s="1457">
        <f>K1897+K1898-K1903</f>
        <v>0</v>
      </c>
      <c r="L1907" s="1415"/>
      <c r="M1907" s="1133"/>
      <c r="N1907" s="1147"/>
      <c r="O1907" s="1592"/>
      <c r="T1907" s="48"/>
      <c r="U1907" s="48"/>
      <c r="V1907" s="48"/>
      <c r="W1907" s="48"/>
    </row>
    <row r="1908" spans="1:24" ht="15.6" hidden="1" customHeight="1" thickTop="1" x14ac:dyDescent="0.2">
      <c r="A1908" s="655"/>
      <c r="B1908" s="655"/>
      <c r="C1908" s="655"/>
      <c r="D1908" s="656"/>
      <c r="E1908" s="655"/>
      <c r="F1908" s="656"/>
      <c r="G1908" s="656"/>
      <c r="H1908" s="656"/>
      <c r="I1908" s="1528">
        <f>I1883-I1907</f>
        <v>0</v>
      </c>
      <c r="J1908" s="660"/>
      <c r="K1908" s="1528">
        <f>K1883-K1907</f>
        <v>0</v>
      </c>
      <c r="L1908" s="1415"/>
      <c r="M1908" s="1133"/>
      <c r="N1908" s="1147"/>
      <c r="O1908" s="1592"/>
      <c r="T1908" s="48"/>
      <c r="U1908" s="48"/>
      <c r="V1908" s="48"/>
      <c r="W1908" s="48"/>
    </row>
    <row r="1909" spans="1:24" ht="30.95" hidden="1" customHeight="1" x14ac:dyDescent="0.2">
      <c r="A1909" s="655"/>
      <c r="B1909" s="2942" t="s">
        <v>489</v>
      </c>
      <c r="C1909" s="2942"/>
      <c r="D1909" s="2942"/>
      <c r="E1909" s="2942"/>
      <c r="F1909" s="2942"/>
      <c r="G1909" s="2942"/>
      <c r="H1909" s="656"/>
      <c r="I1909" s="658"/>
      <c r="J1909" s="658"/>
      <c r="K1909" s="658"/>
      <c r="L1909" s="1415"/>
      <c r="M1909" s="1133"/>
      <c r="N1909" s="1147"/>
      <c r="O1909" s="1592"/>
      <c r="T1909" s="48"/>
      <c r="U1909" s="48"/>
      <c r="V1909" s="48"/>
      <c r="W1909" s="48"/>
    </row>
    <row r="1910" spans="1:24" ht="15.6" hidden="1" customHeight="1" x14ac:dyDescent="0.2">
      <c r="A1910" s="655"/>
      <c r="B1910" s="655"/>
      <c r="C1910" s="655"/>
      <c r="D1910" s="656"/>
      <c r="E1910" s="655"/>
      <c r="F1910" s="656"/>
      <c r="G1910" s="656"/>
      <c r="H1910" s="656"/>
      <c r="I1910" s="658"/>
      <c r="J1910" s="658"/>
      <c r="K1910" s="658"/>
      <c r="L1910" s="1415"/>
      <c r="M1910" s="1133"/>
      <c r="N1910" s="1147"/>
      <c r="O1910" s="1592"/>
      <c r="T1910" s="48"/>
      <c r="U1910" s="48"/>
      <c r="V1910" s="48"/>
      <c r="W1910" s="48"/>
    </row>
    <row r="1911" spans="1:24" ht="15.6" hidden="1" customHeight="1" x14ac:dyDescent="0.2">
      <c r="A1911" s="655"/>
      <c r="B1911" s="655" t="s">
        <v>2202</v>
      </c>
      <c r="C1911" s="655"/>
      <c r="D1911" s="656"/>
      <c r="E1911" s="655"/>
      <c r="F1911" s="656"/>
      <c r="G1911" s="656"/>
      <c r="H1911" s="656"/>
      <c r="I1911" s="658">
        <f>+'Notes I'!G107</f>
        <v>0</v>
      </c>
      <c r="J1911" s="658"/>
      <c r="K1911" s="658">
        <f>'Notes I'!G124</f>
        <v>0</v>
      </c>
      <c r="L1911" s="1415"/>
      <c r="M1911" s="1133"/>
      <c r="N1911" s="1147"/>
      <c r="O1911" s="1592"/>
      <c r="T1911" s="48"/>
      <c r="U1911" s="48"/>
      <c r="V1911" s="48"/>
      <c r="W1911" s="48"/>
    </row>
    <row r="1912" spans="1:24" ht="15.6" hidden="1" customHeight="1" x14ac:dyDescent="0.2">
      <c r="A1912" s="655"/>
      <c r="B1912" s="655" t="s">
        <v>806</v>
      </c>
      <c r="C1912" s="655"/>
      <c r="D1912" s="656"/>
      <c r="E1912" s="655"/>
      <c r="F1912" s="656"/>
      <c r="G1912" s="656"/>
      <c r="H1912" s="656"/>
      <c r="I1912" s="658">
        <v>199365.71</v>
      </c>
      <c r="J1912" s="658"/>
      <c r="K1912" s="658">
        <v>199365.71</v>
      </c>
      <c r="L1912" s="1415"/>
      <c r="M1912" s="1133"/>
      <c r="N1912" s="1147"/>
      <c r="O1912" s="1592"/>
      <c r="T1912" s="48"/>
      <c r="U1912" s="48"/>
      <c r="V1912" s="48"/>
      <c r="W1912" s="48"/>
    </row>
    <row r="1913" spans="1:24" ht="15.6" hidden="1" customHeight="1" x14ac:dyDescent="0.2">
      <c r="A1913" s="655"/>
      <c r="B1913" s="655" t="s">
        <v>2511</v>
      </c>
      <c r="C1913" s="655"/>
      <c r="D1913" s="656"/>
      <c r="E1913" s="655"/>
      <c r="F1913" s="656"/>
      <c r="G1913" s="656"/>
      <c r="H1913" s="656"/>
      <c r="I1913" s="658">
        <v>0</v>
      </c>
      <c r="J1913" s="658"/>
      <c r="K1913" s="658">
        <v>0</v>
      </c>
      <c r="L1913" s="1415"/>
      <c r="M1913" s="1133"/>
      <c r="N1913" s="1147"/>
      <c r="O1913" s="1592"/>
      <c r="T1913" s="48"/>
      <c r="U1913" s="48"/>
      <c r="V1913" s="48"/>
      <c r="W1913" s="48"/>
    </row>
    <row r="1914" spans="1:24" ht="15.6" hidden="1" customHeight="1" x14ac:dyDescent="0.2">
      <c r="A1914" s="655"/>
      <c r="B1914" s="655" t="s">
        <v>2512</v>
      </c>
      <c r="C1914" s="655"/>
      <c r="D1914" s="656"/>
      <c r="E1914" s="655"/>
      <c r="F1914" s="656"/>
      <c r="G1914" s="656"/>
      <c r="H1914" s="656"/>
      <c r="I1914" s="658">
        <v>0</v>
      </c>
      <c r="J1914" s="658"/>
      <c r="K1914" s="658">
        <v>0</v>
      </c>
      <c r="L1914" s="1415"/>
      <c r="M1914" s="1133"/>
      <c r="N1914" s="1147"/>
      <c r="O1914" s="1592"/>
    </row>
    <row r="1915" spans="1:24" ht="15.6" hidden="1" customHeight="1" x14ac:dyDescent="0.2">
      <c r="A1915" s="655"/>
      <c r="B1915" s="655" t="s">
        <v>807</v>
      </c>
      <c r="C1915" s="655"/>
      <c r="D1915" s="656"/>
      <c r="E1915" s="655"/>
      <c r="F1915" s="656"/>
      <c r="G1915" s="656"/>
      <c r="H1915" s="656"/>
      <c r="I1915" s="658">
        <f>+I1883-SUM(I1911:I1914)</f>
        <v>-199365.71</v>
      </c>
      <c r="J1915" s="658"/>
      <c r="K1915" s="658">
        <f>+K1883-SUM(K1911:K1914)</f>
        <v>-199365.71</v>
      </c>
      <c r="L1915" s="1415"/>
      <c r="M1915" s="1133"/>
      <c r="N1915" s="1147"/>
      <c r="O1915" s="1592"/>
    </row>
    <row r="1916" spans="1:24" ht="15.6" hidden="1" customHeight="1" x14ac:dyDescent="0.2">
      <c r="A1916" s="655"/>
      <c r="B1916" s="655"/>
      <c r="C1916" s="655"/>
      <c r="D1916" s="656"/>
      <c r="E1916" s="655"/>
      <c r="F1916" s="656"/>
      <c r="G1916" s="656"/>
      <c r="H1916" s="656"/>
      <c r="I1916" s="661"/>
      <c r="J1916" s="661"/>
      <c r="K1916" s="661"/>
      <c r="L1916" s="655"/>
      <c r="M1916" s="1133"/>
      <c r="N1916" s="1147"/>
      <c r="O1916" s="1592"/>
    </row>
    <row r="1917" spans="1:24" ht="15.6" hidden="1" customHeight="1" thickBot="1" x14ac:dyDescent="0.3">
      <c r="A1917" s="655"/>
      <c r="B1917" s="659" t="s">
        <v>272</v>
      </c>
      <c r="C1917" s="659"/>
      <c r="D1917" s="656"/>
      <c r="E1917" s="655"/>
      <c r="F1917" s="656"/>
      <c r="G1917" s="656"/>
      <c r="H1917" s="656"/>
      <c r="I1917" s="1457">
        <f>SUM(I1911:I1916)</f>
        <v>0</v>
      </c>
      <c r="J1917" s="658"/>
      <c r="K1917" s="1457">
        <f>SUM(K1911:K1916)</f>
        <v>0</v>
      </c>
      <c r="L1917" s="1415"/>
      <c r="M1917" s="1133"/>
      <c r="N1917" s="1147"/>
      <c r="O1917" s="1592"/>
    </row>
    <row r="1918" spans="1:24" ht="15.6" hidden="1" customHeight="1" thickTop="1" x14ac:dyDescent="0.2">
      <c r="A1918" s="655"/>
      <c r="B1918" s="655"/>
      <c r="C1918" s="655"/>
      <c r="D1918" s="656"/>
      <c r="E1918" s="655"/>
      <c r="F1918" s="656"/>
      <c r="G1918" s="656"/>
      <c r="H1918" s="656"/>
      <c r="I1918" s="1528">
        <f>I1883-I1917</f>
        <v>0</v>
      </c>
      <c r="J1918" s="660"/>
      <c r="K1918" s="1528">
        <f>K1883-K1917</f>
        <v>0</v>
      </c>
      <c r="L1918" s="1415"/>
      <c r="M1918" s="1133"/>
      <c r="N1918" s="1147"/>
      <c r="O1918" s="1592"/>
    </row>
    <row r="1919" spans="1:24" ht="15.6" hidden="1" customHeight="1" x14ac:dyDescent="0.2">
      <c r="I1919" s="58"/>
      <c r="J1919" s="58"/>
      <c r="K1919" s="58"/>
      <c r="L1919" s="59"/>
      <c r="M1919" s="1133"/>
      <c r="N1919" s="1147"/>
      <c r="O1919" s="1592"/>
    </row>
    <row r="1920" spans="1:24" ht="15.6" hidden="1" customHeight="1" x14ac:dyDescent="0.25">
      <c r="A1920" s="211">
        <v>25</v>
      </c>
      <c r="B1920" s="50" t="s">
        <v>808</v>
      </c>
      <c r="I1920" s="58"/>
      <c r="J1920" s="58"/>
      <c r="K1920" s="58"/>
      <c r="L1920" s="59"/>
      <c r="M1920" s="1133"/>
      <c r="N1920" s="1147"/>
      <c r="O1920" s="1592"/>
      <c r="W1920" s="1114" t="s">
        <v>3520</v>
      </c>
      <c r="X1920" s="50"/>
    </row>
    <row r="1921" spans="1:27" ht="15.6" hidden="1" customHeight="1" x14ac:dyDescent="0.2">
      <c r="I1921" s="58"/>
      <c r="J1921" s="58"/>
      <c r="K1921" s="58"/>
      <c r="L1921" s="59"/>
      <c r="M1921" s="1133"/>
      <c r="N1921" s="1147"/>
      <c r="O1921" s="1592"/>
    </row>
    <row r="1922" spans="1:27" ht="15.6" hidden="1" customHeight="1" x14ac:dyDescent="0.2">
      <c r="A1922" s="655"/>
      <c r="B1922" s="655" t="s">
        <v>809</v>
      </c>
      <c r="C1922" s="655"/>
      <c r="D1922" s="656"/>
      <c r="E1922" s="655"/>
      <c r="F1922" s="656"/>
      <c r="G1922" s="656"/>
      <c r="H1922" s="656"/>
      <c r="I1922" s="658">
        <v>0</v>
      </c>
      <c r="J1922" s="658"/>
      <c r="K1922" s="658">
        <v>0</v>
      </c>
      <c r="L1922" s="1415"/>
      <c r="M1922" s="1133"/>
      <c r="N1922" s="1147">
        <v>0</v>
      </c>
      <c r="O1922" s="1147"/>
      <c r="P1922" s="1110" t="s">
        <v>3235</v>
      </c>
      <c r="Q1922" s="1111" t="s">
        <v>2763</v>
      </c>
      <c r="R1922" s="1110" t="s">
        <v>3236</v>
      </c>
      <c r="S1922" s="1111" t="s">
        <v>2765</v>
      </c>
      <c r="T1922" s="1110" t="s">
        <v>3236</v>
      </c>
      <c r="U1922" s="1112" t="s">
        <v>2775</v>
      </c>
    </row>
    <row r="1923" spans="1:27" ht="15.6" hidden="1" customHeight="1" x14ac:dyDescent="0.25">
      <c r="A1923" s="655"/>
      <c r="B1923" s="655" t="s">
        <v>167</v>
      </c>
      <c r="C1923" s="655"/>
      <c r="D1923" s="656"/>
      <c r="E1923" s="655"/>
      <c r="F1923" s="656"/>
      <c r="G1923" s="656"/>
      <c r="H1923" s="656"/>
      <c r="I1923" s="658">
        <v>0</v>
      </c>
      <c r="J1923" s="658"/>
      <c r="K1923" s="658">
        <v>0</v>
      </c>
      <c r="L1923" s="1415"/>
      <c r="M1923" s="1133"/>
      <c r="N1923" s="1147">
        <v>0</v>
      </c>
      <c r="O1923" s="1147"/>
      <c r="P1923" s="1110" t="s">
        <v>3237</v>
      </c>
      <c r="Q1923" s="1111" t="s">
        <v>2763</v>
      </c>
      <c r="R1923" s="1110" t="s">
        <v>3238</v>
      </c>
      <c r="S1923" s="1111" t="s">
        <v>2765</v>
      </c>
      <c r="T1923" s="1110" t="s">
        <v>3238</v>
      </c>
      <c r="U1923" s="1112" t="s">
        <v>2775</v>
      </c>
      <c r="Y1923" s="50"/>
      <c r="Z1923" s="50"/>
    </row>
    <row r="1924" spans="1:27" ht="15.6" hidden="1" customHeight="1" x14ac:dyDescent="0.25">
      <c r="A1924" s="655"/>
      <c r="B1924" s="655"/>
      <c r="C1924" s="655"/>
      <c r="D1924" s="656"/>
      <c r="E1924" s="655"/>
      <c r="F1924" s="656"/>
      <c r="G1924" s="656"/>
      <c r="H1924" s="656"/>
      <c r="I1924" s="658"/>
      <c r="J1924" s="658"/>
      <c r="K1924" s="658"/>
      <c r="L1924" s="1415"/>
      <c r="M1924" s="1133"/>
      <c r="N1924" s="1147"/>
      <c r="O1924" s="1592"/>
      <c r="AA1924" s="50"/>
    </row>
    <row r="1925" spans="1:27" s="50" customFormat="1" ht="15.6" hidden="1" customHeight="1" thickBot="1" x14ac:dyDescent="0.3">
      <c r="A1925" s="659"/>
      <c r="B1925" s="659" t="s">
        <v>810</v>
      </c>
      <c r="C1925" s="659"/>
      <c r="D1925" s="1454"/>
      <c r="E1925" s="659"/>
      <c r="F1925" s="1454"/>
      <c r="G1925" s="1454"/>
      <c r="H1925" s="1454"/>
      <c r="I1925" s="1457">
        <f>SUM(I1922:I1924)</f>
        <v>0</v>
      </c>
      <c r="J1925" s="1455"/>
      <c r="K1925" s="1457">
        <f>SUM(K1922:K1924)</f>
        <v>0</v>
      </c>
      <c r="L1925" s="662"/>
      <c r="M1925" s="234"/>
      <c r="N1925" s="620">
        <f>SUM(N1922:N1924)</f>
        <v>0</v>
      </c>
      <c r="O1925" s="1460"/>
      <c r="P1925" s="1113"/>
      <c r="Q1925" s="1114"/>
      <c r="R1925" s="1114"/>
      <c r="S1925" s="1114"/>
      <c r="T1925" s="1114"/>
      <c r="U1925" s="316"/>
      <c r="V1925" s="1133"/>
      <c r="W1925" s="1114"/>
      <c r="X1925" s="48"/>
      <c r="Y1925" s="48"/>
      <c r="Z1925" s="48"/>
      <c r="AA1925" s="48"/>
    </row>
    <row r="1926" spans="1:27" ht="15.6" hidden="1" customHeight="1" thickTop="1" x14ac:dyDescent="0.2">
      <c r="A1926" s="655"/>
      <c r="B1926" s="655"/>
      <c r="C1926" s="655"/>
      <c r="D1926" s="656"/>
      <c r="E1926" s="655"/>
      <c r="F1926" s="656"/>
      <c r="G1926" s="656"/>
      <c r="H1926" s="656"/>
      <c r="I1926" s="1528">
        <v>0</v>
      </c>
      <c r="J1926" s="660"/>
      <c r="K1926" s="1528">
        <v>0</v>
      </c>
      <c r="L1926" s="1415"/>
      <c r="M1926" s="1133"/>
      <c r="N1926" s="1147"/>
      <c r="O1926" s="1592"/>
    </row>
    <row r="1927" spans="1:27" ht="46.5" hidden="1" customHeight="1" x14ac:dyDescent="0.2">
      <c r="A1927" s="767"/>
      <c r="B1927" s="2855" t="s">
        <v>2513</v>
      </c>
      <c r="C1927" s="2855"/>
      <c r="D1927" s="2855"/>
      <c r="E1927" s="2855"/>
      <c r="F1927" s="2855"/>
      <c r="G1927" s="2855"/>
      <c r="H1927" s="768"/>
      <c r="I1927" s="768"/>
      <c r="J1927" s="768"/>
      <c r="K1927" s="768"/>
      <c r="L1927" s="777"/>
      <c r="M1927" s="1133"/>
      <c r="N1927" s="1147"/>
      <c r="O1927" s="1133"/>
      <c r="P1927" s="1115"/>
    </row>
    <row r="1928" spans="1:27" ht="15.6" hidden="1" customHeight="1" x14ac:dyDescent="0.2">
      <c r="A1928" s="767"/>
      <c r="B1928" s="767"/>
      <c r="C1928" s="767"/>
      <c r="D1928" s="769"/>
      <c r="E1928" s="767"/>
      <c r="F1928" s="769"/>
      <c r="G1928" s="769"/>
      <c r="H1928" s="769"/>
      <c r="I1928" s="775"/>
      <c r="J1928" s="775"/>
      <c r="K1928" s="775"/>
      <c r="L1928" s="767"/>
      <c r="M1928" s="1133"/>
      <c r="N1928" s="1147"/>
      <c r="O1928" s="1592"/>
    </row>
    <row r="1929" spans="1:27" ht="15.6" hidden="1" customHeight="1" x14ac:dyDescent="0.25">
      <c r="A1929" s="655"/>
      <c r="B1929" s="1456" t="s">
        <v>6446</v>
      </c>
      <c r="C1929" s="659"/>
      <c r="D1929" s="656"/>
      <c r="E1929" s="655"/>
      <c r="F1929" s="656"/>
      <c r="G1929" s="656"/>
      <c r="H1929" s="656"/>
      <c r="I1929" s="658"/>
      <c r="J1929" s="661"/>
      <c r="K1929" s="658"/>
      <c r="L1929" s="655"/>
      <c r="N1929" s="1133"/>
      <c r="O1929" s="1146"/>
      <c r="W1929" s="1114" t="s">
        <v>3857</v>
      </c>
    </row>
    <row r="1930" spans="1:27" ht="15.6" hidden="1" customHeight="1" x14ac:dyDescent="0.25">
      <c r="A1930" s="655"/>
      <c r="B1930" s="655"/>
      <c r="C1930" s="655"/>
      <c r="D1930" s="656"/>
      <c r="E1930" s="655"/>
      <c r="F1930" s="656"/>
      <c r="G1930" s="656"/>
      <c r="H1930" s="656"/>
      <c r="I1930" s="658"/>
      <c r="J1930" s="657"/>
      <c r="K1930" s="658"/>
      <c r="L1930" s="655"/>
      <c r="N1930" s="1133"/>
      <c r="O1930" s="1146"/>
    </row>
    <row r="1931" spans="1:27" ht="77.45" hidden="1" customHeight="1" x14ac:dyDescent="0.2">
      <c r="A1931" s="655"/>
      <c r="B1931" s="2868" t="s">
        <v>811</v>
      </c>
      <c r="C1931" s="2868"/>
      <c r="D1931" s="2868"/>
      <c r="E1931" s="2868"/>
      <c r="F1931" s="2868"/>
      <c r="G1931" s="2868"/>
      <c r="H1931" s="1546"/>
      <c r="I1931" s="1546"/>
      <c r="J1931" s="1546"/>
      <c r="K1931" s="1546"/>
      <c r="L1931" s="655"/>
      <c r="M1931" s="1213" t="s">
        <v>1985</v>
      </c>
      <c r="N1931" s="1147"/>
      <c r="O1931" s="1596"/>
    </row>
    <row r="1932" spans="1:27" ht="15.6" hidden="1" customHeight="1" x14ac:dyDescent="0.25">
      <c r="A1932" s="655"/>
      <c r="B1932" s="655"/>
      <c r="C1932" s="655"/>
      <c r="D1932" s="656"/>
      <c r="E1932" s="655"/>
      <c r="F1932" s="656"/>
      <c r="G1932" s="656"/>
      <c r="H1932" s="656"/>
      <c r="I1932" s="657"/>
      <c r="J1932" s="657"/>
      <c r="K1932" s="657"/>
      <c r="L1932" s="664"/>
      <c r="M1932" s="1133"/>
      <c r="N1932" s="1147"/>
      <c r="O1932" s="1596"/>
    </row>
    <row r="1933" spans="1:27" ht="15.6" hidden="1" customHeight="1" x14ac:dyDescent="0.25">
      <c r="A1933" s="655"/>
      <c r="B1933" s="1456" t="s">
        <v>6447</v>
      </c>
      <c r="C1933" s="659"/>
      <c r="D1933" s="656"/>
      <c r="E1933" s="655"/>
      <c r="F1933" s="656"/>
      <c r="G1933" s="656"/>
      <c r="H1933" s="656"/>
      <c r="I1933" s="658"/>
      <c r="J1933" s="661"/>
      <c r="K1933" s="658"/>
      <c r="L1933" s="655"/>
      <c r="N1933" s="1133"/>
      <c r="O1933" s="1146"/>
      <c r="W1933" s="1114" t="s">
        <v>3857</v>
      </c>
    </row>
    <row r="1934" spans="1:27" ht="15.6" hidden="1" customHeight="1" x14ac:dyDescent="0.25">
      <c r="A1934" s="655"/>
      <c r="B1934" s="655"/>
      <c r="C1934" s="655"/>
      <c r="D1934" s="656"/>
      <c r="E1934" s="655"/>
      <c r="F1934" s="656"/>
      <c r="G1934" s="656"/>
      <c r="H1934" s="656"/>
      <c r="I1934" s="658"/>
      <c r="J1934" s="657"/>
      <c r="K1934" s="658"/>
      <c r="L1934" s="655"/>
      <c r="N1934" s="1133"/>
      <c r="O1934" s="1146"/>
    </row>
    <row r="1935" spans="1:27" ht="46.5" hidden="1" customHeight="1" x14ac:dyDescent="0.2">
      <c r="A1935" s="655"/>
      <c r="B1935" s="2868" t="s">
        <v>1738</v>
      </c>
      <c r="C1935" s="2868"/>
      <c r="D1935" s="2868"/>
      <c r="E1935" s="2868"/>
      <c r="F1935" s="2868"/>
      <c r="G1935" s="2868"/>
      <c r="H1935" s="1546"/>
      <c r="I1935" s="1546"/>
      <c r="J1935" s="1546"/>
      <c r="K1935" s="1546"/>
      <c r="L1935" s="655"/>
      <c r="M1935" s="1213" t="s">
        <v>1985</v>
      </c>
      <c r="N1935" s="1147"/>
      <c r="O1935" s="1596"/>
    </row>
    <row r="1936" spans="1:27" ht="15.6" hidden="1" customHeight="1" x14ac:dyDescent="0.25">
      <c r="A1936" s="655"/>
      <c r="B1936" s="655"/>
      <c r="C1936" s="655"/>
      <c r="D1936" s="656"/>
      <c r="E1936" s="655"/>
      <c r="F1936" s="656"/>
      <c r="G1936" s="656"/>
      <c r="H1936" s="656"/>
      <c r="I1936" s="657"/>
      <c r="J1936" s="657"/>
      <c r="K1936" s="657"/>
      <c r="L1936" s="664"/>
      <c r="M1936" s="1133"/>
      <c r="N1936" s="1147"/>
      <c r="O1936" s="1596"/>
    </row>
    <row r="1937" spans="1:20" ht="77.45" hidden="1" customHeight="1" x14ac:dyDescent="0.2">
      <c r="A1937" s="1505"/>
      <c r="B1937" s="2925" t="s">
        <v>813</v>
      </c>
      <c r="C1937" s="2928"/>
      <c r="D1937" s="2928"/>
      <c r="E1937" s="2928"/>
      <c r="F1937" s="2928"/>
      <c r="G1937" s="2928"/>
      <c r="H1937" s="1505"/>
      <c r="I1937" s="658"/>
      <c r="J1937" s="661"/>
      <c r="K1937" s="658"/>
      <c r="L1937" s="1505"/>
      <c r="M1937" s="1213" t="s">
        <v>1986</v>
      </c>
      <c r="N1937" s="1133"/>
      <c r="O1937" s="1146"/>
    </row>
    <row r="1938" spans="1:20" ht="15.6" hidden="1" customHeight="1" x14ac:dyDescent="0.25">
      <c r="A1938" s="655"/>
      <c r="B1938" s="655"/>
      <c r="C1938" s="655"/>
      <c r="D1938" s="656"/>
      <c r="E1938" s="655"/>
      <c r="F1938" s="656"/>
      <c r="G1938" s="656"/>
      <c r="H1938" s="656"/>
      <c r="I1938" s="657"/>
      <c r="J1938" s="657"/>
      <c r="K1938" s="657"/>
      <c r="L1938" s="664"/>
      <c r="M1938" s="1133"/>
      <c r="N1938" s="1147"/>
      <c r="O1938" s="1596"/>
    </row>
    <row r="1939" spans="1:20" ht="15.6" hidden="1" customHeight="1" x14ac:dyDescent="0.2">
      <c r="A1939" s="655"/>
      <c r="B1939" s="2868" t="s">
        <v>1483</v>
      </c>
      <c r="C1939" s="2868"/>
      <c r="D1939" s="2868"/>
      <c r="E1939" s="2868"/>
      <c r="F1939" s="2868"/>
      <c r="G1939" s="2868"/>
      <c r="H1939" s="1546"/>
      <c r="I1939" s="1546"/>
      <c r="J1939" s="1546"/>
      <c r="K1939" s="1546"/>
      <c r="L1939" s="655"/>
      <c r="N1939" s="1147"/>
      <c r="O1939" s="1596"/>
    </row>
    <row r="1940" spans="1:20" ht="15.6" hidden="1" customHeight="1" x14ac:dyDescent="0.2">
      <c r="A1940" s="655"/>
      <c r="B1940" s="655"/>
      <c r="C1940" s="655"/>
      <c r="D1940" s="656"/>
      <c r="E1940" s="655"/>
      <c r="F1940" s="656"/>
      <c r="G1940" s="656"/>
      <c r="H1940" s="656"/>
      <c r="I1940" s="658"/>
      <c r="J1940" s="658"/>
      <c r="K1940" s="658"/>
      <c r="L1940" s="1415"/>
      <c r="M1940" s="1133"/>
      <c r="N1940" s="1147"/>
      <c r="O1940" s="1592"/>
    </row>
    <row r="1941" spans="1:20" ht="15.6" hidden="1" customHeight="1" x14ac:dyDescent="0.25">
      <c r="A1941" s="655"/>
      <c r="B1941" s="2942" t="s">
        <v>1480</v>
      </c>
      <c r="C1941" s="2942"/>
      <c r="D1941" s="2942"/>
      <c r="E1941" s="2942"/>
      <c r="F1941" s="2942"/>
      <c r="G1941" s="2942"/>
      <c r="H1941" s="656"/>
      <c r="I1941" s="657"/>
      <c r="J1941" s="657"/>
      <c r="K1941" s="657"/>
      <c r="L1941" s="664"/>
    </row>
    <row r="1942" spans="1:20" ht="15.6" hidden="1" customHeight="1" x14ac:dyDescent="0.25">
      <c r="A1942" s="655"/>
      <c r="B1942" s="655"/>
      <c r="C1942" s="655"/>
      <c r="D1942" s="656"/>
      <c r="E1942" s="655"/>
      <c r="F1942" s="656"/>
      <c r="G1942" s="656"/>
      <c r="H1942" s="656"/>
      <c r="I1942" s="669"/>
      <c r="J1942" s="657"/>
      <c r="K1942" s="669"/>
      <c r="L1942" s="664"/>
    </row>
    <row r="1943" spans="1:20" ht="15.6" hidden="1" customHeight="1" x14ac:dyDescent="0.25">
      <c r="A1943" s="655"/>
      <c r="B1943" s="655" t="s">
        <v>273</v>
      </c>
      <c r="C1943" s="655"/>
      <c r="D1943" s="656"/>
      <c r="E1943" s="655"/>
      <c r="F1943" s="656"/>
      <c r="G1943" s="656"/>
      <c r="H1943" s="656"/>
      <c r="I1943" s="663">
        <f>K1949</f>
        <v>0</v>
      </c>
      <c r="J1943" s="663"/>
      <c r="K1943" s="663">
        <v>0</v>
      </c>
      <c r="L1943" s="664"/>
      <c r="M1943" s="1133"/>
      <c r="R1943" s="1110" t="s">
        <v>3239</v>
      </c>
      <c r="S1943" s="1111" t="s">
        <v>2765</v>
      </c>
      <c r="T1943" s="1110"/>
    </row>
    <row r="1944" spans="1:20" ht="15.6" hidden="1" customHeight="1" x14ac:dyDescent="0.25">
      <c r="A1944" s="655"/>
      <c r="B1944" s="655" t="s">
        <v>752</v>
      </c>
      <c r="C1944" s="655"/>
      <c r="D1944" s="656"/>
      <c r="E1944" s="655"/>
      <c r="F1944" s="656"/>
      <c r="G1944" s="656"/>
      <c r="H1944" s="656"/>
      <c r="I1944" s="663">
        <v>0</v>
      </c>
      <c r="J1944" s="663"/>
      <c r="K1944" s="663">
        <v>0</v>
      </c>
      <c r="L1944" s="664"/>
      <c r="M1944" s="1133"/>
      <c r="P1944" s="1110" t="s">
        <v>3240</v>
      </c>
      <c r="Q1944" s="1111" t="s">
        <v>2763</v>
      </c>
      <c r="R1944" s="1110" t="s">
        <v>3241</v>
      </c>
      <c r="S1944" s="1111" t="s">
        <v>2765</v>
      </c>
      <c r="T1944" s="1110"/>
    </row>
    <row r="1945" spans="1:20" ht="15.6" hidden="1" customHeight="1" x14ac:dyDescent="0.25">
      <c r="A1945" s="655"/>
      <c r="B1945" s="655" t="s">
        <v>760</v>
      </c>
      <c r="C1945" s="655"/>
      <c r="D1945" s="656"/>
      <c r="E1945" s="655"/>
      <c r="F1945" s="656"/>
      <c r="G1945" s="656"/>
      <c r="H1945" s="656"/>
      <c r="I1945" s="663">
        <v>0</v>
      </c>
      <c r="J1945" s="663"/>
      <c r="K1945" s="663">
        <v>0</v>
      </c>
      <c r="L1945" s="664"/>
      <c r="M1945" s="1133"/>
      <c r="R1945" s="1110"/>
      <c r="T1945" s="1110"/>
    </row>
    <row r="1946" spans="1:20" ht="15.6" hidden="1" customHeight="1" x14ac:dyDescent="0.25">
      <c r="A1946" s="655"/>
      <c r="B1946" s="655" t="s">
        <v>1481</v>
      </c>
      <c r="C1946" s="655"/>
      <c r="D1946" s="656"/>
      <c r="E1946" s="655"/>
      <c r="F1946" s="656"/>
      <c r="G1946" s="656"/>
      <c r="H1946" s="656"/>
      <c r="I1946" s="663">
        <v>0</v>
      </c>
      <c r="J1946" s="663"/>
      <c r="K1946" s="663">
        <v>0</v>
      </c>
      <c r="L1946" s="664"/>
      <c r="M1946" s="1133"/>
      <c r="N1946" s="1133"/>
      <c r="O1946" s="1146"/>
      <c r="P1946" s="1115"/>
      <c r="R1946" s="1115"/>
      <c r="T1946" s="1115"/>
    </row>
    <row r="1947" spans="1:20" ht="15.6" hidden="1" customHeight="1" x14ac:dyDescent="0.25">
      <c r="A1947" s="655"/>
      <c r="B1947" s="655" t="s">
        <v>1482</v>
      </c>
      <c r="C1947" s="655"/>
      <c r="D1947" s="656"/>
      <c r="E1947" s="655"/>
      <c r="F1947" s="656"/>
      <c r="G1947" s="656"/>
      <c r="H1947" s="656"/>
      <c r="I1947" s="663">
        <v>0</v>
      </c>
      <c r="J1947" s="663"/>
      <c r="K1947" s="663">
        <v>0</v>
      </c>
      <c r="L1947" s="664"/>
      <c r="M1947" s="1133"/>
      <c r="N1947" s="1133"/>
      <c r="O1947" s="1146"/>
      <c r="P1947" s="1115" t="s">
        <v>3242</v>
      </c>
      <c r="Q1947" s="1111" t="s">
        <v>2763</v>
      </c>
      <c r="R1947" s="1115" t="s">
        <v>3243</v>
      </c>
      <c r="S1947" s="1111" t="s">
        <v>2765</v>
      </c>
      <c r="T1947" s="1115"/>
    </row>
    <row r="1948" spans="1:20" ht="15.6" hidden="1" customHeight="1" x14ac:dyDescent="0.25">
      <c r="A1948" s="655"/>
      <c r="B1948" s="655"/>
      <c r="C1948" s="655"/>
      <c r="D1948" s="656"/>
      <c r="E1948" s="655"/>
      <c r="F1948" s="656"/>
      <c r="G1948" s="656"/>
      <c r="H1948" s="656"/>
      <c r="I1948" s="663"/>
      <c r="J1948" s="663"/>
      <c r="K1948" s="663"/>
      <c r="L1948" s="664"/>
      <c r="M1948" s="1133"/>
    </row>
    <row r="1949" spans="1:20" ht="15.6" hidden="1" customHeight="1" thickBot="1" x14ac:dyDescent="0.3">
      <c r="A1949" s="655"/>
      <c r="B1949" s="659" t="s">
        <v>274</v>
      </c>
      <c r="C1949" s="659"/>
      <c r="D1949" s="656"/>
      <c r="E1949" s="655"/>
      <c r="F1949" s="656"/>
      <c r="G1949" s="656"/>
      <c r="H1949" s="656"/>
      <c r="I1949" s="1527">
        <f>SUM(I1943:I1948)</f>
        <v>0</v>
      </c>
      <c r="J1949" s="657"/>
      <c r="K1949" s="1527">
        <f>SUM(K1943:K1948)</f>
        <v>0</v>
      </c>
      <c r="L1949" s="664"/>
      <c r="M1949" s="1133"/>
      <c r="O1949" s="1592"/>
    </row>
    <row r="1950" spans="1:20" ht="15.6" hidden="1" customHeight="1" thickTop="1" x14ac:dyDescent="0.2">
      <c r="A1950" s="655"/>
      <c r="B1950" s="655"/>
      <c r="C1950" s="655"/>
      <c r="D1950" s="656"/>
      <c r="E1950" s="655"/>
      <c r="F1950" s="656"/>
      <c r="G1950" s="656"/>
      <c r="H1950" s="656"/>
      <c r="I1950" s="1528">
        <f>I1949-I1923</f>
        <v>0</v>
      </c>
      <c r="J1950" s="660"/>
      <c r="K1950" s="1528">
        <f>K1949-K1923</f>
        <v>0</v>
      </c>
      <c r="L1950" s="1415"/>
      <c r="M1950" s="1133"/>
    </row>
    <row r="1951" spans="1:20" ht="15.6" hidden="1" customHeight="1" x14ac:dyDescent="0.2">
      <c r="A1951" s="655"/>
      <c r="B1951" s="2868" t="s">
        <v>814</v>
      </c>
      <c r="C1951" s="2868"/>
      <c r="D1951" s="2868"/>
      <c r="E1951" s="2868"/>
      <c r="F1951" s="2868"/>
      <c r="G1951" s="2868"/>
      <c r="H1951" s="1546"/>
      <c r="I1951" s="1546"/>
      <c r="J1951" s="1546"/>
      <c r="K1951" s="1546"/>
      <c r="L1951" s="655"/>
      <c r="N1951" s="1147"/>
      <c r="O1951" s="1596"/>
    </row>
    <row r="1952" spans="1:20" ht="15.6" hidden="1" customHeight="1" x14ac:dyDescent="0.2">
      <c r="A1952" s="655"/>
      <c r="B1952" s="655"/>
      <c r="C1952" s="655"/>
      <c r="D1952" s="656"/>
      <c r="E1952" s="655"/>
      <c r="F1952" s="656"/>
      <c r="G1952" s="656"/>
      <c r="H1952" s="656"/>
      <c r="I1952" s="658"/>
      <c r="J1952" s="658"/>
      <c r="K1952" s="658"/>
      <c r="L1952" s="1415"/>
      <c r="M1952" s="1133"/>
      <c r="N1952" s="1147"/>
      <c r="O1952" s="1592"/>
    </row>
    <row r="1953" spans="1:23" ht="15.6" hidden="1" customHeight="1" x14ac:dyDescent="0.2">
      <c r="I1953" s="58"/>
      <c r="J1953" s="58"/>
      <c r="K1953" s="58"/>
      <c r="L1953" s="59"/>
      <c r="M1953" s="1133"/>
      <c r="N1953" s="1147"/>
      <c r="O1953" s="1592"/>
    </row>
    <row r="1954" spans="1:23" ht="15.6" customHeight="1" x14ac:dyDescent="0.25">
      <c r="A1954" s="211">
        <v>19</v>
      </c>
      <c r="B1954" s="50" t="s">
        <v>815</v>
      </c>
      <c r="I1954" s="58"/>
      <c r="J1954" s="58"/>
      <c r="K1954" s="58"/>
      <c r="L1954" s="59"/>
      <c r="M1954" s="1133"/>
      <c r="N1954" s="1147"/>
      <c r="O1954" s="1592"/>
      <c r="W1954" s="1114" t="s">
        <v>3520</v>
      </c>
    </row>
    <row r="1955" spans="1:23" ht="15.6" customHeight="1" x14ac:dyDescent="0.2">
      <c r="A1955" s="60"/>
      <c r="I1955" s="208"/>
      <c r="J1955" s="208"/>
      <c r="K1955" s="208"/>
      <c r="M1955" s="1133"/>
      <c r="N1955" s="1147"/>
      <c r="O1955" s="1596"/>
    </row>
    <row r="1956" spans="1:23" ht="15.6" customHeight="1" x14ac:dyDescent="0.25">
      <c r="B1956" s="50" t="s">
        <v>1479</v>
      </c>
      <c r="I1956" s="58"/>
      <c r="J1956" s="58"/>
      <c r="K1956" s="58"/>
      <c r="L1956" s="59"/>
      <c r="M1956" s="1133"/>
      <c r="N1956" s="1147"/>
      <c r="O1956" s="1596"/>
    </row>
    <row r="1957" spans="1:23" ht="15.6" customHeight="1" x14ac:dyDescent="0.2">
      <c r="I1957" s="58"/>
      <c r="J1957" s="58"/>
      <c r="K1957" s="58"/>
      <c r="L1957" s="59"/>
      <c r="N1957" s="1471"/>
    </row>
    <row r="1958" spans="1:23" ht="15.6" hidden="1" customHeight="1" x14ac:dyDescent="0.2">
      <c r="B1958" s="48" t="s">
        <v>6449</v>
      </c>
      <c r="I1958" s="2028">
        <v>0</v>
      </c>
      <c r="J1958" s="58"/>
      <c r="K1958" s="2028">
        <v>0</v>
      </c>
      <c r="L1958" s="59"/>
      <c r="M1958" s="1133"/>
      <c r="N1958" s="1147">
        <v>0</v>
      </c>
      <c r="O1958" s="1147"/>
      <c r="P1958" s="1110" t="s">
        <v>3244</v>
      </c>
      <c r="Q1958" s="1111" t="s">
        <v>2763</v>
      </c>
      <c r="R1958" s="1111" t="s">
        <v>3245</v>
      </c>
      <c r="S1958" s="1111" t="s">
        <v>2765</v>
      </c>
      <c r="T1958" s="1111" t="s">
        <v>3246</v>
      </c>
      <c r="U1958" s="1112" t="s">
        <v>2775</v>
      </c>
    </row>
    <row r="1959" spans="1:23" ht="15.6" hidden="1" customHeight="1" x14ac:dyDescent="0.2">
      <c r="B1959" s="48" t="s">
        <v>76</v>
      </c>
      <c r="I1959" s="58">
        <v>0</v>
      </c>
      <c r="J1959" s="58"/>
      <c r="K1959" s="58">
        <v>0</v>
      </c>
      <c r="L1959" s="59"/>
      <c r="M1959" s="1133"/>
      <c r="N1959" s="1147">
        <v>0</v>
      </c>
      <c r="O1959" s="1147"/>
      <c r="P1959" s="1110" t="s">
        <v>3247</v>
      </c>
      <c r="Q1959" s="1111" t="s">
        <v>2763</v>
      </c>
      <c r="R1959" s="1111" t="s">
        <v>3248</v>
      </c>
      <c r="S1959" s="1111" t="s">
        <v>2765</v>
      </c>
      <c r="T1959" s="1111" t="s">
        <v>3249</v>
      </c>
      <c r="U1959" s="1112" t="s">
        <v>2775</v>
      </c>
    </row>
    <row r="1960" spans="1:23" ht="15.6" hidden="1" customHeight="1" x14ac:dyDescent="0.2">
      <c r="B1960" s="48" t="s">
        <v>816</v>
      </c>
      <c r="I1960" s="58">
        <v>0</v>
      </c>
      <c r="J1960" s="58"/>
      <c r="K1960" s="58">
        <v>0</v>
      </c>
      <c r="L1960" s="59"/>
      <c r="M1960" s="1133"/>
      <c r="N1960" s="1147">
        <v>0</v>
      </c>
      <c r="O1960" s="1147"/>
      <c r="P1960" s="1110" t="s">
        <v>3250</v>
      </c>
      <c r="Q1960" s="1111" t="s">
        <v>2763</v>
      </c>
      <c r="R1960" s="1111" t="s">
        <v>3251</v>
      </c>
      <c r="S1960" s="1111" t="s">
        <v>2765</v>
      </c>
      <c r="T1960" s="1111" t="s">
        <v>3252</v>
      </c>
      <c r="U1960" s="1112" t="s">
        <v>2775</v>
      </c>
    </row>
    <row r="1961" spans="1:23" ht="15.6" hidden="1" customHeight="1" x14ac:dyDescent="0.2">
      <c r="B1961" s="48" t="s">
        <v>1396</v>
      </c>
      <c r="I1961" s="58">
        <v>0</v>
      </c>
      <c r="J1961" s="58"/>
      <c r="K1961" s="58">
        <v>0</v>
      </c>
      <c r="L1961" s="59"/>
      <c r="M1961" s="1133"/>
      <c r="N1961" s="1147">
        <v>0</v>
      </c>
      <c r="O1961" s="1147"/>
      <c r="P1961" s="1110" t="s">
        <v>3253</v>
      </c>
      <c r="Q1961" s="1111" t="s">
        <v>2763</v>
      </c>
      <c r="R1961" s="1111" t="s">
        <v>3254</v>
      </c>
      <c r="S1961" s="1111" t="s">
        <v>2765</v>
      </c>
      <c r="T1961" s="1111" t="s">
        <v>3255</v>
      </c>
      <c r="U1961" s="1112" t="s">
        <v>2775</v>
      </c>
    </row>
    <row r="1962" spans="1:23" ht="15.6" hidden="1" customHeight="1" x14ac:dyDescent="0.2">
      <c r="A1962" s="655"/>
      <c r="B1962" s="655" t="s">
        <v>817</v>
      </c>
      <c r="C1962" s="655"/>
      <c r="D1962" s="656"/>
      <c r="E1962" s="655"/>
      <c r="F1962" s="656"/>
      <c r="G1962" s="656"/>
      <c r="H1962" s="656"/>
      <c r="I1962" s="658">
        <v>0</v>
      </c>
      <c r="J1962" s="658"/>
      <c r="K1962" s="658">
        <v>0</v>
      </c>
      <c r="L1962" s="1415"/>
      <c r="M1962" s="1133"/>
      <c r="N1962" s="1147">
        <v>0</v>
      </c>
      <c r="O1962" s="1147"/>
      <c r="P1962" s="1110" t="s">
        <v>3256</v>
      </c>
      <c r="Q1962" s="1111" t="s">
        <v>2763</v>
      </c>
      <c r="R1962" s="1111" t="s">
        <v>3257</v>
      </c>
      <c r="S1962" s="1111" t="s">
        <v>2765</v>
      </c>
      <c r="T1962" s="1111" t="s">
        <v>3258</v>
      </c>
      <c r="U1962" s="1112" t="s">
        <v>2775</v>
      </c>
    </row>
    <row r="1963" spans="1:23" ht="15.6" customHeight="1" x14ac:dyDescent="0.2">
      <c r="B1963" s="48" t="s">
        <v>818</v>
      </c>
      <c r="I1963" s="58">
        <f>-SUM('Trial Balance - FPos'!F6:F9)-SUM('Trial Balance - FPer'!G5)</f>
        <v>286177332.7700001</v>
      </c>
      <c r="J1963" s="58"/>
      <c r="K1963" s="58">
        <f>-SUM('Trial Balance - FPos'!C6:C9)</f>
        <v>303217864.52000016</v>
      </c>
      <c r="L1963" s="59"/>
      <c r="M1963" s="1133"/>
      <c r="N1963" s="1147">
        <v>0</v>
      </c>
      <c r="O1963" s="1147"/>
      <c r="P1963" s="1110" t="s">
        <v>3259</v>
      </c>
      <c r="Q1963" s="1111" t="s">
        <v>2763</v>
      </c>
      <c r="R1963" s="1111" t="s">
        <v>3260</v>
      </c>
      <c r="S1963" s="1111" t="s">
        <v>2765</v>
      </c>
      <c r="T1963" s="1111" t="s">
        <v>3261</v>
      </c>
      <c r="U1963" s="1112" t="s">
        <v>2775</v>
      </c>
    </row>
    <row r="1964" spans="1:23" ht="15.6" customHeight="1" x14ac:dyDescent="0.2">
      <c r="I1964" s="58"/>
      <c r="J1964" s="58"/>
      <c r="K1964" s="58"/>
      <c r="L1964" s="59"/>
      <c r="M1964" s="1133" t="s">
        <v>1549</v>
      </c>
      <c r="N1964" s="1147"/>
      <c r="O1964" s="1592"/>
    </row>
    <row r="1965" spans="1:23" ht="15.6" customHeight="1" thickBot="1" x14ac:dyDescent="0.3">
      <c r="B1965" s="50" t="s">
        <v>819</v>
      </c>
      <c r="I1965" s="204">
        <f>SUM(I1958:I1964)</f>
        <v>286177332.7700001</v>
      </c>
      <c r="J1965" s="224"/>
      <c r="K1965" s="204">
        <f>SUM(K1958:K1964)</f>
        <v>303217864.52000016</v>
      </c>
      <c r="L1965" s="59"/>
      <c r="M1965" s="1133"/>
      <c r="N1965" s="1487">
        <f>SUM(N1958:N1964)</f>
        <v>0</v>
      </c>
      <c r="O1965" s="1592"/>
    </row>
    <row r="1966" spans="1:23" ht="15.6" customHeight="1" thickTop="1" x14ac:dyDescent="0.2">
      <c r="I1966" s="217">
        <v>0</v>
      </c>
      <c r="J1966" s="218"/>
      <c r="K1966" s="217">
        <v>0</v>
      </c>
      <c r="L1966" s="59"/>
      <c r="M1966" s="1133"/>
      <c r="N1966" s="1147"/>
      <c r="O1966" s="1592"/>
    </row>
    <row r="1967" spans="1:23" ht="46.5" hidden="1" customHeight="1" x14ac:dyDescent="0.2">
      <c r="A1967" s="625"/>
      <c r="B1967" s="2880" t="s">
        <v>4351</v>
      </c>
      <c r="C1967" s="2865"/>
      <c r="D1967" s="2865"/>
      <c r="E1967" s="2865"/>
      <c r="F1967" s="2865"/>
      <c r="G1967" s="2865"/>
      <c r="H1967" s="1617"/>
      <c r="I1967" s="1617"/>
      <c r="J1967" s="1617"/>
      <c r="K1967" s="1617"/>
      <c r="L1967" s="625"/>
    </row>
    <row r="1968" spans="1:23" ht="30.95" customHeight="1" x14ac:dyDescent="0.2">
      <c r="B1968" s="2839" t="s">
        <v>7561</v>
      </c>
      <c r="C1968" s="2839"/>
      <c r="D1968" s="2839"/>
      <c r="E1968" s="2839"/>
      <c r="F1968" s="2839"/>
      <c r="G1968" s="2839"/>
      <c r="H1968" s="1616"/>
      <c r="I1968" s="1616"/>
      <c r="J1968" s="1616"/>
      <c r="K1968" s="1616"/>
    </row>
    <row r="1969" spans="2:26" ht="15.6" customHeight="1" x14ac:dyDescent="0.2">
      <c r="B1969" s="2839" t="s">
        <v>7562</v>
      </c>
      <c r="C1969" s="2839"/>
      <c r="D1969" s="2839"/>
      <c r="E1969" s="2839"/>
      <c r="F1969" s="2839"/>
      <c r="G1969" s="2839"/>
      <c r="H1969" s="1616"/>
      <c r="I1969" s="1616"/>
      <c r="J1969" s="1616"/>
      <c r="K1969" s="1616"/>
      <c r="P1969" s="1122"/>
      <c r="Q1969" s="1119"/>
      <c r="R1969" s="1119"/>
      <c r="S1969" s="1119"/>
      <c r="T1969" s="1119"/>
      <c r="U1969" s="1120"/>
      <c r="Y1969" s="256"/>
      <c r="Z1969" s="256"/>
    </row>
    <row r="1970" spans="2:26" ht="15.6" customHeight="1" x14ac:dyDescent="0.2">
      <c r="B1970" s="2839" t="s">
        <v>7569</v>
      </c>
      <c r="C1970" s="2839"/>
      <c r="D1970" s="2839"/>
      <c r="E1970" s="2839"/>
      <c r="F1970" s="2839"/>
      <c r="G1970" s="2839"/>
      <c r="H1970" s="1616"/>
      <c r="I1970" s="1616"/>
      <c r="J1970" s="1616"/>
      <c r="K1970" s="1616"/>
      <c r="P1970" s="1122"/>
      <c r="Q1970" s="1119"/>
      <c r="R1970" s="1119"/>
      <c r="S1970" s="1119"/>
      <c r="T1970" s="1119"/>
      <c r="U1970" s="1120"/>
      <c r="Y1970" s="256"/>
      <c r="Z1970" s="256"/>
    </row>
    <row r="1971" spans="2:26" ht="15.6" hidden="1" customHeight="1" x14ac:dyDescent="0.2">
      <c r="B1971" s="2839" t="s">
        <v>4353</v>
      </c>
      <c r="C1971" s="2839"/>
      <c r="D1971" s="2839"/>
      <c r="E1971" s="2839"/>
      <c r="F1971" s="2839"/>
      <c r="G1971" s="2839"/>
      <c r="H1971" s="1616"/>
      <c r="I1971" s="1616"/>
      <c r="J1971" s="1616"/>
      <c r="K1971" s="1616"/>
      <c r="P1971" s="1122"/>
      <c r="Q1971" s="1119"/>
      <c r="R1971" s="1119"/>
      <c r="S1971" s="1119"/>
      <c r="T1971" s="1119"/>
      <c r="U1971" s="1120"/>
      <c r="Y1971" s="256"/>
      <c r="Z1971" s="256"/>
    </row>
    <row r="1972" spans="2:26" ht="15.6" hidden="1" customHeight="1" x14ac:dyDescent="0.2">
      <c r="B1972" s="2839" t="s">
        <v>7563</v>
      </c>
      <c r="C1972" s="2839"/>
      <c r="D1972" s="2839"/>
      <c r="E1972" s="2839"/>
      <c r="F1972" s="2839"/>
      <c r="G1972" s="2839"/>
      <c r="H1972" s="1616"/>
      <c r="I1972" s="1616"/>
      <c r="J1972" s="1616"/>
      <c r="K1972" s="1616"/>
      <c r="P1972" s="1122"/>
      <c r="Q1972" s="1119"/>
      <c r="R1972" s="1119"/>
      <c r="S1972" s="1119"/>
      <c r="T1972" s="1119"/>
      <c r="U1972" s="1120"/>
      <c r="Y1972" s="256"/>
      <c r="Z1972" s="256"/>
    </row>
    <row r="1973" spans="2:26" ht="15.6" hidden="1" customHeight="1" x14ac:dyDescent="0.2">
      <c r="B1973" s="2839" t="s">
        <v>4354</v>
      </c>
      <c r="C1973" s="2839"/>
      <c r="D1973" s="2839"/>
      <c r="E1973" s="2839"/>
      <c r="F1973" s="2839"/>
      <c r="G1973" s="2839"/>
      <c r="H1973" s="1616"/>
      <c r="I1973" s="1616"/>
      <c r="J1973" s="1616"/>
      <c r="K1973" s="1616"/>
      <c r="P1973" s="1122"/>
      <c r="Q1973" s="1119"/>
      <c r="R1973" s="1119"/>
      <c r="S1973" s="1119"/>
      <c r="T1973" s="1119"/>
      <c r="U1973" s="1120"/>
      <c r="Y1973" s="256"/>
      <c r="Z1973" s="256"/>
    </row>
    <row r="1974" spans="2:26" ht="15.6" customHeight="1" x14ac:dyDescent="0.2">
      <c r="B1974" s="2839" t="s">
        <v>7564</v>
      </c>
      <c r="C1974" s="2839"/>
      <c r="D1974" s="2839"/>
      <c r="E1974" s="2839"/>
      <c r="F1974" s="2839"/>
      <c r="G1974" s="2839"/>
      <c r="H1974" s="1616"/>
      <c r="I1974" s="1616"/>
      <c r="J1974" s="1616"/>
      <c r="K1974" s="1616"/>
      <c r="P1974" s="1122"/>
      <c r="Q1974" s="1119"/>
      <c r="R1974" s="1119"/>
      <c r="S1974" s="1119"/>
      <c r="T1974" s="1119"/>
      <c r="U1974" s="1120"/>
      <c r="Y1974" s="256"/>
      <c r="Z1974" s="256"/>
    </row>
    <row r="1975" spans="2:26" ht="15.6" hidden="1" customHeight="1" x14ac:dyDescent="0.2">
      <c r="B1975" s="2839" t="s">
        <v>4355</v>
      </c>
      <c r="C1975" s="2839"/>
      <c r="D1975" s="2839"/>
      <c r="E1975" s="2839"/>
      <c r="F1975" s="2839"/>
      <c r="G1975" s="2839"/>
      <c r="H1975" s="1616"/>
      <c r="I1975" s="1616"/>
      <c r="J1975" s="1616"/>
      <c r="K1975" s="1616"/>
      <c r="P1975" s="1122"/>
      <c r="Q1975" s="1119"/>
      <c r="R1975" s="1119"/>
      <c r="S1975" s="1119"/>
      <c r="T1975" s="1119"/>
      <c r="U1975" s="1120"/>
      <c r="Y1975" s="256"/>
      <c r="Z1975" s="256"/>
    </row>
    <row r="1976" spans="2:26" ht="15.6" hidden="1" customHeight="1" x14ac:dyDescent="0.2">
      <c r="B1976" s="2839" t="s">
        <v>4356</v>
      </c>
      <c r="C1976" s="2839"/>
      <c r="D1976" s="2839"/>
      <c r="E1976" s="2839"/>
      <c r="F1976" s="2839"/>
      <c r="G1976" s="2839"/>
      <c r="H1976" s="1616"/>
      <c r="I1976" s="1616"/>
      <c r="J1976" s="1616"/>
      <c r="K1976" s="1616"/>
      <c r="P1976" s="1122"/>
      <c r="Q1976" s="1119"/>
      <c r="R1976" s="1119"/>
      <c r="S1976" s="1119"/>
      <c r="T1976" s="1119"/>
      <c r="U1976" s="1120"/>
      <c r="Y1976" s="256"/>
      <c r="Z1976" s="256"/>
    </row>
    <row r="1977" spans="2:26" ht="15.6" hidden="1" customHeight="1" x14ac:dyDescent="0.2">
      <c r="B1977" s="2839" t="s">
        <v>7321</v>
      </c>
      <c r="C1977" s="2839"/>
      <c r="D1977" s="2839"/>
      <c r="E1977" s="2839"/>
      <c r="F1977" s="2839"/>
      <c r="G1977" s="2839"/>
      <c r="H1977" s="1616"/>
      <c r="I1977" s="1616"/>
      <c r="J1977" s="1616"/>
      <c r="K1977" s="1616"/>
      <c r="P1977" s="1122"/>
      <c r="Q1977" s="1119"/>
      <c r="R1977" s="1119"/>
      <c r="S1977" s="1119"/>
      <c r="T1977" s="1119"/>
      <c r="U1977" s="1120"/>
      <c r="Y1977" s="256"/>
      <c r="Z1977" s="256"/>
    </row>
    <row r="1978" spans="2:26" ht="15.6" hidden="1" customHeight="1" x14ac:dyDescent="0.2">
      <c r="B1978" s="2839" t="s">
        <v>7322</v>
      </c>
      <c r="C1978" s="2839"/>
      <c r="D1978" s="2839"/>
      <c r="E1978" s="2839"/>
      <c r="F1978" s="2839"/>
      <c r="G1978" s="2839"/>
      <c r="H1978" s="1616"/>
      <c r="I1978" s="1616"/>
      <c r="J1978" s="1616"/>
      <c r="K1978" s="1616"/>
      <c r="P1978" s="1122"/>
      <c r="Q1978" s="1119"/>
      <c r="R1978" s="1119"/>
      <c r="S1978" s="1119"/>
      <c r="T1978" s="1119"/>
      <c r="U1978" s="1120"/>
      <c r="Y1978" s="256"/>
      <c r="Z1978" s="256"/>
    </row>
    <row r="1979" spans="2:26" ht="15.6" hidden="1" customHeight="1" x14ac:dyDescent="0.2">
      <c r="B1979" s="2839" t="s">
        <v>4357</v>
      </c>
      <c r="C1979" s="2839"/>
      <c r="D1979" s="2839"/>
      <c r="E1979" s="2839"/>
      <c r="F1979" s="2839"/>
      <c r="G1979" s="2839"/>
      <c r="H1979" s="1616"/>
      <c r="I1979" s="1616"/>
      <c r="J1979" s="1616"/>
      <c r="K1979" s="1616"/>
      <c r="P1979" s="1122"/>
      <c r="Q1979" s="1119"/>
      <c r="R1979" s="1119"/>
      <c r="S1979" s="1119"/>
      <c r="T1979" s="1119"/>
      <c r="U1979" s="1120"/>
      <c r="Y1979" s="256"/>
      <c r="Z1979" s="256"/>
    </row>
    <row r="1980" spans="2:26" ht="15.6" hidden="1" customHeight="1" x14ac:dyDescent="0.2">
      <c r="B1980" s="2839" t="s">
        <v>4358</v>
      </c>
      <c r="C1980" s="2839"/>
      <c r="D1980" s="2839"/>
      <c r="E1980" s="2839"/>
      <c r="F1980" s="2839"/>
      <c r="G1980" s="2839"/>
      <c r="H1980" s="1616"/>
      <c r="I1980" s="1616"/>
      <c r="J1980" s="1616"/>
      <c r="K1980" s="1616"/>
      <c r="P1980" s="1122"/>
      <c r="Q1980" s="1119"/>
      <c r="R1980" s="1119"/>
      <c r="S1980" s="1119"/>
      <c r="T1980" s="1119"/>
      <c r="U1980" s="1120"/>
      <c r="Y1980" s="256"/>
      <c r="Z1980" s="256"/>
    </row>
    <row r="1981" spans="2:26" ht="15.6" customHeight="1" x14ac:dyDescent="0.2">
      <c r="B1981" s="2944" t="s">
        <v>7565</v>
      </c>
      <c r="C1981" s="2944"/>
      <c r="D1981" s="2944"/>
      <c r="E1981" s="2944"/>
      <c r="F1981" s="2944"/>
      <c r="G1981" s="2944"/>
      <c r="H1981" s="2944"/>
      <c r="I1981" s="2944"/>
      <c r="J1981" s="1616"/>
      <c r="K1981" s="1616"/>
      <c r="P1981" s="1122"/>
      <c r="Q1981" s="1119"/>
      <c r="R1981" s="1119"/>
      <c r="S1981" s="1119"/>
      <c r="T1981" s="1119"/>
      <c r="U1981" s="1120"/>
      <c r="Y1981" s="256"/>
      <c r="Z1981" s="256"/>
    </row>
    <row r="1982" spans="2:26" ht="15.6" hidden="1" customHeight="1" x14ac:dyDescent="0.2">
      <c r="B1982" s="2839" t="s">
        <v>4359</v>
      </c>
      <c r="C1982" s="2839"/>
      <c r="D1982" s="2839"/>
      <c r="E1982" s="2839"/>
      <c r="F1982" s="2839"/>
      <c r="G1982" s="2839"/>
      <c r="H1982" s="1616"/>
      <c r="I1982" s="1616"/>
      <c r="J1982" s="1616"/>
      <c r="K1982" s="1616"/>
      <c r="P1982" s="1122"/>
      <c r="Q1982" s="1119"/>
      <c r="R1982" s="1119"/>
      <c r="S1982" s="1119"/>
      <c r="T1982" s="1119"/>
      <c r="U1982" s="1120"/>
      <c r="Y1982" s="256"/>
      <c r="Z1982" s="256"/>
    </row>
    <row r="1983" spans="2:26" ht="15.6" hidden="1" customHeight="1" x14ac:dyDescent="0.2">
      <c r="B1983" s="2839" t="s">
        <v>4360</v>
      </c>
      <c r="C1983" s="2839"/>
      <c r="D1983" s="2839"/>
      <c r="E1983" s="2839"/>
      <c r="F1983" s="2839"/>
      <c r="G1983" s="2839"/>
      <c r="H1983" s="1616"/>
      <c r="I1983" s="1616"/>
      <c r="J1983" s="1616"/>
      <c r="K1983" s="1616"/>
      <c r="P1983" s="1122"/>
      <c r="Q1983" s="1119"/>
      <c r="R1983" s="1119"/>
      <c r="S1983" s="1119"/>
      <c r="T1983" s="1119"/>
      <c r="U1983" s="1120"/>
      <c r="Y1983" s="256"/>
      <c r="Z1983" s="256"/>
    </row>
    <row r="1984" spans="2:26" ht="15.6" customHeight="1" x14ac:dyDescent="0.2">
      <c r="B1984" s="2839" t="s">
        <v>7566</v>
      </c>
      <c r="C1984" s="2839"/>
      <c r="D1984" s="2839"/>
      <c r="E1984" s="2839"/>
      <c r="F1984" s="2839"/>
      <c r="G1984" s="2839"/>
      <c r="H1984" s="1616"/>
      <c r="I1984" s="1616"/>
      <c r="J1984" s="1616"/>
      <c r="K1984" s="1616"/>
      <c r="P1984" s="1122"/>
      <c r="Q1984" s="1119"/>
      <c r="R1984" s="1119"/>
      <c r="S1984" s="1119"/>
      <c r="T1984" s="1119"/>
      <c r="U1984" s="1120"/>
      <c r="Y1984" s="256"/>
      <c r="Z1984" s="256"/>
    </row>
    <row r="1985" spans="2:26" ht="15.6" customHeight="1" x14ac:dyDescent="0.2">
      <c r="B1985" s="2839" t="s">
        <v>7567</v>
      </c>
      <c r="C1985" s="2839"/>
      <c r="D1985" s="2839"/>
      <c r="E1985" s="2839"/>
      <c r="F1985" s="2839"/>
      <c r="G1985" s="2839"/>
      <c r="H1985" s="1616"/>
      <c r="I1985" s="1616"/>
      <c r="J1985" s="1616"/>
      <c r="K1985" s="1616"/>
      <c r="P1985" s="1122"/>
      <c r="Q1985" s="1119"/>
      <c r="R1985" s="1119"/>
      <c r="S1985" s="1119"/>
      <c r="T1985" s="1119"/>
      <c r="U1985" s="1120"/>
      <c r="Y1985" s="256"/>
      <c r="Z1985" s="256"/>
    </row>
    <row r="1986" spans="2:26" ht="15.6" customHeight="1" x14ac:dyDescent="0.2">
      <c r="C1986" s="57"/>
      <c r="E1986" s="57"/>
      <c r="I1986" s="58"/>
      <c r="J1986" s="58"/>
      <c r="K1986" s="58"/>
      <c r="M1986" s="1134"/>
      <c r="O1986" s="1133"/>
    </row>
    <row r="1987" spans="2:26" ht="46.5" hidden="1" customHeight="1" x14ac:dyDescent="0.2">
      <c r="B1987" s="2855" t="s">
        <v>2514</v>
      </c>
      <c r="C1987" s="2855"/>
      <c r="D1987" s="2855"/>
      <c r="E1987" s="2855"/>
      <c r="F1987" s="2855"/>
      <c r="G1987" s="2855"/>
      <c r="H1987" s="1616"/>
      <c r="I1987" s="1616"/>
      <c r="J1987" s="1616"/>
      <c r="K1987" s="1616"/>
    </row>
    <row r="1988" spans="2:26" ht="15.6" hidden="1" customHeight="1" x14ac:dyDescent="0.2">
      <c r="B1988" s="767"/>
      <c r="C1988" s="769"/>
      <c r="D1988" s="769"/>
      <c r="E1988" s="769"/>
      <c r="F1988" s="769"/>
      <c r="G1988" s="769"/>
      <c r="I1988" s="58"/>
      <c r="J1988" s="58"/>
      <c r="K1988" s="58"/>
      <c r="M1988" s="1134"/>
      <c r="O1988" s="1133"/>
    </row>
    <row r="1989" spans="2:26" ht="46.5" customHeight="1" x14ac:dyDescent="0.2">
      <c r="B1989" s="2839" t="s">
        <v>7568</v>
      </c>
      <c r="C1989" s="2839"/>
      <c r="D1989" s="2839"/>
      <c r="E1989" s="2839"/>
      <c r="F1989" s="2839"/>
      <c r="G1989" s="2839"/>
      <c r="H1989" s="1616"/>
      <c r="I1989" s="1616"/>
      <c r="J1989" s="1616"/>
      <c r="K1989" s="1616"/>
    </row>
    <row r="1990" spans="2:26" ht="15.6" customHeight="1" x14ac:dyDescent="0.2">
      <c r="I1990" s="58"/>
      <c r="J1990" s="58"/>
      <c r="K1990" s="58"/>
      <c r="L1990" s="59"/>
      <c r="N1990" s="1471"/>
    </row>
    <row r="1991" spans="2:26" ht="46.5" hidden="1" customHeight="1" x14ac:dyDescent="0.2">
      <c r="B1991" s="2865" t="s">
        <v>2515</v>
      </c>
      <c r="C1991" s="2865"/>
      <c r="D1991" s="2865"/>
      <c r="E1991" s="2865"/>
      <c r="F1991" s="2865"/>
      <c r="G1991" s="2865"/>
      <c r="H1991" s="1616"/>
      <c r="I1991" s="1616"/>
      <c r="J1991" s="1616"/>
      <c r="K1991" s="1616"/>
    </row>
    <row r="1992" spans="2:26" ht="15.6" hidden="1" customHeight="1" x14ac:dyDescent="0.2">
      <c r="I1992" s="58"/>
      <c r="J1992" s="58"/>
      <c r="K1992" s="58"/>
      <c r="L1992" s="59"/>
      <c r="N1992" s="1471"/>
    </row>
    <row r="1993" spans="2:26" ht="30.95" hidden="1" customHeight="1" x14ac:dyDescent="0.2">
      <c r="B1993" s="2839" t="s">
        <v>2562</v>
      </c>
      <c r="C1993" s="2839"/>
      <c r="D1993" s="2839"/>
      <c r="E1993" s="2839"/>
      <c r="F1993" s="2839"/>
      <c r="G1993" s="2839"/>
      <c r="H1993" s="1616"/>
      <c r="I1993" s="1616"/>
      <c r="J1993" s="1616"/>
      <c r="K1993" s="1616"/>
      <c r="M1993" s="1214" t="s">
        <v>1985</v>
      </c>
    </row>
    <row r="1994" spans="2:26" ht="15.6" hidden="1" customHeight="1" x14ac:dyDescent="0.25">
      <c r="I1994" s="200"/>
      <c r="J1994" s="200"/>
      <c r="K1994" s="200"/>
      <c r="L1994" s="210"/>
      <c r="M1994" s="1133"/>
      <c r="N1994" s="1147"/>
      <c r="O1994" s="1596"/>
    </row>
    <row r="1995" spans="2:26" ht="46.5" hidden="1" customHeight="1" x14ac:dyDescent="0.2">
      <c r="B1995" s="2839" t="s">
        <v>903</v>
      </c>
      <c r="C1995" s="2839"/>
      <c r="D1995" s="2839"/>
      <c r="E1995" s="2839"/>
      <c r="F1995" s="2839"/>
      <c r="G1995" s="2839"/>
      <c r="H1995" s="1616"/>
      <c r="I1995" s="1616"/>
      <c r="J1995" s="1616"/>
      <c r="K1995" s="1616"/>
      <c r="M1995" s="1214" t="s">
        <v>1985</v>
      </c>
    </row>
    <row r="1996" spans="2:26" ht="15.6" hidden="1" customHeight="1" x14ac:dyDescent="0.25">
      <c r="I1996" s="200"/>
      <c r="J1996" s="200"/>
      <c r="K1996" s="200"/>
      <c r="L1996" s="210"/>
      <c r="M1996" s="1133"/>
      <c r="N1996" s="1147"/>
      <c r="O1996" s="1596"/>
    </row>
    <row r="1997" spans="2:26" ht="46.5" hidden="1" customHeight="1" x14ac:dyDescent="0.2">
      <c r="B1997" s="2839" t="s">
        <v>904</v>
      </c>
      <c r="C1997" s="2839"/>
      <c r="D1997" s="2839"/>
      <c r="E1997" s="2839"/>
      <c r="F1997" s="2839"/>
      <c r="G1997" s="2839"/>
      <c r="H1997" s="1616"/>
      <c r="I1997" s="1616"/>
      <c r="J1997" s="1616"/>
      <c r="K1997" s="1616"/>
      <c r="M1997" s="1214" t="s">
        <v>1985</v>
      </c>
    </row>
    <row r="1998" spans="2:26" ht="15.6" hidden="1" customHeight="1" x14ac:dyDescent="0.25">
      <c r="I1998" s="200"/>
      <c r="J1998" s="200"/>
      <c r="K1998" s="200"/>
      <c r="L1998" s="210"/>
      <c r="M1998" s="1133"/>
      <c r="N1998" s="1147"/>
      <c r="O1998" s="1596"/>
    </row>
    <row r="1999" spans="2:26" ht="46.5" hidden="1" customHeight="1" x14ac:dyDescent="0.2">
      <c r="B1999" s="2839" t="s">
        <v>1397</v>
      </c>
      <c r="C1999" s="2839"/>
      <c r="D1999" s="2839"/>
      <c r="E1999" s="2839"/>
      <c r="F1999" s="2839"/>
      <c r="G1999" s="2839"/>
      <c r="H1999" s="1616"/>
      <c r="I1999" s="1616"/>
      <c r="J1999" s="1616"/>
      <c r="K1999" s="1616"/>
      <c r="M1999" s="1214" t="s">
        <v>1985</v>
      </c>
    </row>
    <row r="2000" spans="2:26" ht="15.6" hidden="1" customHeight="1" x14ac:dyDescent="0.25">
      <c r="I2000" s="200"/>
      <c r="J2000" s="200"/>
      <c r="K2000" s="200"/>
      <c r="L2000" s="210"/>
      <c r="M2000" s="1133"/>
      <c r="N2000" s="1147"/>
      <c r="O2000" s="1596"/>
    </row>
    <row r="2001" spans="1:27" ht="30.95" hidden="1" customHeight="1" x14ac:dyDescent="0.2">
      <c r="A2001" s="655"/>
      <c r="B2001" s="2868" t="s">
        <v>2216</v>
      </c>
      <c r="C2001" s="2868"/>
      <c r="D2001" s="2868"/>
      <c r="E2001" s="2868"/>
      <c r="F2001" s="2868"/>
      <c r="G2001" s="2868"/>
      <c r="H2001" s="1546"/>
      <c r="I2001" s="1546"/>
      <c r="J2001" s="1546"/>
      <c r="K2001" s="1546"/>
      <c r="L2001" s="655"/>
      <c r="M2001" s="1213" t="s">
        <v>1985</v>
      </c>
      <c r="N2001" s="1147"/>
      <c r="O2001" s="1212"/>
    </row>
    <row r="2002" spans="1:27" ht="15.6" hidden="1" customHeight="1" x14ac:dyDescent="0.25">
      <c r="A2002" s="655"/>
      <c r="B2002" s="655"/>
      <c r="C2002" s="655"/>
      <c r="D2002" s="656"/>
      <c r="E2002" s="655"/>
      <c r="F2002" s="656"/>
      <c r="G2002" s="656"/>
      <c r="H2002" s="656"/>
      <c r="I2002" s="657"/>
      <c r="J2002" s="657"/>
      <c r="K2002" s="657"/>
      <c r="L2002" s="664"/>
      <c r="M2002" s="1133"/>
      <c r="N2002" s="1147"/>
      <c r="O2002" s="1212"/>
    </row>
    <row r="2003" spans="1:27" ht="30.95" customHeight="1" x14ac:dyDescent="0.2">
      <c r="B2003" s="2839" t="s">
        <v>820</v>
      </c>
      <c r="C2003" s="2839"/>
      <c r="D2003" s="2839"/>
      <c r="E2003" s="2839"/>
      <c r="F2003" s="2839"/>
      <c r="G2003" s="2839"/>
      <c r="H2003" s="1616"/>
      <c r="I2003" s="1616"/>
      <c r="J2003" s="1616"/>
      <c r="K2003" s="1616"/>
      <c r="P2003" s="1122"/>
      <c r="Q2003" s="1119"/>
      <c r="R2003" s="1119"/>
      <c r="S2003" s="1119"/>
      <c r="T2003" s="1119"/>
      <c r="U2003" s="1120"/>
      <c r="Y2003" s="256"/>
      <c r="Z2003" s="256"/>
    </row>
    <row r="2004" spans="1:27" ht="15.6" customHeight="1" x14ac:dyDescent="0.2">
      <c r="I2004" s="58"/>
      <c r="J2004" s="58"/>
      <c r="K2004" s="58"/>
      <c r="L2004" s="59"/>
      <c r="M2004" s="1133"/>
      <c r="N2004" s="1147"/>
      <c r="O2004" s="1596"/>
      <c r="AA2004" s="256"/>
    </row>
    <row r="2005" spans="1:27" s="256" customFormat="1" ht="15.6" hidden="1" customHeight="1" x14ac:dyDescent="0.25">
      <c r="A2005" s="260"/>
      <c r="B2005" s="260"/>
      <c r="C2005" s="260"/>
      <c r="D2005" s="255"/>
      <c r="E2005" s="254"/>
      <c r="F2005" s="255"/>
      <c r="G2005" s="255"/>
      <c r="H2005" s="255"/>
      <c r="I2005" s="257"/>
      <c r="J2005" s="258"/>
      <c r="K2005" s="257"/>
      <c r="M2005" s="1468"/>
      <c r="N2005" s="1469"/>
      <c r="O2005" s="1599"/>
      <c r="P2005" s="1110"/>
      <c r="Q2005" s="1111"/>
      <c r="R2005" s="1111"/>
      <c r="S2005" s="1111"/>
      <c r="T2005" s="1111"/>
      <c r="U2005" s="1112"/>
      <c r="V2005" s="1133"/>
      <c r="W2005" s="1114"/>
      <c r="X2005" s="48"/>
      <c r="Y2005" s="48"/>
      <c r="Z2005" s="48"/>
      <c r="AA2005" s="48"/>
    </row>
    <row r="2006" spans="1:27" ht="15.6" customHeight="1" x14ac:dyDescent="0.25">
      <c r="A2006" s="211">
        <v>20</v>
      </c>
      <c r="B2006" s="50" t="s">
        <v>117</v>
      </c>
      <c r="C2006" s="50"/>
      <c r="W2006" s="1114" t="s">
        <v>3520</v>
      </c>
    </row>
    <row r="2007" spans="1:27" ht="15.6" customHeight="1" x14ac:dyDescent="0.25">
      <c r="A2007" s="211"/>
      <c r="B2007" s="50"/>
      <c r="C2007" s="50"/>
    </row>
    <row r="2008" spans="1:27" ht="15.6" customHeight="1" x14ac:dyDescent="0.25">
      <c r="A2008" s="211"/>
      <c r="B2008" s="50"/>
      <c r="C2008" s="50"/>
      <c r="E2008" s="2881" t="s">
        <v>147</v>
      </c>
      <c r="F2008" s="2881"/>
      <c r="G2008" s="2881"/>
      <c r="I2008" s="2881" t="s">
        <v>1459</v>
      </c>
      <c r="J2008" s="2881"/>
      <c r="K2008" s="2881"/>
    </row>
    <row r="2009" spans="1:27" ht="15.6" customHeight="1" x14ac:dyDescent="0.25">
      <c r="A2009" s="211"/>
      <c r="B2009" s="50"/>
      <c r="C2009" s="50"/>
      <c r="E2009" s="722" t="str">
        <f>"July "&amp;Parameters!C17</f>
        <v>July 2012</v>
      </c>
      <c r="F2009" s="266"/>
      <c r="G2009" s="722" t="str">
        <f>"July "&amp;Parameters!C19</f>
        <v>July 2011</v>
      </c>
    </row>
    <row r="2010" spans="1:27" ht="15.6" customHeight="1" x14ac:dyDescent="0.25">
      <c r="A2010" s="211"/>
      <c r="B2010" s="50"/>
      <c r="C2010" s="50"/>
      <c r="E2010" s="266" t="s">
        <v>119</v>
      </c>
      <c r="F2010" s="266"/>
      <c r="G2010" s="266" t="s">
        <v>119</v>
      </c>
    </row>
    <row r="2011" spans="1:27" ht="15.6" customHeight="1" x14ac:dyDescent="0.25">
      <c r="A2011" s="211"/>
      <c r="B2011" s="50"/>
      <c r="C2011" s="50"/>
    </row>
    <row r="2012" spans="1:27" ht="15.6" customHeight="1" x14ac:dyDescent="0.2">
      <c r="B2012" s="48" t="s">
        <v>118</v>
      </c>
      <c r="E2012" s="58">
        <f>299181676/1000</f>
        <v>299181.67599999998</v>
      </c>
      <c r="F2012" s="58"/>
      <c r="G2012" s="58">
        <f>E2012</f>
        <v>299181.67599999998</v>
      </c>
      <c r="I2012" s="2481">
        <f>-'Trial Balance - FPer'!G937</f>
        <v>3766620.54</v>
      </c>
      <c r="J2012" s="58"/>
      <c r="K2012" s="2481">
        <f>-'Trial Balance - FPer'!C937</f>
        <v>2673458.25</v>
      </c>
      <c r="L2012" s="59"/>
      <c r="N2012" s="1585">
        <v>0</v>
      </c>
      <c r="O2012" s="1146"/>
      <c r="P2012" s="1110" t="s">
        <v>3262</v>
      </c>
      <c r="Q2012" s="1111" t="s">
        <v>2763</v>
      </c>
      <c r="R2012" s="1111" t="s">
        <v>3263</v>
      </c>
      <c r="S2012" s="1111" t="s">
        <v>2765</v>
      </c>
      <c r="T2012" s="1111" t="s">
        <v>3639</v>
      </c>
      <c r="U2012" s="1111" t="s">
        <v>2775</v>
      </c>
    </row>
    <row r="2013" spans="1:27" ht="15.6" customHeight="1" x14ac:dyDescent="0.2">
      <c r="B2013" s="48" t="s">
        <v>116</v>
      </c>
      <c r="E2013" s="58">
        <f>58595000/1000</f>
        <v>58595</v>
      </c>
      <c r="F2013" s="58"/>
      <c r="G2013" s="58">
        <f>E2013</f>
        <v>58595</v>
      </c>
      <c r="I2013" s="2481">
        <f>-'Trial Balance - FPer'!G934</f>
        <v>411281.35</v>
      </c>
      <c r="J2013" s="58"/>
      <c r="K2013" s="2481">
        <f>-'Trial Balance - FPer'!C934</f>
        <v>394657.35</v>
      </c>
      <c r="L2013" s="59"/>
      <c r="N2013" s="1585">
        <v>0</v>
      </c>
      <c r="O2013" s="1146"/>
      <c r="P2013" s="1110" t="s">
        <v>3264</v>
      </c>
      <c r="Q2013" s="1111" t="s">
        <v>2763</v>
      </c>
      <c r="R2013" s="1111" t="s">
        <v>3265</v>
      </c>
      <c r="S2013" s="1111" t="s">
        <v>2765</v>
      </c>
      <c r="T2013" s="1111" t="s">
        <v>3640</v>
      </c>
      <c r="U2013" s="1111" t="s">
        <v>2775</v>
      </c>
    </row>
    <row r="2014" spans="1:27" ht="15.6" hidden="1" customHeight="1" x14ac:dyDescent="0.2">
      <c r="B2014" s="48" t="s">
        <v>3633</v>
      </c>
      <c r="E2014" s="58">
        <v>0</v>
      </c>
      <c r="F2014" s="58"/>
      <c r="G2014" s="58">
        <v>0</v>
      </c>
      <c r="I2014" s="2481">
        <v>0</v>
      </c>
      <c r="J2014" s="58"/>
      <c r="K2014" s="2481">
        <v>0</v>
      </c>
      <c r="L2014" s="59"/>
      <c r="N2014" s="1585">
        <v>0</v>
      </c>
      <c r="O2014" s="1146"/>
      <c r="P2014" s="1110" t="s">
        <v>3266</v>
      </c>
      <c r="Q2014" s="1111" t="s">
        <v>2763</v>
      </c>
      <c r="R2014" s="1111" t="s">
        <v>3267</v>
      </c>
      <c r="S2014" s="1111" t="s">
        <v>2765</v>
      </c>
      <c r="T2014" s="1111" t="s">
        <v>3641</v>
      </c>
      <c r="U2014" s="1111" t="s">
        <v>2775</v>
      </c>
    </row>
    <row r="2015" spans="1:27" ht="15.6" hidden="1" customHeight="1" x14ac:dyDescent="0.2">
      <c r="B2015" s="48" t="s">
        <v>1739</v>
      </c>
      <c r="E2015" s="58">
        <v>0</v>
      </c>
      <c r="F2015" s="58"/>
      <c r="G2015" s="58">
        <v>0</v>
      </c>
      <c r="I2015" s="2481">
        <v>0</v>
      </c>
      <c r="J2015" s="58"/>
      <c r="K2015" s="2481">
        <v>0</v>
      </c>
      <c r="L2015" s="59"/>
      <c r="N2015" s="1585">
        <v>0</v>
      </c>
      <c r="O2015" s="1146"/>
      <c r="P2015" s="1110" t="s">
        <v>3268</v>
      </c>
      <c r="Q2015" s="1111" t="s">
        <v>2763</v>
      </c>
      <c r="R2015" s="1111" t="s">
        <v>3269</v>
      </c>
      <c r="S2015" s="1111" t="s">
        <v>2765</v>
      </c>
      <c r="T2015" s="1111" t="s">
        <v>3642</v>
      </c>
      <c r="U2015" s="1111" t="s">
        <v>2775</v>
      </c>
      <c r="Y2015" s="1141"/>
    </row>
    <row r="2016" spans="1:27" ht="15.6" customHeight="1" x14ac:dyDescent="0.2">
      <c r="B2016" s="48" t="s">
        <v>685</v>
      </c>
      <c r="E2016" s="58">
        <f>2307524500/1000</f>
        <v>2307524.5</v>
      </c>
      <c r="F2016" s="58"/>
      <c r="G2016" s="58">
        <f>E2016</f>
        <v>2307524.5</v>
      </c>
      <c r="I2016" s="2481">
        <f>-'Trial Balance - FPer'!G935</f>
        <v>2978960.8000000003</v>
      </c>
      <c r="J2016" s="58"/>
      <c r="K2016" s="2481">
        <f>-'Trial Balance - FPer'!C935</f>
        <v>2712827.7</v>
      </c>
      <c r="L2016" s="59"/>
      <c r="N2016" s="1585">
        <v>0</v>
      </c>
      <c r="O2016" s="1146"/>
      <c r="P2016" s="1110" t="s">
        <v>3270</v>
      </c>
      <c r="Q2016" s="1111" t="s">
        <v>2763</v>
      </c>
      <c r="R2016" s="1111" t="s">
        <v>3271</v>
      </c>
      <c r="S2016" s="1111" t="s">
        <v>2765</v>
      </c>
      <c r="T2016" s="1111" t="s">
        <v>3643</v>
      </c>
      <c r="U2016" s="1111" t="s">
        <v>2775</v>
      </c>
    </row>
    <row r="2017" spans="1:24" ht="15.6" customHeight="1" x14ac:dyDescent="0.2">
      <c r="B2017" s="48" t="s">
        <v>666</v>
      </c>
      <c r="E2017" s="58">
        <f>204314123/1000</f>
        <v>204314.12299999999</v>
      </c>
      <c r="F2017" s="58"/>
      <c r="G2017" s="58">
        <f>E2017</f>
        <v>204314.12299999999</v>
      </c>
      <c r="I2017" s="2481">
        <f>-'Trial Balance - FPer'!G936</f>
        <v>74352.350000000006</v>
      </c>
      <c r="J2017" s="58"/>
      <c r="K2017" s="2481">
        <f>-'Trial Balance - FPer'!C936</f>
        <v>281963.5</v>
      </c>
      <c r="L2017" s="59"/>
      <c r="N2017" s="1585">
        <v>0</v>
      </c>
      <c r="O2017" s="1146"/>
      <c r="P2017" s="1110" t="s">
        <v>3272</v>
      </c>
      <c r="Q2017" s="1111" t="s">
        <v>2763</v>
      </c>
      <c r="R2017" s="1111" t="s">
        <v>3273</v>
      </c>
      <c r="S2017" s="1111" t="s">
        <v>2765</v>
      </c>
      <c r="T2017" s="1111" t="s">
        <v>3644</v>
      </c>
      <c r="U2017" s="1111" t="s">
        <v>2775</v>
      </c>
    </row>
    <row r="2018" spans="1:24" ht="15.6" hidden="1" customHeight="1" x14ac:dyDescent="0.2">
      <c r="B2018" s="48" t="s">
        <v>602</v>
      </c>
      <c r="E2018" s="2043">
        <v>0</v>
      </c>
      <c r="F2018" s="58"/>
      <c r="G2018" s="2043">
        <v>0</v>
      </c>
      <c r="I2018" s="2104">
        <v>0</v>
      </c>
      <c r="J2018" s="58"/>
      <c r="K2018" s="2104">
        <v>0</v>
      </c>
      <c r="L2018" s="59"/>
      <c r="N2018" s="1585">
        <v>0</v>
      </c>
      <c r="O2018" s="1146"/>
      <c r="P2018" s="1110" t="s">
        <v>3274</v>
      </c>
      <c r="Q2018" s="1111" t="s">
        <v>2763</v>
      </c>
      <c r="R2018" s="1111" t="s">
        <v>3275</v>
      </c>
      <c r="S2018" s="1111" t="s">
        <v>2765</v>
      </c>
      <c r="T2018" s="1111" t="s">
        <v>3645</v>
      </c>
      <c r="U2018" s="1111" t="s">
        <v>2775</v>
      </c>
    </row>
    <row r="2019" spans="1:24" ht="15.6" hidden="1" customHeight="1" x14ac:dyDescent="0.2">
      <c r="B2019" s="48" t="s">
        <v>3638</v>
      </c>
      <c r="E2019" s="2043">
        <v>0</v>
      </c>
      <c r="F2019" s="58"/>
      <c r="G2019" s="2043">
        <v>0</v>
      </c>
      <c r="I2019" s="2104">
        <v>0</v>
      </c>
      <c r="J2019" s="58"/>
      <c r="K2019" s="2104">
        <v>0</v>
      </c>
      <c r="L2019" s="59"/>
      <c r="N2019" s="1585">
        <v>0</v>
      </c>
      <c r="O2019" s="1146"/>
      <c r="P2019" s="1110" t="s">
        <v>3635</v>
      </c>
      <c r="Q2019" s="1111" t="s">
        <v>2763</v>
      </c>
      <c r="R2019" s="1111" t="s">
        <v>3636</v>
      </c>
      <c r="S2019" s="1111" t="s">
        <v>2765</v>
      </c>
      <c r="T2019" s="1111" t="s">
        <v>3646</v>
      </c>
      <c r="U2019" s="1111" t="s">
        <v>2775</v>
      </c>
    </row>
    <row r="2020" spans="1:24" ht="15.6" hidden="1" customHeight="1" x14ac:dyDescent="0.2">
      <c r="B2020" s="48" t="s">
        <v>3637</v>
      </c>
      <c r="E2020" s="2043">
        <v>0</v>
      </c>
      <c r="F2020" s="58"/>
      <c r="G2020" s="2043">
        <v>0</v>
      </c>
      <c r="I2020" s="2104">
        <v>0</v>
      </c>
      <c r="J2020" s="58"/>
      <c r="K2020" s="2104">
        <v>0</v>
      </c>
      <c r="L2020" s="59"/>
      <c r="N2020" s="1585">
        <v>0</v>
      </c>
      <c r="O2020" s="1146"/>
      <c r="P2020" s="1110" t="s">
        <v>3276</v>
      </c>
      <c r="Q2020" s="1111" t="s">
        <v>2763</v>
      </c>
      <c r="R2020" s="1111" t="s">
        <v>3277</v>
      </c>
      <c r="S2020" s="1111" t="s">
        <v>2765</v>
      </c>
      <c r="T2020" s="1111" t="s">
        <v>3647</v>
      </c>
      <c r="U2020" s="1111" t="s">
        <v>2775</v>
      </c>
    </row>
    <row r="2021" spans="1:24" ht="15.6" hidden="1" customHeight="1" x14ac:dyDescent="0.2">
      <c r="B2021" s="48" t="s">
        <v>3634</v>
      </c>
      <c r="E2021" s="2043">
        <f>0/1000</f>
        <v>0</v>
      </c>
      <c r="F2021" s="58"/>
      <c r="G2021" s="2043">
        <f>0/1000</f>
        <v>0</v>
      </c>
      <c r="I2021" s="2104">
        <v>0</v>
      </c>
      <c r="J2021" s="58"/>
      <c r="K2021" s="2104">
        <v>0</v>
      </c>
      <c r="L2021" s="59"/>
      <c r="N2021" s="1585">
        <v>0</v>
      </c>
      <c r="O2021" s="1146"/>
      <c r="P2021" s="1110" t="s">
        <v>3278</v>
      </c>
      <c r="Q2021" s="1111" t="s">
        <v>2763</v>
      </c>
      <c r="R2021" s="1111" t="s">
        <v>3279</v>
      </c>
      <c r="S2021" s="1111" t="s">
        <v>2765</v>
      </c>
      <c r="T2021" s="1111" t="s">
        <v>3648</v>
      </c>
      <c r="U2021" s="1111" t="s">
        <v>2775</v>
      </c>
    </row>
    <row r="2022" spans="1:24" ht="15.6" customHeight="1" x14ac:dyDescent="0.2">
      <c r="E2022" s="58"/>
      <c r="F2022" s="58"/>
      <c r="G2022" s="58"/>
      <c r="H2022" s="58"/>
      <c r="I2022" s="58"/>
      <c r="J2022" s="58"/>
      <c r="K2022" s="58"/>
      <c r="L2022" s="59"/>
      <c r="N2022" s="1585"/>
      <c r="O2022" s="1146"/>
    </row>
    <row r="2023" spans="1:24" ht="15.6" customHeight="1" thickBot="1" x14ac:dyDescent="0.3">
      <c r="B2023" s="50" t="s">
        <v>1939</v>
      </c>
      <c r="C2023" s="50"/>
      <c r="E2023" s="204">
        <f>SUM(E2012:E2022)</f>
        <v>2869615.2990000001</v>
      </c>
      <c r="F2023" s="58"/>
      <c r="G2023" s="204">
        <f>SUM(G2012:G2022)</f>
        <v>2869615.2990000001</v>
      </c>
      <c r="I2023" s="204">
        <f>SUM(I2012:I2022)</f>
        <v>7231215.04</v>
      </c>
      <c r="J2023" s="58"/>
      <c r="K2023" s="204">
        <f>SUM(K2012:K2022)</f>
        <v>6062906.8000000007</v>
      </c>
      <c r="L2023" s="59"/>
      <c r="N2023" s="620">
        <f>SUM(N2012:N2022)</f>
        <v>0</v>
      </c>
      <c r="V2023" s="234"/>
      <c r="X2023" s="50"/>
    </row>
    <row r="2024" spans="1:24" ht="15.6" customHeight="1" thickTop="1" x14ac:dyDescent="0.2">
      <c r="E2024" s="199"/>
      <c r="F2024" s="199"/>
      <c r="G2024" s="199"/>
      <c r="I2024" s="265">
        <f>I2023-'Fin Perform'!I9</f>
        <v>0</v>
      </c>
      <c r="J2024" s="58"/>
      <c r="K2024" s="265">
        <f>K2023-'Fin Perform'!K9</f>
        <v>0</v>
      </c>
      <c r="L2024" s="59"/>
    </row>
    <row r="2025" spans="1:24" ht="15.6" hidden="1" customHeight="1" x14ac:dyDescent="0.25">
      <c r="A2025" s="767"/>
      <c r="B2025" s="767" t="s">
        <v>1028</v>
      </c>
      <c r="C2025" s="767"/>
      <c r="D2025" s="769"/>
      <c r="E2025" s="767"/>
      <c r="F2025" s="769"/>
      <c r="G2025" s="769"/>
      <c r="H2025" s="769"/>
      <c r="I2025" s="1542"/>
      <c r="J2025" s="1542"/>
      <c r="K2025" s="1542"/>
      <c r="L2025" s="1619"/>
      <c r="M2025" s="1133"/>
      <c r="N2025" s="1147"/>
      <c r="O2025" s="1146"/>
      <c r="P2025" s="1115"/>
    </row>
    <row r="2026" spans="1:24" ht="15.6" hidden="1" customHeight="1" x14ac:dyDescent="0.25">
      <c r="A2026" s="767"/>
      <c r="B2026" s="767" t="s">
        <v>1029</v>
      </c>
      <c r="C2026" s="767"/>
      <c r="D2026" s="769"/>
      <c r="E2026" s="767"/>
      <c r="F2026" s="769"/>
      <c r="G2026" s="769"/>
      <c r="H2026" s="769"/>
      <c r="I2026" s="1542">
        <f>I2023-I2027</f>
        <v>7231215.04</v>
      </c>
      <c r="J2026" s="1542"/>
      <c r="K2026" s="1542">
        <f>K2023-K2027</f>
        <v>6062906.8000000007</v>
      </c>
      <c r="L2026" s="1619"/>
      <c r="M2026" s="1133"/>
      <c r="N2026" s="1147"/>
      <c r="O2026" s="1146"/>
      <c r="P2026" s="1115"/>
    </row>
    <row r="2027" spans="1:24" ht="15.6" hidden="1" customHeight="1" x14ac:dyDescent="0.25">
      <c r="A2027" s="767"/>
      <c r="B2027" s="767" t="s">
        <v>1030</v>
      </c>
      <c r="C2027" s="767"/>
      <c r="D2027" s="769"/>
      <c r="E2027" s="767"/>
      <c r="F2027" s="769"/>
      <c r="G2027" s="769"/>
      <c r="H2027" s="769"/>
      <c r="I2027" s="1542">
        <v>0</v>
      </c>
      <c r="J2027" s="1542"/>
      <c r="K2027" s="1542">
        <v>0</v>
      </c>
      <c r="L2027" s="1619"/>
      <c r="M2027" s="1133"/>
      <c r="N2027" s="1147"/>
      <c r="O2027" s="1146"/>
      <c r="P2027" s="1115"/>
    </row>
    <row r="2028" spans="1:24" ht="15.6" hidden="1" customHeight="1" x14ac:dyDescent="0.25">
      <c r="A2028" s="767"/>
      <c r="B2028" s="767"/>
      <c r="C2028" s="767"/>
      <c r="D2028" s="769"/>
      <c r="E2028" s="767"/>
      <c r="F2028" s="769"/>
      <c r="G2028" s="769"/>
      <c r="H2028" s="769"/>
      <c r="I2028" s="779"/>
      <c r="J2028" s="779"/>
      <c r="K2028" s="779"/>
      <c r="L2028" s="1619"/>
      <c r="M2028" s="1133"/>
      <c r="N2028" s="1147"/>
      <c r="O2028" s="1146"/>
      <c r="P2028" s="1115"/>
    </row>
    <row r="2029" spans="1:24" ht="15.6" hidden="1" customHeight="1" thickBot="1" x14ac:dyDescent="0.3">
      <c r="A2029" s="767"/>
      <c r="B2029" s="767"/>
      <c r="C2029" s="767"/>
      <c r="D2029" s="769"/>
      <c r="E2029" s="767"/>
      <c r="F2029" s="769"/>
      <c r="G2029" s="769"/>
      <c r="H2029" s="769"/>
      <c r="I2029" s="1539">
        <f>SUM(I2026:I2028)</f>
        <v>7231215.04</v>
      </c>
      <c r="J2029" s="775"/>
      <c r="K2029" s="1539">
        <f>SUM(K2026:K2028)</f>
        <v>6062906.8000000007</v>
      </c>
      <c r="L2029" s="1619"/>
      <c r="M2029" s="1133"/>
      <c r="N2029" s="1147"/>
      <c r="O2029" s="1146"/>
      <c r="P2029" s="1115"/>
    </row>
    <row r="2030" spans="1:24" ht="15.6" hidden="1" customHeight="1" thickTop="1" x14ac:dyDescent="0.25">
      <c r="A2030" s="767"/>
      <c r="B2030" s="767"/>
      <c r="C2030" s="767"/>
      <c r="D2030" s="769"/>
      <c r="E2030" s="767"/>
      <c r="F2030" s="769"/>
      <c r="G2030" s="769"/>
      <c r="H2030" s="769"/>
      <c r="I2030" s="782">
        <f>I2029-I2023</f>
        <v>0</v>
      </c>
      <c r="J2030" s="779"/>
      <c r="K2030" s="782">
        <f>K2029-K2023</f>
        <v>0</v>
      </c>
      <c r="L2030" s="1619"/>
      <c r="M2030" s="1133"/>
      <c r="N2030" s="1147"/>
      <c r="O2030" s="1146"/>
      <c r="P2030" s="1115"/>
    </row>
    <row r="2031" spans="1:24" ht="46.5" hidden="1" customHeight="1" x14ac:dyDescent="0.2">
      <c r="A2031" s="767"/>
      <c r="B2031" s="2855" t="s">
        <v>2516</v>
      </c>
      <c r="C2031" s="2855"/>
      <c r="D2031" s="2855"/>
      <c r="E2031" s="2855"/>
      <c r="F2031" s="2855"/>
      <c r="G2031" s="2855"/>
      <c r="H2031" s="1618"/>
      <c r="I2031" s="1618"/>
      <c r="J2031" s="1618"/>
      <c r="K2031" s="1618"/>
      <c r="L2031" s="767"/>
    </row>
    <row r="2032" spans="1:24" ht="15.6" hidden="1" customHeight="1" x14ac:dyDescent="0.2">
      <c r="A2032" s="767"/>
      <c r="B2032" s="767"/>
      <c r="C2032" s="767"/>
      <c r="D2032" s="769"/>
      <c r="E2032" s="767"/>
      <c r="F2032" s="769"/>
      <c r="G2032" s="769"/>
      <c r="H2032" s="769"/>
      <c r="I2032" s="775"/>
      <c r="J2032" s="775"/>
      <c r="K2032" s="775"/>
      <c r="L2032" s="767"/>
    </row>
    <row r="2033" spans="1:26" ht="46.5" hidden="1" customHeight="1" x14ac:dyDescent="0.25">
      <c r="A2033" s="625"/>
      <c r="B2033" s="2840" t="s">
        <v>4352</v>
      </c>
      <c r="C2033" s="2840"/>
      <c r="D2033" s="2840"/>
      <c r="E2033" s="2840"/>
      <c r="F2033" s="2840"/>
      <c r="G2033" s="2840"/>
      <c r="H2033" s="632"/>
      <c r="I2033" s="632"/>
      <c r="J2033" s="632"/>
      <c r="K2033" s="632"/>
      <c r="L2033" s="631"/>
      <c r="M2033" s="1214"/>
      <c r="N2033" s="1133"/>
      <c r="O2033" s="1146"/>
      <c r="Z2033" s="50"/>
    </row>
    <row r="2034" spans="1:26" ht="30.95" customHeight="1" x14ac:dyDescent="0.25">
      <c r="B2034" s="2839" t="s">
        <v>7383</v>
      </c>
      <c r="C2034" s="2839"/>
      <c r="D2034" s="2839"/>
      <c r="E2034" s="2839"/>
      <c r="F2034" s="2839"/>
      <c r="G2034" s="2839"/>
      <c r="H2034" s="56"/>
      <c r="I2034" s="56"/>
      <c r="J2034" s="56"/>
      <c r="K2034" s="56"/>
      <c r="L2034" s="59"/>
      <c r="M2034" s="1214"/>
      <c r="N2034" s="1133"/>
      <c r="O2034" s="1146"/>
      <c r="Z2034" s="50"/>
    </row>
    <row r="2035" spans="1:26" ht="15.6" customHeight="1" x14ac:dyDescent="0.2"/>
    <row r="2036" spans="1:26" ht="30.95" customHeight="1" x14ac:dyDescent="0.25">
      <c r="B2036" s="2839" t="s">
        <v>1740</v>
      </c>
      <c r="C2036" s="2839"/>
      <c r="D2036" s="2839"/>
      <c r="E2036" s="2839"/>
      <c r="F2036" s="2839"/>
      <c r="G2036" s="2839"/>
      <c r="H2036" s="56"/>
      <c r="I2036" s="56"/>
      <c r="J2036" s="56"/>
      <c r="K2036" s="56"/>
      <c r="L2036" s="59"/>
      <c r="M2036" s="1214"/>
      <c r="N2036" s="1133"/>
      <c r="O2036" s="1146"/>
      <c r="Z2036" s="50"/>
    </row>
    <row r="2037" spans="1:26" ht="15.6" customHeight="1" x14ac:dyDescent="0.2">
      <c r="M2037" s="1133"/>
      <c r="N2037" s="1133"/>
    </row>
    <row r="2038" spans="1:26" ht="30.95" hidden="1" customHeight="1" x14ac:dyDescent="0.25">
      <c r="A2038" s="625"/>
      <c r="B2038" s="2854" t="str">
        <f>"A uniform rate of 1,3100 c/R ("&amp;Parameters!C27&amp;": 1,2000 c/R) is applied on property valuations in terms of the Property Rates Act to determine assessment rates."</f>
        <v>A uniform rate of 1,3100 c/R (2010/11: 1,2000 c/R) is applied on property valuations in terms of the Property Rates Act to determine assessment rates.</v>
      </c>
      <c r="C2038" s="2854"/>
      <c r="D2038" s="2854"/>
      <c r="E2038" s="2854"/>
      <c r="F2038" s="2854"/>
      <c r="G2038" s="2854"/>
      <c r="H2038" s="632"/>
      <c r="I2038" s="632"/>
      <c r="J2038" s="632"/>
      <c r="K2038" s="632"/>
      <c r="L2038" s="631"/>
      <c r="M2038" s="1214">
        <f>I2023*100/(E2023-E2021)</f>
        <v>251.99248981283048</v>
      </c>
      <c r="N2038" s="1133">
        <f>K2023*100/(G2023-G2021)</f>
        <v>211.27942836493781</v>
      </c>
      <c r="O2038" s="1146"/>
      <c r="Z2038" s="50"/>
    </row>
    <row r="2039" spans="1:26" ht="15.6" customHeight="1" x14ac:dyDescent="0.2">
      <c r="B2039" s="2839" t="s">
        <v>1940</v>
      </c>
      <c r="C2039" s="2877"/>
      <c r="D2039" s="2877"/>
      <c r="E2039" s="2877"/>
      <c r="F2039" s="2877"/>
      <c r="G2039" s="2877"/>
      <c r="H2039" s="2877"/>
      <c r="I2039" s="2877"/>
      <c r="J2039" s="2877"/>
      <c r="K2039" s="2877"/>
      <c r="M2039" s="1586">
        <f>I2023*100/(E2023-E2021)</f>
        <v>251.99248981283048</v>
      </c>
      <c r="N2039" s="1586">
        <f>K2023*100/(G2023-G2021)</f>
        <v>211.27942836493781</v>
      </c>
    </row>
    <row r="2040" spans="1:26" ht="15.6" customHeight="1" x14ac:dyDescent="0.2">
      <c r="B2040" s="2839" t="str">
        <f>"          Residential Properties:  0,5700 c/R ("&amp;Parameters!C27&amp;": 0,5700 c/R)"</f>
        <v xml:space="preserve">          Residential Properties:  0,5700 c/R (2010/11: 0,5700 c/R)</v>
      </c>
      <c r="C2040" s="2839"/>
      <c r="D2040" s="2839"/>
      <c r="E2040" s="2839"/>
      <c r="F2040" s="2839"/>
      <c r="G2040" s="2839"/>
      <c r="H2040" s="1616"/>
      <c r="I2040" s="1616"/>
      <c r="J2040" s="1616"/>
      <c r="K2040" s="1616"/>
      <c r="P2040" s="1122"/>
      <c r="Q2040" s="1119"/>
      <c r="R2040" s="1119"/>
      <c r="S2040" s="1119"/>
      <c r="T2040" s="1119"/>
      <c r="U2040" s="1120"/>
      <c r="Y2040" s="256"/>
      <c r="Z2040" s="256"/>
    </row>
    <row r="2041" spans="1:26" ht="15.6" customHeight="1" x14ac:dyDescent="0.2">
      <c r="B2041" s="2839" t="str">
        <f>"          Commercial Properties:  0,7722 c/R ("&amp;Parameters!C27&amp;": 0,7722 c/R)"</f>
        <v xml:space="preserve">          Commercial Properties:  0,7722 c/R (2010/11: 0,7722 c/R)</v>
      </c>
      <c r="C2041" s="2839"/>
      <c r="D2041" s="2839"/>
      <c r="E2041" s="2839"/>
      <c r="F2041" s="2839"/>
      <c r="G2041" s="2839"/>
      <c r="H2041" s="1616"/>
      <c r="I2041" s="1616"/>
      <c r="J2041" s="1616"/>
      <c r="K2041" s="1616"/>
      <c r="P2041" s="1122"/>
      <c r="Q2041" s="1119"/>
      <c r="R2041" s="1119"/>
      <c r="S2041" s="1119"/>
      <c r="T2041" s="1119"/>
      <c r="U2041" s="1120"/>
      <c r="Y2041" s="256"/>
      <c r="Z2041" s="256"/>
    </row>
    <row r="2042" spans="1:26" ht="15.6" customHeight="1" x14ac:dyDescent="0.2">
      <c r="B2042" s="2839" t="str">
        <f>"          State Properties:  0,2695 c/R ("&amp;Parameters!C27&amp;": 0,2695 c/R)"</f>
        <v xml:space="preserve">          State Properties:  0,2695 c/R (2010/11: 0,2695 c/R)</v>
      </c>
      <c r="C2042" s="2839"/>
      <c r="D2042" s="2839"/>
      <c r="E2042" s="2839"/>
      <c r="F2042" s="2839"/>
      <c r="G2042" s="2839"/>
      <c r="H2042" s="1616"/>
      <c r="I2042" s="1616"/>
      <c r="J2042" s="1616"/>
      <c r="K2042" s="1616"/>
      <c r="P2042" s="1122"/>
      <c r="Q2042" s="1119"/>
      <c r="R2042" s="1119"/>
      <c r="S2042" s="1119"/>
      <c r="T2042" s="1119"/>
      <c r="U2042" s="1120"/>
      <c r="Y2042" s="256"/>
      <c r="Z2042" s="256"/>
    </row>
    <row r="2043" spans="1:26" ht="15.6" customHeight="1" x14ac:dyDescent="0.2">
      <c r="B2043" s="2839" t="str">
        <f>"          Agricultural Properties:  0,1231 c/R ("&amp;Parameters!C27&amp;": 0,1231 c/R)"</f>
        <v xml:space="preserve">          Agricultural Properties:  0,1231 c/R (2010/11: 0,1231 c/R)</v>
      </c>
      <c r="C2043" s="2839"/>
      <c r="D2043" s="2839"/>
      <c r="E2043" s="2839"/>
      <c r="F2043" s="2839"/>
      <c r="G2043" s="2839"/>
      <c r="H2043" s="1616"/>
      <c r="I2043" s="1616"/>
      <c r="J2043" s="1616"/>
      <c r="K2043" s="1616"/>
      <c r="P2043" s="1122"/>
      <c r="Q2043" s="1119"/>
      <c r="R2043" s="1119"/>
      <c r="S2043" s="1119"/>
      <c r="T2043" s="1119"/>
      <c r="U2043" s="1120"/>
      <c r="Y2043" s="256"/>
      <c r="Z2043" s="256"/>
    </row>
    <row r="2044" spans="1:26" ht="15.6" customHeight="1" x14ac:dyDescent="0.2">
      <c r="M2044" s="1133"/>
      <c r="N2044" s="1133"/>
    </row>
    <row r="2045" spans="1:26" ht="30.95" hidden="1" customHeight="1" x14ac:dyDescent="0.25">
      <c r="B2045" s="2840" t="str">
        <f>"A rebate of 40,00% ("&amp;Parameters!C27&amp;": 40,00%) was allowed on residential properties whilst a  discount of 30,00% ("&amp;Parameters!C27&amp;": 30,00%) was granted on properties owned by the State."</f>
        <v>A rebate of 40,00% (2010/11: 40,00%) was allowed on residential properties whilst a  discount of 30,00% (2010/11: 30,00%) was granted on properties owned by the State.</v>
      </c>
      <c r="C2045" s="2840"/>
      <c r="D2045" s="2840"/>
      <c r="E2045" s="2840"/>
      <c r="F2045" s="2840"/>
      <c r="G2045" s="2840"/>
      <c r="H2045" s="56"/>
      <c r="I2045" s="56"/>
      <c r="J2045" s="56"/>
      <c r="K2045" s="56"/>
      <c r="L2045" s="59"/>
      <c r="M2045" s="1214"/>
      <c r="N2045" s="1133"/>
      <c r="O2045" s="1146"/>
      <c r="Z2045" s="50"/>
    </row>
    <row r="2046" spans="1:26" ht="15.6" hidden="1" customHeight="1" x14ac:dyDescent="0.2"/>
    <row r="2047" spans="1:26" ht="46.5" hidden="1" customHeight="1" x14ac:dyDescent="0.25">
      <c r="A2047" s="625"/>
      <c r="B2047" s="2854" t="s">
        <v>1533</v>
      </c>
      <c r="C2047" s="2854"/>
      <c r="D2047" s="2854"/>
      <c r="E2047" s="2854"/>
      <c r="F2047" s="2854"/>
      <c r="G2047" s="2854"/>
      <c r="H2047" s="632"/>
      <c r="I2047" s="632"/>
      <c r="J2047" s="632"/>
      <c r="K2047" s="632"/>
      <c r="L2047" s="631"/>
      <c r="M2047" s="1214"/>
      <c r="N2047" s="1133"/>
      <c r="O2047" s="1146"/>
      <c r="Z2047" s="50"/>
    </row>
    <row r="2048" spans="1:26" ht="30.95" customHeight="1" x14ac:dyDescent="0.25">
      <c r="B2048" s="2839" t="s">
        <v>2134</v>
      </c>
      <c r="C2048" s="2839"/>
      <c r="D2048" s="2839"/>
      <c r="E2048" s="2839"/>
      <c r="F2048" s="2839"/>
      <c r="G2048" s="2839"/>
      <c r="H2048" s="56"/>
      <c r="I2048" s="56"/>
      <c r="J2048" s="56"/>
      <c r="K2048" s="56"/>
      <c r="L2048" s="59"/>
      <c r="M2048" s="1214"/>
      <c r="N2048" s="1133"/>
      <c r="O2048" s="1146"/>
      <c r="Z2048" s="50"/>
    </row>
    <row r="2049" spans="1:23" ht="15.6" customHeight="1" x14ac:dyDescent="0.2"/>
    <row r="2050" spans="1:23" ht="15.6" customHeight="1" x14ac:dyDescent="0.25">
      <c r="A2050" s="50"/>
      <c r="D2050" s="48"/>
      <c r="F2050" s="48"/>
      <c r="H2050" s="49"/>
      <c r="I2050" s="1245">
        <f>Parameters!C17</f>
        <v>2012</v>
      </c>
      <c r="J2050" s="1247"/>
      <c r="K2050" s="1245">
        <f>Parameters!C19</f>
        <v>2011</v>
      </c>
      <c r="L2050" s="49"/>
      <c r="M2050" s="232" t="s">
        <v>803</v>
      </c>
      <c r="N2050" s="1224">
        <f>Parameters!C21</f>
        <v>2010</v>
      </c>
      <c r="O2050" s="1460"/>
    </row>
    <row r="2051" spans="1:23" ht="15.6" customHeight="1" x14ac:dyDescent="0.25">
      <c r="I2051" s="1249" t="s">
        <v>255</v>
      </c>
      <c r="J2051" s="200"/>
      <c r="K2051" s="1249" t="s">
        <v>255</v>
      </c>
      <c r="L2051" s="210"/>
      <c r="M2051" s="1133"/>
      <c r="N2051" s="1147"/>
      <c r="O2051" s="1146"/>
      <c r="P2051" s="1115"/>
    </row>
    <row r="2052" spans="1:23" ht="15.6" customHeight="1" x14ac:dyDescent="0.2"/>
    <row r="2053" spans="1:23" ht="15.6" customHeight="1" x14ac:dyDescent="0.25">
      <c r="A2053" s="211">
        <v>21</v>
      </c>
      <c r="B2053" s="50" t="s">
        <v>6873</v>
      </c>
      <c r="C2053" s="50"/>
      <c r="W2053" s="1114" t="s">
        <v>3520</v>
      </c>
    </row>
    <row r="2054" spans="1:23" ht="15.6" customHeight="1" x14ac:dyDescent="0.25">
      <c r="A2054" s="211"/>
      <c r="B2054" s="50"/>
      <c r="C2054" s="50"/>
    </row>
    <row r="2055" spans="1:23" ht="15.6" customHeight="1" x14ac:dyDescent="0.25">
      <c r="A2055" s="211"/>
      <c r="B2055" s="48" t="s">
        <v>1676</v>
      </c>
      <c r="I2055" s="58">
        <f>I2113</f>
        <v>45632000</v>
      </c>
      <c r="J2055" s="58"/>
      <c r="K2055" s="58">
        <f>K2113</f>
        <v>40862000</v>
      </c>
    </row>
    <row r="2056" spans="1:23" ht="15.6" hidden="1" customHeight="1" x14ac:dyDescent="0.25">
      <c r="A2056" s="1558"/>
      <c r="B2056" s="655" t="s">
        <v>4375</v>
      </c>
      <c r="C2056" s="655"/>
      <c r="D2056" s="656"/>
      <c r="E2056" s="655"/>
      <c r="F2056" s="656"/>
      <c r="G2056" s="656"/>
      <c r="H2056" s="656"/>
      <c r="I2056" s="58">
        <v>0</v>
      </c>
      <c r="J2056" s="58"/>
      <c r="K2056" s="58">
        <v>0</v>
      </c>
      <c r="L2056" s="655"/>
    </row>
    <row r="2057" spans="1:23" ht="15.6" hidden="1" customHeight="1" x14ac:dyDescent="0.25">
      <c r="A2057" s="1558"/>
      <c r="B2057" s="655" t="s">
        <v>4376</v>
      </c>
      <c r="C2057" s="655"/>
      <c r="D2057" s="656"/>
      <c r="E2057" s="655"/>
      <c r="F2057" s="656"/>
      <c r="G2057" s="656"/>
      <c r="H2057" s="656"/>
      <c r="I2057" s="58">
        <v>0</v>
      </c>
      <c r="J2057" s="58"/>
      <c r="K2057" s="58">
        <v>0</v>
      </c>
      <c r="L2057" s="655"/>
    </row>
    <row r="2058" spans="1:23" ht="15.6" hidden="1" customHeight="1" x14ac:dyDescent="0.25">
      <c r="A2058" s="211"/>
      <c r="B2058" s="48" t="s">
        <v>607</v>
      </c>
      <c r="I2058" s="199">
        <v>0</v>
      </c>
      <c r="J2058" s="58"/>
      <c r="K2058" s="199">
        <f>K2092-SUM(K2055:K2057,K2061)</f>
        <v>0</v>
      </c>
    </row>
    <row r="2059" spans="1:23" ht="15.6" customHeight="1" x14ac:dyDescent="0.25">
      <c r="A2059" s="211"/>
      <c r="B2059" s="50" t="s">
        <v>1055</v>
      </c>
      <c r="I2059" s="203">
        <f>SUM(I2055:I2058)</f>
        <v>45632000</v>
      </c>
      <c r="J2059" s="58"/>
      <c r="K2059" s="203">
        <f>SUM(K2055:K2058)</f>
        <v>40862000</v>
      </c>
      <c r="M2059" s="1133"/>
      <c r="N2059" s="1133"/>
      <c r="O2059" s="48"/>
      <c r="P2059" s="48"/>
      <c r="Q2059" s="48"/>
      <c r="R2059" s="48"/>
      <c r="S2059" s="48"/>
      <c r="T2059" s="48"/>
      <c r="U2059" s="48"/>
      <c r="V2059" s="48"/>
      <c r="W2059" s="48"/>
    </row>
    <row r="2060" spans="1:23" ht="15.6" customHeight="1" x14ac:dyDescent="0.2">
      <c r="I2060" s="58"/>
      <c r="J2060" s="58"/>
      <c r="K2060" s="58"/>
      <c r="L2060" s="59"/>
      <c r="M2060" s="1133"/>
      <c r="N2060" s="1133"/>
      <c r="O2060" s="48"/>
      <c r="P2060" s="48"/>
      <c r="Q2060" s="48"/>
      <c r="R2060" s="48"/>
      <c r="S2060" s="48"/>
      <c r="T2060" s="48"/>
      <c r="U2060" s="48"/>
      <c r="V2060" s="48"/>
      <c r="W2060" s="48"/>
    </row>
    <row r="2061" spans="1:23" ht="15.6" customHeight="1" x14ac:dyDescent="0.25">
      <c r="B2061" s="50" t="s">
        <v>7287</v>
      </c>
      <c r="I2061" s="58">
        <f>SUM(I2062:I2082)</f>
        <v>29318200</v>
      </c>
      <c r="J2061" s="58"/>
      <c r="K2061" s="58">
        <f>SUM(K2062:K2082)</f>
        <v>27126885.82</v>
      </c>
      <c r="L2061" s="59"/>
      <c r="M2061" s="1133"/>
      <c r="N2061" s="1133"/>
      <c r="O2061" s="48"/>
      <c r="P2061" s="48"/>
      <c r="Q2061" s="48"/>
      <c r="R2061" s="48"/>
      <c r="S2061" s="48"/>
      <c r="T2061" s="48"/>
      <c r="U2061" s="48"/>
      <c r="V2061" s="48"/>
      <c r="W2061" s="48"/>
    </row>
    <row r="2062" spans="1:23" ht="15.6" hidden="1" customHeight="1" x14ac:dyDescent="0.2">
      <c r="B2062" s="48" t="s">
        <v>1429</v>
      </c>
      <c r="I2062" s="213">
        <f>-I2133-I2134</f>
        <v>0</v>
      </c>
      <c r="J2062" s="58"/>
      <c r="K2062" s="213">
        <f>-K2133-K2134</f>
        <v>0</v>
      </c>
      <c r="L2062" s="59"/>
      <c r="M2062" s="1133"/>
      <c r="N2062" s="1133"/>
      <c r="O2062" s="48"/>
      <c r="P2062" s="48"/>
      <c r="Q2062" s="48"/>
      <c r="R2062" s="48"/>
      <c r="S2062" s="48"/>
      <c r="T2062" s="48"/>
      <c r="U2062" s="48"/>
      <c r="V2062" s="48"/>
      <c r="W2062" s="48"/>
    </row>
    <row r="2063" spans="1:23" ht="15.6" customHeight="1" x14ac:dyDescent="0.25">
      <c r="B2063" s="48" t="s">
        <v>148</v>
      </c>
      <c r="C2063" s="50"/>
      <c r="I2063" s="247">
        <f>I2142</f>
        <v>1500000</v>
      </c>
      <c r="J2063" s="58"/>
      <c r="K2063" s="247">
        <f>K2142</f>
        <v>1250000</v>
      </c>
      <c r="L2063" s="59"/>
      <c r="M2063" s="1133"/>
      <c r="N2063" s="1133"/>
      <c r="O2063" s="48"/>
      <c r="P2063" s="48"/>
      <c r="Q2063" s="48"/>
      <c r="R2063" s="48"/>
      <c r="S2063" s="48"/>
      <c r="T2063" s="48"/>
      <c r="U2063" s="48"/>
      <c r="V2063" s="48"/>
      <c r="W2063" s="48"/>
    </row>
    <row r="2064" spans="1:23" ht="15.6" customHeight="1" x14ac:dyDescent="0.25">
      <c r="B2064" s="48" t="s">
        <v>1430</v>
      </c>
      <c r="C2064" s="50"/>
      <c r="I2064" s="186">
        <f>I2153</f>
        <v>15532000</v>
      </c>
      <c r="J2064" s="58"/>
      <c r="K2064" s="186">
        <f>K2153</f>
        <v>12913000</v>
      </c>
      <c r="L2064" s="59"/>
      <c r="M2064" s="1133"/>
      <c r="N2064" s="1133"/>
      <c r="O2064" s="48"/>
      <c r="P2064" s="48"/>
      <c r="Q2064" s="48"/>
      <c r="R2064" s="48"/>
      <c r="S2064" s="48"/>
      <c r="T2064" s="48"/>
      <c r="U2064" s="48"/>
      <c r="V2064" s="48"/>
      <c r="W2064" s="48"/>
    </row>
    <row r="2065" spans="2:23" ht="15.6" customHeight="1" x14ac:dyDescent="0.25">
      <c r="B2065" s="48" t="s">
        <v>1431</v>
      </c>
      <c r="C2065" s="50"/>
      <c r="I2065" s="186">
        <f>I2164</f>
        <v>790000</v>
      </c>
      <c r="J2065" s="58"/>
      <c r="K2065" s="186">
        <f>K2164</f>
        <v>750000</v>
      </c>
      <c r="L2065" s="59"/>
      <c r="M2065" s="1133"/>
      <c r="N2065" s="1133"/>
      <c r="O2065" s="48"/>
      <c r="P2065" s="48"/>
      <c r="Q2065" s="48"/>
      <c r="R2065" s="48"/>
      <c r="S2065" s="48"/>
      <c r="T2065" s="48"/>
      <c r="U2065" s="48"/>
      <c r="V2065" s="48"/>
      <c r="W2065" s="48"/>
    </row>
    <row r="2066" spans="2:23" ht="15.6" customHeight="1" x14ac:dyDescent="0.25">
      <c r="B2066" s="48" t="s">
        <v>1432</v>
      </c>
      <c r="C2066" s="50"/>
      <c r="I2066" s="186">
        <f>I2175</f>
        <v>8094000</v>
      </c>
      <c r="J2066" s="58"/>
      <c r="K2066" s="186">
        <f>K2175</f>
        <v>2193676</v>
      </c>
      <c r="L2066" s="59"/>
      <c r="M2066" s="1133"/>
      <c r="N2066" s="1133"/>
      <c r="O2066" s="48"/>
      <c r="P2066" s="48"/>
      <c r="Q2066" s="48"/>
      <c r="R2066" s="48"/>
      <c r="S2066" s="48"/>
      <c r="T2066" s="48"/>
      <c r="U2066" s="48"/>
      <c r="V2066" s="48"/>
      <c r="W2066" s="48"/>
    </row>
    <row r="2067" spans="2:23" ht="15.6" customHeight="1" x14ac:dyDescent="0.25">
      <c r="B2067" s="48" t="s">
        <v>6558</v>
      </c>
      <c r="C2067" s="50"/>
      <c r="I2067" s="186">
        <f>I2186</f>
        <v>627000</v>
      </c>
      <c r="J2067" s="58"/>
      <c r="K2067" s="186">
        <f>-K2188-K2189</f>
        <v>0</v>
      </c>
      <c r="L2067" s="59"/>
      <c r="M2067" s="1133"/>
      <c r="N2067" s="1133"/>
      <c r="O2067" s="48"/>
      <c r="P2067" s="48"/>
      <c r="Q2067" s="48"/>
      <c r="R2067" s="48"/>
      <c r="S2067" s="48"/>
      <c r="T2067" s="48"/>
      <c r="U2067" s="48"/>
      <c r="V2067" s="48"/>
      <c r="W2067" s="48"/>
    </row>
    <row r="2068" spans="2:23" ht="15.6" hidden="1" customHeight="1" x14ac:dyDescent="0.25">
      <c r="B2068" s="48" t="s">
        <v>1433</v>
      </c>
      <c r="C2068" s="50"/>
      <c r="I2068" s="186">
        <f>-I2199-I2200</f>
        <v>0</v>
      </c>
      <c r="J2068" s="58"/>
      <c r="K2068" s="186">
        <f>-K2199-K2200</f>
        <v>0</v>
      </c>
      <c r="L2068" s="59"/>
      <c r="M2068" s="1133"/>
      <c r="N2068" s="1133"/>
      <c r="O2068" s="48"/>
      <c r="P2068" s="48"/>
      <c r="Q2068" s="48"/>
      <c r="R2068" s="48"/>
      <c r="S2068" s="48"/>
      <c r="T2068" s="48"/>
      <c r="U2068" s="48"/>
      <c r="V2068" s="48"/>
      <c r="W2068" s="48"/>
    </row>
    <row r="2069" spans="2:23" ht="15.6" hidden="1" customHeight="1" x14ac:dyDescent="0.25">
      <c r="B2069" s="48" t="s">
        <v>3764</v>
      </c>
      <c r="C2069" s="50"/>
      <c r="I2069" s="186">
        <f>-I2210-I2211</f>
        <v>0</v>
      </c>
      <c r="J2069" s="58"/>
      <c r="K2069" s="186">
        <f>-K2210-K2211</f>
        <v>0</v>
      </c>
      <c r="L2069" s="59"/>
      <c r="M2069" s="1133"/>
      <c r="N2069" s="1133"/>
      <c r="O2069" s="48"/>
      <c r="P2069" s="48"/>
      <c r="Q2069" s="48"/>
      <c r="R2069" s="48"/>
      <c r="S2069" s="48"/>
      <c r="T2069" s="48"/>
      <c r="U2069" s="48"/>
      <c r="V2069" s="48"/>
      <c r="W2069" s="48"/>
    </row>
    <row r="2070" spans="2:23" ht="15.6" customHeight="1" x14ac:dyDescent="0.25">
      <c r="B2070" s="48" t="s">
        <v>6465</v>
      </c>
      <c r="C2070" s="50"/>
      <c r="I2070" s="186">
        <f>I2296</f>
        <v>2775200</v>
      </c>
      <c r="J2070" s="58"/>
      <c r="K2070" s="186">
        <f>K2296</f>
        <v>10020209.82</v>
      </c>
      <c r="L2070" s="59"/>
      <c r="M2070" s="1133"/>
      <c r="N2070" s="1133"/>
      <c r="O2070" s="48"/>
      <c r="P2070" s="48"/>
      <c r="Q2070" s="48"/>
      <c r="R2070" s="48"/>
      <c r="S2070" s="48"/>
      <c r="T2070" s="48"/>
      <c r="U2070" s="48"/>
      <c r="V2070" s="48"/>
      <c r="W2070" s="48"/>
    </row>
    <row r="2071" spans="2:23" ht="15.6" hidden="1" customHeight="1" x14ac:dyDescent="0.25">
      <c r="B2071" s="48" t="s">
        <v>1745</v>
      </c>
      <c r="C2071" s="50"/>
      <c r="I2071" s="186">
        <f>-I2221-I2222</f>
        <v>0</v>
      </c>
      <c r="J2071" s="58"/>
      <c r="K2071" s="186">
        <f>-K2221-K2222</f>
        <v>0</v>
      </c>
      <c r="L2071" s="59"/>
      <c r="M2071" s="1133"/>
      <c r="N2071" s="1133"/>
      <c r="O2071" s="48"/>
      <c r="P2071" s="48"/>
      <c r="Q2071" s="48"/>
      <c r="R2071" s="48"/>
      <c r="S2071" s="48"/>
      <c r="T2071" s="48"/>
      <c r="U2071" s="48"/>
      <c r="V2071" s="48"/>
      <c r="W2071" s="48"/>
    </row>
    <row r="2072" spans="2:23" ht="15.6" hidden="1" customHeight="1" x14ac:dyDescent="0.25">
      <c r="B2072" s="48" t="s">
        <v>1745</v>
      </c>
      <c r="C2072" s="50"/>
      <c r="I2072" s="186">
        <f>-I2232-I2233</f>
        <v>0</v>
      </c>
      <c r="J2072" s="58"/>
      <c r="K2072" s="186">
        <f>-K2232-K2233</f>
        <v>0</v>
      </c>
      <c r="L2072" s="59"/>
      <c r="M2072" s="1133"/>
      <c r="N2072" s="1133"/>
      <c r="O2072" s="48"/>
      <c r="P2072" s="48"/>
      <c r="Q2072" s="48"/>
      <c r="R2072" s="48"/>
      <c r="S2072" s="48"/>
      <c r="T2072" s="48"/>
      <c r="U2072" s="48"/>
      <c r="V2072" s="48"/>
      <c r="W2072" s="48"/>
    </row>
    <row r="2073" spans="2:23" ht="15.6" hidden="1" customHeight="1" x14ac:dyDescent="0.25">
      <c r="B2073" s="48" t="s">
        <v>1746</v>
      </c>
      <c r="C2073" s="50"/>
      <c r="I2073" s="186">
        <f>-I2243-I2244</f>
        <v>0</v>
      </c>
      <c r="J2073" s="58"/>
      <c r="K2073" s="186">
        <f>-K2243-K2244</f>
        <v>0</v>
      </c>
      <c r="L2073" s="59"/>
      <c r="M2073" s="1133"/>
      <c r="N2073" s="1133"/>
      <c r="O2073" s="48"/>
      <c r="P2073" s="48"/>
      <c r="Q2073" s="48"/>
      <c r="R2073" s="48"/>
      <c r="S2073" s="48"/>
      <c r="T2073" s="48"/>
      <c r="U2073" s="48"/>
      <c r="V2073" s="48"/>
      <c r="W2073" s="48"/>
    </row>
    <row r="2074" spans="2:23" ht="15.6" hidden="1" customHeight="1" x14ac:dyDescent="0.25">
      <c r="B2074" s="48" t="s">
        <v>1747</v>
      </c>
      <c r="C2074" s="50"/>
      <c r="I2074" s="186">
        <f>-I2254-I2255</f>
        <v>0</v>
      </c>
      <c r="J2074" s="58"/>
      <c r="K2074" s="186">
        <f>-K2254-K2255</f>
        <v>0</v>
      </c>
      <c r="L2074" s="59"/>
      <c r="M2074" s="1133"/>
      <c r="N2074" s="1133"/>
      <c r="O2074" s="48"/>
      <c r="P2074" s="48"/>
      <c r="Q2074" s="48"/>
      <c r="R2074" s="48"/>
      <c r="S2074" s="48"/>
      <c r="T2074" s="48"/>
      <c r="U2074" s="48"/>
      <c r="V2074" s="48"/>
      <c r="W2074" s="48"/>
    </row>
    <row r="2075" spans="2:23" ht="15.6" hidden="1" customHeight="1" x14ac:dyDescent="0.25">
      <c r="B2075" s="48" t="s">
        <v>1748</v>
      </c>
      <c r="C2075" s="50"/>
      <c r="I2075" s="186">
        <f>-I2265-I2266</f>
        <v>0</v>
      </c>
      <c r="J2075" s="58"/>
      <c r="K2075" s="186">
        <f>-K2265-K2266</f>
        <v>0</v>
      </c>
      <c r="L2075" s="59"/>
      <c r="M2075" s="1133"/>
      <c r="N2075" s="1133"/>
      <c r="O2075" s="48"/>
      <c r="P2075" s="48"/>
      <c r="Q2075" s="48"/>
      <c r="R2075" s="48"/>
      <c r="S2075" s="48"/>
      <c r="T2075" s="48"/>
      <c r="U2075" s="48"/>
      <c r="V2075" s="48"/>
      <c r="W2075" s="48"/>
    </row>
    <row r="2076" spans="2:23" ht="15.6" hidden="1" customHeight="1" x14ac:dyDescent="0.25">
      <c r="B2076" s="48" t="s">
        <v>1750</v>
      </c>
      <c r="C2076" s="50"/>
      <c r="I2076" s="186">
        <f>-I2276-I2277</f>
        <v>0</v>
      </c>
      <c r="J2076" s="58"/>
      <c r="K2076" s="186">
        <f>-K2276-K2277</f>
        <v>0</v>
      </c>
      <c r="L2076" s="59"/>
      <c r="T2076" s="48"/>
      <c r="U2076" s="48"/>
      <c r="V2076" s="48"/>
      <c r="W2076" s="48"/>
    </row>
    <row r="2077" spans="2:23" ht="15.6" hidden="1" customHeight="1" x14ac:dyDescent="0.25">
      <c r="B2077" s="48" t="s">
        <v>1749</v>
      </c>
      <c r="C2077" s="50"/>
      <c r="I2077" s="186">
        <f>-I2287-I2288</f>
        <v>0</v>
      </c>
      <c r="J2077" s="58"/>
      <c r="K2077" s="186">
        <f>-K2287-K2288</f>
        <v>0</v>
      </c>
      <c r="L2077" s="59"/>
      <c r="T2077" s="48"/>
      <c r="U2077" s="48"/>
      <c r="V2077" s="48"/>
      <c r="W2077" s="48"/>
    </row>
    <row r="2078" spans="2:23" ht="15.6" hidden="1" customHeight="1" x14ac:dyDescent="0.25">
      <c r="B2078" s="48" t="s">
        <v>1751</v>
      </c>
      <c r="C2078" s="50"/>
      <c r="I2078" s="186">
        <v>0</v>
      </c>
      <c r="J2078" s="58"/>
      <c r="K2078" s="186">
        <v>0</v>
      </c>
      <c r="L2078" s="59"/>
      <c r="T2078" s="48"/>
      <c r="U2078" s="48"/>
      <c r="V2078" s="48"/>
      <c r="W2078" s="48"/>
    </row>
    <row r="2079" spans="2:23" ht="15.6" hidden="1" customHeight="1" x14ac:dyDescent="0.25">
      <c r="B2079" s="48" t="s">
        <v>1752</v>
      </c>
      <c r="C2079" s="50"/>
      <c r="I2079" s="186">
        <f>-I2309-I2310</f>
        <v>0</v>
      </c>
      <c r="J2079" s="58"/>
      <c r="K2079" s="186">
        <f>-K2309-K2310</f>
        <v>0</v>
      </c>
      <c r="L2079" s="59"/>
      <c r="T2079" s="48"/>
      <c r="U2079" s="48"/>
      <c r="V2079" s="48"/>
      <c r="W2079" s="48"/>
    </row>
    <row r="2080" spans="2:23" ht="15.6" hidden="1" customHeight="1" x14ac:dyDescent="0.25">
      <c r="B2080" s="48" t="s">
        <v>1753</v>
      </c>
      <c r="C2080" s="50"/>
      <c r="I2080" s="186">
        <f>-I2320-I2321</f>
        <v>0</v>
      </c>
      <c r="J2080" s="58"/>
      <c r="K2080" s="186">
        <f>-K2320-K2321</f>
        <v>0</v>
      </c>
      <c r="L2080" s="59"/>
      <c r="T2080" s="48"/>
      <c r="U2080" s="48"/>
      <c r="V2080" s="48"/>
      <c r="W2080" s="48"/>
    </row>
    <row r="2081" spans="2:23" ht="15.6" hidden="1" customHeight="1" x14ac:dyDescent="0.25">
      <c r="B2081" s="48" t="s">
        <v>1754</v>
      </c>
      <c r="C2081" s="50"/>
      <c r="I2081" s="186">
        <f>-I2331-I2332</f>
        <v>0</v>
      </c>
      <c r="J2081" s="58"/>
      <c r="K2081" s="186">
        <f>-K2331-K2332</f>
        <v>0</v>
      </c>
      <c r="L2081" s="59"/>
      <c r="T2081" s="48"/>
      <c r="U2081" s="48"/>
      <c r="V2081" s="48"/>
      <c r="W2081" s="48"/>
    </row>
    <row r="2082" spans="2:23" ht="15.6" customHeight="1" x14ac:dyDescent="0.25">
      <c r="C2082" s="50"/>
      <c r="I2082" s="248"/>
      <c r="J2082" s="58"/>
      <c r="K2082" s="248"/>
      <c r="L2082" s="59"/>
      <c r="T2082" s="48"/>
      <c r="U2082" s="48"/>
      <c r="V2082" s="48"/>
      <c r="W2082" s="48"/>
    </row>
    <row r="2083" spans="2:23" ht="15.6" customHeight="1" x14ac:dyDescent="0.25">
      <c r="C2083" s="50"/>
      <c r="J2083" s="58"/>
      <c r="L2083" s="59"/>
      <c r="T2083" s="48"/>
      <c r="U2083" s="48"/>
      <c r="V2083" s="48"/>
      <c r="W2083" s="48"/>
    </row>
    <row r="2084" spans="2:23" ht="15.6" customHeight="1" thickBot="1" x14ac:dyDescent="0.3">
      <c r="B2084" s="50" t="s">
        <v>23</v>
      </c>
      <c r="C2084" s="50"/>
      <c r="I2084" s="202">
        <f>SUM(I2059:I2061)</f>
        <v>74950200</v>
      </c>
      <c r="K2084" s="202">
        <f>SUM(K2059:K2061)</f>
        <v>67988885.819999993</v>
      </c>
      <c r="M2084" s="1147">
        <v>369600449.75</v>
      </c>
      <c r="T2084" s="48"/>
      <c r="U2084" s="48"/>
      <c r="V2084" s="48"/>
      <c r="W2084" s="48"/>
    </row>
    <row r="2085" spans="2:23" ht="15.6" customHeight="1" thickTop="1" x14ac:dyDescent="0.2">
      <c r="I2085" s="2107">
        <f>I2084-'Fin Perform'!I15</f>
        <v>-406843.42000000179</v>
      </c>
      <c r="J2085" s="320"/>
      <c r="K2085" s="2107">
        <f>K2084-'Fin Perform'!K15</f>
        <v>-200878.10000000894</v>
      </c>
      <c r="L2085" s="59"/>
      <c r="T2085" s="48"/>
      <c r="U2085" s="48"/>
      <c r="V2085" s="48"/>
      <c r="W2085" s="48"/>
    </row>
    <row r="2086" spans="2:23" ht="15" customHeight="1" x14ac:dyDescent="0.25">
      <c r="B2086" s="50" t="s">
        <v>4361</v>
      </c>
      <c r="J2086" s="58"/>
      <c r="M2086" s="1133"/>
      <c r="N2086" s="1147"/>
      <c r="O2086" s="1133"/>
      <c r="P2086" s="1115"/>
      <c r="T2086" s="48"/>
      <c r="U2086" s="48"/>
      <c r="V2086" s="48"/>
      <c r="W2086" s="48"/>
    </row>
    <row r="2087" spans="2:23" ht="15.6" customHeight="1" x14ac:dyDescent="0.2">
      <c r="B2087" s="48" t="s">
        <v>4364</v>
      </c>
      <c r="I2087" s="199">
        <f>SUM(I2153)</f>
        <v>15532000</v>
      </c>
      <c r="J2087" s="58"/>
      <c r="K2087" s="199">
        <f>SUM(K2153)</f>
        <v>12913000</v>
      </c>
      <c r="M2087" s="1133"/>
      <c r="N2087" s="1147"/>
      <c r="O2087" s="1133"/>
      <c r="P2087" s="1115" t="s">
        <v>4363</v>
      </c>
      <c r="Q2087" s="1111" t="s">
        <v>2763</v>
      </c>
      <c r="R2087" s="1115" t="s">
        <v>4371</v>
      </c>
      <c r="S2087" s="1111" t="s">
        <v>2765</v>
      </c>
      <c r="T2087" s="48"/>
      <c r="U2087" s="48"/>
      <c r="V2087" s="48"/>
      <c r="W2087" s="48"/>
    </row>
    <row r="2088" spans="2:23" ht="15.6" customHeight="1" x14ac:dyDescent="0.2">
      <c r="B2088" s="48" t="s">
        <v>4365</v>
      </c>
      <c r="I2088" s="199">
        <v>0</v>
      </c>
      <c r="J2088" s="58"/>
      <c r="K2088" s="199">
        <v>0</v>
      </c>
      <c r="M2088" s="1133"/>
      <c r="N2088" s="1147"/>
      <c r="O2088" s="1133"/>
      <c r="P2088" s="1115" t="s">
        <v>4368</v>
      </c>
      <c r="Q2088" s="1111" t="s">
        <v>2763</v>
      </c>
      <c r="R2088" s="1115" t="s">
        <v>4372</v>
      </c>
      <c r="S2088" s="1111" t="s">
        <v>2765</v>
      </c>
      <c r="T2088" s="48"/>
      <c r="U2088" s="48"/>
      <c r="V2088" s="48"/>
      <c r="W2088" s="48"/>
    </row>
    <row r="2089" spans="2:23" ht="15.6" customHeight="1" x14ac:dyDescent="0.2">
      <c r="B2089" s="48" t="s">
        <v>4366</v>
      </c>
      <c r="I2089" s="199">
        <f>SUM(I2175,I2186)</f>
        <v>8721000</v>
      </c>
      <c r="J2089" s="58"/>
      <c r="K2089" s="199">
        <f>SUM(K2175)</f>
        <v>2193676</v>
      </c>
      <c r="M2089" s="1133"/>
      <c r="N2089" s="1147"/>
      <c r="O2089" s="1133"/>
      <c r="P2089" s="1115" t="s">
        <v>4369</v>
      </c>
      <c r="Q2089" s="1111" t="s">
        <v>2763</v>
      </c>
      <c r="R2089" s="1115" t="s">
        <v>4373</v>
      </c>
      <c r="S2089" s="1111" t="s">
        <v>2765</v>
      </c>
      <c r="T2089" s="48"/>
      <c r="U2089" s="48"/>
      <c r="V2089" s="48"/>
      <c r="W2089" s="48"/>
    </row>
    <row r="2090" spans="2:23" ht="15.6" customHeight="1" x14ac:dyDescent="0.2">
      <c r="B2090" s="48" t="s">
        <v>4367</v>
      </c>
      <c r="I2090" s="199">
        <f>SUM(I2113,I2142,I2164,I2296)</f>
        <v>50697200</v>
      </c>
      <c r="J2090" s="58"/>
      <c r="K2090" s="199">
        <f>SUM(K2113,K2142,K2296,K2164)</f>
        <v>52882209.82</v>
      </c>
      <c r="M2090" s="1133"/>
      <c r="N2090" s="1147"/>
      <c r="O2090" s="1133"/>
      <c r="P2090" s="1115" t="s">
        <v>4370</v>
      </c>
      <c r="Q2090" s="1111" t="s">
        <v>2763</v>
      </c>
      <c r="R2090" s="1115" t="s">
        <v>4374</v>
      </c>
      <c r="S2090" s="1111" t="s">
        <v>2765</v>
      </c>
      <c r="T2090" s="48"/>
      <c r="U2090" s="48"/>
      <c r="V2090" s="48"/>
      <c r="W2090" s="48"/>
    </row>
    <row r="2091" spans="2:23" ht="15.6" customHeight="1" x14ac:dyDescent="0.2">
      <c r="J2091" s="58"/>
      <c r="M2091" s="1133"/>
      <c r="N2091" s="1147"/>
      <c r="O2091" s="1133"/>
      <c r="P2091" s="1115"/>
      <c r="T2091" s="48"/>
      <c r="U2091" s="48"/>
      <c r="V2091" s="48"/>
      <c r="W2091" s="48"/>
    </row>
    <row r="2092" spans="2:23" ht="15.6" customHeight="1" thickBot="1" x14ac:dyDescent="0.3">
      <c r="B2092" s="48" t="s">
        <v>23</v>
      </c>
      <c r="I2092" s="202">
        <f>SUM(I2086:I2091)</f>
        <v>74950200</v>
      </c>
      <c r="K2092" s="202">
        <f>SUM(K2086:K2091)</f>
        <v>67988885.819999993</v>
      </c>
      <c r="M2092" s="1274">
        <f>I2084-I2092</f>
        <v>0</v>
      </c>
      <c r="N2092" s="1147"/>
      <c r="O2092" s="1133"/>
      <c r="P2092" s="1115"/>
      <c r="Q2092" s="48"/>
      <c r="R2092" s="48"/>
      <c r="S2092" s="48"/>
      <c r="T2092" s="48"/>
      <c r="U2092" s="48"/>
      <c r="V2092" s="48"/>
      <c r="W2092" s="48"/>
    </row>
    <row r="2093" spans="2:23" ht="15.6" customHeight="1" thickTop="1" x14ac:dyDescent="0.2">
      <c r="I2093" s="265"/>
      <c r="J2093" s="58"/>
      <c r="K2093" s="265"/>
      <c r="M2093" s="1133"/>
      <c r="N2093" s="1147"/>
      <c r="O2093" s="1133"/>
      <c r="P2093" s="1115"/>
      <c r="Q2093" s="48"/>
      <c r="R2093" s="48"/>
      <c r="S2093" s="48"/>
      <c r="T2093" s="48"/>
      <c r="U2093" s="48"/>
      <c r="V2093" s="48"/>
      <c r="W2093" s="48"/>
    </row>
    <row r="2094" spans="2:23" ht="15.6" customHeight="1" x14ac:dyDescent="0.25">
      <c r="B2094" s="50" t="s">
        <v>4124</v>
      </c>
      <c r="I2094" s="265"/>
      <c r="J2094" s="58"/>
      <c r="K2094" s="265"/>
      <c r="L2094" s="59"/>
      <c r="Q2094" s="48"/>
      <c r="R2094" s="48"/>
      <c r="S2094" s="48"/>
      <c r="T2094" s="48"/>
      <c r="U2094" s="48"/>
      <c r="V2094" s="48"/>
      <c r="W2094" s="48"/>
    </row>
    <row r="2095" spans="2:23" ht="15.6" customHeight="1" x14ac:dyDescent="0.2">
      <c r="B2095" s="48" t="s">
        <v>1420</v>
      </c>
      <c r="I2095" s="58">
        <f>SUM(I2113,-I2144,-I2221,-I2166,-I2298)</f>
        <v>50697200</v>
      </c>
      <c r="J2095" s="58"/>
      <c r="K2095" s="58">
        <f>-SUM(-K2113,K2144,K2298,K2166)</f>
        <v>52882209.82</v>
      </c>
      <c r="L2095" s="59"/>
      <c r="Q2095" s="48"/>
      <c r="R2095" s="48"/>
      <c r="S2095" s="48"/>
      <c r="T2095" s="48"/>
      <c r="U2095" s="48"/>
      <c r="V2095" s="48"/>
      <c r="W2095" s="48"/>
    </row>
    <row r="2096" spans="2:23" ht="15.6" customHeight="1" x14ac:dyDescent="0.2">
      <c r="B2096" s="48" t="s">
        <v>1421</v>
      </c>
      <c r="I2096" s="58">
        <f>-SUM(I2156,I2178,I2189)</f>
        <v>24659843.420000002</v>
      </c>
      <c r="J2096" s="58"/>
      <c r="K2096" s="58">
        <f>-SUM(K2156,K2178)</f>
        <v>15307554.1</v>
      </c>
      <c r="L2096" s="59"/>
      <c r="Q2096" s="48"/>
      <c r="R2096" s="48"/>
      <c r="S2096" s="48"/>
      <c r="T2096" s="48"/>
      <c r="U2096" s="48"/>
      <c r="V2096" s="48"/>
      <c r="W2096" s="48"/>
    </row>
    <row r="2097" spans="1:27" ht="15.6" customHeight="1" x14ac:dyDescent="0.2">
      <c r="I2097" s="58"/>
      <c r="J2097" s="58"/>
      <c r="K2097" s="58"/>
      <c r="L2097" s="59"/>
      <c r="Q2097" s="48"/>
      <c r="R2097" s="48"/>
      <c r="S2097" s="48"/>
      <c r="T2097" s="48"/>
      <c r="U2097" s="48"/>
      <c r="V2097" s="48"/>
      <c r="W2097" s="48"/>
    </row>
    <row r="2098" spans="1:27" ht="15.6" customHeight="1" thickBot="1" x14ac:dyDescent="0.3">
      <c r="B2098" s="50" t="s">
        <v>4125</v>
      </c>
      <c r="I2098" s="202">
        <f>SUM(I2094:I2097)</f>
        <v>75357043.420000002</v>
      </c>
      <c r="K2098" s="202">
        <f>SUM(K2094:K2097)</f>
        <v>68189763.920000002</v>
      </c>
      <c r="L2098" s="59"/>
      <c r="N2098" s="1134">
        <f>I2098-I2092</f>
        <v>406843.42000000179</v>
      </c>
      <c r="Q2098" s="48"/>
      <c r="R2098" s="48"/>
      <c r="S2098" s="48"/>
      <c r="T2098" s="48"/>
      <c r="U2098" s="48"/>
      <c r="V2098" s="48"/>
      <c r="W2098" s="48"/>
    </row>
    <row r="2099" spans="1:27" ht="15.6" customHeight="1" thickTop="1" x14ac:dyDescent="0.2">
      <c r="I2099" s="265"/>
      <c r="J2099" s="58"/>
      <c r="K2099" s="265"/>
      <c r="L2099" s="59"/>
      <c r="Q2099" s="48"/>
      <c r="R2099" s="48"/>
      <c r="S2099" s="48"/>
      <c r="T2099" s="48"/>
      <c r="U2099" s="48"/>
      <c r="V2099" s="48"/>
      <c r="W2099" s="48"/>
    </row>
    <row r="2100" spans="1:27" ht="15.6" hidden="1" customHeight="1" x14ac:dyDescent="0.25">
      <c r="A2100" s="767"/>
      <c r="B2100" s="767" t="s">
        <v>1028</v>
      </c>
      <c r="C2100" s="767"/>
      <c r="D2100" s="769"/>
      <c r="E2100" s="767"/>
      <c r="F2100" s="769"/>
      <c r="G2100" s="769"/>
      <c r="H2100" s="769"/>
      <c r="I2100" s="1542"/>
      <c r="J2100" s="1542"/>
      <c r="K2100" s="1542"/>
      <c r="L2100" s="1619"/>
      <c r="M2100" s="1133"/>
      <c r="N2100" s="1147"/>
      <c r="Q2100" s="48"/>
      <c r="R2100" s="48"/>
      <c r="S2100" s="48"/>
      <c r="T2100" s="48"/>
      <c r="U2100" s="48"/>
      <c r="V2100" s="48"/>
      <c r="W2100" s="48"/>
    </row>
    <row r="2101" spans="1:27" ht="15.6" hidden="1" customHeight="1" x14ac:dyDescent="0.25">
      <c r="A2101" s="767"/>
      <c r="B2101" s="767" t="s">
        <v>1029</v>
      </c>
      <c r="C2101" s="767"/>
      <c r="D2101" s="769"/>
      <c r="E2101" s="767"/>
      <c r="F2101" s="769"/>
      <c r="G2101" s="769"/>
      <c r="H2101" s="769"/>
      <c r="I2101" s="1542">
        <f>I2084-I2102</f>
        <v>74950200</v>
      </c>
      <c r="J2101" s="1542"/>
      <c r="K2101" s="1542">
        <f>K2084-K2102</f>
        <v>67988885.819999993</v>
      </c>
      <c r="L2101" s="1619"/>
      <c r="M2101" s="1133"/>
      <c r="N2101" s="1147"/>
      <c r="Q2101" s="48"/>
      <c r="R2101" s="48"/>
      <c r="S2101" s="48"/>
      <c r="T2101" s="48"/>
      <c r="U2101" s="48"/>
      <c r="V2101" s="48"/>
      <c r="W2101" s="48"/>
    </row>
    <row r="2102" spans="1:27" ht="15.6" hidden="1" customHeight="1" x14ac:dyDescent="0.25">
      <c r="A2102" s="767"/>
      <c r="B2102" s="767" t="s">
        <v>1030</v>
      </c>
      <c r="C2102" s="767"/>
      <c r="D2102" s="769"/>
      <c r="E2102" s="767"/>
      <c r="F2102" s="769"/>
      <c r="G2102" s="769"/>
      <c r="H2102" s="769"/>
      <c r="I2102" s="1542">
        <v>0</v>
      </c>
      <c r="J2102" s="1542"/>
      <c r="K2102" s="1542">
        <v>0</v>
      </c>
      <c r="L2102" s="1619"/>
      <c r="M2102" s="1133"/>
      <c r="N2102" s="1147"/>
      <c r="Q2102" s="48"/>
      <c r="R2102" s="48"/>
      <c r="S2102" s="48"/>
      <c r="T2102" s="48"/>
      <c r="U2102" s="48"/>
      <c r="V2102" s="48"/>
      <c r="W2102" s="48"/>
    </row>
    <row r="2103" spans="1:27" ht="15.6" hidden="1" customHeight="1" x14ac:dyDescent="0.25">
      <c r="A2103" s="767"/>
      <c r="B2103" s="767"/>
      <c r="C2103" s="767"/>
      <c r="D2103" s="769"/>
      <c r="E2103" s="767"/>
      <c r="F2103" s="769"/>
      <c r="G2103" s="769"/>
      <c r="H2103" s="769"/>
      <c r="I2103" s="779"/>
      <c r="J2103" s="779"/>
      <c r="K2103" s="779"/>
      <c r="L2103" s="1619"/>
      <c r="M2103" s="1133"/>
      <c r="N2103" s="1147"/>
      <c r="Q2103" s="48"/>
      <c r="R2103" s="48"/>
      <c r="S2103" s="48"/>
      <c r="T2103" s="48"/>
      <c r="U2103" s="48"/>
      <c r="V2103" s="48"/>
      <c r="W2103" s="48"/>
    </row>
    <row r="2104" spans="1:27" ht="15.6" hidden="1" customHeight="1" thickBot="1" x14ac:dyDescent="0.3">
      <c r="A2104" s="767"/>
      <c r="B2104" s="767"/>
      <c r="C2104" s="767"/>
      <c r="D2104" s="769"/>
      <c r="E2104" s="767"/>
      <c r="F2104" s="769"/>
      <c r="G2104" s="769"/>
      <c r="H2104" s="769"/>
      <c r="I2104" s="1539">
        <f>SUM(I2101:I2103)</f>
        <v>74950200</v>
      </c>
      <c r="J2104" s="775"/>
      <c r="K2104" s="1539">
        <f>SUM(K2101:K2103)</f>
        <v>67988885.819999993</v>
      </c>
      <c r="L2104" s="1619"/>
      <c r="M2104" s="1133"/>
      <c r="N2104" s="1147"/>
      <c r="Q2104" s="48"/>
      <c r="R2104" s="48"/>
      <c r="S2104" s="48"/>
      <c r="T2104" s="48"/>
      <c r="U2104" s="48"/>
      <c r="V2104" s="48"/>
      <c r="W2104" s="48"/>
    </row>
    <row r="2105" spans="1:27" ht="15.6" hidden="1" customHeight="1" thickTop="1" x14ac:dyDescent="0.25">
      <c r="A2105" s="767"/>
      <c r="B2105" s="767"/>
      <c r="C2105" s="767"/>
      <c r="D2105" s="769"/>
      <c r="E2105" s="767"/>
      <c r="F2105" s="769"/>
      <c r="G2105" s="769"/>
      <c r="H2105" s="769"/>
      <c r="I2105" s="782">
        <f>I2104-I2084</f>
        <v>0</v>
      </c>
      <c r="J2105" s="779"/>
      <c r="K2105" s="782">
        <f>K2104-K2084</f>
        <v>0</v>
      </c>
      <c r="L2105" s="1619"/>
      <c r="M2105" s="1133"/>
      <c r="N2105" s="1147"/>
      <c r="Q2105" s="48"/>
      <c r="R2105" s="48"/>
      <c r="S2105" s="48"/>
      <c r="T2105" s="48"/>
      <c r="U2105" s="48"/>
      <c r="V2105" s="48"/>
      <c r="W2105" s="48"/>
    </row>
    <row r="2106" spans="1:27" ht="46.5" customHeight="1" x14ac:dyDescent="0.2">
      <c r="B2106" s="2839" t="s">
        <v>7353</v>
      </c>
      <c r="C2106" s="2839"/>
      <c r="D2106" s="2839"/>
      <c r="E2106" s="2839"/>
      <c r="F2106" s="2839"/>
      <c r="G2106" s="2839"/>
      <c r="H2106" s="56"/>
      <c r="I2106" s="56"/>
      <c r="J2106" s="56"/>
      <c r="K2106" s="56"/>
      <c r="L2106" s="59"/>
      <c r="M2106" s="1133"/>
      <c r="N2106" s="1147"/>
      <c r="O2106" s="1146"/>
      <c r="P2106" s="1115"/>
      <c r="Q2106" s="48"/>
      <c r="R2106" s="48"/>
      <c r="S2106" s="48"/>
      <c r="T2106" s="48"/>
      <c r="U2106" s="48"/>
      <c r="V2106" s="48"/>
      <c r="W2106" s="48"/>
    </row>
    <row r="2107" spans="1:27" ht="15.6" hidden="1" customHeight="1" x14ac:dyDescent="0.2">
      <c r="I2107" s="58"/>
      <c r="J2107" s="58"/>
      <c r="K2107" s="58"/>
      <c r="L2107" s="59"/>
      <c r="N2107" s="1471"/>
      <c r="P2107" s="1115"/>
      <c r="Q2107" s="48"/>
      <c r="R2107" s="48"/>
      <c r="S2107" s="48"/>
      <c r="T2107" s="48"/>
      <c r="U2107" s="48"/>
      <c r="V2107" s="48"/>
      <c r="W2107" s="48"/>
    </row>
    <row r="2108" spans="1:27" ht="62.1" hidden="1" customHeight="1" x14ac:dyDescent="0.25">
      <c r="B2108" s="2865" t="s">
        <v>7288</v>
      </c>
      <c r="C2108" s="2865"/>
      <c r="D2108" s="2865"/>
      <c r="E2108" s="2865"/>
      <c r="F2108" s="2865"/>
      <c r="G2108" s="2865"/>
      <c r="H2108" s="56"/>
      <c r="I2108" s="56"/>
      <c r="J2108" s="56"/>
      <c r="K2108" s="56"/>
      <c r="L2108" s="59"/>
      <c r="M2108" s="1133"/>
      <c r="N2108" s="1147"/>
      <c r="O2108" s="1146"/>
      <c r="P2108" s="1115"/>
      <c r="Z2108" s="50"/>
    </row>
    <row r="2109" spans="1:27" ht="15.6" customHeight="1" x14ac:dyDescent="0.25">
      <c r="I2109" s="58"/>
      <c r="J2109" s="58"/>
      <c r="K2109" s="58"/>
      <c r="L2109" s="59"/>
      <c r="M2109" s="1133"/>
      <c r="N2109" s="1147"/>
      <c r="O2109" s="1146"/>
      <c r="P2109" s="1115"/>
      <c r="V2109" s="1593"/>
      <c r="W2109" s="1595"/>
      <c r="X2109" s="256"/>
      <c r="Y2109" s="50"/>
      <c r="AA2109" s="50"/>
    </row>
    <row r="2110" spans="1:27" ht="147" hidden="1" customHeight="1" x14ac:dyDescent="0.25">
      <c r="A2110" s="1166"/>
      <c r="B2110" s="2893" t="s">
        <v>4021</v>
      </c>
      <c r="C2110" s="2894"/>
      <c r="D2110" s="2894"/>
      <c r="E2110" s="2894"/>
      <c r="F2110" s="2894"/>
      <c r="G2110" s="2894"/>
      <c r="H2110" s="2894"/>
      <c r="I2110" s="2894"/>
      <c r="J2110" s="2894"/>
      <c r="K2110" s="2894"/>
      <c r="L2110" s="210"/>
      <c r="M2110" s="1133"/>
      <c r="N2110" s="1133"/>
      <c r="O2110" s="1133"/>
      <c r="P2110" s="1097"/>
      <c r="Q2110" s="1098"/>
      <c r="R2110" s="1097"/>
      <c r="S2110" s="1098"/>
      <c r="T2110" s="1097"/>
      <c r="U2110" s="1098"/>
    </row>
    <row r="2111" spans="1:27" s="50" customFormat="1" ht="15.6" customHeight="1" x14ac:dyDescent="0.25">
      <c r="B2111" s="50" t="s">
        <v>1427</v>
      </c>
      <c r="D2111" s="219"/>
      <c r="F2111" s="219"/>
      <c r="G2111" s="219"/>
      <c r="H2111" s="219"/>
      <c r="I2111" s="251"/>
      <c r="J2111" s="251"/>
      <c r="K2111" s="251"/>
      <c r="M2111" s="234"/>
      <c r="N2111" s="235"/>
      <c r="O2111" s="232"/>
      <c r="P2111" s="1115"/>
      <c r="Q2111" s="1111"/>
      <c r="R2111" s="1111"/>
      <c r="S2111" s="1111"/>
      <c r="T2111" s="1111"/>
      <c r="U2111" s="1112"/>
      <c r="V2111" s="1133"/>
      <c r="W2111" s="1114"/>
      <c r="X2111" s="48"/>
      <c r="Y2111" s="48"/>
      <c r="Z2111" s="48"/>
      <c r="AA2111" s="48"/>
    </row>
    <row r="2112" spans="1:27" ht="15.6" customHeight="1" x14ac:dyDescent="0.2">
      <c r="I2112" s="58"/>
      <c r="J2112" s="58"/>
      <c r="K2112" s="58"/>
      <c r="L2112" s="59"/>
      <c r="M2112" s="1133"/>
      <c r="N2112" s="1147"/>
      <c r="O2112" s="1146"/>
    </row>
    <row r="2113" spans="1:27" ht="15.6" customHeight="1" thickBot="1" x14ac:dyDescent="0.3">
      <c r="B2113" s="229" t="s">
        <v>7570</v>
      </c>
      <c r="I2113" s="226">
        <f>-SUM('Trial Balance - FPer'!G791:G792)</f>
        <v>45632000</v>
      </c>
      <c r="J2113" s="58"/>
      <c r="K2113" s="226">
        <f>-SUM('Trial Balance - FPer'!C791:C792)-2193675.95</f>
        <v>40862000</v>
      </c>
      <c r="L2113" s="59"/>
      <c r="M2113" s="1147">
        <f>K2113-N2113</f>
        <v>40862000</v>
      </c>
      <c r="N2113" s="1134">
        <v>0</v>
      </c>
      <c r="P2113" s="1110" t="s">
        <v>3967</v>
      </c>
      <c r="Q2113" s="1111" t="s">
        <v>2763</v>
      </c>
      <c r="R2113" s="1110" t="s">
        <v>3968</v>
      </c>
      <c r="S2113" s="1111" t="s">
        <v>2765</v>
      </c>
      <c r="W2113" s="1114" t="s">
        <v>3857</v>
      </c>
    </row>
    <row r="2114" spans="1:27" ht="15.6" customHeight="1" thickTop="1" x14ac:dyDescent="0.2">
      <c r="I2114" s="58"/>
      <c r="J2114" s="58"/>
      <c r="K2114" s="58"/>
      <c r="L2114" s="59"/>
      <c r="P2114" s="1115"/>
    </row>
    <row r="2115" spans="1:27" ht="44.25" customHeight="1" x14ac:dyDescent="0.2">
      <c r="B2115" s="2839" t="s">
        <v>2135</v>
      </c>
      <c r="C2115" s="2839"/>
      <c r="D2115" s="2839"/>
      <c r="E2115" s="2839"/>
      <c r="F2115" s="2839"/>
      <c r="G2115" s="2839"/>
      <c r="H2115" s="56"/>
      <c r="I2115" s="56"/>
      <c r="J2115" s="56"/>
      <c r="K2115" s="56"/>
      <c r="L2115" s="59"/>
      <c r="M2115" s="1214" t="s">
        <v>4022</v>
      </c>
      <c r="O2115" s="1134"/>
    </row>
    <row r="2116" spans="1:27" ht="15.6" customHeight="1" x14ac:dyDescent="0.2">
      <c r="I2116" s="58"/>
      <c r="J2116" s="58"/>
      <c r="K2116" s="58"/>
      <c r="L2116" s="59"/>
    </row>
    <row r="2117" spans="1:27" ht="15.6" hidden="1" customHeight="1" x14ac:dyDescent="0.2">
      <c r="A2117" s="655"/>
      <c r="B2117" s="1456" t="s">
        <v>6466</v>
      </c>
      <c r="C2117" s="655"/>
      <c r="D2117" s="656"/>
      <c r="E2117" s="655"/>
      <c r="F2117" s="656"/>
      <c r="G2117" s="656"/>
      <c r="H2117" s="656"/>
      <c r="I2117" s="658"/>
      <c r="J2117" s="658"/>
      <c r="K2117" s="658"/>
      <c r="L2117" s="1415"/>
      <c r="W2117" s="1114" t="s">
        <v>3857</v>
      </c>
    </row>
    <row r="2118" spans="1:27" ht="15.6" hidden="1" customHeight="1" x14ac:dyDescent="0.2">
      <c r="A2118" s="655"/>
      <c r="B2118" s="655"/>
      <c r="C2118" s="655"/>
      <c r="D2118" s="656"/>
      <c r="E2118" s="655"/>
      <c r="F2118" s="656"/>
      <c r="G2118" s="656"/>
      <c r="H2118" s="656"/>
      <c r="I2118" s="658"/>
      <c r="J2118" s="658"/>
      <c r="K2118" s="658"/>
      <c r="L2118" s="1415"/>
    </row>
    <row r="2119" spans="1:27" ht="15.6" hidden="1" customHeight="1" x14ac:dyDescent="0.2">
      <c r="A2119" s="655"/>
      <c r="B2119" s="1553" t="s">
        <v>1059</v>
      </c>
      <c r="C2119" s="655"/>
      <c r="D2119" s="656"/>
      <c r="E2119" s="655"/>
      <c r="F2119" s="656"/>
      <c r="G2119" s="656"/>
      <c r="H2119" s="656"/>
      <c r="I2119" s="658">
        <f>K2122</f>
        <v>0</v>
      </c>
      <c r="J2119" s="658"/>
      <c r="K2119" s="658">
        <v>0</v>
      </c>
      <c r="L2119" s="1415"/>
    </row>
    <row r="2120" spans="1:27" ht="15.6" hidden="1" customHeight="1" x14ac:dyDescent="0.2">
      <c r="A2120" s="655"/>
      <c r="B2120" s="1553" t="s">
        <v>1060</v>
      </c>
      <c r="C2120" s="655"/>
      <c r="D2120" s="656"/>
      <c r="E2120" s="655"/>
      <c r="F2120" s="656"/>
      <c r="G2120" s="656"/>
      <c r="H2120" s="656"/>
      <c r="I2120" s="661">
        <v>0</v>
      </c>
      <c r="J2120" s="658"/>
      <c r="K2120" s="661">
        <v>0</v>
      </c>
      <c r="L2120" s="1415"/>
    </row>
    <row r="2121" spans="1:27" ht="15.6" hidden="1" customHeight="1" x14ac:dyDescent="0.2">
      <c r="A2121" s="655"/>
      <c r="B2121" s="1553" t="s">
        <v>1061</v>
      </c>
      <c r="C2121" s="655"/>
      <c r="D2121" s="656"/>
      <c r="E2121" s="655"/>
      <c r="F2121" s="656"/>
      <c r="G2121" s="656"/>
      <c r="H2121" s="656"/>
      <c r="I2121" s="658">
        <f>-I2120</f>
        <v>0</v>
      </c>
      <c r="J2121" s="658"/>
      <c r="K2121" s="658">
        <f>-K2120</f>
        <v>0</v>
      </c>
      <c r="L2121" s="1415"/>
    </row>
    <row r="2122" spans="1:27" ht="15.6" hidden="1" customHeight="1" thickBot="1" x14ac:dyDescent="0.3">
      <c r="A2122" s="655"/>
      <c r="B2122" s="1553" t="s">
        <v>2203</v>
      </c>
      <c r="C2122" s="655"/>
      <c r="D2122" s="656"/>
      <c r="E2122" s="655"/>
      <c r="F2122" s="656"/>
      <c r="G2122" s="656"/>
      <c r="H2122" s="656"/>
      <c r="I2122" s="1545">
        <f>SUM(I2118:I2120,I2121)</f>
        <v>0</v>
      </c>
      <c r="J2122" s="661"/>
      <c r="K2122" s="1545">
        <f>SUM(K2118:K2120,K2121)</f>
        <v>0</v>
      </c>
      <c r="L2122" s="1415"/>
    </row>
    <row r="2123" spans="1:27" ht="15.6" hidden="1" customHeight="1" thickTop="1" x14ac:dyDescent="0.2">
      <c r="A2123" s="655"/>
      <c r="B2123" s="655"/>
      <c r="C2123" s="655"/>
      <c r="D2123" s="656"/>
      <c r="E2123" s="655"/>
      <c r="F2123" s="656"/>
      <c r="G2123" s="656"/>
      <c r="H2123" s="656"/>
      <c r="I2123" s="1569"/>
      <c r="J2123" s="658"/>
      <c r="K2123" s="1569"/>
      <c r="L2123" s="1415"/>
    </row>
    <row r="2124" spans="1:27" ht="46.5" hidden="1" customHeight="1" x14ac:dyDescent="0.25">
      <c r="A2124" s="655"/>
      <c r="B2124" s="2868" t="s">
        <v>1705</v>
      </c>
      <c r="C2124" s="2868"/>
      <c r="D2124" s="2868"/>
      <c r="E2124" s="2868"/>
      <c r="F2124" s="2868"/>
      <c r="G2124" s="2868"/>
      <c r="H2124" s="1546"/>
      <c r="I2124" s="1546"/>
      <c r="J2124" s="1546"/>
      <c r="K2124" s="1546"/>
      <c r="L2124" s="1415"/>
      <c r="M2124" s="1214" t="s">
        <v>4022</v>
      </c>
      <c r="N2124" s="1133"/>
      <c r="O2124" s="1146"/>
      <c r="Z2124" s="50"/>
    </row>
    <row r="2125" spans="1:27" ht="15.6" hidden="1" customHeight="1" x14ac:dyDescent="0.25">
      <c r="A2125" s="655"/>
      <c r="B2125" s="655"/>
      <c r="C2125" s="655"/>
      <c r="D2125" s="656"/>
      <c r="E2125" s="655"/>
      <c r="F2125" s="656"/>
      <c r="G2125" s="656"/>
      <c r="H2125" s="656"/>
      <c r="I2125" s="658"/>
      <c r="J2125" s="658"/>
      <c r="K2125" s="658"/>
      <c r="L2125" s="1415"/>
      <c r="Y2125" s="50"/>
      <c r="AA2125" s="50"/>
    </row>
    <row r="2126" spans="1:27" s="50" customFormat="1" ht="15.6" hidden="1" customHeight="1" x14ac:dyDescent="0.25">
      <c r="B2126" s="50" t="s">
        <v>1428</v>
      </c>
      <c r="D2126" s="219"/>
      <c r="F2126" s="219"/>
      <c r="G2126" s="219"/>
      <c r="H2126" s="219"/>
      <c r="I2126" s="251"/>
      <c r="J2126" s="251"/>
      <c r="K2126" s="251"/>
      <c r="M2126" s="234"/>
      <c r="N2126" s="235"/>
      <c r="O2126" s="232"/>
      <c r="P2126" s="1110"/>
      <c r="Q2126" s="1111"/>
      <c r="R2126" s="1111"/>
      <c r="S2126" s="1111"/>
      <c r="T2126" s="1111"/>
      <c r="U2126" s="1112"/>
      <c r="V2126" s="1133"/>
      <c r="W2126" s="1114"/>
      <c r="X2126" s="48"/>
      <c r="Y2126" s="48"/>
      <c r="Z2126" s="48"/>
      <c r="AA2126" s="48"/>
    </row>
    <row r="2127" spans="1:27" ht="15.6" hidden="1" customHeight="1" x14ac:dyDescent="0.2">
      <c r="I2127" s="58"/>
      <c r="J2127" s="58"/>
      <c r="K2127" s="58"/>
      <c r="L2127" s="59"/>
      <c r="M2127" s="1133"/>
      <c r="N2127" s="1147"/>
      <c r="O2127" s="1146"/>
    </row>
    <row r="2128" spans="1:27" ht="15.6" hidden="1" customHeight="1" x14ac:dyDescent="0.2">
      <c r="B2128" s="229" t="s">
        <v>6874</v>
      </c>
      <c r="I2128" s="58"/>
      <c r="J2128" s="58"/>
      <c r="K2128" s="58"/>
      <c r="L2128" s="59"/>
      <c r="W2128" s="1114" t="s">
        <v>3857</v>
      </c>
    </row>
    <row r="2129" spans="1:23" ht="15.6" hidden="1" customHeight="1" x14ac:dyDescent="0.2">
      <c r="I2129" s="58"/>
      <c r="J2129" s="58"/>
      <c r="K2129" s="58"/>
      <c r="L2129" s="59"/>
    </row>
    <row r="2130" spans="1:23" ht="15.6" hidden="1" customHeight="1" x14ac:dyDescent="0.2">
      <c r="B2130" s="61" t="s">
        <v>1059</v>
      </c>
      <c r="I2130" s="2028">
        <f>K2135</f>
        <v>0</v>
      </c>
      <c r="J2130" s="58"/>
      <c r="K2130" s="2043">
        <v>0</v>
      </c>
      <c r="L2130" s="59"/>
      <c r="P2130" s="1600"/>
      <c r="Q2130" s="1601"/>
      <c r="R2130" s="1600" t="s">
        <v>3280</v>
      </c>
      <c r="S2130" s="1601" t="s">
        <v>2765</v>
      </c>
    </row>
    <row r="2131" spans="1:23" ht="15.6" hidden="1" customHeight="1" x14ac:dyDescent="0.2">
      <c r="B2131" s="61" t="s">
        <v>1062</v>
      </c>
      <c r="I2131" s="2028">
        <v>0</v>
      </c>
      <c r="J2131" s="58"/>
      <c r="K2131" s="2043">
        <v>0</v>
      </c>
      <c r="L2131" s="59"/>
      <c r="P2131" s="1600" t="s">
        <v>3281</v>
      </c>
      <c r="Q2131" s="1601" t="s">
        <v>2763</v>
      </c>
      <c r="R2131" s="1600" t="s">
        <v>3282</v>
      </c>
      <c r="S2131" s="1601" t="s">
        <v>2765</v>
      </c>
    </row>
    <row r="2132" spans="1:23" ht="15.6" hidden="1" customHeight="1" x14ac:dyDescent="0.2">
      <c r="B2132" s="61" t="s">
        <v>1418</v>
      </c>
      <c r="I2132" s="2028">
        <v>0</v>
      </c>
      <c r="J2132" s="58"/>
      <c r="K2132" s="2043">
        <v>0</v>
      </c>
      <c r="L2132" s="59"/>
      <c r="P2132" s="1600" t="s">
        <v>3283</v>
      </c>
      <c r="Q2132" s="1601" t="s">
        <v>2763</v>
      </c>
      <c r="R2132" s="1600" t="s">
        <v>3284</v>
      </c>
      <c r="S2132" s="1601" t="s">
        <v>2765</v>
      </c>
    </row>
    <row r="2133" spans="1:23" ht="15.6" hidden="1" customHeight="1" x14ac:dyDescent="0.2">
      <c r="B2133" s="61" t="s">
        <v>1420</v>
      </c>
      <c r="I2133" s="2028">
        <v>0</v>
      </c>
      <c r="J2133" s="58"/>
      <c r="K2133" s="2043">
        <v>0</v>
      </c>
      <c r="L2133" s="59"/>
      <c r="P2133" s="1600" t="s">
        <v>3285</v>
      </c>
      <c r="Q2133" s="1601" t="s">
        <v>2763</v>
      </c>
      <c r="R2133" s="1600" t="s">
        <v>3286</v>
      </c>
      <c r="S2133" s="1601" t="s">
        <v>2765</v>
      </c>
    </row>
    <row r="2134" spans="1:23" ht="15.6" hidden="1" customHeight="1" x14ac:dyDescent="0.2">
      <c r="B2134" s="61" t="s">
        <v>1421</v>
      </c>
      <c r="I2134" s="2028">
        <v>0</v>
      </c>
      <c r="J2134" s="58"/>
      <c r="K2134" s="2043">
        <v>0</v>
      </c>
      <c r="L2134" s="59"/>
      <c r="P2134" s="1600" t="s">
        <v>3287</v>
      </c>
      <c r="Q2134" s="1601" t="s">
        <v>2763</v>
      </c>
      <c r="R2134" s="1600" t="s">
        <v>3288</v>
      </c>
      <c r="S2134" s="1601" t="s">
        <v>2765</v>
      </c>
    </row>
    <row r="2135" spans="1:23" ht="15.6" hidden="1" customHeight="1" thickBot="1" x14ac:dyDescent="0.3">
      <c r="B2135" s="61" t="s">
        <v>2204</v>
      </c>
      <c r="I2135" s="202">
        <f>SUM(I2129:I2134)</f>
        <v>0</v>
      </c>
      <c r="K2135" s="202">
        <f>SUM(K2129:K2134)</f>
        <v>0</v>
      </c>
      <c r="L2135" s="59"/>
      <c r="P2135" s="1600"/>
      <c r="Q2135" s="1601"/>
      <c r="R2135" s="1600"/>
      <c r="S2135" s="1601"/>
    </row>
    <row r="2136" spans="1:23" ht="15.6" hidden="1" customHeight="1" thickTop="1" x14ac:dyDescent="0.2">
      <c r="I2136" s="265">
        <v>0</v>
      </c>
      <c r="J2136" s="58"/>
      <c r="K2136" s="265">
        <v>0</v>
      </c>
      <c r="L2136" s="59"/>
      <c r="P2136" s="1600"/>
      <c r="Q2136" s="1601"/>
      <c r="R2136" s="1600"/>
      <c r="S2136" s="1601"/>
    </row>
    <row r="2137" spans="1:23" ht="46.5" hidden="1" customHeight="1" x14ac:dyDescent="0.2">
      <c r="B2137" s="2839" t="s">
        <v>2135</v>
      </c>
      <c r="C2137" s="2839"/>
      <c r="D2137" s="2839"/>
      <c r="E2137" s="2839"/>
      <c r="F2137" s="2839"/>
      <c r="G2137" s="2839"/>
      <c r="H2137" s="56"/>
      <c r="I2137" s="56"/>
      <c r="J2137" s="56"/>
      <c r="K2137" s="56"/>
      <c r="L2137" s="59"/>
      <c r="M2137" s="1214" t="s">
        <v>4022</v>
      </c>
      <c r="P2137" s="1602"/>
      <c r="Q2137" s="1603"/>
      <c r="R2137" s="1602"/>
      <c r="S2137" s="1603"/>
    </row>
    <row r="2138" spans="1:23" ht="15.6" hidden="1" customHeight="1" x14ac:dyDescent="0.2">
      <c r="I2138" s="58"/>
      <c r="J2138" s="58"/>
      <c r="K2138" s="58"/>
      <c r="L2138" s="59"/>
      <c r="P2138" s="1602"/>
      <c r="Q2138" s="1603"/>
      <c r="R2138" s="1602"/>
      <c r="S2138" s="1603"/>
    </row>
    <row r="2139" spans="1:23" ht="15.6" customHeight="1" x14ac:dyDescent="0.2">
      <c r="B2139" s="229" t="s">
        <v>7571</v>
      </c>
      <c r="I2139" s="58"/>
      <c r="J2139" s="58"/>
      <c r="K2139" s="58"/>
      <c r="L2139" s="59"/>
      <c r="P2139" s="1600"/>
      <c r="Q2139" s="1601"/>
      <c r="R2139" s="1600"/>
      <c r="S2139" s="1601"/>
      <c r="W2139" s="1114" t="s">
        <v>3857</v>
      </c>
    </row>
    <row r="2140" spans="1:23" ht="15.6" customHeight="1" x14ac:dyDescent="0.2">
      <c r="I2140" s="58"/>
      <c r="J2140" s="58"/>
      <c r="K2140" s="58"/>
      <c r="L2140" s="59"/>
      <c r="P2140" s="1600"/>
      <c r="Q2140" s="1601"/>
      <c r="R2140" s="1600"/>
      <c r="S2140" s="1601"/>
    </row>
    <row r="2141" spans="1:23" ht="15.6" customHeight="1" x14ac:dyDescent="0.2">
      <c r="B2141" s="61" t="s">
        <v>1059</v>
      </c>
      <c r="I2141" s="58">
        <f>K2146</f>
        <v>0</v>
      </c>
      <c r="J2141" s="58"/>
      <c r="K2141" s="58">
        <v>0</v>
      </c>
      <c r="L2141" s="59"/>
      <c r="P2141" s="1600"/>
      <c r="Q2141" s="1601"/>
      <c r="R2141" s="1600" t="s">
        <v>3289</v>
      </c>
      <c r="S2141" s="1601" t="s">
        <v>2765</v>
      </c>
    </row>
    <row r="2142" spans="1:23" ht="15.6" customHeight="1" x14ac:dyDescent="0.2">
      <c r="B2142" s="61" t="s">
        <v>1062</v>
      </c>
      <c r="I2142" s="58">
        <v>1500000</v>
      </c>
      <c r="J2142" s="58"/>
      <c r="K2142" s="58">
        <v>1250000</v>
      </c>
      <c r="L2142" s="59"/>
      <c r="P2142" s="1600" t="s">
        <v>3290</v>
      </c>
      <c r="Q2142" s="1601" t="s">
        <v>2763</v>
      </c>
      <c r="R2142" s="1600" t="s">
        <v>3291</v>
      </c>
      <c r="S2142" s="1601" t="s">
        <v>2765</v>
      </c>
    </row>
    <row r="2143" spans="1:23" ht="15.6" hidden="1" customHeight="1" x14ac:dyDescent="0.2">
      <c r="A2143" s="655"/>
      <c r="B2143" s="1553" t="s">
        <v>1418</v>
      </c>
      <c r="C2143" s="655"/>
      <c r="D2143" s="656"/>
      <c r="E2143" s="655"/>
      <c r="F2143" s="656"/>
      <c r="G2143" s="656"/>
      <c r="H2143" s="656"/>
      <c r="I2143" s="58">
        <v>0</v>
      </c>
      <c r="J2143" s="58"/>
      <c r="K2143" s="58">
        <v>0</v>
      </c>
      <c r="L2143" s="1415"/>
      <c r="P2143" s="1600" t="s">
        <v>3292</v>
      </c>
      <c r="Q2143" s="1601" t="s">
        <v>2763</v>
      </c>
      <c r="R2143" s="1600" t="s">
        <v>3293</v>
      </c>
      <c r="S2143" s="1601" t="s">
        <v>2765</v>
      </c>
    </row>
    <row r="2144" spans="1:23" ht="15.6" customHeight="1" x14ac:dyDescent="0.2">
      <c r="B2144" s="61" t="s">
        <v>1420</v>
      </c>
      <c r="I2144" s="58">
        <f>SUM('Trial Balance - FPer'!G817)</f>
        <v>-1500000</v>
      </c>
      <c r="J2144" s="58"/>
      <c r="K2144" s="58">
        <f>'Trial Balance - FPer'!C817</f>
        <v>-1250000</v>
      </c>
      <c r="L2144" s="59"/>
      <c r="P2144" s="1600" t="s">
        <v>3294</v>
      </c>
      <c r="Q2144" s="1601" t="s">
        <v>2763</v>
      </c>
      <c r="R2144" s="1600" t="s">
        <v>3295</v>
      </c>
      <c r="S2144" s="1601" t="s">
        <v>2765</v>
      </c>
    </row>
    <row r="2145" spans="2:23" ht="15.6" hidden="1" customHeight="1" x14ac:dyDescent="0.2">
      <c r="B2145" s="61" t="s">
        <v>1421</v>
      </c>
      <c r="I2145" s="58">
        <v>0</v>
      </c>
      <c r="J2145" s="58"/>
      <c r="K2145" s="58">
        <v>0</v>
      </c>
      <c r="L2145" s="59"/>
      <c r="P2145" s="1600" t="s">
        <v>3296</v>
      </c>
      <c r="Q2145" s="1601" t="s">
        <v>2763</v>
      </c>
      <c r="R2145" s="1600" t="s">
        <v>3297</v>
      </c>
      <c r="S2145" s="1601" t="s">
        <v>2765</v>
      </c>
    </row>
    <row r="2146" spans="2:23" ht="15.6" customHeight="1" thickBot="1" x14ac:dyDescent="0.3">
      <c r="B2146" s="61" t="s">
        <v>7406</v>
      </c>
      <c r="I2146" s="202">
        <f>SUM(I2140:I2145)</f>
        <v>0</v>
      </c>
      <c r="K2146" s="202">
        <f>SUM(K2140:K2145)</f>
        <v>0</v>
      </c>
      <c r="L2146" s="59"/>
      <c r="P2146" s="1600"/>
      <c r="Q2146" s="1601"/>
      <c r="R2146" s="1600"/>
      <c r="S2146" s="1601"/>
    </row>
    <row r="2147" spans="2:23" ht="15.6" customHeight="1" thickTop="1" x14ac:dyDescent="0.2">
      <c r="I2147" s="265">
        <v>0</v>
      </c>
      <c r="J2147" s="58"/>
      <c r="K2147" s="265">
        <v>0</v>
      </c>
      <c r="L2147" s="59"/>
      <c r="M2147" s="1133"/>
      <c r="N2147" s="1133"/>
      <c r="O2147" s="1146"/>
      <c r="P2147" s="1600"/>
      <c r="Q2147" s="1601"/>
      <c r="R2147" s="1600"/>
      <c r="S2147" s="1601"/>
    </row>
    <row r="2148" spans="2:23" ht="46.5" customHeight="1" x14ac:dyDescent="0.2">
      <c r="B2148" s="2839" t="s">
        <v>1701</v>
      </c>
      <c r="C2148" s="2839"/>
      <c r="D2148" s="2839"/>
      <c r="E2148" s="2839"/>
      <c r="F2148" s="2839"/>
      <c r="G2148" s="2839"/>
      <c r="H2148" s="56"/>
      <c r="I2148" s="56"/>
      <c r="J2148" s="56"/>
      <c r="K2148" s="56"/>
      <c r="L2148" s="59"/>
      <c r="M2148" s="1214" t="s">
        <v>4022</v>
      </c>
      <c r="N2148" s="1133"/>
      <c r="O2148" s="1146"/>
      <c r="P2148" s="1602"/>
      <c r="Q2148" s="1603"/>
      <c r="R2148" s="1602"/>
      <c r="S2148" s="1603"/>
    </row>
    <row r="2149" spans="2:23" ht="15.6" customHeight="1" x14ac:dyDescent="0.2">
      <c r="I2149" s="58"/>
      <c r="J2149" s="58"/>
      <c r="K2149" s="58"/>
      <c r="L2149" s="59"/>
      <c r="M2149" s="1133"/>
      <c r="N2149" s="1133"/>
      <c r="O2149" s="1146"/>
      <c r="P2149" s="1602"/>
      <c r="Q2149" s="1603"/>
      <c r="R2149" s="1602"/>
      <c r="S2149" s="1603"/>
    </row>
    <row r="2150" spans="2:23" ht="15.6" customHeight="1" x14ac:dyDescent="0.2">
      <c r="B2150" s="229" t="s">
        <v>7572</v>
      </c>
      <c r="I2150" s="58"/>
      <c r="J2150" s="58"/>
      <c r="K2150" s="58"/>
      <c r="L2150" s="59"/>
      <c r="M2150" s="1133"/>
      <c r="N2150" s="1133"/>
      <c r="O2150" s="1146"/>
      <c r="P2150" s="1600"/>
      <c r="Q2150" s="1601"/>
      <c r="R2150" s="1600"/>
      <c r="S2150" s="1601"/>
      <c r="W2150" s="1114" t="s">
        <v>3857</v>
      </c>
    </row>
    <row r="2151" spans="2:23" ht="15.6" customHeight="1" x14ac:dyDescent="0.2">
      <c r="I2151" s="58"/>
      <c r="J2151" s="58"/>
      <c r="K2151" s="58"/>
      <c r="L2151" s="59"/>
      <c r="M2151" s="1133"/>
      <c r="N2151" s="1133"/>
      <c r="O2151" s="1146"/>
      <c r="P2151" s="1600"/>
      <c r="Q2151" s="1601"/>
      <c r="R2151" s="1600"/>
      <c r="S2151" s="1601"/>
    </row>
    <row r="2152" spans="2:23" ht="15.6" customHeight="1" x14ac:dyDescent="0.2">
      <c r="B2152" s="61" t="s">
        <v>1059</v>
      </c>
      <c r="I2152" s="58">
        <f>K2157</f>
        <v>12487502.9</v>
      </c>
      <c r="J2152" s="58"/>
      <c r="K2152" s="58">
        <v>12688381</v>
      </c>
      <c r="L2152" s="59"/>
      <c r="M2152" s="1133"/>
      <c r="N2152" s="1133"/>
      <c r="O2152" s="1146"/>
      <c r="P2152" s="1600"/>
      <c r="Q2152" s="1601"/>
      <c r="R2152" s="1600" t="s">
        <v>3298</v>
      </c>
      <c r="S2152" s="1601" t="s">
        <v>2765</v>
      </c>
    </row>
    <row r="2153" spans="2:23" ht="15.6" customHeight="1" x14ac:dyDescent="0.2">
      <c r="B2153" s="61" t="s">
        <v>1062</v>
      </c>
      <c r="I2153" s="58">
        <v>15532000</v>
      </c>
      <c r="J2153" s="58"/>
      <c r="K2153" s="58">
        <v>12913000</v>
      </c>
      <c r="L2153" s="59"/>
      <c r="M2153" s="1133"/>
      <c r="N2153" s="1133"/>
      <c r="O2153" s="1146"/>
      <c r="P2153" s="1600" t="s">
        <v>3299</v>
      </c>
      <c r="Q2153" s="1601" t="s">
        <v>2763</v>
      </c>
      <c r="R2153" s="1600" t="s">
        <v>3300</v>
      </c>
      <c r="S2153" s="1601" t="s">
        <v>2765</v>
      </c>
    </row>
    <row r="2154" spans="2:23" ht="15.6" customHeight="1" x14ac:dyDescent="0.2">
      <c r="B2154" s="48" t="s">
        <v>1419</v>
      </c>
      <c r="I2154" s="58">
        <v>0</v>
      </c>
      <c r="J2154" s="58"/>
      <c r="K2154" s="58">
        <v>0</v>
      </c>
      <c r="L2154" s="59"/>
      <c r="M2154" s="1133"/>
      <c r="N2154" s="1133"/>
      <c r="O2154" s="1146"/>
      <c r="P2154" s="1600" t="s">
        <v>3301</v>
      </c>
      <c r="Q2154" s="1601" t="s">
        <v>2763</v>
      </c>
      <c r="R2154" s="1600" t="s">
        <v>3302</v>
      </c>
      <c r="S2154" s="1601" t="s">
        <v>2765</v>
      </c>
    </row>
    <row r="2155" spans="2:23" ht="15.6" customHeight="1" x14ac:dyDescent="0.2">
      <c r="B2155" s="61" t="s">
        <v>1420</v>
      </c>
      <c r="I2155" s="58">
        <v>0</v>
      </c>
      <c r="J2155" s="58"/>
      <c r="K2155" s="58">
        <v>0</v>
      </c>
      <c r="L2155" s="59"/>
      <c r="M2155" s="1133"/>
      <c r="N2155" s="1133"/>
      <c r="O2155" s="1146"/>
      <c r="P2155" s="1600" t="s">
        <v>3303</v>
      </c>
      <c r="Q2155" s="1601" t="s">
        <v>2763</v>
      </c>
      <c r="R2155" s="1600" t="s">
        <v>3304</v>
      </c>
      <c r="S2155" s="1601" t="s">
        <v>2765</v>
      </c>
    </row>
    <row r="2156" spans="2:23" ht="15.6" customHeight="1" x14ac:dyDescent="0.2">
      <c r="B2156" s="61" t="s">
        <v>1421</v>
      </c>
      <c r="I2156" s="58">
        <f>SUM('Trial Balance - FPer'!G818)</f>
        <v>-15979892.42</v>
      </c>
      <c r="J2156" s="58"/>
      <c r="K2156" s="58">
        <f>'Trial Balance - FPer'!C818</f>
        <v>-13113878.1</v>
      </c>
      <c r="L2156" s="59"/>
      <c r="M2156" s="1133"/>
      <c r="N2156" s="1133"/>
      <c r="O2156" s="1146"/>
      <c r="P2156" s="1600" t="s">
        <v>3305</v>
      </c>
      <c r="Q2156" s="1601" t="s">
        <v>2763</v>
      </c>
      <c r="R2156" s="1600" t="s">
        <v>3306</v>
      </c>
      <c r="S2156" s="1601" t="s">
        <v>2765</v>
      </c>
    </row>
    <row r="2157" spans="2:23" ht="15.6" customHeight="1" thickBot="1" x14ac:dyDescent="0.3">
      <c r="B2157" s="61" t="s">
        <v>7407</v>
      </c>
      <c r="I2157" s="202">
        <f>SUM(I2151:I2156)</f>
        <v>12039610.479999999</v>
      </c>
      <c r="K2157" s="202">
        <f>SUM(K2151:K2156)</f>
        <v>12487502.9</v>
      </c>
      <c r="L2157" s="59"/>
      <c r="M2157" s="1274">
        <f>I2157-K2157</f>
        <v>-447892.42000000179</v>
      </c>
      <c r="N2157" s="1133"/>
      <c r="O2157" s="1146"/>
      <c r="P2157" s="1600"/>
      <c r="Q2157" s="1601"/>
      <c r="R2157" s="1600"/>
      <c r="S2157" s="1601"/>
    </row>
    <row r="2158" spans="2:23" ht="15.6" customHeight="1" thickTop="1" x14ac:dyDescent="0.2">
      <c r="B2158" s="61"/>
      <c r="I2158" s="265">
        <v>0</v>
      </c>
      <c r="K2158" s="265">
        <v>0</v>
      </c>
      <c r="L2158" s="59"/>
      <c r="M2158" s="1133"/>
      <c r="N2158" s="1133"/>
      <c r="O2158" s="1146"/>
      <c r="P2158" s="1600"/>
      <c r="Q2158" s="1601"/>
      <c r="R2158" s="1600"/>
      <c r="S2158" s="1601"/>
    </row>
    <row r="2159" spans="2:23" ht="62.1" customHeight="1" x14ac:dyDescent="0.2">
      <c r="B2159" s="2839" t="s">
        <v>2136</v>
      </c>
      <c r="C2159" s="2839"/>
      <c r="D2159" s="2839"/>
      <c r="E2159" s="2839"/>
      <c r="F2159" s="2839"/>
      <c r="G2159" s="2839"/>
      <c r="H2159" s="56"/>
      <c r="I2159" s="56"/>
      <c r="J2159" s="56"/>
      <c r="K2159" s="56"/>
      <c r="L2159" s="59"/>
      <c r="M2159" s="1214" t="s">
        <v>4022</v>
      </c>
      <c r="N2159" s="1133"/>
      <c r="O2159" s="1146"/>
      <c r="P2159" s="1602"/>
      <c r="Q2159" s="1603"/>
      <c r="R2159" s="1602"/>
      <c r="S2159" s="1603"/>
    </row>
    <row r="2160" spans="2:23" ht="15.6" customHeight="1" x14ac:dyDescent="0.2">
      <c r="I2160" s="58"/>
      <c r="J2160" s="58"/>
      <c r="K2160" s="58"/>
      <c r="L2160" s="59"/>
      <c r="M2160" s="1133"/>
      <c r="N2160" s="1133"/>
      <c r="O2160" s="1146"/>
      <c r="P2160" s="1602"/>
      <c r="Q2160" s="1603"/>
      <c r="R2160" s="1602"/>
      <c r="S2160" s="1603"/>
    </row>
    <row r="2161" spans="2:23" ht="15.6" customHeight="1" x14ac:dyDescent="0.2">
      <c r="B2161" s="229" t="s">
        <v>7573</v>
      </c>
      <c r="I2161" s="58"/>
      <c r="J2161" s="58"/>
      <c r="K2161" s="58"/>
      <c r="L2161" s="59"/>
      <c r="M2161" s="1133"/>
      <c r="N2161" s="1133"/>
      <c r="O2161" s="1146"/>
      <c r="P2161" s="1602"/>
      <c r="Q2161" s="1603"/>
      <c r="R2161" s="1602"/>
      <c r="S2161" s="1603"/>
      <c r="W2161" s="1114" t="s">
        <v>3857</v>
      </c>
    </row>
    <row r="2162" spans="2:23" ht="15.6" customHeight="1" x14ac:dyDescent="0.2">
      <c r="I2162" s="58"/>
      <c r="J2162" s="58"/>
      <c r="K2162" s="58"/>
      <c r="L2162" s="59"/>
      <c r="M2162" s="1133"/>
      <c r="N2162" s="1133"/>
      <c r="O2162" s="1146"/>
      <c r="P2162" s="1602"/>
      <c r="Q2162" s="1603"/>
      <c r="R2162" s="1602"/>
      <c r="S2162" s="1603"/>
    </row>
    <row r="2163" spans="2:23" ht="15.6" customHeight="1" x14ac:dyDescent="0.2">
      <c r="B2163" s="61" t="s">
        <v>1059</v>
      </c>
      <c r="I2163" s="58">
        <f>K2168</f>
        <v>0</v>
      </c>
      <c r="J2163" s="58"/>
      <c r="K2163" s="58">
        <v>0</v>
      </c>
      <c r="L2163" s="59"/>
      <c r="M2163" s="1133"/>
      <c r="N2163" s="1133"/>
      <c r="O2163" s="1146"/>
      <c r="P2163" s="1602"/>
      <c r="Q2163" s="1603"/>
      <c r="R2163" s="1602" t="s">
        <v>4392</v>
      </c>
      <c r="S2163" s="1603" t="s">
        <v>2765</v>
      </c>
    </row>
    <row r="2164" spans="2:23" ht="15.6" customHeight="1" x14ac:dyDescent="0.2">
      <c r="B2164" s="61" t="s">
        <v>1062</v>
      </c>
      <c r="I2164" s="58">
        <v>790000</v>
      </c>
      <c r="J2164" s="58"/>
      <c r="K2164" s="58">
        <v>750000</v>
      </c>
      <c r="L2164" s="59"/>
      <c r="M2164" s="1133"/>
      <c r="N2164" s="1133"/>
      <c r="O2164" s="1146"/>
      <c r="P2164" s="1602" t="s">
        <v>4393</v>
      </c>
      <c r="Q2164" s="1603" t="s">
        <v>2763</v>
      </c>
      <c r="R2164" s="1602" t="s">
        <v>4397</v>
      </c>
      <c r="S2164" s="1603" t="s">
        <v>2765</v>
      </c>
      <c r="V2164" s="234"/>
    </row>
    <row r="2165" spans="2:23" ht="15.6" customHeight="1" x14ac:dyDescent="0.2">
      <c r="B2165" s="48" t="s">
        <v>1419</v>
      </c>
      <c r="I2165" s="58">
        <v>0</v>
      </c>
      <c r="J2165" s="58"/>
      <c r="K2165" s="58">
        <v>0</v>
      </c>
      <c r="L2165" s="59"/>
      <c r="M2165" s="1133"/>
      <c r="N2165" s="1133"/>
      <c r="O2165" s="1146"/>
      <c r="P2165" s="1602" t="s">
        <v>4394</v>
      </c>
      <c r="Q2165" s="1603" t="s">
        <v>2763</v>
      </c>
      <c r="R2165" s="1602" t="s">
        <v>4398</v>
      </c>
      <c r="S2165" s="1603" t="s">
        <v>2765</v>
      </c>
    </row>
    <row r="2166" spans="2:23" ht="15.6" customHeight="1" x14ac:dyDescent="0.2">
      <c r="B2166" s="61" t="s">
        <v>1420</v>
      </c>
      <c r="I2166" s="58">
        <f>SUM('Trial Balance - FPer'!G828)</f>
        <v>-790000</v>
      </c>
      <c r="J2166" s="58"/>
      <c r="K2166" s="58">
        <f>SUM('Trial Balance - FPer'!C826:C832)</f>
        <v>-750000</v>
      </c>
      <c r="L2166" s="59"/>
      <c r="M2166" s="1133"/>
      <c r="N2166" s="1133"/>
      <c r="O2166" s="1146"/>
      <c r="P2166" s="1602" t="s">
        <v>4395</v>
      </c>
      <c r="Q2166" s="1603" t="s">
        <v>2763</v>
      </c>
      <c r="R2166" s="1602" t="s">
        <v>4399</v>
      </c>
      <c r="S2166" s="1603" t="s">
        <v>2765</v>
      </c>
    </row>
    <row r="2167" spans="2:23" ht="15.6" customHeight="1" x14ac:dyDescent="0.2">
      <c r="B2167" s="61" t="s">
        <v>1421</v>
      </c>
      <c r="I2167" s="58">
        <v>0</v>
      </c>
      <c r="J2167" s="58"/>
      <c r="K2167" s="58">
        <v>0</v>
      </c>
      <c r="L2167" s="59"/>
      <c r="M2167" s="1133"/>
      <c r="N2167" s="1133"/>
      <c r="O2167" s="1146"/>
      <c r="P2167" s="1602" t="s">
        <v>4396</v>
      </c>
      <c r="Q2167" s="1603" t="s">
        <v>2763</v>
      </c>
      <c r="R2167" s="1602" t="s">
        <v>4400</v>
      </c>
      <c r="S2167" s="1603" t="s">
        <v>2765</v>
      </c>
    </row>
    <row r="2168" spans="2:23" ht="15.6" customHeight="1" thickBot="1" x14ac:dyDescent="0.3">
      <c r="B2168" s="61" t="s">
        <v>7407</v>
      </c>
      <c r="I2168" s="202">
        <f>SUM(I2162:I2167)</f>
        <v>0</v>
      </c>
      <c r="K2168" s="202">
        <f>SUM(K2162:K2167)</f>
        <v>0</v>
      </c>
      <c r="L2168" s="59"/>
      <c r="M2168" s="1133"/>
      <c r="N2168" s="1133"/>
      <c r="O2168" s="1146"/>
      <c r="P2168" s="1602"/>
      <c r="Q2168" s="1603"/>
      <c r="R2168" s="1602"/>
      <c r="S2168" s="1603"/>
    </row>
    <row r="2169" spans="2:23" ht="15.6" customHeight="1" thickTop="1" x14ac:dyDescent="0.2">
      <c r="I2169" s="265">
        <v>0</v>
      </c>
      <c r="J2169" s="58"/>
      <c r="K2169" s="265">
        <v>0</v>
      </c>
      <c r="L2169" s="59"/>
      <c r="M2169" s="1133"/>
      <c r="N2169" s="1133"/>
      <c r="O2169" s="1146"/>
      <c r="P2169" s="1602"/>
      <c r="Q2169" s="1603"/>
      <c r="R2169" s="1602"/>
      <c r="S2169" s="1603"/>
    </row>
    <row r="2170" spans="2:23" ht="46.5" customHeight="1" x14ac:dyDescent="0.2">
      <c r="B2170" s="2839" t="s">
        <v>1702</v>
      </c>
      <c r="C2170" s="2839"/>
      <c r="D2170" s="2839"/>
      <c r="E2170" s="2839"/>
      <c r="F2170" s="2839"/>
      <c r="G2170" s="2839"/>
      <c r="H2170" s="56"/>
      <c r="I2170" s="56"/>
      <c r="J2170" s="56"/>
      <c r="K2170" s="56"/>
      <c r="L2170" s="59"/>
      <c r="M2170" s="1214" t="s">
        <v>4022</v>
      </c>
      <c r="N2170" s="1133"/>
      <c r="O2170" s="1146"/>
      <c r="P2170" s="1602"/>
      <c r="Q2170" s="1603"/>
      <c r="R2170" s="1602"/>
      <c r="S2170" s="1603"/>
    </row>
    <row r="2171" spans="2:23" ht="15.6" customHeight="1" x14ac:dyDescent="0.2">
      <c r="I2171" s="58"/>
      <c r="J2171" s="58"/>
      <c r="K2171" s="58"/>
      <c r="L2171" s="59"/>
      <c r="M2171" s="1133"/>
      <c r="N2171" s="1133"/>
      <c r="O2171" s="1146"/>
      <c r="P2171" s="1602"/>
      <c r="Q2171" s="1603"/>
      <c r="R2171" s="1602"/>
      <c r="S2171" s="1603"/>
    </row>
    <row r="2172" spans="2:23" ht="15.6" customHeight="1" x14ac:dyDescent="0.2">
      <c r="B2172" s="229" t="s">
        <v>7574</v>
      </c>
      <c r="I2172" s="58"/>
      <c r="J2172" s="58"/>
      <c r="K2172" s="58"/>
      <c r="L2172" s="59"/>
      <c r="M2172" s="1133"/>
      <c r="N2172" s="1133"/>
      <c r="O2172" s="1146"/>
      <c r="P2172" s="1600"/>
      <c r="Q2172" s="1601"/>
      <c r="R2172" s="1600"/>
      <c r="S2172" s="1601"/>
      <c r="W2172" s="1114" t="s">
        <v>3857</v>
      </c>
    </row>
    <row r="2173" spans="2:23" ht="15.6" customHeight="1" x14ac:dyDescent="0.2">
      <c r="I2173" s="58"/>
      <c r="J2173" s="58"/>
      <c r="K2173" s="58"/>
      <c r="L2173" s="59"/>
      <c r="M2173" s="1133"/>
      <c r="N2173" s="1133"/>
      <c r="O2173" s="1146"/>
      <c r="P2173" s="1600"/>
      <c r="Q2173" s="1601"/>
      <c r="R2173" s="1600"/>
      <c r="S2173" s="1601"/>
    </row>
    <row r="2174" spans="2:23" ht="15.6" customHeight="1" x14ac:dyDescent="0.2">
      <c r="B2174" s="61" t="s">
        <v>1059</v>
      </c>
      <c r="I2174" s="58">
        <f>K2179</f>
        <v>0</v>
      </c>
      <c r="J2174" s="58"/>
      <c r="K2174" s="58">
        <v>0</v>
      </c>
      <c r="L2174" s="59"/>
      <c r="M2174" s="1133"/>
      <c r="N2174" s="1133"/>
      <c r="O2174" s="1146"/>
      <c r="P2174" s="1600"/>
      <c r="Q2174" s="1601"/>
      <c r="R2174" s="1600" t="s">
        <v>3316</v>
      </c>
      <c r="S2174" s="1601" t="s">
        <v>2765</v>
      </c>
    </row>
    <row r="2175" spans="2:23" ht="15.6" customHeight="1" x14ac:dyDescent="0.2">
      <c r="B2175" s="61" t="s">
        <v>1062</v>
      </c>
      <c r="I2175" s="58">
        <f>7238999.9+855000.1</f>
        <v>8094000</v>
      </c>
      <c r="J2175" s="58"/>
      <c r="K2175" s="58">
        <v>2193676</v>
      </c>
      <c r="L2175" s="59"/>
      <c r="M2175" s="1133"/>
      <c r="N2175" s="1133"/>
      <c r="O2175" s="1146"/>
      <c r="P2175" s="1600" t="s">
        <v>3317</v>
      </c>
      <c r="Q2175" s="1601" t="s">
        <v>2763</v>
      </c>
      <c r="R2175" s="1600" t="s">
        <v>3318</v>
      </c>
      <c r="S2175" s="1601" t="s">
        <v>2765</v>
      </c>
    </row>
    <row r="2176" spans="2:23" ht="15.6" customHeight="1" x14ac:dyDescent="0.2">
      <c r="B2176" s="48" t="s">
        <v>1419</v>
      </c>
      <c r="I2176" s="58">
        <v>0</v>
      </c>
      <c r="J2176" s="58"/>
      <c r="K2176" s="58">
        <v>0</v>
      </c>
      <c r="L2176" s="59"/>
      <c r="M2176" s="1133"/>
      <c r="N2176" s="1133"/>
      <c r="O2176" s="1146"/>
      <c r="P2176" s="1600" t="s">
        <v>3319</v>
      </c>
      <c r="Q2176" s="1601" t="s">
        <v>2763</v>
      </c>
      <c r="R2176" s="1600" t="s">
        <v>3320</v>
      </c>
      <c r="S2176" s="1601" t="s">
        <v>2765</v>
      </c>
    </row>
    <row r="2177" spans="2:24" ht="15.6" customHeight="1" x14ac:dyDescent="0.2">
      <c r="B2177" s="61" t="s">
        <v>1420</v>
      </c>
      <c r="I2177" s="58">
        <v>0</v>
      </c>
      <c r="J2177" s="58"/>
      <c r="K2177" s="58">
        <v>0</v>
      </c>
      <c r="L2177" s="59"/>
      <c r="M2177" s="1133"/>
      <c r="N2177" s="1133"/>
      <c r="O2177" s="1146"/>
      <c r="P2177" s="1600" t="s">
        <v>3321</v>
      </c>
      <c r="Q2177" s="1601" t="s">
        <v>2763</v>
      </c>
      <c r="R2177" s="1600" t="s">
        <v>3322</v>
      </c>
      <c r="S2177" s="1601" t="s">
        <v>2765</v>
      </c>
    </row>
    <row r="2178" spans="2:24" ht="15.6" customHeight="1" x14ac:dyDescent="0.2">
      <c r="B2178" s="61" t="s">
        <v>1421</v>
      </c>
      <c r="I2178" s="58">
        <f>SUM('Trial Balance - FPer'!G833)</f>
        <v>-8094000</v>
      </c>
      <c r="J2178" s="58"/>
      <c r="K2178" s="58">
        <f>-K2175</f>
        <v>-2193676</v>
      </c>
      <c r="L2178" s="59"/>
      <c r="M2178" s="1133"/>
      <c r="N2178" s="1133"/>
      <c r="O2178" s="1146"/>
      <c r="P2178" s="1600" t="s">
        <v>3323</v>
      </c>
      <c r="Q2178" s="1601" t="s">
        <v>2763</v>
      </c>
      <c r="R2178" s="1600" t="s">
        <v>3324</v>
      </c>
      <c r="S2178" s="1601" t="s">
        <v>2765</v>
      </c>
    </row>
    <row r="2179" spans="2:24" ht="15.6" customHeight="1" thickBot="1" x14ac:dyDescent="0.3">
      <c r="B2179" s="61" t="s">
        <v>7407</v>
      </c>
      <c r="I2179" s="2225">
        <f>SUM(I2173:I2178)</f>
        <v>0</v>
      </c>
      <c r="K2179" s="202">
        <f>SUM(K2173:K2178)</f>
        <v>0</v>
      </c>
      <c r="L2179" s="59"/>
      <c r="M2179" s="1133"/>
      <c r="N2179" s="1133"/>
      <c r="O2179" s="1146"/>
      <c r="P2179" s="1600"/>
      <c r="Q2179" s="1601"/>
      <c r="R2179" s="1600"/>
      <c r="S2179" s="1601"/>
    </row>
    <row r="2180" spans="2:24" ht="15.6" customHeight="1" thickTop="1" x14ac:dyDescent="0.2">
      <c r="I2180" s="265">
        <v>0</v>
      </c>
      <c r="J2180" s="58"/>
      <c r="K2180" s="265">
        <v>0</v>
      </c>
      <c r="L2180" s="59"/>
      <c r="M2180" s="1133"/>
      <c r="N2180" s="1133"/>
      <c r="O2180" s="1146"/>
      <c r="P2180" s="1600"/>
      <c r="Q2180" s="1601"/>
      <c r="R2180" s="1600"/>
      <c r="S2180" s="1601"/>
    </row>
    <row r="2181" spans="2:24" ht="45.75" customHeight="1" x14ac:dyDescent="0.2">
      <c r="B2181" s="2839" t="s">
        <v>2137</v>
      </c>
      <c r="C2181" s="2839"/>
      <c r="D2181" s="2839"/>
      <c r="E2181" s="2839"/>
      <c r="F2181" s="2839"/>
      <c r="G2181" s="2839"/>
      <c r="H2181" s="56"/>
      <c r="I2181" s="56"/>
      <c r="J2181" s="56"/>
      <c r="K2181" s="56"/>
      <c r="L2181" s="59"/>
      <c r="M2181" s="1214" t="s">
        <v>4022</v>
      </c>
      <c r="N2181" s="1133"/>
      <c r="O2181" s="1146"/>
      <c r="P2181" s="1602"/>
      <c r="Q2181" s="1603"/>
      <c r="R2181" s="1602"/>
      <c r="S2181" s="1603"/>
    </row>
    <row r="2182" spans="2:24" ht="15.6" customHeight="1" x14ac:dyDescent="0.2">
      <c r="I2182" s="58"/>
      <c r="J2182" s="58"/>
      <c r="K2182" s="58"/>
      <c r="L2182" s="59"/>
      <c r="M2182" s="1133"/>
      <c r="N2182" s="1133"/>
      <c r="O2182" s="1146"/>
      <c r="P2182" s="1602"/>
      <c r="Q2182" s="1603"/>
      <c r="R2182" s="1602"/>
      <c r="S2182" s="1603"/>
    </row>
    <row r="2183" spans="2:24" ht="15.6" customHeight="1" x14ac:dyDescent="0.2">
      <c r="B2183" s="229" t="s">
        <v>7575</v>
      </c>
      <c r="I2183" s="58"/>
      <c r="J2183" s="58"/>
      <c r="K2183" s="58"/>
      <c r="L2183" s="59"/>
      <c r="M2183" s="1133"/>
      <c r="N2183" s="1133"/>
      <c r="O2183" s="1146"/>
      <c r="P2183" s="1602"/>
      <c r="Q2183" s="1603"/>
      <c r="R2183" s="1602"/>
      <c r="S2183" s="1603"/>
      <c r="W2183" s="1114" t="s">
        <v>3857</v>
      </c>
    </row>
    <row r="2184" spans="2:24" ht="15.6" customHeight="1" x14ac:dyDescent="0.2">
      <c r="I2184" s="58"/>
      <c r="J2184" s="58"/>
      <c r="K2184" s="58"/>
      <c r="L2184" s="59"/>
      <c r="M2184" s="1133"/>
      <c r="N2184" s="1133"/>
      <c r="O2184" s="1146"/>
      <c r="P2184" s="1602"/>
      <c r="Q2184" s="1603"/>
      <c r="R2184" s="1602"/>
      <c r="S2184" s="1603"/>
    </row>
    <row r="2185" spans="2:24" ht="15.6" customHeight="1" x14ac:dyDescent="0.2">
      <c r="B2185" s="61" t="s">
        <v>1059</v>
      </c>
      <c r="I2185" s="58">
        <f>K2190</f>
        <v>0</v>
      </c>
      <c r="J2185" s="58"/>
      <c r="K2185" s="58">
        <v>0</v>
      </c>
      <c r="L2185" s="59"/>
      <c r="M2185" s="1133"/>
      <c r="N2185" s="1133"/>
      <c r="O2185" s="1146"/>
      <c r="P2185" s="1602"/>
      <c r="Q2185" s="1603"/>
      <c r="R2185" s="1602" t="s">
        <v>3649</v>
      </c>
      <c r="S2185" s="1603" t="s">
        <v>2765</v>
      </c>
    </row>
    <row r="2186" spans="2:24" ht="15.6" customHeight="1" x14ac:dyDescent="0.2">
      <c r="B2186" s="61" t="s">
        <v>1062</v>
      </c>
      <c r="I2186" s="58">
        <v>627000</v>
      </c>
      <c r="J2186" s="58"/>
      <c r="K2186" s="58">
        <v>0</v>
      </c>
      <c r="L2186" s="59"/>
      <c r="M2186" s="1133"/>
      <c r="N2186" s="1133"/>
      <c r="O2186" s="1146"/>
      <c r="P2186" s="1602" t="s">
        <v>3654</v>
      </c>
      <c r="Q2186" s="1603" t="s">
        <v>2763</v>
      </c>
      <c r="R2186" s="1602" t="s">
        <v>3650</v>
      </c>
      <c r="S2186" s="1603" t="s">
        <v>2765</v>
      </c>
    </row>
    <row r="2187" spans="2:24" ht="15.6" customHeight="1" x14ac:dyDescent="0.2">
      <c r="B2187" s="48" t="s">
        <v>1419</v>
      </c>
      <c r="I2187" s="58">
        <v>0</v>
      </c>
      <c r="J2187" s="58"/>
      <c r="K2187" s="58">
        <v>0</v>
      </c>
      <c r="L2187" s="59"/>
      <c r="M2187" s="1133"/>
      <c r="N2187" s="1133"/>
      <c r="O2187" s="1146"/>
      <c r="P2187" s="1602" t="s">
        <v>3655</v>
      </c>
      <c r="Q2187" s="1603" t="s">
        <v>2763</v>
      </c>
      <c r="R2187" s="1602" t="s">
        <v>3651</v>
      </c>
      <c r="S2187" s="1603" t="s">
        <v>2765</v>
      </c>
    </row>
    <row r="2188" spans="2:24" ht="15.6" customHeight="1" x14ac:dyDescent="0.2">
      <c r="B2188" s="61" t="s">
        <v>1420</v>
      </c>
      <c r="I2188" s="58">
        <v>0</v>
      </c>
      <c r="J2188" s="58"/>
      <c r="K2188" s="58">
        <v>0</v>
      </c>
      <c r="L2188" s="59"/>
      <c r="M2188" s="1133"/>
      <c r="N2188" s="1133"/>
      <c r="O2188" s="1146"/>
      <c r="P2188" s="1602" t="s">
        <v>3656</v>
      </c>
      <c r="Q2188" s="1603" t="s">
        <v>2763</v>
      </c>
      <c r="R2188" s="1602" t="s">
        <v>3652</v>
      </c>
      <c r="S2188" s="1603" t="s">
        <v>2765</v>
      </c>
      <c r="V2188" s="234"/>
    </row>
    <row r="2189" spans="2:24" ht="15.6" customHeight="1" x14ac:dyDescent="0.2">
      <c r="B2189" s="61" t="s">
        <v>1421</v>
      </c>
      <c r="I2189" s="58">
        <f>'Trial Balance - FPer'!G816</f>
        <v>-585951</v>
      </c>
      <c r="J2189" s="58"/>
      <c r="K2189" s="58">
        <f>-K2185</f>
        <v>0</v>
      </c>
      <c r="L2189" s="59"/>
      <c r="M2189" s="1133"/>
      <c r="N2189" s="1133"/>
      <c r="O2189" s="1146"/>
      <c r="P2189" s="1602" t="s">
        <v>3657</v>
      </c>
      <c r="Q2189" s="1603" t="s">
        <v>2763</v>
      </c>
      <c r="R2189" s="1602" t="s">
        <v>3653</v>
      </c>
      <c r="S2189" s="1603" t="s">
        <v>2765</v>
      </c>
    </row>
    <row r="2190" spans="2:24" ht="15.6" customHeight="1" thickBot="1" x14ac:dyDescent="0.3">
      <c r="B2190" s="61" t="s">
        <v>7407</v>
      </c>
      <c r="I2190" s="202">
        <f>SUM(I2184:I2189)</f>
        <v>41049</v>
      </c>
      <c r="K2190" s="202">
        <f>SUM(K2184:K2189)</f>
        <v>0</v>
      </c>
      <c r="L2190" s="59"/>
      <c r="M2190" s="1274">
        <f>I2190</f>
        <v>41049</v>
      </c>
      <c r="N2190" s="1133"/>
      <c r="O2190" s="1146"/>
      <c r="P2190" s="1602"/>
      <c r="Q2190" s="1603"/>
      <c r="R2190" s="1602"/>
      <c r="S2190" s="1603"/>
    </row>
    <row r="2191" spans="2:24" ht="15.6" customHeight="1" thickTop="1" x14ac:dyDescent="0.25">
      <c r="I2191" s="265">
        <v>0</v>
      </c>
      <c r="J2191" s="58"/>
      <c r="K2191" s="265">
        <v>0</v>
      </c>
      <c r="L2191" s="59"/>
      <c r="M2191" s="1133"/>
      <c r="N2191" s="1133"/>
      <c r="O2191" s="1146"/>
      <c r="P2191" s="1602"/>
      <c r="Q2191" s="1603"/>
      <c r="R2191" s="1602"/>
      <c r="S2191" s="1603"/>
      <c r="X2191" s="50"/>
    </row>
    <row r="2192" spans="2:24" ht="30.95" customHeight="1" x14ac:dyDescent="0.2">
      <c r="B2192" s="2839" t="s">
        <v>2138</v>
      </c>
      <c r="C2192" s="2839"/>
      <c r="D2192" s="2839"/>
      <c r="E2192" s="2839"/>
      <c r="F2192" s="2839"/>
      <c r="G2192" s="2839"/>
      <c r="H2192" s="56"/>
      <c r="I2192" s="56"/>
      <c r="J2192" s="56"/>
      <c r="K2192" s="56"/>
      <c r="L2192" s="59"/>
      <c r="M2192" s="1214" t="s">
        <v>4022</v>
      </c>
      <c r="N2192" s="1133"/>
      <c r="O2192" s="1146"/>
      <c r="P2192" s="1602"/>
      <c r="Q2192" s="1603"/>
      <c r="R2192" s="1602"/>
      <c r="S2192" s="1603"/>
    </row>
    <row r="2193" spans="1:23" ht="15.6" hidden="1" customHeight="1" x14ac:dyDescent="0.2">
      <c r="I2193" s="58"/>
      <c r="J2193" s="58"/>
      <c r="K2193" s="58"/>
      <c r="L2193" s="59"/>
      <c r="M2193" s="1133"/>
      <c r="N2193" s="1133"/>
      <c r="O2193" s="1146"/>
      <c r="P2193" s="1602"/>
      <c r="Q2193" s="1603"/>
      <c r="R2193" s="1602"/>
      <c r="S2193" s="1603"/>
    </row>
    <row r="2194" spans="1:23" ht="15.6" hidden="1" customHeight="1" x14ac:dyDescent="0.2">
      <c r="A2194" s="655"/>
      <c r="B2194" s="1456" t="s">
        <v>6468</v>
      </c>
      <c r="C2194" s="655"/>
      <c r="D2194" s="656"/>
      <c r="E2194" s="655"/>
      <c r="F2194" s="656"/>
      <c r="G2194" s="656"/>
      <c r="H2194" s="656"/>
      <c r="I2194" s="658"/>
      <c r="J2194" s="658"/>
      <c r="K2194" s="658"/>
      <c r="L2194" s="1415"/>
      <c r="M2194" s="1133"/>
      <c r="N2194" s="1133"/>
      <c r="O2194" s="1146"/>
      <c r="P2194" s="1602"/>
      <c r="Q2194" s="1603"/>
      <c r="R2194" s="1602"/>
      <c r="S2194" s="1603"/>
      <c r="W2194" s="1114" t="s">
        <v>3857</v>
      </c>
    </row>
    <row r="2195" spans="1:23" ht="15.6" hidden="1" customHeight="1" x14ac:dyDescent="0.2">
      <c r="A2195" s="655"/>
      <c r="B2195" s="655"/>
      <c r="C2195" s="655"/>
      <c r="D2195" s="656"/>
      <c r="E2195" s="655"/>
      <c r="F2195" s="656"/>
      <c r="G2195" s="656"/>
      <c r="H2195" s="656"/>
      <c r="I2195" s="658"/>
      <c r="J2195" s="658"/>
      <c r="K2195" s="658"/>
      <c r="L2195" s="1415"/>
      <c r="M2195" s="1133"/>
      <c r="N2195" s="1133"/>
      <c r="O2195" s="1146"/>
      <c r="P2195" s="1602"/>
      <c r="Q2195" s="1603"/>
      <c r="R2195" s="1602"/>
      <c r="S2195" s="1603"/>
    </row>
    <row r="2196" spans="1:23" ht="15.6" hidden="1" customHeight="1" x14ac:dyDescent="0.2">
      <c r="A2196" s="655"/>
      <c r="B2196" s="1553" t="s">
        <v>1059</v>
      </c>
      <c r="C2196" s="655"/>
      <c r="D2196" s="656"/>
      <c r="E2196" s="655"/>
      <c r="F2196" s="656"/>
      <c r="G2196" s="656"/>
      <c r="H2196" s="656"/>
      <c r="I2196" s="658">
        <f>K2201</f>
        <v>0</v>
      </c>
      <c r="J2196" s="658"/>
      <c r="K2196" s="658">
        <v>0</v>
      </c>
      <c r="L2196" s="1415"/>
      <c r="M2196" s="1133"/>
      <c r="N2196" s="1133"/>
      <c r="O2196" s="1146"/>
      <c r="P2196" s="1602"/>
      <c r="Q2196" s="1603"/>
      <c r="R2196" s="1602" t="s">
        <v>3658</v>
      </c>
      <c r="S2196" s="1603" t="s">
        <v>2765</v>
      </c>
    </row>
    <row r="2197" spans="1:23" ht="15.6" hidden="1" customHeight="1" x14ac:dyDescent="0.2">
      <c r="A2197" s="655"/>
      <c r="B2197" s="1553" t="s">
        <v>1062</v>
      </c>
      <c r="C2197" s="655"/>
      <c r="D2197" s="656"/>
      <c r="E2197" s="655"/>
      <c r="F2197" s="656"/>
      <c r="G2197" s="656"/>
      <c r="H2197" s="656"/>
      <c r="I2197" s="658">
        <v>0</v>
      </c>
      <c r="J2197" s="658"/>
      <c r="K2197" s="658">
        <v>0</v>
      </c>
      <c r="L2197" s="1415"/>
      <c r="M2197" s="1133"/>
      <c r="N2197" s="1133"/>
      <c r="O2197" s="1146"/>
      <c r="P2197" s="1602" t="s">
        <v>3663</v>
      </c>
      <c r="Q2197" s="1603" t="s">
        <v>2763</v>
      </c>
      <c r="R2197" s="1602" t="s">
        <v>3659</v>
      </c>
      <c r="S2197" s="1603" t="s">
        <v>2765</v>
      </c>
    </row>
    <row r="2198" spans="1:23" ht="15.6" hidden="1" customHeight="1" x14ac:dyDescent="0.2">
      <c r="A2198" s="655"/>
      <c r="B2198" s="655" t="s">
        <v>1419</v>
      </c>
      <c r="C2198" s="655"/>
      <c r="D2198" s="656"/>
      <c r="E2198" s="655"/>
      <c r="F2198" s="656"/>
      <c r="G2198" s="656"/>
      <c r="H2198" s="656"/>
      <c r="I2198" s="658">
        <v>0</v>
      </c>
      <c r="J2198" s="658"/>
      <c r="K2198" s="658">
        <v>0</v>
      </c>
      <c r="L2198" s="1415"/>
      <c r="M2198" s="1133"/>
      <c r="N2198" s="1133"/>
      <c r="O2198" s="1146"/>
      <c r="P2198" s="1602" t="s">
        <v>3664</v>
      </c>
      <c r="Q2198" s="1603" t="s">
        <v>2763</v>
      </c>
      <c r="R2198" s="1602" t="s">
        <v>3660</v>
      </c>
      <c r="S2198" s="1603" t="s">
        <v>2765</v>
      </c>
    </row>
    <row r="2199" spans="1:23" ht="15.6" hidden="1" customHeight="1" x14ac:dyDescent="0.2">
      <c r="A2199" s="655"/>
      <c r="B2199" s="1553" t="s">
        <v>1420</v>
      </c>
      <c r="C2199" s="655"/>
      <c r="D2199" s="656"/>
      <c r="E2199" s="655"/>
      <c r="F2199" s="656"/>
      <c r="G2199" s="656"/>
      <c r="H2199" s="656"/>
      <c r="I2199" s="658">
        <v>0</v>
      </c>
      <c r="J2199" s="658"/>
      <c r="K2199" s="658">
        <v>0</v>
      </c>
      <c r="L2199" s="1415"/>
      <c r="M2199" s="1133"/>
      <c r="N2199" s="1133"/>
      <c r="O2199" s="1146"/>
      <c r="P2199" s="1602" t="s">
        <v>3665</v>
      </c>
      <c r="Q2199" s="1603" t="s">
        <v>2763</v>
      </c>
      <c r="R2199" s="1602" t="s">
        <v>3661</v>
      </c>
      <c r="S2199" s="1603" t="s">
        <v>2765</v>
      </c>
    </row>
    <row r="2200" spans="1:23" ht="15.6" hidden="1" customHeight="1" x14ac:dyDescent="0.2">
      <c r="A2200" s="655"/>
      <c r="B2200" s="1553" t="s">
        <v>1421</v>
      </c>
      <c r="C2200" s="655"/>
      <c r="D2200" s="656"/>
      <c r="E2200" s="655"/>
      <c r="F2200" s="656"/>
      <c r="G2200" s="656"/>
      <c r="H2200" s="656"/>
      <c r="I2200" s="658">
        <v>0</v>
      </c>
      <c r="J2200" s="658"/>
      <c r="K2200" s="658">
        <v>0</v>
      </c>
      <c r="L2200" s="1415"/>
      <c r="M2200" s="1133"/>
      <c r="N2200" s="1133"/>
      <c r="O2200" s="1146"/>
      <c r="P2200" s="1602" t="s">
        <v>3666</v>
      </c>
      <c r="Q2200" s="1603" t="s">
        <v>2763</v>
      </c>
      <c r="R2200" s="1602" t="s">
        <v>3662</v>
      </c>
      <c r="S2200" s="1603" t="s">
        <v>2765</v>
      </c>
    </row>
    <row r="2201" spans="1:23" ht="15.6" hidden="1" customHeight="1" thickBot="1" x14ac:dyDescent="0.3">
      <c r="A2201" s="655"/>
      <c r="B2201" s="1553" t="s">
        <v>2204</v>
      </c>
      <c r="C2201" s="655"/>
      <c r="D2201" s="656"/>
      <c r="E2201" s="655"/>
      <c r="F2201" s="656"/>
      <c r="G2201" s="656"/>
      <c r="H2201" s="656"/>
      <c r="I2201" s="1545">
        <f>SUM(I2195:I2200)</f>
        <v>0</v>
      </c>
      <c r="J2201" s="661"/>
      <c r="K2201" s="1545">
        <f>SUM(K2195:K2200)</f>
        <v>0</v>
      </c>
      <c r="L2201" s="1415"/>
      <c r="M2201" s="1133"/>
      <c r="N2201" s="1133"/>
      <c r="O2201" s="1146"/>
      <c r="P2201" s="1602"/>
      <c r="Q2201" s="1603"/>
      <c r="R2201" s="1602"/>
      <c r="S2201" s="1603"/>
    </row>
    <row r="2202" spans="1:23" ht="15.6" hidden="1" customHeight="1" thickTop="1" x14ac:dyDescent="0.2">
      <c r="A2202" s="655"/>
      <c r="B2202" s="655"/>
      <c r="C2202" s="655"/>
      <c r="D2202" s="656"/>
      <c r="E2202" s="655"/>
      <c r="F2202" s="656"/>
      <c r="G2202" s="656"/>
      <c r="H2202" s="656"/>
      <c r="I2202" s="1569">
        <v>0</v>
      </c>
      <c r="J2202" s="658"/>
      <c r="K2202" s="1569">
        <v>0</v>
      </c>
      <c r="L2202" s="1415"/>
      <c r="M2202" s="1133"/>
      <c r="N2202" s="1133"/>
      <c r="O2202" s="1146"/>
      <c r="P2202" s="1602"/>
      <c r="Q2202" s="1603"/>
      <c r="R2202" s="1602"/>
      <c r="S2202" s="1603"/>
    </row>
    <row r="2203" spans="1:23" ht="30.95" hidden="1" customHeight="1" x14ac:dyDescent="0.2">
      <c r="A2203" s="655"/>
      <c r="B2203" s="2868" t="s">
        <v>1707</v>
      </c>
      <c r="C2203" s="2868"/>
      <c r="D2203" s="2868"/>
      <c r="E2203" s="2868"/>
      <c r="F2203" s="2868"/>
      <c r="G2203" s="2868"/>
      <c r="H2203" s="1546"/>
      <c r="I2203" s="1546"/>
      <c r="J2203" s="1546"/>
      <c r="K2203" s="1546"/>
      <c r="L2203" s="1415"/>
      <c r="M2203" s="1214" t="s">
        <v>4022</v>
      </c>
      <c r="N2203" s="1133"/>
      <c r="O2203" s="1146"/>
      <c r="P2203" s="1602"/>
      <c r="Q2203" s="1603"/>
      <c r="R2203" s="1602"/>
      <c r="S2203" s="1603"/>
    </row>
    <row r="2204" spans="1:23" ht="15.6" hidden="1" customHeight="1" x14ac:dyDescent="0.2">
      <c r="A2204" s="655"/>
      <c r="B2204" s="655"/>
      <c r="C2204" s="655"/>
      <c r="D2204" s="656"/>
      <c r="E2204" s="655"/>
      <c r="F2204" s="656"/>
      <c r="G2204" s="656"/>
      <c r="H2204" s="656"/>
      <c r="I2204" s="658"/>
      <c r="J2204" s="658"/>
      <c r="K2204" s="658"/>
      <c r="L2204" s="1415"/>
      <c r="M2204" s="1133"/>
      <c r="N2204" s="1133"/>
      <c r="O2204" s="1146"/>
      <c r="P2204" s="1602"/>
      <c r="Q2204" s="1603"/>
      <c r="R2204" s="1602"/>
      <c r="S2204" s="1603"/>
    </row>
    <row r="2205" spans="1:23" ht="15.6" hidden="1" customHeight="1" x14ac:dyDescent="0.2">
      <c r="B2205" s="229" t="s">
        <v>4149</v>
      </c>
      <c r="I2205" s="58"/>
      <c r="J2205" s="58"/>
      <c r="K2205" s="58"/>
      <c r="L2205" s="59"/>
      <c r="M2205" s="1133"/>
      <c r="N2205" s="1133"/>
      <c r="O2205" s="1146"/>
      <c r="P2205" s="1600"/>
      <c r="Q2205" s="1601"/>
      <c r="R2205" s="1600"/>
      <c r="S2205" s="1601"/>
      <c r="W2205" s="1114" t="s">
        <v>3857</v>
      </c>
    </row>
    <row r="2206" spans="1:23" ht="15.6" hidden="1" customHeight="1" x14ac:dyDescent="0.2">
      <c r="I2206" s="58"/>
      <c r="J2206" s="58"/>
      <c r="K2206" s="58"/>
      <c r="L2206" s="59"/>
      <c r="M2206" s="1133"/>
      <c r="N2206" s="1133"/>
      <c r="O2206" s="1146"/>
      <c r="P2206" s="1600"/>
      <c r="Q2206" s="1601"/>
      <c r="R2206" s="1600"/>
      <c r="S2206" s="1601"/>
    </row>
    <row r="2207" spans="1:23" ht="15.6" hidden="1" customHeight="1" x14ac:dyDescent="0.2">
      <c r="B2207" s="61" t="s">
        <v>1059</v>
      </c>
      <c r="I2207" s="58">
        <f>K2212</f>
        <v>0</v>
      </c>
      <c r="J2207" s="58"/>
      <c r="K2207" s="58">
        <v>0</v>
      </c>
      <c r="L2207" s="59"/>
      <c r="M2207" s="1133"/>
      <c r="N2207" s="1133"/>
      <c r="O2207" s="1146"/>
      <c r="P2207" s="1600"/>
      <c r="Q2207" s="1601"/>
      <c r="R2207" s="1600" t="s">
        <v>3307</v>
      </c>
      <c r="S2207" s="1601" t="s">
        <v>2765</v>
      </c>
    </row>
    <row r="2208" spans="1:23" ht="15.6" hidden="1" customHeight="1" x14ac:dyDescent="0.2">
      <c r="B2208" s="61" t="s">
        <v>1062</v>
      </c>
      <c r="I2208" s="58">
        <v>0</v>
      </c>
      <c r="J2208" s="58"/>
      <c r="K2208" s="58">
        <v>0</v>
      </c>
      <c r="L2208" s="59"/>
      <c r="M2208" s="1133"/>
      <c r="N2208" s="1133"/>
      <c r="O2208" s="1146"/>
      <c r="P2208" s="1600" t="s">
        <v>3308</v>
      </c>
      <c r="Q2208" s="1601" t="s">
        <v>2763</v>
      </c>
      <c r="R2208" s="1600" t="s">
        <v>3309</v>
      </c>
      <c r="S2208" s="1601" t="s">
        <v>2765</v>
      </c>
    </row>
    <row r="2209" spans="1:23" ht="15.6" hidden="1" customHeight="1" x14ac:dyDescent="0.2">
      <c r="A2209" s="655"/>
      <c r="B2209" s="655" t="s">
        <v>1419</v>
      </c>
      <c r="C2209" s="655"/>
      <c r="D2209" s="656"/>
      <c r="E2209" s="655"/>
      <c r="F2209" s="656"/>
      <c r="G2209" s="656"/>
      <c r="H2209" s="656"/>
      <c r="I2209" s="658">
        <v>0</v>
      </c>
      <c r="J2209" s="658"/>
      <c r="K2209" s="658">
        <v>0</v>
      </c>
      <c r="L2209" s="1415"/>
      <c r="M2209" s="1133"/>
      <c r="N2209" s="1133"/>
      <c r="O2209" s="1146"/>
      <c r="P2209" s="1600" t="s">
        <v>3310</v>
      </c>
      <c r="Q2209" s="1601" t="s">
        <v>2763</v>
      </c>
      <c r="R2209" s="1600" t="s">
        <v>3311</v>
      </c>
      <c r="S2209" s="1601" t="s">
        <v>2765</v>
      </c>
    </row>
    <row r="2210" spans="1:23" ht="15.6" hidden="1" customHeight="1" x14ac:dyDescent="0.2">
      <c r="B2210" s="61" t="s">
        <v>1420</v>
      </c>
      <c r="I2210" s="58">
        <v>0</v>
      </c>
      <c r="J2210" s="58"/>
      <c r="K2210" s="58">
        <v>0</v>
      </c>
      <c r="L2210" s="59"/>
      <c r="M2210" s="1133"/>
      <c r="N2210" s="1133"/>
      <c r="O2210" s="1146"/>
      <c r="P2210" s="1600" t="s">
        <v>3312</v>
      </c>
      <c r="Q2210" s="1601" t="s">
        <v>2763</v>
      </c>
      <c r="R2210" s="1600" t="s">
        <v>3313</v>
      </c>
      <c r="S2210" s="1601" t="s">
        <v>2765</v>
      </c>
    </row>
    <row r="2211" spans="1:23" ht="15.6" hidden="1" customHeight="1" x14ac:dyDescent="0.2">
      <c r="B2211" s="61" t="s">
        <v>1421</v>
      </c>
      <c r="I2211" s="58">
        <v>0</v>
      </c>
      <c r="J2211" s="58"/>
      <c r="K2211" s="58">
        <v>0</v>
      </c>
      <c r="L2211" s="59"/>
      <c r="M2211" s="1133"/>
      <c r="N2211" s="1133"/>
      <c r="O2211" s="1146"/>
      <c r="P2211" s="1600" t="s">
        <v>3314</v>
      </c>
      <c r="Q2211" s="1601" t="s">
        <v>2763</v>
      </c>
      <c r="R2211" s="1600" t="s">
        <v>3315</v>
      </c>
      <c r="S2211" s="1601" t="s">
        <v>2765</v>
      </c>
    </row>
    <row r="2212" spans="1:23" ht="15.6" hidden="1" customHeight="1" thickBot="1" x14ac:dyDescent="0.3">
      <c r="B2212" s="61" t="s">
        <v>2204</v>
      </c>
      <c r="I2212" s="202">
        <f>SUM(I2206:I2211)</f>
        <v>0</v>
      </c>
      <c r="K2212" s="202">
        <f>SUM(K2206:K2211)</f>
        <v>0</v>
      </c>
      <c r="L2212" s="59"/>
      <c r="M2212" s="1133"/>
      <c r="N2212" s="1133"/>
      <c r="O2212" s="1146"/>
      <c r="P2212" s="1600"/>
      <c r="Q2212" s="1601"/>
      <c r="R2212" s="1600"/>
      <c r="S2212" s="1601"/>
    </row>
    <row r="2213" spans="1:23" ht="15.6" hidden="1" customHeight="1" thickTop="1" x14ac:dyDescent="0.2">
      <c r="I2213" s="265">
        <v>0</v>
      </c>
      <c r="J2213" s="58"/>
      <c r="K2213" s="265">
        <v>0</v>
      </c>
      <c r="L2213" s="59"/>
      <c r="M2213" s="1133"/>
      <c r="N2213" s="1133"/>
      <c r="O2213" s="1146"/>
      <c r="P2213" s="1600"/>
      <c r="Q2213" s="1601"/>
      <c r="R2213" s="1600"/>
      <c r="S2213" s="1601"/>
    </row>
    <row r="2214" spans="1:23" ht="15.6" hidden="1" customHeight="1" x14ac:dyDescent="0.2">
      <c r="B2214" s="2839" t="s">
        <v>2598</v>
      </c>
      <c r="C2214" s="2839"/>
      <c r="D2214" s="2839"/>
      <c r="E2214" s="2839"/>
      <c r="F2214" s="2839"/>
      <c r="G2214" s="2839"/>
      <c r="H2214" s="56"/>
      <c r="I2214" s="56"/>
      <c r="J2214" s="56"/>
      <c r="K2214" s="56"/>
      <c r="L2214" s="59"/>
      <c r="M2214" s="1214" t="s">
        <v>4022</v>
      </c>
      <c r="N2214" s="1133"/>
      <c r="O2214" s="1146"/>
      <c r="P2214" s="1602"/>
      <c r="Q2214" s="1603"/>
      <c r="R2214" s="1602"/>
      <c r="S2214" s="1603"/>
    </row>
    <row r="2215" spans="1:23" ht="15.6" customHeight="1" x14ac:dyDescent="0.2">
      <c r="I2215" s="58"/>
      <c r="J2215" s="58"/>
      <c r="K2215" s="58"/>
      <c r="L2215" s="59"/>
      <c r="M2215" s="1133"/>
      <c r="N2215" s="1133"/>
      <c r="O2215" s="1146"/>
      <c r="P2215" s="1602"/>
      <c r="Q2215" s="1603"/>
      <c r="R2215" s="1602"/>
      <c r="S2215" s="1603"/>
    </row>
    <row r="2216" spans="1:23" ht="15.6" hidden="1" customHeight="1" x14ac:dyDescent="0.2">
      <c r="B2216" s="229" t="s">
        <v>7576</v>
      </c>
      <c r="I2216" s="58"/>
      <c r="J2216" s="58"/>
      <c r="K2216" s="58"/>
      <c r="L2216" s="59"/>
      <c r="M2216" s="1133"/>
      <c r="N2216" s="1133"/>
      <c r="O2216" s="1146"/>
      <c r="P2216" s="1602"/>
      <c r="Q2216" s="1603"/>
      <c r="R2216" s="1602"/>
      <c r="S2216" s="1603"/>
      <c r="W2216" s="1114" t="s">
        <v>3857</v>
      </c>
    </row>
    <row r="2217" spans="1:23" ht="15.6" hidden="1" customHeight="1" x14ac:dyDescent="0.2">
      <c r="I2217" s="58"/>
      <c r="J2217" s="58"/>
      <c r="K2217" s="58"/>
      <c r="L2217" s="59"/>
      <c r="M2217" s="1133"/>
      <c r="N2217" s="1133"/>
      <c r="O2217" s="1146"/>
      <c r="P2217" s="1602"/>
      <c r="Q2217" s="1603"/>
      <c r="R2217" s="1602"/>
      <c r="S2217" s="1603"/>
    </row>
    <row r="2218" spans="1:23" ht="15.6" hidden="1" customHeight="1" x14ac:dyDescent="0.2">
      <c r="B2218" s="61" t="s">
        <v>1059</v>
      </c>
      <c r="I2218" s="58">
        <f>K2223</f>
        <v>0</v>
      </c>
      <c r="J2218" s="58"/>
      <c r="K2218" s="58">
        <v>0</v>
      </c>
      <c r="L2218" s="59"/>
      <c r="M2218" s="1133"/>
      <c r="N2218" s="1133"/>
      <c r="O2218" s="1146"/>
      <c r="P2218" s="1602"/>
      <c r="Q2218" s="1603"/>
      <c r="R2218" s="1602" t="s">
        <v>3667</v>
      </c>
      <c r="S2218" s="1603" t="s">
        <v>2765</v>
      </c>
    </row>
    <row r="2219" spans="1:23" ht="15.6" hidden="1" customHeight="1" x14ac:dyDescent="0.2">
      <c r="B2219" s="61" t="s">
        <v>1062</v>
      </c>
      <c r="I2219" s="58">
        <v>0</v>
      </c>
      <c r="J2219" s="58"/>
      <c r="K2219" s="58">
        <v>0</v>
      </c>
      <c r="L2219" s="59"/>
      <c r="M2219" s="1133"/>
      <c r="N2219" s="1133"/>
      <c r="O2219" s="1146"/>
      <c r="P2219" s="1602" t="s">
        <v>3672</v>
      </c>
      <c r="Q2219" s="1603" t="s">
        <v>2763</v>
      </c>
      <c r="R2219" s="1602" t="s">
        <v>3668</v>
      </c>
      <c r="S2219" s="1603" t="s">
        <v>2765</v>
      </c>
    </row>
    <row r="2220" spans="1:23" ht="15.6" hidden="1" customHeight="1" x14ac:dyDescent="0.2">
      <c r="B2220" s="48" t="s">
        <v>1419</v>
      </c>
      <c r="I2220" s="58">
        <v>0</v>
      </c>
      <c r="J2220" s="58"/>
      <c r="K2220" s="58">
        <v>0</v>
      </c>
      <c r="L2220" s="59"/>
      <c r="M2220" s="1133"/>
      <c r="N2220" s="1133"/>
      <c r="O2220" s="1146"/>
      <c r="P2220" s="1602" t="s">
        <v>3673</v>
      </c>
      <c r="Q2220" s="1603" t="s">
        <v>2763</v>
      </c>
      <c r="R2220" s="1602" t="s">
        <v>3669</v>
      </c>
      <c r="S2220" s="1603" t="s">
        <v>2765</v>
      </c>
    </row>
    <row r="2221" spans="1:23" ht="15.6" hidden="1" customHeight="1" x14ac:dyDescent="0.2">
      <c r="B2221" s="61" t="s">
        <v>1420</v>
      </c>
      <c r="I2221" s="58">
        <v>0</v>
      </c>
      <c r="J2221" s="58"/>
      <c r="K2221" s="58">
        <v>0</v>
      </c>
      <c r="L2221" s="59"/>
      <c r="M2221" s="1133"/>
      <c r="N2221" s="1133"/>
      <c r="O2221" s="1146"/>
      <c r="P2221" s="1602" t="s">
        <v>3674</v>
      </c>
      <c r="Q2221" s="1603" t="s">
        <v>2763</v>
      </c>
      <c r="R2221" s="1602" t="s">
        <v>3670</v>
      </c>
      <c r="S2221" s="1603" t="s">
        <v>2765</v>
      </c>
    </row>
    <row r="2222" spans="1:23" ht="15.6" hidden="1" customHeight="1" x14ac:dyDescent="0.2">
      <c r="B2222" s="61" t="s">
        <v>1421</v>
      </c>
      <c r="I2222" s="58">
        <v>0</v>
      </c>
      <c r="J2222" s="58"/>
      <c r="K2222" s="58">
        <v>0</v>
      </c>
      <c r="L2222" s="59"/>
      <c r="M2222" s="1133"/>
      <c r="N2222" s="1133"/>
      <c r="O2222" s="1146"/>
      <c r="P2222" s="1602" t="s">
        <v>3675</v>
      </c>
      <c r="Q2222" s="1603" t="s">
        <v>2763</v>
      </c>
      <c r="R2222" s="1602" t="s">
        <v>3671</v>
      </c>
      <c r="S2222" s="1603" t="s">
        <v>2765</v>
      </c>
    </row>
    <row r="2223" spans="1:23" ht="15.6" hidden="1" customHeight="1" thickBot="1" x14ac:dyDescent="0.3">
      <c r="B2223" s="61" t="s">
        <v>7407</v>
      </c>
      <c r="I2223" s="202">
        <f>SUM(I2217:I2222)</f>
        <v>0</v>
      </c>
      <c r="K2223" s="202">
        <f>SUM(K2217:K2222)</f>
        <v>0</v>
      </c>
      <c r="L2223" s="59"/>
      <c r="M2223" s="1133"/>
      <c r="N2223" s="1133"/>
      <c r="O2223" s="1146"/>
      <c r="P2223" s="1602"/>
      <c r="Q2223" s="1603"/>
      <c r="R2223" s="1602"/>
      <c r="S2223" s="1603"/>
    </row>
    <row r="2224" spans="1:23" ht="15.6" hidden="1" customHeight="1" thickTop="1" x14ac:dyDescent="0.2">
      <c r="I2224" s="265">
        <v>0</v>
      </c>
      <c r="J2224" s="58"/>
      <c r="K2224" s="265">
        <v>0</v>
      </c>
      <c r="L2224" s="59"/>
      <c r="M2224" s="1133"/>
      <c r="N2224" s="1133"/>
      <c r="O2224" s="1146"/>
      <c r="P2224" s="1602"/>
      <c r="Q2224" s="1603"/>
      <c r="R2224" s="1602"/>
      <c r="S2224" s="1603"/>
    </row>
    <row r="2225" spans="2:23" ht="45" hidden="1" customHeight="1" x14ac:dyDescent="0.2">
      <c r="B2225" s="2840" t="s">
        <v>6470</v>
      </c>
      <c r="C2225" s="2840"/>
      <c r="D2225" s="2840"/>
      <c r="E2225" s="2840"/>
      <c r="F2225" s="2840"/>
      <c r="G2225" s="2840"/>
      <c r="H2225" s="56"/>
      <c r="I2225" s="56"/>
      <c r="J2225" s="56"/>
      <c r="K2225" s="56"/>
      <c r="L2225" s="59"/>
      <c r="M2225" s="1214" t="s">
        <v>4022</v>
      </c>
      <c r="N2225" s="1133"/>
      <c r="O2225" s="1146"/>
      <c r="P2225" s="1602"/>
      <c r="Q2225" s="1603"/>
      <c r="R2225" s="1602"/>
      <c r="S2225" s="1603"/>
    </row>
    <row r="2226" spans="2:23" ht="15.6" hidden="1" customHeight="1" x14ac:dyDescent="0.2">
      <c r="I2226" s="58"/>
      <c r="J2226" s="58"/>
      <c r="K2226" s="58"/>
      <c r="L2226" s="59"/>
      <c r="M2226" s="1133"/>
      <c r="N2226" s="1133"/>
      <c r="O2226" s="1146"/>
      <c r="P2226" s="1602"/>
      <c r="Q2226" s="1603"/>
      <c r="R2226" s="1602"/>
      <c r="S2226" s="1603"/>
    </row>
    <row r="2227" spans="2:23" ht="15.6" hidden="1" customHeight="1" x14ac:dyDescent="0.2">
      <c r="B2227" s="229" t="s">
        <v>6493</v>
      </c>
      <c r="I2227" s="58"/>
      <c r="J2227" s="58"/>
      <c r="K2227" s="58"/>
      <c r="L2227" s="59"/>
      <c r="M2227" s="1133"/>
      <c r="N2227" s="1133"/>
      <c r="O2227" s="1146"/>
      <c r="P2227" s="1602"/>
      <c r="Q2227" s="1603"/>
      <c r="R2227" s="1602"/>
      <c r="S2227" s="1603"/>
      <c r="W2227" s="1114" t="s">
        <v>3857</v>
      </c>
    </row>
    <row r="2228" spans="2:23" ht="15.6" hidden="1" customHeight="1" x14ac:dyDescent="0.2">
      <c r="I2228" s="58"/>
      <c r="J2228" s="58"/>
      <c r="K2228" s="58"/>
      <c r="L2228" s="59"/>
      <c r="M2228" s="1133"/>
      <c r="N2228" s="1133"/>
      <c r="O2228" s="1146"/>
      <c r="P2228" s="1602"/>
      <c r="Q2228" s="1603"/>
      <c r="R2228" s="1602"/>
      <c r="S2228" s="1603"/>
    </row>
    <row r="2229" spans="2:23" ht="15.6" hidden="1" customHeight="1" x14ac:dyDescent="0.2">
      <c r="B2229" s="61" t="s">
        <v>1059</v>
      </c>
      <c r="I2229" s="2043">
        <f>K2234</f>
        <v>0</v>
      </c>
      <c r="J2229" s="58"/>
      <c r="K2229" s="2043">
        <v>0</v>
      </c>
      <c r="L2229" s="59"/>
      <c r="M2229" s="1133"/>
      <c r="N2229" s="1133"/>
      <c r="O2229" s="1146"/>
      <c r="P2229" s="1602"/>
      <c r="Q2229" s="1603"/>
      <c r="R2229" s="1602" t="s">
        <v>3325</v>
      </c>
      <c r="S2229" s="1603" t="s">
        <v>2765</v>
      </c>
    </row>
    <row r="2230" spans="2:23" ht="15.6" hidden="1" customHeight="1" x14ac:dyDescent="0.2">
      <c r="B2230" s="61" t="s">
        <v>1062</v>
      </c>
      <c r="I2230" s="2043">
        <v>0</v>
      </c>
      <c r="J2230" s="58"/>
      <c r="K2230" s="2043">
        <v>0</v>
      </c>
      <c r="L2230" s="59"/>
      <c r="M2230" s="1133"/>
      <c r="N2230" s="1133"/>
      <c r="O2230" s="1146"/>
      <c r="P2230" s="1602" t="s">
        <v>3326</v>
      </c>
      <c r="Q2230" s="1603" t="s">
        <v>2763</v>
      </c>
      <c r="R2230" s="1602" t="s">
        <v>3327</v>
      </c>
      <c r="S2230" s="1603" t="s">
        <v>2765</v>
      </c>
    </row>
    <row r="2231" spans="2:23" ht="15.6" hidden="1" customHeight="1" x14ac:dyDescent="0.2">
      <c r="B2231" s="48" t="s">
        <v>1419</v>
      </c>
      <c r="I2231" s="2043">
        <v>0</v>
      </c>
      <c r="J2231" s="58"/>
      <c r="K2231" s="2043">
        <v>0</v>
      </c>
      <c r="L2231" s="59"/>
      <c r="M2231" s="1133"/>
      <c r="N2231" s="1133"/>
      <c r="O2231" s="1146"/>
      <c r="P2231" s="1602" t="s">
        <v>3328</v>
      </c>
      <c r="Q2231" s="1603" t="s">
        <v>2763</v>
      </c>
      <c r="R2231" s="1602" t="s">
        <v>3329</v>
      </c>
      <c r="S2231" s="1603" t="s">
        <v>2765</v>
      </c>
    </row>
    <row r="2232" spans="2:23" ht="15.6" hidden="1" customHeight="1" x14ac:dyDescent="0.2">
      <c r="B2232" s="61" t="s">
        <v>1420</v>
      </c>
      <c r="I2232" s="2043">
        <v>0</v>
      </c>
      <c r="J2232" s="58"/>
      <c r="K2232" s="2043">
        <v>0</v>
      </c>
      <c r="L2232" s="59"/>
      <c r="M2232" s="1133"/>
      <c r="N2232" s="1133"/>
      <c r="O2232" s="1146"/>
      <c r="P2232" s="1602" t="s">
        <v>3330</v>
      </c>
      <c r="Q2232" s="1603" t="s">
        <v>2763</v>
      </c>
      <c r="R2232" s="1602" t="s">
        <v>3331</v>
      </c>
      <c r="S2232" s="1603" t="s">
        <v>2765</v>
      </c>
    </row>
    <row r="2233" spans="2:23" ht="15.6" hidden="1" customHeight="1" x14ac:dyDescent="0.2">
      <c r="B2233" s="61" t="s">
        <v>1421</v>
      </c>
      <c r="I2233" s="2043">
        <v>0</v>
      </c>
      <c r="J2233" s="58"/>
      <c r="K2233" s="2043">
        <v>0</v>
      </c>
      <c r="L2233" s="59"/>
      <c r="M2233" s="1133"/>
      <c r="N2233" s="1133"/>
      <c r="O2233" s="1146"/>
      <c r="P2233" s="1602" t="s">
        <v>3332</v>
      </c>
      <c r="Q2233" s="1603" t="s">
        <v>2763</v>
      </c>
      <c r="R2233" s="1602" t="s">
        <v>3333</v>
      </c>
      <c r="S2233" s="1603" t="s">
        <v>2765</v>
      </c>
    </row>
    <row r="2234" spans="2:23" ht="15.6" hidden="1" customHeight="1" thickBot="1" x14ac:dyDescent="0.3">
      <c r="B2234" s="61" t="s">
        <v>2204</v>
      </c>
      <c r="I2234" s="202">
        <f>SUM(I2228:I2233)</f>
        <v>0</v>
      </c>
      <c r="K2234" s="202">
        <f>SUM(K2228:K2233)</f>
        <v>0</v>
      </c>
      <c r="L2234" s="59"/>
      <c r="M2234" s="1133"/>
      <c r="N2234" s="1133"/>
      <c r="O2234" s="1146"/>
      <c r="P2234" s="1602"/>
      <c r="Q2234" s="1603"/>
      <c r="R2234" s="1602"/>
      <c r="S2234" s="1603"/>
    </row>
    <row r="2235" spans="2:23" ht="15.6" hidden="1" customHeight="1" thickTop="1" x14ac:dyDescent="0.2">
      <c r="I2235" s="265">
        <v>0</v>
      </c>
      <c r="J2235" s="58"/>
      <c r="K2235" s="265">
        <v>0</v>
      </c>
      <c r="L2235" s="59"/>
      <c r="M2235" s="1133"/>
      <c r="N2235" s="1133"/>
      <c r="O2235" s="1146"/>
      <c r="P2235" s="1602"/>
      <c r="Q2235" s="1603"/>
      <c r="R2235" s="1602"/>
      <c r="S2235" s="1603"/>
    </row>
    <row r="2236" spans="2:23" ht="45" hidden="1" customHeight="1" x14ac:dyDescent="0.2">
      <c r="B2236" s="2840" t="s">
        <v>6470</v>
      </c>
      <c r="C2236" s="2840"/>
      <c r="D2236" s="2840"/>
      <c r="E2236" s="2840"/>
      <c r="F2236" s="2840"/>
      <c r="G2236" s="2840"/>
      <c r="H2236" s="56"/>
      <c r="I2236" s="56"/>
      <c r="J2236" s="56"/>
      <c r="K2236" s="56"/>
      <c r="L2236" s="59"/>
      <c r="M2236" s="1214" t="s">
        <v>4022</v>
      </c>
      <c r="N2236" s="1133"/>
      <c r="O2236" s="1146"/>
      <c r="P2236" s="1602"/>
      <c r="Q2236" s="1603"/>
      <c r="R2236" s="1602"/>
      <c r="S2236" s="1603"/>
    </row>
    <row r="2237" spans="2:23" ht="15.6" hidden="1" customHeight="1" x14ac:dyDescent="0.2">
      <c r="I2237" s="58"/>
      <c r="J2237" s="58"/>
      <c r="K2237" s="58"/>
      <c r="L2237" s="59"/>
      <c r="M2237" s="1133"/>
      <c r="N2237" s="1133"/>
      <c r="O2237" s="1146"/>
      <c r="P2237" s="1602"/>
      <c r="Q2237" s="1603"/>
      <c r="R2237" s="1602"/>
      <c r="S2237" s="1603"/>
    </row>
    <row r="2238" spans="2:23" ht="15.6" hidden="1" customHeight="1" x14ac:dyDescent="0.2">
      <c r="B2238" s="229" t="s">
        <v>6494</v>
      </c>
      <c r="I2238" s="58"/>
      <c r="J2238" s="58"/>
      <c r="K2238" s="58"/>
      <c r="L2238" s="59"/>
      <c r="M2238" s="1133"/>
      <c r="N2238" s="1133"/>
      <c r="O2238" s="1146"/>
      <c r="P2238" s="1602"/>
      <c r="Q2238" s="1603"/>
      <c r="R2238" s="1602"/>
      <c r="S2238" s="1603"/>
      <c r="W2238" s="1114" t="s">
        <v>3857</v>
      </c>
    </row>
    <row r="2239" spans="2:23" ht="15.6" hidden="1" customHeight="1" x14ac:dyDescent="0.2">
      <c r="I2239" s="58"/>
      <c r="J2239" s="58"/>
      <c r="K2239" s="58"/>
      <c r="L2239" s="59"/>
      <c r="M2239" s="1133"/>
      <c r="N2239" s="1133"/>
      <c r="O2239" s="1146"/>
      <c r="P2239" s="1602"/>
      <c r="Q2239" s="1603"/>
      <c r="R2239" s="1602"/>
      <c r="S2239" s="1603"/>
    </row>
    <row r="2240" spans="2:23" ht="15.6" hidden="1" customHeight="1" x14ac:dyDescent="0.2">
      <c r="B2240" s="61" t="s">
        <v>1059</v>
      </c>
      <c r="I2240" s="2043">
        <f>K2245</f>
        <v>0</v>
      </c>
      <c r="J2240" s="58"/>
      <c r="K2240" s="2043">
        <v>0</v>
      </c>
      <c r="L2240" s="59"/>
      <c r="M2240" s="1133"/>
      <c r="N2240" s="1133"/>
      <c r="O2240" s="1146"/>
      <c r="P2240" s="1602"/>
      <c r="Q2240" s="1603"/>
      <c r="R2240" s="1602"/>
      <c r="S2240" s="1603"/>
    </row>
    <row r="2241" spans="2:23" ht="15.6" hidden="1" customHeight="1" x14ac:dyDescent="0.2">
      <c r="B2241" s="61" t="s">
        <v>1062</v>
      </c>
      <c r="I2241" s="2043">
        <v>0</v>
      </c>
      <c r="J2241" s="58"/>
      <c r="K2241" s="2043">
        <v>0</v>
      </c>
      <c r="L2241" s="59"/>
      <c r="M2241" s="1133"/>
      <c r="N2241" s="1133"/>
      <c r="O2241" s="1146"/>
      <c r="P2241" s="1602"/>
      <c r="Q2241" s="1603"/>
      <c r="R2241" s="1602"/>
      <c r="S2241" s="1603"/>
    </row>
    <row r="2242" spans="2:23" ht="15.6" hidden="1" customHeight="1" x14ac:dyDescent="0.2">
      <c r="B2242" s="48" t="s">
        <v>1419</v>
      </c>
      <c r="I2242" s="2043">
        <v>0</v>
      </c>
      <c r="J2242" s="58"/>
      <c r="K2242" s="2043">
        <v>0</v>
      </c>
      <c r="L2242" s="59"/>
      <c r="M2242" s="1133"/>
      <c r="N2242" s="1133"/>
      <c r="O2242" s="1146"/>
      <c r="P2242" s="1602"/>
      <c r="Q2242" s="1603"/>
      <c r="R2242" s="1602"/>
      <c r="S2242" s="1603"/>
    </row>
    <row r="2243" spans="2:23" ht="15.6" hidden="1" customHeight="1" x14ac:dyDescent="0.2">
      <c r="B2243" s="61" t="s">
        <v>1420</v>
      </c>
      <c r="I2243" s="2043">
        <v>0</v>
      </c>
      <c r="J2243" s="58"/>
      <c r="K2243" s="2043">
        <v>0</v>
      </c>
      <c r="L2243" s="59"/>
      <c r="M2243" s="1133"/>
      <c r="N2243" s="1133"/>
      <c r="O2243" s="1146"/>
      <c r="P2243" s="1602"/>
      <c r="Q2243" s="1603"/>
      <c r="R2243" s="1602"/>
      <c r="S2243" s="1603"/>
    </row>
    <row r="2244" spans="2:23" ht="15.6" hidden="1" customHeight="1" x14ac:dyDescent="0.2">
      <c r="B2244" s="61" t="s">
        <v>1421</v>
      </c>
      <c r="I2244" s="2043">
        <v>0</v>
      </c>
      <c r="J2244" s="58"/>
      <c r="K2244" s="2043">
        <v>0</v>
      </c>
      <c r="L2244" s="59"/>
      <c r="M2244" s="1133"/>
      <c r="N2244" s="1133"/>
      <c r="O2244" s="1146"/>
      <c r="P2244" s="1602"/>
      <c r="Q2244" s="1603"/>
      <c r="R2244" s="1602"/>
      <c r="S2244" s="1603"/>
    </row>
    <row r="2245" spans="2:23" ht="15.6" hidden="1" customHeight="1" thickBot="1" x14ac:dyDescent="0.3">
      <c r="B2245" s="61" t="s">
        <v>2204</v>
      </c>
      <c r="I2245" s="202">
        <f>SUM(I2239:I2244)</f>
        <v>0</v>
      </c>
      <c r="K2245" s="202">
        <f>SUM(K2239:K2244)</f>
        <v>0</v>
      </c>
      <c r="L2245" s="59"/>
      <c r="M2245" s="1133"/>
      <c r="N2245" s="1133"/>
      <c r="O2245" s="1146"/>
      <c r="P2245" s="1602"/>
      <c r="Q2245" s="1603"/>
      <c r="R2245" s="1602"/>
      <c r="S2245" s="1603"/>
    </row>
    <row r="2246" spans="2:23" ht="15.6" hidden="1" customHeight="1" thickTop="1" x14ac:dyDescent="0.2">
      <c r="I2246" s="265">
        <v>0</v>
      </c>
      <c r="J2246" s="58"/>
      <c r="K2246" s="265">
        <v>0</v>
      </c>
      <c r="L2246" s="59"/>
      <c r="M2246" s="1133"/>
      <c r="N2246" s="1133"/>
      <c r="O2246" s="1146"/>
      <c r="P2246" s="1602"/>
      <c r="Q2246" s="1603"/>
      <c r="R2246" s="1602"/>
      <c r="S2246" s="1603"/>
    </row>
    <row r="2247" spans="2:23" ht="45" hidden="1" customHeight="1" x14ac:dyDescent="0.2">
      <c r="B2247" s="2840" t="s">
        <v>6469</v>
      </c>
      <c r="C2247" s="2840"/>
      <c r="D2247" s="2840"/>
      <c r="E2247" s="2840"/>
      <c r="F2247" s="2840"/>
      <c r="G2247" s="2840"/>
      <c r="H2247" s="56"/>
      <c r="I2247" s="56"/>
      <c r="J2247" s="56"/>
      <c r="K2247" s="56"/>
      <c r="L2247" s="59"/>
      <c r="M2247" s="1214" t="s">
        <v>4022</v>
      </c>
      <c r="N2247" s="1133"/>
      <c r="O2247" s="1146"/>
      <c r="P2247" s="1602"/>
      <c r="Q2247" s="1603"/>
      <c r="R2247" s="1602"/>
      <c r="S2247" s="1603"/>
    </row>
    <row r="2248" spans="2:23" ht="15.6" hidden="1" customHeight="1" x14ac:dyDescent="0.2">
      <c r="I2248" s="58"/>
      <c r="J2248" s="58"/>
      <c r="K2248" s="58"/>
      <c r="L2248" s="59"/>
      <c r="M2248" s="1133"/>
      <c r="N2248" s="1133"/>
      <c r="O2248" s="1146"/>
      <c r="P2248" s="1602"/>
      <c r="Q2248" s="1603"/>
      <c r="R2248" s="1602"/>
      <c r="S2248" s="1603"/>
    </row>
    <row r="2249" spans="2:23" ht="15.6" hidden="1" customHeight="1" x14ac:dyDescent="0.2">
      <c r="B2249" s="229" t="s">
        <v>6495</v>
      </c>
      <c r="I2249" s="58"/>
      <c r="J2249" s="58"/>
      <c r="K2249" s="58"/>
      <c r="L2249" s="59"/>
      <c r="M2249" s="1133"/>
      <c r="N2249" s="1133"/>
      <c r="O2249" s="1146"/>
      <c r="P2249" s="1602"/>
      <c r="Q2249" s="1603"/>
      <c r="R2249" s="1602"/>
      <c r="S2249" s="1603"/>
      <c r="W2249" s="1114" t="s">
        <v>3857</v>
      </c>
    </row>
    <row r="2250" spans="2:23" ht="15.6" hidden="1" customHeight="1" x14ac:dyDescent="0.2">
      <c r="I2250" s="58"/>
      <c r="J2250" s="58"/>
      <c r="K2250" s="58"/>
      <c r="L2250" s="59"/>
      <c r="M2250" s="1133"/>
      <c r="N2250" s="1133"/>
      <c r="O2250" s="1146"/>
      <c r="P2250" s="1602"/>
      <c r="Q2250" s="1603"/>
      <c r="R2250" s="1602"/>
      <c r="S2250" s="1603"/>
    </row>
    <row r="2251" spans="2:23" ht="15.6" hidden="1" customHeight="1" x14ac:dyDescent="0.2">
      <c r="B2251" s="61" t="s">
        <v>1059</v>
      </c>
      <c r="I2251" s="2043">
        <f>K2256</f>
        <v>0</v>
      </c>
      <c r="J2251" s="58"/>
      <c r="K2251" s="2043">
        <v>0</v>
      </c>
      <c r="L2251" s="59"/>
      <c r="M2251" s="1133"/>
      <c r="N2251" s="1133"/>
      <c r="O2251" s="1146"/>
      <c r="P2251" s="1602"/>
      <c r="Q2251" s="1603"/>
      <c r="R2251" s="1602"/>
      <c r="S2251" s="1603"/>
    </row>
    <row r="2252" spans="2:23" ht="15.6" hidden="1" customHeight="1" x14ac:dyDescent="0.2">
      <c r="B2252" s="61" t="s">
        <v>1062</v>
      </c>
      <c r="I2252" s="2043">
        <v>0</v>
      </c>
      <c r="J2252" s="58"/>
      <c r="K2252" s="2043">
        <v>0</v>
      </c>
      <c r="L2252" s="59"/>
      <c r="M2252" s="1133"/>
      <c r="N2252" s="1133"/>
      <c r="O2252" s="1146"/>
      <c r="P2252" s="1602"/>
      <c r="Q2252" s="1603"/>
      <c r="R2252" s="1602"/>
      <c r="S2252" s="1603"/>
    </row>
    <row r="2253" spans="2:23" ht="15.6" hidden="1" customHeight="1" x14ac:dyDescent="0.2">
      <c r="B2253" s="48" t="s">
        <v>1419</v>
      </c>
      <c r="I2253" s="2043">
        <v>0</v>
      </c>
      <c r="J2253" s="58"/>
      <c r="K2253" s="2043">
        <v>0</v>
      </c>
      <c r="L2253" s="59"/>
      <c r="M2253" s="1133"/>
      <c r="N2253" s="1133"/>
      <c r="O2253" s="1146"/>
      <c r="P2253" s="1602"/>
      <c r="Q2253" s="1603"/>
      <c r="R2253" s="1602"/>
      <c r="S2253" s="1603"/>
    </row>
    <row r="2254" spans="2:23" ht="15.6" hidden="1" customHeight="1" x14ac:dyDescent="0.2">
      <c r="B2254" s="61" t="s">
        <v>1420</v>
      </c>
      <c r="I2254" s="2043">
        <v>0</v>
      </c>
      <c r="J2254" s="58"/>
      <c r="K2254" s="2043">
        <v>0</v>
      </c>
      <c r="L2254" s="59"/>
      <c r="M2254" s="1133"/>
      <c r="N2254" s="1133"/>
      <c r="O2254" s="1146"/>
      <c r="P2254" s="1602"/>
      <c r="Q2254" s="1603"/>
      <c r="R2254" s="1602"/>
      <c r="S2254" s="1603"/>
    </row>
    <row r="2255" spans="2:23" ht="15.6" hidden="1" customHeight="1" x14ac:dyDescent="0.2">
      <c r="B2255" s="61" t="s">
        <v>1421</v>
      </c>
      <c r="I2255" s="2043">
        <v>0</v>
      </c>
      <c r="J2255" s="58"/>
      <c r="K2255" s="2043">
        <v>0</v>
      </c>
      <c r="L2255" s="59"/>
      <c r="M2255" s="1133"/>
      <c r="N2255" s="1133"/>
      <c r="O2255" s="1146"/>
      <c r="P2255" s="1602"/>
      <c r="Q2255" s="1603"/>
      <c r="R2255" s="1602"/>
      <c r="S2255" s="1603"/>
    </row>
    <row r="2256" spans="2:23" ht="15.6" hidden="1" customHeight="1" thickBot="1" x14ac:dyDescent="0.3">
      <c r="B2256" s="61" t="s">
        <v>2204</v>
      </c>
      <c r="I2256" s="202">
        <f>SUM(I2250:I2255)</f>
        <v>0</v>
      </c>
      <c r="K2256" s="202">
        <f>SUM(K2250:K2255)</f>
        <v>0</v>
      </c>
      <c r="L2256" s="59"/>
      <c r="M2256" s="1133"/>
      <c r="N2256" s="1133"/>
      <c r="O2256" s="1146"/>
      <c r="P2256" s="1602"/>
      <c r="Q2256" s="1603"/>
      <c r="R2256" s="1602"/>
      <c r="S2256" s="1603"/>
    </row>
    <row r="2257" spans="2:23" ht="15.6" hidden="1" customHeight="1" thickTop="1" x14ac:dyDescent="0.2">
      <c r="B2257" s="61"/>
      <c r="I2257" s="265">
        <v>0</v>
      </c>
      <c r="K2257" s="265">
        <v>0</v>
      </c>
      <c r="L2257" s="59"/>
      <c r="M2257" s="1133"/>
      <c r="N2257" s="1133"/>
      <c r="O2257" s="1146"/>
      <c r="P2257" s="1602"/>
      <c r="Q2257" s="1603"/>
      <c r="R2257" s="1602"/>
      <c r="S2257" s="1603"/>
    </row>
    <row r="2258" spans="2:23" ht="45" hidden="1" customHeight="1" x14ac:dyDescent="0.2">
      <c r="B2258" s="2840" t="s">
        <v>6469</v>
      </c>
      <c r="C2258" s="2840"/>
      <c r="D2258" s="2840"/>
      <c r="E2258" s="2840"/>
      <c r="F2258" s="2840"/>
      <c r="G2258" s="2840"/>
      <c r="H2258" s="56"/>
      <c r="I2258" s="56"/>
      <c r="J2258" s="56"/>
      <c r="K2258" s="56"/>
      <c r="L2258" s="59"/>
      <c r="M2258" s="1214" t="s">
        <v>4022</v>
      </c>
      <c r="N2258" s="1133"/>
      <c r="O2258" s="1146"/>
      <c r="P2258" s="1602"/>
      <c r="Q2258" s="1603"/>
      <c r="R2258" s="1602"/>
      <c r="S2258" s="1603"/>
    </row>
    <row r="2259" spans="2:23" ht="15.6" hidden="1" customHeight="1" x14ac:dyDescent="0.2">
      <c r="I2259" s="58"/>
      <c r="J2259" s="58"/>
      <c r="K2259" s="58"/>
      <c r="L2259" s="59"/>
      <c r="M2259" s="1133"/>
      <c r="N2259" s="1133"/>
      <c r="O2259" s="1146"/>
      <c r="P2259" s="1602"/>
      <c r="Q2259" s="1603"/>
      <c r="R2259" s="1602"/>
      <c r="S2259" s="1603"/>
    </row>
    <row r="2260" spans="2:23" ht="15.6" hidden="1" customHeight="1" x14ac:dyDescent="0.2">
      <c r="B2260" s="229" t="s">
        <v>6496</v>
      </c>
      <c r="I2260" s="58"/>
      <c r="J2260" s="58"/>
      <c r="K2260" s="58"/>
      <c r="L2260" s="59"/>
      <c r="M2260" s="1133"/>
      <c r="N2260" s="1133"/>
      <c r="O2260" s="1146"/>
      <c r="P2260" s="1602"/>
      <c r="Q2260" s="1603"/>
      <c r="R2260" s="1602"/>
      <c r="S2260" s="1603"/>
      <c r="W2260" s="1114" t="s">
        <v>3857</v>
      </c>
    </row>
    <row r="2261" spans="2:23" ht="15.6" hidden="1" customHeight="1" x14ac:dyDescent="0.2">
      <c r="I2261" s="58"/>
      <c r="J2261" s="58"/>
      <c r="K2261" s="58"/>
      <c r="L2261" s="59"/>
      <c r="M2261" s="1133"/>
      <c r="N2261" s="1133"/>
      <c r="O2261" s="1146"/>
      <c r="P2261" s="1602"/>
      <c r="Q2261" s="1603"/>
      <c r="R2261" s="1602"/>
      <c r="S2261" s="1603"/>
    </row>
    <row r="2262" spans="2:23" ht="15.6" hidden="1" customHeight="1" x14ac:dyDescent="0.2">
      <c r="B2262" s="61" t="s">
        <v>1059</v>
      </c>
      <c r="I2262" s="2043">
        <f>K2267</f>
        <v>0</v>
      </c>
      <c r="J2262" s="58"/>
      <c r="K2262" s="2043">
        <v>0</v>
      </c>
      <c r="L2262" s="59"/>
      <c r="M2262" s="1133"/>
      <c r="N2262" s="1133"/>
      <c r="O2262" s="1146"/>
      <c r="P2262" s="1602"/>
      <c r="Q2262" s="1603"/>
      <c r="R2262" s="1602"/>
      <c r="S2262" s="1603"/>
    </row>
    <row r="2263" spans="2:23" ht="15.6" hidden="1" customHeight="1" x14ac:dyDescent="0.2">
      <c r="B2263" s="61" t="s">
        <v>1062</v>
      </c>
      <c r="I2263" s="2043">
        <v>0</v>
      </c>
      <c r="J2263" s="58"/>
      <c r="K2263" s="2043">
        <v>0</v>
      </c>
      <c r="L2263" s="59"/>
      <c r="M2263" s="1133"/>
      <c r="N2263" s="1133"/>
      <c r="O2263" s="1146"/>
      <c r="P2263" s="1602"/>
      <c r="Q2263" s="1603"/>
      <c r="R2263" s="1602"/>
      <c r="S2263" s="1603"/>
    </row>
    <row r="2264" spans="2:23" ht="15.6" hidden="1" customHeight="1" x14ac:dyDescent="0.2">
      <c r="B2264" s="48" t="s">
        <v>1419</v>
      </c>
      <c r="I2264" s="2043">
        <v>0</v>
      </c>
      <c r="J2264" s="58"/>
      <c r="K2264" s="2043">
        <v>0</v>
      </c>
      <c r="L2264" s="59"/>
      <c r="M2264" s="1133"/>
      <c r="N2264" s="1133"/>
      <c r="O2264" s="1146"/>
      <c r="P2264" s="1602"/>
      <c r="Q2264" s="1603"/>
      <c r="R2264" s="1602"/>
      <c r="S2264" s="1603"/>
    </row>
    <row r="2265" spans="2:23" ht="15.6" hidden="1" customHeight="1" x14ac:dyDescent="0.2">
      <c r="B2265" s="61" t="s">
        <v>1420</v>
      </c>
      <c r="I2265" s="2043">
        <v>0</v>
      </c>
      <c r="J2265" s="58"/>
      <c r="K2265" s="2043">
        <v>0</v>
      </c>
      <c r="L2265" s="59"/>
      <c r="M2265" s="1133"/>
      <c r="N2265" s="1133"/>
      <c r="O2265" s="1146"/>
      <c r="P2265" s="1602"/>
      <c r="Q2265" s="1603"/>
      <c r="R2265" s="1602"/>
      <c r="S2265" s="1603"/>
    </row>
    <row r="2266" spans="2:23" ht="15.6" hidden="1" customHeight="1" x14ac:dyDescent="0.2">
      <c r="B2266" s="61" t="s">
        <v>1421</v>
      </c>
      <c r="I2266" s="2043">
        <v>0</v>
      </c>
      <c r="J2266" s="58"/>
      <c r="K2266" s="2043">
        <v>0</v>
      </c>
      <c r="L2266" s="59"/>
      <c r="M2266" s="1133"/>
      <c r="N2266" s="1133"/>
      <c r="O2266" s="1146"/>
      <c r="P2266" s="1602"/>
      <c r="Q2266" s="1603"/>
      <c r="R2266" s="1602"/>
      <c r="S2266" s="1603"/>
    </row>
    <row r="2267" spans="2:23" ht="15.6" hidden="1" customHeight="1" thickBot="1" x14ac:dyDescent="0.3">
      <c r="B2267" s="61" t="s">
        <v>2204</v>
      </c>
      <c r="I2267" s="202">
        <f>SUM(I2261:I2266)</f>
        <v>0</v>
      </c>
      <c r="K2267" s="202">
        <f>SUM(K2261:K2266)</f>
        <v>0</v>
      </c>
      <c r="L2267" s="59"/>
      <c r="M2267" s="1133"/>
      <c r="N2267" s="1133"/>
      <c r="O2267" s="1146"/>
      <c r="P2267" s="1602"/>
      <c r="Q2267" s="1603"/>
      <c r="R2267" s="1602"/>
      <c r="S2267" s="1603"/>
    </row>
    <row r="2268" spans="2:23" ht="15.6" hidden="1" customHeight="1" thickTop="1" x14ac:dyDescent="0.2">
      <c r="I2268" s="265">
        <v>0</v>
      </c>
      <c r="J2268" s="58"/>
      <c r="K2268" s="265">
        <v>0</v>
      </c>
      <c r="L2268" s="59"/>
      <c r="M2268" s="1133"/>
      <c r="N2268" s="1133"/>
      <c r="O2268" s="1146"/>
      <c r="P2268" s="1602"/>
      <c r="Q2268" s="1603"/>
      <c r="R2268" s="1602"/>
      <c r="S2268" s="1603"/>
    </row>
    <row r="2269" spans="2:23" ht="46.5" hidden="1" customHeight="1" x14ac:dyDescent="0.2">
      <c r="B2269" s="2840" t="s">
        <v>6469</v>
      </c>
      <c r="C2269" s="2840"/>
      <c r="D2269" s="2840"/>
      <c r="E2269" s="2840"/>
      <c r="F2269" s="2840"/>
      <c r="G2269" s="2840"/>
      <c r="H2269" s="56"/>
      <c r="I2269" s="56"/>
      <c r="J2269" s="56"/>
      <c r="K2269" s="56"/>
      <c r="L2269" s="59"/>
      <c r="M2269" s="1214" t="s">
        <v>4022</v>
      </c>
      <c r="N2269" s="1133"/>
      <c r="O2269" s="1146"/>
      <c r="P2269" s="1602"/>
      <c r="Q2269" s="1603"/>
      <c r="R2269" s="1602"/>
      <c r="S2269" s="1603"/>
    </row>
    <row r="2270" spans="2:23" ht="15.6" hidden="1" customHeight="1" x14ac:dyDescent="0.2">
      <c r="I2270" s="58"/>
      <c r="J2270" s="58"/>
      <c r="K2270" s="58"/>
      <c r="L2270" s="59"/>
      <c r="M2270" s="1133"/>
      <c r="N2270" s="1133"/>
      <c r="O2270" s="1146"/>
      <c r="P2270" s="1602"/>
      <c r="Q2270" s="1603"/>
      <c r="R2270" s="1602"/>
      <c r="S2270" s="1603"/>
    </row>
    <row r="2271" spans="2:23" ht="15.6" hidden="1" customHeight="1" x14ac:dyDescent="0.2">
      <c r="B2271" s="229" t="s">
        <v>6497</v>
      </c>
      <c r="I2271" s="58"/>
      <c r="J2271" s="58"/>
      <c r="K2271" s="58"/>
      <c r="L2271" s="59"/>
      <c r="M2271" s="1133"/>
      <c r="N2271" s="1133"/>
      <c r="O2271" s="1146"/>
      <c r="P2271" s="1602"/>
      <c r="Q2271" s="1603"/>
      <c r="R2271" s="1602"/>
      <c r="S2271" s="1603"/>
      <c r="W2271" s="1114" t="s">
        <v>3857</v>
      </c>
    </row>
    <row r="2272" spans="2:23" ht="15.6" hidden="1" customHeight="1" x14ac:dyDescent="0.2">
      <c r="I2272" s="58"/>
      <c r="J2272" s="58"/>
      <c r="K2272" s="58"/>
      <c r="L2272" s="59"/>
      <c r="M2272" s="1133"/>
      <c r="N2272" s="1133"/>
      <c r="O2272" s="1146"/>
      <c r="P2272" s="1602"/>
      <c r="Q2272" s="1603"/>
      <c r="R2272" s="1602"/>
      <c r="S2272" s="1603"/>
    </row>
    <row r="2273" spans="2:23" ht="15.6" hidden="1" customHeight="1" x14ac:dyDescent="0.2">
      <c r="B2273" s="61" t="s">
        <v>1059</v>
      </c>
      <c r="I2273" s="2043">
        <f>K2278</f>
        <v>0</v>
      </c>
      <c r="J2273" s="58"/>
      <c r="K2273" s="2043">
        <v>0</v>
      </c>
      <c r="L2273" s="59"/>
      <c r="M2273" s="1133"/>
      <c r="N2273" s="1133"/>
      <c r="O2273" s="1146"/>
      <c r="P2273" s="1602"/>
      <c r="Q2273" s="1603"/>
      <c r="R2273" s="1602" t="s">
        <v>3334</v>
      </c>
      <c r="S2273" s="1603" t="s">
        <v>2765</v>
      </c>
    </row>
    <row r="2274" spans="2:23" ht="15.6" hidden="1" customHeight="1" x14ac:dyDescent="0.2">
      <c r="B2274" s="61" t="s">
        <v>1062</v>
      </c>
      <c r="I2274" s="2043">
        <v>0</v>
      </c>
      <c r="J2274" s="58"/>
      <c r="K2274" s="2043">
        <v>0</v>
      </c>
      <c r="L2274" s="59"/>
      <c r="M2274" s="1133"/>
      <c r="N2274" s="1133"/>
      <c r="O2274" s="1146"/>
      <c r="P2274" s="1602" t="s">
        <v>3335</v>
      </c>
      <c r="Q2274" s="1603" t="s">
        <v>2763</v>
      </c>
      <c r="R2274" s="1602" t="s">
        <v>3336</v>
      </c>
      <c r="S2274" s="1603" t="s">
        <v>2765</v>
      </c>
    </row>
    <row r="2275" spans="2:23" ht="15.6" hidden="1" customHeight="1" x14ac:dyDescent="0.2">
      <c r="B2275" s="48" t="s">
        <v>1419</v>
      </c>
      <c r="I2275" s="2043">
        <v>0</v>
      </c>
      <c r="J2275" s="58"/>
      <c r="K2275" s="2043">
        <v>0</v>
      </c>
      <c r="L2275" s="59"/>
      <c r="M2275" s="1133"/>
      <c r="N2275" s="1133"/>
      <c r="O2275" s="1146"/>
      <c r="P2275" s="1602" t="s">
        <v>3337</v>
      </c>
      <c r="Q2275" s="1603" t="s">
        <v>2763</v>
      </c>
      <c r="R2275" s="1602" t="s">
        <v>3338</v>
      </c>
      <c r="S2275" s="1603" t="s">
        <v>2765</v>
      </c>
    </row>
    <row r="2276" spans="2:23" ht="15.6" hidden="1" customHeight="1" x14ac:dyDescent="0.2">
      <c r="B2276" s="61" t="s">
        <v>1420</v>
      </c>
      <c r="I2276" s="2043">
        <v>0</v>
      </c>
      <c r="J2276" s="58"/>
      <c r="K2276" s="2043">
        <v>0</v>
      </c>
      <c r="L2276" s="59"/>
      <c r="M2276" s="1133"/>
      <c r="N2276" s="1133"/>
      <c r="O2276" s="1146"/>
      <c r="P2276" s="1602" t="s">
        <v>3339</v>
      </c>
      <c r="Q2276" s="1603" t="s">
        <v>2763</v>
      </c>
      <c r="R2276" s="1602" t="s">
        <v>3340</v>
      </c>
      <c r="S2276" s="1603" t="s">
        <v>2765</v>
      </c>
    </row>
    <row r="2277" spans="2:23" ht="15.6" hidden="1" customHeight="1" x14ac:dyDescent="0.2">
      <c r="B2277" s="61" t="s">
        <v>1421</v>
      </c>
      <c r="I2277" s="2043">
        <v>0</v>
      </c>
      <c r="J2277" s="58"/>
      <c r="K2277" s="2043">
        <v>0</v>
      </c>
      <c r="L2277" s="59"/>
      <c r="M2277" s="1133"/>
      <c r="N2277" s="1133"/>
      <c r="O2277" s="1146"/>
      <c r="P2277" s="1602" t="s">
        <v>3341</v>
      </c>
      <c r="Q2277" s="1603" t="s">
        <v>2763</v>
      </c>
      <c r="R2277" s="1602" t="s">
        <v>3342</v>
      </c>
      <c r="S2277" s="1603" t="s">
        <v>2765</v>
      </c>
    </row>
    <row r="2278" spans="2:23" ht="15.6" hidden="1" customHeight="1" thickBot="1" x14ac:dyDescent="0.3">
      <c r="B2278" s="61" t="s">
        <v>2204</v>
      </c>
      <c r="I2278" s="202">
        <f>SUM(I2272:I2277)</f>
        <v>0</v>
      </c>
      <c r="K2278" s="202">
        <f>SUM(K2272:K2277)</f>
        <v>0</v>
      </c>
      <c r="L2278" s="59"/>
      <c r="M2278" s="1133"/>
      <c r="N2278" s="1133"/>
      <c r="O2278" s="1146"/>
      <c r="P2278" s="1602"/>
      <c r="Q2278" s="1603"/>
      <c r="R2278" s="1602"/>
      <c r="S2278" s="1603"/>
    </row>
    <row r="2279" spans="2:23" ht="15.6" hidden="1" customHeight="1" thickTop="1" x14ac:dyDescent="0.2">
      <c r="I2279" s="265">
        <v>0</v>
      </c>
      <c r="J2279" s="58"/>
      <c r="K2279" s="265">
        <v>0</v>
      </c>
      <c r="L2279" s="59"/>
      <c r="M2279" s="1133"/>
      <c r="N2279" s="1133"/>
      <c r="O2279" s="1146"/>
      <c r="P2279" s="1602"/>
      <c r="Q2279" s="1603"/>
      <c r="R2279" s="1602"/>
      <c r="S2279" s="1603"/>
    </row>
    <row r="2280" spans="2:23" ht="45" hidden="1" customHeight="1" x14ac:dyDescent="0.2">
      <c r="B2280" s="2840" t="s">
        <v>6469</v>
      </c>
      <c r="C2280" s="2840"/>
      <c r="D2280" s="2840"/>
      <c r="E2280" s="2840"/>
      <c r="F2280" s="2840"/>
      <c r="G2280" s="2840"/>
      <c r="H2280" s="56"/>
      <c r="I2280" s="56"/>
      <c r="J2280" s="56"/>
      <c r="K2280" s="56"/>
      <c r="L2280" s="59"/>
      <c r="M2280" s="1214" t="s">
        <v>4022</v>
      </c>
      <c r="N2280" s="1133"/>
      <c r="O2280" s="1146"/>
      <c r="P2280" s="1602"/>
      <c r="Q2280" s="1603"/>
      <c r="R2280" s="1602"/>
      <c r="S2280" s="1603"/>
    </row>
    <row r="2281" spans="2:23" ht="15.6" hidden="1" customHeight="1" x14ac:dyDescent="0.2">
      <c r="I2281" s="58"/>
      <c r="J2281" s="58"/>
      <c r="K2281" s="58"/>
      <c r="L2281" s="59"/>
      <c r="M2281" s="1133"/>
      <c r="N2281" s="1133"/>
      <c r="O2281" s="1146"/>
      <c r="P2281" s="1602"/>
      <c r="Q2281" s="1603"/>
      <c r="R2281" s="1602"/>
      <c r="S2281" s="1603"/>
    </row>
    <row r="2282" spans="2:23" ht="15.6" hidden="1" customHeight="1" x14ac:dyDescent="0.2">
      <c r="B2282" s="229" t="s">
        <v>6498</v>
      </c>
      <c r="I2282" s="58"/>
      <c r="J2282" s="58"/>
      <c r="K2282" s="58"/>
      <c r="L2282" s="59"/>
      <c r="M2282" s="1133"/>
      <c r="N2282" s="1133"/>
      <c r="O2282" s="1146"/>
      <c r="P2282" s="1602"/>
      <c r="Q2282" s="1603"/>
      <c r="R2282" s="1602"/>
      <c r="S2282" s="1603"/>
      <c r="W2282" s="1114" t="s">
        <v>3857</v>
      </c>
    </row>
    <row r="2283" spans="2:23" ht="15.6" hidden="1" customHeight="1" x14ac:dyDescent="0.2">
      <c r="I2283" s="58"/>
      <c r="J2283" s="58"/>
      <c r="K2283" s="58"/>
      <c r="L2283" s="59"/>
      <c r="M2283" s="1133"/>
      <c r="N2283" s="1133"/>
      <c r="O2283" s="1146"/>
      <c r="P2283" s="1602"/>
      <c r="Q2283" s="1603"/>
      <c r="R2283" s="1602"/>
      <c r="S2283" s="1603"/>
    </row>
    <row r="2284" spans="2:23" ht="15.6" hidden="1" customHeight="1" x14ac:dyDescent="0.2">
      <c r="B2284" s="61" t="s">
        <v>1059</v>
      </c>
      <c r="I2284" s="2043">
        <f>K2289</f>
        <v>0</v>
      </c>
      <c r="J2284" s="58"/>
      <c r="K2284" s="2043">
        <v>0</v>
      </c>
      <c r="L2284" s="59"/>
      <c r="M2284" s="1133"/>
      <c r="N2284" s="1133"/>
      <c r="O2284" s="1146"/>
      <c r="P2284" s="1602"/>
      <c r="Q2284" s="1603"/>
      <c r="R2284" s="1602" t="s">
        <v>3343</v>
      </c>
      <c r="S2284" s="1603" t="s">
        <v>2765</v>
      </c>
    </row>
    <row r="2285" spans="2:23" ht="15.6" hidden="1" customHeight="1" x14ac:dyDescent="0.2">
      <c r="B2285" s="61" t="s">
        <v>1062</v>
      </c>
      <c r="I2285" s="2043">
        <v>0</v>
      </c>
      <c r="J2285" s="58"/>
      <c r="K2285" s="2043">
        <v>0</v>
      </c>
      <c r="L2285" s="59"/>
      <c r="M2285" s="1133"/>
      <c r="N2285" s="1133"/>
      <c r="O2285" s="1146"/>
      <c r="P2285" s="1602" t="s">
        <v>3344</v>
      </c>
      <c r="Q2285" s="1603" t="s">
        <v>2763</v>
      </c>
      <c r="R2285" s="1602" t="s">
        <v>3345</v>
      </c>
      <c r="S2285" s="1603" t="s">
        <v>2765</v>
      </c>
    </row>
    <row r="2286" spans="2:23" ht="15.6" hidden="1" customHeight="1" x14ac:dyDescent="0.2">
      <c r="B2286" s="48" t="s">
        <v>1419</v>
      </c>
      <c r="I2286" s="2043">
        <v>0</v>
      </c>
      <c r="J2286" s="58"/>
      <c r="K2286" s="2043">
        <v>0</v>
      </c>
      <c r="L2286" s="59"/>
      <c r="M2286" s="1133"/>
      <c r="N2286" s="1133"/>
      <c r="O2286" s="1146"/>
      <c r="P2286" s="1602" t="s">
        <v>3346</v>
      </c>
      <c r="Q2286" s="1603" t="s">
        <v>2763</v>
      </c>
      <c r="R2286" s="1602" t="s">
        <v>3347</v>
      </c>
      <c r="S2286" s="1603" t="s">
        <v>2765</v>
      </c>
    </row>
    <row r="2287" spans="2:23" ht="15.6" hidden="1" customHeight="1" x14ac:dyDescent="0.2">
      <c r="B2287" s="61" t="s">
        <v>1420</v>
      </c>
      <c r="I2287" s="2043">
        <v>0</v>
      </c>
      <c r="J2287" s="58"/>
      <c r="K2287" s="2043">
        <v>0</v>
      </c>
      <c r="L2287" s="59"/>
      <c r="M2287" s="1133"/>
      <c r="N2287" s="1133"/>
      <c r="O2287" s="1146"/>
      <c r="P2287" s="1602" t="s">
        <v>3348</v>
      </c>
      <c r="Q2287" s="1603" t="s">
        <v>2763</v>
      </c>
      <c r="R2287" s="1602" t="s">
        <v>3349</v>
      </c>
      <c r="S2287" s="1603" t="s">
        <v>2765</v>
      </c>
    </row>
    <row r="2288" spans="2:23" ht="15.6" hidden="1" customHeight="1" x14ac:dyDescent="0.2">
      <c r="B2288" s="61" t="s">
        <v>1421</v>
      </c>
      <c r="I2288" s="2043">
        <v>0</v>
      </c>
      <c r="J2288" s="58"/>
      <c r="K2288" s="2043">
        <v>0</v>
      </c>
      <c r="L2288" s="59"/>
      <c r="M2288" s="1133"/>
      <c r="N2288" s="1133"/>
      <c r="O2288" s="1146"/>
      <c r="P2288" s="1602" t="s">
        <v>3350</v>
      </c>
      <c r="Q2288" s="1603" t="s">
        <v>2763</v>
      </c>
      <c r="R2288" s="1602" t="s">
        <v>3351</v>
      </c>
      <c r="S2288" s="1603" t="s">
        <v>2765</v>
      </c>
    </row>
    <row r="2289" spans="1:23" ht="15.6" hidden="1" customHeight="1" thickBot="1" x14ac:dyDescent="0.3">
      <c r="B2289" s="61" t="s">
        <v>2204</v>
      </c>
      <c r="I2289" s="202">
        <f>SUM(I2283:I2288)</f>
        <v>0</v>
      </c>
      <c r="K2289" s="202">
        <f>SUM(K2283:K2288)</f>
        <v>0</v>
      </c>
      <c r="L2289" s="59"/>
      <c r="M2289" s="1133"/>
      <c r="N2289" s="1133"/>
      <c r="O2289" s="1146"/>
      <c r="P2289" s="1602"/>
      <c r="Q2289" s="1603"/>
      <c r="R2289" s="1602"/>
      <c r="S2289" s="1603"/>
    </row>
    <row r="2290" spans="1:23" ht="15.6" hidden="1" customHeight="1" thickTop="1" x14ac:dyDescent="0.2">
      <c r="I2290" s="265">
        <v>0</v>
      </c>
      <c r="J2290" s="58"/>
      <c r="K2290" s="265">
        <v>0</v>
      </c>
      <c r="L2290" s="59"/>
      <c r="M2290" s="1133"/>
      <c r="N2290" s="1133"/>
      <c r="O2290" s="1146"/>
      <c r="P2290" s="1602"/>
      <c r="Q2290" s="1603"/>
      <c r="R2290" s="1602"/>
      <c r="S2290" s="1603"/>
    </row>
    <row r="2291" spans="1:23" ht="45" hidden="1" customHeight="1" x14ac:dyDescent="0.2">
      <c r="B2291" s="2840" t="s">
        <v>6470</v>
      </c>
      <c r="C2291" s="2840"/>
      <c r="D2291" s="2840"/>
      <c r="E2291" s="2840"/>
      <c r="F2291" s="2840"/>
      <c r="G2291" s="2840"/>
      <c r="H2291" s="56"/>
      <c r="I2291" s="56"/>
      <c r="J2291" s="56"/>
      <c r="K2291" s="56"/>
      <c r="L2291" s="59"/>
      <c r="M2291" s="1214" t="s">
        <v>4022</v>
      </c>
      <c r="N2291" s="1133"/>
      <c r="O2291" s="1146"/>
      <c r="P2291" s="1602"/>
      <c r="Q2291" s="1603"/>
      <c r="R2291" s="1602"/>
      <c r="S2291" s="1603"/>
    </row>
    <row r="2292" spans="1:23" ht="15.6" hidden="1" customHeight="1" x14ac:dyDescent="0.2">
      <c r="I2292" s="58"/>
      <c r="J2292" s="58"/>
      <c r="K2292" s="58"/>
      <c r="L2292" s="59"/>
      <c r="M2292" s="1133"/>
      <c r="N2292" s="1133"/>
      <c r="O2292" s="1146"/>
      <c r="P2292" s="1602"/>
      <c r="Q2292" s="1603"/>
      <c r="R2292" s="1602"/>
      <c r="S2292" s="1603"/>
    </row>
    <row r="2293" spans="1:23" ht="15.6" customHeight="1" x14ac:dyDescent="0.2">
      <c r="B2293" s="229" t="s">
        <v>8149</v>
      </c>
      <c r="I2293" s="58"/>
      <c r="J2293" s="58"/>
      <c r="K2293" s="58"/>
      <c r="L2293" s="59"/>
      <c r="M2293" s="1133"/>
      <c r="N2293" s="1133"/>
      <c r="O2293" s="1146"/>
      <c r="P2293" s="1602"/>
      <c r="Q2293" s="1603"/>
      <c r="R2293" s="1602"/>
      <c r="S2293" s="1603"/>
      <c r="W2293" s="1114" t="s">
        <v>3857</v>
      </c>
    </row>
    <row r="2294" spans="1:23" ht="15.6" customHeight="1" x14ac:dyDescent="0.2">
      <c r="I2294" s="58"/>
      <c r="J2294" s="58"/>
      <c r="K2294" s="58"/>
      <c r="L2294" s="59"/>
      <c r="M2294" s="1133"/>
      <c r="N2294" s="1133"/>
      <c r="O2294" s="1146"/>
      <c r="P2294" s="1602"/>
      <c r="Q2294" s="1603"/>
      <c r="R2294" s="1602"/>
      <c r="S2294" s="1603"/>
    </row>
    <row r="2295" spans="1:23" ht="15.6" customHeight="1" x14ac:dyDescent="0.2">
      <c r="B2295" s="61" t="s">
        <v>1059</v>
      </c>
      <c r="I2295" s="58">
        <f>K2300</f>
        <v>0</v>
      </c>
      <c r="J2295" s="58"/>
      <c r="K2295" s="58">
        <v>0</v>
      </c>
      <c r="L2295" s="59"/>
      <c r="M2295" s="1133"/>
      <c r="N2295" s="1133"/>
      <c r="O2295" s="1146"/>
      <c r="P2295" s="1602"/>
      <c r="Q2295" s="1603"/>
      <c r="R2295" s="1602" t="s">
        <v>3676</v>
      </c>
      <c r="S2295" s="1603" t="s">
        <v>2765</v>
      </c>
    </row>
    <row r="2296" spans="1:23" ht="15.6" customHeight="1" x14ac:dyDescent="0.2">
      <c r="B2296" s="61" t="s">
        <v>1062</v>
      </c>
      <c r="I2296" s="58">
        <f>-'Trial Balance - FPer'!G835</f>
        <v>2775200</v>
      </c>
      <c r="J2296" s="58"/>
      <c r="K2296" s="58">
        <f>-'Trial Balance - FPer'!C825</f>
        <v>10020209.82</v>
      </c>
      <c r="L2296" s="59"/>
      <c r="M2296" s="1133"/>
      <c r="N2296" s="1133"/>
      <c r="O2296" s="1146"/>
      <c r="P2296" s="1602" t="s">
        <v>3681</v>
      </c>
      <c r="Q2296" s="1603" t="s">
        <v>2763</v>
      </c>
      <c r="R2296" s="1602" t="s">
        <v>3677</v>
      </c>
      <c r="S2296" s="1603" t="s">
        <v>2765</v>
      </c>
    </row>
    <row r="2297" spans="1:23" ht="15.6" customHeight="1" x14ac:dyDescent="0.2">
      <c r="B2297" s="48" t="s">
        <v>1419</v>
      </c>
      <c r="I2297" s="58">
        <v>0</v>
      </c>
      <c r="J2297" s="58"/>
      <c r="K2297" s="58">
        <v>0</v>
      </c>
      <c r="L2297" s="59"/>
      <c r="M2297" s="1133"/>
      <c r="N2297" s="1133"/>
      <c r="O2297" s="1146"/>
      <c r="P2297" s="1602" t="s">
        <v>3682</v>
      </c>
      <c r="Q2297" s="1603" t="s">
        <v>2763</v>
      </c>
      <c r="R2297" s="1602" t="s">
        <v>3678</v>
      </c>
      <c r="S2297" s="1603" t="s">
        <v>2765</v>
      </c>
    </row>
    <row r="2298" spans="1:23" ht="15.6" customHeight="1" x14ac:dyDescent="0.2">
      <c r="B2298" s="61" t="s">
        <v>1420</v>
      </c>
      <c r="I2298" s="58">
        <f>-I2296</f>
        <v>-2775200</v>
      </c>
      <c r="J2298" s="58"/>
      <c r="K2298" s="58">
        <f>'Trial Balance - FPer'!C825</f>
        <v>-10020209.82</v>
      </c>
      <c r="L2298" s="59"/>
      <c r="M2298" s="1133"/>
      <c r="N2298" s="1133"/>
      <c r="O2298" s="1146"/>
      <c r="P2298" s="1602" t="s">
        <v>3683</v>
      </c>
      <c r="Q2298" s="1603" t="s">
        <v>2763</v>
      </c>
      <c r="R2298" s="1602" t="s">
        <v>3679</v>
      </c>
      <c r="S2298" s="1603" t="s">
        <v>2765</v>
      </c>
    </row>
    <row r="2299" spans="1:23" ht="15.6" customHeight="1" x14ac:dyDescent="0.2">
      <c r="B2299" s="61" t="s">
        <v>1421</v>
      </c>
      <c r="I2299" s="58">
        <v>0</v>
      </c>
      <c r="J2299" s="58"/>
      <c r="K2299" s="58">
        <v>0</v>
      </c>
      <c r="L2299" s="59"/>
      <c r="M2299" s="1133"/>
      <c r="N2299" s="1133"/>
      <c r="O2299" s="1146"/>
      <c r="P2299" s="1602" t="s">
        <v>3684</v>
      </c>
      <c r="Q2299" s="1603" t="s">
        <v>2763</v>
      </c>
      <c r="R2299" s="1602" t="s">
        <v>3680</v>
      </c>
      <c r="S2299" s="1603" t="s">
        <v>2765</v>
      </c>
    </row>
    <row r="2300" spans="1:23" ht="15.6" customHeight="1" thickBot="1" x14ac:dyDescent="0.3">
      <c r="B2300" s="61" t="s">
        <v>7407</v>
      </c>
      <c r="I2300" s="202">
        <f>SUM(I2294:I2299)</f>
        <v>0</v>
      </c>
      <c r="K2300" s="202">
        <f>SUM(K2294:K2299)</f>
        <v>0</v>
      </c>
      <c r="L2300" s="59"/>
      <c r="M2300" s="1133"/>
      <c r="N2300" s="1133"/>
      <c r="O2300" s="1146"/>
      <c r="P2300" s="1602"/>
      <c r="Q2300" s="1603"/>
      <c r="R2300" s="1602"/>
      <c r="S2300" s="1603"/>
    </row>
    <row r="2301" spans="1:23" ht="15.6" customHeight="1" thickTop="1" x14ac:dyDescent="0.2">
      <c r="I2301" s="265">
        <v>0</v>
      </c>
      <c r="J2301" s="58"/>
      <c r="K2301" s="265">
        <v>0</v>
      </c>
      <c r="L2301" s="59"/>
      <c r="M2301" s="1133"/>
      <c r="N2301" s="1133"/>
      <c r="O2301" s="1146"/>
      <c r="P2301" s="1602"/>
      <c r="Q2301" s="1603"/>
      <c r="R2301" s="1602"/>
      <c r="S2301" s="1603"/>
    </row>
    <row r="2302" spans="1:23" ht="30.95" hidden="1" customHeight="1" x14ac:dyDescent="0.2">
      <c r="B2302" s="2840" t="s">
        <v>1708</v>
      </c>
      <c r="C2302" s="2840"/>
      <c r="D2302" s="2840"/>
      <c r="E2302" s="2840"/>
      <c r="F2302" s="2840"/>
      <c r="G2302" s="2840"/>
      <c r="H2302" s="56"/>
      <c r="I2302" s="56"/>
      <c r="J2302" s="56"/>
      <c r="K2302" s="56"/>
      <c r="L2302" s="59"/>
      <c r="M2302" s="1214" t="s">
        <v>4022</v>
      </c>
      <c r="N2302" s="1133"/>
      <c r="O2302" s="1146"/>
      <c r="P2302" s="1602"/>
      <c r="Q2302" s="1603"/>
      <c r="R2302" s="1602"/>
      <c r="S2302" s="1603"/>
    </row>
    <row r="2303" spans="1:23" ht="15.6" hidden="1" customHeight="1" x14ac:dyDescent="0.2">
      <c r="I2303" s="58"/>
      <c r="J2303" s="58"/>
      <c r="K2303" s="58"/>
      <c r="L2303" s="59"/>
      <c r="M2303" s="1133"/>
      <c r="N2303" s="1133"/>
      <c r="O2303" s="1146"/>
      <c r="P2303" s="1602"/>
      <c r="Q2303" s="1603"/>
      <c r="R2303" s="1602"/>
      <c r="S2303" s="1603"/>
    </row>
    <row r="2304" spans="1:23" ht="15.6" hidden="1" customHeight="1" x14ac:dyDescent="0.2">
      <c r="A2304" s="655"/>
      <c r="B2304" s="1456" t="s">
        <v>4150</v>
      </c>
      <c r="C2304" s="655"/>
      <c r="D2304" s="656"/>
      <c r="E2304" s="655"/>
      <c r="F2304" s="656"/>
      <c r="G2304" s="656"/>
      <c r="H2304" s="656"/>
      <c r="I2304" s="658"/>
      <c r="J2304" s="658"/>
      <c r="K2304" s="658"/>
      <c r="L2304" s="1415"/>
      <c r="M2304" s="1133"/>
      <c r="N2304" s="1133"/>
      <c r="O2304" s="1146"/>
      <c r="P2304" s="1602"/>
      <c r="Q2304" s="1603"/>
      <c r="R2304" s="1602"/>
      <c r="S2304" s="1603"/>
      <c r="W2304" s="1114" t="s">
        <v>3857</v>
      </c>
    </row>
    <row r="2305" spans="1:23" ht="15.6" hidden="1" customHeight="1" x14ac:dyDescent="0.2">
      <c r="A2305" s="655"/>
      <c r="B2305" s="655"/>
      <c r="C2305" s="655"/>
      <c r="D2305" s="656"/>
      <c r="E2305" s="655"/>
      <c r="F2305" s="656"/>
      <c r="G2305" s="656"/>
      <c r="H2305" s="656"/>
      <c r="I2305" s="658"/>
      <c r="J2305" s="658"/>
      <c r="K2305" s="658"/>
      <c r="L2305" s="1415"/>
      <c r="M2305" s="1133"/>
      <c r="N2305" s="1133"/>
      <c r="O2305" s="1146"/>
      <c r="P2305" s="1602"/>
      <c r="Q2305" s="1603"/>
      <c r="R2305" s="1602"/>
      <c r="S2305" s="1603"/>
    </row>
    <row r="2306" spans="1:23" ht="15.6" hidden="1" customHeight="1" x14ac:dyDescent="0.2">
      <c r="A2306" s="655"/>
      <c r="B2306" s="1553" t="s">
        <v>1059</v>
      </c>
      <c r="C2306" s="655"/>
      <c r="D2306" s="656"/>
      <c r="E2306" s="655"/>
      <c r="F2306" s="656"/>
      <c r="G2306" s="656"/>
      <c r="H2306" s="656"/>
      <c r="I2306" s="658">
        <f>K2311</f>
        <v>0</v>
      </c>
      <c r="J2306" s="658"/>
      <c r="K2306" s="658">
        <v>0</v>
      </c>
      <c r="L2306" s="1415"/>
      <c r="M2306" s="1133"/>
      <c r="N2306" s="1133"/>
      <c r="O2306" s="1146"/>
      <c r="P2306" s="1602"/>
      <c r="Q2306" s="1603"/>
      <c r="R2306" s="1602" t="s">
        <v>3685</v>
      </c>
      <c r="S2306" s="1603" t="s">
        <v>2765</v>
      </c>
    </row>
    <row r="2307" spans="1:23" ht="15.6" hidden="1" customHeight="1" x14ac:dyDescent="0.2">
      <c r="A2307" s="655"/>
      <c r="B2307" s="1553" t="s">
        <v>1062</v>
      </c>
      <c r="C2307" s="655"/>
      <c r="D2307" s="656"/>
      <c r="E2307" s="655"/>
      <c r="F2307" s="656"/>
      <c r="G2307" s="656"/>
      <c r="H2307" s="656"/>
      <c r="I2307" s="658">
        <v>0</v>
      </c>
      <c r="J2307" s="658"/>
      <c r="K2307" s="658">
        <v>0</v>
      </c>
      <c r="L2307" s="1415"/>
      <c r="M2307" s="1133"/>
      <c r="N2307" s="1133"/>
      <c r="O2307" s="1146"/>
      <c r="P2307" s="1602" t="s">
        <v>3690</v>
      </c>
      <c r="Q2307" s="1603" t="s">
        <v>2763</v>
      </c>
      <c r="R2307" s="1602" t="s">
        <v>3686</v>
      </c>
      <c r="S2307" s="1603" t="s">
        <v>2765</v>
      </c>
    </row>
    <row r="2308" spans="1:23" ht="15.6" hidden="1" customHeight="1" x14ac:dyDescent="0.2">
      <c r="A2308" s="655"/>
      <c r="B2308" s="655" t="s">
        <v>1419</v>
      </c>
      <c r="C2308" s="655"/>
      <c r="D2308" s="656"/>
      <c r="E2308" s="655"/>
      <c r="F2308" s="656"/>
      <c r="G2308" s="656"/>
      <c r="H2308" s="656"/>
      <c r="I2308" s="658">
        <v>0</v>
      </c>
      <c r="J2308" s="658"/>
      <c r="K2308" s="658">
        <v>0</v>
      </c>
      <c r="L2308" s="1415"/>
      <c r="M2308" s="1133"/>
      <c r="N2308" s="1133"/>
      <c r="O2308" s="1146"/>
      <c r="P2308" s="1602" t="s">
        <v>3691</v>
      </c>
      <c r="Q2308" s="1603" t="s">
        <v>2763</v>
      </c>
      <c r="R2308" s="1602" t="s">
        <v>3687</v>
      </c>
      <c r="S2308" s="1603" t="s">
        <v>2765</v>
      </c>
    </row>
    <row r="2309" spans="1:23" ht="15.6" hidden="1" customHeight="1" x14ac:dyDescent="0.2">
      <c r="A2309" s="655"/>
      <c r="B2309" s="1553" t="s">
        <v>1420</v>
      </c>
      <c r="C2309" s="655"/>
      <c r="D2309" s="656"/>
      <c r="E2309" s="655"/>
      <c r="F2309" s="656"/>
      <c r="G2309" s="656"/>
      <c r="H2309" s="656"/>
      <c r="I2309" s="658">
        <v>0</v>
      </c>
      <c r="J2309" s="658"/>
      <c r="K2309" s="658">
        <v>0</v>
      </c>
      <c r="L2309" s="1415"/>
      <c r="M2309" s="1133"/>
      <c r="N2309" s="1133"/>
      <c r="O2309" s="1146"/>
      <c r="P2309" s="1602" t="s">
        <v>3692</v>
      </c>
      <c r="Q2309" s="1603" t="s">
        <v>2763</v>
      </c>
      <c r="R2309" s="1602" t="s">
        <v>3688</v>
      </c>
      <c r="S2309" s="1603" t="s">
        <v>2765</v>
      </c>
    </row>
    <row r="2310" spans="1:23" ht="15.6" hidden="1" customHeight="1" x14ac:dyDescent="0.2">
      <c r="A2310" s="655"/>
      <c r="B2310" s="1553" t="s">
        <v>1421</v>
      </c>
      <c r="C2310" s="655"/>
      <c r="D2310" s="656"/>
      <c r="E2310" s="655"/>
      <c r="F2310" s="656"/>
      <c r="G2310" s="656"/>
      <c r="H2310" s="656"/>
      <c r="I2310" s="658">
        <v>0</v>
      </c>
      <c r="J2310" s="658"/>
      <c r="K2310" s="658">
        <v>0</v>
      </c>
      <c r="L2310" s="1415"/>
      <c r="M2310" s="1133"/>
      <c r="N2310" s="1133"/>
      <c r="O2310" s="1146"/>
      <c r="P2310" s="1602" t="s">
        <v>3693</v>
      </c>
      <c r="Q2310" s="1603" t="s">
        <v>2763</v>
      </c>
      <c r="R2310" s="1602" t="s">
        <v>3689</v>
      </c>
      <c r="S2310" s="1603" t="s">
        <v>2765</v>
      </c>
    </row>
    <row r="2311" spans="1:23" ht="15.6" hidden="1" customHeight="1" thickBot="1" x14ac:dyDescent="0.3">
      <c r="A2311" s="655"/>
      <c r="B2311" s="1553" t="s">
        <v>2204</v>
      </c>
      <c r="C2311" s="655"/>
      <c r="D2311" s="656"/>
      <c r="E2311" s="655"/>
      <c r="F2311" s="656"/>
      <c r="G2311" s="656"/>
      <c r="H2311" s="656"/>
      <c r="I2311" s="1545">
        <f>SUM(I2305:I2310)</f>
        <v>0</v>
      </c>
      <c r="J2311" s="661"/>
      <c r="K2311" s="1545">
        <f>SUM(K2305:K2310)</f>
        <v>0</v>
      </c>
      <c r="L2311" s="1415"/>
      <c r="M2311" s="1133"/>
      <c r="N2311" s="1133"/>
      <c r="O2311" s="1146"/>
      <c r="P2311" s="1602"/>
      <c r="Q2311" s="1603"/>
      <c r="R2311" s="1602"/>
      <c r="S2311" s="1603"/>
    </row>
    <row r="2312" spans="1:23" ht="15.6" hidden="1" customHeight="1" thickTop="1" x14ac:dyDescent="0.2">
      <c r="A2312" s="655"/>
      <c r="B2312" s="655"/>
      <c r="C2312" s="655"/>
      <c r="D2312" s="656"/>
      <c r="E2312" s="655"/>
      <c r="F2312" s="656"/>
      <c r="G2312" s="656"/>
      <c r="H2312" s="656"/>
      <c r="I2312" s="1569">
        <v>0</v>
      </c>
      <c r="J2312" s="658"/>
      <c r="K2312" s="1569">
        <v>0</v>
      </c>
      <c r="L2312" s="1415"/>
      <c r="M2312" s="1133"/>
      <c r="N2312" s="1133"/>
      <c r="O2312" s="1146"/>
      <c r="P2312" s="1602"/>
      <c r="Q2312" s="1603"/>
      <c r="R2312" s="1602"/>
      <c r="S2312" s="1603"/>
    </row>
    <row r="2313" spans="1:23" ht="30.95" hidden="1" customHeight="1" x14ac:dyDescent="0.2">
      <c r="A2313" s="655"/>
      <c r="B2313" s="2868" t="s">
        <v>1708</v>
      </c>
      <c r="C2313" s="2868"/>
      <c r="D2313" s="2868"/>
      <c r="E2313" s="2868"/>
      <c r="F2313" s="2868"/>
      <c r="G2313" s="2868"/>
      <c r="H2313" s="1546"/>
      <c r="I2313" s="1546"/>
      <c r="J2313" s="1546"/>
      <c r="K2313" s="1546"/>
      <c r="L2313" s="1415"/>
      <c r="M2313" s="1214" t="s">
        <v>4022</v>
      </c>
      <c r="N2313" s="1133"/>
      <c r="O2313" s="1146"/>
      <c r="P2313" s="1602"/>
      <c r="Q2313" s="1603"/>
      <c r="R2313" s="1602"/>
      <c r="S2313" s="1603"/>
    </row>
    <row r="2314" spans="1:23" ht="15.6" hidden="1" customHeight="1" x14ac:dyDescent="0.2">
      <c r="A2314" s="655"/>
      <c r="B2314" s="655"/>
      <c r="C2314" s="655"/>
      <c r="D2314" s="656"/>
      <c r="E2314" s="655"/>
      <c r="F2314" s="656"/>
      <c r="G2314" s="656"/>
      <c r="H2314" s="656"/>
      <c r="I2314" s="658"/>
      <c r="J2314" s="658"/>
      <c r="K2314" s="658"/>
      <c r="L2314" s="1415"/>
      <c r="M2314" s="1133"/>
      <c r="N2314" s="1133"/>
      <c r="O2314" s="1146"/>
      <c r="P2314" s="1602"/>
      <c r="Q2314" s="1603"/>
      <c r="R2314" s="1602"/>
      <c r="S2314" s="1603"/>
    </row>
    <row r="2315" spans="1:23" ht="15.6" hidden="1" customHeight="1" x14ac:dyDescent="0.2">
      <c r="B2315" s="229" t="s">
        <v>4151</v>
      </c>
      <c r="I2315" s="58"/>
      <c r="J2315" s="58"/>
      <c r="K2315" s="58"/>
      <c r="L2315" s="59"/>
      <c r="M2315" s="1133"/>
      <c r="N2315" s="1133"/>
      <c r="O2315" s="1146"/>
      <c r="P2315" s="1602"/>
      <c r="Q2315" s="1603"/>
      <c r="R2315" s="1602"/>
      <c r="S2315" s="1603"/>
      <c r="W2315" s="1114" t="s">
        <v>3857</v>
      </c>
    </row>
    <row r="2316" spans="1:23" ht="15.6" hidden="1" customHeight="1" x14ac:dyDescent="0.2">
      <c r="I2316" s="58"/>
      <c r="J2316" s="58"/>
      <c r="K2316" s="58"/>
      <c r="L2316" s="59"/>
      <c r="M2316" s="1133"/>
      <c r="N2316" s="1133"/>
      <c r="O2316" s="1146"/>
      <c r="P2316" s="1602"/>
      <c r="Q2316" s="1603"/>
      <c r="R2316" s="1602"/>
      <c r="S2316" s="1603"/>
    </row>
    <row r="2317" spans="1:23" ht="15.6" hidden="1" customHeight="1" x14ac:dyDescent="0.2">
      <c r="B2317" s="61" t="s">
        <v>1059</v>
      </c>
      <c r="I2317" s="58">
        <f>K2322</f>
        <v>0</v>
      </c>
      <c r="J2317" s="58"/>
      <c r="K2317" s="58">
        <v>0</v>
      </c>
      <c r="L2317" s="59"/>
      <c r="M2317" s="1133"/>
      <c r="N2317" s="1133"/>
      <c r="O2317" s="1146"/>
      <c r="P2317" s="1602"/>
      <c r="Q2317" s="1603"/>
      <c r="R2317" s="1602" t="s">
        <v>3694</v>
      </c>
      <c r="S2317" s="1603" t="s">
        <v>2765</v>
      </c>
    </row>
    <row r="2318" spans="1:23" ht="15.6" hidden="1" customHeight="1" x14ac:dyDescent="0.2">
      <c r="B2318" s="61" t="s">
        <v>1062</v>
      </c>
      <c r="I2318" s="58">
        <v>0</v>
      </c>
      <c r="J2318" s="58"/>
      <c r="K2318" s="58">
        <v>0</v>
      </c>
      <c r="L2318" s="59"/>
      <c r="M2318" s="1133"/>
      <c r="N2318" s="1133"/>
      <c r="O2318" s="1146"/>
      <c r="P2318" s="1602" t="s">
        <v>3699</v>
      </c>
      <c r="Q2318" s="1603" t="s">
        <v>2763</v>
      </c>
      <c r="R2318" s="1602" t="s">
        <v>3695</v>
      </c>
      <c r="S2318" s="1603" t="s">
        <v>2765</v>
      </c>
    </row>
    <row r="2319" spans="1:23" ht="15.6" hidden="1" customHeight="1" x14ac:dyDescent="0.2">
      <c r="A2319" s="655"/>
      <c r="B2319" s="655" t="s">
        <v>1419</v>
      </c>
      <c r="C2319" s="655"/>
      <c r="D2319" s="656"/>
      <c r="E2319" s="655"/>
      <c r="F2319" s="656"/>
      <c r="G2319" s="656"/>
      <c r="H2319" s="656"/>
      <c r="I2319" s="658">
        <v>0</v>
      </c>
      <c r="J2319" s="658"/>
      <c r="K2319" s="658">
        <v>0</v>
      </c>
      <c r="L2319" s="1415"/>
      <c r="M2319" s="1133"/>
      <c r="N2319" s="1133"/>
      <c r="O2319" s="1146"/>
      <c r="P2319" s="1602" t="s">
        <v>3700</v>
      </c>
      <c r="Q2319" s="1603" t="s">
        <v>2763</v>
      </c>
      <c r="R2319" s="1602" t="s">
        <v>3696</v>
      </c>
      <c r="S2319" s="1603" t="s">
        <v>2765</v>
      </c>
    </row>
    <row r="2320" spans="1:23" ht="15.6" hidden="1" customHeight="1" x14ac:dyDescent="0.2">
      <c r="B2320" s="61" t="s">
        <v>1420</v>
      </c>
      <c r="I2320" s="58">
        <v>0</v>
      </c>
      <c r="J2320" s="58"/>
      <c r="K2320" s="58">
        <v>0</v>
      </c>
      <c r="L2320" s="59"/>
      <c r="P2320" s="1602" t="s">
        <v>3701</v>
      </c>
      <c r="Q2320" s="1603" t="s">
        <v>2763</v>
      </c>
      <c r="R2320" s="1602" t="s">
        <v>3697</v>
      </c>
      <c r="S2320" s="1603" t="s">
        <v>2765</v>
      </c>
    </row>
    <row r="2321" spans="1:23" ht="15.6" hidden="1" customHeight="1" x14ac:dyDescent="0.2">
      <c r="B2321" s="61" t="s">
        <v>1421</v>
      </c>
      <c r="I2321" s="58">
        <v>0</v>
      </c>
      <c r="J2321" s="58"/>
      <c r="K2321" s="58">
        <v>0</v>
      </c>
      <c r="L2321" s="59"/>
      <c r="P2321" s="1602" t="s">
        <v>3702</v>
      </c>
      <c r="Q2321" s="1603" t="s">
        <v>2763</v>
      </c>
      <c r="R2321" s="1602" t="s">
        <v>3698</v>
      </c>
      <c r="S2321" s="1603" t="s">
        <v>2765</v>
      </c>
    </row>
    <row r="2322" spans="1:23" ht="15.6" hidden="1" customHeight="1" thickBot="1" x14ac:dyDescent="0.3">
      <c r="B2322" s="61" t="s">
        <v>2204</v>
      </c>
      <c r="I2322" s="202">
        <f>SUM(I2316:I2321)</f>
        <v>0</v>
      </c>
      <c r="K2322" s="202">
        <f>SUM(K2316:K2321)</f>
        <v>0</v>
      </c>
      <c r="L2322" s="59"/>
      <c r="P2322" s="1602"/>
      <c r="Q2322" s="1603"/>
      <c r="R2322" s="1602"/>
      <c r="S2322" s="1603"/>
    </row>
    <row r="2323" spans="1:23" ht="15.6" hidden="1" customHeight="1" thickTop="1" x14ac:dyDescent="0.2">
      <c r="I2323" s="265">
        <v>0</v>
      </c>
      <c r="J2323" s="58"/>
      <c r="K2323" s="265">
        <v>0</v>
      </c>
      <c r="L2323" s="59"/>
      <c r="P2323" s="1602"/>
      <c r="Q2323" s="1603"/>
      <c r="R2323" s="1602"/>
      <c r="S2323" s="1603"/>
    </row>
    <row r="2324" spans="1:23" ht="30.95" hidden="1" customHeight="1" x14ac:dyDescent="0.2">
      <c r="B2324" s="2839" t="s">
        <v>2139</v>
      </c>
      <c r="C2324" s="2839"/>
      <c r="D2324" s="2839"/>
      <c r="E2324" s="2839"/>
      <c r="F2324" s="2839"/>
      <c r="G2324" s="2839"/>
      <c r="H2324" s="56"/>
      <c r="I2324" s="56"/>
      <c r="J2324" s="56"/>
      <c r="K2324" s="56"/>
      <c r="L2324" s="59"/>
      <c r="M2324" s="1214" t="s">
        <v>4022</v>
      </c>
      <c r="P2324" s="1602"/>
      <c r="Q2324" s="1603"/>
      <c r="R2324" s="1602"/>
      <c r="S2324" s="1603"/>
    </row>
    <row r="2325" spans="1:23" ht="15.6" hidden="1" customHeight="1" x14ac:dyDescent="0.2">
      <c r="I2325" s="58"/>
      <c r="J2325" s="58"/>
      <c r="K2325" s="58"/>
      <c r="L2325" s="59"/>
      <c r="P2325" s="1602"/>
      <c r="Q2325" s="1603"/>
      <c r="R2325" s="1602"/>
      <c r="S2325" s="1603"/>
    </row>
    <row r="2326" spans="1:23" ht="15.6" hidden="1" customHeight="1" x14ac:dyDescent="0.2">
      <c r="B2326" s="229" t="s">
        <v>4152</v>
      </c>
      <c r="I2326" s="58"/>
      <c r="J2326" s="58"/>
      <c r="K2326" s="58"/>
      <c r="L2326" s="59"/>
      <c r="M2326" s="1133"/>
      <c r="N2326" s="1133"/>
      <c r="O2326" s="1146"/>
      <c r="P2326" s="1600"/>
      <c r="Q2326" s="1601"/>
      <c r="R2326" s="1600"/>
      <c r="S2326" s="1601"/>
      <c r="W2326" s="1114" t="s">
        <v>3857</v>
      </c>
    </row>
    <row r="2327" spans="1:23" ht="15.6" hidden="1" customHeight="1" x14ac:dyDescent="0.2">
      <c r="I2327" s="58"/>
      <c r="J2327" s="58"/>
      <c r="K2327" s="58"/>
      <c r="L2327" s="59"/>
      <c r="M2327" s="1133"/>
      <c r="N2327" s="1133"/>
      <c r="O2327" s="1146"/>
      <c r="P2327" s="1600"/>
      <c r="Q2327" s="1601"/>
      <c r="R2327" s="1600"/>
      <c r="S2327" s="1601"/>
    </row>
    <row r="2328" spans="1:23" ht="15.6" hidden="1" customHeight="1" x14ac:dyDescent="0.2">
      <c r="B2328" s="61" t="s">
        <v>1059</v>
      </c>
      <c r="I2328" s="58">
        <f>K2333</f>
        <v>0</v>
      </c>
      <c r="J2328" s="58"/>
      <c r="K2328" s="58">
        <v>0</v>
      </c>
      <c r="L2328" s="59"/>
      <c r="M2328" s="1133"/>
      <c r="N2328" s="1133"/>
      <c r="O2328" s="1146"/>
      <c r="P2328" s="1600"/>
      <c r="Q2328" s="1601"/>
      <c r="R2328" s="1600" t="s">
        <v>3703</v>
      </c>
      <c r="S2328" s="1601" t="s">
        <v>2765</v>
      </c>
    </row>
    <row r="2329" spans="1:23" ht="15.6" hidden="1" customHeight="1" x14ac:dyDescent="0.2">
      <c r="B2329" s="61" t="s">
        <v>1062</v>
      </c>
      <c r="I2329" s="58">
        <v>0</v>
      </c>
      <c r="J2329" s="58"/>
      <c r="K2329" s="58">
        <v>0</v>
      </c>
      <c r="L2329" s="59"/>
      <c r="M2329" s="1133"/>
      <c r="N2329" s="1133"/>
      <c r="O2329" s="1146"/>
      <c r="P2329" s="1600" t="s">
        <v>3707</v>
      </c>
      <c r="Q2329" s="1601" t="s">
        <v>2763</v>
      </c>
      <c r="R2329" s="1600" t="s">
        <v>3704</v>
      </c>
      <c r="S2329" s="1601" t="s">
        <v>2765</v>
      </c>
    </row>
    <row r="2330" spans="1:23" ht="15.6" hidden="1" customHeight="1" x14ac:dyDescent="0.2">
      <c r="A2330" s="655"/>
      <c r="B2330" s="655" t="s">
        <v>1419</v>
      </c>
      <c r="C2330" s="655"/>
      <c r="D2330" s="656"/>
      <c r="E2330" s="655"/>
      <c r="F2330" s="656"/>
      <c r="G2330" s="656"/>
      <c r="H2330" s="656"/>
      <c r="I2330" s="658">
        <v>0</v>
      </c>
      <c r="J2330" s="658"/>
      <c r="K2330" s="658">
        <v>0</v>
      </c>
      <c r="L2330" s="1415"/>
      <c r="M2330" s="1133"/>
      <c r="N2330" s="1133"/>
      <c r="O2330" s="1146"/>
      <c r="P2330" s="1600" t="s">
        <v>3716</v>
      </c>
      <c r="Q2330" s="1601" t="s">
        <v>2763</v>
      </c>
      <c r="R2330" s="1600" t="s">
        <v>3715</v>
      </c>
      <c r="S2330" s="1601" t="s">
        <v>2765</v>
      </c>
    </row>
    <row r="2331" spans="1:23" ht="15.6" hidden="1" customHeight="1" x14ac:dyDescent="0.2">
      <c r="B2331" s="61" t="s">
        <v>1420</v>
      </c>
      <c r="I2331" s="58">
        <v>0</v>
      </c>
      <c r="J2331" s="58"/>
      <c r="K2331" s="58">
        <v>0</v>
      </c>
      <c r="L2331" s="59"/>
      <c r="M2331" s="1133"/>
      <c r="N2331" s="1133"/>
      <c r="O2331" s="1146"/>
      <c r="P2331" s="1600" t="s">
        <v>3708</v>
      </c>
      <c r="Q2331" s="1601" t="s">
        <v>2763</v>
      </c>
      <c r="R2331" s="1600" t="s">
        <v>3705</v>
      </c>
      <c r="S2331" s="1601" t="s">
        <v>2765</v>
      </c>
    </row>
    <row r="2332" spans="1:23" ht="15.6" hidden="1" customHeight="1" x14ac:dyDescent="0.2">
      <c r="B2332" s="61" t="s">
        <v>1421</v>
      </c>
      <c r="I2332" s="58">
        <v>0</v>
      </c>
      <c r="J2332" s="58"/>
      <c r="K2332" s="58">
        <v>0</v>
      </c>
      <c r="L2332" s="59"/>
      <c r="M2332" s="1133"/>
      <c r="N2332" s="1133"/>
      <c r="O2332" s="1146"/>
      <c r="P2332" s="1600" t="s">
        <v>3709</v>
      </c>
      <c r="Q2332" s="1601" t="s">
        <v>2763</v>
      </c>
      <c r="R2332" s="1600" t="s">
        <v>3706</v>
      </c>
      <c r="S2332" s="1601" t="s">
        <v>2765</v>
      </c>
    </row>
    <row r="2333" spans="1:23" ht="15.6" hidden="1" customHeight="1" thickBot="1" x14ac:dyDescent="0.3">
      <c r="B2333" s="61" t="s">
        <v>2204</v>
      </c>
      <c r="I2333" s="202">
        <f>SUM(I2327:I2332)</f>
        <v>0</v>
      </c>
      <c r="K2333" s="202">
        <f>SUM(K2327:K2332)</f>
        <v>0</v>
      </c>
      <c r="L2333" s="59"/>
      <c r="M2333" s="1133"/>
      <c r="N2333" s="1133"/>
      <c r="O2333" s="1146"/>
      <c r="P2333" s="1600"/>
      <c r="Q2333" s="1601"/>
      <c r="R2333" s="1600"/>
      <c r="S2333" s="1601"/>
    </row>
    <row r="2334" spans="1:23" ht="15.6" hidden="1" customHeight="1" thickTop="1" x14ac:dyDescent="0.2">
      <c r="I2334" s="265">
        <v>0</v>
      </c>
      <c r="J2334" s="58"/>
      <c r="K2334" s="265">
        <v>0</v>
      </c>
      <c r="L2334" s="59"/>
      <c r="M2334" s="1133"/>
      <c r="N2334" s="1133"/>
      <c r="O2334" s="1146"/>
      <c r="P2334" s="1600"/>
      <c r="Q2334" s="1601"/>
      <c r="R2334" s="1600"/>
      <c r="S2334" s="1601"/>
    </row>
    <row r="2335" spans="1:23" ht="30.95" hidden="1" customHeight="1" x14ac:dyDescent="0.2">
      <c r="B2335" s="2839" t="s">
        <v>1706</v>
      </c>
      <c r="C2335" s="2839"/>
      <c r="D2335" s="2839"/>
      <c r="E2335" s="2839"/>
      <c r="F2335" s="2839"/>
      <c r="G2335" s="2839"/>
      <c r="H2335" s="56"/>
      <c r="I2335" s="56"/>
      <c r="J2335" s="56"/>
      <c r="K2335" s="56"/>
      <c r="L2335" s="59"/>
      <c r="M2335" s="1214" t="s">
        <v>4022</v>
      </c>
      <c r="N2335" s="1133"/>
      <c r="O2335" s="1146"/>
      <c r="P2335" s="1602"/>
      <c r="Q2335" s="1603"/>
      <c r="R2335" s="1602"/>
      <c r="S2335" s="1603"/>
    </row>
    <row r="2336" spans="1:23" ht="15.6" hidden="1" customHeight="1" x14ac:dyDescent="0.2">
      <c r="I2336" s="58"/>
      <c r="J2336" s="58"/>
      <c r="K2336" s="58"/>
      <c r="L2336" s="59"/>
      <c r="M2336" s="1133"/>
      <c r="N2336" s="1133"/>
      <c r="O2336" s="1146"/>
      <c r="P2336" s="1602"/>
      <c r="Q2336" s="1603"/>
      <c r="R2336" s="1602"/>
      <c r="S2336" s="1603"/>
    </row>
    <row r="2337" spans="1:23" ht="15.6" customHeight="1" x14ac:dyDescent="0.2">
      <c r="B2337" s="229" t="s">
        <v>7577</v>
      </c>
      <c r="I2337" s="58"/>
      <c r="J2337" s="58"/>
      <c r="K2337" s="58"/>
      <c r="L2337" s="59"/>
      <c r="P2337" s="1600"/>
      <c r="Q2337" s="1601"/>
      <c r="R2337" s="1600"/>
      <c r="S2337" s="1601"/>
      <c r="W2337" s="1114" t="s">
        <v>3857</v>
      </c>
    </row>
    <row r="2338" spans="1:23" ht="15.6" customHeight="1" x14ac:dyDescent="0.2">
      <c r="I2338" s="58"/>
      <c r="J2338" s="58"/>
      <c r="K2338" s="58"/>
      <c r="L2338" s="59"/>
      <c r="P2338" s="1600"/>
      <c r="Q2338" s="1601"/>
      <c r="R2338" s="1600"/>
      <c r="S2338" s="1601"/>
    </row>
    <row r="2339" spans="1:23" ht="30.95" customHeight="1" x14ac:dyDescent="0.2">
      <c r="B2339" s="2839" t="s">
        <v>2220</v>
      </c>
      <c r="C2339" s="2839"/>
      <c r="D2339" s="2839"/>
      <c r="E2339" s="2839"/>
      <c r="F2339" s="2839"/>
      <c r="G2339" s="2839"/>
      <c r="H2339" s="56"/>
      <c r="I2339" s="56"/>
      <c r="J2339" s="56"/>
      <c r="K2339" s="56"/>
      <c r="L2339" s="59"/>
      <c r="M2339" s="1214" t="s">
        <v>4023</v>
      </c>
    </row>
    <row r="2340" spans="1:23" ht="15.6" customHeight="1" x14ac:dyDescent="0.2">
      <c r="I2340" s="58"/>
      <c r="J2340" s="58"/>
      <c r="K2340" s="58"/>
      <c r="L2340" s="59"/>
    </row>
    <row r="2341" spans="1:23" ht="15.6" customHeight="1" x14ac:dyDescent="0.2">
      <c r="I2341" s="58"/>
      <c r="J2341" s="58"/>
      <c r="K2341" s="58"/>
      <c r="L2341" s="59"/>
    </row>
    <row r="2342" spans="1:23" ht="15.6" customHeight="1" x14ac:dyDescent="0.25">
      <c r="A2342" s="211">
        <v>22</v>
      </c>
      <c r="B2342" s="50" t="s">
        <v>1623</v>
      </c>
      <c r="C2342" s="50"/>
      <c r="I2342" s="58"/>
      <c r="J2342" s="58"/>
      <c r="K2342" s="58"/>
      <c r="L2342" s="59"/>
      <c r="W2342" s="1114" t="s">
        <v>3520</v>
      </c>
    </row>
    <row r="2343" spans="1:23" ht="15.6" customHeight="1" x14ac:dyDescent="0.2">
      <c r="I2343" s="58"/>
      <c r="J2343" s="58"/>
      <c r="K2343" s="58"/>
      <c r="L2343" s="59"/>
      <c r="M2343" s="1133"/>
      <c r="N2343" s="1133"/>
      <c r="O2343" s="1146"/>
    </row>
    <row r="2344" spans="1:23" ht="15.6" hidden="1" customHeight="1" x14ac:dyDescent="0.2">
      <c r="A2344" s="655"/>
      <c r="B2344" s="655" t="s">
        <v>1755</v>
      </c>
      <c r="C2344" s="655"/>
      <c r="D2344" s="656"/>
      <c r="E2344" s="655"/>
      <c r="F2344" s="656"/>
      <c r="G2344" s="656"/>
      <c r="H2344" s="656"/>
      <c r="I2344" s="658">
        <f>SUM(-I2380-I2381)+SUM(-I2392-I2393)+SUM(-I2404-I2405)</f>
        <v>0</v>
      </c>
      <c r="J2344" s="658"/>
      <c r="K2344" s="658">
        <f>SUM(-K2380-K2381)+SUM(-K2392-K2393)+SUM(-K2404-K2405)</f>
        <v>0</v>
      </c>
      <c r="L2344" s="1415"/>
    </row>
    <row r="2345" spans="1:23" ht="15.6" hidden="1" customHeight="1" x14ac:dyDescent="0.2">
      <c r="B2345" s="48" t="s">
        <v>1620</v>
      </c>
      <c r="I2345" s="58">
        <v>0</v>
      </c>
      <c r="J2345" s="58"/>
      <c r="K2345" s="58">
        <v>0</v>
      </c>
      <c r="L2345" s="59"/>
      <c r="P2345" s="1110" t="s">
        <v>3354</v>
      </c>
      <c r="Q2345" s="1111" t="s">
        <v>2763</v>
      </c>
      <c r="R2345" s="1110" t="s">
        <v>3355</v>
      </c>
      <c r="S2345" s="1111" t="s">
        <v>2765</v>
      </c>
      <c r="T2345" s="1110"/>
    </row>
    <row r="2346" spans="1:23" ht="15.6" customHeight="1" x14ac:dyDescent="0.2">
      <c r="B2346" s="48" t="s">
        <v>1621</v>
      </c>
      <c r="I2346" s="58">
        <f>I2355-SUM(I2344:I2345)</f>
        <v>0</v>
      </c>
      <c r="J2346" s="58"/>
      <c r="K2346" s="58">
        <f>K2355-SUM(K2344:K2345)</f>
        <v>20580</v>
      </c>
      <c r="L2346" s="59"/>
      <c r="T2346" s="1110"/>
    </row>
    <row r="2347" spans="1:23" ht="15.6" customHeight="1" x14ac:dyDescent="0.2">
      <c r="I2347" s="58"/>
      <c r="J2347" s="58"/>
      <c r="K2347" s="58"/>
      <c r="L2347" s="59"/>
    </row>
    <row r="2348" spans="1:23" ht="15.6" customHeight="1" thickBot="1" x14ac:dyDescent="0.3">
      <c r="B2348" s="50" t="s">
        <v>1622</v>
      </c>
      <c r="C2348" s="50"/>
      <c r="I2348" s="204">
        <f>SUM(I2344:I2347)</f>
        <v>0</v>
      </c>
      <c r="J2348" s="58"/>
      <c r="K2348" s="204">
        <f>SUM(K2344:K2347)</f>
        <v>20580</v>
      </c>
      <c r="L2348" s="59"/>
      <c r="T2348" s="48"/>
      <c r="U2348" s="48"/>
      <c r="V2348" s="48"/>
      <c r="W2348" s="48"/>
    </row>
    <row r="2349" spans="1:23" ht="15.6" customHeight="1" thickTop="1" x14ac:dyDescent="0.25">
      <c r="B2349" s="50"/>
      <c r="C2349" s="50"/>
      <c r="I2349" s="265"/>
      <c r="J2349" s="58"/>
      <c r="K2349" s="265"/>
      <c r="L2349" s="59"/>
      <c r="P2349" s="1115"/>
      <c r="T2349" s="48"/>
      <c r="U2349" s="48"/>
      <c r="V2349" s="48"/>
      <c r="W2349" s="48"/>
    </row>
    <row r="2350" spans="1:23" ht="15" hidden="1" customHeight="1" x14ac:dyDescent="0.25">
      <c r="A2350" s="1221"/>
      <c r="B2350" s="1348" t="s">
        <v>4377</v>
      </c>
      <c r="C2350" s="1221"/>
      <c r="D2350" s="1225"/>
      <c r="E2350" s="1221"/>
      <c r="F2350" s="1225"/>
      <c r="G2350" s="1225"/>
      <c r="H2350" s="1225"/>
      <c r="I2350" s="1222"/>
      <c r="J2350" s="1252"/>
      <c r="K2350" s="1222"/>
      <c r="L2350" s="1221"/>
      <c r="M2350" s="1133"/>
      <c r="N2350" s="1147"/>
      <c r="O2350" s="1133"/>
      <c r="P2350" s="1115"/>
      <c r="T2350" s="48"/>
      <c r="U2350" s="48"/>
      <c r="V2350" s="48"/>
      <c r="W2350" s="48"/>
    </row>
    <row r="2351" spans="1:23" ht="15.6" hidden="1" customHeight="1" x14ac:dyDescent="0.2">
      <c r="A2351" s="1221"/>
      <c r="B2351" s="1221" t="s">
        <v>453</v>
      </c>
      <c r="C2351" s="1221"/>
      <c r="D2351" s="1225"/>
      <c r="E2351" s="1221"/>
      <c r="F2351" s="1225"/>
      <c r="G2351" s="1225"/>
      <c r="H2351" s="1225"/>
      <c r="I2351" s="1222">
        <v>0</v>
      </c>
      <c r="J2351" s="1252"/>
      <c r="K2351" s="1222">
        <v>0</v>
      </c>
      <c r="L2351" s="1221"/>
      <c r="M2351" s="1133"/>
      <c r="N2351" s="1147"/>
      <c r="O2351" s="1133"/>
      <c r="P2351" s="1110" t="s">
        <v>3352</v>
      </c>
      <c r="Q2351" s="1111" t="s">
        <v>2763</v>
      </c>
      <c r="R2351" s="1110" t="s">
        <v>3353</v>
      </c>
      <c r="S2351" s="1111" t="s">
        <v>2765</v>
      </c>
      <c r="T2351" s="48"/>
      <c r="U2351" s="48"/>
      <c r="V2351" s="48"/>
      <c r="W2351" s="48"/>
    </row>
    <row r="2352" spans="1:23" ht="15.6" hidden="1" customHeight="1" x14ac:dyDescent="0.2">
      <c r="A2352" s="1221"/>
      <c r="B2352" s="1221" t="s">
        <v>4362</v>
      </c>
      <c r="C2352" s="1221"/>
      <c r="D2352" s="1225"/>
      <c r="E2352" s="1221"/>
      <c r="F2352" s="1225"/>
      <c r="G2352" s="1225"/>
      <c r="H2352" s="1225"/>
      <c r="I2352" s="1222">
        <v>0</v>
      </c>
      <c r="J2352" s="1252"/>
      <c r="K2352" s="1222">
        <f>-'Trial Balance - FPer'!C946</f>
        <v>20580</v>
      </c>
      <c r="L2352" s="1221"/>
      <c r="M2352" s="1133"/>
      <c r="N2352" s="1147"/>
      <c r="O2352" s="1133"/>
      <c r="P2352" s="1110" t="s">
        <v>3354</v>
      </c>
      <c r="Q2352" s="1111" t="s">
        <v>2763</v>
      </c>
      <c r="R2352" s="1110" t="s">
        <v>3355</v>
      </c>
      <c r="S2352" s="1111" t="s">
        <v>2765</v>
      </c>
      <c r="T2352" s="48"/>
      <c r="U2352" s="48"/>
      <c r="V2352" s="48"/>
      <c r="W2352" s="48"/>
    </row>
    <row r="2353" spans="1:23" ht="15.6" hidden="1" customHeight="1" x14ac:dyDescent="0.2">
      <c r="A2353" s="1221"/>
      <c r="B2353" s="1221" t="s">
        <v>1621</v>
      </c>
      <c r="C2353" s="1221"/>
      <c r="D2353" s="1225"/>
      <c r="E2353" s="1221"/>
      <c r="F2353" s="1225"/>
      <c r="G2353" s="1225"/>
      <c r="H2353" s="1225"/>
      <c r="I2353" s="1222">
        <v>0</v>
      </c>
      <c r="J2353" s="1252"/>
      <c r="K2353" s="1222">
        <v>0</v>
      </c>
      <c r="L2353" s="1221"/>
      <c r="M2353" s="1133"/>
      <c r="N2353" s="1147"/>
      <c r="O2353" s="1133"/>
      <c r="P2353" s="1110" t="s">
        <v>3356</v>
      </c>
      <c r="Q2353" s="1111" t="s">
        <v>2763</v>
      </c>
      <c r="R2353" s="1110" t="s">
        <v>3357</v>
      </c>
      <c r="S2353" s="1111" t="s">
        <v>2765</v>
      </c>
      <c r="T2353" s="48"/>
      <c r="U2353" s="48"/>
      <c r="V2353" s="48"/>
      <c r="W2353" s="48"/>
    </row>
    <row r="2354" spans="1:23" ht="15.6" hidden="1" customHeight="1" x14ac:dyDescent="0.2">
      <c r="A2354" s="1221"/>
      <c r="B2354" s="1221"/>
      <c r="C2354" s="1221"/>
      <c r="D2354" s="1225"/>
      <c r="E2354" s="1221"/>
      <c r="F2354" s="1225"/>
      <c r="G2354" s="1225"/>
      <c r="H2354" s="1225"/>
      <c r="I2354" s="1222"/>
      <c r="J2354" s="1252"/>
      <c r="K2354" s="1222"/>
      <c r="L2354" s="1221"/>
      <c r="M2354" s="1133"/>
      <c r="N2354" s="1147"/>
      <c r="O2354" s="1133"/>
      <c r="P2354" s="1115"/>
      <c r="T2354" s="48"/>
      <c r="U2354" s="48"/>
      <c r="V2354" s="48"/>
      <c r="W2354" s="48"/>
    </row>
    <row r="2355" spans="1:23" ht="15.6" hidden="1" customHeight="1" thickBot="1" x14ac:dyDescent="0.3">
      <c r="A2355" s="1221"/>
      <c r="B2355" s="1221" t="s">
        <v>1622</v>
      </c>
      <c r="C2355" s="1221"/>
      <c r="D2355" s="1225"/>
      <c r="E2355" s="1221"/>
      <c r="F2355" s="1225"/>
      <c r="G2355" s="1225"/>
      <c r="H2355" s="1225"/>
      <c r="I2355" s="1350">
        <f>SUM(I2350:I2354)</f>
        <v>0</v>
      </c>
      <c r="J2355" s="1222"/>
      <c r="K2355" s="1350">
        <f>SUM(K2350:K2354)</f>
        <v>20580</v>
      </c>
      <c r="L2355" s="1221"/>
      <c r="M2355" s="1133"/>
      <c r="N2355" s="1147"/>
      <c r="O2355" s="1133"/>
      <c r="P2355" s="1115"/>
      <c r="T2355" s="48"/>
      <c r="U2355" s="48"/>
      <c r="V2355" s="48"/>
      <c r="W2355" s="48"/>
    </row>
    <row r="2356" spans="1:23" ht="15.6" hidden="1" customHeight="1" thickTop="1" x14ac:dyDescent="0.2">
      <c r="A2356" s="1221"/>
      <c r="B2356" s="1221"/>
      <c r="C2356" s="1221"/>
      <c r="D2356" s="1225"/>
      <c r="E2356" s="1221"/>
      <c r="F2356" s="1225"/>
      <c r="G2356" s="1225"/>
      <c r="H2356" s="1225"/>
      <c r="I2356" s="1349"/>
      <c r="J2356" s="1252"/>
      <c r="K2356" s="1349"/>
      <c r="L2356" s="1221"/>
      <c r="M2356" s="1133"/>
      <c r="N2356" s="1147"/>
      <c r="O2356" s="1133"/>
      <c r="P2356" s="1115"/>
      <c r="T2356" s="48"/>
      <c r="U2356" s="48"/>
      <c r="V2356" s="48"/>
      <c r="W2356" s="48"/>
    </row>
    <row r="2357" spans="1:23" ht="15.6" hidden="1" customHeight="1" x14ac:dyDescent="0.25">
      <c r="A2357" s="1221"/>
      <c r="B2357" s="1348" t="s">
        <v>4124</v>
      </c>
      <c r="C2357" s="1221"/>
      <c r="D2357" s="1225"/>
      <c r="E2357" s="1221"/>
      <c r="F2357" s="1225"/>
      <c r="G2357" s="1225"/>
      <c r="H2357" s="1225"/>
      <c r="I2357" s="1349"/>
      <c r="J2357" s="1252"/>
      <c r="K2357" s="1349"/>
      <c r="L2357" s="1258"/>
      <c r="T2357" s="48"/>
      <c r="U2357" s="48"/>
      <c r="V2357" s="48"/>
      <c r="W2357" s="48"/>
    </row>
    <row r="2358" spans="1:23" ht="15.6" hidden="1" customHeight="1" x14ac:dyDescent="0.2">
      <c r="A2358" s="1221"/>
      <c r="B2358" s="1221" t="s">
        <v>1420</v>
      </c>
      <c r="C2358" s="1221"/>
      <c r="D2358" s="1225"/>
      <c r="E2358" s="1221"/>
      <c r="F2358" s="1225"/>
      <c r="G2358" s="1225"/>
      <c r="H2358" s="1225"/>
      <c r="I2358" s="1252">
        <f ca="1">-SUMIF($B$2373:$G$2410,$B2358,I$2373:I$2410)</f>
        <v>0</v>
      </c>
      <c r="J2358" s="1252"/>
      <c r="K2358" s="1252">
        <f ca="1">-SUMIF($B$2373:$G$2410,$B2358,K$2373:K$2410)</f>
        <v>0</v>
      </c>
      <c r="L2358" s="1258"/>
      <c r="T2358" s="48"/>
      <c r="U2358" s="48"/>
      <c r="V2358" s="48"/>
      <c r="W2358" s="48"/>
    </row>
    <row r="2359" spans="1:23" ht="15.6" hidden="1" customHeight="1" x14ac:dyDescent="0.2">
      <c r="A2359" s="1221"/>
      <c r="B2359" s="1221" t="s">
        <v>1421</v>
      </c>
      <c r="C2359" s="1221"/>
      <c r="D2359" s="1225"/>
      <c r="E2359" s="1221"/>
      <c r="F2359" s="1225"/>
      <c r="G2359" s="1225"/>
      <c r="H2359" s="1225"/>
      <c r="I2359" s="1252">
        <f ca="1">-SUMIF($B$2373:$G$2410,$B2359,I$2373:I$2410)</f>
        <v>0</v>
      </c>
      <c r="J2359" s="1252"/>
      <c r="K2359" s="1252">
        <f ca="1">-SUMIF($B$2373:$G$2410,$B2359,K$2373:K$2410)</f>
        <v>0</v>
      </c>
      <c r="L2359" s="1258"/>
      <c r="T2359" s="48"/>
      <c r="U2359" s="48"/>
      <c r="V2359" s="48"/>
      <c r="W2359" s="48"/>
    </row>
    <row r="2360" spans="1:23" ht="15.6" hidden="1" customHeight="1" x14ac:dyDescent="0.2">
      <c r="A2360" s="1221"/>
      <c r="B2360" s="1221"/>
      <c r="C2360" s="1221"/>
      <c r="D2360" s="1225"/>
      <c r="E2360" s="1221"/>
      <c r="F2360" s="1225"/>
      <c r="G2360" s="1225"/>
      <c r="H2360" s="1225"/>
      <c r="I2360" s="1252"/>
      <c r="J2360" s="1252"/>
      <c r="K2360" s="1252"/>
      <c r="L2360" s="1258"/>
      <c r="T2360" s="48"/>
      <c r="U2360" s="48"/>
      <c r="V2360" s="48"/>
      <c r="W2360" s="48"/>
    </row>
    <row r="2361" spans="1:23" ht="15.6" hidden="1" customHeight="1" thickBot="1" x14ac:dyDescent="0.3">
      <c r="A2361" s="1221"/>
      <c r="B2361" s="1348" t="s">
        <v>4125</v>
      </c>
      <c r="C2361" s="1221"/>
      <c r="D2361" s="1225"/>
      <c r="E2361" s="1221"/>
      <c r="F2361" s="1225"/>
      <c r="G2361" s="1225"/>
      <c r="H2361" s="1225"/>
      <c r="I2361" s="1350">
        <f ca="1">SUM(I2357:I2360)</f>
        <v>0</v>
      </c>
      <c r="J2361" s="1222"/>
      <c r="K2361" s="1350">
        <f ca="1">SUM(K2357:K2360)</f>
        <v>0</v>
      </c>
      <c r="L2361" s="1258"/>
      <c r="T2361" s="48"/>
      <c r="U2361" s="48"/>
      <c r="V2361" s="48"/>
      <c r="W2361" s="48"/>
    </row>
    <row r="2362" spans="1:23" ht="15.6" hidden="1" customHeight="1" thickTop="1" x14ac:dyDescent="0.2">
      <c r="A2362" s="1221"/>
      <c r="B2362" s="1221"/>
      <c r="C2362" s="1221"/>
      <c r="D2362" s="1225"/>
      <c r="E2362" s="1221"/>
      <c r="F2362" s="1225"/>
      <c r="G2362" s="1225"/>
      <c r="H2362" s="1225"/>
      <c r="I2362" s="1349"/>
      <c r="J2362" s="1252"/>
      <c r="K2362" s="1349"/>
      <c r="L2362" s="1258"/>
      <c r="T2362" s="48"/>
      <c r="U2362" s="48"/>
      <c r="V2362" s="48"/>
      <c r="W2362" s="48"/>
    </row>
    <row r="2363" spans="1:23" ht="15.6" hidden="1" customHeight="1" x14ac:dyDescent="0.25">
      <c r="A2363" s="767"/>
      <c r="B2363" s="767" t="s">
        <v>1028</v>
      </c>
      <c r="C2363" s="767"/>
      <c r="D2363" s="769"/>
      <c r="E2363" s="767"/>
      <c r="F2363" s="769"/>
      <c r="G2363" s="769"/>
      <c r="H2363" s="769"/>
      <c r="I2363" s="1542"/>
      <c r="J2363" s="1542"/>
      <c r="K2363" s="1542"/>
      <c r="L2363" s="1619"/>
      <c r="M2363" s="1133"/>
      <c r="N2363" s="1147"/>
      <c r="T2363" s="48"/>
      <c r="U2363" s="48"/>
      <c r="V2363" s="48"/>
      <c r="W2363" s="48"/>
    </row>
    <row r="2364" spans="1:23" ht="15.6" hidden="1" customHeight="1" x14ac:dyDescent="0.25">
      <c r="A2364" s="767"/>
      <c r="B2364" s="767" t="s">
        <v>1029</v>
      </c>
      <c r="C2364" s="767"/>
      <c r="D2364" s="769"/>
      <c r="E2364" s="767"/>
      <c r="F2364" s="769"/>
      <c r="G2364" s="769"/>
      <c r="H2364" s="769"/>
      <c r="I2364" s="1542">
        <f>I2348-I2365</f>
        <v>0</v>
      </c>
      <c r="J2364" s="1542"/>
      <c r="K2364" s="1542">
        <f>K2348-K2365</f>
        <v>20580</v>
      </c>
      <c r="L2364" s="1619"/>
      <c r="M2364" s="1133"/>
      <c r="N2364" s="1147"/>
    </row>
    <row r="2365" spans="1:23" ht="15.6" hidden="1" customHeight="1" x14ac:dyDescent="0.25">
      <c r="A2365" s="767"/>
      <c r="B2365" s="767" t="s">
        <v>1030</v>
      </c>
      <c r="C2365" s="767"/>
      <c r="D2365" s="769"/>
      <c r="E2365" s="767"/>
      <c r="F2365" s="769"/>
      <c r="G2365" s="769"/>
      <c r="H2365" s="769"/>
      <c r="I2365" s="1542">
        <v>0</v>
      </c>
      <c r="J2365" s="1542"/>
      <c r="K2365" s="1542">
        <v>0</v>
      </c>
      <c r="L2365" s="1619"/>
      <c r="M2365" s="1133"/>
      <c r="N2365" s="1147"/>
    </row>
    <row r="2366" spans="1:23" ht="15.6" hidden="1" customHeight="1" x14ac:dyDescent="0.25">
      <c r="A2366" s="767"/>
      <c r="B2366" s="767"/>
      <c r="C2366" s="767"/>
      <c r="D2366" s="769"/>
      <c r="E2366" s="767"/>
      <c r="F2366" s="769"/>
      <c r="G2366" s="769"/>
      <c r="H2366" s="769"/>
      <c r="I2366" s="779"/>
      <c r="J2366" s="779"/>
      <c r="K2366" s="779"/>
      <c r="L2366" s="1619"/>
      <c r="M2366" s="1133"/>
      <c r="N2366" s="1147"/>
    </row>
    <row r="2367" spans="1:23" ht="15.6" hidden="1" customHeight="1" thickBot="1" x14ac:dyDescent="0.3">
      <c r="A2367" s="767"/>
      <c r="B2367" s="767"/>
      <c r="C2367" s="767"/>
      <c r="D2367" s="769"/>
      <c r="E2367" s="767"/>
      <c r="F2367" s="769"/>
      <c r="G2367" s="769"/>
      <c r="H2367" s="769"/>
      <c r="I2367" s="1539">
        <f>SUM(I2364:I2366)</f>
        <v>0</v>
      </c>
      <c r="J2367" s="775"/>
      <c r="K2367" s="1539">
        <f>SUM(K2364:K2366)</f>
        <v>20580</v>
      </c>
      <c r="L2367" s="1619"/>
      <c r="M2367" s="1133"/>
      <c r="N2367" s="1147"/>
    </row>
    <row r="2368" spans="1:23" ht="15.6" hidden="1" customHeight="1" thickTop="1" x14ac:dyDescent="0.25">
      <c r="A2368" s="767"/>
      <c r="B2368" s="767"/>
      <c r="C2368" s="767"/>
      <c r="D2368" s="769"/>
      <c r="E2368" s="767"/>
      <c r="F2368" s="769"/>
      <c r="G2368" s="769"/>
      <c r="H2368" s="769"/>
      <c r="I2368" s="782">
        <f>I2367-I2348</f>
        <v>0</v>
      </c>
      <c r="J2368" s="779"/>
      <c r="K2368" s="782">
        <f>K2367-K2348</f>
        <v>0</v>
      </c>
      <c r="L2368" s="1619"/>
      <c r="M2368" s="1133"/>
      <c r="N2368" s="1147"/>
    </row>
    <row r="2369" spans="1:23" ht="46.5" hidden="1" customHeight="1" x14ac:dyDescent="0.2">
      <c r="A2369" s="767"/>
      <c r="B2369" s="2855" t="s">
        <v>2517</v>
      </c>
      <c r="C2369" s="2855"/>
      <c r="D2369" s="2855"/>
      <c r="E2369" s="2855"/>
      <c r="F2369" s="2855"/>
      <c r="G2369" s="2855"/>
      <c r="H2369" s="768"/>
      <c r="I2369" s="768"/>
      <c r="J2369" s="768"/>
      <c r="K2369" s="768"/>
      <c r="L2369" s="777"/>
      <c r="M2369" s="1133"/>
      <c r="N2369" s="1147"/>
      <c r="O2369" s="1146"/>
    </row>
    <row r="2370" spans="1:23" ht="15.6" hidden="1" customHeight="1" x14ac:dyDescent="0.2">
      <c r="A2370" s="767"/>
      <c r="B2370" s="767"/>
      <c r="C2370" s="767"/>
      <c r="D2370" s="769"/>
      <c r="E2370" s="767"/>
      <c r="F2370" s="769"/>
      <c r="G2370" s="769"/>
      <c r="H2370" s="769"/>
      <c r="I2370" s="779"/>
      <c r="J2370" s="779"/>
      <c r="K2370" s="779"/>
      <c r="L2370" s="777"/>
      <c r="N2370" s="1471"/>
      <c r="P2370" s="1115"/>
    </row>
    <row r="2371" spans="1:23" ht="62.1" hidden="1" customHeight="1" x14ac:dyDescent="0.2">
      <c r="A2371" s="767"/>
      <c r="B2371" s="2855" t="s">
        <v>2518</v>
      </c>
      <c r="C2371" s="2855"/>
      <c r="D2371" s="2855"/>
      <c r="E2371" s="2855"/>
      <c r="F2371" s="2855"/>
      <c r="G2371" s="2855"/>
      <c r="H2371" s="768"/>
      <c r="I2371" s="768"/>
      <c r="J2371" s="768"/>
      <c r="K2371" s="768"/>
      <c r="L2371" s="777"/>
      <c r="M2371" s="1133"/>
      <c r="N2371" s="1147"/>
      <c r="O2371" s="1146"/>
      <c r="P2371" s="1115"/>
    </row>
    <row r="2372" spans="1:23" ht="15.6" hidden="1" customHeight="1" x14ac:dyDescent="0.2">
      <c r="A2372" s="767"/>
      <c r="B2372" s="767"/>
      <c r="C2372" s="767"/>
      <c r="D2372" s="769"/>
      <c r="E2372" s="767"/>
      <c r="F2372" s="769"/>
      <c r="G2372" s="769"/>
      <c r="H2372" s="769"/>
      <c r="I2372" s="779"/>
      <c r="J2372" s="779"/>
      <c r="K2372" s="779"/>
      <c r="L2372" s="777"/>
      <c r="M2372" s="1133"/>
      <c r="N2372" s="1147"/>
      <c r="O2372" s="1146"/>
    </row>
    <row r="2373" spans="1:23" ht="15.6" hidden="1" customHeight="1" x14ac:dyDescent="0.25">
      <c r="B2373" s="50" t="s">
        <v>1756</v>
      </c>
      <c r="I2373" s="58"/>
      <c r="J2373" s="58"/>
      <c r="K2373" s="58"/>
      <c r="L2373" s="59"/>
      <c r="M2373" s="1133"/>
      <c r="N2373" s="1133"/>
      <c r="O2373" s="1146"/>
    </row>
    <row r="2374" spans="1:23" ht="15.6" hidden="1" customHeight="1" x14ac:dyDescent="0.2">
      <c r="I2374" s="58"/>
      <c r="J2374" s="58"/>
      <c r="K2374" s="58"/>
      <c r="L2374" s="59"/>
      <c r="M2374" s="1133"/>
      <c r="N2374" s="1133"/>
      <c r="O2374" s="1146"/>
    </row>
    <row r="2375" spans="1:23" ht="15.6" hidden="1" customHeight="1" x14ac:dyDescent="0.2">
      <c r="A2375" s="655"/>
      <c r="B2375" s="1456" t="s">
        <v>4153</v>
      </c>
      <c r="C2375" s="655"/>
      <c r="D2375" s="656"/>
      <c r="E2375" s="655"/>
      <c r="F2375" s="656"/>
      <c r="G2375" s="656"/>
      <c r="H2375" s="656"/>
      <c r="I2375" s="658"/>
      <c r="J2375" s="658"/>
      <c r="K2375" s="658"/>
      <c r="L2375" s="1415"/>
      <c r="M2375" s="1133"/>
      <c r="N2375" s="1133"/>
      <c r="O2375" s="1146"/>
      <c r="W2375" s="1114" t="s">
        <v>3857</v>
      </c>
    </row>
    <row r="2376" spans="1:23" ht="15.6" hidden="1" customHeight="1" x14ac:dyDescent="0.2">
      <c r="A2376" s="655"/>
      <c r="B2376" s="655"/>
      <c r="C2376" s="655"/>
      <c r="D2376" s="656"/>
      <c r="E2376" s="655"/>
      <c r="F2376" s="656"/>
      <c r="G2376" s="656"/>
      <c r="H2376" s="656"/>
      <c r="I2376" s="658"/>
      <c r="J2376" s="658"/>
      <c r="K2376" s="658"/>
      <c r="L2376" s="1415"/>
      <c r="M2376" s="1133"/>
      <c r="N2376" s="1133"/>
      <c r="O2376" s="1146"/>
    </row>
    <row r="2377" spans="1:23" ht="15.6" hidden="1" customHeight="1" x14ac:dyDescent="0.2">
      <c r="A2377" s="655"/>
      <c r="B2377" s="1553" t="s">
        <v>1059</v>
      </c>
      <c r="C2377" s="655"/>
      <c r="D2377" s="656"/>
      <c r="E2377" s="655"/>
      <c r="F2377" s="656"/>
      <c r="G2377" s="656"/>
      <c r="H2377" s="656"/>
      <c r="I2377" s="658">
        <f>K2383</f>
        <v>0</v>
      </c>
      <c r="J2377" s="658"/>
      <c r="K2377" s="658">
        <v>0</v>
      </c>
      <c r="L2377" s="1415"/>
      <c r="M2377" s="1133"/>
      <c r="N2377" s="1133"/>
      <c r="O2377" s="1146"/>
      <c r="P2377" s="1111"/>
      <c r="R2377" s="1111" t="s">
        <v>3710</v>
      </c>
      <c r="S2377" s="1111" t="s">
        <v>2765</v>
      </c>
    </row>
    <row r="2378" spans="1:23" ht="15.6" hidden="1" customHeight="1" x14ac:dyDescent="0.2">
      <c r="A2378" s="655"/>
      <c r="B2378" s="1553" t="s">
        <v>1062</v>
      </c>
      <c r="C2378" s="655"/>
      <c r="D2378" s="656"/>
      <c r="E2378" s="655"/>
      <c r="F2378" s="656"/>
      <c r="G2378" s="656"/>
      <c r="H2378" s="656"/>
      <c r="I2378" s="658">
        <v>0</v>
      </c>
      <c r="J2378" s="658"/>
      <c r="K2378" s="658">
        <v>0</v>
      </c>
      <c r="L2378" s="1415"/>
      <c r="M2378" s="1133"/>
      <c r="N2378" s="1133"/>
      <c r="O2378" s="1146"/>
      <c r="P2378" s="1602" t="s">
        <v>3717</v>
      </c>
      <c r="Q2378" s="1603" t="s">
        <v>2763</v>
      </c>
      <c r="R2378" s="1602" t="s">
        <v>3711</v>
      </c>
      <c r="S2378" s="1603" t="s">
        <v>2765</v>
      </c>
    </row>
    <row r="2379" spans="1:23" ht="15.6" hidden="1" customHeight="1" x14ac:dyDescent="0.2">
      <c r="A2379" s="655"/>
      <c r="B2379" s="655" t="s">
        <v>1419</v>
      </c>
      <c r="C2379" s="655"/>
      <c r="D2379" s="656"/>
      <c r="E2379" s="655"/>
      <c r="F2379" s="656"/>
      <c r="G2379" s="656"/>
      <c r="H2379" s="656"/>
      <c r="I2379" s="658">
        <v>0</v>
      </c>
      <c r="J2379" s="658"/>
      <c r="K2379" s="658">
        <v>0</v>
      </c>
      <c r="L2379" s="1415"/>
      <c r="M2379" s="1133"/>
      <c r="N2379" s="1133"/>
      <c r="O2379" s="1146"/>
      <c r="P2379" s="1602" t="s">
        <v>3718</v>
      </c>
      <c r="Q2379" s="1603" t="s">
        <v>2763</v>
      </c>
      <c r="R2379" s="1602" t="s">
        <v>3712</v>
      </c>
      <c r="S2379" s="1603" t="s">
        <v>2765</v>
      </c>
    </row>
    <row r="2380" spans="1:23" ht="15.6" hidden="1" customHeight="1" x14ac:dyDescent="0.2">
      <c r="A2380" s="655"/>
      <c r="B2380" s="1553" t="s">
        <v>1420</v>
      </c>
      <c r="C2380" s="655"/>
      <c r="D2380" s="656"/>
      <c r="E2380" s="655"/>
      <c r="F2380" s="656"/>
      <c r="G2380" s="656"/>
      <c r="H2380" s="656"/>
      <c r="I2380" s="658">
        <v>0</v>
      </c>
      <c r="J2380" s="658"/>
      <c r="K2380" s="658">
        <v>0</v>
      </c>
      <c r="L2380" s="1415"/>
      <c r="P2380" s="1602" t="s">
        <v>3719</v>
      </c>
      <c r="Q2380" s="1603" t="s">
        <v>2763</v>
      </c>
      <c r="R2380" s="1602" t="s">
        <v>3713</v>
      </c>
      <c r="S2380" s="1603" t="s">
        <v>2765</v>
      </c>
    </row>
    <row r="2381" spans="1:23" ht="15.6" hidden="1" customHeight="1" x14ac:dyDescent="0.2">
      <c r="A2381" s="655"/>
      <c r="B2381" s="1553" t="s">
        <v>1421</v>
      </c>
      <c r="C2381" s="655"/>
      <c r="D2381" s="656"/>
      <c r="E2381" s="655"/>
      <c r="F2381" s="656"/>
      <c r="G2381" s="656"/>
      <c r="H2381" s="656"/>
      <c r="I2381" s="658">
        <v>0</v>
      </c>
      <c r="J2381" s="658"/>
      <c r="K2381" s="658">
        <v>0</v>
      </c>
      <c r="L2381" s="1415"/>
      <c r="P2381" s="1602" t="s">
        <v>3720</v>
      </c>
      <c r="Q2381" s="1603" t="s">
        <v>2763</v>
      </c>
      <c r="R2381" s="1602" t="s">
        <v>3714</v>
      </c>
      <c r="S2381" s="1603" t="s">
        <v>2765</v>
      </c>
    </row>
    <row r="2382" spans="1:23" ht="15.6" hidden="1" customHeight="1" x14ac:dyDescent="0.2">
      <c r="A2382" s="655"/>
      <c r="B2382" s="655" t="s">
        <v>1422</v>
      </c>
      <c r="C2382" s="655"/>
      <c r="D2382" s="656"/>
      <c r="E2382" s="655"/>
      <c r="F2382" s="656"/>
      <c r="G2382" s="656"/>
      <c r="H2382" s="656"/>
      <c r="I2382" s="658">
        <v>0</v>
      </c>
      <c r="J2382" s="658"/>
      <c r="K2382" s="658">
        <v>0</v>
      </c>
      <c r="L2382" s="1415"/>
    </row>
    <row r="2383" spans="1:23" ht="15.6" hidden="1" customHeight="1" thickBot="1" x14ac:dyDescent="0.3">
      <c r="A2383" s="655"/>
      <c r="B2383" s="1553" t="s">
        <v>2204</v>
      </c>
      <c r="C2383" s="655"/>
      <c r="D2383" s="656"/>
      <c r="E2383" s="655"/>
      <c r="F2383" s="656"/>
      <c r="G2383" s="656"/>
      <c r="H2383" s="656"/>
      <c r="I2383" s="1545">
        <f>SUM(I2375:I2382)</f>
        <v>0</v>
      </c>
      <c r="J2383" s="661"/>
      <c r="K2383" s="1545">
        <f>SUM(K2375:K2382)</f>
        <v>0</v>
      </c>
      <c r="L2383" s="1415"/>
    </row>
    <row r="2384" spans="1:23" ht="15.6" hidden="1" customHeight="1" thickTop="1" x14ac:dyDescent="0.2">
      <c r="A2384" s="655"/>
      <c r="B2384" s="655"/>
      <c r="C2384" s="655"/>
      <c r="D2384" s="656"/>
      <c r="E2384" s="655"/>
      <c r="F2384" s="656"/>
      <c r="G2384" s="656"/>
      <c r="H2384" s="656"/>
      <c r="I2384" s="1569">
        <v>0</v>
      </c>
      <c r="J2384" s="658"/>
      <c r="K2384" s="1569">
        <v>0</v>
      </c>
      <c r="L2384" s="1415"/>
    </row>
    <row r="2385" spans="1:23" ht="30.95" hidden="1" customHeight="1" x14ac:dyDescent="0.2">
      <c r="A2385" s="655"/>
      <c r="B2385" s="2868" t="s">
        <v>1624</v>
      </c>
      <c r="C2385" s="2868"/>
      <c r="D2385" s="2868"/>
      <c r="E2385" s="2868"/>
      <c r="F2385" s="2868"/>
      <c r="G2385" s="2868"/>
      <c r="H2385" s="1546"/>
      <c r="I2385" s="1546"/>
      <c r="J2385" s="1546"/>
      <c r="K2385" s="1546"/>
      <c r="L2385" s="1415"/>
      <c r="M2385" s="1214" t="s">
        <v>4022</v>
      </c>
    </row>
    <row r="2386" spans="1:23" ht="15.6" hidden="1" customHeight="1" x14ac:dyDescent="0.2">
      <c r="A2386" s="655"/>
      <c r="B2386" s="655"/>
      <c r="C2386" s="655"/>
      <c r="D2386" s="656"/>
      <c r="E2386" s="655"/>
      <c r="F2386" s="656"/>
      <c r="G2386" s="656"/>
      <c r="H2386" s="656"/>
      <c r="I2386" s="658"/>
      <c r="J2386" s="658"/>
      <c r="K2386" s="658"/>
      <c r="L2386" s="1415"/>
    </row>
    <row r="2387" spans="1:23" ht="15.6" hidden="1" customHeight="1" x14ac:dyDescent="0.2">
      <c r="A2387" s="655"/>
      <c r="B2387" s="1456" t="s">
        <v>4154</v>
      </c>
      <c r="C2387" s="655"/>
      <c r="D2387" s="656"/>
      <c r="E2387" s="655"/>
      <c r="F2387" s="656"/>
      <c r="G2387" s="656"/>
      <c r="H2387" s="656"/>
      <c r="I2387" s="658"/>
      <c r="J2387" s="658"/>
      <c r="K2387" s="658"/>
      <c r="L2387" s="1415"/>
      <c r="M2387" s="1133"/>
      <c r="N2387" s="1133"/>
      <c r="O2387" s="1146"/>
      <c r="W2387" s="1114" t="s">
        <v>3857</v>
      </c>
    </row>
    <row r="2388" spans="1:23" ht="15.6" hidden="1" customHeight="1" x14ac:dyDescent="0.2">
      <c r="A2388" s="655"/>
      <c r="B2388" s="655"/>
      <c r="C2388" s="655"/>
      <c r="D2388" s="656"/>
      <c r="E2388" s="655"/>
      <c r="F2388" s="656"/>
      <c r="G2388" s="656"/>
      <c r="H2388" s="656"/>
      <c r="I2388" s="658"/>
      <c r="J2388" s="658"/>
      <c r="K2388" s="658"/>
      <c r="L2388" s="1415"/>
      <c r="M2388" s="1133"/>
      <c r="N2388" s="1133"/>
      <c r="O2388" s="1146"/>
    </row>
    <row r="2389" spans="1:23" ht="15.6" hidden="1" customHeight="1" x14ac:dyDescent="0.2">
      <c r="A2389" s="655"/>
      <c r="B2389" s="1553" t="s">
        <v>1059</v>
      </c>
      <c r="C2389" s="655"/>
      <c r="D2389" s="656"/>
      <c r="E2389" s="655"/>
      <c r="F2389" s="656"/>
      <c r="G2389" s="656"/>
      <c r="H2389" s="656"/>
      <c r="I2389" s="658">
        <f>K2395</f>
        <v>0</v>
      </c>
      <c r="J2389" s="658"/>
      <c r="K2389" s="658">
        <v>0</v>
      </c>
      <c r="L2389" s="1415"/>
      <c r="M2389" s="1133"/>
      <c r="N2389" s="1133"/>
      <c r="O2389" s="1146"/>
      <c r="P2389" s="1111"/>
      <c r="R2389" s="1602" t="s">
        <v>3721</v>
      </c>
      <c r="S2389" s="1603" t="s">
        <v>2765</v>
      </c>
    </row>
    <row r="2390" spans="1:23" ht="15.6" hidden="1" customHeight="1" x14ac:dyDescent="0.2">
      <c r="A2390" s="655"/>
      <c r="B2390" s="1553" t="s">
        <v>1062</v>
      </c>
      <c r="C2390" s="655"/>
      <c r="D2390" s="656"/>
      <c r="E2390" s="655"/>
      <c r="F2390" s="656"/>
      <c r="G2390" s="656"/>
      <c r="H2390" s="656"/>
      <c r="I2390" s="658">
        <v>0</v>
      </c>
      <c r="J2390" s="658"/>
      <c r="K2390" s="658">
        <v>0</v>
      </c>
      <c r="L2390" s="1415"/>
      <c r="M2390" s="1133"/>
      <c r="N2390" s="1133"/>
      <c r="O2390" s="1146"/>
      <c r="P2390" s="1602" t="s">
        <v>3726</v>
      </c>
      <c r="Q2390" s="1603" t="s">
        <v>2763</v>
      </c>
      <c r="R2390" s="1602" t="s">
        <v>3722</v>
      </c>
      <c r="S2390" s="1603" t="s">
        <v>2765</v>
      </c>
    </row>
    <row r="2391" spans="1:23" ht="15.6" hidden="1" customHeight="1" x14ac:dyDescent="0.2">
      <c r="A2391" s="655"/>
      <c r="B2391" s="655" t="s">
        <v>1419</v>
      </c>
      <c r="C2391" s="655"/>
      <c r="D2391" s="656"/>
      <c r="E2391" s="655"/>
      <c r="F2391" s="656"/>
      <c r="G2391" s="656"/>
      <c r="H2391" s="656"/>
      <c r="I2391" s="658">
        <v>0</v>
      </c>
      <c r="J2391" s="658"/>
      <c r="K2391" s="658">
        <v>0</v>
      </c>
      <c r="L2391" s="1415"/>
      <c r="M2391" s="1133"/>
      <c r="N2391" s="1133"/>
      <c r="O2391" s="1146"/>
      <c r="P2391" s="1602" t="s">
        <v>3727</v>
      </c>
      <c r="Q2391" s="1603" t="s">
        <v>2763</v>
      </c>
      <c r="R2391" s="1602" t="s">
        <v>3723</v>
      </c>
      <c r="S2391" s="1603" t="s">
        <v>2765</v>
      </c>
    </row>
    <row r="2392" spans="1:23" ht="15.6" hidden="1" customHeight="1" x14ac:dyDescent="0.2">
      <c r="A2392" s="655"/>
      <c r="B2392" s="1553" t="s">
        <v>1420</v>
      </c>
      <c r="C2392" s="655"/>
      <c r="D2392" s="656"/>
      <c r="E2392" s="655"/>
      <c r="F2392" s="656"/>
      <c r="G2392" s="656"/>
      <c r="H2392" s="656"/>
      <c r="I2392" s="658">
        <v>0</v>
      </c>
      <c r="J2392" s="658"/>
      <c r="K2392" s="658">
        <v>0</v>
      </c>
      <c r="L2392" s="1415"/>
      <c r="P2392" s="1602" t="s">
        <v>3728</v>
      </c>
      <c r="Q2392" s="1603" t="s">
        <v>2763</v>
      </c>
      <c r="R2392" s="1602" t="s">
        <v>3724</v>
      </c>
      <c r="S2392" s="1603" t="s">
        <v>2765</v>
      </c>
    </row>
    <row r="2393" spans="1:23" ht="15.6" hidden="1" customHeight="1" x14ac:dyDescent="0.2">
      <c r="A2393" s="655"/>
      <c r="B2393" s="1553" t="s">
        <v>1421</v>
      </c>
      <c r="C2393" s="655"/>
      <c r="D2393" s="656"/>
      <c r="E2393" s="655"/>
      <c r="F2393" s="656"/>
      <c r="G2393" s="656"/>
      <c r="H2393" s="656"/>
      <c r="I2393" s="658">
        <v>0</v>
      </c>
      <c r="J2393" s="658"/>
      <c r="K2393" s="658">
        <v>0</v>
      </c>
      <c r="L2393" s="1415"/>
      <c r="P2393" s="1602" t="s">
        <v>3729</v>
      </c>
      <c r="Q2393" s="1603" t="s">
        <v>2763</v>
      </c>
      <c r="R2393" s="1602" t="s">
        <v>3725</v>
      </c>
      <c r="S2393" s="1603" t="s">
        <v>2765</v>
      </c>
    </row>
    <row r="2394" spans="1:23" ht="15.6" hidden="1" customHeight="1" x14ac:dyDescent="0.2">
      <c r="A2394" s="655"/>
      <c r="B2394" s="655" t="s">
        <v>1422</v>
      </c>
      <c r="C2394" s="655"/>
      <c r="D2394" s="656"/>
      <c r="E2394" s="655"/>
      <c r="F2394" s="656"/>
      <c r="G2394" s="656"/>
      <c r="H2394" s="656"/>
      <c r="I2394" s="658">
        <v>0</v>
      </c>
      <c r="J2394" s="658"/>
      <c r="K2394" s="658">
        <v>0</v>
      </c>
      <c r="L2394" s="1415"/>
    </row>
    <row r="2395" spans="1:23" ht="15.6" hidden="1" customHeight="1" thickBot="1" x14ac:dyDescent="0.3">
      <c r="A2395" s="655"/>
      <c r="B2395" s="1553" t="s">
        <v>2204</v>
      </c>
      <c r="C2395" s="655"/>
      <c r="D2395" s="656"/>
      <c r="E2395" s="655"/>
      <c r="F2395" s="656"/>
      <c r="G2395" s="656"/>
      <c r="H2395" s="656"/>
      <c r="I2395" s="1545">
        <f>SUM(I2387:I2394)</f>
        <v>0</v>
      </c>
      <c r="J2395" s="661"/>
      <c r="K2395" s="1545">
        <f>SUM(K2387:K2394)</f>
        <v>0</v>
      </c>
      <c r="L2395" s="1415"/>
    </row>
    <row r="2396" spans="1:23" ht="15.6" hidden="1" customHeight="1" thickTop="1" x14ac:dyDescent="0.2">
      <c r="A2396" s="655"/>
      <c r="B2396" s="655"/>
      <c r="C2396" s="655"/>
      <c r="D2396" s="656"/>
      <c r="E2396" s="655"/>
      <c r="F2396" s="656"/>
      <c r="G2396" s="656"/>
      <c r="H2396" s="656"/>
      <c r="I2396" s="1569">
        <v>0</v>
      </c>
      <c r="J2396" s="658"/>
      <c r="K2396" s="1569">
        <v>0</v>
      </c>
      <c r="L2396" s="1415"/>
    </row>
    <row r="2397" spans="1:23" ht="30.95" hidden="1" customHeight="1" x14ac:dyDescent="0.2">
      <c r="A2397" s="655"/>
      <c r="B2397" s="2868" t="s">
        <v>2140</v>
      </c>
      <c r="C2397" s="2868"/>
      <c r="D2397" s="2868"/>
      <c r="E2397" s="2868"/>
      <c r="F2397" s="2868"/>
      <c r="G2397" s="2868"/>
      <c r="H2397" s="1546"/>
      <c r="I2397" s="1546"/>
      <c r="J2397" s="1546"/>
      <c r="K2397" s="1546"/>
      <c r="L2397" s="1415"/>
      <c r="M2397" s="1214" t="s">
        <v>4022</v>
      </c>
    </row>
    <row r="2398" spans="1:23" ht="15.6" hidden="1" customHeight="1" x14ac:dyDescent="0.2">
      <c r="A2398" s="655"/>
      <c r="B2398" s="655"/>
      <c r="C2398" s="655"/>
      <c r="D2398" s="656"/>
      <c r="E2398" s="655"/>
      <c r="F2398" s="656"/>
      <c r="G2398" s="656"/>
      <c r="H2398" s="656"/>
      <c r="I2398" s="658"/>
      <c r="J2398" s="658"/>
      <c r="K2398" s="658"/>
      <c r="L2398" s="1415"/>
    </row>
    <row r="2399" spans="1:23" ht="15.6" hidden="1" customHeight="1" x14ac:dyDescent="0.2">
      <c r="B2399" s="229" t="s">
        <v>4155</v>
      </c>
      <c r="I2399" s="58"/>
      <c r="J2399" s="58"/>
      <c r="K2399" s="58"/>
      <c r="L2399" s="59"/>
      <c r="M2399" s="1133"/>
      <c r="N2399" s="1133"/>
      <c r="O2399" s="1146"/>
      <c r="W2399" s="1114" t="s">
        <v>3857</v>
      </c>
    </row>
    <row r="2400" spans="1:23" ht="15.6" hidden="1" customHeight="1" x14ac:dyDescent="0.2">
      <c r="I2400" s="58"/>
      <c r="J2400" s="58"/>
      <c r="K2400" s="58"/>
      <c r="L2400" s="59"/>
      <c r="M2400" s="1133"/>
      <c r="N2400" s="1133"/>
      <c r="O2400" s="1146"/>
    </row>
    <row r="2401" spans="1:23" ht="15.6" hidden="1" customHeight="1" x14ac:dyDescent="0.2">
      <c r="B2401" s="61" t="s">
        <v>1059</v>
      </c>
      <c r="I2401" s="58">
        <f>K2407</f>
        <v>0</v>
      </c>
      <c r="J2401" s="58"/>
      <c r="K2401" s="58">
        <v>0</v>
      </c>
      <c r="L2401" s="59"/>
      <c r="M2401" s="1133"/>
      <c r="N2401" s="1133"/>
      <c r="O2401" s="1146"/>
      <c r="P2401" s="1111"/>
      <c r="R2401" s="1602" t="s">
        <v>3730</v>
      </c>
      <c r="S2401" s="1603" t="s">
        <v>2765</v>
      </c>
    </row>
    <row r="2402" spans="1:23" ht="15.6" hidden="1" customHeight="1" x14ac:dyDescent="0.2">
      <c r="B2402" s="61" t="s">
        <v>1062</v>
      </c>
      <c r="I2402" s="58">
        <v>0</v>
      </c>
      <c r="J2402" s="58"/>
      <c r="K2402" s="58">
        <v>0</v>
      </c>
      <c r="L2402" s="59"/>
      <c r="M2402" s="1133"/>
      <c r="N2402" s="1133"/>
      <c r="O2402" s="1146"/>
      <c r="P2402" s="1602" t="s">
        <v>3735</v>
      </c>
      <c r="Q2402" s="1603" t="s">
        <v>2763</v>
      </c>
      <c r="R2402" s="1602" t="s">
        <v>3731</v>
      </c>
      <c r="S2402" s="1603" t="s">
        <v>2765</v>
      </c>
    </row>
    <row r="2403" spans="1:23" ht="15.6" hidden="1" customHeight="1" x14ac:dyDescent="0.2">
      <c r="A2403" s="655"/>
      <c r="B2403" s="655" t="s">
        <v>1419</v>
      </c>
      <c r="C2403" s="655"/>
      <c r="D2403" s="656"/>
      <c r="E2403" s="655"/>
      <c r="F2403" s="656"/>
      <c r="G2403" s="656"/>
      <c r="H2403" s="656"/>
      <c r="I2403" s="658">
        <v>0</v>
      </c>
      <c r="J2403" s="658"/>
      <c r="K2403" s="658">
        <v>0</v>
      </c>
      <c r="L2403" s="1415"/>
      <c r="M2403" s="1133"/>
      <c r="N2403" s="1133"/>
      <c r="O2403" s="1146"/>
      <c r="P2403" s="1602" t="s">
        <v>3736</v>
      </c>
      <c r="Q2403" s="1603" t="s">
        <v>2763</v>
      </c>
      <c r="R2403" s="1602" t="s">
        <v>3732</v>
      </c>
      <c r="S2403" s="1603" t="s">
        <v>2765</v>
      </c>
    </row>
    <row r="2404" spans="1:23" ht="15.6" hidden="1" customHeight="1" x14ac:dyDescent="0.2">
      <c r="B2404" s="61" t="s">
        <v>1420</v>
      </c>
      <c r="I2404" s="58">
        <v>0</v>
      </c>
      <c r="J2404" s="58"/>
      <c r="K2404" s="58">
        <v>0</v>
      </c>
      <c r="L2404" s="59"/>
      <c r="P2404" s="1602" t="s">
        <v>3737</v>
      </c>
      <c r="Q2404" s="1603" t="s">
        <v>2763</v>
      </c>
      <c r="R2404" s="1602" t="s">
        <v>3733</v>
      </c>
      <c r="S2404" s="1603" t="s">
        <v>2765</v>
      </c>
    </row>
    <row r="2405" spans="1:23" ht="15.6" hidden="1" customHeight="1" x14ac:dyDescent="0.2">
      <c r="B2405" s="61" t="s">
        <v>1421</v>
      </c>
      <c r="I2405" s="58">
        <v>0</v>
      </c>
      <c r="J2405" s="58"/>
      <c r="K2405" s="58">
        <v>0</v>
      </c>
      <c r="L2405" s="59"/>
      <c r="P2405" s="1602" t="s">
        <v>3738</v>
      </c>
      <c r="Q2405" s="1603" t="s">
        <v>2763</v>
      </c>
      <c r="R2405" s="1602" t="s">
        <v>3734</v>
      </c>
      <c r="S2405" s="1603" t="s">
        <v>2765</v>
      </c>
    </row>
    <row r="2406" spans="1:23" ht="15.6" hidden="1" customHeight="1" x14ac:dyDescent="0.2">
      <c r="B2406" s="48" t="s">
        <v>1422</v>
      </c>
      <c r="I2406" s="58">
        <v>0</v>
      </c>
      <c r="J2406" s="58"/>
      <c r="K2406" s="58">
        <v>0</v>
      </c>
      <c r="L2406" s="59"/>
    </row>
    <row r="2407" spans="1:23" ht="15.6" hidden="1" customHeight="1" thickBot="1" x14ac:dyDescent="0.3">
      <c r="B2407" s="61" t="s">
        <v>2204</v>
      </c>
      <c r="I2407" s="202">
        <f>SUM(I2399:I2406)</f>
        <v>0</v>
      </c>
      <c r="K2407" s="202">
        <f>SUM(K2399:K2406)</f>
        <v>0</v>
      </c>
      <c r="L2407" s="59"/>
    </row>
    <row r="2408" spans="1:23" ht="15.6" hidden="1" customHeight="1" thickTop="1" x14ac:dyDescent="0.2">
      <c r="I2408" s="265">
        <v>0</v>
      </c>
      <c r="J2408" s="58"/>
      <c r="K2408" s="265">
        <v>0</v>
      </c>
      <c r="L2408" s="59"/>
    </row>
    <row r="2409" spans="1:23" ht="30.95" hidden="1" customHeight="1" x14ac:dyDescent="0.2">
      <c r="B2409" s="2839" t="s">
        <v>2141</v>
      </c>
      <c r="C2409" s="2839"/>
      <c r="D2409" s="2839"/>
      <c r="E2409" s="2839"/>
      <c r="F2409" s="2839"/>
      <c r="G2409" s="2839"/>
      <c r="H2409" s="56"/>
      <c r="I2409" s="56"/>
      <c r="J2409" s="56"/>
      <c r="K2409" s="56"/>
      <c r="L2409" s="59"/>
      <c r="M2409" s="1214" t="s">
        <v>4022</v>
      </c>
    </row>
    <row r="2410" spans="1:23" ht="15.6" hidden="1" customHeight="1" x14ac:dyDescent="0.2">
      <c r="I2410" s="58"/>
      <c r="J2410" s="58"/>
      <c r="K2410" s="58"/>
      <c r="L2410" s="59"/>
      <c r="M2410" s="1133"/>
      <c r="N2410" s="1133"/>
      <c r="O2410" s="1146"/>
    </row>
    <row r="2411" spans="1:23" ht="15.6" hidden="1" customHeight="1" x14ac:dyDescent="0.25">
      <c r="I2411" s="200"/>
      <c r="J2411" s="200"/>
      <c r="K2411" s="200"/>
      <c r="L2411" s="210"/>
    </row>
    <row r="2412" spans="1:23" ht="15.6" customHeight="1" x14ac:dyDescent="0.25">
      <c r="A2412" s="211">
        <v>23</v>
      </c>
      <c r="B2412" s="50" t="s">
        <v>120</v>
      </c>
      <c r="C2412" s="50"/>
      <c r="W2412" s="1114" t="s">
        <v>3520</v>
      </c>
    </row>
    <row r="2413" spans="1:23" ht="15.6" customHeight="1" x14ac:dyDescent="0.25">
      <c r="A2413" s="50"/>
      <c r="B2413" s="50"/>
      <c r="C2413" s="50"/>
    </row>
    <row r="2414" spans="1:23" ht="15.6" customHeight="1" x14ac:dyDescent="0.2">
      <c r="B2414" s="48" t="s">
        <v>19</v>
      </c>
      <c r="G2414" s="217"/>
      <c r="I2414" s="199">
        <f>-'Trial Balance - FPer'!G1106</f>
        <v>16685636.73</v>
      </c>
      <c r="K2414" s="199">
        <f>-'Trial Balance - FPer'!C1106</f>
        <v>12040737.66</v>
      </c>
      <c r="L2414" s="59"/>
      <c r="M2414" s="1604"/>
      <c r="P2414" s="1110" t="s">
        <v>3358</v>
      </c>
      <c r="Q2414" s="1111" t="s">
        <v>2763</v>
      </c>
      <c r="R2414" s="1111" t="s">
        <v>3359</v>
      </c>
      <c r="S2414" s="1111" t="s">
        <v>2765</v>
      </c>
    </row>
    <row r="2415" spans="1:23" ht="15.6" customHeight="1" x14ac:dyDescent="0.2">
      <c r="B2415" s="48" t="s">
        <v>20</v>
      </c>
      <c r="G2415" s="217"/>
      <c r="I2415" s="199">
        <f>-SUM('Trial Balance - FPer'!G1074:G1075,'Trial Balance - FPer'!G1079)</f>
        <v>8588843.7499999832</v>
      </c>
      <c r="K2415" s="199">
        <f>-SUM('Trial Balance - FPer'!C1074:C1075,'Trial Balance - FPer'!C1079)</f>
        <v>6719752.6799999997</v>
      </c>
      <c r="L2415" s="59"/>
      <c r="M2415" s="1604"/>
      <c r="P2415" s="1110" t="s">
        <v>3360</v>
      </c>
      <c r="Q2415" s="1111" t="s">
        <v>2763</v>
      </c>
      <c r="R2415" s="1111" t="s">
        <v>3361</v>
      </c>
      <c r="S2415" s="1111" t="s">
        <v>2765</v>
      </c>
    </row>
    <row r="2416" spans="1:23" ht="15.6" customHeight="1" x14ac:dyDescent="0.2">
      <c r="B2416" s="48" t="s">
        <v>21</v>
      </c>
      <c r="G2416" s="217"/>
      <c r="I2416" s="199">
        <f>-SUM('Trial Balance - FPer'!G1076)</f>
        <v>4221847.9099999992</v>
      </c>
      <c r="K2416" s="199">
        <f>-SUM('Trial Balance - FPer'!C1076)</f>
        <v>3786978.14</v>
      </c>
      <c r="L2416" s="59"/>
      <c r="M2416" s="1604"/>
      <c r="P2416" s="1110" t="s">
        <v>3362</v>
      </c>
      <c r="Q2416" s="1111" t="s">
        <v>2763</v>
      </c>
      <c r="R2416" s="1111" t="s">
        <v>3363</v>
      </c>
      <c r="S2416" s="1111" t="s">
        <v>2765</v>
      </c>
    </row>
    <row r="2417" spans="1:19" ht="15.6" customHeight="1" x14ac:dyDescent="0.2">
      <c r="B2417" s="48" t="s">
        <v>22</v>
      </c>
      <c r="G2417" s="217"/>
      <c r="I2417" s="199">
        <f>-SUM('Trial Balance - FPer'!G1077:G1078)</f>
        <v>6350913.919999999</v>
      </c>
      <c r="K2417" s="199">
        <f>-SUM('Trial Balance - FPer'!C1077:C1078)</f>
        <v>5727711.4500000002</v>
      </c>
      <c r="L2417" s="59"/>
      <c r="M2417" s="1604"/>
      <c r="P2417" s="1110" t="s">
        <v>3364</v>
      </c>
      <c r="Q2417" s="1111" t="s">
        <v>2763</v>
      </c>
      <c r="R2417" s="1111" t="s">
        <v>3365</v>
      </c>
      <c r="S2417" s="1111" t="s">
        <v>2765</v>
      </c>
    </row>
    <row r="2418" spans="1:19" ht="15.6" hidden="1" customHeight="1" x14ac:dyDescent="0.2">
      <c r="A2418" s="655"/>
      <c r="B2418" s="655" t="s">
        <v>1348</v>
      </c>
      <c r="C2418" s="655"/>
      <c r="D2418" s="656"/>
      <c r="E2418" s="655"/>
      <c r="F2418" s="656"/>
      <c r="G2418" s="1528"/>
      <c r="H2418" s="656"/>
      <c r="I2418" s="2059">
        <v>0</v>
      </c>
      <c r="J2418" s="661"/>
      <c r="K2418" s="2059">
        <v>0</v>
      </c>
      <c r="L2418" s="1415"/>
      <c r="M2418" s="1604"/>
      <c r="P2418" s="1110" t="s">
        <v>3366</v>
      </c>
      <c r="Q2418" s="1111" t="s">
        <v>2763</v>
      </c>
      <c r="R2418" s="1111" t="s">
        <v>3367</v>
      </c>
      <c r="S2418" s="1111" t="s">
        <v>2765</v>
      </c>
    </row>
    <row r="2419" spans="1:19" ht="15.6" customHeight="1" x14ac:dyDescent="0.2">
      <c r="G2419" s="217"/>
      <c r="I2419" s="58"/>
      <c r="J2419" s="58"/>
      <c r="K2419" s="58"/>
      <c r="L2419" s="59"/>
    </row>
    <row r="2420" spans="1:19" ht="15.6" customHeight="1" thickBot="1" x14ac:dyDescent="0.3">
      <c r="B2420" s="50" t="s">
        <v>122</v>
      </c>
      <c r="C2420" s="50"/>
      <c r="I2420" s="202">
        <f>SUM(I2414:I2419)</f>
        <v>35847242.30999998</v>
      </c>
      <c r="K2420" s="202">
        <f>SUM(K2414:K2419)</f>
        <v>28275179.93</v>
      </c>
    </row>
    <row r="2421" spans="1:19" ht="15.6" customHeight="1" thickTop="1" x14ac:dyDescent="0.2">
      <c r="I2421" s="265">
        <f>I2420-'Fin Perform'!I18</f>
        <v>0</v>
      </c>
      <c r="J2421" s="58"/>
      <c r="K2421" s="265">
        <f>K2420-'Fin Perform'!K18</f>
        <v>0</v>
      </c>
    </row>
    <row r="2422" spans="1:19" ht="15.6" hidden="1" customHeight="1" x14ac:dyDescent="0.25">
      <c r="A2422" s="767"/>
      <c r="B2422" s="767" t="s">
        <v>1028</v>
      </c>
      <c r="C2422" s="767"/>
      <c r="D2422" s="769"/>
      <c r="E2422" s="767"/>
      <c r="F2422" s="769"/>
      <c r="G2422" s="769"/>
      <c r="H2422" s="769"/>
      <c r="I2422" s="1542"/>
      <c r="J2422" s="1542"/>
      <c r="K2422" s="1542"/>
      <c r="L2422" s="1619"/>
      <c r="M2422" s="1133"/>
      <c r="N2422" s="1147"/>
      <c r="O2422" s="1146"/>
      <c r="P2422" s="1115"/>
    </row>
    <row r="2423" spans="1:19" ht="15.6" hidden="1" customHeight="1" x14ac:dyDescent="0.25">
      <c r="A2423" s="767"/>
      <c r="B2423" s="767" t="s">
        <v>1029</v>
      </c>
      <c r="C2423" s="767"/>
      <c r="D2423" s="769"/>
      <c r="E2423" s="767"/>
      <c r="F2423" s="769"/>
      <c r="G2423" s="769"/>
      <c r="H2423" s="769"/>
      <c r="I2423" s="1542">
        <f>I2420-I2424</f>
        <v>35847242.30999998</v>
      </c>
      <c r="J2423" s="1542"/>
      <c r="K2423" s="1542">
        <f>K2420-K2424</f>
        <v>28275179.93</v>
      </c>
      <c r="L2423" s="1619"/>
      <c r="M2423" s="1133"/>
      <c r="N2423" s="1147"/>
      <c r="O2423" s="1146"/>
      <c r="P2423" s="1115"/>
    </row>
    <row r="2424" spans="1:19" ht="15.6" hidden="1" customHeight="1" x14ac:dyDescent="0.25">
      <c r="A2424" s="767"/>
      <c r="B2424" s="767" t="s">
        <v>1030</v>
      </c>
      <c r="C2424" s="767"/>
      <c r="D2424" s="769"/>
      <c r="E2424" s="767"/>
      <c r="F2424" s="769"/>
      <c r="G2424" s="769"/>
      <c r="H2424" s="769"/>
      <c r="I2424" s="1542">
        <v>0</v>
      </c>
      <c r="J2424" s="1542"/>
      <c r="K2424" s="1542">
        <v>0</v>
      </c>
      <c r="L2424" s="1619"/>
      <c r="M2424" s="1133"/>
      <c r="N2424" s="1147"/>
      <c r="O2424" s="1146"/>
      <c r="P2424" s="1115"/>
    </row>
    <row r="2425" spans="1:19" ht="15.6" hidden="1" customHeight="1" x14ac:dyDescent="0.25">
      <c r="A2425" s="767"/>
      <c r="B2425" s="767"/>
      <c r="C2425" s="767"/>
      <c r="D2425" s="769"/>
      <c r="E2425" s="767"/>
      <c r="F2425" s="769"/>
      <c r="G2425" s="769"/>
      <c r="H2425" s="769"/>
      <c r="I2425" s="779"/>
      <c r="J2425" s="779"/>
      <c r="K2425" s="779"/>
      <c r="L2425" s="1619"/>
      <c r="M2425" s="1133"/>
      <c r="N2425" s="1147"/>
      <c r="O2425" s="1146"/>
      <c r="P2425" s="1115"/>
    </row>
    <row r="2426" spans="1:19" ht="15.6" hidden="1" customHeight="1" thickBot="1" x14ac:dyDescent="0.3">
      <c r="A2426" s="767"/>
      <c r="B2426" s="767"/>
      <c r="C2426" s="767"/>
      <c r="D2426" s="769"/>
      <c r="E2426" s="767"/>
      <c r="F2426" s="769"/>
      <c r="G2426" s="769"/>
      <c r="H2426" s="769"/>
      <c r="I2426" s="1539">
        <f>SUM(I2423:I2425)</f>
        <v>35847242.30999998</v>
      </c>
      <c r="J2426" s="775"/>
      <c r="K2426" s="1539">
        <f>SUM(K2423:K2425)</f>
        <v>28275179.93</v>
      </c>
      <c r="L2426" s="1619"/>
      <c r="M2426" s="1133"/>
      <c r="N2426" s="1147"/>
      <c r="O2426" s="1146"/>
      <c r="P2426" s="1115"/>
    </row>
    <row r="2427" spans="1:19" ht="15.6" hidden="1" customHeight="1" thickTop="1" x14ac:dyDescent="0.25">
      <c r="A2427" s="767"/>
      <c r="B2427" s="767"/>
      <c r="C2427" s="767"/>
      <c r="D2427" s="769"/>
      <c r="E2427" s="767"/>
      <c r="F2427" s="769"/>
      <c r="G2427" s="769"/>
      <c r="H2427" s="769"/>
      <c r="I2427" s="782">
        <f>I2426-I2420</f>
        <v>0</v>
      </c>
      <c r="J2427" s="779"/>
      <c r="K2427" s="782">
        <f>K2426-K2420</f>
        <v>0</v>
      </c>
      <c r="L2427" s="1619"/>
      <c r="M2427" s="1133"/>
      <c r="N2427" s="1147"/>
      <c r="O2427" s="1146"/>
      <c r="P2427" s="1115"/>
    </row>
    <row r="2428" spans="1:19" ht="30.95" hidden="1" customHeight="1" x14ac:dyDescent="0.2">
      <c r="B2428" s="2839" t="s">
        <v>2548</v>
      </c>
      <c r="C2428" s="2839"/>
      <c r="D2428" s="2839"/>
      <c r="E2428" s="2839"/>
      <c r="F2428" s="2839"/>
      <c r="G2428" s="2839"/>
      <c r="H2428" s="56"/>
      <c r="I2428" s="56"/>
      <c r="J2428" s="56"/>
      <c r="K2428" s="56"/>
      <c r="L2428" s="59"/>
      <c r="M2428" s="1133"/>
      <c r="N2428" s="1147"/>
      <c r="O2428" s="1146"/>
      <c r="P2428" s="1115"/>
    </row>
    <row r="2429" spans="1:19" ht="15.6" hidden="1" customHeight="1" x14ac:dyDescent="0.2">
      <c r="M2429" s="1133"/>
      <c r="N2429" s="1147"/>
      <c r="O2429" s="1592"/>
    </row>
    <row r="2430" spans="1:19" ht="46.5" hidden="1" customHeight="1" x14ac:dyDescent="0.2">
      <c r="A2430" s="767"/>
      <c r="B2430" s="2855" t="s">
        <v>2519</v>
      </c>
      <c r="C2430" s="2855"/>
      <c r="D2430" s="2855"/>
      <c r="E2430" s="2855"/>
      <c r="F2430" s="2855"/>
      <c r="G2430" s="2855"/>
      <c r="H2430" s="768"/>
      <c r="I2430" s="768"/>
      <c r="J2430" s="768"/>
      <c r="K2430" s="768"/>
      <c r="L2430" s="777"/>
      <c r="M2430" s="1133"/>
      <c r="N2430" s="1147"/>
      <c r="O2430" s="1146"/>
      <c r="P2430" s="1115"/>
    </row>
    <row r="2431" spans="1:19" ht="15.6" hidden="1" customHeight="1" x14ac:dyDescent="0.2">
      <c r="A2431" s="767"/>
      <c r="B2431" s="767"/>
      <c r="C2431" s="767"/>
      <c r="D2431" s="769"/>
      <c r="E2431" s="767"/>
      <c r="F2431" s="769"/>
      <c r="G2431" s="769"/>
      <c r="H2431" s="769"/>
      <c r="I2431" s="775"/>
      <c r="J2431" s="775"/>
      <c r="K2431" s="775"/>
      <c r="L2431" s="767"/>
      <c r="M2431" s="1133"/>
      <c r="N2431" s="1147"/>
      <c r="O2431" s="1592"/>
    </row>
    <row r="2432" spans="1:19" ht="30.95" customHeight="1" x14ac:dyDescent="0.25">
      <c r="B2432" s="2839" t="s">
        <v>1044</v>
      </c>
      <c r="C2432" s="2839"/>
      <c r="D2432" s="2839"/>
      <c r="E2432" s="2839"/>
      <c r="F2432" s="2839"/>
      <c r="G2432" s="2839"/>
      <c r="I2432" s="200"/>
      <c r="J2432" s="200"/>
      <c r="K2432" s="200"/>
      <c r="L2432" s="210"/>
      <c r="M2432" s="1133"/>
      <c r="N2432" s="1147"/>
      <c r="O2432" s="1146"/>
      <c r="P2432" s="1115"/>
    </row>
    <row r="2433" spans="1:29" ht="15.6" customHeight="1" x14ac:dyDescent="0.25">
      <c r="I2433" s="206"/>
      <c r="J2433" s="206"/>
      <c r="K2433" s="206"/>
      <c r="L2433" s="207"/>
      <c r="M2433" s="1133"/>
      <c r="N2433" s="1147"/>
      <c r="O2433" s="1146"/>
      <c r="P2433" s="1115"/>
      <c r="Z2433" s="50"/>
    </row>
    <row r="2434" spans="1:29" ht="15.6" customHeight="1" x14ac:dyDescent="0.25">
      <c r="I2434" s="200"/>
      <c r="J2434" s="200"/>
      <c r="K2434" s="200"/>
      <c r="L2434" s="210"/>
      <c r="M2434" s="1133"/>
      <c r="N2434" s="1147"/>
      <c r="O2434" s="1146"/>
      <c r="P2434" s="1115"/>
      <c r="Y2434" s="50"/>
      <c r="AA2434" s="50"/>
    </row>
    <row r="2435" spans="1:29" ht="15.6" customHeight="1" x14ac:dyDescent="0.25">
      <c r="A2435" s="211">
        <v>24</v>
      </c>
      <c r="B2435" s="50" t="s">
        <v>1045</v>
      </c>
      <c r="C2435" s="50"/>
      <c r="M2435" s="1133"/>
      <c r="N2435" s="1147"/>
      <c r="O2435" s="1146"/>
      <c r="P2435" s="1115"/>
      <c r="W2435" s="1114" t="s">
        <v>3520</v>
      </c>
      <c r="AB2435" s="50"/>
      <c r="AC2435" s="50"/>
    </row>
    <row r="2436" spans="1:29" ht="15.6" customHeight="1" x14ac:dyDescent="0.25">
      <c r="A2436" s="50"/>
      <c r="B2436" s="50"/>
      <c r="C2436" s="50"/>
      <c r="M2436" s="1133"/>
      <c r="N2436" s="1147"/>
      <c r="O2436" s="1146"/>
      <c r="P2436" s="1115"/>
    </row>
    <row r="2437" spans="1:29" ht="15.6" customHeight="1" x14ac:dyDescent="0.2">
      <c r="B2437" s="48" t="s">
        <v>1046</v>
      </c>
      <c r="G2437" s="217"/>
      <c r="I2437" s="58"/>
      <c r="J2437" s="58"/>
      <c r="K2437" s="58"/>
      <c r="L2437" s="59"/>
      <c r="M2437" s="1133"/>
      <c r="N2437" s="1147"/>
      <c r="O2437" s="1146"/>
      <c r="P2437" s="1115"/>
    </row>
    <row r="2438" spans="1:29" ht="15.6" customHeight="1" x14ac:dyDescent="0.25">
      <c r="B2438" s="61" t="s">
        <v>1047</v>
      </c>
      <c r="G2438" s="217"/>
      <c r="I2438" s="199">
        <f>-SUM('Trial Balance - FPer'!G971)</f>
        <v>358201.7</v>
      </c>
      <c r="K2438" s="199">
        <f>-SUM('Trial Balance - FPer'!C971)</f>
        <v>447060.25</v>
      </c>
      <c r="L2438" s="59"/>
      <c r="M2438" s="1217" t="s">
        <v>1961</v>
      </c>
      <c r="N2438" s="1147"/>
      <c r="O2438" s="1146"/>
      <c r="P2438" s="1115"/>
      <c r="Z2438" s="50"/>
    </row>
    <row r="2439" spans="1:29" ht="15.6" hidden="1" customHeight="1" x14ac:dyDescent="0.25">
      <c r="B2439" s="61" t="s">
        <v>1048</v>
      </c>
      <c r="G2439" s="217"/>
      <c r="I2439" s="199">
        <v>0</v>
      </c>
      <c r="K2439" s="199">
        <v>0</v>
      </c>
      <c r="L2439" s="59"/>
      <c r="M2439" s="1217" t="s">
        <v>1988</v>
      </c>
      <c r="N2439" s="1147"/>
      <c r="O2439" s="1146"/>
      <c r="P2439" s="1115"/>
      <c r="Y2439" s="50"/>
      <c r="AA2439" s="50"/>
    </row>
    <row r="2440" spans="1:29" ht="15.6" hidden="1" customHeight="1" x14ac:dyDescent="0.25">
      <c r="B2440" s="48" t="s">
        <v>1366</v>
      </c>
      <c r="G2440" s="217"/>
      <c r="I2440" s="199">
        <v>0</v>
      </c>
      <c r="K2440" s="199">
        <v>0</v>
      </c>
      <c r="L2440" s="59"/>
      <c r="M2440" s="1133"/>
      <c r="N2440" s="1147"/>
      <c r="O2440" s="1146"/>
      <c r="P2440" s="1115" t="s">
        <v>3368</v>
      </c>
      <c r="Q2440" s="1111" t="s">
        <v>2763</v>
      </c>
      <c r="R2440" s="1111" t="s">
        <v>3369</v>
      </c>
      <c r="S2440" s="1111" t="s">
        <v>2765</v>
      </c>
      <c r="AB2440" s="50"/>
      <c r="AC2440" s="50"/>
    </row>
    <row r="2441" spans="1:29" ht="15.6" customHeight="1" x14ac:dyDescent="0.2">
      <c r="B2441" s="48" t="s">
        <v>1049</v>
      </c>
      <c r="G2441" s="217"/>
      <c r="I2441" s="199">
        <f>-SUM('Trial Balance - FPer'!G964)</f>
        <v>25477.7</v>
      </c>
      <c r="K2441" s="199">
        <f>-SUM('Trial Balance - FPer'!C964)</f>
        <v>22492.04</v>
      </c>
      <c r="L2441" s="59"/>
      <c r="M2441" s="1133"/>
      <c r="N2441" s="1147"/>
      <c r="O2441" s="1146"/>
      <c r="P2441" s="1115" t="s">
        <v>3370</v>
      </c>
      <c r="Q2441" s="1111" t="s">
        <v>2763</v>
      </c>
      <c r="R2441" s="1111" t="s">
        <v>3371</v>
      </c>
      <c r="S2441" s="1111" t="s">
        <v>2765</v>
      </c>
    </row>
    <row r="2442" spans="1:29" ht="15.6" customHeight="1" x14ac:dyDescent="0.2">
      <c r="B2442" s="48" t="s">
        <v>1050</v>
      </c>
      <c r="G2442" s="217"/>
      <c r="I2442" s="199">
        <f>-SUM('Trial Balance - FPer'!G968:G970)</f>
        <v>8569.91</v>
      </c>
      <c r="K2442" s="199">
        <f>-SUM('Trial Balance - FPer'!C968:C970)</f>
        <v>8819.65</v>
      </c>
      <c r="L2442" s="59"/>
      <c r="M2442" s="1133"/>
      <c r="N2442" s="1147"/>
      <c r="O2442" s="1146"/>
      <c r="P2442" s="1110" t="s">
        <v>3372</v>
      </c>
      <c r="Q2442" s="1111" t="s">
        <v>2763</v>
      </c>
      <c r="R2442" s="1111" t="s">
        <v>3373</v>
      </c>
      <c r="S2442" s="1111" t="s">
        <v>2765</v>
      </c>
    </row>
    <row r="2443" spans="1:29" ht="15.6" hidden="1" customHeight="1" x14ac:dyDescent="0.2">
      <c r="A2443" s="655"/>
      <c r="B2443" s="655" t="s">
        <v>1051</v>
      </c>
      <c r="C2443" s="655"/>
      <c r="D2443" s="656"/>
      <c r="E2443" s="655"/>
      <c r="F2443" s="656"/>
      <c r="G2443" s="1528"/>
      <c r="H2443" s="656"/>
      <c r="I2443" s="199">
        <v>0</v>
      </c>
      <c r="K2443" s="199">
        <v>0</v>
      </c>
      <c r="L2443" s="1415"/>
      <c r="M2443" s="1133"/>
      <c r="N2443" s="1147"/>
      <c r="O2443" s="1146"/>
      <c r="P2443" s="1110" t="s">
        <v>3374</v>
      </c>
      <c r="Q2443" s="1111" t="s">
        <v>2763</v>
      </c>
      <c r="R2443" s="1111" t="s">
        <v>3375</v>
      </c>
      <c r="S2443" s="1111" t="s">
        <v>2765</v>
      </c>
    </row>
    <row r="2444" spans="1:29" ht="15.6" customHeight="1" x14ac:dyDescent="0.2">
      <c r="B2444" s="48" t="s">
        <v>1052</v>
      </c>
      <c r="G2444" s="217"/>
      <c r="I2444" s="199">
        <f>-SUM('Trial Balance - FPer'!G965:G967,'Trial Balance - FPer'!G973:G976)-'Trial Balance - FPer'!G972</f>
        <v>270886.52</v>
      </c>
      <c r="K2444" s="199">
        <f>-SUM('Trial Balance - FPer'!C965:C967,'Trial Balance - FPer'!C973:C976)-'Trial Balance - FPer'!C972</f>
        <v>178405.38</v>
      </c>
      <c r="L2444" s="59"/>
      <c r="M2444" s="1133"/>
      <c r="N2444" s="1147"/>
      <c r="O2444" s="1146"/>
      <c r="P2444" s="1110" t="s">
        <v>3376</v>
      </c>
      <c r="Q2444" s="1111" t="s">
        <v>2763</v>
      </c>
      <c r="R2444" s="1111" t="s">
        <v>3377</v>
      </c>
      <c r="S2444" s="1111" t="s">
        <v>2765</v>
      </c>
    </row>
    <row r="2445" spans="1:29" ht="15.6" customHeight="1" x14ac:dyDescent="0.2">
      <c r="G2445" s="217"/>
      <c r="I2445" s="58"/>
      <c r="J2445" s="58"/>
      <c r="K2445" s="58"/>
      <c r="L2445" s="59"/>
      <c r="M2445" s="1133"/>
      <c r="N2445" s="1147"/>
      <c r="O2445" s="1146"/>
      <c r="P2445" s="1115"/>
    </row>
    <row r="2446" spans="1:29" ht="15.6" customHeight="1" thickBot="1" x14ac:dyDescent="0.3">
      <c r="B2446" s="50" t="s">
        <v>1053</v>
      </c>
      <c r="C2446" s="50"/>
      <c r="I2446" s="202">
        <f>SUM(I2437:I2445)</f>
        <v>663135.83000000007</v>
      </c>
      <c r="K2446" s="202">
        <f>SUM(K2437:K2445)</f>
        <v>656777.32000000007</v>
      </c>
      <c r="M2446" s="1133"/>
      <c r="N2446" s="1147"/>
      <c r="O2446" s="1146"/>
      <c r="P2446" s="1115"/>
    </row>
    <row r="2447" spans="1:29" ht="15.6" customHeight="1" thickTop="1" x14ac:dyDescent="0.2">
      <c r="I2447" s="265">
        <f>I2446-'Fin Perform'!I19</f>
        <v>0</v>
      </c>
      <c r="J2447" s="58"/>
      <c r="K2447" s="265">
        <f>K2446-'Fin Perform'!K19</f>
        <v>0</v>
      </c>
      <c r="M2447" s="1133"/>
      <c r="N2447" s="1147"/>
      <c r="O2447" s="1146"/>
      <c r="P2447" s="1115"/>
    </row>
    <row r="2448" spans="1:29" ht="15.6" hidden="1" customHeight="1" x14ac:dyDescent="0.25">
      <c r="A2448" s="767"/>
      <c r="B2448" s="767" t="s">
        <v>1028</v>
      </c>
      <c r="C2448" s="767"/>
      <c r="D2448" s="769"/>
      <c r="E2448" s="767"/>
      <c r="F2448" s="769"/>
      <c r="G2448" s="769"/>
      <c r="H2448" s="769"/>
      <c r="I2448" s="1542"/>
      <c r="J2448" s="1542"/>
      <c r="K2448" s="1542"/>
      <c r="L2448" s="1619"/>
      <c r="M2448" s="1133"/>
      <c r="N2448" s="1147"/>
      <c r="O2448" s="1146"/>
      <c r="P2448" s="1115"/>
    </row>
    <row r="2449" spans="1:29" ht="15.6" hidden="1" customHeight="1" x14ac:dyDescent="0.25">
      <c r="A2449" s="767"/>
      <c r="B2449" s="767" t="s">
        <v>1029</v>
      </c>
      <c r="C2449" s="767"/>
      <c r="D2449" s="769"/>
      <c r="E2449" s="767"/>
      <c r="F2449" s="769"/>
      <c r="G2449" s="769"/>
      <c r="H2449" s="769"/>
      <c r="I2449" s="1542">
        <f>I2446-I2450</f>
        <v>663135.83000000007</v>
      </c>
      <c r="J2449" s="1542"/>
      <c r="K2449" s="1542">
        <f>K2446-K2450</f>
        <v>656777.32000000007</v>
      </c>
      <c r="L2449" s="1619"/>
      <c r="M2449" s="1133"/>
      <c r="N2449" s="1147"/>
      <c r="O2449" s="1146"/>
      <c r="P2449" s="1115"/>
    </row>
    <row r="2450" spans="1:29" ht="15.6" hidden="1" customHeight="1" x14ac:dyDescent="0.25">
      <c r="A2450" s="767"/>
      <c r="B2450" s="767" t="s">
        <v>1030</v>
      </c>
      <c r="C2450" s="767"/>
      <c r="D2450" s="769"/>
      <c r="E2450" s="767"/>
      <c r="F2450" s="769"/>
      <c r="G2450" s="769"/>
      <c r="H2450" s="769"/>
      <c r="I2450" s="1542">
        <v>0</v>
      </c>
      <c r="J2450" s="1542"/>
      <c r="K2450" s="1542">
        <v>0</v>
      </c>
      <c r="L2450" s="1619"/>
      <c r="M2450" s="1133"/>
      <c r="N2450" s="1147"/>
      <c r="O2450" s="1146"/>
      <c r="P2450" s="1115"/>
    </row>
    <row r="2451" spans="1:29" ht="15.6" hidden="1" customHeight="1" x14ac:dyDescent="0.25">
      <c r="A2451" s="767"/>
      <c r="B2451" s="767"/>
      <c r="C2451" s="767"/>
      <c r="D2451" s="769"/>
      <c r="E2451" s="767"/>
      <c r="F2451" s="769"/>
      <c r="G2451" s="769"/>
      <c r="H2451" s="769"/>
      <c r="I2451" s="779"/>
      <c r="J2451" s="779"/>
      <c r="K2451" s="779"/>
      <c r="L2451" s="1619"/>
      <c r="M2451" s="1133"/>
      <c r="N2451" s="1147"/>
      <c r="O2451" s="1146"/>
      <c r="P2451" s="1115"/>
    </row>
    <row r="2452" spans="1:29" ht="15.6" hidden="1" customHeight="1" thickBot="1" x14ac:dyDescent="0.3">
      <c r="A2452" s="767"/>
      <c r="B2452" s="767"/>
      <c r="C2452" s="767"/>
      <c r="D2452" s="769"/>
      <c r="E2452" s="767"/>
      <c r="F2452" s="769"/>
      <c r="G2452" s="769"/>
      <c r="H2452" s="769"/>
      <c r="I2452" s="1539">
        <f>SUM(I2449:I2451)</f>
        <v>663135.83000000007</v>
      </c>
      <c r="J2452" s="775"/>
      <c r="K2452" s="1539">
        <f>SUM(K2449:K2451)</f>
        <v>656777.32000000007</v>
      </c>
      <c r="L2452" s="1619"/>
      <c r="M2452" s="1133"/>
      <c r="N2452" s="1147"/>
      <c r="O2452" s="1146"/>
      <c r="P2452" s="1115"/>
    </row>
    <row r="2453" spans="1:29" ht="15.6" hidden="1" customHeight="1" thickTop="1" x14ac:dyDescent="0.25">
      <c r="A2453" s="767"/>
      <c r="B2453" s="767"/>
      <c r="C2453" s="767"/>
      <c r="D2453" s="769"/>
      <c r="E2453" s="767"/>
      <c r="F2453" s="769"/>
      <c r="G2453" s="769"/>
      <c r="H2453" s="769"/>
      <c r="I2453" s="782">
        <f>I2452-I2446</f>
        <v>0</v>
      </c>
      <c r="J2453" s="779"/>
      <c r="K2453" s="782">
        <f>K2452-K2446</f>
        <v>0</v>
      </c>
      <c r="L2453" s="1619"/>
      <c r="M2453" s="1133"/>
      <c r="N2453" s="1147"/>
      <c r="O2453" s="1146"/>
      <c r="P2453" s="1115"/>
    </row>
    <row r="2454" spans="1:29" ht="15.6" customHeight="1" x14ac:dyDescent="0.25">
      <c r="B2454" s="2839" t="s">
        <v>1054</v>
      </c>
      <c r="C2454" s="2839"/>
      <c r="D2454" s="2839"/>
      <c r="E2454" s="2839"/>
      <c r="F2454" s="2839"/>
      <c r="G2454" s="2839"/>
      <c r="I2454" s="200"/>
      <c r="J2454" s="200"/>
      <c r="K2454" s="200"/>
      <c r="L2454" s="210"/>
      <c r="M2454" s="1133"/>
      <c r="N2454" s="1147"/>
      <c r="O2454" s="1146"/>
      <c r="P2454" s="1115"/>
      <c r="Z2454" s="50"/>
    </row>
    <row r="2455" spans="1:29" ht="15.6" customHeight="1" x14ac:dyDescent="0.25">
      <c r="I2455" s="206"/>
      <c r="J2455" s="206"/>
      <c r="K2455" s="206"/>
      <c r="L2455" s="207"/>
      <c r="M2455" s="1133"/>
      <c r="N2455" s="1147"/>
      <c r="O2455" s="1146"/>
      <c r="P2455" s="1115"/>
      <c r="Y2455" s="50"/>
      <c r="AA2455" s="50"/>
    </row>
    <row r="2456" spans="1:29" ht="15.6" customHeight="1" x14ac:dyDescent="0.25">
      <c r="J2456" s="57"/>
      <c r="M2456" s="1133"/>
      <c r="N2456" s="1147"/>
      <c r="O2456" s="1146"/>
      <c r="P2456" s="1115"/>
      <c r="AB2456" s="50"/>
      <c r="AC2456" s="50"/>
    </row>
    <row r="2457" spans="1:29" ht="15.6" customHeight="1" x14ac:dyDescent="0.25">
      <c r="A2457" s="211">
        <v>25</v>
      </c>
      <c r="B2457" s="50" t="s">
        <v>1031</v>
      </c>
      <c r="C2457" s="50"/>
      <c r="M2457" s="1217" t="s">
        <v>1987</v>
      </c>
      <c r="N2457" s="1147"/>
      <c r="O2457" s="1146"/>
      <c r="P2457" s="1115"/>
      <c r="W2457" s="1114" t="s">
        <v>3520</v>
      </c>
    </row>
    <row r="2458" spans="1:29" ht="15.6" customHeight="1" x14ac:dyDescent="0.2">
      <c r="M2458" s="1133"/>
      <c r="N2458" s="1147"/>
      <c r="O2458" s="1146"/>
      <c r="P2458" s="1115"/>
    </row>
    <row r="2459" spans="1:29" s="50" customFormat="1" ht="15.6" hidden="1" customHeight="1" x14ac:dyDescent="0.25">
      <c r="A2459" s="659"/>
      <c r="B2459" s="659" t="s">
        <v>1032</v>
      </c>
      <c r="C2459" s="659"/>
      <c r="D2459" s="1454"/>
      <c r="E2459" s="659"/>
      <c r="F2459" s="1454"/>
      <c r="G2459" s="1454"/>
      <c r="H2459" s="1454"/>
      <c r="I2459" s="1620"/>
      <c r="J2459" s="1620"/>
      <c r="K2459" s="1620"/>
      <c r="L2459" s="659"/>
      <c r="M2459" s="234"/>
      <c r="N2459" s="235"/>
      <c r="O2459" s="232"/>
      <c r="P2459" s="1116"/>
      <c r="Q2459" s="1114"/>
      <c r="R2459" s="1114"/>
      <c r="S2459" s="1114"/>
      <c r="T2459" s="1114"/>
      <c r="U2459" s="316"/>
      <c r="V2459" s="1133"/>
      <c r="W2459" s="1114"/>
      <c r="X2459" s="48"/>
      <c r="Y2459" s="48"/>
      <c r="Z2459" s="48"/>
      <c r="AA2459" s="48"/>
      <c r="AB2459" s="48"/>
      <c r="AC2459" s="48"/>
    </row>
    <row r="2460" spans="1:29" ht="15.6" hidden="1" customHeight="1" x14ac:dyDescent="0.2">
      <c r="A2460" s="655"/>
      <c r="B2460" s="655" t="s">
        <v>1033</v>
      </c>
      <c r="C2460" s="655"/>
      <c r="D2460" s="656"/>
      <c r="E2460" s="655"/>
      <c r="F2460" s="656"/>
      <c r="G2460" s="656"/>
      <c r="H2460" s="656"/>
      <c r="I2460" s="661">
        <v>0</v>
      </c>
      <c r="J2460" s="661"/>
      <c r="K2460" s="661">
        <v>0</v>
      </c>
      <c r="L2460" s="655"/>
      <c r="M2460" s="1133"/>
      <c r="N2460" s="1147"/>
      <c r="O2460" s="1146"/>
      <c r="P2460" s="1115" t="s">
        <v>3378</v>
      </c>
      <c r="Q2460" s="1111" t="s">
        <v>2763</v>
      </c>
      <c r="R2460" s="1111" t="s">
        <v>3379</v>
      </c>
      <c r="S2460" s="1111" t="s">
        <v>2765</v>
      </c>
    </row>
    <row r="2461" spans="1:29" ht="15.6" hidden="1" customHeight="1" x14ac:dyDescent="0.2">
      <c r="A2461" s="655"/>
      <c r="B2461" s="655"/>
      <c r="C2461" s="655"/>
      <c r="D2461" s="656"/>
      <c r="E2461" s="655"/>
      <c r="F2461" s="656"/>
      <c r="G2461" s="656"/>
      <c r="H2461" s="656"/>
      <c r="I2461" s="661"/>
      <c r="J2461" s="661"/>
      <c r="K2461" s="661"/>
      <c r="L2461" s="655"/>
      <c r="M2461" s="1133"/>
      <c r="N2461" s="1147"/>
      <c r="O2461" s="1146"/>
      <c r="P2461" s="1115"/>
    </row>
    <row r="2462" spans="1:29" ht="15.6" hidden="1" customHeight="1" thickBot="1" x14ac:dyDescent="0.3">
      <c r="A2462" s="655"/>
      <c r="B2462" s="655"/>
      <c r="C2462" s="655"/>
      <c r="D2462" s="656"/>
      <c r="E2462" s="655"/>
      <c r="F2462" s="656"/>
      <c r="G2462" s="656"/>
      <c r="H2462" s="656"/>
      <c r="I2462" s="1545">
        <f>SUM(I2459:I2461)</f>
        <v>0</v>
      </c>
      <c r="J2462" s="661"/>
      <c r="K2462" s="1545">
        <f>SUM(K2459:K2461)</f>
        <v>0</v>
      </c>
      <c r="L2462" s="655"/>
      <c r="M2462" s="1133"/>
      <c r="N2462" s="1147"/>
      <c r="O2462" s="1146"/>
      <c r="P2462" s="1115"/>
      <c r="Z2462" s="50"/>
    </row>
    <row r="2463" spans="1:29" ht="15.6" hidden="1" customHeight="1" thickTop="1" x14ac:dyDescent="0.25">
      <c r="A2463" s="655"/>
      <c r="B2463" s="655"/>
      <c r="C2463" s="655"/>
      <c r="D2463" s="656"/>
      <c r="E2463" s="655"/>
      <c r="F2463" s="656"/>
      <c r="G2463" s="656"/>
      <c r="H2463" s="656"/>
      <c r="I2463" s="1569">
        <f>I2462-'Fin Perform'!I10</f>
        <v>0</v>
      </c>
      <c r="J2463" s="658"/>
      <c r="K2463" s="1569">
        <f>K2462-'Fin Perform'!K10</f>
        <v>0</v>
      </c>
      <c r="L2463" s="655"/>
      <c r="M2463" s="1133"/>
      <c r="N2463" s="1147"/>
      <c r="O2463" s="1146"/>
      <c r="P2463" s="1115"/>
      <c r="Y2463" s="50"/>
      <c r="AA2463" s="50"/>
    </row>
    <row r="2464" spans="1:29" s="50" customFormat="1" ht="15.6" customHeight="1" x14ac:dyDescent="0.25">
      <c r="B2464" s="50" t="s">
        <v>1034</v>
      </c>
      <c r="D2464" s="219"/>
      <c r="F2464" s="219"/>
      <c r="G2464" s="219"/>
      <c r="H2464" s="219"/>
      <c r="I2464" s="679"/>
      <c r="J2464" s="224"/>
      <c r="K2464" s="679"/>
      <c r="M2464" s="234"/>
      <c r="N2464" s="235"/>
      <c r="O2464" s="232"/>
      <c r="P2464" s="1116"/>
      <c r="Q2464" s="1114"/>
      <c r="R2464" s="1114"/>
      <c r="S2464" s="1114"/>
      <c r="T2464" s="1114"/>
      <c r="U2464" s="316"/>
      <c r="V2464" s="1133"/>
      <c r="W2464" s="1114"/>
      <c r="X2464" s="48"/>
      <c r="Y2464" s="48"/>
      <c r="Z2464" s="48"/>
      <c r="AA2464" s="48"/>
    </row>
    <row r="2465" spans="1:29" ht="15.6" customHeight="1" x14ac:dyDescent="0.2">
      <c r="B2465" s="48" t="s">
        <v>1035</v>
      </c>
      <c r="G2465" s="217"/>
      <c r="I2465" s="2271">
        <f>-SUM('Trial Balance - FPer'!G865)-I2466</f>
        <v>574.49000000000524</v>
      </c>
      <c r="J2465" s="58"/>
      <c r="K2465" s="199">
        <f>-SUM('Trial Balance - FPer'!C865)</f>
        <v>342.93</v>
      </c>
      <c r="L2465" s="59"/>
      <c r="M2465" s="1133"/>
      <c r="N2465" s="1147"/>
      <c r="O2465" s="1146"/>
      <c r="P2465" s="1115" t="s">
        <v>3380</v>
      </c>
      <c r="Q2465" s="1111" t="s">
        <v>2763</v>
      </c>
      <c r="R2465" s="1111" t="s">
        <v>3381</v>
      </c>
      <c r="S2465" s="1111" t="s">
        <v>2765</v>
      </c>
    </row>
    <row r="2466" spans="1:29" ht="15.6" customHeight="1" x14ac:dyDescent="0.2">
      <c r="B2466" s="48" t="s">
        <v>230</v>
      </c>
      <c r="G2466" s="217"/>
      <c r="I2466" s="199">
        <v>75059</v>
      </c>
      <c r="J2466" s="58"/>
      <c r="K2466" s="199">
        <f>-SUM('Trial Balance - FPer'!C866)</f>
        <v>30993.11</v>
      </c>
      <c r="L2466" s="59"/>
      <c r="M2466" s="1133"/>
      <c r="N2466" s="1147"/>
      <c r="O2466" s="1146"/>
      <c r="P2466" s="1115" t="s">
        <v>3382</v>
      </c>
      <c r="Q2466" s="1111" t="s">
        <v>2763</v>
      </c>
      <c r="R2466" s="1111" t="s">
        <v>3383</v>
      </c>
      <c r="S2466" s="1111" t="s">
        <v>2765</v>
      </c>
    </row>
    <row r="2467" spans="1:29" ht="15.6" customHeight="1" x14ac:dyDescent="0.2">
      <c r="B2467" s="48" t="s">
        <v>100</v>
      </c>
      <c r="G2467" s="217"/>
      <c r="I2467" s="199">
        <v>0</v>
      </c>
      <c r="J2467" s="58"/>
      <c r="K2467" s="199">
        <f>-SUM('Trial Balance - FPer'!C864)</f>
        <v>300</v>
      </c>
      <c r="L2467" s="59"/>
      <c r="M2467" s="1133"/>
      <c r="N2467" s="1147"/>
      <c r="O2467" s="1146"/>
      <c r="P2467" s="1115" t="s">
        <v>3384</v>
      </c>
      <c r="Q2467" s="1111" t="s">
        <v>2763</v>
      </c>
      <c r="R2467" s="1111" t="s">
        <v>3385</v>
      </c>
      <c r="S2467" s="1111" t="s">
        <v>2765</v>
      </c>
    </row>
    <row r="2468" spans="1:29" ht="15.6" customHeight="1" x14ac:dyDescent="0.2">
      <c r="B2468" s="48" t="s">
        <v>8157</v>
      </c>
      <c r="G2468" s="217"/>
      <c r="I2468" s="199">
        <f>-'Trial Balance - FPer'!G874</f>
        <v>65043.17</v>
      </c>
      <c r="J2468" s="58"/>
      <c r="K2468" s="199">
        <v>0</v>
      </c>
      <c r="L2468" s="59"/>
      <c r="M2468" s="1133"/>
      <c r="N2468" s="1147"/>
      <c r="O2468" s="1146"/>
      <c r="P2468" s="1115" t="s">
        <v>3386</v>
      </c>
      <c r="Q2468" s="1111" t="s">
        <v>2763</v>
      </c>
      <c r="R2468" s="1111" t="s">
        <v>3387</v>
      </c>
      <c r="S2468" s="1111" t="s">
        <v>2765</v>
      </c>
    </row>
    <row r="2469" spans="1:29" ht="15.6" customHeight="1" x14ac:dyDescent="0.2">
      <c r="G2469" s="217"/>
      <c r="I2469" s="58"/>
      <c r="J2469" s="58"/>
      <c r="K2469" s="58"/>
      <c r="L2469" s="59"/>
      <c r="M2469" s="1133"/>
      <c r="N2469" s="1147"/>
      <c r="O2469" s="1146"/>
      <c r="P2469" s="1115"/>
    </row>
    <row r="2470" spans="1:29" ht="15.6" customHeight="1" thickBot="1" x14ac:dyDescent="0.3">
      <c r="B2470" s="50"/>
      <c r="C2470" s="50"/>
      <c r="I2470" s="202">
        <f>SUM(I2464:I2469)</f>
        <v>140676.66</v>
      </c>
      <c r="K2470" s="202">
        <f>SUM(K2464:K2469)</f>
        <v>31636.04</v>
      </c>
      <c r="M2470" s="1133"/>
      <c r="N2470" s="1147"/>
      <c r="O2470" s="1146"/>
      <c r="P2470" s="1115"/>
    </row>
    <row r="2471" spans="1:29" ht="15.6" customHeight="1" thickTop="1" x14ac:dyDescent="0.2">
      <c r="I2471" s="2107">
        <f>I2470-'Fin Perform'!I20</f>
        <v>0</v>
      </c>
      <c r="J2471" s="320"/>
      <c r="K2471" s="2107">
        <f>K2470-'Fin Perform'!K20</f>
        <v>0</v>
      </c>
      <c r="M2471" s="1133"/>
      <c r="N2471" s="1147"/>
      <c r="O2471" s="1146"/>
      <c r="P2471" s="1115"/>
    </row>
    <row r="2472" spans="1:29" ht="15" hidden="1" customHeight="1" x14ac:dyDescent="0.2">
      <c r="A2472" s="1221"/>
      <c r="B2472" s="1221" t="s">
        <v>2033</v>
      </c>
      <c r="C2472" s="1221"/>
      <c r="D2472" s="1225"/>
      <c r="E2472" s="1221"/>
      <c r="F2472" s="1225"/>
      <c r="G2472" s="1225"/>
      <c r="H2472" s="1225"/>
      <c r="I2472" s="199">
        <f>I2470</f>
        <v>140676.66</v>
      </c>
      <c r="J2472" s="58"/>
      <c r="K2472" s="199">
        <f>K2470</f>
        <v>31636.04</v>
      </c>
      <c r="L2472" s="1221"/>
      <c r="M2472" s="1133"/>
      <c r="N2472" s="1147"/>
      <c r="O2472" s="1133"/>
      <c r="P2472" s="1115"/>
    </row>
    <row r="2473" spans="1:29" ht="15.6" hidden="1" customHeight="1" x14ac:dyDescent="0.2">
      <c r="A2473" s="1221"/>
      <c r="B2473" s="1221" t="s">
        <v>2142</v>
      </c>
      <c r="C2473" s="1221"/>
      <c r="D2473" s="1225"/>
      <c r="E2473" s="1221"/>
      <c r="F2473" s="1225"/>
      <c r="G2473" s="1225"/>
      <c r="H2473" s="1225"/>
      <c r="I2473" s="199">
        <v>0</v>
      </c>
      <c r="J2473" s="58"/>
      <c r="K2473" s="199">
        <v>0</v>
      </c>
      <c r="L2473" s="1221"/>
      <c r="M2473" s="1133"/>
      <c r="N2473" s="1147"/>
      <c r="O2473" s="1133"/>
      <c r="P2473" s="1115" t="s">
        <v>4378</v>
      </c>
      <c r="Q2473" s="1111" t="s">
        <v>2781</v>
      </c>
      <c r="R2473" s="1115" t="s">
        <v>4380</v>
      </c>
      <c r="S2473" s="1111" t="s">
        <v>2790</v>
      </c>
    </row>
    <row r="2474" spans="1:29" ht="15.6" hidden="1" customHeight="1" x14ac:dyDescent="0.2">
      <c r="A2474" s="1221"/>
      <c r="B2474" s="1221" t="s">
        <v>2143</v>
      </c>
      <c r="C2474" s="1221"/>
      <c r="D2474" s="1225"/>
      <c r="E2474" s="1221"/>
      <c r="F2474" s="1225"/>
      <c r="G2474" s="1225"/>
      <c r="H2474" s="1225"/>
      <c r="I2474" s="199">
        <v>0</v>
      </c>
      <c r="J2474" s="58"/>
      <c r="K2474" s="199">
        <v>0</v>
      </c>
      <c r="L2474" s="1221"/>
      <c r="M2474" s="1133"/>
      <c r="N2474" s="1147"/>
      <c r="O2474" s="1133"/>
      <c r="P2474" s="1115" t="s">
        <v>4379</v>
      </c>
      <c r="Q2474" s="1111" t="s">
        <v>2781</v>
      </c>
      <c r="R2474" s="1115" t="s">
        <v>4381</v>
      </c>
      <c r="S2474" s="1111" t="s">
        <v>2790</v>
      </c>
    </row>
    <row r="2475" spans="1:29" ht="15.6" hidden="1" customHeight="1" x14ac:dyDescent="0.2">
      <c r="A2475" s="1221"/>
      <c r="B2475" s="1221" t="s">
        <v>2034</v>
      </c>
      <c r="C2475" s="1221"/>
      <c r="D2475" s="1225"/>
      <c r="E2475" s="1221"/>
      <c r="F2475" s="1225"/>
      <c r="G2475" s="1225"/>
      <c r="H2475" s="1225"/>
      <c r="I2475" s="199">
        <v>0</v>
      </c>
      <c r="J2475" s="58"/>
      <c r="K2475" s="199">
        <v>0</v>
      </c>
      <c r="L2475" s="1221"/>
      <c r="M2475" s="1133"/>
      <c r="N2475" s="1147"/>
      <c r="O2475" s="1133"/>
      <c r="P2475" s="1115"/>
    </row>
    <row r="2476" spans="1:29" ht="15.6" hidden="1" customHeight="1" x14ac:dyDescent="0.2">
      <c r="A2476" s="1221"/>
      <c r="B2476" s="1221"/>
      <c r="C2476" s="1221"/>
      <c r="D2476" s="1225"/>
      <c r="E2476" s="1221"/>
      <c r="F2476" s="1225"/>
      <c r="G2476" s="1225"/>
      <c r="H2476" s="1225"/>
      <c r="J2476" s="58"/>
      <c r="L2476" s="1221"/>
      <c r="M2476" s="1133"/>
      <c r="N2476" s="1147"/>
      <c r="O2476" s="1133"/>
      <c r="P2476" s="1115"/>
    </row>
    <row r="2477" spans="1:29" ht="15.6" hidden="1" customHeight="1" thickBot="1" x14ac:dyDescent="0.3">
      <c r="A2477" s="1221"/>
      <c r="B2477" s="1221" t="s">
        <v>2035</v>
      </c>
      <c r="C2477" s="1221"/>
      <c r="D2477" s="1225"/>
      <c r="E2477" s="1221"/>
      <c r="F2477" s="1225"/>
      <c r="G2477" s="1225"/>
      <c r="H2477" s="1225"/>
      <c r="I2477" s="202">
        <f>SUM(I2472:I2476)</f>
        <v>140676.66</v>
      </c>
      <c r="K2477" s="202">
        <f>SUM(K2472:K2476)</f>
        <v>31636.04</v>
      </c>
      <c r="L2477" s="1221"/>
      <c r="M2477" s="1133"/>
      <c r="N2477" s="1147"/>
      <c r="O2477" s="1133"/>
      <c r="P2477" s="1115"/>
    </row>
    <row r="2478" spans="1:29" ht="15.6" hidden="1" customHeight="1" thickTop="1" x14ac:dyDescent="0.2">
      <c r="A2478" s="1221"/>
      <c r="B2478" s="1221"/>
      <c r="C2478" s="1221"/>
      <c r="D2478" s="1225"/>
      <c r="E2478" s="1221"/>
      <c r="F2478" s="1225"/>
      <c r="G2478" s="1225"/>
      <c r="H2478" s="1225"/>
      <c r="I2478" s="265"/>
      <c r="J2478" s="58"/>
      <c r="K2478" s="265"/>
      <c r="L2478" s="1221"/>
      <c r="M2478" s="1133"/>
      <c r="N2478" s="1147"/>
      <c r="O2478" s="1133"/>
      <c r="P2478" s="1115"/>
    </row>
    <row r="2479" spans="1:29" s="50" customFormat="1" ht="15.6" customHeight="1" x14ac:dyDescent="0.25">
      <c r="B2479" s="50" t="s">
        <v>1036</v>
      </c>
      <c r="D2479" s="219"/>
      <c r="F2479" s="219"/>
      <c r="G2479" s="219"/>
      <c r="H2479" s="219"/>
      <c r="I2479" s="679"/>
      <c r="J2479" s="224"/>
      <c r="K2479" s="679"/>
      <c r="M2479" s="234"/>
      <c r="N2479" s="235"/>
      <c r="O2479" s="232"/>
      <c r="P2479" s="1116"/>
      <c r="Q2479" s="1114"/>
      <c r="R2479" s="1114"/>
      <c r="S2479" s="1114"/>
      <c r="T2479" s="1114"/>
      <c r="U2479" s="316"/>
      <c r="V2479" s="1133"/>
      <c r="W2479" s="1114"/>
      <c r="X2479" s="48"/>
      <c r="Y2479" s="48"/>
      <c r="Z2479" s="48"/>
      <c r="AA2479" s="48"/>
      <c r="AB2479" s="48"/>
      <c r="AC2479" s="48"/>
    </row>
    <row r="2480" spans="1:29" ht="15.6" hidden="1" customHeight="1" x14ac:dyDescent="0.2">
      <c r="A2480" s="655"/>
      <c r="B2480" s="655" t="s">
        <v>3745</v>
      </c>
      <c r="C2480" s="655"/>
      <c r="D2480" s="656"/>
      <c r="E2480" s="655"/>
      <c r="F2480" s="656"/>
      <c r="G2480" s="1528"/>
      <c r="H2480" s="656"/>
      <c r="I2480" s="199">
        <v>0</v>
      </c>
      <c r="J2480" s="58"/>
      <c r="K2480" s="199">
        <v>0</v>
      </c>
      <c r="L2480" s="1415"/>
      <c r="M2480" s="1133"/>
      <c r="N2480" s="1147"/>
      <c r="O2480" s="1133"/>
      <c r="P2480" s="1115" t="s">
        <v>3388</v>
      </c>
      <c r="Q2480" s="1111" t="s">
        <v>2763</v>
      </c>
      <c r="R2480" s="1111" t="s">
        <v>3389</v>
      </c>
      <c r="S2480" s="1111" t="s">
        <v>2765</v>
      </c>
    </row>
    <row r="2481" spans="1:29" ht="15.6" hidden="1" customHeight="1" x14ac:dyDescent="0.2">
      <c r="A2481" s="655"/>
      <c r="B2481" s="655" t="s">
        <v>1037</v>
      </c>
      <c r="C2481" s="655"/>
      <c r="D2481" s="656"/>
      <c r="E2481" s="655"/>
      <c r="F2481" s="656"/>
      <c r="G2481" s="1528"/>
      <c r="H2481" s="656"/>
      <c r="I2481" s="199">
        <v>0</v>
      </c>
      <c r="J2481" s="58"/>
      <c r="K2481" s="199">
        <v>0</v>
      </c>
      <c r="L2481" s="1415"/>
      <c r="M2481" s="1133"/>
      <c r="N2481" s="1147"/>
      <c r="O2481" s="1146"/>
      <c r="P2481" s="1115" t="s">
        <v>3390</v>
      </c>
      <c r="Q2481" s="1111" t="s">
        <v>2763</v>
      </c>
      <c r="R2481" s="1111" t="s">
        <v>3391</v>
      </c>
      <c r="S2481" s="1111" t="s">
        <v>2765</v>
      </c>
    </row>
    <row r="2482" spans="1:29" ht="15.6" hidden="1" customHeight="1" x14ac:dyDescent="0.2">
      <c r="B2482" s="48" t="s">
        <v>1335</v>
      </c>
      <c r="G2482" s="217"/>
      <c r="I2482" s="199">
        <v>0</v>
      </c>
      <c r="J2482" s="58"/>
      <c r="K2482" s="199">
        <v>0</v>
      </c>
      <c r="L2482" s="59"/>
      <c r="M2482" s="1133"/>
      <c r="N2482" s="1147"/>
      <c r="O2482" s="1146"/>
      <c r="P2482" s="1115" t="s">
        <v>4382</v>
      </c>
      <c r="Q2482" s="1111" t="s">
        <v>2763</v>
      </c>
      <c r="R2482" s="1115" t="s">
        <v>4384</v>
      </c>
      <c r="S2482" s="1111" t="s">
        <v>2765</v>
      </c>
    </row>
    <row r="2483" spans="1:29" ht="15.6" customHeight="1" x14ac:dyDescent="0.2">
      <c r="B2483" s="48" t="s">
        <v>1038</v>
      </c>
      <c r="G2483" s="217"/>
      <c r="I2483" s="199">
        <f>-SUM('Trial Balance - FPer'!G876)</f>
        <v>273209.25</v>
      </c>
      <c r="J2483" s="58"/>
      <c r="K2483" s="199">
        <f>-SUM('Trial Balance - FPer'!C876)</f>
        <v>226492.75</v>
      </c>
      <c r="L2483" s="59"/>
      <c r="M2483" s="1133"/>
      <c r="N2483" s="1147"/>
      <c r="O2483" s="1146"/>
      <c r="P2483" s="1111" t="s">
        <v>4383</v>
      </c>
      <c r="Q2483" s="1111" t="s">
        <v>2763</v>
      </c>
      <c r="R2483" s="1111" t="s">
        <v>4385</v>
      </c>
      <c r="S2483" s="1111" t="s">
        <v>2765</v>
      </c>
    </row>
    <row r="2484" spans="1:29" ht="15.6" customHeight="1" x14ac:dyDescent="0.2">
      <c r="G2484" s="217"/>
      <c r="I2484" s="58"/>
      <c r="J2484" s="58"/>
      <c r="K2484" s="58"/>
      <c r="L2484" s="59"/>
      <c r="M2484" s="1133"/>
      <c r="N2484" s="1147"/>
      <c r="O2484" s="1146"/>
      <c r="P2484" s="1115"/>
    </row>
    <row r="2485" spans="1:29" ht="15.6" customHeight="1" thickBot="1" x14ac:dyDescent="0.3">
      <c r="B2485" s="50"/>
      <c r="C2485" s="50"/>
      <c r="I2485" s="202">
        <f>SUM(I2479:I2484)</f>
        <v>273209.25</v>
      </c>
      <c r="K2485" s="202">
        <f>SUM(K2479:K2484)</f>
        <v>226492.75</v>
      </c>
      <c r="M2485" s="1133"/>
      <c r="N2485" s="1147"/>
      <c r="O2485" s="1146"/>
      <c r="P2485" s="1115"/>
    </row>
    <row r="2486" spans="1:29" ht="15.6" customHeight="1" thickTop="1" thickBot="1" x14ac:dyDescent="0.25">
      <c r="I2486" s="2107">
        <f>I2485-'Fin Perform'!I21</f>
        <v>0</v>
      </c>
      <c r="J2486" s="320"/>
      <c r="K2486" s="2107">
        <f>K2485-'Fin Perform'!K21</f>
        <v>0</v>
      </c>
      <c r="M2486" s="1133"/>
      <c r="N2486" s="1147"/>
      <c r="O2486" s="1146"/>
      <c r="P2486" s="1115"/>
    </row>
    <row r="2487" spans="1:29" s="50" customFormat="1" ht="15.6" customHeight="1" thickTop="1" thickBot="1" x14ac:dyDescent="0.3">
      <c r="B2487" s="50" t="s">
        <v>1039</v>
      </c>
      <c r="D2487" s="219"/>
      <c r="F2487" s="219"/>
      <c r="G2487" s="219"/>
      <c r="H2487" s="219"/>
      <c r="I2487" s="838">
        <f>SUM(I2462,I2470,I2485)</f>
        <v>413885.91000000003</v>
      </c>
      <c r="J2487" s="224"/>
      <c r="K2487" s="838">
        <f>SUM(K2462,K2470,K2485)</f>
        <v>258128.79</v>
      </c>
      <c r="M2487" s="1217" t="s">
        <v>2353</v>
      </c>
      <c r="N2487" s="235"/>
      <c r="O2487" s="232"/>
      <c r="P2487" s="1116"/>
      <c r="Q2487" s="1114"/>
      <c r="R2487" s="1114"/>
      <c r="S2487" s="1114"/>
      <c r="T2487" s="1114"/>
      <c r="U2487" s="316"/>
      <c r="V2487" s="1133"/>
      <c r="W2487" s="1114"/>
      <c r="X2487" s="48"/>
      <c r="Y2487" s="48"/>
      <c r="Z2487" s="48"/>
      <c r="AA2487" s="48"/>
      <c r="AB2487" s="48"/>
      <c r="AC2487" s="48"/>
    </row>
    <row r="2488" spans="1:29" ht="15.6" customHeight="1" thickTop="1" x14ac:dyDescent="0.2">
      <c r="I2488" s="265"/>
      <c r="J2488" s="58"/>
      <c r="K2488" s="265"/>
      <c r="M2488" s="1133"/>
      <c r="N2488" s="1147"/>
      <c r="O2488" s="1146"/>
      <c r="P2488" s="1115"/>
    </row>
    <row r="2489" spans="1:29" ht="46.5" hidden="1" customHeight="1" x14ac:dyDescent="0.2">
      <c r="A2489" s="767"/>
      <c r="B2489" s="2855" t="s">
        <v>2520</v>
      </c>
      <c r="C2489" s="2855"/>
      <c r="D2489" s="2855"/>
      <c r="E2489" s="2855"/>
      <c r="F2489" s="2855"/>
      <c r="G2489" s="2855"/>
      <c r="H2489" s="768"/>
      <c r="I2489" s="56"/>
      <c r="J2489" s="56"/>
      <c r="K2489" s="56"/>
      <c r="L2489" s="777"/>
      <c r="M2489" s="1133"/>
      <c r="N2489" s="1147"/>
      <c r="O2489" s="1146"/>
      <c r="P2489" s="1115"/>
    </row>
    <row r="2490" spans="1:29" ht="15.6" hidden="1" customHeight="1" x14ac:dyDescent="0.2">
      <c r="A2490" s="767"/>
      <c r="B2490" s="767"/>
      <c r="C2490" s="767"/>
      <c r="D2490" s="769"/>
      <c r="E2490" s="767"/>
      <c r="F2490" s="769"/>
      <c r="G2490" s="769"/>
      <c r="H2490" s="769"/>
      <c r="I2490" s="58"/>
      <c r="J2490" s="58"/>
      <c r="K2490" s="58"/>
      <c r="L2490" s="777"/>
      <c r="N2490" s="1471"/>
    </row>
    <row r="2491" spans="1:29" ht="15.6" customHeight="1" x14ac:dyDescent="0.25">
      <c r="B2491" s="2839" t="s">
        <v>1040</v>
      </c>
      <c r="C2491" s="2839"/>
      <c r="D2491" s="2839"/>
      <c r="E2491" s="2839"/>
      <c r="F2491" s="2839"/>
      <c r="G2491" s="2839"/>
      <c r="I2491" s="200"/>
      <c r="J2491" s="200"/>
      <c r="K2491" s="200"/>
      <c r="L2491" s="210"/>
      <c r="M2491" s="1217" t="s">
        <v>2354</v>
      </c>
      <c r="N2491" s="1147"/>
      <c r="O2491" s="1146"/>
      <c r="P2491" s="1115"/>
    </row>
    <row r="2492" spans="1:29" ht="15.6" customHeight="1" x14ac:dyDescent="0.2">
      <c r="I2492" s="206"/>
      <c r="J2492" s="206"/>
      <c r="K2492" s="206"/>
      <c r="L2492" s="207"/>
      <c r="M2492" s="1133"/>
      <c r="N2492" s="1147"/>
      <c r="O2492" s="1146"/>
      <c r="P2492" s="1115"/>
    </row>
    <row r="2493" spans="1:29" ht="15.6" hidden="1" customHeight="1" x14ac:dyDescent="0.2">
      <c r="B2493" s="48" t="s">
        <v>1041</v>
      </c>
      <c r="I2493" s="206">
        <v>0</v>
      </c>
      <c r="J2493" s="206"/>
      <c r="K2493" s="206">
        <v>0</v>
      </c>
      <c r="L2493" s="207"/>
      <c r="M2493" s="1133"/>
      <c r="N2493" s="1147"/>
      <c r="O2493" s="1146"/>
      <c r="P2493" s="1115"/>
    </row>
    <row r="2494" spans="1:29" ht="15.6" customHeight="1" x14ac:dyDescent="0.2">
      <c r="B2494" s="48" t="s">
        <v>1042</v>
      </c>
      <c r="I2494" s="206">
        <f>I2470</f>
        <v>140676.66</v>
      </c>
      <c r="J2494" s="206"/>
      <c r="K2494" s="206">
        <f>K2470</f>
        <v>31636.04</v>
      </c>
      <c r="L2494" s="207"/>
      <c r="M2494" s="1133"/>
      <c r="N2494" s="1147"/>
      <c r="O2494" s="1146"/>
      <c r="P2494" s="1115"/>
    </row>
    <row r="2495" spans="1:29" ht="15.6" customHeight="1" x14ac:dyDescent="0.2">
      <c r="B2495" s="48" t="s">
        <v>504</v>
      </c>
      <c r="I2495" s="206">
        <f>I2462+I2485</f>
        <v>273209.25</v>
      </c>
      <c r="J2495" s="206"/>
      <c r="K2495" s="206">
        <f>K2462+K2485</f>
        <v>226492.75</v>
      </c>
      <c r="L2495" s="207"/>
      <c r="M2495" s="1133"/>
      <c r="N2495" s="1147"/>
      <c r="O2495" s="1146"/>
      <c r="P2495" s="1115"/>
    </row>
    <row r="2496" spans="1:29" ht="15.6" customHeight="1" thickBot="1" x14ac:dyDescent="0.3">
      <c r="I2496" s="202">
        <f>SUM(I2493:I2495)</f>
        <v>413885.91000000003</v>
      </c>
      <c r="J2496" s="206"/>
      <c r="K2496" s="202">
        <f>SUM(K2493:K2495)</f>
        <v>258128.79</v>
      </c>
      <c r="L2496" s="207"/>
      <c r="M2496" s="1133"/>
      <c r="N2496" s="1147"/>
      <c r="O2496" s="1146"/>
      <c r="P2496" s="1115"/>
    </row>
    <row r="2497" spans="1:23" ht="15.6" hidden="1" customHeight="1" thickTop="1" x14ac:dyDescent="0.2">
      <c r="A2497" s="655"/>
      <c r="B2497" s="655"/>
      <c r="C2497" s="655"/>
      <c r="D2497" s="656"/>
      <c r="E2497" s="655"/>
      <c r="F2497" s="656"/>
      <c r="G2497" s="656"/>
      <c r="H2497" s="656"/>
      <c r="I2497" s="663"/>
      <c r="J2497" s="663"/>
      <c r="K2497" s="663"/>
      <c r="L2497" s="1551"/>
      <c r="M2497" s="1133"/>
      <c r="N2497" s="1147"/>
      <c r="O2497" s="1146"/>
      <c r="P2497" s="1115"/>
    </row>
    <row r="2498" spans="1:23" ht="15.6" hidden="1" customHeight="1" x14ac:dyDescent="0.2">
      <c r="A2498" s="655"/>
      <c r="B2498" s="655" t="s">
        <v>1043</v>
      </c>
      <c r="C2498" s="655"/>
      <c r="D2498" s="656"/>
      <c r="E2498" s="655"/>
      <c r="F2498" s="656"/>
      <c r="G2498" s="656"/>
      <c r="H2498" s="656"/>
      <c r="I2498" s="663">
        <v>0</v>
      </c>
      <c r="J2498" s="663"/>
      <c r="K2498" s="663">
        <v>0</v>
      </c>
      <c r="L2498" s="1551"/>
      <c r="M2498" s="1133"/>
      <c r="N2498" s="1147"/>
      <c r="O2498" s="1146"/>
      <c r="P2498" s="1115"/>
    </row>
    <row r="2499" spans="1:23" ht="15.6" hidden="1" customHeight="1" x14ac:dyDescent="0.2">
      <c r="I2499" s="206"/>
      <c r="J2499" s="206"/>
      <c r="K2499" s="206"/>
      <c r="L2499" s="207"/>
      <c r="M2499" s="1133"/>
      <c r="N2499" s="1147"/>
      <c r="O2499" s="1146"/>
      <c r="P2499" s="1115"/>
    </row>
    <row r="2500" spans="1:23" ht="15.6" hidden="1" customHeight="1" thickBot="1" x14ac:dyDescent="0.3">
      <c r="I2500" s="202">
        <f>SUM(I2496:I2499)</f>
        <v>413885.91000000003</v>
      </c>
      <c r="K2500" s="202">
        <f>SUM(K2496:K2499)</f>
        <v>258128.79</v>
      </c>
      <c r="L2500" s="207"/>
      <c r="M2500" s="1133"/>
      <c r="N2500" s="1147"/>
      <c r="O2500" s="1146"/>
      <c r="P2500" s="1115"/>
    </row>
    <row r="2501" spans="1:23" ht="15.6" hidden="1" customHeight="1" thickTop="1" x14ac:dyDescent="0.2">
      <c r="I2501" s="265">
        <f>I2500-I2487</f>
        <v>0</v>
      </c>
      <c r="J2501" s="58"/>
      <c r="K2501" s="265">
        <f>K2500-K2487</f>
        <v>0</v>
      </c>
      <c r="L2501" s="207"/>
      <c r="M2501" s="1133"/>
      <c r="N2501" s="1147"/>
      <c r="O2501" s="1146"/>
      <c r="P2501" s="1115"/>
    </row>
    <row r="2502" spans="1:23" ht="30.95" hidden="1" customHeight="1" x14ac:dyDescent="0.25">
      <c r="A2502" s="767"/>
      <c r="B2502" s="2855" t="s">
        <v>2521</v>
      </c>
      <c r="C2502" s="2855"/>
      <c r="D2502" s="2855"/>
      <c r="E2502" s="2855"/>
      <c r="F2502" s="2855"/>
      <c r="G2502" s="2855"/>
      <c r="H2502" s="769"/>
      <c r="I2502" s="770"/>
      <c r="J2502" s="770"/>
      <c r="K2502" s="770"/>
      <c r="L2502" s="771"/>
      <c r="M2502" s="1133"/>
      <c r="N2502" s="1147"/>
      <c r="O2502" s="1146"/>
      <c r="P2502" s="1115"/>
    </row>
    <row r="2503" spans="1:23" ht="15.6" hidden="1" customHeight="1" x14ac:dyDescent="0.2">
      <c r="A2503" s="767"/>
      <c r="B2503" s="767"/>
      <c r="C2503" s="767"/>
      <c r="D2503" s="769"/>
      <c r="E2503" s="767"/>
      <c r="F2503" s="769"/>
      <c r="G2503" s="769"/>
      <c r="H2503" s="769"/>
      <c r="I2503" s="1542"/>
      <c r="J2503" s="1542"/>
      <c r="K2503" s="1542"/>
      <c r="L2503" s="1544"/>
      <c r="M2503" s="1605"/>
      <c r="N2503" s="1147"/>
      <c r="O2503" s="1146"/>
      <c r="P2503" s="1115"/>
    </row>
    <row r="2504" spans="1:23" ht="15.6" customHeight="1" thickTop="1" x14ac:dyDescent="0.2">
      <c r="I2504" s="58"/>
      <c r="J2504" s="58"/>
      <c r="K2504" s="58"/>
      <c r="L2504" s="59"/>
      <c r="M2504" s="1606"/>
    </row>
    <row r="2505" spans="1:23" ht="15.6" customHeight="1" x14ac:dyDescent="0.25">
      <c r="A2505" s="211">
        <v>26</v>
      </c>
      <c r="B2505" s="50" t="s">
        <v>1637</v>
      </c>
      <c r="C2505" s="50"/>
      <c r="I2505" s="58"/>
      <c r="J2505" s="58"/>
      <c r="K2505" s="58"/>
      <c r="L2505" s="59"/>
      <c r="M2505" s="1606"/>
      <c r="W2505" s="1114" t="s">
        <v>3520</v>
      </c>
    </row>
    <row r="2506" spans="1:23" ht="15.6" customHeight="1" x14ac:dyDescent="0.2">
      <c r="I2506" s="58"/>
      <c r="J2506" s="58"/>
      <c r="K2506" s="58"/>
      <c r="L2506" s="59"/>
      <c r="M2506" s="1606"/>
    </row>
    <row r="2507" spans="1:23" ht="15.6" customHeight="1" x14ac:dyDescent="0.2">
      <c r="B2507" s="48" t="s">
        <v>1406</v>
      </c>
      <c r="I2507" s="58">
        <f>-SUM('Trial Balance - FPer'!G890)</f>
        <v>2350.16</v>
      </c>
      <c r="J2507" s="58"/>
      <c r="K2507" s="58">
        <f>-SUM('Trial Balance - FPer'!C890)</f>
        <v>584.28</v>
      </c>
      <c r="L2507" s="59"/>
      <c r="M2507" s="1606"/>
      <c r="N2507" s="1587"/>
      <c r="P2507" s="1110" t="s">
        <v>3817</v>
      </c>
      <c r="Q2507" s="1111" t="s">
        <v>2763</v>
      </c>
      <c r="R2507" s="1111" t="s">
        <v>3832</v>
      </c>
      <c r="S2507" s="1111" t="s">
        <v>2765</v>
      </c>
    </row>
    <row r="2508" spans="1:23" ht="15.6" customHeight="1" x14ac:dyDescent="0.2">
      <c r="B2508" s="48" t="s">
        <v>1757</v>
      </c>
      <c r="I2508" s="58">
        <f>-SUM('Trial Balance - FPer'!G891)</f>
        <v>27370.03</v>
      </c>
      <c r="J2508" s="58"/>
      <c r="K2508" s="58">
        <f>-SUM('Trial Balance - FPer'!C891)</f>
        <v>45514.22</v>
      </c>
      <c r="L2508" s="59"/>
      <c r="M2508" s="1606"/>
      <c r="N2508" s="1587"/>
      <c r="P2508" s="1110" t="s">
        <v>3818</v>
      </c>
      <c r="Q2508" s="1111" t="s">
        <v>2763</v>
      </c>
      <c r="R2508" s="1111" t="s">
        <v>3833</v>
      </c>
      <c r="S2508" s="1111" t="s">
        <v>2765</v>
      </c>
      <c r="W2508" s="48"/>
    </row>
    <row r="2509" spans="1:23" ht="15.6" customHeight="1" x14ac:dyDescent="0.2">
      <c r="B2509" s="48" t="s">
        <v>7671</v>
      </c>
      <c r="I2509" s="58">
        <f>-'Trial Balance - FPer'!G1107</f>
        <v>108673.56</v>
      </c>
      <c r="J2509" s="58"/>
      <c r="K2509" s="58">
        <v>0</v>
      </c>
      <c r="L2509" s="59"/>
      <c r="M2509" s="1606"/>
      <c r="N2509" s="1587"/>
      <c r="W2509" s="48"/>
    </row>
    <row r="2510" spans="1:23" ht="15.6" customHeight="1" x14ac:dyDescent="0.2">
      <c r="B2510" s="48" t="s">
        <v>6471</v>
      </c>
      <c r="I2510" s="58">
        <f>-SUM('Trial Balance - FPer'!G892)</f>
        <v>208.44</v>
      </c>
      <c r="J2510" s="58"/>
      <c r="K2510" s="58">
        <f>-SUM('Trial Balance - FPer'!C892)</f>
        <v>1411.7</v>
      </c>
      <c r="L2510" s="59"/>
      <c r="M2510" s="1606"/>
      <c r="N2510" s="1587"/>
      <c r="P2510" s="1110" t="s">
        <v>3819</v>
      </c>
      <c r="Q2510" s="1111" t="s">
        <v>2763</v>
      </c>
      <c r="R2510" s="1111" t="s">
        <v>3834</v>
      </c>
      <c r="S2510" s="1111" t="s">
        <v>2765</v>
      </c>
      <c r="W2510" s="48"/>
    </row>
    <row r="2511" spans="1:23" ht="15.6" customHeight="1" x14ac:dyDescent="0.2">
      <c r="B2511" s="48" t="s">
        <v>6472</v>
      </c>
      <c r="I2511" s="58">
        <f>-SUM('Trial Balance - FPer'!G893:G895)</f>
        <v>77.89</v>
      </c>
      <c r="J2511" s="58"/>
      <c r="K2511" s="58">
        <f>-SUM('Trial Balance - FPer'!C893:C895,'Trial Balance - FPer'!C899:C900)</f>
        <v>296.16000000000003</v>
      </c>
      <c r="L2511" s="59"/>
      <c r="M2511" s="1606"/>
      <c r="N2511" s="1587"/>
      <c r="P2511" s="1110" t="s">
        <v>3820</v>
      </c>
      <c r="Q2511" s="1111" t="s">
        <v>2763</v>
      </c>
      <c r="R2511" s="1111" t="s">
        <v>3835</v>
      </c>
      <c r="S2511" s="1111" t="s">
        <v>2765</v>
      </c>
      <c r="W2511" s="48"/>
    </row>
    <row r="2512" spans="1:23" ht="15.6" customHeight="1" x14ac:dyDescent="0.2">
      <c r="B2512" s="48" t="s">
        <v>1787</v>
      </c>
      <c r="I2512" s="58">
        <f>-SUM('Trial Balance - FPer'!G896:G898)</f>
        <v>1171.27</v>
      </c>
      <c r="J2512" s="58"/>
      <c r="K2512" s="58">
        <f>-SUM('Trial Balance - FPer'!C896:C898)</f>
        <v>638.55999999999995</v>
      </c>
      <c r="L2512" s="59"/>
      <c r="M2512" s="1606"/>
      <c r="N2512" s="1587"/>
      <c r="P2512" s="1110" t="s">
        <v>3821</v>
      </c>
      <c r="Q2512" s="1111" t="s">
        <v>2763</v>
      </c>
      <c r="R2512" s="1111" t="s">
        <v>3836</v>
      </c>
      <c r="S2512" s="1111" t="s">
        <v>2765</v>
      </c>
      <c r="W2512" s="48"/>
    </row>
    <row r="2513" spans="1:24" ht="15.6" hidden="1" customHeight="1" x14ac:dyDescent="0.2">
      <c r="A2513" s="655"/>
      <c r="B2513" s="655" t="s">
        <v>4386</v>
      </c>
      <c r="C2513" s="655"/>
      <c r="D2513" s="656"/>
      <c r="E2513" s="655"/>
      <c r="F2513" s="656"/>
      <c r="G2513" s="656"/>
      <c r="H2513" s="656"/>
      <c r="I2513" s="58">
        <v>0</v>
      </c>
      <c r="J2513" s="58"/>
      <c r="K2513" s="58">
        <v>0</v>
      </c>
      <c r="L2513" s="1415"/>
      <c r="M2513" s="1605"/>
      <c r="N2513" s="1588"/>
      <c r="P2513" s="1110" t="s">
        <v>3822</v>
      </c>
      <c r="Q2513" s="1111" t="s">
        <v>2763</v>
      </c>
      <c r="R2513" s="1111" t="s">
        <v>3837</v>
      </c>
      <c r="S2513" s="1111" t="s">
        <v>2765</v>
      </c>
      <c r="W2513" s="48"/>
    </row>
    <row r="2514" spans="1:24" ht="15.6" customHeight="1" x14ac:dyDescent="0.2">
      <c r="B2514" s="48" t="s">
        <v>6473</v>
      </c>
      <c r="I2514" s="58">
        <f>-SUM('Trial Balance - FPer'!G902:G904)</f>
        <v>10943.94</v>
      </c>
      <c r="J2514" s="58"/>
      <c r="K2514" s="58">
        <f>-SUM('Trial Balance - FPer'!C902:C904)</f>
        <v>37454.06</v>
      </c>
      <c r="L2514" s="59"/>
      <c r="M2514" s="1605"/>
      <c r="N2514" s="1588"/>
      <c r="P2514" s="1110" t="s">
        <v>3823</v>
      </c>
      <c r="Q2514" s="1111" t="s">
        <v>2763</v>
      </c>
      <c r="R2514" s="1111" t="s">
        <v>3838</v>
      </c>
      <c r="S2514" s="1111" t="s">
        <v>2765</v>
      </c>
      <c r="W2514" s="48"/>
    </row>
    <row r="2515" spans="1:24" ht="15.6" customHeight="1" x14ac:dyDescent="0.2">
      <c r="B2515" s="48" t="s">
        <v>6409</v>
      </c>
      <c r="I2515" s="58">
        <v>0</v>
      </c>
      <c r="J2515" s="58"/>
      <c r="K2515" s="58">
        <f>-SUM('Trial Balance - FPer'!C905)</f>
        <v>14154.6</v>
      </c>
      <c r="L2515" s="59"/>
      <c r="M2515" s="1605"/>
      <c r="N2515" s="1588"/>
      <c r="P2515" s="1110" t="s">
        <v>3824</v>
      </c>
      <c r="Q2515" s="1111" t="s">
        <v>2763</v>
      </c>
      <c r="R2515" s="1111" t="s">
        <v>3839</v>
      </c>
      <c r="S2515" s="1111" t="s">
        <v>2765</v>
      </c>
      <c r="W2515" s="48"/>
    </row>
    <row r="2516" spans="1:24" ht="15.6" customHeight="1" x14ac:dyDescent="0.2">
      <c r="B2516" s="48" t="s">
        <v>6550</v>
      </c>
      <c r="I2516" s="58">
        <f>-SUM('Trial Balance - FPer'!G911)</f>
        <v>115500</v>
      </c>
      <c r="J2516" s="58"/>
      <c r="K2516" s="58">
        <v>0</v>
      </c>
      <c r="L2516" s="59"/>
      <c r="M2516" s="1605"/>
      <c r="N2516" s="1588"/>
      <c r="P2516" s="1110" t="s">
        <v>3825</v>
      </c>
      <c r="Q2516" s="1111" t="s">
        <v>2763</v>
      </c>
      <c r="R2516" s="1111" t="s">
        <v>3840</v>
      </c>
      <c r="S2516" s="1111" t="s">
        <v>2765</v>
      </c>
      <c r="V2516" s="234"/>
      <c r="W2516" s="48"/>
    </row>
    <row r="2517" spans="1:24" ht="15.6" hidden="1" customHeight="1" x14ac:dyDescent="0.2">
      <c r="B2517" s="48" t="s">
        <v>2622</v>
      </c>
      <c r="I2517" s="199">
        <v>0</v>
      </c>
      <c r="J2517" s="58"/>
      <c r="K2517" s="199">
        <v>0</v>
      </c>
      <c r="L2517" s="59"/>
      <c r="M2517" s="1605"/>
      <c r="N2517" s="1588"/>
      <c r="O2517" s="1134"/>
      <c r="P2517" s="1110" t="s">
        <v>3826</v>
      </c>
      <c r="Q2517" s="1111" t="s">
        <v>2763</v>
      </c>
      <c r="R2517" s="1111" t="s">
        <v>3841</v>
      </c>
      <c r="S2517" s="1111" t="s">
        <v>2765</v>
      </c>
      <c r="W2517" s="48"/>
    </row>
    <row r="2518" spans="1:24" ht="15.6" hidden="1" customHeight="1" x14ac:dyDescent="0.2">
      <c r="B2518" s="48" t="s">
        <v>1407</v>
      </c>
      <c r="I2518" s="58">
        <v>0</v>
      </c>
      <c r="J2518" s="58"/>
      <c r="K2518" s="58">
        <v>0</v>
      </c>
      <c r="L2518" s="59"/>
      <c r="M2518" s="1605"/>
      <c r="N2518" s="1588"/>
      <c r="P2518" s="1110" t="s">
        <v>3827</v>
      </c>
      <c r="Q2518" s="1111" t="s">
        <v>2763</v>
      </c>
      <c r="R2518" s="1111" t="s">
        <v>3842</v>
      </c>
      <c r="S2518" s="1111" t="s">
        <v>2765</v>
      </c>
      <c r="W2518" s="48"/>
    </row>
    <row r="2519" spans="1:24" ht="15.6" hidden="1" customHeight="1" x14ac:dyDescent="0.2">
      <c r="B2519" s="48" t="s">
        <v>3739</v>
      </c>
      <c r="I2519" s="58">
        <v>0</v>
      </c>
      <c r="J2519" s="58"/>
      <c r="K2519" s="58">
        <v>0</v>
      </c>
      <c r="L2519" s="59"/>
      <c r="N2519" s="1588"/>
      <c r="P2519" s="1110" t="s">
        <v>3828</v>
      </c>
      <c r="Q2519" s="1111" t="s">
        <v>2763</v>
      </c>
      <c r="R2519" s="1111" t="s">
        <v>3843</v>
      </c>
      <c r="S2519" s="1111" t="s">
        <v>2765</v>
      </c>
      <c r="W2519" s="48"/>
    </row>
    <row r="2520" spans="1:24" ht="15.6" hidden="1" customHeight="1" x14ac:dyDescent="0.2">
      <c r="B2520" s="48" t="s">
        <v>3741</v>
      </c>
      <c r="I2520" s="58">
        <v>0</v>
      </c>
      <c r="J2520" s="58"/>
      <c r="K2520" s="58">
        <v>0</v>
      </c>
      <c r="L2520" s="59"/>
      <c r="N2520" s="1588"/>
      <c r="P2520" s="1110" t="s">
        <v>3829</v>
      </c>
      <c r="Q2520" s="1111" t="s">
        <v>2763</v>
      </c>
      <c r="R2520" s="1111" t="s">
        <v>3844</v>
      </c>
      <c r="S2520" s="1111" t="s">
        <v>2765</v>
      </c>
      <c r="W2520" s="48"/>
    </row>
    <row r="2521" spans="1:24" ht="15.6" customHeight="1" x14ac:dyDescent="0.2">
      <c r="B2521" s="48" t="s">
        <v>3740</v>
      </c>
      <c r="I2521" s="58">
        <f>-SUM('Trial Balance - FPer'!G906:G910)-'Trial Balance - FPer'!G901</f>
        <v>300876.43000000034</v>
      </c>
      <c r="J2521" s="58"/>
      <c r="K2521" s="58">
        <f>-SUM('Trial Balance - FPer'!C906:C910)-'Trial Balance - FPer'!C551-'Trial Balance - FPer'!C901</f>
        <v>874788.77</v>
      </c>
      <c r="L2521" s="59"/>
      <c r="M2521" s="983" t="s">
        <v>2355</v>
      </c>
      <c r="N2521" s="1588"/>
      <c r="P2521" s="1110" t="s">
        <v>3830</v>
      </c>
      <c r="Q2521" s="1111" t="s">
        <v>2763</v>
      </c>
      <c r="R2521" s="1111" t="s">
        <v>3845</v>
      </c>
      <c r="S2521" s="1111" t="s">
        <v>2765</v>
      </c>
      <c r="V2521" s="234"/>
      <c r="W2521" s="48"/>
    </row>
    <row r="2522" spans="1:24" ht="15.6" hidden="1" customHeight="1" x14ac:dyDescent="0.2">
      <c r="A2522" s="655"/>
      <c r="B2522" s="655" t="s">
        <v>3742</v>
      </c>
      <c r="C2522" s="655"/>
      <c r="D2522" s="656"/>
      <c r="E2522" s="655"/>
      <c r="F2522" s="656"/>
      <c r="G2522" s="656"/>
      <c r="H2522" s="656"/>
      <c r="I2522" s="661">
        <v>0</v>
      </c>
      <c r="J2522" s="658"/>
      <c r="K2522" s="661">
        <v>0</v>
      </c>
      <c r="L2522" s="1415"/>
      <c r="N2522" s="1588"/>
      <c r="P2522" s="1110" t="s">
        <v>3831</v>
      </c>
      <c r="Q2522" s="1111" t="s">
        <v>2763</v>
      </c>
      <c r="R2522" s="1111" t="s">
        <v>3846</v>
      </c>
      <c r="S2522" s="1111" t="s">
        <v>2765</v>
      </c>
      <c r="W2522" s="48"/>
    </row>
    <row r="2523" spans="1:24" ht="15.6" hidden="1" customHeight="1" x14ac:dyDescent="0.2">
      <c r="A2523" s="655"/>
      <c r="B2523" s="655" t="s">
        <v>2205</v>
      </c>
      <c r="C2523" s="655"/>
      <c r="D2523" s="656"/>
      <c r="E2523" s="655"/>
      <c r="F2523" s="656"/>
      <c r="G2523" s="656"/>
      <c r="H2523" s="656"/>
      <c r="I2523" s="661">
        <v>0</v>
      </c>
      <c r="J2523" s="658"/>
      <c r="K2523" s="661">
        <v>0</v>
      </c>
      <c r="L2523" s="1415"/>
      <c r="W2523" s="48"/>
    </row>
    <row r="2524" spans="1:24" ht="15.6" customHeight="1" x14ac:dyDescent="0.2">
      <c r="I2524" s="58"/>
      <c r="J2524" s="58"/>
      <c r="K2524" s="58"/>
      <c r="L2524" s="59"/>
      <c r="W2524" s="48"/>
    </row>
    <row r="2525" spans="1:24" ht="15.6" customHeight="1" thickBot="1" x14ac:dyDescent="0.3">
      <c r="B2525" s="50" t="s">
        <v>2478</v>
      </c>
      <c r="C2525" s="50"/>
      <c r="I2525" s="204">
        <f>SUM(I2507:I2524)</f>
        <v>567171.72000000044</v>
      </c>
      <c r="J2525" s="58"/>
      <c r="K2525" s="204">
        <f>SUM(K2507:K2524)</f>
        <v>974842.35</v>
      </c>
      <c r="L2525" s="59"/>
    </row>
    <row r="2526" spans="1:24" ht="15.6" customHeight="1" thickTop="1" x14ac:dyDescent="0.25">
      <c r="B2526" s="50"/>
      <c r="C2526" s="50"/>
      <c r="I2526" s="2107">
        <f>I2525-'Fin Perform'!I23</f>
        <v>0</v>
      </c>
      <c r="J2526" s="58"/>
      <c r="K2526" s="2107">
        <f>K2525-'Fin Perform'!K23</f>
        <v>0</v>
      </c>
      <c r="L2526" s="59"/>
    </row>
    <row r="2527" spans="1:24" ht="15.6" hidden="1" customHeight="1" x14ac:dyDescent="0.25">
      <c r="A2527" s="767"/>
      <c r="B2527" s="767" t="s">
        <v>1028</v>
      </c>
      <c r="C2527" s="767"/>
      <c r="D2527" s="769"/>
      <c r="E2527" s="767"/>
      <c r="F2527" s="769"/>
      <c r="G2527" s="769"/>
      <c r="H2527" s="769"/>
      <c r="I2527" s="1542"/>
      <c r="J2527" s="1542"/>
      <c r="K2527" s="1542"/>
      <c r="L2527" s="1619"/>
      <c r="M2527" s="1133"/>
      <c r="N2527" s="1147"/>
      <c r="O2527" s="1146"/>
      <c r="P2527" s="1115"/>
      <c r="X2527" s="50"/>
    </row>
    <row r="2528" spans="1:24" ht="15.6" hidden="1" customHeight="1" x14ac:dyDescent="0.25">
      <c r="A2528" s="767"/>
      <c r="B2528" s="767" t="s">
        <v>1029</v>
      </c>
      <c r="C2528" s="767"/>
      <c r="D2528" s="769"/>
      <c r="E2528" s="767"/>
      <c r="F2528" s="769"/>
      <c r="G2528" s="769"/>
      <c r="H2528" s="769"/>
      <c r="I2528" s="1542">
        <f>I2525-I2529</f>
        <v>567171.72000000044</v>
      </c>
      <c r="J2528" s="1542"/>
      <c r="K2528" s="1542">
        <f>K2525-K2529</f>
        <v>974842.35</v>
      </c>
      <c r="L2528" s="1619"/>
      <c r="M2528" s="1133"/>
      <c r="N2528" s="1147"/>
      <c r="O2528" s="1146"/>
      <c r="P2528" s="1115"/>
    </row>
    <row r="2529" spans="1:24" ht="15.6" hidden="1" customHeight="1" x14ac:dyDescent="0.25">
      <c r="A2529" s="767"/>
      <c r="B2529" s="767" t="s">
        <v>1030</v>
      </c>
      <c r="C2529" s="767"/>
      <c r="D2529" s="769"/>
      <c r="E2529" s="767"/>
      <c r="F2529" s="769"/>
      <c r="G2529" s="769"/>
      <c r="H2529" s="769"/>
      <c r="I2529" s="1542">
        <v>0</v>
      </c>
      <c r="J2529" s="1542"/>
      <c r="K2529" s="1542">
        <v>0</v>
      </c>
      <c r="L2529" s="1619"/>
      <c r="M2529" s="1133"/>
      <c r="N2529" s="1147"/>
      <c r="O2529" s="1146"/>
      <c r="P2529" s="1115"/>
    </row>
    <row r="2530" spans="1:24" ht="15.6" hidden="1" customHeight="1" x14ac:dyDescent="0.25">
      <c r="A2530" s="767"/>
      <c r="B2530" s="767"/>
      <c r="C2530" s="767"/>
      <c r="D2530" s="769"/>
      <c r="E2530" s="767"/>
      <c r="F2530" s="769"/>
      <c r="G2530" s="769"/>
      <c r="H2530" s="769"/>
      <c r="I2530" s="779"/>
      <c r="J2530" s="779"/>
      <c r="K2530" s="779"/>
      <c r="L2530" s="1619"/>
      <c r="M2530" s="1133"/>
      <c r="N2530" s="1147"/>
      <c r="O2530" s="1146"/>
      <c r="P2530" s="1115"/>
    </row>
    <row r="2531" spans="1:24" ht="15.6" hidden="1" customHeight="1" thickBot="1" x14ac:dyDescent="0.3">
      <c r="A2531" s="767"/>
      <c r="B2531" s="767"/>
      <c r="C2531" s="767"/>
      <c r="D2531" s="769"/>
      <c r="E2531" s="767"/>
      <c r="F2531" s="769"/>
      <c r="G2531" s="769"/>
      <c r="H2531" s="769"/>
      <c r="I2531" s="1539">
        <f>SUM(I2528:I2530)</f>
        <v>567171.72000000044</v>
      </c>
      <c r="J2531" s="775"/>
      <c r="K2531" s="1539">
        <f>SUM(K2528:K2530)</f>
        <v>974842.35</v>
      </c>
      <c r="L2531" s="1619"/>
      <c r="M2531" s="1133"/>
      <c r="N2531" s="1147"/>
      <c r="O2531" s="1146"/>
      <c r="P2531" s="1115"/>
    </row>
    <row r="2532" spans="1:24" ht="15.6" hidden="1" customHeight="1" thickTop="1" x14ac:dyDescent="0.25">
      <c r="A2532" s="767"/>
      <c r="B2532" s="767"/>
      <c r="C2532" s="767"/>
      <c r="D2532" s="769"/>
      <c r="E2532" s="767"/>
      <c r="F2532" s="769"/>
      <c r="G2532" s="769"/>
      <c r="H2532" s="769"/>
      <c r="I2532" s="782">
        <f>I2531-I2525</f>
        <v>0</v>
      </c>
      <c r="J2532" s="779"/>
      <c r="K2532" s="782">
        <f>K2531-K2525</f>
        <v>0</v>
      </c>
      <c r="L2532" s="1619"/>
      <c r="M2532" s="1133"/>
      <c r="N2532" s="1147"/>
      <c r="O2532" s="1146"/>
      <c r="P2532" s="1115"/>
      <c r="X2532" s="50"/>
    </row>
    <row r="2533" spans="1:24" ht="30.95" hidden="1" customHeight="1" x14ac:dyDescent="0.2">
      <c r="B2533" s="2865" t="s">
        <v>2522</v>
      </c>
      <c r="C2533" s="2865"/>
      <c r="D2533" s="2865"/>
      <c r="E2533" s="2865"/>
      <c r="F2533" s="2865"/>
      <c r="G2533" s="2865"/>
      <c r="H2533" s="56"/>
      <c r="I2533" s="56"/>
      <c r="J2533" s="56"/>
      <c r="K2533" s="56"/>
      <c r="L2533" s="59"/>
      <c r="M2533" s="1133"/>
      <c r="N2533" s="1147"/>
      <c r="O2533" s="1146"/>
      <c r="P2533" s="1115"/>
    </row>
    <row r="2534" spans="1:24" ht="15.6" hidden="1" customHeight="1" x14ac:dyDescent="0.2">
      <c r="I2534" s="58"/>
      <c r="J2534" s="58"/>
      <c r="K2534" s="58"/>
      <c r="L2534" s="59"/>
      <c r="N2534" s="1471"/>
      <c r="V2534" s="234"/>
    </row>
    <row r="2535" spans="1:24" ht="62.1" hidden="1" customHeight="1" x14ac:dyDescent="0.2">
      <c r="B2535" s="2839" t="s">
        <v>2523</v>
      </c>
      <c r="C2535" s="2839"/>
      <c r="D2535" s="2839"/>
      <c r="E2535" s="2839"/>
      <c r="F2535" s="2839"/>
      <c r="G2535" s="2839"/>
      <c r="H2535" s="56"/>
      <c r="I2535" s="56"/>
      <c r="J2535" s="56"/>
      <c r="K2535" s="56"/>
      <c r="L2535" s="59"/>
      <c r="N2535" s="1147"/>
      <c r="O2535" s="1146"/>
    </row>
    <row r="2536" spans="1:24" ht="46.5" customHeight="1" x14ac:dyDescent="0.25">
      <c r="B2536" s="2839" t="s">
        <v>7578</v>
      </c>
      <c r="C2536" s="2839"/>
      <c r="D2536" s="2839"/>
      <c r="E2536" s="2839"/>
      <c r="F2536" s="2839"/>
      <c r="G2536" s="2839"/>
      <c r="I2536" s="200"/>
      <c r="J2536" s="200"/>
      <c r="K2536" s="200"/>
      <c r="L2536" s="210"/>
      <c r="M2536" s="1133"/>
      <c r="N2536" s="1147"/>
      <c r="O2536" s="1146"/>
      <c r="P2536" s="1115"/>
    </row>
    <row r="2537" spans="1:24" ht="15.6" customHeight="1" x14ac:dyDescent="0.2">
      <c r="I2537" s="206"/>
      <c r="J2537" s="206"/>
      <c r="K2537" s="206"/>
      <c r="L2537" s="207"/>
      <c r="M2537" s="1133"/>
      <c r="N2537" s="1147"/>
      <c r="O2537" s="1146"/>
      <c r="P2537" s="1115"/>
      <c r="V2537" s="234"/>
    </row>
    <row r="2538" spans="1:24" ht="15.6" hidden="1" customHeight="1" x14ac:dyDescent="0.25">
      <c r="B2538" s="50"/>
      <c r="C2538" s="50"/>
      <c r="I2538" s="265"/>
      <c r="J2538" s="58"/>
      <c r="K2538" s="265"/>
      <c r="L2538" s="59"/>
    </row>
    <row r="2539" spans="1:24" ht="15.6" customHeight="1" x14ac:dyDescent="0.25">
      <c r="A2539" s="211">
        <v>27</v>
      </c>
      <c r="B2539" s="50" t="s">
        <v>387</v>
      </c>
      <c r="C2539" s="50"/>
      <c r="W2539" s="1114" t="s">
        <v>3520</v>
      </c>
    </row>
    <row r="2540" spans="1:24" ht="15.6" customHeight="1" x14ac:dyDescent="0.25">
      <c r="B2540" s="50"/>
      <c r="C2540" s="50"/>
      <c r="E2540" s="50"/>
    </row>
    <row r="2541" spans="1:24" ht="15.6" customHeight="1" x14ac:dyDescent="0.2">
      <c r="B2541" s="48" t="s">
        <v>24</v>
      </c>
      <c r="I2541" s="58">
        <f>SUM(I2542:I2546)</f>
        <v>23887812.57</v>
      </c>
      <c r="J2541" s="58"/>
      <c r="K2541" s="58">
        <f>SUM(K2542:K2546)</f>
        <v>21904552.369999997</v>
      </c>
      <c r="L2541" s="59"/>
      <c r="M2541" s="1214" t="s">
        <v>1989</v>
      </c>
      <c r="O2541" s="1146"/>
      <c r="T2541" s="48"/>
      <c r="U2541" s="48"/>
      <c r="V2541" s="48"/>
      <c r="W2541" s="48"/>
    </row>
    <row r="2542" spans="1:24" ht="15.6" customHeight="1" x14ac:dyDescent="0.2">
      <c r="B2542" s="48" t="s">
        <v>4024</v>
      </c>
      <c r="I2542" s="213">
        <f>SUM('Trial Balance - FPer'!G320:G349)</f>
        <v>23555768.600000001</v>
      </c>
      <c r="J2542" s="58"/>
      <c r="K2542" s="213">
        <f>SUM('Trial Balance - FPer'!C320:C349)</f>
        <v>20250014.279999997</v>
      </c>
      <c r="L2542" s="59"/>
      <c r="O2542" s="1146"/>
      <c r="P2542" s="1110" t="s">
        <v>3392</v>
      </c>
      <c r="Q2542" s="1111" t="s">
        <v>2763</v>
      </c>
      <c r="R2542" s="1111" t="s">
        <v>3393</v>
      </c>
      <c r="S2542" s="1111" t="s">
        <v>2765</v>
      </c>
      <c r="T2542" s="48"/>
      <c r="U2542" s="48"/>
      <c r="V2542" s="48"/>
      <c r="W2542" s="48"/>
    </row>
    <row r="2543" spans="1:24" ht="15.6" customHeight="1" x14ac:dyDescent="0.2">
      <c r="B2543" s="2023" t="s">
        <v>4031</v>
      </c>
      <c r="I2543" s="214">
        <v>135461</v>
      </c>
      <c r="J2543" s="58"/>
      <c r="K2543" s="214">
        <v>0</v>
      </c>
      <c r="L2543" s="59"/>
      <c r="O2543" s="1146"/>
      <c r="P2543" s="1110" t="s">
        <v>3416</v>
      </c>
      <c r="Q2543" s="1111" t="s">
        <v>2763</v>
      </c>
      <c r="R2543" s="1111" t="s">
        <v>3417</v>
      </c>
      <c r="S2543" s="1111" t="s">
        <v>2765</v>
      </c>
      <c r="T2543" s="48"/>
      <c r="U2543" s="48"/>
      <c r="V2543" s="48"/>
      <c r="W2543" s="48"/>
    </row>
    <row r="2544" spans="1:24" ht="15.6" hidden="1" customHeight="1" x14ac:dyDescent="0.2">
      <c r="B2544" s="2023" t="s">
        <v>4032</v>
      </c>
      <c r="I2544" s="2108">
        <v>0</v>
      </c>
      <c r="J2544" s="58"/>
      <c r="K2544" s="2108">
        <v>0</v>
      </c>
      <c r="L2544" s="59"/>
      <c r="O2544" s="1146"/>
      <c r="P2544" s="1110" t="s">
        <v>3418</v>
      </c>
      <c r="Q2544" s="1111" t="s">
        <v>2763</v>
      </c>
      <c r="R2544" s="1111" t="s">
        <v>3419</v>
      </c>
      <c r="S2544" s="1111" t="s">
        <v>2765</v>
      </c>
      <c r="T2544" s="48"/>
      <c r="U2544" s="48"/>
      <c r="V2544" s="48"/>
      <c r="W2544" s="48"/>
    </row>
    <row r="2545" spans="2:23" ht="15.6" customHeight="1" x14ac:dyDescent="0.2">
      <c r="B2545" s="2023" t="s">
        <v>4033</v>
      </c>
      <c r="I2545" s="215">
        <f>SUM('Trial Balance - FPer'!G145:G164)</f>
        <v>196582.97000000003</v>
      </c>
      <c r="J2545" s="58"/>
      <c r="K2545" s="215">
        <f>SUM('Trial Balance - FPer'!C145:C164)</f>
        <v>1654538.09</v>
      </c>
      <c r="L2545" s="59"/>
      <c r="O2545" s="1146"/>
      <c r="P2545" s="1110" t="s">
        <v>3420</v>
      </c>
      <c r="Q2545" s="1111" t="s">
        <v>2763</v>
      </c>
      <c r="R2545" s="1111" t="s">
        <v>3421</v>
      </c>
      <c r="S2545" s="1111" t="s">
        <v>2765</v>
      </c>
      <c r="T2545" s="48"/>
      <c r="U2545" s="48"/>
      <c r="V2545" s="48"/>
      <c r="W2545" s="48"/>
    </row>
    <row r="2546" spans="2:23" ht="15.6" hidden="1" customHeight="1" x14ac:dyDescent="0.2">
      <c r="B2546" s="2023" t="s">
        <v>4034</v>
      </c>
      <c r="I2546" s="215">
        <v>0</v>
      </c>
      <c r="J2546" s="58"/>
      <c r="K2546" s="215">
        <v>0</v>
      </c>
      <c r="L2546" s="59"/>
      <c r="O2546" s="1146"/>
      <c r="P2546" s="1110" t="s">
        <v>3422</v>
      </c>
      <c r="Q2546" s="1111" t="s">
        <v>2763</v>
      </c>
      <c r="R2546" s="1111" t="s">
        <v>3423</v>
      </c>
      <c r="S2546" s="1111" t="s">
        <v>2765</v>
      </c>
      <c r="T2546" s="48"/>
      <c r="U2546" s="48"/>
      <c r="V2546" s="48"/>
      <c r="W2546" s="48"/>
    </row>
    <row r="2547" spans="2:23" ht="15.6" customHeight="1" x14ac:dyDescent="0.2">
      <c r="B2547" s="48" t="s">
        <v>6395</v>
      </c>
      <c r="I2547" s="58">
        <f>SUM(I2548:I2555)</f>
        <v>5742359</v>
      </c>
      <c r="J2547" s="58"/>
      <c r="K2547" s="58">
        <f>SUM(K2548:K2555)</f>
        <v>5694804.959999999</v>
      </c>
      <c r="L2547" s="59"/>
      <c r="O2547" s="1146"/>
      <c r="T2547" s="48"/>
      <c r="U2547" s="48"/>
      <c r="V2547" s="48"/>
      <c r="W2547" s="48"/>
    </row>
    <row r="2548" spans="2:23" ht="15.6" hidden="1" customHeight="1" x14ac:dyDescent="0.2">
      <c r="B2548" s="48" t="s">
        <v>4028</v>
      </c>
      <c r="I2548" s="213">
        <v>0</v>
      </c>
      <c r="J2548" s="58"/>
      <c r="K2548" s="213">
        <v>0</v>
      </c>
      <c r="L2548" s="59"/>
      <c r="O2548" s="1146"/>
      <c r="P2548" s="1110" t="s">
        <v>3394</v>
      </c>
      <c r="Q2548" s="1111" t="s">
        <v>2763</v>
      </c>
      <c r="R2548" s="1111" t="s">
        <v>3395</v>
      </c>
      <c r="S2548" s="1111" t="s">
        <v>2765</v>
      </c>
      <c r="T2548" s="48"/>
      <c r="U2548" s="48"/>
      <c r="V2548" s="48"/>
      <c r="W2548" s="48"/>
    </row>
    <row r="2549" spans="2:23" ht="15.6" customHeight="1" x14ac:dyDescent="0.2">
      <c r="B2549" s="2045" t="s">
        <v>6406</v>
      </c>
      <c r="I2549" s="213">
        <f>SUM('Trial Balance - FPer'!G236:G265)</f>
        <v>1423360.6300000004</v>
      </c>
      <c r="J2549" s="58"/>
      <c r="K2549" s="213">
        <f>SUM('Trial Balance - FPer'!C236:C265)</f>
        <v>1230030.73</v>
      </c>
      <c r="L2549" s="59"/>
      <c r="O2549" s="1146"/>
      <c r="P2549" s="1110" t="s">
        <v>3396</v>
      </c>
      <c r="Q2549" s="1111" t="s">
        <v>2763</v>
      </c>
      <c r="R2549" s="1111" t="s">
        <v>3397</v>
      </c>
      <c r="S2549" s="1111" t="s">
        <v>2765</v>
      </c>
      <c r="T2549" s="48"/>
      <c r="U2549" s="48"/>
      <c r="V2549" s="48"/>
      <c r="W2549" s="48"/>
    </row>
    <row r="2550" spans="2:23" ht="15.6" customHeight="1" x14ac:dyDescent="0.2">
      <c r="B2550" s="2045" t="s">
        <v>6407</v>
      </c>
      <c r="I2550" s="214">
        <f>SUM('Trial Balance - FPer'!G283:G313)</f>
        <v>3707997.29</v>
      </c>
      <c r="J2550" s="58"/>
      <c r="K2550" s="214">
        <f>SUM('Trial Balance - FPer'!C283:C313)</f>
        <v>3994904.51</v>
      </c>
      <c r="L2550" s="59"/>
      <c r="O2550" s="1146"/>
      <c r="P2550" s="1110" t="s">
        <v>3398</v>
      </c>
      <c r="Q2550" s="1111" t="s">
        <v>2763</v>
      </c>
      <c r="R2550" s="1111" t="s">
        <v>3399</v>
      </c>
      <c r="S2550" s="1111" t="s">
        <v>2765</v>
      </c>
      <c r="T2550" s="48"/>
      <c r="U2550" s="48"/>
      <c r="V2550" s="48"/>
      <c r="W2550" s="48"/>
    </row>
    <row r="2551" spans="2:23" ht="15.6" customHeight="1" x14ac:dyDescent="0.2">
      <c r="B2551" s="2045" t="s">
        <v>6396</v>
      </c>
      <c r="I2551" s="214">
        <f>SUM('Trial Balance - FPer'!G165:G187)</f>
        <v>27107.59</v>
      </c>
      <c r="J2551" s="58"/>
      <c r="K2551" s="214">
        <f>SUM('Trial Balance - FPer'!C165:C187)</f>
        <v>20178.560000000009</v>
      </c>
      <c r="L2551" s="59"/>
      <c r="O2551" s="1146"/>
      <c r="T2551" s="48"/>
      <c r="U2551" s="48"/>
      <c r="V2551" s="48"/>
      <c r="W2551" s="48"/>
    </row>
    <row r="2552" spans="2:23" ht="15.6" hidden="1" customHeight="1" x14ac:dyDescent="0.2">
      <c r="B2552" s="48" t="s">
        <v>4025</v>
      </c>
      <c r="I2552" s="214">
        <v>0</v>
      </c>
      <c r="J2552" s="58"/>
      <c r="K2552" s="214">
        <v>0</v>
      </c>
      <c r="L2552" s="59"/>
      <c r="O2552" s="1146"/>
      <c r="P2552" s="1110" t="s">
        <v>3400</v>
      </c>
      <c r="Q2552" s="1111" t="s">
        <v>2763</v>
      </c>
      <c r="R2552" s="1111" t="s">
        <v>3401</v>
      </c>
      <c r="S2552" s="1111" t="s">
        <v>2765</v>
      </c>
      <c r="T2552" s="48"/>
      <c r="U2552" s="48"/>
      <c r="V2552" s="48"/>
      <c r="W2552" s="48"/>
    </row>
    <row r="2553" spans="2:23" ht="15.6" customHeight="1" x14ac:dyDescent="0.2">
      <c r="B2553" s="2045" t="s">
        <v>6408</v>
      </c>
      <c r="I2553" s="214">
        <f>SUM('Trial Balance - FPer'!G206:G235)</f>
        <v>34627.460000000014</v>
      </c>
      <c r="J2553" s="58"/>
      <c r="K2553" s="214">
        <f>SUM('Trial Balance - FPer'!C206:C235)</f>
        <v>13566.099999999997</v>
      </c>
      <c r="L2553" s="59"/>
      <c r="O2553" s="1146"/>
      <c r="P2553" s="1110" t="s">
        <v>3402</v>
      </c>
      <c r="Q2553" s="1111" t="s">
        <v>2763</v>
      </c>
      <c r="R2553" s="1111" t="s">
        <v>3403</v>
      </c>
      <c r="S2553" s="1111" t="s">
        <v>2765</v>
      </c>
      <c r="T2553" s="48"/>
      <c r="U2553" s="48"/>
      <c r="V2553" s="48"/>
      <c r="W2553" s="48"/>
    </row>
    <row r="2554" spans="2:23" ht="15.6" customHeight="1" x14ac:dyDescent="0.2">
      <c r="B2554" s="2045" t="s">
        <v>6409</v>
      </c>
      <c r="I2554" s="214">
        <f>SUM('Trial Balance - FPer'!G350:G402)</f>
        <v>279811.03000000003</v>
      </c>
      <c r="J2554" s="58"/>
      <c r="K2554" s="214">
        <f>SUM('Trial Balance - FPer'!C350:C402)</f>
        <v>225809.1</v>
      </c>
      <c r="L2554" s="59"/>
      <c r="O2554" s="1146"/>
      <c r="P2554" s="1110" t="s">
        <v>3404</v>
      </c>
      <c r="Q2554" s="1111" t="s">
        <v>2763</v>
      </c>
      <c r="R2554" s="1111" t="s">
        <v>3405</v>
      </c>
      <c r="S2554" s="1111" t="s">
        <v>2765</v>
      </c>
      <c r="T2554" s="48"/>
      <c r="U2554" s="48"/>
      <c r="V2554" s="48"/>
      <c r="W2554" s="48"/>
    </row>
    <row r="2555" spans="2:23" ht="15.6" customHeight="1" x14ac:dyDescent="0.2">
      <c r="B2555" s="2045" t="s">
        <v>6410</v>
      </c>
      <c r="I2555" s="215">
        <f>SUM('Trial Balance - FPer'!G408:G438)</f>
        <v>269455</v>
      </c>
      <c r="J2555" s="58"/>
      <c r="K2555" s="215">
        <f>SUM('Trial Balance - FPer'!C408:C438)</f>
        <v>210315.95999999993</v>
      </c>
      <c r="L2555" s="59"/>
      <c r="O2555" s="1146"/>
      <c r="P2555" s="1110" t="s">
        <v>3406</v>
      </c>
      <c r="Q2555" s="1111" t="s">
        <v>2763</v>
      </c>
      <c r="R2555" s="1111" t="s">
        <v>3407</v>
      </c>
      <c r="S2555" s="1111" t="s">
        <v>2765</v>
      </c>
      <c r="T2555" s="48"/>
      <c r="U2555" s="48"/>
      <c r="V2555" s="48"/>
      <c r="W2555" s="48"/>
    </row>
    <row r="2556" spans="2:23" ht="15.6" customHeight="1" x14ac:dyDescent="0.2">
      <c r="B2556" s="48" t="s">
        <v>25</v>
      </c>
      <c r="I2556" s="58">
        <f>I2557+I2558</f>
        <v>1735610.4900000002</v>
      </c>
      <c r="J2556" s="58"/>
      <c r="K2556" s="58">
        <f>K2557+K2558</f>
        <v>553972.47999999998</v>
      </c>
      <c r="L2556" s="59"/>
      <c r="O2556" s="1146"/>
      <c r="T2556" s="48"/>
      <c r="U2556" s="48"/>
      <c r="V2556" s="48"/>
      <c r="W2556" s="48"/>
    </row>
    <row r="2557" spans="2:23" ht="15.6" customHeight="1" x14ac:dyDescent="0.2">
      <c r="B2557" s="2023" t="s">
        <v>4029</v>
      </c>
      <c r="I2557" s="2274">
        <f>SUM('Trial Balance - FPer'!G47:G112)-135461</f>
        <v>1735610.4900000002</v>
      </c>
      <c r="J2557" s="58"/>
      <c r="K2557" s="2274">
        <f>SUM('Trial Balance - FPer'!C47:C116)</f>
        <v>553972.47999999998</v>
      </c>
      <c r="L2557" s="59"/>
      <c r="O2557" s="1146"/>
      <c r="P2557" s="1110" t="s">
        <v>3408</v>
      </c>
      <c r="Q2557" s="1111" t="s">
        <v>2763</v>
      </c>
      <c r="R2557" s="1111" t="s">
        <v>3409</v>
      </c>
      <c r="S2557" s="1111" t="s">
        <v>2765</v>
      </c>
      <c r="T2557" s="48"/>
      <c r="U2557" s="48"/>
      <c r="V2557" s="48"/>
      <c r="W2557" s="48"/>
    </row>
    <row r="2558" spans="2:23" ht="15.6" hidden="1" customHeight="1" x14ac:dyDescent="0.2">
      <c r="B2558" s="2023" t="s">
        <v>4030</v>
      </c>
      <c r="I2558" s="215">
        <v>0</v>
      </c>
      <c r="J2558" s="58"/>
      <c r="K2558" s="215">
        <v>0</v>
      </c>
      <c r="L2558" s="59"/>
      <c r="O2558" s="1146"/>
      <c r="P2558" s="1110" t="s">
        <v>3410</v>
      </c>
      <c r="Q2558" s="1111" t="s">
        <v>2763</v>
      </c>
      <c r="R2558" s="1111" t="s">
        <v>3411</v>
      </c>
      <c r="S2558" s="1111" t="s">
        <v>2765</v>
      </c>
      <c r="T2558" s="48"/>
      <c r="U2558" s="48"/>
      <c r="V2558" s="48"/>
      <c r="W2558" s="48"/>
    </row>
    <row r="2559" spans="2:23" ht="15.6" customHeight="1" x14ac:dyDescent="0.2">
      <c r="B2559" s="2023"/>
      <c r="I2559" s="58"/>
      <c r="J2559" s="58"/>
      <c r="K2559" s="58"/>
      <c r="L2559" s="59"/>
      <c r="O2559" s="1146"/>
      <c r="T2559" s="48"/>
      <c r="U2559" s="48"/>
      <c r="V2559" s="48"/>
      <c r="W2559" s="48"/>
    </row>
    <row r="2560" spans="2:23" ht="15.6" customHeight="1" x14ac:dyDescent="0.2">
      <c r="B2560" s="48" t="s">
        <v>26</v>
      </c>
      <c r="I2560" s="58">
        <f>SUM('Trial Balance - FPer'!G188:G205)</f>
        <v>48110.62</v>
      </c>
      <c r="J2560" s="58"/>
      <c r="K2560" s="58">
        <f>SUM('Trial Balance - FPer'!C188:C205)</f>
        <v>72922.299999999988</v>
      </c>
      <c r="L2560" s="59"/>
      <c r="O2560" s="1146"/>
      <c r="P2560" s="1110" t="s">
        <v>3412</v>
      </c>
      <c r="Q2560" s="1111" t="s">
        <v>2763</v>
      </c>
      <c r="R2560" s="1111" t="s">
        <v>3413</v>
      </c>
      <c r="S2560" s="1111" t="s">
        <v>2765</v>
      </c>
      <c r="T2560" s="48"/>
      <c r="U2560" s="48"/>
      <c r="V2560" s="48"/>
      <c r="W2560" s="48"/>
    </row>
    <row r="2561" spans="2:23" ht="15.6" customHeight="1" x14ac:dyDescent="0.2">
      <c r="B2561" s="48" t="s">
        <v>27</v>
      </c>
      <c r="I2561" s="58">
        <f>SUM('Trial Balance - FPer'!G113:G116,'Trial Balance - FPer'!G266:G282)</f>
        <v>1812412.94</v>
      </c>
      <c r="J2561" s="58"/>
      <c r="K2561" s="58">
        <f>SUM('Trial Balance - FPer'!C266:C282)</f>
        <v>1575316.81</v>
      </c>
      <c r="L2561" s="59"/>
      <c r="O2561" s="1146"/>
      <c r="P2561" s="1110" t="s">
        <v>3414</v>
      </c>
      <c r="Q2561" s="1111" t="s">
        <v>2763</v>
      </c>
      <c r="R2561" s="1111" t="s">
        <v>3415</v>
      </c>
      <c r="S2561" s="1111" t="s">
        <v>2765</v>
      </c>
      <c r="T2561" s="48"/>
      <c r="U2561" s="48"/>
      <c r="V2561" s="48"/>
      <c r="W2561" s="48"/>
    </row>
    <row r="2562" spans="2:23" ht="15.6" hidden="1" customHeight="1" x14ac:dyDescent="0.2">
      <c r="B2562" s="48" t="s">
        <v>28</v>
      </c>
      <c r="I2562" s="58"/>
      <c r="J2562" s="58"/>
      <c r="K2562" s="58"/>
      <c r="L2562" s="59"/>
      <c r="O2562" s="1146"/>
      <c r="P2562" s="1110" t="s">
        <v>3424</v>
      </c>
      <c r="Q2562" s="1111" t="s">
        <v>2763</v>
      </c>
      <c r="R2562" s="1111" t="s">
        <v>3425</v>
      </c>
      <c r="S2562" s="1111" t="s">
        <v>2765</v>
      </c>
      <c r="T2562" s="48"/>
      <c r="U2562" s="48"/>
      <c r="V2562" s="48"/>
      <c r="W2562" s="48"/>
    </row>
    <row r="2563" spans="2:23" ht="15.6" customHeight="1" x14ac:dyDescent="0.2">
      <c r="B2563" s="48" t="s">
        <v>6392</v>
      </c>
      <c r="I2563" s="59">
        <f>SUM('Trial Balance - FPer'!G117:G144)+SUM('Trial Balance - FPer'!G314:G319)</f>
        <v>1937164.59</v>
      </c>
      <c r="J2563" s="58"/>
      <c r="K2563" s="58">
        <f>SUM('Trial Balance - FPer'!C117:C144)+SUM('Trial Balance - FPer'!C314:C319)</f>
        <v>1381686.04</v>
      </c>
      <c r="L2563" s="59"/>
      <c r="O2563" s="1146"/>
      <c r="T2563" s="48"/>
      <c r="U2563" s="48"/>
      <c r="V2563" s="48"/>
      <c r="W2563" s="48"/>
    </row>
    <row r="2564" spans="2:23" ht="15.6" customHeight="1" x14ac:dyDescent="0.2">
      <c r="B2564" s="48" t="s">
        <v>6405</v>
      </c>
      <c r="I2564" s="58">
        <f>SUM('Trial Balance - FPer'!G403:G407)</f>
        <v>199510.83000000002</v>
      </c>
      <c r="J2564" s="58"/>
      <c r="K2564" s="58">
        <f>SUM('Trial Balance - FPer'!C403:C407)</f>
        <v>-491762.91</v>
      </c>
      <c r="L2564" s="59"/>
      <c r="O2564" s="1146"/>
      <c r="T2564" s="48"/>
      <c r="U2564" s="48"/>
      <c r="V2564" s="48"/>
      <c r="W2564" s="48"/>
    </row>
    <row r="2565" spans="2:23" ht="15.6" hidden="1" customHeight="1" x14ac:dyDescent="0.2">
      <c r="B2565" s="48" t="s">
        <v>740</v>
      </c>
      <c r="I2565" s="212">
        <f>SUM(I2566:I2570)</f>
        <v>0</v>
      </c>
      <c r="J2565" s="58"/>
      <c r="K2565" s="212">
        <f>SUM(K2566:K2570)</f>
        <v>0</v>
      </c>
      <c r="L2565" s="59"/>
      <c r="M2565" s="1214" t="s">
        <v>2342</v>
      </c>
      <c r="O2565" s="1146"/>
      <c r="T2565" s="48"/>
      <c r="U2565" s="48"/>
      <c r="V2565" s="48"/>
      <c r="W2565" s="48"/>
    </row>
    <row r="2566" spans="2:23" ht="15.6" hidden="1" customHeight="1" x14ac:dyDescent="0.2">
      <c r="B2566" s="48" t="s">
        <v>741</v>
      </c>
      <c r="I2566" s="213">
        <v>0</v>
      </c>
      <c r="J2566" s="58"/>
      <c r="K2566" s="213">
        <v>0</v>
      </c>
      <c r="L2566" s="59"/>
      <c r="O2566" s="1146"/>
      <c r="P2566" s="1110" t="s">
        <v>3426</v>
      </c>
      <c r="Q2566" s="1111" t="s">
        <v>2763</v>
      </c>
      <c r="R2566" s="1111" t="s">
        <v>3427</v>
      </c>
      <c r="S2566" s="1111" t="s">
        <v>2765</v>
      </c>
      <c r="T2566" s="48"/>
      <c r="U2566" s="48"/>
      <c r="V2566" s="48"/>
      <c r="W2566" s="48"/>
    </row>
    <row r="2567" spans="2:23" ht="15.6" hidden="1" customHeight="1" x14ac:dyDescent="0.2">
      <c r="B2567" s="48" t="s">
        <v>742</v>
      </c>
      <c r="I2567" s="214">
        <v>0</v>
      </c>
      <c r="J2567" s="58"/>
      <c r="K2567" s="214">
        <v>0</v>
      </c>
      <c r="L2567" s="59"/>
      <c r="O2567" s="1146"/>
      <c r="P2567" s="1110" t="s">
        <v>3428</v>
      </c>
      <c r="Q2567" s="1111" t="s">
        <v>2763</v>
      </c>
      <c r="R2567" s="1111" t="s">
        <v>3429</v>
      </c>
      <c r="S2567" s="1111" t="s">
        <v>2765</v>
      </c>
      <c r="T2567" s="48"/>
      <c r="U2567" s="48"/>
      <c r="V2567" s="48"/>
      <c r="W2567" s="48"/>
    </row>
    <row r="2568" spans="2:23" ht="15.6" hidden="1" customHeight="1" x14ac:dyDescent="0.2">
      <c r="B2568" s="48" t="s">
        <v>743</v>
      </c>
      <c r="I2568" s="214">
        <v>0</v>
      </c>
      <c r="J2568" s="58"/>
      <c r="K2568" s="214">
        <v>0</v>
      </c>
      <c r="L2568" s="59"/>
      <c r="O2568" s="1146"/>
      <c r="P2568" s="1110" t="s">
        <v>3430</v>
      </c>
      <c r="Q2568" s="1111" t="s">
        <v>2763</v>
      </c>
      <c r="R2568" s="1111" t="s">
        <v>3431</v>
      </c>
      <c r="S2568" s="1111" t="s">
        <v>2765</v>
      </c>
      <c r="T2568" s="48"/>
      <c r="U2568" s="48"/>
      <c r="V2568" s="48"/>
      <c r="W2568" s="48"/>
    </row>
    <row r="2569" spans="2:23" ht="15.6" hidden="1" customHeight="1" x14ac:dyDescent="0.2">
      <c r="B2569" s="48" t="s">
        <v>744</v>
      </c>
      <c r="I2569" s="214">
        <v>0</v>
      </c>
      <c r="J2569" s="58"/>
      <c r="K2569" s="214">
        <v>0</v>
      </c>
      <c r="L2569" s="59"/>
      <c r="O2569" s="1146"/>
      <c r="P2569" s="1110" t="s">
        <v>3432</v>
      </c>
      <c r="Q2569" s="1111" t="s">
        <v>2763</v>
      </c>
      <c r="R2569" s="1111" t="s">
        <v>3433</v>
      </c>
      <c r="S2569" s="1111" t="s">
        <v>2765</v>
      </c>
      <c r="T2569" s="48"/>
      <c r="U2569" s="48"/>
      <c r="V2569" s="48"/>
      <c r="W2569" s="48"/>
    </row>
    <row r="2570" spans="2:23" ht="15.6" hidden="1" customHeight="1" x14ac:dyDescent="0.2">
      <c r="B2570" s="48" t="s">
        <v>745</v>
      </c>
      <c r="I2570" s="215">
        <v>0</v>
      </c>
      <c r="J2570" s="58"/>
      <c r="K2570" s="215">
        <v>0</v>
      </c>
      <c r="L2570" s="59"/>
      <c r="T2570" s="48"/>
      <c r="U2570" s="48"/>
      <c r="V2570" s="48"/>
      <c r="W2570" s="48"/>
    </row>
    <row r="2571" spans="2:23" ht="15.6" hidden="1" customHeight="1" x14ac:dyDescent="0.2">
      <c r="I2571" s="203"/>
      <c r="J2571" s="58"/>
      <c r="K2571" s="203"/>
      <c r="L2571" s="59"/>
      <c r="T2571" s="48"/>
      <c r="U2571" s="48"/>
      <c r="V2571" s="48"/>
      <c r="W2571" s="48"/>
    </row>
    <row r="2572" spans="2:23" ht="15.6" hidden="1" customHeight="1" x14ac:dyDescent="0.2">
      <c r="B2572" s="48" t="s">
        <v>1063</v>
      </c>
      <c r="I2572" s="58">
        <v>0</v>
      </c>
      <c r="J2572" s="58"/>
      <c r="K2572" s="58">
        <v>0</v>
      </c>
      <c r="L2572" s="59"/>
      <c r="T2572" s="48"/>
      <c r="U2572" s="48"/>
      <c r="V2572" s="48"/>
      <c r="W2572" s="48"/>
    </row>
    <row r="2573" spans="2:23" ht="15.6" hidden="1" customHeight="1" x14ac:dyDescent="0.2">
      <c r="B2573" s="48" t="s">
        <v>29</v>
      </c>
      <c r="I2573" s="58">
        <v>0</v>
      </c>
      <c r="J2573" s="58"/>
      <c r="K2573" s="58">
        <v>0</v>
      </c>
      <c r="L2573" s="59"/>
      <c r="Q2573" s="48"/>
      <c r="R2573" s="48"/>
      <c r="S2573" s="48"/>
      <c r="T2573" s="48"/>
      <c r="U2573" s="48"/>
      <c r="V2573" s="48"/>
      <c r="W2573" s="48"/>
    </row>
    <row r="2574" spans="2:23" ht="15.6" customHeight="1" x14ac:dyDescent="0.2">
      <c r="I2574" s="58"/>
      <c r="J2574" s="58"/>
      <c r="K2574" s="58"/>
      <c r="L2574" s="59"/>
      <c r="Q2574" s="48"/>
      <c r="R2574" s="48"/>
      <c r="S2574" s="48"/>
      <c r="T2574" s="48"/>
      <c r="U2574" s="48"/>
      <c r="V2574" s="48"/>
      <c r="W2574" s="48"/>
    </row>
    <row r="2575" spans="2:23" ht="15.6" customHeight="1" thickBot="1" x14ac:dyDescent="0.3">
      <c r="B2575" s="50" t="s">
        <v>123</v>
      </c>
      <c r="C2575" s="50"/>
      <c r="I2575" s="204">
        <f>SUM(I2541,I2547,I2556,I2560:I2565,I2571:I2574)</f>
        <v>35362981.040000007</v>
      </c>
      <c r="J2575" s="58"/>
      <c r="K2575" s="204">
        <f>SUM(K2541,K2547,K2556,K2560:K2565,K2571:K2574)</f>
        <v>30691492.049999997</v>
      </c>
      <c r="L2575" s="59"/>
      <c r="Q2575" s="48"/>
      <c r="R2575" s="48"/>
      <c r="S2575" s="48"/>
      <c r="T2575" s="48"/>
      <c r="U2575" s="48"/>
      <c r="V2575" s="48"/>
      <c r="W2575" s="48"/>
    </row>
    <row r="2576" spans="2:23" ht="15.6" customHeight="1" thickTop="1" x14ac:dyDescent="0.2">
      <c r="I2576" s="265">
        <f>I2575-'Fin Perform'!I33</f>
        <v>0</v>
      </c>
      <c r="J2576" s="58"/>
      <c r="K2576" s="265">
        <f>K2575-'Fin Perform'!K33</f>
        <v>0</v>
      </c>
      <c r="L2576" s="59"/>
      <c r="Q2576" s="48"/>
      <c r="R2576" s="48"/>
      <c r="S2576" s="48"/>
      <c r="T2576" s="48"/>
      <c r="U2576" s="48"/>
      <c r="V2576" s="48"/>
      <c r="W2576" s="48"/>
    </row>
    <row r="2577" spans="1:23" ht="15.6" hidden="1" customHeight="1" x14ac:dyDescent="0.25">
      <c r="B2577" s="48" t="s">
        <v>1028</v>
      </c>
      <c r="I2577" s="206"/>
      <c r="J2577" s="206"/>
      <c r="K2577" s="206"/>
      <c r="L2577" s="1619"/>
      <c r="M2577" s="1133"/>
      <c r="N2577" s="1147"/>
      <c r="O2577" s="1146"/>
      <c r="Q2577" s="48"/>
      <c r="R2577" s="48"/>
      <c r="S2577" s="48"/>
      <c r="T2577" s="48"/>
      <c r="U2577" s="48"/>
      <c r="V2577" s="48"/>
      <c r="W2577" s="48"/>
    </row>
    <row r="2578" spans="1:23" ht="15.6" hidden="1" customHeight="1" x14ac:dyDescent="0.25">
      <c r="B2578" s="48" t="s">
        <v>1029</v>
      </c>
      <c r="I2578" s="206">
        <f>I2575-I2579</f>
        <v>35362981.040000007</v>
      </c>
      <c r="J2578" s="206"/>
      <c r="K2578" s="206">
        <f>K2575-K2579</f>
        <v>30691492.049999997</v>
      </c>
      <c r="L2578" s="1619"/>
      <c r="M2578" s="1133"/>
      <c r="N2578" s="1147"/>
      <c r="O2578" s="1146"/>
      <c r="Q2578" s="48"/>
      <c r="R2578" s="48"/>
      <c r="S2578" s="48"/>
      <c r="T2578" s="48"/>
      <c r="U2578" s="48"/>
      <c r="V2578" s="48"/>
      <c r="W2578" s="48"/>
    </row>
    <row r="2579" spans="1:23" ht="15.6" hidden="1" customHeight="1" x14ac:dyDescent="0.25">
      <c r="B2579" s="48" t="s">
        <v>1030</v>
      </c>
      <c r="I2579" s="206">
        <v>0</v>
      </c>
      <c r="J2579" s="206"/>
      <c r="K2579" s="206">
        <v>0</v>
      </c>
      <c r="L2579" s="1619"/>
      <c r="M2579" s="1133"/>
      <c r="N2579" s="1147"/>
      <c r="O2579" s="1146"/>
      <c r="Q2579" s="48"/>
      <c r="R2579" s="48"/>
      <c r="S2579" s="48"/>
      <c r="T2579" s="48"/>
      <c r="U2579" s="48"/>
      <c r="V2579" s="48"/>
      <c r="W2579" s="48"/>
    </row>
    <row r="2580" spans="1:23" ht="15.6" hidden="1" customHeight="1" x14ac:dyDescent="0.25">
      <c r="I2580" s="58"/>
      <c r="J2580" s="58"/>
      <c r="K2580" s="58"/>
      <c r="L2580" s="1619"/>
      <c r="M2580" s="1133"/>
      <c r="N2580" s="1147"/>
      <c r="O2580" s="1146"/>
      <c r="Q2580" s="48"/>
      <c r="R2580" s="48"/>
      <c r="S2580" s="48"/>
      <c r="T2580" s="48"/>
      <c r="U2580" s="48"/>
      <c r="V2580" s="48"/>
      <c r="W2580" s="48"/>
    </row>
    <row r="2581" spans="1:23" ht="15.6" hidden="1" customHeight="1" thickBot="1" x14ac:dyDescent="0.3">
      <c r="I2581" s="202">
        <f>SUM(I2578:I2580)</f>
        <v>35362981.040000007</v>
      </c>
      <c r="K2581" s="202">
        <f>SUM(K2578:K2580)</f>
        <v>30691492.049999997</v>
      </c>
      <c r="L2581" s="1619"/>
      <c r="M2581" s="1133"/>
      <c r="N2581" s="1147"/>
      <c r="O2581" s="1146"/>
      <c r="Q2581" s="48"/>
      <c r="R2581" s="48"/>
      <c r="S2581" s="48"/>
      <c r="T2581" s="48"/>
      <c r="U2581" s="48"/>
      <c r="V2581" s="48"/>
      <c r="W2581" s="48"/>
    </row>
    <row r="2582" spans="1:23" ht="15.6" hidden="1" customHeight="1" thickTop="1" x14ac:dyDescent="0.25">
      <c r="I2582" s="265">
        <f>I2581-I2575</f>
        <v>0</v>
      </c>
      <c r="J2582" s="58"/>
      <c r="K2582" s="265">
        <f>K2581-K2575</f>
        <v>0</v>
      </c>
      <c r="L2582" s="1619"/>
      <c r="M2582" s="1133"/>
      <c r="N2582" s="1147"/>
      <c r="O2582" s="1146"/>
      <c r="P2582" s="1115"/>
      <c r="Q2582" s="48"/>
      <c r="R2582" s="48"/>
      <c r="S2582" s="48"/>
      <c r="T2582" s="48"/>
      <c r="U2582" s="48"/>
      <c r="V2582" s="48"/>
      <c r="W2582" s="48"/>
    </row>
    <row r="2583" spans="1:23" ht="46.5" hidden="1" customHeight="1" x14ac:dyDescent="0.2">
      <c r="B2583" s="2865" t="s">
        <v>2587</v>
      </c>
      <c r="C2583" s="2865"/>
      <c r="D2583" s="2865"/>
      <c r="E2583" s="2865"/>
      <c r="F2583" s="2865"/>
      <c r="G2583" s="2865"/>
      <c r="H2583" s="56"/>
      <c r="I2583" s="56"/>
      <c r="J2583" s="56"/>
      <c r="K2583" s="56"/>
      <c r="L2583" s="59"/>
      <c r="M2583" s="1133"/>
      <c r="N2583" s="1147"/>
      <c r="O2583" s="1146"/>
      <c r="P2583" s="1115"/>
      <c r="Q2583" s="48"/>
      <c r="R2583" s="48"/>
      <c r="S2583" s="48"/>
      <c r="T2583" s="48"/>
      <c r="U2583" s="48"/>
      <c r="V2583" s="48"/>
      <c r="W2583" s="48"/>
    </row>
    <row r="2584" spans="1:23" ht="15.6" hidden="1" customHeight="1" x14ac:dyDescent="0.2">
      <c r="I2584" s="58"/>
      <c r="J2584" s="58"/>
      <c r="K2584" s="58"/>
      <c r="L2584" s="59"/>
      <c r="N2584" s="1471"/>
      <c r="P2584" s="1115"/>
      <c r="Q2584" s="48"/>
      <c r="R2584" s="48"/>
      <c r="S2584" s="48"/>
      <c r="T2584" s="48"/>
      <c r="U2584" s="48"/>
      <c r="V2584" s="48"/>
      <c r="W2584" s="48"/>
    </row>
    <row r="2585" spans="1:23" ht="46.5" hidden="1" customHeight="1" x14ac:dyDescent="0.2">
      <c r="B2585" s="2865" t="s">
        <v>4387</v>
      </c>
      <c r="C2585" s="2865"/>
      <c r="D2585" s="2865"/>
      <c r="E2585" s="2865"/>
      <c r="F2585" s="2865"/>
      <c r="G2585" s="2865"/>
      <c r="H2585" s="56"/>
      <c r="I2585" s="56"/>
      <c r="J2585" s="56"/>
      <c r="K2585" s="56"/>
      <c r="L2585" s="59"/>
      <c r="M2585" s="1133"/>
      <c r="N2585" s="1147"/>
      <c r="O2585" s="1146"/>
      <c r="P2585" s="1115"/>
      <c r="Q2585" s="48"/>
      <c r="R2585" s="48"/>
      <c r="S2585" s="48"/>
      <c r="T2585" s="48"/>
      <c r="U2585" s="48"/>
      <c r="V2585" s="48"/>
      <c r="W2585" s="48"/>
    </row>
    <row r="2586" spans="1:23" ht="15.6" hidden="1" customHeight="1" x14ac:dyDescent="0.2">
      <c r="I2586" s="58"/>
      <c r="J2586" s="58"/>
      <c r="K2586" s="58"/>
      <c r="L2586" s="59"/>
      <c r="N2586" s="1471"/>
      <c r="P2586" s="1115"/>
      <c r="Q2586" s="48"/>
      <c r="R2586" s="48"/>
      <c r="S2586" s="48"/>
      <c r="T2586" s="48"/>
      <c r="U2586" s="48"/>
      <c r="V2586" s="48"/>
      <c r="W2586" s="48"/>
    </row>
    <row r="2587" spans="1:23" ht="30.95" hidden="1" customHeight="1" x14ac:dyDescent="0.2">
      <c r="A2587" s="625"/>
      <c r="B2587" s="2854" t="str">
        <f>"Advances are made to employees in terms of the municipality's policy to assist them in the event of the death of a dependant.  Loans to employees are set out in Note "&amp;'AFS Structure'!C41&amp;". "</f>
        <v xml:space="preserve">Advances are made to employees in terms of the municipality's policy to assist them in the event of the death of a dependant.  Loans to employees are set out in Note 18. </v>
      </c>
      <c r="C2587" s="2854"/>
      <c r="D2587" s="2854"/>
      <c r="E2587" s="2854"/>
      <c r="F2587" s="2854"/>
      <c r="G2587" s="2854"/>
      <c r="H2587" s="632"/>
      <c r="I2587" s="632"/>
      <c r="J2587" s="632"/>
      <c r="K2587" s="632"/>
      <c r="L2587" s="631"/>
      <c r="N2587" s="1471"/>
      <c r="Q2587" s="48"/>
      <c r="R2587" s="48"/>
      <c r="S2587" s="48"/>
      <c r="T2587" s="48"/>
      <c r="U2587" s="48"/>
      <c r="V2587" s="48"/>
      <c r="W2587" s="48"/>
    </row>
    <row r="2588" spans="1:23" ht="15.6" customHeight="1" x14ac:dyDescent="0.2">
      <c r="B2588" s="48" t="s">
        <v>7355</v>
      </c>
      <c r="I2588" s="58"/>
      <c r="J2588" s="58"/>
      <c r="K2588" s="58"/>
      <c r="L2588" s="59"/>
      <c r="Q2588" s="48"/>
      <c r="R2588" s="48"/>
      <c r="S2588" s="48"/>
      <c r="T2588" s="48"/>
      <c r="U2588" s="48"/>
      <c r="V2588" s="48"/>
      <c r="W2588" s="48"/>
    </row>
    <row r="2589" spans="1:23" ht="15.6" customHeight="1" x14ac:dyDescent="0.2">
      <c r="I2589" s="58"/>
      <c r="J2589" s="58"/>
      <c r="K2589" s="58"/>
      <c r="L2589" s="59"/>
      <c r="P2589" s="1115"/>
      <c r="Q2589" s="48"/>
      <c r="R2589" s="48"/>
      <c r="S2589" s="48"/>
      <c r="T2589" s="48"/>
      <c r="U2589" s="48"/>
      <c r="V2589" s="48"/>
      <c r="W2589" s="48"/>
    </row>
    <row r="2590" spans="1:23" ht="77.45" hidden="1" customHeight="1" x14ac:dyDescent="0.2">
      <c r="B2590" s="2840" t="s">
        <v>1064</v>
      </c>
      <c r="C2590" s="2840"/>
      <c r="D2590" s="2840"/>
      <c r="E2590" s="2840"/>
      <c r="F2590" s="2840"/>
      <c r="G2590" s="2840"/>
      <c r="H2590" s="56"/>
      <c r="I2590" s="56"/>
      <c r="J2590" s="56"/>
      <c r="K2590" s="56"/>
      <c r="L2590" s="59"/>
      <c r="M2590" s="1133"/>
      <c r="N2590" s="1147"/>
      <c r="O2590" s="1146"/>
      <c r="Q2590" s="48"/>
      <c r="R2590" s="48"/>
      <c r="S2590" s="48"/>
      <c r="T2590" s="48"/>
      <c r="U2590" s="48"/>
      <c r="V2590" s="48"/>
      <c r="W2590" s="48"/>
    </row>
    <row r="2591" spans="1:23" ht="15.6" hidden="1" customHeight="1" x14ac:dyDescent="0.2">
      <c r="I2591" s="58"/>
      <c r="J2591" s="58"/>
      <c r="K2591" s="58"/>
      <c r="L2591" s="59"/>
      <c r="M2591" s="1133"/>
      <c r="N2591" s="1147"/>
      <c r="O2591" s="1146"/>
      <c r="P2591" s="1115"/>
      <c r="Q2591" s="48"/>
      <c r="R2591" s="48"/>
      <c r="S2591" s="48"/>
      <c r="T2591" s="48"/>
      <c r="U2591" s="48"/>
      <c r="V2591" s="48"/>
      <c r="W2591" s="48"/>
    </row>
    <row r="2592" spans="1:23" ht="15.6" customHeight="1" x14ac:dyDescent="0.25">
      <c r="B2592" s="50" t="s">
        <v>2356</v>
      </c>
      <c r="I2592" s="58"/>
      <c r="J2592" s="58"/>
      <c r="K2592" s="58"/>
      <c r="L2592" s="59"/>
      <c r="M2592" s="1133"/>
      <c r="N2592" s="1133"/>
      <c r="O2592" s="1146"/>
      <c r="P2592" s="1115"/>
      <c r="Q2592" s="48"/>
      <c r="R2592" s="48"/>
      <c r="S2592" s="48"/>
      <c r="T2592" s="48"/>
      <c r="U2592" s="48"/>
      <c r="V2592" s="48"/>
      <c r="W2592" s="48"/>
    </row>
    <row r="2593" spans="2:23" ht="15.6" customHeight="1" x14ac:dyDescent="0.2">
      <c r="I2593" s="58"/>
      <c r="J2593" s="58"/>
      <c r="K2593" s="58"/>
      <c r="L2593" s="59"/>
      <c r="M2593" s="1133"/>
      <c r="N2593" s="1133"/>
      <c r="O2593" s="1146"/>
      <c r="Q2593" s="48"/>
      <c r="R2593" s="48"/>
      <c r="S2593" s="48"/>
      <c r="T2593" s="48"/>
      <c r="U2593" s="48"/>
      <c r="V2593" s="48"/>
      <c r="W2593" s="48"/>
    </row>
    <row r="2594" spans="2:23" ht="15.6" customHeight="1" x14ac:dyDescent="0.25">
      <c r="B2594" s="229" t="s">
        <v>701</v>
      </c>
      <c r="C2594" s="50"/>
      <c r="I2594" s="58"/>
      <c r="J2594" s="58"/>
      <c r="K2594" s="58"/>
      <c r="L2594" s="59"/>
      <c r="Q2594" s="48"/>
      <c r="R2594" s="48"/>
      <c r="S2594" s="48"/>
      <c r="T2594" s="48"/>
      <c r="U2594" s="48"/>
      <c r="V2594" s="48"/>
      <c r="W2594" s="48"/>
    </row>
    <row r="2595" spans="2:23" ht="15.6" customHeight="1" x14ac:dyDescent="0.25">
      <c r="B2595" s="48" t="s">
        <v>124</v>
      </c>
      <c r="E2595" s="50"/>
      <c r="I2595" s="58">
        <v>474548</v>
      </c>
      <c r="J2595" s="58"/>
      <c r="K2595" s="58">
        <v>396198</v>
      </c>
      <c r="L2595" s="59"/>
      <c r="O2595" s="1146"/>
      <c r="P2595" s="1115"/>
      <c r="Q2595" s="48"/>
      <c r="R2595" s="48"/>
      <c r="S2595" s="48"/>
      <c r="T2595" s="48"/>
      <c r="U2595" s="48"/>
      <c r="V2595" s="48"/>
      <c r="W2595" s="48"/>
    </row>
    <row r="2596" spans="2:23" ht="15.6" customHeight="1" x14ac:dyDescent="0.25">
      <c r="B2596" s="48" t="s">
        <v>657</v>
      </c>
      <c r="E2596" s="50"/>
      <c r="I2596" s="58">
        <v>0</v>
      </c>
      <c r="J2596" s="58"/>
      <c r="K2596" s="58">
        <v>0</v>
      </c>
      <c r="L2596" s="59"/>
      <c r="O2596" s="1146"/>
      <c r="P2596" s="1115"/>
      <c r="Q2596" s="48"/>
      <c r="R2596" s="48"/>
      <c r="S2596" s="48"/>
      <c r="T2596" s="48"/>
      <c r="U2596" s="48"/>
      <c r="V2596" s="48"/>
      <c r="W2596" s="48"/>
    </row>
    <row r="2597" spans="2:23" ht="15.6" customHeight="1" x14ac:dyDescent="0.2">
      <c r="B2597" s="48" t="s">
        <v>6411</v>
      </c>
      <c r="I2597" s="58">
        <v>190293.3</v>
      </c>
      <c r="J2597" s="58"/>
      <c r="K2597" s="58">
        <v>73758</v>
      </c>
      <c r="L2597" s="59"/>
      <c r="O2597" s="1146"/>
      <c r="Q2597" s="48"/>
      <c r="R2597" s="48"/>
      <c r="S2597" s="48"/>
      <c r="T2597" s="48"/>
      <c r="U2597" s="48"/>
      <c r="V2597" s="48"/>
      <c r="W2597" s="48"/>
    </row>
    <row r="2598" spans="2:23" ht="15.6" customHeight="1" x14ac:dyDescent="0.2">
      <c r="B2598" s="48" t="s">
        <v>187</v>
      </c>
      <c r="I2598" s="58">
        <v>31561</v>
      </c>
      <c r="J2598" s="58"/>
      <c r="K2598" s="58">
        <v>1496</v>
      </c>
      <c r="L2598" s="59"/>
      <c r="O2598" s="1146"/>
      <c r="Q2598" s="48"/>
      <c r="R2598" s="48"/>
      <c r="S2598" s="48"/>
      <c r="T2598" s="48"/>
      <c r="U2598" s="48"/>
      <c r="V2598" s="48"/>
      <c r="W2598" s="48"/>
    </row>
    <row r="2599" spans="2:23" ht="15.6" customHeight="1" x14ac:dyDescent="0.2">
      <c r="B2599" s="48" t="s">
        <v>237</v>
      </c>
      <c r="I2599" s="58">
        <v>55058.19</v>
      </c>
      <c r="J2599" s="58"/>
      <c r="K2599" s="58">
        <v>40956</v>
      </c>
      <c r="L2599" s="59"/>
      <c r="O2599" s="1146"/>
      <c r="Q2599" s="48"/>
      <c r="R2599" s="48"/>
      <c r="S2599" s="48"/>
      <c r="T2599" s="48"/>
      <c r="U2599" s="48"/>
      <c r="V2599" s="48"/>
      <c r="W2599" s="48"/>
    </row>
    <row r="2600" spans="2:23" ht="15.6" customHeight="1" thickBot="1" x14ac:dyDescent="0.3">
      <c r="B2600" s="50" t="s">
        <v>234</v>
      </c>
      <c r="C2600" s="50"/>
      <c r="I2600" s="204">
        <f>SUM(I2595:I2599)</f>
        <v>751460.49</v>
      </c>
      <c r="J2600" s="58"/>
      <c r="K2600" s="204">
        <f>SUM(K2595:K2599)</f>
        <v>512408</v>
      </c>
      <c r="L2600" s="59"/>
      <c r="O2600" s="1146"/>
      <c r="Q2600" s="48"/>
      <c r="R2600" s="48"/>
      <c r="S2600" s="48"/>
      <c r="T2600" s="48"/>
      <c r="U2600" s="48"/>
      <c r="V2600" s="48"/>
      <c r="W2600" s="48"/>
    </row>
    <row r="2601" spans="2:23" ht="15.6" customHeight="1" thickTop="1" x14ac:dyDescent="0.2">
      <c r="I2601" s="58"/>
      <c r="J2601" s="58"/>
      <c r="K2601" s="58"/>
      <c r="L2601" s="59"/>
      <c r="O2601" s="1146"/>
      <c r="Q2601" s="48"/>
      <c r="R2601" s="48"/>
      <c r="S2601" s="48"/>
      <c r="T2601" s="48"/>
      <c r="U2601" s="48"/>
      <c r="V2601" s="48"/>
      <c r="W2601" s="48"/>
    </row>
    <row r="2602" spans="2:23" ht="30" customHeight="1" x14ac:dyDescent="0.2">
      <c r="B2602" s="2839" t="s">
        <v>6414</v>
      </c>
      <c r="C2602" s="2839"/>
      <c r="D2602" s="2839"/>
      <c r="E2602" s="2839"/>
      <c r="F2602" s="2839"/>
      <c r="G2602" s="2839"/>
      <c r="H2602" s="56"/>
      <c r="I2602" s="56"/>
      <c r="J2602" s="56"/>
      <c r="K2602" s="56"/>
      <c r="L2602" s="59"/>
      <c r="N2602" s="1147"/>
      <c r="O2602" s="1146"/>
      <c r="Q2602" s="48"/>
      <c r="R2602" s="48"/>
      <c r="S2602" s="48"/>
      <c r="T2602" s="48"/>
      <c r="U2602" s="48"/>
      <c r="V2602" s="48"/>
      <c r="W2602" s="48"/>
    </row>
    <row r="2603" spans="2:23" ht="6" customHeight="1" x14ac:dyDescent="0.2">
      <c r="I2603" s="58"/>
      <c r="J2603" s="58"/>
      <c r="K2603" s="58"/>
      <c r="L2603" s="59"/>
      <c r="N2603" s="1147"/>
      <c r="O2603" s="1146"/>
      <c r="Q2603" s="48"/>
      <c r="R2603" s="48"/>
      <c r="S2603" s="48"/>
      <c r="T2603" s="48"/>
      <c r="U2603" s="48"/>
      <c r="V2603" s="48"/>
      <c r="W2603" s="48"/>
    </row>
    <row r="2604" spans="2:23" ht="15.6" customHeight="1" x14ac:dyDescent="0.25">
      <c r="B2604" s="229" t="s">
        <v>1764</v>
      </c>
      <c r="C2604" s="50"/>
      <c r="I2604" s="58"/>
      <c r="J2604" s="58"/>
      <c r="K2604" s="58"/>
      <c r="L2604" s="59"/>
      <c r="O2604" s="1146"/>
      <c r="Q2604" s="48"/>
      <c r="R2604" s="48"/>
      <c r="S2604" s="48"/>
      <c r="T2604" s="48"/>
      <c r="U2604" s="48"/>
      <c r="V2604" s="48"/>
      <c r="W2604" s="48"/>
    </row>
    <row r="2605" spans="2:23" ht="15.6" customHeight="1" x14ac:dyDescent="0.25">
      <c r="B2605" s="48" t="s">
        <v>124</v>
      </c>
      <c r="E2605" s="50"/>
      <c r="I2605" s="58">
        <f>365445</f>
        <v>365445</v>
      </c>
      <c r="J2605" s="58"/>
      <c r="K2605" s="58">
        <v>220444</v>
      </c>
      <c r="L2605" s="59"/>
      <c r="O2605" s="1146"/>
      <c r="P2605" s="48"/>
      <c r="Q2605" s="48"/>
      <c r="R2605" s="48"/>
      <c r="S2605" s="48"/>
      <c r="T2605" s="48"/>
      <c r="U2605" s="48"/>
      <c r="V2605" s="48"/>
      <c r="W2605" s="48"/>
    </row>
    <row r="2606" spans="2:23" ht="15.6" customHeight="1" x14ac:dyDescent="0.25">
      <c r="B2606" s="48" t="s">
        <v>6412</v>
      </c>
      <c r="E2606" s="50"/>
      <c r="I2606" s="58">
        <v>0</v>
      </c>
      <c r="J2606" s="58"/>
      <c r="K2606" s="58">
        <v>34177</v>
      </c>
      <c r="L2606" s="59"/>
      <c r="O2606" s="1146"/>
      <c r="P2606" s="48"/>
      <c r="Q2606" s="48"/>
      <c r="R2606" s="48"/>
      <c r="S2606" s="48"/>
      <c r="T2606" s="48"/>
      <c r="U2606" s="48"/>
      <c r="V2606" s="48"/>
      <c r="W2606" s="48"/>
    </row>
    <row r="2607" spans="2:23" ht="15.6" customHeight="1" x14ac:dyDescent="0.2">
      <c r="B2607" s="48" t="s">
        <v>6411</v>
      </c>
      <c r="I2607" s="58">
        <v>135000</v>
      </c>
      <c r="J2607" s="58"/>
      <c r="K2607" s="58">
        <v>4223</v>
      </c>
      <c r="L2607" s="59"/>
      <c r="O2607" s="1146"/>
      <c r="P2607" s="48"/>
      <c r="Q2607" s="48"/>
      <c r="R2607" s="48"/>
      <c r="S2607" s="48"/>
      <c r="T2607" s="48"/>
      <c r="U2607" s="48"/>
      <c r="V2607" s="48"/>
      <c r="W2607" s="48"/>
    </row>
    <row r="2608" spans="2:23" ht="15.6" customHeight="1" x14ac:dyDescent="0.2">
      <c r="B2608" s="48" t="s">
        <v>187</v>
      </c>
      <c r="I2608" s="58">
        <v>14578</v>
      </c>
      <c r="J2608" s="58"/>
      <c r="K2608" s="58">
        <v>54476</v>
      </c>
      <c r="L2608" s="59"/>
      <c r="O2608" s="1146"/>
      <c r="P2608" s="48"/>
      <c r="Q2608" s="48"/>
      <c r="R2608" s="48"/>
      <c r="S2608" s="48"/>
      <c r="T2608" s="48"/>
      <c r="U2608" s="48"/>
      <c r="V2608" s="48"/>
      <c r="W2608" s="48"/>
    </row>
    <row r="2609" spans="2:23" ht="15.6" customHeight="1" x14ac:dyDescent="0.2">
      <c r="B2609" s="48" t="s">
        <v>6413</v>
      </c>
      <c r="I2609" s="58">
        <v>28753.200000000001</v>
      </c>
      <c r="J2609" s="58"/>
      <c r="K2609" s="58">
        <v>121587</v>
      </c>
      <c r="L2609" s="59"/>
      <c r="O2609" s="1146"/>
      <c r="P2609" s="48"/>
      <c r="Q2609" s="48"/>
      <c r="R2609" s="48"/>
      <c r="S2609" s="48"/>
      <c r="T2609" s="48"/>
      <c r="U2609" s="48"/>
      <c r="V2609" s="48"/>
      <c r="W2609" s="48"/>
    </row>
    <row r="2610" spans="2:23" ht="15.6" customHeight="1" x14ac:dyDescent="0.2">
      <c r="B2610" s="48" t="s">
        <v>237</v>
      </c>
      <c r="I2610" s="58">
        <v>3739</v>
      </c>
      <c r="J2610" s="58"/>
      <c r="K2610" s="58">
        <v>62191</v>
      </c>
      <c r="L2610" s="59"/>
      <c r="O2610" s="1146"/>
      <c r="P2610" s="48"/>
      <c r="Q2610" s="48"/>
      <c r="R2610" s="48"/>
      <c r="S2610" s="48"/>
      <c r="T2610" s="48"/>
      <c r="U2610" s="48"/>
      <c r="V2610" s="48"/>
      <c r="W2610" s="48"/>
    </row>
    <row r="2611" spans="2:23" ht="15.6" customHeight="1" thickBot="1" x14ac:dyDescent="0.3">
      <c r="B2611" s="50" t="s">
        <v>234</v>
      </c>
      <c r="C2611" s="50"/>
      <c r="I2611" s="204">
        <f>SUM(I2605:I2610)</f>
        <v>547515.19999999995</v>
      </c>
      <c r="J2611" s="58"/>
      <c r="K2611" s="204">
        <f>SUM(K2605:K2610)</f>
        <v>497098</v>
      </c>
      <c r="L2611" s="59"/>
      <c r="O2611" s="1146"/>
      <c r="P2611" s="48"/>
      <c r="Q2611" s="48"/>
      <c r="R2611" s="48"/>
      <c r="S2611" s="48"/>
      <c r="T2611" s="48"/>
      <c r="U2611" s="48"/>
      <c r="V2611" s="48"/>
      <c r="W2611" s="48"/>
    </row>
    <row r="2612" spans="2:23" ht="15.6" customHeight="1" thickTop="1" x14ac:dyDescent="0.2">
      <c r="I2612" s="58"/>
      <c r="J2612" s="58"/>
      <c r="K2612" s="58"/>
      <c r="L2612" s="59"/>
      <c r="O2612" s="1146"/>
      <c r="P2612" s="48"/>
      <c r="Q2612" s="48"/>
      <c r="R2612" s="48"/>
      <c r="S2612" s="48"/>
      <c r="T2612" s="48"/>
      <c r="U2612" s="48"/>
      <c r="V2612" s="48"/>
      <c r="W2612" s="48"/>
    </row>
    <row r="2613" spans="2:23" ht="30.95" customHeight="1" x14ac:dyDescent="0.2">
      <c r="B2613" s="2839" t="s">
        <v>7474</v>
      </c>
      <c r="C2613" s="2839"/>
      <c r="D2613" s="2839"/>
      <c r="E2613" s="2839"/>
      <c r="F2613" s="2839"/>
      <c r="G2613" s="2839"/>
      <c r="H2613" s="56"/>
      <c r="I2613" s="56"/>
      <c r="J2613" s="56"/>
      <c r="K2613" s="56"/>
      <c r="L2613" s="59"/>
      <c r="N2613" s="1147"/>
      <c r="O2613" s="1146"/>
      <c r="P2613" s="48"/>
      <c r="Q2613" s="48"/>
      <c r="R2613" s="48"/>
      <c r="S2613" s="48"/>
      <c r="T2613" s="48"/>
      <c r="U2613" s="48"/>
      <c r="V2613" s="48"/>
      <c r="W2613" s="48"/>
    </row>
    <row r="2614" spans="2:23" ht="15.6" customHeight="1" x14ac:dyDescent="0.2">
      <c r="I2614" s="58"/>
      <c r="J2614" s="58"/>
      <c r="K2614" s="58"/>
      <c r="L2614" s="59"/>
      <c r="O2614" s="1146"/>
      <c r="P2614" s="48"/>
      <c r="Q2614" s="48"/>
      <c r="R2614" s="48"/>
      <c r="S2614" s="48"/>
      <c r="T2614" s="48"/>
      <c r="U2614" s="48"/>
      <c r="V2614" s="48"/>
      <c r="W2614" s="48"/>
    </row>
    <row r="2615" spans="2:23" ht="15.6" customHeight="1" x14ac:dyDescent="0.25">
      <c r="B2615" s="229" t="s">
        <v>1766</v>
      </c>
      <c r="C2615" s="50"/>
      <c r="I2615" s="58"/>
      <c r="J2615" s="58"/>
      <c r="K2615" s="58"/>
      <c r="L2615" s="59"/>
      <c r="O2615" s="1146"/>
      <c r="P2615" s="48"/>
      <c r="Q2615" s="48"/>
      <c r="R2615" s="48"/>
      <c r="S2615" s="48"/>
      <c r="T2615" s="48"/>
      <c r="U2615" s="48"/>
      <c r="V2615" s="48"/>
      <c r="W2615" s="48"/>
    </row>
    <row r="2616" spans="2:23" ht="15.6" customHeight="1" x14ac:dyDescent="0.25">
      <c r="B2616" s="48" t="s">
        <v>124</v>
      </c>
      <c r="E2616" s="50"/>
      <c r="I2616" s="58">
        <v>0</v>
      </c>
      <c r="J2616" s="58"/>
      <c r="K2616" s="58">
        <v>169178</v>
      </c>
      <c r="L2616" s="59"/>
      <c r="O2616" s="1146"/>
      <c r="P2616" s="48"/>
      <c r="Q2616" s="48"/>
      <c r="R2616" s="48"/>
      <c r="S2616" s="48"/>
      <c r="T2616" s="48"/>
      <c r="U2616" s="48"/>
      <c r="V2616" s="48"/>
      <c r="W2616" s="48"/>
    </row>
    <row r="2617" spans="2:23" ht="15.6" customHeight="1" x14ac:dyDescent="0.25">
      <c r="B2617" s="48" t="s">
        <v>6412</v>
      </c>
      <c r="E2617" s="50"/>
      <c r="I2617" s="58">
        <v>0</v>
      </c>
      <c r="J2617" s="58"/>
      <c r="K2617" s="58">
        <v>14098</v>
      </c>
      <c r="L2617" s="59"/>
      <c r="O2617" s="1146"/>
      <c r="P2617" s="48"/>
      <c r="Q2617" s="48"/>
      <c r="R2617" s="48"/>
      <c r="S2617" s="48"/>
      <c r="T2617" s="48"/>
      <c r="U2617" s="48"/>
      <c r="V2617" s="48"/>
      <c r="W2617" s="48"/>
    </row>
    <row r="2618" spans="2:23" ht="15.6" customHeight="1" x14ac:dyDescent="0.2">
      <c r="B2618" s="48" t="s">
        <v>6411</v>
      </c>
      <c r="I2618" s="58">
        <v>0</v>
      </c>
      <c r="J2618" s="58"/>
      <c r="K2618" s="58">
        <v>30000</v>
      </c>
      <c r="L2618" s="59"/>
      <c r="O2618" s="1146"/>
      <c r="P2618" s="48"/>
      <c r="Q2618" s="48"/>
      <c r="R2618" s="48"/>
      <c r="S2618" s="48"/>
      <c r="T2618" s="48"/>
      <c r="U2618" s="48"/>
      <c r="V2618" s="48"/>
      <c r="W2618" s="48"/>
    </row>
    <row r="2619" spans="2:23" ht="15.6" customHeight="1" x14ac:dyDescent="0.2">
      <c r="B2619" s="48" t="s">
        <v>187</v>
      </c>
      <c r="I2619" s="58">
        <v>0</v>
      </c>
      <c r="J2619" s="58"/>
      <c r="K2619" s="58">
        <v>54612</v>
      </c>
      <c r="L2619" s="59"/>
      <c r="O2619" s="1146"/>
      <c r="P2619" s="48"/>
      <c r="Q2619" s="48"/>
      <c r="R2619" s="48"/>
      <c r="S2619" s="48"/>
      <c r="T2619" s="48"/>
      <c r="U2619" s="48"/>
      <c r="V2619" s="48"/>
      <c r="W2619" s="48"/>
    </row>
    <row r="2620" spans="2:23" ht="15.6" customHeight="1" x14ac:dyDescent="0.2">
      <c r="B2620" s="48" t="s">
        <v>6415</v>
      </c>
      <c r="I2620" s="58">
        <v>0</v>
      </c>
      <c r="J2620" s="58"/>
      <c r="K2620" s="58">
        <v>149254</v>
      </c>
      <c r="L2620" s="59"/>
      <c r="O2620" s="1146"/>
      <c r="P2620" s="48"/>
      <c r="Q2620" s="48"/>
      <c r="R2620" s="48"/>
      <c r="S2620" s="48"/>
      <c r="T2620" s="48"/>
      <c r="U2620" s="48"/>
      <c r="V2620" s="48"/>
      <c r="W2620" s="48"/>
    </row>
    <row r="2621" spans="2:23" ht="15.6" customHeight="1" thickBot="1" x14ac:dyDescent="0.3">
      <c r="B2621" s="50" t="s">
        <v>234</v>
      </c>
      <c r="C2621" s="50"/>
      <c r="I2621" s="204">
        <f>SUM(I2616:I2620)</f>
        <v>0</v>
      </c>
      <c r="J2621" s="58"/>
      <c r="K2621" s="204">
        <f>SUM(K2616:K2620)</f>
        <v>417142</v>
      </c>
      <c r="L2621" s="59"/>
      <c r="O2621" s="1146"/>
      <c r="P2621" s="48"/>
      <c r="Q2621" s="48"/>
      <c r="R2621" s="48"/>
      <c r="S2621" s="48"/>
      <c r="T2621" s="48"/>
      <c r="U2621" s="48"/>
      <c r="V2621" s="48"/>
      <c r="W2621" s="48"/>
    </row>
    <row r="2622" spans="2:23" ht="15.6" customHeight="1" thickTop="1" x14ac:dyDescent="0.2">
      <c r="I2622" s="58"/>
      <c r="J2622" s="58"/>
      <c r="K2622" s="58"/>
      <c r="L2622" s="59"/>
      <c r="O2622" s="1146"/>
      <c r="P2622" s="48"/>
      <c r="Q2622" s="48"/>
      <c r="R2622" s="48"/>
      <c r="S2622" s="48"/>
      <c r="T2622" s="48"/>
      <c r="U2622" s="48"/>
      <c r="V2622" s="48"/>
      <c r="W2622" s="48"/>
    </row>
    <row r="2623" spans="2:23" x14ac:dyDescent="0.2">
      <c r="B2623" s="2839" t="s">
        <v>6416</v>
      </c>
      <c r="C2623" s="2839"/>
      <c r="D2623" s="2839"/>
      <c r="E2623" s="2839"/>
      <c r="F2623" s="2839"/>
      <c r="G2623" s="2839"/>
      <c r="H2623" s="56"/>
      <c r="I2623" s="56"/>
      <c r="J2623" s="56"/>
      <c r="K2623" s="56"/>
      <c r="L2623" s="59"/>
      <c r="N2623" s="1147"/>
      <c r="O2623" s="1146"/>
      <c r="P2623" s="48"/>
      <c r="Q2623" s="48"/>
      <c r="R2623" s="48"/>
      <c r="S2623" s="48"/>
      <c r="T2623" s="48"/>
      <c r="U2623" s="48"/>
      <c r="V2623" s="48"/>
      <c r="W2623" s="48"/>
    </row>
    <row r="2624" spans="2:23" ht="15.6" customHeight="1" x14ac:dyDescent="0.2">
      <c r="I2624" s="58"/>
      <c r="J2624" s="58"/>
      <c r="K2624" s="58"/>
      <c r="L2624" s="59"/>
      <c r="O2624" s="1146"/>
      <c r="P2624" s="48"/>
      <c r="Q2624" s="48"/>
      <c r="R2624" s="48"/>
      <c r="S2624" s="48"/>
      <c r="T2624" s="48"/>
      <c r="U2624" s="48"/>
      <c r="V2624" s="48"/>
      <c r="W2624" s="48"/>
    </row>
    <row r="2625" spans="2:23" ht="15.6" customHeight="1" x14ac:dyDescent="0.25">
      <c r="B2625" s="229" t="s">
        <v>1765</v>
      </c>
      <c r="C2625" s="50"/>
      <c r="I2625" s="58"/>
      <c r="J2625" s="58"/>
      <c r="K2625" s="58"/>
      <c r="L2625" s="59"/>
      <c r="O2625" s="1146"/>
      <c r="P2625" s="48"/>
      <c r="Q2625" s="48"/>
      <c r="R2625" s="48"/>
      <c r="S2625" s="48"/>
      <c r="T2625" s="48"/>
      <c r="U2625" s="48"/>
      <c r="V2625" s="48"/>
      <c r="W2625" s="48"/>
    </row>
    <row r="2626" spans="2:23" ht="15.6" customHeight="1" x14ac:dyDescent="0.25">
      <c r="B2626" s="48" t="s">
        <v>124</v>
      </c>
      <c r="E2626" s="50"/>
      <c r="I2626" s="58">
        <f>309765</f>
        <v>309765</v>
      </c>
      <c r="J2626" s="58"/>
      <c r="K2626" s="58">
        <v>291782</v>
      </c>
      <c r="L2626" s="59"/>
      <c r="O2626" s="1146"/>
      <c r="P2626" s="48"/>
      <c r="Q2626" s="48"/>
      <c r="R2626" s="48"/>
      <c r="S2626" s="48"/>
      <c r="T2626" s="48"/>
      <c r="U2626" s="48"/>
      <c r="V2626" s="48"/>
      <c r="W2626" s="48"/>
    </row>
    <row r="2627" spans="2:23" ht="15.6" customHeight="1" x14ac:dyDescent="0.25">
      <c r="B2627" s="48" t="s">
        <v>6412</v>
      </c>
      <c r="E2627" s="50"/>
      <c r="I2627" s="58">
        <v>0</v>
      </c>
      <c r="J2627" s="58"/>
      <c r="K2627" s="58">
        <v>24315</v>
      </c>
      <c r="L2627" s="59"/>
      <c r="O2627" s="1146"/>
      <c r="P2627" s="48"/>
      <c r="Q2627" s="48"/>
      <c r="R2627" s="48"/>
      <c r="S2627" s="48"/>
      <c r="T2627" s="48"/>
      <c r="U2627" s="48"/>
      <c r="V2627" s="48"/>
      <c r="W2627" s="48"/>
    </row>
    <row r="2628" spans="2:23" ht="15.6" customHeight="1" x14ac:dyDescent="0.2">
      <c r="B2628" s="48" t="s">
        <v>6411</v>
      </c>
      <c r="I2628" s="58">
        <v>112500</v>
      </c>
      <c r="J2628" s="58"/>
      <c r="K2628" s="58">
        <v>30000</v>
      </c>
      <c r="L2628" s="59"/>
      <c r="O2628" s="1146"/>
      <c r="P2628" s="48"/>
      <c r="Q2628" s="48"/>
      <c r="R2628" s="48"/>
      <c r="S2628" s="48"/>
      <c r="T2628" s="48"/>
      <c r="U2628" s="48"/>
      <c r="V2628" s="48"/>
      <c r="W2628" s="48"/>
    </row>
    <row r="2629" spans="2:23" ht="15.6" customHeight="1" x14ac:dyDescent="0.2">
      <c r="B2629" s="48" t="s">
        <v>187</v>
      </c>
      <c r="I2629" s="58">
        <v>66648</v>
      </c>
      <c r="J2629" s="58"/>
      <c r="K2629" s="58">
        <v>83502</v>
      </c>
      <c r="L2629" s="59"/>
      <c r="O2629" s="1146"/>
      <c r="P2629" s="48"/>
      <c r="Q2629" s="48"/>
      <c r="R2629" s="48"/>
      <c r="S2629" s="48"/>
      <c r="T2629" s="48"/>
      <c r="U2629" s="48"/>
      <c r="V2629" s="48"/>
      <c r="W2629" s="48"/>
    </row>
    <row r="2630" spans="2:23" ht="15.6" customHeight="1" x14ac:dyDescent="0.2">
      <c r="B2630" s="48" t="s">
        <v>6415</v>
      </c>
      <c r="I2630" s="58">
        <v>16609.25</v>
      </c>
      <c r="J2630" s="58"/>
      <c r="K2630" s="58">
        <v>30987</v>
      </c>
      <c r="L2630" s="59"/>
      <c r="O2630" s="1146"/>
      <c r="P2630" s="48"/>
      <c r="Q2630" s="48"/>
      <c r="R2630" s="48"/>
      <c r="S2630" s="48"/>
      <c r="T2630" s="48"/>
      <c r="U2630" s="48"/>
      <c r="V2630" s="48"/>
      <c r="W2630" s="48"/>
    </row>
    <row r="2631" spans="2:23" ht="15.6" customHeight="1" x14ac:dyDescent="0.2">
      <c r="B2631" s="48" t="s">
        <v>237</v>
      </c>
      <c r="I2631" s="58">
        <v>3922</v>
      </c>
      <c r="J2631" s="58"/>
      <c r="K2631" s="58">
        <v>0</v>
      </c>
      <c r="L2631" s="59"/>
      <c r="O2631" s="1146"/>
      <c r="P2631" s="48"/>
      <c r="Q2631" s="48"/>
      <c r="R2631" s="48"/>
      <c r="S2631" s="48"/>
      <c r="T2631" s="48"/>
      <c r="U2631" s="48"/>
      <c r="V2631" s="48"/>
      <c r="W2631" s="48"/>
    </row>
    <row r="2632" spans="2:23" ht="15.6" customHeight="1" thickBot="1" x14ac:dyDescent="0.3">
      <c r="B2632" s="50" t="s">
        <v>234</v>
      </c>
      <c r="C2632" s="50"/>
      <c r="I2632" s="204">
        <f>SUM(I2626:I2631)</f>
        <v>509444.25</v>
      </c>
      <c r="J2632" s="58"/>
      <c r="K2632" s="204">
        <f>SUM(K2626:K2631)</f>
        <v>460586</v>
      </c>
      <c r="L2632" s="59"/>
      <c r="O2632" s="1146"/>
      <c r="P2632" s="48"/>
      <c r="Q2632" s="48"/>
      <c r="R2632" s="48"/>
      <c r="S2632" s="48"/>
      <c r="T2632" s="48"/>
      <c r="U2632" s="48"/>
      <c r="V2632" s="48"/>
      <c r="W2632" s="48"/>
    </row>
    <row r="2633" spans="2:23" ht="15.6" customHeight="1" thickTop="1" x14ac:dyDescent="0.2">
      <c r="I2633" s="58"/>
      <c r="J2633" s="58"/>
      <c r="K2633" s="58"/>
      <c r="L2633" s="59"/>
      <c r="O2633" s="1146"/>
      <c r="P2633" s="48"/>
      <c r="Q2633" s="48"/>
      <c r="R2633" s="48"/>
      <c r="S2633" s="48"/>
      <c r="T2633" s="48"/>
      <c r="U2633" s="48"/>
      <c r="V2633" s="48"/>
      <c r="W2633" s="48"/>
    </row>
    <row r="2634" spans="2:23" ht="30.95" customHeight="1" x14ac:dyDescent="0.2">
      <c r="B2634" s="2839" t="s">
        <v>7475</v>
      </c>
      <c r="C2634" s="2839"/>
      <c r="D2634" s="2839"/>
      <c r="E2634" s="2839"/>
      <c r="F2634" s="2839"/>
      <c r="G2634" s="2839"/>
      <c r="H2634" s="56"/>
      <c r="I2634" s="56"/>
      <c r="J2634" s="56"/>
      <c r="K2634" s="56"/>
      <c r="L2634" s="59"/>
      <c r="N2634" s="1147"/>
      <c r="O2634" s="1146"/>
      <c r="P2634" s="48"/>
      <c r="Q2634" s="48"/>
      <c r="R2634" s="48"/>
      <c r="S2634" s="48"/>
      <c r="T2634" s="48"/>
      <c r="U2634" s="48"/>
      <c r="V2634" s="48"/>
      <c r="W2634" s="48"/>
    </row>
    <row r="2635" spans="2:23" ht="15.6" customHeight="1" x14ac:dyDescent="0.2">
      <c r="I2635" s="58"/>
      <c r="J2635" s="58"/>
      <c r="K2635" s="58"/>
      <c r="L2635" s="59"/>
      <c r="O2635" s="1146"/>
      <c r="P2635" s="48"/>
      <c r="Q2635" s="48"/>
      <c r="R2635" s="48"/>
      <c r="S2635" s="48"/>
      <c r="T2635" s="48"/>
      <c r="U2635" s="48"/>
      <c r="V2635" s="48"/>
      <c r="W2635" s="48"/>
    </row>
    <row r="2636" spans="2:23" ht="15.6" hidden="1" customHeight="1" x14ac:dyDescent="0.25">
      <c r="B2636" s="229" t="s">
        <v>1767</v>
      </c>
      <c r="C2636" s="50"/>
      <c r="I2636" s="58"/>
      <c r="J2636" s="58"/>
      <c r="K2636" s="58"/>
      <c r="L2636" s="59"/>
      <c r="O2636" s="1146"/>
      <c r="P2636" s="48"/>
      <c r="Q2636" s="48"/>
      <c r="R2636" s="48"/>
      <c r="S2636" s="48"/>
      <c r="T2636" s="48"/>
      <c r="U2636" s="48"/>
      <c r="V2636" s="48"/>
      <c r="W2636" s="48"/>
    </row>
    <row r="2637" spans="2:23" ht="15.6" hidden="1" customHeight="1" x14ac:dyDescent="0.25">
      <c r="B2637" s="48" t="s">
        <v>124</v>
      </c>
      <c r="E2637" s="50"/>
      <c r="I2637" s="58">
        <v>0</v>
      </c>
      <c r="J2637" s="58"/>
      <c r="K2637" s="58">
        <v>0</v>
      </c>
      <c r="L2637" s="59"/>
      <c r="O2637" s="1146"/>
      <c r="P2637" s="48"/>
      <c r="Q2637" s="48"/>
      <c r="R2637" s="48"/>
      <c r="S2637" s="48"/>
      <c r="T2637" s="48"/>
      <c r="U2637" s="48"/>
      <c r="V2637" s="48"/>
      <c r="W2637" s="48"/>
    </row>
    <row r="2638" spans="2:23" ht="15.6" hidden="1" customHeight="1" x14ac:dyDescent="0.25">
      <c r="B2638" s="48" t="s">
        <v>657</v>
      </c>
      <c r="E2638" s="50"/>
      <c r="I2638" s="58">
        <v>0</v>
      </c>
      <c r="J2638" s="58"/>
      <c r="K2638" s="58">
        <v>0</v>
      </c>
      <c r="L2638" s="59"/>
      <c r="O2638" s="1146"/>
      <c r="P2638" s="48"/>
      <c r="Q2638" s="48"/>
      <c r="R2638" s="48"/>
      <c r="S2638" s="48"/>
      <c r="T2638" s="48"/>
      <c r="U2638" s="48"/>
      <c r="V2638" s="48"/>
      <c r="W2638" s="48"/>
    </row>
    <row r="2639" spans="2:23" ht="15.6" hidden="1" customHeight="1" x14ac:dyDescent="0.2">
      <c r="B2639" s="48" t="s">
        <v>1704</v>
      </c>
      <c r="I2639" s="58">
        <v>0</v>
      </c>
      <c r="J2639" s="58"/>
      <c r="K2639" s="58">
        <v>0</v>
      </c>
      <c r="L2639" s="59"/>
      <c r="O2639" s="1146"/>
      <c r="P2639" s="48"/>
      <c r="Q2639" s="48"/>
      <c r="R2639" s="48"/>
      <c r="S2639" s="48"/>
      <c r="T2639" s="48"/>
      <c r="U2639" s="48"/>
      <c r="V2639" s="48"/>
      <c r="W2639" s="48"/>
    </row>
    <row r="2640" spans="2:23" ht="15.6" hidden="1" customHeight="1" x14ac:dyDescent="0.2">
      <c r="B2640" s="48" t="s">
        <v>187</v>
      </c>
      <c r="I2640" s="58">
        <v>0</v>
      </c>
      <c r="J2640" s="58"/>
      <c r="K2640" s="58">
        <v>0</v>
      </c>
      <c r="L2640" s="59"/>
      <c r="O2640" s="1146"/>
      <c r="P2640" s="48"/>
      <c r="Q2640" s="48"/>
      <c r="R2640" s="48"/>
      <c r="S2640" s="48"/>
      <c r="T2640" s="48"/>
      <c r="U2640" s="48"/>
      <c r="V2640" s="48"/>
      <c r="W2640" s="48"/>
    </row>
    <row r="2641" spans="1:23" ht="15.6" hidden="1" customHeight="1" thickBot="1" x14ac:dyDescent="0.3">
      <c r="B2641" s="50" t="s">
        <v>234</v>
      </c>
      <c r="C2641" s="50"/>
      <c r="I2641" s="204">
        <f>SUM(I2637:I2640)</f>
        <v>0</v>
      </c>
      <c r="J2641" s="58"/>
      <c r="K2641" s="204">
        <f>SUM(K2637:K2640)</f>
        <v>0</v>
      </c>
      <c r="L2641" s="59"/>
      <c r="O2641" s="1146"/>
      <c r="P2641" s="48"/>
      <c r="Q2641" s="48"/>
      <c r="R2641" s="48"/>
      <c r="S2641" s="48"/>
      <c r="T2641" s="48"/>
      <c r="U2641" s="48"/>
      <c r="V2641" s="48"/>
      <c r="W2641" s="48"/>
    </row>
    <row r="2642" spans="1:23" ht="15.6" hidden="1" customHeight="1" thickTop="1" x14ac:dyDescent="0.2">
      <c r="I2642" s="58"/>
      <c r="J2642" s="58"/>
      <c r="K2642" s="58"/>
      <c r="L2642" s="59"/>
      <c r="O2642" s="1146"/>
      <c r="P2642" s="48"/>
      <c r="Q2642" s="48"/>
      <c r="R2642" s="48"/>
      <c r="S2642" s="48"/>
      <c r="T2642" s="48"/>
      <c r="U2642" s="48"/>
      <c r="V2642" s="48"/>
      <c r="W2642" s="48"/>
    </row>
    <row r="2643" spans="1:23" ht="30.95" hidden="1" customHeight="1" x14ac:dyDescent="0.2">
      <c r="A2643" s="767"/>
      <c r="B2643" s="2855" t="s">
        <v>717</v>
      </c>
      <c r="C2643" s="2855"/>
      <c r="D2643" s="2855"/>
      <c r="E2643" s="2855"/>
      <c r="F2643" s="2855"/>
      <c r="G2643" s="2855"/>
      <c r="H2643" s="768"/>
      <c r="I2643" s="56"/>
      <c r="J2643" s="56"/>
      <c r="K2643" s="56"/>
      <c r="L2643" s="777"/>
      <c r="N2643" s="1147"/>
      <c r="O2643" s="1146"/>
      <c r="P2643" s="48"/>
      <c r="Q2643" s="48"/>
      <c r="R2643" s="48"/>
      <c r="S2643" s="48"/>
      <c r="T2643" s="48"/>
      <c r="U2643" s="48"/>
      <c r="V2643" s="48"/>
      <c r="W2643" s="48"/>
    </row>
    <row r="2644" spans="1:23" ht="15.6" hidden="1" customHeight="1" x14ac:dyDescent="0.2">
      <c r="I2644" s="58"/>
      <c r="J2644" s="58"/>
      <c r="K2644" s="58"/>
      <c r="L2644" s="59"/>
      <c r="O2644" s="1146"/>
      <c r="P2644" s="48"/>
      <c r="Q2644" s="48"/>
      <c r="R2644" s="48"/>
      <c r="S2644" s="48"/>
      <c r="T2644" s="48"/>
      <c r="U2644" s="48"/>
      <c r="V2644" s="48"/>
      <c r="W2644" s="48"/>
    </row>
    <row r="2645" spans="1:23" ht="15.6" customHeight="1" x14ac:dyDescent="0.25">
      <c r="B2645" s="229" t="s">
        <v>1768</v>
      </c>
      <c r="C2645" s="50"/>
      <c r="I2645" s="58"/>
      <c r="J2645" s="58"/>
      <c r="K2645" s="58"/>
      <c r="L2645" s="59"/>
      <c r="O2645" s="1146"/>
      <c r="P2645" s="48"/>
      <c r="Q2645" s="48"/>
      <c r="R2645" s="48"/>
      <c r="S2645" s="48"/>
      <c r="T2645" s="48"/>
      <c r="U2645" s="48"/>
      <c r="V2645" s="48"/>
      <c r="W2645" s="48"/>
    </row>
    <row r="2646" spans="1:23" ht="15.6" customHeight="1" x14ac:dyDescent="0.25">
      <c r="B2646" s="48" t="s">
        <v>124</v>
      </c>
      <c r="E2646" s="50"/>
      <c r="I2646" s="58">
        <f>383580</f>
        <v>383580</v>
      </c>
      <c r="J2646" s="58"/>
      <c r="K2646" s="58">
        <v>169178</v>
      </c>
      <c r="L2646" s="59"/>
      <c r="O2646" s="1146"/>
      <c r="P2646" s="48"/>
      <c r="Q2646" s="48"/>
      <c r="R2646" s="48"/>
      <c r="S2646" s="48"/>
      <c r="T2646" s="48"/>
      <c r="U2646" s="48"/>
      <c r="V2646" s="48"/>
      <c r="W2646" s="48"/>
    </row>
    <row r="2647" spans="1:23" ht="15.6" customHeight="1" x14ac:dyDescent="0.25">
      <c r="B2647" s="48" t="s">
        <v>657</v>
      </c>
      <c r="E2647" s="50"/>
      <c r="I2647" s="58">
        <v>0</v>
      </c>
      <c r="J2647" s="58"/>
      <c r="K2647" s="58">
        <v>14098</v>
      </c>
      <c r="L2647" s="59"/>
      <c r="O2647" s="1146"/>
      <c r="P2647" s="48"/>
      <c r="Q2647" s="48"/>
      <c r="R2647" s="48"/>
      <c r="S2647" s="48"/>
      <c r="T2647" s="48"/>
      <c r="U2647" s="48"/>
      <c r="V2647" s="48"/>
      <c r="W2647" s="48"/>
    </row>
    <row r="2648" spans="1:23" ht="15.6" customHeight="1" x14ac:dyDescent="0.2">
      <c r="B2648" s="48" t="s">
        <v>6411</v>
      </c>
      <c r="I2648" s="58">
        <v>0</v>
      </c>
      <c r="J2648" s="58"/>
      <c r="K2648" s="58">
        <v>0</v>
      </c>
      <c r="L2648" s="59"/>
      <c r="O2648" s="1146"/>
      <c r="P2648" s="48"/>
      <c r="Q2648" s="48"/>
      <c r="R2648" s="48"/>
      <c r="S2648" s="48"/>
      <c r="T2648" s="48"/>
      <c r="U2648" s="48"/>
      <c r="V2648" s="48"/>
      <c r="W2648" s="48"/>
    </row>
    <row r="2649" spans="1:23" ht="15.6" customHeight="1" x14ac:dyDescent="0.2">
      <c r="B2649" s="48" t="s">
        <v>187</v>
      </c>
      <c r="I2649" s="58">
        <v>70167</v>
      </c>
      <c r="J2649" s="58"/>
      <c r="K2649" s="58">
        <v>36652</v>
      </c>
      <c r="L2649" s="59"/>
      <c r="O2649" s="1146"/>
      <c r="P2649" s="48"/>
      <c r="Q2649" s="48"/>
      <c r="R2649" s="48"/>
      <c r="S2649" s="48"/>
      <c r="T2649" s="48"/>
      <c r="U2649" s="48"/>
      <c r="V2649" s="48"/>
      <c r="W2649" s="48"/>
    </row>
    <row r="2650" spans="1:23" ht="15.6" customHeight="1" x14ac:dyDescent="0.2">
      <c r="B2650" s="48" t="s">
        <v>6415</v>
      </c>
      <c r="I2650" s="58">
        <v>44431.94</v>
      </c>
      <c r="J2650" s="58"/>
      <c r="K2650" s="58">
        <v>152656</v>
      </c>
      <c r="L2650" s="59"/>
      <c r="O2650" s="1146"/>
      <c r="P2650" s="48"/>
      <c r="Q2650" s="48"/>
      <c r="R2650" s="48"/>
      <c r="S2650" s="48"/>
      <c r="T2650" s="48"/>
      <c r="U2650" s="48"/>
      <c r="V2650" s="48"/>
      <c r="W2650" s="48"/>
    </row>
    <row r="2651" spans="1:23" ht="15.6" customHeight="1" x14ac:dyDescent="0.2">
      <c r="B2651" s="48" t="s">
        <v>237</v>
      </c>
      <c r="I2651" s="58">
        <v>3585</v>
      </c>
      <c r="J2651" s="58"/>
      <c r="K2651" s="58">
        <v>0</v>
      </c>
      <c r="L2651" s="59"/>
      <c r="O2651" s="1146"/>
      <c r="P2651" s="48"/>
      <c r="Q2651" s="48"/>
      <c r="R2651" s="48"/>
      <c r="S2651" s="48"/>
      <c r="T2651" s="48"/>
      <c r="U2651" s="48"/>
      <c r="V2651" s="48"/>
      <c r="W2651" s="48"/>
    </row>
    <row r="2652" spans="1:23" ht="15.6" customHeight="1" thickBot="1" x14ac:dyDescent="0.3">
      <c r="B2652" s="50" t="s">
        <v>234</v>
      </c>
      <c r="C2652" s="50"/>
      <c r="I2652" s="204">
        <f>SUM(I2646:I2651)</f>
        <v>501763.94</v>
      </c>
      <c r="J2652" s="58"/>
      <c r="K2652" s="204">
        <f>SUM(K2646:K2651)</f>
        <v>372584</v>
      </c>
      <c r="L2652" s="59"/>
      <c r="O2652" s="1146"/>
      <c r="P2652" s="48"/>
      <c r="Q2652" s="48"/>
      <c r="R2652" s="48"/>
      <c r="S2652" s="48"/>
      <c r="T2652" s="48"/>
      <c r="U2652" s="48"/>
      <c r="V2652" s="48"/>
      <c r="W2652" s="48"/>
    </row>
    <row r="2653" spans="1:23" ht="15.6" customHeight="1" thickTop="1" x14ac:dyDescent="0.2">
      <c r="I2653" s="58"/>
      <c r="J2653" s="58"/>
      <c r="K2653" s="58"/>
      <c r="L2653" s="59"/>
      <c r="O2653" s="1146"/>
      <c r="P2653" s="48"/>
      <c r="Q2653" s="48"/>
      <c r="R2653" s="48"/>
      <c r="S2653" s="48"/>
      <c r="T2653" s="48"/>
      <c r="U2653" s="48"/>
      <c r="V2653" s="48"/>
      <c r="W2653" s="48"/>
    </row>
    <row r="2654" spans="1:23" ht="30.95" customHeight="1" x14ac:dyDescent="0.2">
      <c r="B2654" s="2839" t="s">
        <v>7476</v>
      </c>
      <c r="C2654" s="2839"/>
      <c r="D2654" s="2839"/>
      <c r="E2654" s="2839"/>
      <c r="F2654" s="2839"/>
      <c r="G2654" s="2839"/>
      <c r="H2654" s="56"/>
      <c r="I2654" s="56"/>
      <c r="J2654" s="56"/>
      <c r="K2654" s="56"/>
      <c r="L2654" s="59"/>
      <c r="N2654" s="1147"/>
      <c r="O2654" s="1146"/>
      <c r="P2654" s="48"/>
      <c r="Q2654" s="48"/>
      <c r="R2654" s="48"/>
      <c r="S2654" s="48"/>
      <c r="T2654" s="48"/>
      <c r="U2654" s="48"/>
      <c r="V2654" s="48"/>
      <c r="W2654" s="48"/>
    </row>
    <row r="2655" spans="1:23" ht="15.6" hidden="1" customHeight="1" x14ac:dyDescent="0.2">
      <c r="I2655" s="58"/>
      <c r="J2655" s="58"/>
      <c r="K2655" s="58"/>
      <c r="L2655" s="59"/>
      <c r="O2655" s="1146"/>
      <c r="P2655" s="48"/>
      <c r="Q2655" s="48"/>
      <c r="R2655" s="48"/>
      <c r="S2655" s="48"/>
      <c r="T2655" s="48"/>
      <c r="U2655" s="48"/>
      <c r="V2655" s="48"/>
      <c r="W2655" s="48"/>
    </row>
    <row r="2656" spans="1:23" ht="15.6" hidden="1" customHeight="1" x14ac:dyDescent="0.25">
      <c r="B2656" s="229" t="s">
        <v>1769</v>
      </c>
      <c r="C2656" s="50"/>
      <c r="I2656" s="58"/>
      <c r="J2656" s="58"/>
      <c r="K2656" s="58"/>
      <c r="L2656" s="59"/>
      <c r="O2656" s="1146"/>
      <c r="P2656" s="48"/>
      <c r="Q2656" s="48"/>
      <c r="R2656" s="48"/>
      <c r="S2656" s="48"/>
      <c r="T2656" s="48"/>
      <c r="U2656" s="48"/>
      <c r="V2656" s="48"/>
      <c r="W2656" s="48"/>
    </row>
    <row r="2657" spans="1:23" ht="15.6" hidden="1" customHeight="1" x14ac:dyDescent="0.25">
      <c r="B2657" s="48" t="s">
        <v>124</v>
      </c>
      <c r="E2657" s="50"/>
      <c r="I2657" s="58">
        <v>0</v>
      </c>
      <c r="J2657" s="58"/>
      <c r="K2657" s="58">
        <v>0</v>
      </c>
      <c r="L2657" s="59"/>
      <c r="O2657" s="1146"/>
      <c r="P2657" s="48"/>
      <c r="Q2657" s="48"/>
      <c r="R2657" s="48"/>
      <c r="S2657" s="48"/>
      <c r="T2657" s="48"/>
      <c r="U2657" s="48"/>
      <c r="V2657" s="48"/>
      <c r="W2657" s="48"/>
    </row>
    <row r="2658" spans="1:23" ht="15.6" hidden="1" customHeight="1" x14ac:dyDescent="0.25">
      <c r="B2658" s="48" t="s">
        <v>657</v>
      </c>
      <c r="E2658" s="50"/>
      <c r="I2658" s="58">
        <v>0</v>
      </c>
      <c r="J2658" s="58"/>
      <c r="K2658" s="58">
        <v>0</v>
      </c>
      <c r="L2658" s="59"/>
      <c r="O2658" s="1146"/>
      <c r="P2658" s="48"/>
      <c r="Q2658" s="48"/>
      <c r="R2658" s="48"/>
      <c r="S2658" s="48"/>
      <c r="T2658" s="48"/>
      <c r="U2658" s="48"/>
      <c r="V2658" s="48"/>
      <c r="W2658" s="48"/>
    </row>
    <row r="2659" spans="1:23" ht="15.6" hidden="1" customHeight="1" x14ac:dyDescent="0.2">
      <c r="B2659" s="48" t="s">
        <v>1704</v>
      </c>
      <c r="I2659" s="58">
        <v>0</v>
      </c>
      <c r="J2659" s="58"/>
      <c r="K2659" s="58">
        <v>0</v>
      </c>
      <c r="L2659" s="59"/>
      <c r="O2659" s="1146"/>
      <c r="P2659" s="48"/>
      <c r="Q2659" s="48"/>
      <c r="R2659" s="48"/>
      <c r="S2659" s="48"/>
      <c r="T2659" s="48"/>
      <c r="U2659" s="48"/>
      <c r="V2659" s="48"/>
      <c r="W2659" s="48"/>
    </row>
    <row r="2660" spans="1:23" ht="15.6" hidden="1" customHeight="1" x14ac:dyDescent="0.2">
      <c r="B2660" s="48" t="s">
        <v>187</v>
      </c>
      <c r="I2660" s="58">
        <v>0</v>
      </c>
      <c r="J2660" s="58"/>
      <c r="K2660" s="58">
        <v>0</v>
      </c>
      <c r="L2660" s="59"/>
      <c r="O2660" s="1146"/>
      <c r="P2660" s="48"/>
      <c r="Q2660" s="48"/>
      <c r="R2660" s="48"/>
      <c r="S2660" s="48"/>
      <c r="T2660" s="48"/>
      <c r="U2660" s="48"/>
      <c r="V2660" s="48"/>
      <c r="W2660" s="48"/>
    </row>
    <row r="2661" spans="1:23" ht="15.6" hidden="1" customHeight="1" thickBot="1" x14ac:dyDescent="0.3">
      <c r="B2661" s="50" t="s">
        <v>234</v>
      </c>
      <c r="C2661" s="50"/>
      <c r="I2661" s="204">
        <f>SUM(I2657:I2660)</f>
        <v>0</v>
      </c>
      <c r="J2661" s="58"/>
      <c r="K2661" s="204">
        <f>SUM(K2657:K2660)</f>
        <v>0</v>
      </c>
      <c r="L2661" s="59"/>
      <c r="O2661" s="1146"/>
      <c r="P2661" s="48"/>
      <c r="Q2661" s="48"/>
      <c r="R2661" s="48"/>
      <c r="S2661" s="48"/>
      <c r="T2661" s="48"/>
      <c r="U2661" s="48"/>
      <c r="V2661" s="48"/>
      <c r="W2661" s="48"/>
    </row>
    <row r="2662" spans="1:23" ht="15.6" hidden="1" customHeight="1" thickTop="1" x14ac:dyDescent="0.2">
      <c r="I2662" s="58"/>
      <c r="J2662" s="58"/>
      <c r="K2662" s="58"/>
      <c r="L2662" s="59"/>
      <c r="O2662" s="1146"/>
      <c r="P2662" s="48"/>
      <c r="Q2662" s="48"/>
      <c r="R2662" s="48"/>
      <c r="S2662" s="48"/>
      <c r="T2662" s="48"/>
      <c r="U2662" s="48"/>
      <c r="V2662" s="48"/>
      <c r="W2662" s="48"/>
    </row>
    <row r="2663" spans="1:23" ht="30.95" hidden="1" customHeight="1" x14ac:dyDescent="0.2">
      <c r="A2663" s="767"/>
      <c r="B2663" s="2855" t="s">
        <v>1405</v>
      </c>
      <c r="C2663" s="2855"/>
      <c r="D2663" s="2855"/>
      <c r="E2663" s="2855"/>
      <c r="F2663" s="2855"/>
      <c r="G2663" s="2855"/>
      <c r="H2663" s="768"/>
      <c r="I2663" s="56"/>
      <c r="J2663" s="56"/>
      <c r="K2663" s="56"/>
      <c r="L2663" s="777"/>
      <c r="N2663" s="1147"/>
      <c r="O2663" s="1146"/>
      <c r="P2663" s="48"/>
      <c r="Q2663" s="48"/>
      <c r="R2663" s="48"/>
      <c r="S2663" s="48"/>
      <c r="T2663" s="48"/>
      <c r="U2663" s="48"/>
      <c r="V2663" s="48"/>
      <c r="W2663" s="48"/>
    </row>
    <row r="2664" spans="1:23" ht="15.6" customHeight="1" x14ac:dyDescent="0.2">
      <c r="I2664" s="58"/>
      <c r="J2664" s="58"/>
      <c r="K2664" s="58"/>
      <c r="L2664" s="59"/>
      <c r="O2664" s="1146"/>
      <c r="P2664" s="48"/>
      <c r="Q2664" s="48"/>
      <c r="R2664" s="48"/>
      <c r="S2664" s="48"/>
      <c r="T2664" s="48"/>
      <c r="U2664" s="48"/>
      <c r="V2664" s="48"/>
      <c r="W2664" s="48"/>
    </row>
    <row r="2665" spans="1:23" ht="15.6" customHeight="1" x14ac:dyDescent="0.2">
      <c r="B2665" s="2839" t="s">
        <v>1351</v>
      </c>
      <c r="C2665" s="2839"/>
      <c r="D2665" s="2839"/>
      <c r="E2665" s="2839"/>
      <c r="F2665" s="2839"/>
      <c r="G2665" s="2839"/>
      <c r="H2665" s="56"/>
      <c r="I2665" s="56"/>
      <c r="J2665" s="56"/>
      <c r="K2665" s="56"/>
      <c r="L2665" s="59"/>
      <c r="N2665" s="1147"/>
      <c r="O2665" s="1146"/>
      <c r="P2665" s="48"/>
      <c r="Q2665" s="48"/>
      <c r="R2665" s="48"/>
      <c r="S2665" s="48"/>
      <c r="T2665" s="48"/>
      <c r="U2665" s="48"/>
      <c r="V2665" s="48"/>
      <c r="W2665" s="48"/>
    </row>
    <row r="2666" spans="1:23" ht="30.95" hidden="1" customHeight="1" x14ac:dyDescent="0.2">
      <c r="B2666" s="2839" t="s">
        <v>1065</v>
      </c>
      <c r="C2666" s="2839"/>
      <c r="D2666" s="2839"/>
      <c r="E2666" s="2839"/>
      <c r="F2666" s="2839"/>
      <c r="G2666" s="2839"/>
      <c r="H2666" s="56"/>
      <c r="I2666" s="56"/>
      <c r="J2666" s="56"/>
      <c r="K2666" s="56"/>
      <c r="L2666" s="59"/>
      <c r="N2666" s="1147"/>
      <c r="O2666" s="1146"/>
      <c r="P2666" s="48"/>
      <c r="Q2666" s="48"/>
      <c r="R2666" s="48"/>
      <c r="S2666" s="48"/>
      <c r="T2666" s="48"/>
      <c r="U2666" s="48"/>
      <c r="V2666" s="48"/>
      <c r="W2666" s="48"/>
    </row>
    <row r="2667" spans="1:23" ht="15.6" hidden="1" customHeight="1" x14ac:dyDescent="0.2">
      <c r="I2667" s="58"/>
      <c r="J2667" s="58"/>
      <c r="K2667" s="58"/>
      <c r="L2667" s="59"/>
      <c r="P2667" s="48"/>
      <c r="Q2667" s="48"/>
      <c r="R2667" s="48"/>
      <c r="S2667" s="48"/>
      <c r="T2667" s="48"/>
      <c r="U2667" s="48"/>
      <c r="V2667" s="48"/>
      <c r="W2667" s="48"/>
    </row>
    <row r="2668" spans="1:23" ht="15.6" hidden="1" customHeight="1" x14ac:dyDescent="0.25">
      <c r="B2668" s="50" t="s">
        <v>162</v>
      </c>
      <c r="I2668" s="58"/>
      <c r="J2668" s="58"/>
      <c r="K2668" s="58"/>
      <c r="L2668" s="59"/>
      <c r="N2668" s="1147"/>
      <c r="O2668" s="1146"/>
      <c r="P2668" s="48"/>
      <c r="Q2668" s="48"/>
      <c r="R2668" s="48"/>
      <c r="S2668" s="48"/>
      <c r="T2668" s="48"/>
      <c r="U2668" s="48"/>
      <c r="V2668" s="48"/>
      <c r="W2668" s="48"/>
    </row>
    <row r="2669" spans="1:23" ht="15.6" hidden="1" customHeight="1" x14ac:dyDescent="0.2">
      <c r="B2669" s="48" t="s">
        <v>175</v>
      </c>
      <c r="I2669" s="2043">
        <v>0</v>
      </c>
      <c r="J2669" s="58"/>
      <c r="K2669" s="2043">
        <v>0</v>
      </c>
      <c r="L2669" s="59"/>
      <c r="N2669" s="1147"/>
      <c r="O2669" s="1146"/>
      <c r="P2669" s="48"/>
      <c r="Q2669" s="48"/>
      <c r="R2669" s="48"/>
      <c r="S2669" s="48"/>
      <c r="T2669" s="48"/>
      <c r="U2669" s="48"/>
      <c r="V2669" s="48"/>
      <c r="W2669" s="48"/>
    </row>
    <row r="2670" spans="1:23" ht="15.6" hidden="1" customHeight="1" x14ac:dyDescent="0.2">
      <c r="B2670" s="48" t="s">
        <v>163</v>
      </c>
      <c r="I2670" s="2043">
        <v>0</v>
      </c>
      <c r="J2670" s="58"/>
      <c r="K2670" s="2043">
        <v>0</v>
      </c>
      <c r="L2670" s="59"/>
      <c r="N2670" s="1147"/>
      <c r="O2670" s="1146"/>
      <c r="P2670" s="48"/>
      <c r="Q2670" s="48"/>
      <c r="R2670" s="48"/>
      <c r="S2670" s="48"/>
      <c r="T2670" s="48"/>
      <c r="U2670" s="48"/>
      <c r="V2670" s="48"/>
      <c r="W2670" s="48"/>
    </row>
    <row r="2671" spans="1:23" ht="15.6" hidden="1" customHeight="1" x14ac:dyDescent="0.2">
      <c r="B2671" s="48" t="s">
        <v>546</v>
      </c>
      <c r="I2671" s="2043">
        <v>0</v>
      </c>
      <c r="J2671" s="58"/>
      <c r="K2671" s="2043">
        <v>0</v>
      </c>
      <c r="L2671" s="59"/>
      <c r="N2671" s="1147"/>
      <c r="O2671" s="1146"/>
      <c r="P2671" s="48"/>
      <c r="Q2671" s="48"/>
      <c r="R2671" s="48"/>
      <c r="S2671" s="48"/>
      <c r="T2671" s="48"/>
      <c r="U2671" s="48"/>
      <c r="V2671" s="48"/>
      <c r="W2671" s="48"/>
    </row>
    <row r="2672" spans="1:23" ht="15.6" hidden="1" customHeight="1" x14ac:dyDescent="0.2">
      <c r="B2672" s="48" t="s">
        <v>547</v>
      </c>
      <c r="I2672" s="2043">
        <v>0</v>
      </c>
      <c r="J2672" s="58"/>
      <c r="K2672" s="2043">
        <v>0</v>
      </c>
      <c r="L2672" s="59"/>
      <c r="N2672" s="1147"/>
      <c r="O2672" s="1146"/>
      <c r="P2672" s="48"/>
      <c r="Q2672" s="48"/>
      <c r="R2672" s="48"/>
      <c r="S2672" s="48"/>
      <c r="T2672" s="48"/>
      <c r="U2672" s="48"/>
      <c r="V2672" s="48"/>
      <c r="W2672" s="48"/>
    </row>
    <row r="2673" spans="2:23" ht="15.6" hidden="1" customHeight="1" x14ac:dyDescent="0.2">
      <c r="B2673" s="48" t="s">
        <v>548</v>
      </c>
      <c r="I2673" s="2043">
        <v>0</v>
      </c>
      <c r="J2673" s="58"/>
      <c r="K2673" s="2043">
        <v>0</v>
      </c>
      <c r="L2673" s="59"/>
      <c r="N2673" s="1147"/>
      <c r="O2673" s="1146"/>
      <c r="P2673" s="48"/>
      <c r="Q2673" s="48"/>
      <c r="R2673" s="48"/>
      <c r="S2673" s="48"/>
      <c r="T2673" s="48"/>
      <c r="U2673" s="48"/>
      <c r="V2673" s="48"/>
      <c r="W2673" s="48"/>
    </row>
    <row r="2674" spans="2:23" ht="15.6" hidden="1" customHeight="1" x14ac:dyDescent="0.2">
      <c r="B2674" s="48" t="s">
        <v>549</v>
      </c>
      <c r="I2674" s="2043">
        <v>0</v>
      </c>
      <c r="J2674" s="58"/>
      <c r="K2674" s="2043">
        <v>0</v>
      </c>
      <c r="L2674" s="59"/>
      <c r="N2674" s="1147"/>
      <c r="O2674" s="1146"/>
      <c r="P2674" s="48"/>
      <c r="Q2674" s="48"/>
      <c r="R2674" s="48"/>
      <c r="S2674" s="48"/>
      <c r="T2674" s="48"/>
      <c r="U2674" s="48"/>
      <c r="V2674" s="48"/>
      <c r="W2674" s="48"/>
    </row>
    <row r="2675" spans="2:23" ht="15.6" hidden="1" customHeight="1" x14ac:dyDescent="0.2">
      <c r="B2675" s="48" t="s">
        <v>550</v>
      </c>
      <c r="I2675" s="2043">
        <v>0</v>
      </c>
      <c r="J2675" s="58"/>
      <c r="K2675" s="2043">
        <v>0</v>
      </c>
      <c r="L2675" s="59"/>
      <c r="N2675" s="1147"/>
      <c r="O2675" s="1146"/>
      <c r="P2675" s="48"/>
      <c r="Q2675" s="48"/>
      <c r="R2675" s="48"/>
      <c r="S2675" s="48"/>
      <c r="T2675" s="48"/>
      <c r="U2675" s="48"/>
      <c r="V2675" s="48"/>
      <c r="W2675" s="48"/>
    </row>
    <row r="2676" spans="2:23" ht="15.6" hidden="1" customHeight="1" x14ac:dyDescent="0.2">
      <c r="I2676" s="58"/>
      <c r="J2676" s="58"/>
      <c r="K2676" s="58"/>
      <c r="L2676" s="59"/>
      <c r="N2676" s="1147"/>
      <c r="O2676" s="1146"/>
      <c r="P2676" s="48"/>
      <c r="Q2676" s="48"/>
      <c r="R2676" s="48"/>
      <c r="S2676" s="48"/>
      <c r="T2676" s="48"/>
      <c r="U2676" s="48"/>
      <c r="V2676" s="48"/>
      <c r="W2676" s="48"/>
    </row>
    <row r="2677" spans="2:23" ht="15.6" hidden="1" customHeight="1" thickBot="1" x14ac:dyDescent="0.3">
      <c r="B2677" s="50" t="s">
        <v>234</v>
      </c>
      <c r="C2677" s="50"/>
      <c r="I2677" s="204">
        <f>SUM(I2668:I2676)</f>
        <v>0</v>
      </c>
      <c r="J2677" s="58"/>
      <c r="K2677" s="204">
        <f>SUM(K2668:K2676)</f>
        <v>0</v>
      </c>
      <c r="L2677" s="59"/>
      <c r="N2677" s="1147"/>
      <c r="O2677" s="1146"/>
      <c r="P2677" s="48"/>
      <c r="Q2677" s="48"/>
      <c r="R2677" s="48"/>
      <c r="S2677" s="48"/>
      <c r="T2677" s="48"/>
      <c r="U2677" s="48"/>
      <c r="V2677" s="48"/>
      <c r="W2677" s="48"/>
    </row>
    <row r="2678" spans="2:23" ht="15.6" hidden="1" customHeight="1" thickTop="1" x14ac:dyDescent="0.2">
      <c r="I2678" s="58"/>
      <c r="J2678" s="58"/>
      <c r="K2678" s="58"/>
      <c r="L2678" s="59"/>
      <c r="N2678" s="1147"/>
      <c r="O2678" s="1146"/>
      <c r="P2678" s="48"/>
      <c r="Q2678" s="48"/>
      <c r="R2678" s="48"/>
      <c r="S2678" s="48"/>
      <c r="T2678" s="48"/>
      <c r="U2678" s="48"/>
      <c r="V2678" s="48"/>
      <c r="W2678" s="48"/>
    </row>
    <row r="2679" spans="2:23" ht="15.6" hidden="1" customHeight="1" x14ac:dyDescent="0.25">
      <c r="B2679" s="50" t="s">
        <v>164</v>
      </c>
      <c r="I2679" s="58"/>
      <c r="J2679" s="58"/>
      <c r="K2679" s="58"/>
      <c r="L2679" s="59"/>
      <c r="N2679" s="1147"/>
      <c r="O2679" s="1146"/>
      <c r="P2679" s="48"/>
      <c r="Q2679" s="48"/>
      <c r="R2679" s="48"/>
      <c r="S2679" s="48"/>
      <c r="T2679" s="48"/>
      <c r="U2679" s="48"/>
      <c r="V2679" s="48"/>
      <c r="W2679" s="48"/>
    </row>
    <row r="2680" spans="2:23" ht="15.6" hidden="1" customHeight="1" x14ac:dyDescent="0.2">
      <c r="B2680" s="48" t="s">
        <v>175</v>
      </c>
      <c r="I2680" s="2043">
        <v>0</v>
      </c>
      <c r="J2680" s="58"/>
      <c r="K2680" s="2043">
        <v>0</v>
      </c>
      <c r="L2680" s="59"/>
      <c r="N2680" s="1147"/>
      <c r="O2680" s="1146"/>
      <c r="P2680" s="48"/>
      <c r="Q2680" s="48"/>
      <c r="R2680" s="48"/>
      <c r="S2680" s="48"/>
      <c r="T2680" s="48"/>
      <c r="U2680" s="48"/>
      <c r="V2680" s="48"/>
      <c r="W2680" s="48"/>
    </row>
    <row r="2681" spans="2:23" ht="15.6" hidden="1" customHeight="1" x14ac:dyDescent="0.2">
      <c r="B2681" s="48" t="s">
        <v>163</v>
      </c>
      <c r="I2681" s="2043">
        <v>0</v>
      </c>
      <c r="J2681" s="58"/>
      <c r="K2681" s="2043">
        <v>0</v>
      </c>
      <c r="L2681" s="59"/>
      <c r="N2681" s="1147"/>
      <c r="O2681" s="1146"/>
      <c r="P2681" s="48"/>
      <c r="Q2681" s="48"/>
      <c r="R2681" s="48"/>
      <c r="S2681" s="48"/>
      <c r="T2681" s="48"/>
      <c r="U2681" s="48"/>
      <c r="V2681" s="48"/>
      <c r="W2681" s="48"/>
    </row>
    <row r="2682" spans="2:23" ht="15.6" hidden="1" customHeight="1" x14ac:dyDescent="0.2">
      <c r="B2682" s="48" t="s">
        <v>546</v>
      </c>
      <c r="I2682" s="2043">
        <v>0</v>
      </c>
      <c r="J2682" s="58"/>
      <c r="K2682" s="2043">
        <v>0</v>
      </c>
      <c r="L2682" s="59"/>
      <c r="N2682" s="1147"/>
      <c r="O2682" s="1146"/>
      <c r="P2682" s="48"/>
      <c r="Q2682" s="48"/>
      <c r="R2682" s="48"/>
      <c r="S2682" s="48"/>
      <c r="T2682" s="48"/>
      <c r="U2682" s="48"/>
      <c r="V2682" s="48"/>
      <c r="W2682" s="48"/>
    </row>
    <row r="2683" spans="2:23" ht="15.6" hidden="1" customHeight="1" x14ac:dyDescent="0.2">
      <c r="B2683" s="48" t="s">
        <v>547</v>
      </c>
      <c r="I2683" s="2043">
        <v>0</v>
      </c>
      <c r="J2683" s="58"/>
      <c r="K2683" s="2043">
        <v>0</v>
      </c>
      <c r="L2683" s="59"/>
      <c r="N2683" s="1147"/>
      <c r="O2683" s="1146"/>
      <c r="P2683" s="48"/>
      <c r="Q2683" s="48"/>
      <c r="R2683" s="48"/>
      <c r="S2683" s="48"/>
      <c r="T2683" s="48"/>
      <c r="U2683" s="48"/>
      <c r="V2683" s="48"/>
      <c r="W2683" s="48"/>
    </row>
    <row r="2684" spans="2:23" ht="15.6" hidden="1" customHeight="1" x14ac:dyDescent="0.2">
      <c r="B2684" s="48" t="s">
        <v>548</v>
      </c>
      <c r="I2684" s="2043">
        <v>0</v>
      </c>
      <c r="J2684" s="58"/>
      <c r="K2684" s="2043">
        <v>0</v>
      </c>
      <c r="L2684" s="59"/>
      <c r="N2684" s="1147"/>
      <c r="O2684" s="1146"/>
      <c r="P2684" s="48"/>
      <c r="Q2684" s="48"/>
      <c r="R2684" s="48"/>
      <c r="S2684" s="48"/>
      <c r="T2684" s="48"/>
      <c r="U2684" s="48"/>
      <c r="V2684" s="48"/>
      <c r="W2684" s="48"/>
    </row>
    <row r="2685" spans="2:23" ht="15.6" hidden="1" customHeight="1" x14ac:dyDescent="0.2">
      <c r="B2685" s="48" t="s">
        <v>549</v>
      </c>
      <c r="I2685" s="2043">
        <v>0</v>
      </c>
      <c r="J2685" s="58"/>
      <c r="K2685" s="2043">
        <v>0</v>
      </c>
      <c r="L2685" s="59"/>
      <c r="N2685" s="1147"/>
      <c r="O2685" s="1146"/>
      <c r="P2685" s="48"/>
      <c r="Q2685" s="48"/>
      <c r="R2685" s="48"/>
      <c r="S2685" s="48"/>
      <c r="T2685" s="48"/>
      <c r="U2685" s="48"/>
      <c r="V2685" s="48"/>
      <c r="W2685" s="48"/>
    </row>
    <row r="2686" spans="2:23" ht="15.6" hidden="1" customHeight="1" x14ac:dyDescent="0.2">
      <c r="B2686" s="48" t="s">
        <v>550</v>
      </c>
      <c r="I2686" s="2043">
        <v>0</v>
      </c>
      <c r="J2686" s="58"/>
      <c r="K2686" s="2043">
        <v>0</v>
      </c>
      <c r="L2686" s="59"/>
      <c r="N2686" s="1147"/>
      <c r="O2686" s="1146"/>
      <c r="P2686" s="48"/>
      <c r="Q2686" s="48"/>
      <c r="R2686" s="48"/>
      <c r="S2686" s="48"/>
      <c r="T2686" s="48"/>
      <c r="U2686" s="48"/>
      <c r="V2686" s="48"/>
      <c r="W2686" s="48"/>
    </row>
    <row r="2687" spans="2:23" ht="15.6" hidden="1" customHeight="1" x14ac:dyDescent="0.2">
      <c r="I2687" s="58"/>
      <c r="J2687" s="58"/>
      <c r="K2687" s="58"/>
      <c r="L2687" s="59"/>
      <c r="N2687" s="1147"/>
      <c r="O2687" s="1146"/>
      <c r="P2687" s="48"/>
      <c r="Q2687" s="48"/>
      <c r="R2687" s="48"/>
      <c r="S2687" s="48"/>
      <c r="T2687" s="48"/>
      <c r="U2687" s="48"/>
      <c r="V2687" s="48"/>
      <c r="W2687" s="48"/>
    </row>
    <row r="2688" spans="2:23" ht="15.6" hidden="1" customHeight="1" thickBot="1" x14ac:dyDescent="0.3">
      <c r="B2688" s="50" t="s">
        <v>234</v>
      </c>
      <c r="C2688" s="50"/>
      <c r="I2688" s="204">
        <f>SUM(I2679:I2687)</f>
        <v>0</v>
      </c>
      <c r="J2688" s="58"/>
      <c r="K2688" s="204">
        <f>SUM(K2679:K2687)</f>
        <v>0</v>
      </c>
      <c r="L2688" s="59"/>
      <c r="N2688" s="1147"/>
      <c r="O2688" s="1146"/>
      <c r="P2688" s="48"/>
      <c r="Q2688" s="48"/>
      <c r="R2688" s="48"/>
      <c r="S2688" s="48"/>
      <c r="T2688" s="48"/>
      <c r="U2688" s="48"/>
      <c r="V2688" s="48"/>
      <c r="W2688" s="48"/>
    </row>
    <row r="2689" spans="1:23" ht="15.6" hidden="1" customHeight="1" thickTop="1" x14ac:dyDescent="0.2">
      <c r="I2689" s="58"/>
      <c r="J2689" s="58"/>
      <c r="K2689" s="58"/>
      <c r="L2689" s="59"/>
      <c r="N2689" s="1147"/>
      <c r="O2689" s="1146"/>
      <c r="P2689" s="48"/>
      <c r="Q2689" s="48"/>
      <c r="R2689" s="48"/>
      <c r="S2689" s="48"/>
      <c r="T2689" s="48"/>
      <c r="U2689" s="48"/>
      <c r="V2689" s="48"/>
      <c r="W2689" s="48"/>
    </row>
    <row r="2690" spans="1:23" ht="15.6" hidden="1" customHeight="1" x14ac:dyDescent="0.25">
      <c r="B2690" s="50" t="s">
        <v>1534</v>
      </c>
      <c r="I2690" s="58"/>
      <c r="J2690" s="58"/>
      <c r="K2690" s="58"/>
      <c r="L2690" s="59"/>
      <c r="N2690" s="1147"/>
      <c r="O2690" s="1146"/>
      <c r="P2690" s="48"/>
      <c r="Q2690" s="48"/>
      <c r="R2690" s="48"/>
      <c r="S2690" s="48"/>
      <c r="T2690" s="48"/>
      <c r="U2690" s="48"/>
      <c r="V2690" s="48"/>
      <c r="W2690" s="48"/>
    </row>
    <row r="2691" spans="1:23" ht="15.6" hidden="1" customHeight="1" x14ac:dyDescent="0.2">
      <c r="B2691" s="48" t="s">
        <v>175</v>
      </c>
      <c r="I2691" s="2043">
        <v>0</v>
      </c>
      <c r="J2691" s="58"/>
      <c r="K2691" s="2043">
        <v>0</v>
      </c>
      <c r="L2691" s="59"/>
      <c r="N2691" s="1147"/>
      <c r="O2691" s="1146"/>
      <c r="P2691" s="48"/>
      <c r="Q2691" s="48"/>
      <c r="R2691" s="48"/>
      <c r="S2691" s="48"/>
      <c r="T2691" s="48"/>
      <c r="U2691" s="48"/>
      <c r="V2691" s="48"/>
      <c r="W2691" s="48"/>
    </row>
    <row r="2692" spans="1:23" ht="15.6" hidden="1" customHeight="1" x14ac:dyDescent="0.2">
      <c r="B2692" s="48" t="s">
        <v>163</v>
      </c>
      <c r="I2692" s="2043">
        <v>0</v>
      </c>
      <c r="J2692" s="58"/>
      <c r="K2692" s="2043">
        <v>0</v>
      </c>
      <c r="L2692" s="59"/>
      <c r="N2692" s="1147"/>
      <c r="O2692" s="1146"/>
      <c r="P2692" s="48"/>
      <c r="Q2692" s="48"/>
      <c r="R2692" s="48"/>
      <c r="S2692" s="48"/>
      <c r="T2692" s="48"/>
      <c r="U2692" s="48"/>
      <c r="V2692" s="48"/>
      <c r="W2692" s="48"/>
    </row>
    <row r="2693" spans="1:23" ht="15.6" hidden="1" customHeight="1" x14ac:dyDescent="0.2">
      <c r="B2693" s="48" t="s">
        <v>2144</v>
      </c>
      <c r="I2693" s="2043">
        <v>0</v>
      </c>
      <c r="J2693" s="58"/>
      <c r="K2693" s="2043">
        <v>0</v>
      </c>
      <c r="L2693" s="59"/>
      <c r="N2693" s="1147"/>
      <c r="O2693" s="1146"/>
      <c r="P2693" s="48"/>
      <c r="Q2693" s="48"/>
      <c r="R2693" s="48"/>
      <c r="S2693" s="48"/>
      <c r="T2693" s="48"/>
      <c r="U2693" s="48"/>
      <c r="V2693" s="48"/>
      <c r="W2693" s="48"/>
    </row>
    <row r="2694" spans="1:23" ht="15.6" hidden="1" customHeight="1" x14ac:dyDescent="0.2">
      <c r="B2694" s="48" t="s">
        <v>2145</v>
      </c>
      <c r="I2694" s="2043">
        <v>0</v>
      </c>
      <c r="J2694" s="58"/>
      <c r="K2694" s="2043">
        <v>0</v>
      </c>
      <c r="L2694" s="59"/>
      <c r="N2694" s="1147"/>
      <c r="O2694" s="1146"/>
      <c r="P2694" s="48"/>
      <c r="Q2694" s="48"/>
      <c r="R2694" s="48"/>
      <c r="S2694" s="48"/>
      <c r="T2694" s="48"/>
      <c r="U2694" s="48"/>
      <c r="V2694" s="48"/>
      <c r="W2694" s="48"/>
    </row>
    <row r="2695" spans="1:23" ht="15.6" hidden="1" customHeight="1" x14ac:dyDescent="0.2">
      <c r="B2695" s="48" t="s">
        <v>2146</v>
      </c>
      <c r="I2695" s="2043">
        <v>0</v>
      </c>
      <c r="J2695" s="58"/>
      <c r="K2695" s="2043">
        <v>0</v>
      </c>
      <c r="L2695" s="59"/>
      <c r="N2695" s="1147"/>
      <c r="O2695" s="1146"/>
      <c r="P2695" s="48"/>
      <c r="Q2695" s="48"/>
      <c r="R2695" s="48"/>
      <c r="S2695" s="48"/>
      <c r="T2695" s="48"/>
      <c r="U2695" s="48"/>
      <c r="V2695" s="48"/>
      <c r="W2695" s="48"/>
    </row>
    <row r="2696" spans="1:23" ht="15.6" hidden="1" customHeight="1" x14ac:dyDescent="0.2">
      <c r="B2696" s="48" t="s">
        <v>2148</v>
      </c>
      <c r="I2696" s="2043">
        <v>0</v>
      </c>
      <c r="J2696" s="58"/>
      <c r="K2696" s="2043">
        <v>0</v>
      </c>
      <c r="L2696" s="59"/>
      <c r="N2696" s="1147"/>
      <c r="O2696" s="1146"/>
      <c r="P2696" s="48"/>
      <c r="Q2696" s="48"/>
      <c r="R2696" s="48"/>
      <c r="S2696" s="48"/>
      <c r="T2696" s="48"/>
      <c r="U2696" s="48"/>
      <c r="V2696" s="48"/>
      <c r="W2696" s="48"/>
    </row>
    <row r="2697" spans="1:23" ht="15.6" hidden="1" customHeight="1" x14ac:dyDescent="0.2">
      <c r="B2697" s="48" t="s">
        <v>2147</v>
      </c>
      <c r="I2697" s="2043">
        <v>0</v>
      </c>
      <c r="J2697" s="58"/>
      <c r="K2697" s="2043">
        <v>0</v>
      </c>
      <c r="L2697" s="59"/>
      <c r="N2697" s="1147"/>
      <c r="O2697" s="1146"/>
      <c r="P2697" s="48"/>
      <c r="Q2697" s="48"/>
      <c r="R2697" s="48"/>
      <c r="S2697" s="48"/>
      <c r="T2697" s="48"/>
      <c r="U2697" s="48"/>
      <c r="V2697" s="48"/>
      <c r="W2697" s="48"/>
    </row>
    <row r="2698" spans="1:23" ht="15.6" hidden="1" customHeight="1" x14ac:dyDescent="0.2">
      <c r="I2698" s="58"/>
      <c r="J2698" s="58"/>
      <c r="K2698" s="58"/>
      <c r="L2698" s="59"/>
      <c r="N2698" s="1471"/>
      <c r="O2698" s="1133"/>
      <c r="P2698" s="48"/>
      <c r="Q2698" s="48"/>
      <c r="R2698" s="48"/>
      <c r="S2698" s="48"/>
      <c r="T2698" s="48"/>
      <c r="U2698" s="48"/>
      <c r="V2698" s="48"/>
      <c r="W2698" s="48"/>
    </row>
    <row r="2699" spans="1:23" ht="15.6" hidden="1" customHeight="1" thickBot="1" x14ac:dyDescent="0.3">
      <c r="B2699" s="50" t="s">
        <v>234</v>
      </c>
      <c r="C2699" s="50"/>
      <c r="I2699" s="204">
        <f>SUM(I2690:I2698)</f>
        <v>0</v>
      </c>
      <c r="J2699" s="58"/>
      <c r="K2699" s="204">
        <f>SUM(K2690:K2698)</f>
        <v>0</v>
      </c>
      <c r="L2699" s="59"/>
      <c r="N2699" s="1147"/>
      <c r="O2699" s="1146"/>
      <c r="P2699" s="48"/>
      <c r="Q2699" s="48"/>
      <c r="R2699" s="48"/>
      <c r="S2699" s="48"/>
      <c r="T2699" s="48"/>
      <c r="U2699" s="48"/>
      <c r="V2699" s="48"/>
      <c r="W2699" s="48"/>
    </row>
    <row r="2700" spans="1:23" ht="15.6" hidden="1" customHeight="1" thickTop="1" x14ac:dyDescent="0.2">
      <c r="I2700" s="58"/>
      <c r="J2700" s="58"/>
      <c r="K2700" s="58"/>
      <c r="L2700" s="59"/>
      <c r="N2700" s="1147"/>
      <c r="O2700" s="1146"/>
      <c r="P2700" s="48"/>
      <c r="Q2700" s="48"/>
      <c r="R2700" s="48"/>
      <c r="S2700" s="48"/>
      <c r="T2700" s="48"/>
      <c r="U2700" s="48"/>
      <c r="V2700" s="48"/>
      <c r="W2700" s="48"/>
    </row>
    <row r="2701" spans="1:23" ht="15.6" customHeight="1" x14ac:dyDescent="0.2">
      <c r="I2701" s="58"/>
      <c r="J2701" s="58"/>
      <c r="K2701" s="58"/>
      <c r="L2701" s="59"/>
    </row>
    <row r="2702" spans="1:23" ht="15.6" customHeight="1" x14ac:dyDescent="0.25">
      <c r="A2702" s="211">
        <v>28</v>
      </c>
      <c r="B2702" s="50" t="s">
        <v>125</v>
      </c>
      <c r="C2702" s="50"/>
      <c r="W2702" s="1114" t="s">
        <v>3520</v>
      </c>
    </row>
    <row r="2703" spans="1:23" ht="15.6" customHeight="1" x14ac:dyDescent="0.2">
      <c r="I2703" s="58"/>
      <c r="J2703" s="58"/>
      <c r="K2703" s="58"/>
      <c r="L2703" s="59"/>
    </row>
    <row r="2704" spans="1:23" ht="15.6" customHeight="1" x14ac:dyDescent="0.2">
      <c r="B2704" s="48" t="s">
        <v>1761</v>
      </c>
      <c r="I2704" s="58">
        <v>408818</v>
      </c>
      <c r="J2704" s="58"/>
      <c r="K2704" s="58">
        <v>343369</v>
      </c>
      <c r="L2704" s="59"/>
      <c r="P2704" s="1110" t="s">
        <v>3434</v>
      </c>
      <c r="Q2704" s="1111" t="s">
        <v>2763</v>
      </c>
      <c r="R2704" s="1111" t="s">
        <v>3435</v>
      </c>
      <c r="S2704" s="1111" t="s">
        <v>2765</v>
      </c>
    </row>
    <row r="2705" spans="1:23" ht="15.6" hidden="1" customHeight="1" x14ac:dyDescent="0.2">
      <c r="A2705" s="655"/>
      <c r="B2705" s="655" t="s">
        <v>3743</v>
      </c>
      <c r="C2705" s="655"/>
      <c r="D2705" s="656"/>
      <c r="E2705" s="655"/>
      <c r="F2705" s="656"/>
      <c r="G2705" s="656"/>
      <c r="H2705" s="656"/>
      <c r="I2705" s="58">
        <v>0</v>
      </c>
      <c r="J2705" s="58"/>
      <c r="K2705" s="58">
        <v>0</v>
      </c>
      <c r="L2705" s="1415"/>
      <c r="P2705" s="1110" t="s">
        <v>3436</v>
      </c>
      <c r="Q2705" s="1111" t="s">
        <v>2763</v>
      </c>
      <c r="R2705" s="1111" t="s">
        <v>3437</v>
      </c>
      <c r="S2705" s="1111" t="s">
        <v>2765</v>
      </c>
    </row>
    <row r="2706" spans="1:23" ht="15.6" hidden="1" customHeight="1" x14ac:dyDescent="0.2">
      <c r="B2706" s="48" t="s">
        <v>1762</v>
      </c>
      <c r="I2706" s="58">
        <v>0</v>
      </c>
      <c r="J2706" s="58"/>
      <c r="K2706" s="58">
        <v>0</v>
      </c>
      <c r="L2706" s="59"/>
      <c r="P2706" s="1110" t="s">
        <v>3438</v>
      </c>
      <c r="Q2706" s="1111" t="s">
        <v>2763</v>
      </c>
      <c r="R2706" s="1111" t="s">
        <v>3439</v>
      </c>
      <c r="S2706" s="1111" t="s">
        <v>2765</v>
      </c>
    </row>
    <row r="2707" spans="1:23" ht="15.6" customHeight="1" x14ac:dyDescent="0.2">
      <c r="B2707" s="48" t="s">
        <v>6417</v>
      </c>
      <c r="I2707" s="58">
        <v>125025</v>
      </c>
      <c r="J2707" s="58"/>
      <c r="K2707" s="58">
        <v>105009</v>
      </c>
      <c r="L2707" s="59"/>
      <c r="P2707" s="1110" t="s">
        <v>3440</v>
      </c>
      <c r="Q2707" s="1111" t="s">
        <v>2763</v>
      </c>
      <c r="R2707" s="1111" t="s">
        <v>3441</v>
      </c>
      <c r="S2707" s="1111" t="s">
        <v>2765</v>
      </c>
    </row>
    <row r="2708" spans="1:23" ht="15.6" hidden="1" customHeight="1" x14ac:dyDescent="0.2">
      <c r="B2708" s="48" t="s">
        <v>1763</v>
      </c>
      <c r="I2708" s="58">
        <v>0</v>
      </c>
      <c r="J2708" s="58"/>
      <c r="K2708" s="58">
        <v>0</v>
      </c>
      <c r="L2708" s="59"/>
      <c r="P2708" s="1110" t="s">
        <v>3442</v>
      </c>
      <c r="Q2708" s="1111" t="s">
        <v>2763</v>
      </c>
      <c r="R2708" s="1111" t="s">
        <v>3443</v>
      </c>
      <c r="S2708" s="1111" t="s">
        <v>2765</v>
      </c>
    </row>
    <row r="2709" spans="1:23" ht="15.6" customHeight="1" x14ac:dyDescent="0.2">
      <c r="B2709" s="48" t="s">
        <v>126</v>
      </c>
      <c r="I2709" s="58">
        <f>1310639-78613.11-125025</f>
        <v>1107000.8899999999</v>
      </c>
      <c r="J2709" s="58"/>
      <c r="K2709" s="58">
        <v>929778</v>
      </c>
      <c r="L2709" s="59"/>
      <c r="P2709" s="1110" t="s">
        <v>3444</v>
      </c>
      <c r="Q2709" s="1111" t="s">
        <v>2763</v>
      </c>
      <c r="R2709" s="1111" t="s">
        <v>3445</v>
      </c>
      <c r="S2709" s="1111" t="s">
        <v>2765</v>
      </c>
    </row>
    <row r="2710" spans="1:23" ht="15.6" customHeight="1" x14ac:dyDescent="0.2">
      <c r="B2710" s="48" t="s">
        <v>187</v>
      </c>
      <c r="I2710" s="58">
        <f>SUM(I2711:I2715)</f>
        <v>215567.41999999998</v>
      </c>
      <c r="J2710" s="58"/>
      <c r="K2710" s="58">
        <f>SUM(K2711:K2715)</f>
        <v>156651</v>
      </c>
      <c r="L2710" s="59"/>
    </row>
    <row r="2711" spans="1:23" ht="15.6" hidden="1" customHeight="1" x14ac:dyDescent="0.2">
      <c r="B2711" s="61" t="s">
        <v>4035</v>
      </c>
      <c r="I2711" s="213">
        <v>0</v>
      </c>
      <c r="J2711" s="58"/>
      <c r="K2711" s="213">
        <v>0</v>
      </c>
      <c r="L2711" s="59"/>
      <c r="P2711" s="1110" t="s">
        <v>3446</v>
      </c>
      <c r="Q2711" s="1111" t="s">
        <v>2763</v>
      </c>
      <c r="R2711" s="1111" t="s">
        <v>3447</v>
      </c>
      <c r="S2711" s="1111" t="s">
        <v>2765</v>
      </c>
    </row>
    <row r="2712" spans="1:23" ht="15.6" customHeight="1" x14ac:dyDescent="0.2">
      <c r="B2712" s="61" t="s">
        <v>4036</v>
      </c>
      <c r="I2712" s="213">
        <v>51995</v>
      </c>
      <c r="J2712" s="58"/>
      <c r="K2712" s="213">
        <v>17653</v>
      </c>
      <c r="L2712" s="59"/>
      <c r="P2712" s="1110" t="s">
        <v>3448</v>
      </c>
      <c r="Q2712" s="1111" t="s">
        <v>2763</v>
      </c>
      <c r="R2712" s="1111" t="s">
        <v>3449</v>
      </c>
      <c r="S2712" s="1111" t="s">
        <v>2765</v>
      </c>
    </row>
    <row r="2713" spans="1:23" ht="15.6" customHeight="1" x14ac:dyDescent="0.2">
      <c r="B2713" s="61" t="s">
        <v>4037</v>
      </c>
      <c r="I2713" s="214">
        <v>130132</v>
      </c>
      <c r="J2713" s="58"/>
      <c r="K2713" s="214">
        <v>109299</v>
      </c>
      <c r="L2713" s="59"/>
      <c r="P2713" s="1110" t="s">
        <v>3450</v>
      </c>
      <c r="Q2713" s="1111" t="s">
        <v>2763</v>
      </c>
      <c r="R2713" s="1111" t="s">
        <v>3451</v>
      </c>
      <c r="S2713" s="1111" t="s">
        <v>2765</v>
      </c>
    </row>
    <row r="2714" spans="1:23" ht="15.6" customHeight="1" x14ac:dyDescent="0.2">
      <c r="B2714" s="61" t="s">
        <v>4027</v>
      </c>
      <c r="I2714" s="214">
        <v>10981</v>
      </c>
      <c r="J2714" s="58"/>
      <c r="K2714" s="214">
        <v>9223</v>
      </c>
      <c r="L2714" s="59"/>
      <c r="P2714" s="1110" t="s">
        <v>3452</v>
      </c>
      <c r="Q2714" s="1111" t="s">
        <v>2763</v>
      </c>
      <c r="R2714" s="1111" t="s">
        <v>3453</v>
      </c>
      <c r="S2714" s="1111" t="s">
        <v>2765</v>
      </c>
    </row>
    <row r="2715" spans="1:23" ht="15.6" customHeight="1" x14ac:dyDescent="0.2">
      <c r="B2715" s="61" t="s">
        <v>4026</v>
      </c>
      <c r="I2715" s="215">
        <v>22459.42</v>
      </c>
      <c r="J2715" s="58"/>
      <c r="K2715" s="215">
        <v>20476</v>
      </c>
      <c r="L2715" s="59"/>
      <c r="P2715" s="1110" t="s">
        <v>3454</v>
      </c>
      <c r="Q2715" s="1111" t="s">
        <v>2763</v>
      </c>
      <c r="R2715" s="1111" t="s">
        <v>3455</v>
      </c>
      <c r="S2715" s="1111" t="s">
        <v>2765</v>
      </c>
    </row>
    <row r="2716" spans="1:23" ht="15.6" customHeight="1" x14ac:dyDescent="0.2">
      <c r="B2716" s="48" t="s">
        <v>1770</v>
      </c>
      <c r="I2716" s="58">
        <f>SUM(I2717:I2719)</f>
        <v>743318</v>
      </c>
      <c r="J2716" s="58"/>
      <c r="K2716" s="58">
        <f>SUM(K2717:K2719)</f>
        <v>674319</v>
      </c>
      <c r="L2716" s="59"/>
    </row>
    <row r="2717" spans="1:23" ht="15.6" customHeight="1" x14ac:dyDescent="0.2">
      <c r="B2717" s="61" t="s">
        <v>4038</v>
      </c>
      <c r="I2717" s="213">
        <v>47746</v>
      </c>
      <c r="J2717" s="58"/>
      <c r="K2717" s="213">
        <v>0</v>
      </c>
      <c r="L2717" s="59"/>
      <c r="P2717" s="1110" t="s">
        <v>3456</v>
      </c>
      <c r="Q2717" s="1111" t="s">
        <v>2763</v>
      </c>
      <c r="R2717" s="1111" t="s">
        <v>3457</v>
      </c>
      <c r="S2717" s="1111" t="s">
        <v>2765</v>
      </c>
      <c r="T2717" s="48"/>
      <c r="U2717" s="48"/>
      <c r="V2717" s="48"/>
      <c r="W2717" s="48"/>
    </row>
    <row r="2718" spans="1:23" ht="15.6" customHeight="1" x14ac:dyDescent="0.2">
      <c r="B2718" s="61" t="s">
        <v>4039</v>
      </c>
      <c r="I2718" s="214">
        <v>136320</v>
      </c>
      <c r="J2718" s="58"/>
      <c r="K2718" s="214">
        <v>117107</v>
      </c>
      <c r="L2718" s="59"/>
      <c r="P2718" s="1110" t="s">
        <v>3458</v>
      </c>
      <c r="Q2718" s="1111" t="s">
        <v>2763</v>
      </c>
      <c r="R2718" s="1111" t="s">
        <v>3459</v>
      </c>
      <c r="S2718" s="1111" t="s">
        <v>2765</v>
      </c>
      <c r="T2718" s="48"/>
      <c r="U2718" s="48"/>
      <c r="V2718" s="48"/>
      <c r="W2718" s="48"/>
    </row>
    <row r="2719" spans="1:23" ht="15.6" customHeight="1" x14ac:dyDescent="0.2">
      <c r="B2719" s="61" t="s">
        <v>4040</v>
      </c>
      <c r="I2719" s="215">
        <v>559252</v>
      </c>
      <c r="J2719" s="58"/>
      <c r="K2719" s="215">
        <v>557212</v>
      </c>
      <c r="L2719" s="59"/>
      <c r="P2719" s="1110" t="s">
        <v>3460</v>
      </c>
      <c r="Q2719" s="1111" t="s">
        <v>2763</v>
      </c>
      <c r="R2719" s="1111" t="s">
        <v>3461</v>
      </c>
      <c r="S2719" s="1111" t="s">
        <v>2765</v>
      </c>
      <c r="T2719" s="48"/>
      <c r="U2719" s="48"/>
      <c r="V2719" s="48"/>
      <c r="W2719" s="48"/>
    </row>
    <row r="2720" spans="1:23" ht="15.6" customHeight="1" x14ac:dyDescent="0.2">
      <c r="I2720" s="58"/>
      <c r="J2720" s="58"/>
      <c r="K2720" s="58"/>
      <c r="L2720" s="59"/>
      <c r="T2720" s="48"/>
      <c r="U2720" s="48"/>
      <c r="V2720" s="48"/>
      <c r="W2720" s="48"/>
    </row>
    <row r="2721" spans="1:23" ht="15.6" customHeight="1" thickBot="1" x14ac:dyDescent="0.3">
      <c r="B2721" s="50" t="s">
        <v>628</v>
      </c>
      <c r="C2721" s="50"/>
      <c r="I2721" s="204">
        <f>SUM(I2704:I2710,I2716)</f>
        <v>2599729.3099999996</v>
      </c>
      <c r="J2721" s="58"/>
      <c r="K2721" s="204">
        <f>SUM(K2704:K2710,K2716)</f>
        <v>2209126</v>
      </c>
      <c r="L2721" s="59"/>
      <c r="T2721" s="48"/>
      <c r="U2721" s="48"/>
      <c r="V2721" s="48"/>
      <c r="W2721" s="48"/>
    </row>
    <row r="2722" spans="1:23" ht="15.6" customHeight="1" thickTop="1" x14ac:dyDescent="0.2">
      <c r="I2722" s="2107">
        <f>I2721-'Fin Perform'!I34</f>
        <v>0</v>
      </c>
      <c r="J2722" s="58"/>
      <c r="K2722" s="2107">
        <f>K2721-'Fin Perform'!K34</f>
        <v>0</v>
      </c>
      <c r="L2722" s="59"/>
      <c r="T2722" s="48"/>
      <c r="U2722" s="48"/>
      <c r="V2722" s="48"/>
      <c r="W2722" s="48"/>
    </row>
    <row r="2723" spans="1:23" ht="15.6" customHeight="1" x14ac:dyDescent="0.25">
      <c r="B2723" s="229" t="s">
        <v>629</v>
      </c>
      <c r="C2723" s="50"/>
      <c r="I2723" s="58"/>
      <c r="J2723" s="58"/>
      <c r="K2723" s="58"/>
      <c r="L2723" s="59"/>
      <c r="T2723" s="48"/>
      <c r="U2723" s="48"/>
      <c r="V2723" s="48"/>
      <c r="W2723" s="48"/>
    </row>
    <row r="2724" spans="1:23" ht="44.25" customHeight="1" x14ac:dyDescent="0.2">
      <c r="B2724" s="2839" t="s">
        <v>6474</v>
      </c>
      <c r="C2724" s="2839"/>
      <c r="D2724" s="2839"/>
      <c r="E2724" s="2839"/>
      <c r="F2724" s="2839"/>
      <c r="G2724" s="2839"/>
      <c r="H2724" s="56"/>
      <c r="I2724" s="56"/>
      <c r="J2724" s="56"/>
      <c r="K2724" s="56"/>
      <c r="L2724" s="59"/>
      <c r="M2724" s="1133"/>
      <c r="N2724" s="1147"/>
      <c r="O2724" s="1146"/>
      <c r="P2724" s="1115"/>
      <c r="T2724" s="48"/>
      <c r="U2724" s="48"/>
      <c r="V2724" s="48"/>
      <c r="W2724" s="48"/>
    </row>
    <row r="2725" spans="1:23" ht="15.6" customHeight="1" x14ac:dyDescent="0.2">
      <c r="M2725" s="1133"/>
      <c r="N2725" s="1147"/>
      <c r="O2725" s="1146"/>
      <c r="P2725" s="1115"/>
      <c r="T2725" s="48"/>
      <c r="U2725" s="48"/>
      <c r="V2725" s="48"/>
      <c r="W2725" s="48"/>
    </row>
    <row r="2726" spans="1:23" ht="15.6" hidden="1" customHeight="1" x14ac:dyDescent="0.2">
      <c r="B2726" s="2840" t="s">
        <v>1066</v>
      </c>
      <c r="C2726" s="2840"/>
      <c r="D2726" s="2840"/>
      <c r="E2726" s="2840"/>
      <c r="F2726" s="2840"/>
      <c r="G2726" s="2840"/>
      <c r="H2726" s="56"/>
      <c r="I2726" s="56"/>
      <c r="J2726" s="56"/>
      <c r="K2726" s="56"/>
      <c r="L2726" s="59"/>
      <c r="T2726" s="48"/>
      <c r="U2726" s="48"/>
      <c r="V2726" s="48"/>
      <c r="W2726" s="48"/>
    </row>
    <row r="2727" spans="1:23" ht="15.6" hidden="1" customHeight="1" x14ac:dyDescent="0.2">
      <c r="I2727" s="58"/>
      <c r="J2727" s="58"/>
      <c r="K2727" s="58"/>
      <c r="L2727" s="59"/>
      <c r="T2727" s="48"/>
      <c r="U2727" s="48"/>
      <c r="V2727" s="48"/>
      <c r="W2727" s="48"/>
    </row>
    <row r="2728" spans="1:23" ht="15.6" customHeight="1" x14ac:dyDescent="0.2">
      <c r="B2728" s="2839" t="s">
        <v>6475</v>
      </c>
      <c r="C2728" s="2839"/>
      <c r="D2728" s="2839"/>
      <c r="E2728" s="2839"/>
      <c r="F2728" s="2839"/>
      <c r="G2728" s="2839"/>
      <c r="H2728" s="56"/>
      <c r="I2728" s="56"/>
      <c r="J2728" s="56"/>
      <c r="K2728" s="56"/>
      <c r="M2728" s="1133"/>
      <c r="N2728" s="1147"/>
      <c r="O2728" s="1146"/>
      <c r="P2728" s="1115"/>
      <c r="T2728" s="48"/>
      <c r="U2728" s="48"/>
      <c r="V2728" s="48"/>
      <c r="W2728" s="48"/>
    </row>
    <row r="2729" spans="1:23" ht="15.6" customHeight="1" x14ac:dyDescent="0.2">
      <c r="I2729" s="58"/>
      <c r="J2729" s="58"/>
      <c r="K2729" s="58"/>
      <c r="L2729" s="59"/>
      <c r="M2729" s="1133"/>
      <c r="N2729" s="1147"/>
      <c r="O2729" s="1146"/>
      <c r="P2729" s="1115"/>
      <c r="T2729" s="48"/>
      <c r="U2729" s="48"/>
      <c r="V2729" s="48"/>
      <c r="W2729" s="48"/>
    </row>
    <row r="2730" spans="1:23" ht="15.6" hidden="1" customHeight="1" x14ac:dyDescent="0.2">
      <c r="B2730" s="2839" t="s">
        <v>1771</v>
      </c>
      <c r="C2730" s="2839"/>
      <c r="D2730" s="2839"/>
      <c r="E2730" s="2839"/>
      <c r="F2730" s="2839"/>
      <c r="G2730" s="2839"/>
      <c r="H2730" s="56"/>
      <c r="I2730" s="56"/>
      <c r="J2730" s="56"/>
      <c r="K2730" s="56"/>
      <c r="T2730" s="48"/>
      <c r="U2730" s="48"/>
      <c r="V2730" s="48"/>
      <c r="W2730" s="48"/>
    </row>
    <row r="2731" spans="1:23" ht="15.6" hidden="1" customHeight="1" x14ac:dyDescent="0.2">
      <c r="T2731" s="48"/>
      <c r="U2731" s="48"/>
      <c r="V2731" s="48"/>
      <c r="W2731" s="48"/>
    </row>
    <row r="2732" spans="1:23" ht="15.6" hidden="1" customHeight="1" x14ac:dyDescent="0.25">
      <c r="I2732" s="200"/>
      <c r="J2732" s="200"/>
      <c r="K2732" s="200"/>
      <c r="L2732" s="269"/>
      <c r="M2732" s="1133"/>
      <c r="N2732" s="1147"/>
      <c r="O2732" s="1146"/>
      <c r="P2732" s="1115"/>
      <c r="T2732" s="48"/>
      <c r="U2732" s="48"/>
      <c r="V2732" s="48"/>
      <c r="W2732" s="48"/>
    </row>
    <row r="2733" spans="1:23" ht="15.6" customHeight="1" x14ac:dyDescent="0.25">
      <c r="A2733" s="211">
        <v>29</v>
      </c>
      <c r="B2733" s="50" t="s">
        <v>1067</v>
      </c>
      <c r="C2733" s="50"/>
      <c r="L2733" s="201"/>
      <c r="M2733" s="1133"/>
      <c r="N2733" s="1147"/>
      <c r="O2733" s="1146"/>
      <c r="P2733" s="1115"/>
      <c r="W2733" s="1114" t="s">
        <v>3520</v>
      </c>
    </row>
    <row r="2734" spans="1:23" ht="15.6" customHeight="1" x14ac:dyDescent="0.25">
      <c r="A2734" s="211"/>
      <c r="B2734" s="50"/>
      <c r="C2734" s="50"/>
      <c r="L2734" s="201"/>
      <c r="M2734" s="1133"/>
      <c r="N2734" s="1147"/>
      <c r="O2734" s="1146"/>
      <c r="P2734" s="1115"/>
    </row>
    <row r="2735" spans="1:23" ht="15.6" customHeight="1" x14ac:dyDescent="0.2">
      <c r="B2735" s="48" t="s">
        <v>1068</v>
      </c>
      <c r="I2735" s="58">
        <f>-'PPE Note'!K34</f>
        <v>21215435.489999998</v>
      </c>
      <c r="K2735" s="58">
        <f>-'PPE Note'!K105</f>
        <v>21078163.109999999</v>
      </c>
      <c r="L2735" s="268"/>
      <c r="M2735" s="1216" t="s">
        <v>2446</v>
      </c>
      <c r="N2735" s="1147"/>
      <c r="O2735" s="1134"/>
      <c r="P2735" s="1146"/>
      <c r="Q2735" s="1134"/>
      <c r="R2735" s="1133"/>
      <c r="S2735" s="1133"/>
      <c r="T2735" s="48"/>
      <c r="U2735" s="48"/>
      <c r="V2735" s="48"/>
      <c r="W2735" s="48"/>
    </row>
    <row r="2736" spans="1:23" ht="15.6" hidden="1" customHeight="1" x14ac:dyDescent="0.2">
      <c r="B2736" s="48" t="s">
        <v>1069</v>
      </c>
      <c r="I2736" s="2060">
        <f>-K178</f>
        <v>0</v>
      </c>
      <c r="K2736" s="2060">
        <v>0</v>
      </c>
      <c r="L2736" s="201"/>
      <c r="M2736" s="1216" t="s">
        <v>1070</v>
      </c>
      <c r="N2736" s="1147"/>
      <c r="O2736" s="1134"/>
      <c r="P2736" s="1146"/>
      <c r="Q2736" s="1134"/>
      <c r="R2736" s="1133"/>
      <c r="S2736" s="1133"/>
      <c r="T2736" s="48"/>
      <c r="U2736" s="48"/>
      <c r="V2736" s="48"/>
      <c r="W2736" s="48"/>
    </row>
    <row r="2737" spans="2:23" ht="15.6" hidden="1" customHeight="1" x14ac:dyDescent="0.2">
      <c r="B2737" s="48" t="s">
        <v>4389</v>
      </c>
      <c r="I2737" s="2043">
        <f>-I362</f>
        <v>0</v>
      </c>
      <c r="K2737" s="2043">
        <v>0</v>
      </c>
      <c r="L2737" s="268"/>
      <c r="M2737" s="1133"/>
      <c r="N2737" s="1147"/>
      <c r="O2737" s="1134"/>
      <c r="P2737" s="1146"/>
      <c r="Q2737" s="1134"/>
      <c r="R2737" s="1133"/>
      <c r="S2737" s="1133"/>
      <c r="T2737" s="48"/>
      <c r="U2737" s="48"/>
      <c r="V2737" s="48"/>
      <c r="W2737" s="48"/>
    </row>
    <row r="2738" spans="2:23" ht="15.6" customHeight="1" x14ac:dyDescent="0.2">
      <c r="I2738" s="287"/>
      <c r="K2738" s="287"/>
      <c r="L2738" s="201"/>
      <c r="M2738" s="1133"/>
      <c r="N2738" s="1147"/>
      <c r="O2738" s="1146"/>
      <c r="P2738" s="1115"/>
    </row>
    <row r="2739" spans="2:23" ht="15.6" customHeight="1" thickBot="1" x14ac:dyDescent="0.3">
      <c r="B2739" s="50" t="s">
        <v>1071</v>
      </c>
      <c r="C2739" s="50"/>
      <c r="I2739" s="202">
        <f>SUM(I2735:I2738)</f>
        <v>21215435.489999998</v>
      </c>
      <c r="K2739" s="202">
        <f>SUM(K2735:K2738)</f>
        <v>21078163.109999999</v>
      </c>
      <c r="L2739" s="201"/>
      <c r="M2739" s="1213" t="s">
        <v>1990</v>
      </c>
      <c r="N2739" s="1147"/>
      <c r="O2739" s="1146"/>
      <c r="P2739" s="1115"/>
    </row>
    <row r="2740" spans="2:23" ht="15.6" customHeight="1" thickTop="1" x14ac:dyDescent="0.2">
      <c r="I2740" s="265">
        <f>I2739-'Fin Perform'!I36</f>
        <v>0</v>
      </c>
      <c r="K2740" s="265">
        <f>K2739-'Fin Perform'!K36</f>
        <v>0</v>
      </c>
      <c r="L2740" s="201"/>
      <c r="M2740" s="1133"/>
      <c r="N2740" s="1147"/>
      <c r="O2740" s="1146"/>
      <c r="P2740" s="1115"/>
    </row>
    <row r="2741" spans="2:23" ht="15" hidden="1" customHeight="1" x14ac:dyDescent="0.25">
      <c r="B2741" s="50" t="s">
        <v>4388</v>
      </c>
      <c r="M2741" s="1133"/>
      <c r="N2741" s="1147"/>
    </row>
    <row r="2742" spans="2:23" ht="15.6" hidden="1" customHeight="1" x14ac:dyDescent="0.2">
      <c r="B2742" s="48" t="s">
        <v>1069</v>
      </c>
      <c r="I2742" s="2060">
        <v>0</v>
      </c>
      <c r="K2742" s="2060">
        <v>0</v>
      </c>
      <c r="M2742" s="1133"/>
      <c r="N2742" s="1147"/>
      <c r="P2742" s="1115" t="s">
        <v>3464</v>
      </c>
      <c r="Q2742" s="1111" t="s">
        <v>2763</v>
      </c>
      <c r="R2742" s="1115" t="s">
        <v>3465</v>
      </c>
      <c r="S2742" s="1111" t="s">
        <v>2765</v>
      </c>
    </row>
    <row r="2743" spans="2:23" ht="15.6" hidden="1" customHeight="1" x14ac:dyDescent="0.2">
      <c r="B2743" s="48" t="s">
        <v>1068</v>
      </c>
      <c r="I2743" s="2060">
        <f>I2735</f>
        <v>21215435.489999998</v>
      </c>
      <c r="K2743" s="2060">
        <f>K2735</f>
        <v>21078163.109999999</v>
      </c>
      <c r="M2743" s="1133"/>
      <c r="N2743" s="1147"/>
      <c r="P2743" s="1115" t="s">
        <v>3462</v>
      </c>
      <c r="Q2743" s="1111" t="s">
        <v>2763</v>
      </c>
      <c r="R2743" s="1115" t="s">
        <v>3463</v>
      </c>
      <c r="S2743" s="1111" t="s">
        <v>2765</v>
      </c>
    </row>
    <row r="2744" spans="2:23" ht="15.6" hidden="1" customHeight="1" x14ac:dyDescent="0.2">
      <c r="J2744" s="58"/>
      <c r="M2744" s="1133"/>
      <c r="N2744" s="1147"/>
    </row>
    <row r="2745" spans="2:23" ht="15.6" hidden="1" customHeight="1" thickBot="1" x14ac:dyDescent="0.3">
      <c r="B2745" s="48" t="s">
        <v>1071</v>
      </c>
      <c r="I2745" s="202">
        <f>SUM(I2741:I2744)</f>
        <v>21215435.489999998</v>
      </c>
      <c r="K2745" s="202">
        <f>SUM(K2741:K2744)</f>
        <v>21078163.109999999</v>
      </c>
      <c r="M2745" s="1133"/>
      <c r="N2745" s="1147"/>
    </row>
    <row r="2746" spans="2:23" ht="15.6" hidden="1" customHeight="1" thickTop="1" x14ac:dyDescent="0.2">
      <c r="I2746" s="265">
        <f>I2745-I2739</f>
        <v>0</v>
      </c>
      <c r="J2746" s="58"/>
      <c r="K2746" s="265">
        <f>K2745-K2739</f>
        <v>0</v>
      </c>
      <c r="M2746" s="1133"/>
      <c r="N2746" s="1147"/>
    </row>
    <row r="2747" spans="2:23" ht="15.6" hidden="1" customHeight="1" x14ac:dyDescent="0.25">
      <c r="B2747" s="48" t="s">
        <v>1028</v>
      </c>
      <c r="I2747" s="206"/>
      <c r="J2747" s="206"/>
      <c r="K2747" s="206"/>
      <c r="L2747" s="269"/>
      <c r="M2747" s="1133"/>
      <c r="N2747" s="1147"/>
      <c r="O2747" s="1146"/>
      <c r="P2747" s="1115"/>
    </row>
    <row r="2748" spans="2:23" ht="15.6" hidden="1" customHeight="1" x14ac:dyDescent="0.25">
      <c r="B2748" s="48" t="s">
        <v>1029</v>
      </c>
      <c r="I2748" s="2078">
        <f>I2739-I2749</f>
        <v>21215435.489999998</v>
      </c>
      <c r="J2748" s="2078"/>
      <c r="K2748" s="2078">
        <f>K2739-K2749</f>
        <v>21078163.109999999</v>
      </c>
      <c r="L2748" s="269"/>
      <c r="M2748" s="1133"/>
      <c r="N2748" s="1147"/>
      <c r="O2748" s="1146"/>
      <c r="P2748" s="1115"/>
    </row>
    <row r="2749" spans="2:23" ht="15.6" hidden="1" customHeight="1" x14ac:dyDescent="0.25">
      <c r="B2749" s="48" t="s">
        <v>1030</v>
      </c>
      <c r="I2749" s="2078">
        <v>0</v>
      </c>
      <c r="J2749" s="2078"/>
      <c r="K2749" s="2078">
        <v>0</v>
      </c>
      <c r="L2749" s="269"/>
      <c r="M2749" s="1133"/>
      <c r="N2749" s="1147"/>
      <c r="O2749" s="1146"/>
      <c r="P2749" s="1115"/>
    </row>
    <row r="2750" spans="2:23" ht="15.6" hidden="1" customHeight="1" x14ac:dyDescent="0.25">
      <c r="I2750" s="58"/>
      <c r="J2750" s="58"/>
      <c r="K2750" s="58"/>
      <c r="L2750" s="269"/>
      <c r="M2750" s="1133"/>
      <c r="N2750" s="1147"/>
      <c r="O2750" s="1146"/>
      <c r="P2750" s="1115"/>
    </row>
    <row r="2751" spans="2:23" ht="15.6" hidden="1" customHeight="1" thickBot="1" x14ac:dyDescent="0.3">
      <c r="I2751" s="202">
        <f>SUM(I2748:I2750)</f>
        <v>21215435.489999998</v>
      </c>
      <c r="K2751" s="202">
        <f>SUM(K2748:K2750)</f>
        <v>21078163.109999999</v>
      </c>
      <c r="L2751" s="269"/>
      <c r="M2751" s="1133"/>
      <c r="N2751" s="1147"/>
      <c r="O2751" s="1146"/>
      <c r="P2751" s="1115"/>
    </row>
    <row r="2752" spans="2:23" ht="15.6" hidden="1" customHeight="1" thickTop="1" x14ac:dyDescent="0.25">
      <c r="I2752" s="265">
        <f>I2751-I2739</f>
        <v>0</v>
      </c>
      <c r="J2752" s="58"/>
      <c r="K2752" s="265">
        <f>K2751-K2739</f>
        <v>0</v>
      </c>
      <c r="L2752" s="269"/>
      <c r="M2752" s="1133"/>
      <c r="N2752" s="1147"/>
      <c r="O2752" s="1146"/>
      <c r="P2752" s="1115"/>
    </row>
    <row r="2753" spans="1:23" ht="46.5" hidden="1" customHeight="1" x14ac:dyDescent="0.2">
      <c r="B2753" s="2865" t="s">
        <v>7408</v>
      </c>
      <c r="C2753" s="2865"/>
      <c r="D2753" s="2865"/>
      <c r="E2753" s="2865"/>
      <c r="F2753" s="2865"/>
      <c r="G2753" s="2865"/>
      <c r="H2753" s="56"/>
      <c r="I2753" s="56"/>
      <c r="J2753" s="56"/>
      <c r="K2753" s="56"/>
      <c r="L2753" s="59"/>
      <c r="M2753" s="1133"/>
      <c r="N2753" s="1147"/>
      <c r="O2753" s="1146"/>
    </row>
    <row r="2754" spans="1:23" ht="15.6" hidden="1" customHeight="1" x14ac:dyDescent="0.2">
      <c r="I2754" s="58"/>
      <c r="J2754" s="58"/>
      <c r="K2754" s="58"/>
      <c r="L2754" s="59"/>
      <c r="N2754" s="1471"/>
      <c r="O2754" s="1134"/>
      <c r="P2754" s="1115"/>
    </row>
    <row r="2755" spans="1:23" ht="15.6" hidden="1" customHeight="1" x14ac:dyDescent="0.25">
      <c r="I2755" s="200"/>
      <c r="J2755" s="200"/>
      <c r="K2755" s="200"/>
      <c r="L2755" s="269"/>
      <c r="M2755" s="1133"/>
      <c r="N2755" s="1147"/>
      <c r="O2755" s="1146"/>
      <c r="P2755" s="1115"/>
    </row>
    <row r="2756" spans="1:23" ht="15.6" customHeight="1" x14ac:dyDescent="0.25">
      <c r="A2756" s="211">
        <v>30</v>
      </c>
      <c r="B2756" s="50" t="s">
        <v>1072</v>
      </c>
      <c r="C2756" s="50"/>
      <c r="L2756" s="201"/>
      <c r="M2756" s="1133"/>
      <c r="N2756" s="1147"/>
      <c r="O2756" s="1146"/>
      <c r="P2756" s="1117"/>
      <c r="W2756" s="1114" t="s">
        <v>3520</v>
      </c>
    </row>
    <row r="2757" spans="1:23" ht="15.6" customHeight="1" x14ac:dyDescent="0.2">
      <c r="A2757" s="60"/>
      <c r="I2757" s="208"/>
      <c r="J2757" s="208"/>
      <c r="K2757" s="208"/>
      <c r="M2757" s="1133"/>
      <c r="N2757" s="1133"/>
      <c r="O2757" s="1146"/>
    </row>
    <row r="2758" spans="1:23" ht="15.6" customHeight="1" x14ac:dyDescent="0.25">
      <c r="B2758" s="229" t="s">
        <v>7579</v>
      </c>
      <c r="C2758" s="50"/>
      <c r="I2758" s="58"/>
      <c r="K2758" s="58"/>
      <c r="M2758" s="1256" t="s">
        <v>2357</v>
      </c>
      <c r="N2758" s="1147"/>
      <c r="O2758" s="1146"/>
      <c r="P2758" s="1115"/>
      <c r="W2758" s="1114" t="s">
        <v>3857</v>
      </c>
    </row>
    <row r="2759" spans="1:23" ht="15.6" customHeight="1" x14ac:dyDescent="0.2">
      <c r="A2759" s="245"/>
      <c r="L2759" s="201"/>
      <c r="M2759" s="1133"/>
      <c r="N2759" s="1147"/>
      <c r="O2759" s="1146"/>
      <c r="P2759" s="1115"/>
    </row>
    <row r="2760" spans="1:23" ht="15.6" customHeight="1" x14ac:dyDescent="0.25">
      <c r="A2760" s="211"/>
      <c r="B2760" s="50" t="s">
        <v>1073</v>
      </c>
      <c r="C2760" s="50"/>
      <c r="I2760" s="246">
        <f>SUM(I2761:I2763)</f>
        <v>153994.59</v>
      </c>
      <c r="K2760" s="246">
        <f>SUM(K2761:K2763)</f>
        <v>0</v>
      </c>
      <c r="L2760" s="201"/>
      <c r="M2760" s="1133"/>
      <c r="N2760" s="1147"/>
      <c r="O2760" s="1146"/>
      <c r="P2760" s="1115"/>
    </row>
    <row r="2761" spans="1:23" ht="15.6" customHeight="1" x14ac:dyDescent="0.2">
      <c r="B2761" s="48" t="s">
        <v>398</v>
      </c>
      <c r="I2761" s="2274">
        <f>-'PPE Note'!K55</f>
        <v>153994.59</v>
      </c>
      <c r="J2761" s="58"/>
      <c r="K2761" s="2274">
        <f>-'PPE Note'!K126</f>
        <v>0</v>
      </c>
      <c r="L2761" s="268"/>
      <c r="M2761" s="1133"/>
      <c r="N2761" s="1147"/>
      <c r="O2761" s="1146"/>
      <c r="P2761" s="1115"/>
    </row>
    <row r="2762" spans="1:23" ht="15.6" hidden="1" customHeight="1" x14ac:dyDescent="0.2">
      <c r="B2762" s="48" t="s">
        <v>733</v>
      </c>
      <c r="I2762" s="2053">
        <f>-K181</f>
        <v>0</v>
      </c>
      <c r="K2762" s="2053">
        <f>-K221</f>
        <v>0</v>
      </c>
      <c r="L2762" s="201"/>
      <c r="M2762" s="1133"/>
      <c r="N2762" s="1147"/>
      <c r="O2762" s="1146"/>
      <c r="P2762" s="1115"/>
    </row>
    <row r="2763" spans="1:23" ht="15.6" hidden="1" customHeight="1" x14ac:dyDescent="0.2">
      <c r="B2763" s="48" t="s">
        <v>441</v>
      </c>
      <c r="I2763" s="2044">
        <f>-I363</f>
        <v>0</v>
      </c>
      <c r="J2763" s="58"/>
      <c r="K2763" s="2044">
        <f>-K363</f>
        <v>0</v>
      </c>
      <c r="L2763" s="268"/>
      <c r="M2763" s="1133"/>
      <c r="N2763" s="1147"/>
      <c r="O2763" s="1146"/>
      <c r="P2763" s="1115"/>
    </row>
    <row r="2764" spans="1:23" ht="15.6" hidden="1" customHeight="1" x14ac:dyDescent="0.2">
      <c r="I2764" s="203"/>
      <c r="J2764" s="58"/>
      <c r="K2764" s="203"/>
      <c r="L2764" s="268"/>
      <c r="M2764" s="1133"/>
      <c r="N2764" s="1147"/>
      <c r="O2764" s="1146"/>
      <c r="P2764" s="1115"/>
    </row>
    <row r="2765" spans="1:23" ht="15.6" hidden="1" customHeight="1" x14ac:dyDescent="0.25">
      <c r="A2765" s="211"/>
      <c r="B2765" s="50" t="s">
        <v>1074</v>
      </c>
      <c r="C2765" s="50"/>
      <c r="I2765" s="246">
        <f>SUM(I2766:I2768)</f>
        <v>0</v>
      </c>
      <c r="K2765" s="246">
        <f>SUM(K2766:K2768)</f>
        <v>0</v>
      </c>
      <c r="L2765" s="201"/>
      <c r="M2765" s="1133"/>
      <c r="N2765" s="1147"/>
      <c r="O2765" s="1146"/>
      <c r="P2765" s="1115"/>
    </row>
    <row r="2766" spans="1:23" ht="15.6" hidden="1" customHeight="1" x14ac:dyDescent="0.2">
      <c r="B2766" s="48" t="s">
        <v>398</v>
      </c>
      <c r="I2766" s="2079">
        <f>-'PPE Note'!K33</f>
        <v>0</v>
      </c>
      <c r="J2766" s="58"/>
      <c r="K2766" s="2079">
        <f>-'PPE Note'!K104</f>
        <v>0</v>
      </c>
      <c r="L2766" s="268"/>
      <c r="M2766" s="1133"/>
      <c r="N2766" s="1147"/>
      <c r="O2766" s="1146"/>
      <c r="P2766" s="1115"/>
    </row>
    <row r="2767" spans="1:23" ht="15.6" hidden="1" customHeight="1" x14ac:dyDescent="0.2">
      <c r="B2767" s="48" t="s">
        <v>733</v>
      </c>
      <c r="I2767" s="2053">
        <f>-K175</f>
        <v>0</v>
      </c>
      <c r="K2767" s="2053">
        <f>-K215</f>
        <v>0</v>
      </c>
      <c r="L2767" s="201"/>
      <c r="M2767" s="1133"/>
      <c r="N2767" s="1147"/>
      <c r="O2767" s="1146"/>
      <c r="P2767" s="1115"/>
    </row>
    <row r="2768" spans="1:23" ht="15.6" hidden="1" customHeight="1" x14ac:dyDescent="0.2">
      <c r="B2768" s="48" t="s">
        <v>441</v>
      </c>
      <c r="I2768" s="2044">
        <f>-I369</f>
        <v>0</v>
      </c>
      <c r="J2768" s="58"/>
      <c r="K2768" s="2044">
        <f>-K369</f>
        <v>0</v>
      </c>
      <c r="L2768" s="268"/>
      <c r="M2768" s="1133"/>
      <c r="N2768" s="1147"/>
      <c r="O2768" s="1146"/>
      <c r="P2768" s="1115"/>
    </row>
    <row r="2769" spans="1:23" ht="15.6" customHeight="1" x14ac:dyDescent="0.2">
      <c r="I2769" s="203"/>
      <c r="J2769" s="58"/>
      <c r="K2769" s="203"/>
      <c r="L2769" s="268"/>
      <c r="M2769" s="1133"/>
      <c r="N2769" s="1147"/>
      <c r="O2769" s="1146"/>
      <c r="P2769" s="1115"/>
    </row>
    <row r="2770" spans="1:23" ht="15.6" customHeight="1" thickBot="1" x14ac:dyDescent="0.3">
      <c r="I2770" s="202">
        <f>SUM(I2760,I2765)</f>
        <v>153994.59</v>
      </c>
      <c r="K2770" s="202">
        <f>SUM(K2760,K2765)</f>
        <v>0</v>
      </c>
      <c r="L2770" s="269"/>
      <c r="M2770" s="1133"/>
      <c r="N2770" s="1147"/>
      <c r="O2770" s="1146"/>
      <c r="P2770" s="1115"/>
    </row>
    <row r="2771" spans="1:23" ht="15.6" customHeight="1" thickTop="1" x14ac:dyDescent="0.2">
      <c r="L2771" s="201"/>
      <c r="M2771" s="1133"/>
      <c r="N2771" s="1147"/>
      <c r="O2771" s="1146"/>
    </row>
    <row r="2772" spans="1:23" ht="15.6" customHeight="1" x14ac:dyDescent="0.25">
      <c r="B2772" s="229" t="s">
        <v>7580</v>
      </c>
      <c r="C2772" s="50"/>
      <c r="I2772" s="58"/>
      <c r="K2772" s="58"/>
      <c r="M2772" s="1251" t="s">
        <v>2358</v>
      </c>
      <c r="N2772" s="1147"/>
      <c r="O2772" s="1146"/>
      <c r="P2772" s="1115"/>
      <c r="W2772" s="1114" t="s">
        <v>3857</v>
      </c>
    </row>
    <row r="2773" spans="1:23" ht="15.6" customHeight="1" x14ac:dyDescent="0.25">
      <c r="A2773" s="211"/>
      <c r="B2773" s="50"/>
      <c r="C2773" s="50"/>
      <c r="L2773" s="201"/>
      <c r="M2773" s="1133"/>
      <c r="N2773" s="1147"/>
      <c r="O2773" s="1146"/>
      <c r="P2773" s="1115"/>
    </row>
    <row r="2774" spans="1:23" ht="15.6" customHeight="1" x14ac:dyDescent="0.25">
      <c r="A2774" s="211"/>
      <c r="B2774" s="50" t="s">
        <v>1073</v>
      </c>
      <c r="C2774" s="50"/>
      <c r="I2774" s="246">
        <f>SUM(I2775:I2779)</f>
        <v>30973200.43</v>
      </c>
      <c r="K2774" s="246">
        <f>SUM(K2775:K2779)</f>
        <v>12421479</v>
      </c>
      <c r="L2774" s="201"/>
      <c r="M2774" s="1133"/>
      <c r="N2774" s="1147"/>
      <c r="O2774" s="1146"/>
      <c r="P2774" s="1115"/>
    </row>
    <row r="2775" spans="1:23" ht="15.6" hidden="1" customHeight="1" x14ac:dyDescent="0.2">
      <c r="B2775" s="48" t="s">
        <v>399</v>
      </c>
      <c r="I2775" s="2079">
        <f>I1068</f>
        <v>0</v>
      </c>
      <c r="J2775" s="58"/>
      <c r="K2775" s="2079">
        <f>K1068</f>
        <v>0</v>
      </c>
      <c r="L2775" s="268"/>
      <c r="M2775" s="1133"/>
      <c r="N2775" s="1147"/>
      <c r="O2775" s="1146"/>
      <c r="P2775" s="1115"/>
    </row>
    <row r="2776" spans="1:23" ht="15.6" customHeight="1" x14ac:dyDescent="0.2">
      <c r="B2776" s="48" t="s">
        <v>3969</v>
      </c>
      <c r="I2776" s="214">
        <f>'Notes I'!I377</f>
        <v>24376093.43</v>
      </c>
      <c r="J2776" s="58"/>
      <c r="K2776" s="214">
        <f>'Notes I'!K377</f>
        <v>12421479</v>
      </c>
      <c r="L2776" s="268"/>
      <c r="M2776" s="1133"/>
      <c r="N2776" s="1147"/>
      <c r="O2776" s="1146"/>
      <c r="P2776" s="1115"/>
    </row>
    <row r="2777" spans="1:23" ht="15.6" customHeight="1" x14ac:dyDescent="0.2">
      <c r="B2777" s="48" t="s">
        <v>3970</v>
      </c>
      <c r="I2777" s="214">
        <f>'Notes I'!I836</f>
        <v>6597107</v>
      </c>
      <c r="J2777" s="58"/>
      <c r="K2777" s="214">
        <f>'Notes I'!K836</f>
        <v>0</v>
      </c>
      <c r="L2777" s="268"/>
      <c r="M2777" s="1133"/>
      <c r="N2777" s="1147"/>
      <c r="O2777" s="1146"/>
      <c r="P2777" s="1115"/>
    </row>
    <row r="2778" spans="1:23" ht="15.6" hidden="1" customHeight="1" x14ac:dyDescent="0.2">
      <c r="B2778" s="48" t="s">
        <v>230</v>
      </c>
      <c r="I2778" s="2108"/>
      <c r="J2778" s="58"/>
      <c r="K2778" s="2108"/>
      <c r="L2778" s="268"/>
      <c r="M2778" s="1133"/>
      <c r="N2778" s="1147"/>
      <c r="O2778" s="1146"/>
      <c r="P2778" s="1115"/>
    </row>
    <row r="2779" spans="1:23" ht="15.6" hidden="1" customHeight="1" x14ac:dyDescent="0.2">
      <c r="B2779" s="48" t="s">
        <v>1075</v>
      </c>
      <c r="I2779" s="2054"/>
      <c r="K2779" s="2054"/>
      <c r="L2779" s="201"/>
      <c r="M2779" s="1133"/>
      <c r="N2779" s="1147"/>
      <c r="O2779" s="1146"/>
      <c r="P2779" s="1115"/>
    </row>
    <row r="2780" spans="1:23" ht="15.6" customHeight="1" x14ac:dyDescent="0.2">
      <c r="I2780" s="203"/>
      <c r="J2780" s="58"/>
      <c r="K2780" s="203"/>
      <c r="L2780" s="268"/>
      <c r="M2780" s="1133"/>
      <c r="N2780" s="1147"/>
      <c r="O2780" s="1146"/>
      <c r="P2780" s="1115"/>
    </row>
    <row r="2781" spans="1:23" ht="15.6" hidden="1" customHeight="1" x14ac:dyDescent="0.25">
      <c r="A2781" s="211"/>
      <c r="B2781" s="50" t="s">
        <v>1074</v>
      </c>
      <c r="C2781" s="50"/>
      <c r="I2781" s="246">
        <f>SUM(I2782:I2786)</f>
        <v>0</v>
      </c>
      <c r="K2781" s="246">
        <f>SUM(K2782:K2786)</f>
        <v>0</v>
      </c>
      <c r="L2781" s="201"/>
      <c r="M2781" s="1133"/>
      <c r="N2781" s="1147"/>
      <c r="O2781" s="1146"/>
      <c r="P2781" s="1115"/>
    </row>
    <row r="2782" spans="1:23" ht="15.6" hidden="1" customHeight="1" x14ac:dyDescent="0.2">
      <c r="B2782" s="48" t="s">
        <v>399</v>
      </c>
      <c r="I2782" s="2079">
        <f>I1069</f>
        <v>0</v>
      </c>
      <c r="J2782" s="58"/>
      <c r="K2782" s="2079">
        <f>K1069</f>
        <v>0</v>
      </c>
      <c r="L2782" s="268"/>
      <c r="M2782" s="1133"/>
      <c r="N2782" s="1147"/>
      <c r="O2782" s="1146"/>
      <c r="P2782" s="1115"/>
    </row>
    <row r="2783" spans="1:23" ht="15.6" hidden="1" customHeight="1" x14ac:dyDescent="0.2">
      <c r="B2783" s="48" t="s">
        <v>3969</v>
      </c>
      <c r="I2783" s="2108">
        <f>'Notes I'!I380</f>
        <v>0</v>
      </c>
      <c r="J2783" s="58"/>
      <c r="K2783" s="2108">
        <f>'Notes I'!K380</f>
        <v>0</v>
      </c>
      <c r="L2783" s="268"/>
      <c r="M2783" s="1133"/>
      <c r="N2783" s="1147"/>
      <c r="O2783" s="1146"/>
      <c r="P2783" s="1115"/>
    </row>
    <row r="2784" spans="1:23" ht="15.6" hidden="1" customHeight="1" x14ac:dyDescent="0.2">
      <c r="B2784" s="48" t="s">
        <v>3970</v>
      </c>
      <c r="I2784" s="2108">
        <f>'Notes I'!I839</f>
        <v>0</v>
      </c>
      <c r="J2784" s="58"/>
      <c r="K2784" s="2108">
        <f>'Notes I'!K839</f>
        <v>0</v>
      </c>
      <c r="L2784" s="268"/>
      <c r="M2784" s="1133"/>
      <c r="N2784" s="1147"/>
      <c r="O2784" s="1146"/>
      <c r="P2784" s="1115"/>
    </row>
    <row r="2785" spans="1:23" ht="15.6" hidden="1" customHeight="1" x14ac:dyDescent="0.2">
      <c r="B2785" s="48" t="s">
        <v>230</v>
      </c>
      <c r="I2785" s="2108"/>
      <c r="J2785" s="58"/>
      <c r="K2785" s="2108"/>
      <c r="L2785" s="268"/>
      <c r="M2785" s="1133"/>
      <c r="N2785" s="1147"/>
      <c r="O2785" s="1146"/>
      <c r="P2785" s="1115"/>
    </row>
    <row r="2786" spans="1:23" ht="15.6" hidden="1" customHeight="1" x14ac:dyDescent="0.2">
      <c r="B2786" s="48" t="s">
        <v>1075</v>
      </c>
      <c r="I2786" s="2054"/>
      <c r="K2786" s="2054"/>
      <c r="L2786" s="201"/>
      <c r="M2786" s="1133"/>
      <c r="N2786" s="1147"/>
      <c r="O2786" s="1146"/>
      <c r="P2786" s="1115"/>
    </row>
    <row r="2787" spans="1:23" ht="15.6" hidden="1" customHeight="1" x14ac:dyDescent="0.25">
      <c r="I2787" s="216"/>
      <c r="J2787" s="58"/>
      <c r="K2787" s="216"/>
      <c r="L2787" s="269"/>
      <c r="M2787" s="1133"/>
      <c r="N2787" s="1147"/>
      <c r="O2787" s="1146"/>
      <c r="P2787" s="1115"/>
    </row>
    <row r="2788" spans="1:23" ht="15.6" customHeight="1" thickBot="1" x14ac:dyDescent="0.3">
      <c r="I2788" s="202">
        <f>SUM(I2774,I2781)</f>
        <v>30973200.43</v>
      </c>
      <c r="K2788" s="202">
        <f>SUM(K2774,K2781)</f>
        <v>12421479</v>
      </c>
      <c r="L2788" s="269"/>
      <c r="M2788" s="1133"/>
      <c r="N2788" s="1147"/>
      <c r="O2788" s="1146"/>
      <c r="P2788" s="1115"/>
    </row>
    <row r="2789" spans="1:23" ht="15.6" customHeight="1" thickTop="1" x14ac:dyDescent="0.2">
      <c r="L2789" s="201"/>
      <c r="M2789" s="1133"/>
      <c r="N2789" s="1147"/>
      <c r="O2789" s="1146"/>
    </row>
    <row r="2790" spans="1:23" ht="15.6" customHeight="1" x14ac:dyDescent="0.25">
      <c r="B2790" s="229" t="s">
        <v>7581</v>
      </c>
      <c r="C2790" s="50"/>
      <c r="I2790" s="58"/>
      <c r="K2790" s="58"/>
      <c r="M2790" s="1482"/>
      <c r="N2790" s="1147"/>
      <c r="O2790" s="1146"/>
      <c r="P2790" s="1115"/>
      <c r="W2790" s="1114" t="s">
        <v>3857</v>
      </c>
    </row>
    <row r="2791" spans="1:23" ht="15.6" customHeight="1" x14ac:dyDescent="0.25">
      <c r="A2791" s="211"/>
      <c r="B2791" s="50"/>
      <c r="C2791" s="50"/>
      <c r="L2791" s="201"/>
      <c r="M2791" s="1133"/>
      <c r="N2791" s="1147"/>
      <c r="O2791" s="1146"/>
      <c r="P2791" s="1115"/>
    </row>
    <row r="2792" spans="1:23" ht="15.6" customHeight="1" x14ac:dyDescent="0.25">
      <c r="A2792" s="211"/>
      <c r="B2792" s="50" t="s">
        <v>1073</v>
      </c>
      <c r="C2792" s="50"/>
      <c r="I2792" s="246">
        <f>SUM(I2793:I2798)</f>
        <v>1818375.95</v>
      </c>
      <c r="K2792" s="246">
        <f>SUM(K2793:K2798)</f>
        <v>2849677.71</v>
      </c>
      <c r="L2792" s="201"/>
      <c r="M2792" s="1133"/>
      <c r="N2792" s="1147"/>
      <c r="O2792" s="1146"/>
      <c r="P2792" s="1115"/>
    </row>
    <row r="2793" spans="1:23" ht="15.6" customHeight="1" x14ac:dyDescent="0.2">
      <c r="B2793" s="48" t="s">
        <v>8180</v>
      </c>
      <c r="I2793" s="213">
        <f>'Trial Balance - FPer'!G32</f>
        <v>1818375.95</v>
      </c>
      <c r="J2793" s="58"/>
      <c r="K2793" s="213">
        <f>'Trial Balance - FPer'!C32</f>
        <v>2849677.71</v>
      </c>
      <c r="L2793" s="268"/>
      <c r="M2793" s="1133"/>
      <c r="N2793" s="1147"/>
      <c r="O2793" s="1146"/>
      <c r="P2793" s="1115"/>
    </row>
    <row r="2794" spans="1:23" ht="15.6" hidden="1" customHeight="1" x14ac:dyDescent="0.2">
      <c r="B2794" s="48" t="s">
        <v>1367</v>
      </c>
      <c r="I2794" s="2108">
        <v>0</v>
      </c>
      <c r="J2794" s="58"/>
      <c r="K2794" s="2108">
        <v>0</v>
      </c>
      <c r="L2794" s="268"/>
      <c r="M2794" s="1133"/>
      <c r="N2794" s="1147"/>
      <c r="O2794" s="1146"/>
      <c r="P2794" s="1115"/>
    </row>
    <row r="2795" spans="1:23" ht="15.6" hidden="1" customHeight="1" x14ac:dyDescent="0.2">
      <c r="B2795" s="48" t="s">
        <v>1368</v>
      </c>
      <c r="I2795" s="2108">
        <v>0</v>
      </c>
      <c r="J2795" s="58"/>
      <c r="K2795" s="2108">
        <v>0</v>
      </c>
      <c r="L2795" s="268"/>
      <c r="M2795" s="1133"/>
      <c r="N2795" s="1147"/>
      <c r="O2795" s="1146"/>
      <c r="P2795" s="1115"/>
    </row>
    <row r="2796" spans="1:23" ht="15.6" hidden="1" customHeight="1" x14ac:dyDescent="0.2">
      <c r="B2796" s="48" t="s">
        <v>1346</v>
      </c>
      <c r="I2796" s="2108">
        <v>0</v>
      </c>
      <c r="J2796" s="58"/>
      <c r="K2796" s="2108">
        <v>0</v>
      </c>
      <c r="L2796" s="268"/>
      <c r="M2796" s="1133"/>
      <c r="N2796" s="1147"/>
      <c r="O2796" s="1146"/>
      <c r="P2796" s="1115"/>
    </row>
    <row r="2797" spans="1:23" ht="15.6" hidden="1" customHeight="1" x14ac:dyDescent="0.2">
      <c r="B2797" s="48" t="s">
        <v>1347</v>
      </c>
      <c r="I2797" s="2108">
        <v>0</v>
      </c>
      <c r="J2797" s="58"/>
      <c r="K2797" s="2108">
        <v>0</v>
      </c>
      <c r="L2797" s="268"/>
      <c r="M2797" s="1133"/>
      <c r="N2797" s="1147"/>
      <c r="O2797" s="1146"/>
      <c r="P2797" s="1115"/>
      <c r="Q2797" s="48"/>
      <c r="R2797" s="48"/>
      <c r="S2797" s="48"/>
      <c r="T2797" s="48"/>
      <c r="U2797" s="48"/>
      <c r="V2797" s="48"/>
      <c r="W2797" s="48"/>
    </row>
    <row r="2798" spans="1:23" ht="15.6" hidden="1" customHeight="1" x14ac:dyDescent="0.2">
      <c r="B2798" s="48" t="s">
        <v>1348</v>
      </c>
      <c r="I2798" s="2054">
        <v>0</v>
      </c>
      <c r="K2798" s="2054">
        <v>0</v>
      </c>
      <c r="L2798" s="201"/>
      <c r="M2798" s="1133"/>
      <c r="N2798" s="1147"/>
      <c r="O2798" s="1146"/>
      <c r="P2798" s="1115"/>
      <c r="Q2798" s="48"/>
      <c r="R2798" s="48"/>
      <c r="S2798" s="48"/>
      <c r="T2798" s="48"/>
      <c r="U2798" s="48"/>
      <c r="V2798" s="48"/>
      <c r="W2798" s="48"/>
    </row>
    <row r="2799" spans="1:23" ht="15.6" customHeight="1" x14ac:dyDescent="0.2">
      <c r="I2799" s="203"/>
      <c r="J2799" s="58"/>
      <c r="K2799" s="203"/>
      <c r="L2799" s="268"/>
      <c r="M2799" s="1133"/>
      <c r="N2799" s="1147"/>
      <c r="O2799" s="1146"/>
      <c r="P2799" s="1115"/>
      <c r="Q2799" s="48"/>
      <c r="R2799" s="48"/>
      <c r="S2799" s="48"/>
      <c r="T2799" s="48"/>
      <c r="U2799" s="48"/>
      <c r="V2799" s="48"/>
      <c r="W2799" s="48"/>
    </row>
    <row r="2800" spans="1:23" ht="15.6" customHeight="1" thickBot="1" x14ac:dyDescent="0.3">
      <c r="I2800" s="202">
        <f>SUM(I2792)</f>
        <v>1818375.95</v>
      </c>
      <c r="K2800" s="202">
        <f>SUM(K2792)</f>
        <v>2849677.71</v>
      </c>
      <c r="L2800" s="269"/>
      <c r="M2800" s="1133"/>
      <c r="N2800" s="1147"/>
      <c r="O2800" s="1146"/>
      <c r="P2800" s="1115"/>
      <c r="Q2800" s="48"/>
      <c r="R2800" s="48"/>
      <c r="S2800" s="48"/>
      <c r="T2800" s="48"/>
      <c r="U2800" s="48"/>
      <c r="V2800" s="48"/>
      <c r="W2800" s="48"/>
    </row>
    <row r="2801" spans="1:23" ht="15.6" customHeight="1" thickTop="1" x14ac:dyDescent="0.2">
      <c r="L2801" s="201"/>
      <c r="M2801" s="1133"/>
      <c r="N2801" s="1147"/>
      <c r="O2801" s="1146"/>
      <c r="P2801" s="1115"/>
      <c r="Q2801" s="48"/>
      <c r="R2801" s="48"/>
      <c r="S2801" s="48"/>
      <c r="T2801" s="48"/>
      <c r="U2801" s="48"/>
      <c r="V2801" s="48"/>
      <c r="W2801" s="48"/>
    </row>
    <row r="2802" spans="1:23" ht="15.6" customHeight="1" thickBot="1" x14ac:dyDescent="0.3">
      <c r="B2802" s="50" t="s">
        <v>1076</v>
      </c>
      <c r="C2802" s="50"/>
      <c r="I2802" s="202">
        <f>SUM(I2770,I2788,I2800)</f>
        <v>32945570.969999999</v>
      </c>
      <c r="K2802" s="202">
        <f>SUM(K2770,K2788,K2800)</f>
        <v>15271156.710000001</v>
      </c>
      <c r="L2802" s="201"/>
      <c r="M2802" s="1133"/>
      <c r="N2802" s="1147"/>
      <c r="O2802" s="1146"/>
      <c r="P2802" s="1115"/>
      <c r="Q2802" s="48"/>
      <c r="R2802" s="48"/>
      <c r="S2802" s="48"/>
      <c r="T2802" s="48"/>
      <c r="U2802" s="48"/>
      <c r="V2802" s="48"/>
      <c r="W2802" s="48"/>
    </row>
    <row r="2803" spans="1:23" ht="15.6" customHeight="1" thickTop="1" x14ac:dyDescent="0.2">
      <c r="G2803" s="48"/>
      <c r="I2803" s="265">
        <f>I2802-'Fin Perform'!I37</f>
        <v>0</v>
      </c>
      <c r="J2803" s="58"/>
      <c r="K2803" s="265">
        <f>K2802-'Fin Perform'!K37</f>
        <v>0</v>
      </c>
      <c r="L2803" s="201"/>
      <c r="M2803" s="1133"/>
      <c r="N2803" s="1147"/>
      <c r="O2803" s="1146"/>
      <c r="P2803" s="1115"/>
      <c r="Q2803" s="48"/>
      <c r="R2803" s="48"/>
      <c r="S2803" s="48"/>
      <c r="T2803" s="48"/>
      <c r="U2803" s="48"/>
      <c r="V2803" s="48"/>
      <c r="W2803" s="48"/>
    </row>
    <row r="2804" spans="1:23" ht="15.6" hidden="1" customHeight="1" x14ac:dyDescent="0.25">
      <c r="A2804" s="767"/>
      <c r="B2804" s="767" t="s">
        <v>1028</v>
      </c>
      <c r="C2804" s="767"/>
      <c r="D2804" s="769"/>
      <c r="E2804" s="767"/>
      <c r="F2804" s="769"/>
      <c r="G2804" s="769"/>
      <c r="H2804" s="769"/>
      <c r="I2804" s="1542"/>
      <c r="J2804" s="1542"/>
      <c r="K2804" s="1542"/>
      <c r="L2804" s="1619"/>
      <c r="M2804" s="1133"/>
      <c r="N2804" s="1147"/>
      <c r="O2804" s="1146"/>
      <c r="P2804" s="1115"/>
      <c r="Q2804" s="48"/>
      <c r="R2804" s="48"/>
      <c r="S2804" s="48"/>
      <c r="T2804" s="48"/>
      <c r="U2804" s="48"/>
      <c r="V2804" s="48"/>
      <c r="W2804" s="48"/>
    </row>
    <row r="2805" spans="1:23" ht="15.6" hidden="1" customHeight="1" x14ac:dyDescent="0.25">
      <c r="A2805" s="767"/>
      <c r="B2805" s="767" t="s">
        <v>1029</v>
      </c>
      <c r="C2805" s="767"/>
      <c r="D2805" s="769"/>
      <c r="E2805" s="767"/>
      <c r="F2805" s="769"/>
      <c r="G2805" s="769"/>
      <c r="H2805" s="769"/>
      <c r="I2805" s="1542">
        <f>I2802-I2806</f>
        <v>32945570.969999999</v>
      </c>
      <c r="J2805" s="1542"/>
      <c r="K2805" s="1542">
        <f>K2802-K2806</f>
        <v>15271156.710000001</v>
      </c>
      <c r="L2805" s="1619"/>
      <c r="M2805" s="1133"/>
      <c r="N2805" s="1147"/>
      <c r="O2805" s="1146"/>
      <c r="P2805" s="1115"/>
      <c r="Q2805" s="48"/>
      <c r="R2805" s="48"/>
      <c r="S2805" s="48"/>
      <c r="T2805" s="48"/>
      <c r="U2805" s="48"/>
      <c r="V2805" s="48"/>
      <c r="W2805" s="48"/>
    </row>
    <row r="2806" spans="1:23" ht="15.6" hidden="1" customHeight="1" x14ac:dyDescent="0.25">
      <c r="A2806" s="767"/>
      <c r="B2806" s="767" t="s">
        <v>1030</v>
      </c>
      <c r="C2806" s="767"/>
      <c r="D2806" s="769"/>
      <c r="E2806" s="767"/>
      <c r="F2806" s="769"/>
      <c r="G2806" s="769"/>
      <c r="H2806" s="769"/>
      <c r="I2806" s="1542">
        <v>0</v>
      </c>
      <c r="J2806" s="1542"/>
      <c r="K2806" s="1542">
        <v>0</v>
      </c>
      <c r="L2806" s="1619"/>
      <c r="M2806" s="1133"/>
      <c r="N2806" s="1147"/>
      <c r="O2806" s="1146"/>
      <c r="P2806" s="1115"/>
      <c r="Q2806" s="48"/>
      <c r="R2806" s="48"/>
      <c r="S2806" s="48"/>
      <c r="T2806" s="48"/>
      <c r="U2806" s="48"/>
      <c r="V2806" s="48"/>
      <c r="W2806" s="48"/>
    </row>
    <row r="2807" spans="1:23" ht="15.6" hidden="1" customHeight="1" x14ac:dyDescent="0.25">
      <c r="A2807" s="767"/>
      <c r="B2807" s="767"/>
      <c r="C2807" s="767"/>
      <c r="D2807" s="769"/>
      <c r="E2807" s="767"/>
      <c r="F2807" s="769"/>
      <c r="G2807" s="769"/>
      <c r="H2807" s="769"/>
      <c r="I2807" s="779"/>
      <c r="J2807" s="779"/>
      <c r="K2807" s="779"/>
      <c r="L2807" s="1619"/>
      <c r="M2807" s="1133"/>
      <c r="N2807" s="1147"/>
      <c r="O2807" s="1146"/>
      <c r="P2807" s="1115"/>
      <c r="Q2807" s="48"/>
      <c r="R2807" s="48"/>
      <c r="S2807" s="48"/>
      <c r="T2807" s="48"/>
      <c r="U2807" s="48"/>
      <c r="V2807" s="48"/>
      <c r="W2807" s="48"/>
    </row>
    <row r="2808" spans="1:23" ht="15.6" hidden="1" customHeight="1" thickBot="1" x14ac:dyDescent="0.3">
      <c r="A2808" s="767"/>
      <c r="B2808" s="767"/>
      <c r="C2808" s="767"/>
      <c r="D2808" s="769"/>
      <c r="E2808" s="767"/>
      <c r="F2808" s="769"/>
      <c r="G2808" s="769"/>
      <c r="H2808" s="769"/>
      <c r="I2808" s="1539">
        <f>SUM(I2805:I2807)</f>
        <v>32945570.969999999</v>
      </c>
      <c r="J2808" s="775"/>
      <c r="K2808" s="1539">
        <f>SUM(K2805:K2807)</f>
        <v>15271156.710000001</v>
      </c>
      <c r="L2808" s="1619"/>
      <c r="M2808" s="1133"/>
      <c r="N2808" s="1147"/>
      <c r="O2808" s="1146"/>
      <c r="P2808" s="1115"/>
      <c r="Q2808" s="48"/>
      <c r="R2808" s="48"/>
      <c r="S2808" s="48"/>
      <c r="T2808" s="48"/>
      <c r="U2808" s="48"/>
      <c r="V2808" s="48"/>
      <c r="W2808" s="48"/>
    </row>
    <row r="2809" spans="1:23" ht="15.6" hidden="1" customHeight="1" thickTop="1" x14ac:dyDescent="0.25">
      <c r="A2809" s="767"/>
      <c r="B2809" s="767"/>
      <c r="C2809" s="767"/>
      <c r="D2809" s="769"/>
      <c r="E2809" s="767"/>
      <c r="F2809" s="769"/>
      <c r="G2809" s="769"/>
      <c r="H2809" s="769"/>
      <c r="I2809" s="782">
        <f>I2808-I2802</f>
        <v>0</v>
      </c>
      <c r="J2809" s="779"/>
      <c r="K2809" s="782">
        <f>K2808-K2802</f>
        <v>0</v>
      </c>
      <c r="L2809" s="1619"/>
      <c r="M2809" s="1133"/>
      <c r="N2809" s="1147"/>
      <c r="O2809" s="1146"/>
      <c r="P2809" s="1115"/>
      <c r="Q2809" s="48"/>
      <c r="R2809" s="48"/>
      <c r="S2809" s="48"/>
      <c r="T2809" s="48"/>
      <c r="U2809" s="48"/>
      <c r="V2809" s="48"/>
      <c r="W2809" s="48"/>
    </row>
    <row r="2810" spans="1:23" ht="46.5" hidden="1" customHeight="1" x14ac:dyDescent="0.2">
      <c r="B2810" s="2865" t="s">
        <v>2524</v>
      </c>
      <c r="C2810" s="2865"/>
      <c r="D2810" s="2865"/>
      <c r="E2810" s="2865"/>
      <c r="F2810" s="2865"/>
      <c r="G2810" s="2865"/>
      <c r="H2810" s="56"/>
      <c r="I2810" s="56"/>
      <c r="J2810" s="56"/>
      <c r="K2810" s="56"/>
      <c r="L2810" s="59"/>
      <c r="M2810" s="1133"/>
      <c r="N2810" s="1147"/>
      <c r="O2810" s="1146"/>
      <c r="Q2810" s="48"/>
      <c r="R2810" s="48"/>
      <c r="S2810" s="48"/>
      <c r="T2810" s="48"/>
      <c r="U2810" s="48"/>
      <c r="V2810" s="48"/>
      <c r="W2810" s="48"/>
    </row>
    <row r="2811" spans="1:23" ht="15.6" hidden="1" customHeight="1" x14ac:dyDescent="0.2">
      <c r="I2811" s="58"/>
      <c r="J2811" s="58"/>
      <c r="K2811" s="58"/>
      <c r="L2811" s="59"/>
      <c r="N2811" s="1471"/>
      <c r="P2811" s="1115"/>
      <c r="Q2811" s="48"/>
      <c r="R2811" s="48"/>
      <c r="S2811" s="48"/>
      <c r="T2811" s="48"/>
      <c r="U2811" s="48"/>
      <c r="V2811" s="48"/>
      <c r="W2811" s="48"/>
    </row>
    <row r="2812" spans="1:23" ht="46.5" hidden="1" customHeight="1" x14ac:dyDescent="0.2">
      <c r="B2812" s="2839" t="s">
        <v>2570</v>
      </c>
      <c r="C2812" s="2839"/>
      <c r="D2812" s="2839"/>
      <c r="E2812" s="2839"/>
      <c r="F2812" s="2839"/>
      <c r="G2812" s="2839"/>
      <c r="H2812" s="56"/>
      <c r="I2812" s="56"/>
      <c r="J2812" s="56"/>
      <c r="K2812" s="56"/>
      <c r="L2812" s="59"/>
      <c r="M2812" s="1133"/>
      <c r="N2812" s="1147"/>
      <c r="O2812" s="1146"/>
      <c r="Q2812" s="48"/>
      <c r="R2812" s="48"/>
      <c r="S2812" s="48"/>
      <c r="T2812" s="48"/>
      <c r="U2812" s="48"/>
      <c r="V2812" s="48"/>
      <c r="W2812" s="48"/>
    </row>
    <row r="2813" spans="1:23" ht="15.6" hidden="1" customHeight="1" x14ac:dyDescent="0.2">
      <c r="I2813" s="58"/>
      <c r="J2813" s="58"/>
      <c r="K2813" s="58"/>
      <c r="L2813" s="59"/>
      <c r="N2813" s="1471"/>
    </row>
    <row r="2814" spans="1:23" ht="15.6" hidden="1" customHeight="1" x14ac:dyDescent="0.2">
      <c r="D2814" s="267"/>
      <c r="F2814" s="267"/>
      <c r="G2814" s="267"/>
      <c r="H2814" s="267"/>
      <c r="I2814" s="58"/>
      <c r="J2814" s="58"/>
      <c r="K2814" s="58"/>
      <c r="L2814" s="59"/>
    </row>
    <row r="2815" spans="1:23" ht="15.6" customHeight="1" x14ac:dyDescent="0.25">
      <c r="A2815" s="211">
        <v>31</v>
      </c>
      <c r="B2815" s="50" t="s">
        <v>1628</v>
      </c>
      <c r="C2815" s="50"/>
      <c r="L2815" s="201"/>
      <c r="W2815" s="1114" t="s">
        <v>3520</v>
      </c>
    </row>
    <row r="2816" spans="1:23" ht="15.6" customHeight="1" x14ac:dyDescent="0.2">
      <c r="L2816" s="201"/>
      <c r="P2816" s="1115"/>
    </row>
    <row r="2817" spans="2:19" ht="15.6" hidden="1" customHeight="1" x14ac:dyDescent="0.2">
      <c r="B2817" s="2839" t="s">
        <v>2623</v>
      </c>
      <c r="C2817" s="2839"/>
      <c r="D2817" s="2839"/>
      <c r="E2817" s="2839"/>
      <c r="F2817" s="2839"/>
      <c r="G2817" s="2839"/>
      <c r="H2817" s="56"/>
      <c r="I2817" s="56"/>
      <c r="J2817" s="56"/>
      <c r="K2817" s="56"/>
      <c r="L2817" s="59"/>
      <c r="M2817" s="1133"/>
      <c r="N2817" s="1147"/>
      <c r="O2817" s="1133"/>
    </row>
    <row r="2818" spans="2:19" ht="15.6" hidden="1" customHeight="1" x14ac:dyDescent="0.25">
      <c r="I2818" s="200"/>
      <c r="J2818" s="200"/>
      <c r="K2818" s="200"/>
      <c r="L2818" s="210"/>
      <c r="M2818" s="1133"/>
      <c r="N2818" s="1147"/>
      <c r="O2818" s="1212"/>
    </row>
    <row r="2819" spans="2:19" ht="15.6" customHeight="1" x14ac:dyDescent="0.2">
      <c r="B2819" s="48" t="s">
        <v>7301</v>
      </c>
      <c r="I2819" s="2467">
        <f>'Trial Balance - FPer'!G446</f>
        <v>187530.31</v>
      </c>
      <c r="J2819" s="58"/>
      <c r="K2819" s="58">
        <f>'Trial Balance - FPer'!C446</f>
        <v>167857.19</v>
      </c>
      <c r="L2819" s="268"/>
      <c r="P2819" s="1110" t="s">
        <v>3466</v>
      </c>
      <c r="Q2819" s="1111" t="s">
        <v>2763</v>
      </c>
      <c r="R2819" s="1111" t="s">
        <v>3467</v>
      </c>
      <c r="S2819" s="1111" t="s">
        <v>2765</v>
      </c>
    </row>
    <row r="2820" spans="2:19" ht="15.6" customHeight="1" x14ac:dyDescent="0.2">
      <c r="B2820" s="48" t="s">
        <v>3744</v>
      </c>
      <c r="I2820" s="58">
        <f>'Trial Balance - FPer'!G447</f>
        <v>201397.04</v>
      </c>
      <c r="J2820" s="58"/>
      <c r="K2820" s="58">
        <f>'Trial Balance - FPer'!C447</f>
        <v>813827.59</v>
      </c>
      <c r="L2820" s="268"/>
      <c r="P2820" s="1110" t="s">
        <v>3468</v>
      </c>
      <c r="Q2820" s="1111" t="s">
        <v>2763</v>
      </c>
      <c r="R2820" s="1111" t="s">
        <v>3469</v>
      </c>
      <c r="S2820" s="1111" t="s">
        <v>2765</v>
      </c>
    </row>
    <row r="2821" spans="2:19" ht="15.6" customHeight="1" x14ac:dyDescent="0.2">
      <c r="B2821" s="48" t="s">
        <v>149</v>
      </c>
      <c r="I2821" s="58">
        <f>'Trial Balance - FPer'!G449</f>
        <v>70113.919999999998</v>
      </c>
      <c r="J2821" s="58"/>
      <c r="K2821" s="58">
        <f>'Trial Balance - FPer'!C449</f>
        <v>97846.77</v>
      </c>
      <c r="L2821" s="268"/>
      <c r="P2821" s="1110" t="s">
        <v>3472</v>
      </c>
      <c r="Q2821" s="1111" t="s">
        <v>2763</v>
      </c>
      <c r="R2821" s="1111" t="s">
        <v>3473</v>
      </c>
      <c r="S2821" s="1111" t="s">
        <v>2765</v>
      </c>
    </row>
    <row r="2822" spans="2:19" ht="15.6" customHeight="1" x14ac:dyDescent="0.2">
      <c r="B2822" s="48" t="s">
        <v>3746</v>
      </c>
      <c r="I2822" s="58">
        <f>'Trial Balance - FPer'!G445</f>
        <v>1486936.5</v>
      </c>
      <c r="J2822" s="58"/>
      <c r="K2822" s="58">
        <f>'Trial Balance - FPer'!C445</f>
        <v>1357259.82</v>
      </c>
      <c r="L2822" s="268"/>
      <c r="M2822" s="1133"/>
      <c r="N2822" s="1147"/>
      <c r="P2822" s="1110" t="s">
        <v>3476</v>
      </c>
      <c r="Q2822" s="1111" t="s">
        <v>2763</v>
      </c>
      <c r="R2822" s="1111" t="s">
        <v>3477</v>
      </c>
      <c r="S2822" s="1111" t="s">
        <v>2765</v>
      </c>
    </row>
    <row r="2823" spans="2:19" ht="15.6" hidden="1" customHeight="1" x14ac:dyDescent="0.2">
      <c r="B2823" s="48" t="s">
        <v>4401</v>
      </c>
      <c r="I2823" s="58">
        <f>'Trial Balance - FPer'!G864</f>
        <v>0</v>
      </c>
      <c r="J2823" s="58"/>
      <c r="K2823" s="58">
        <v>0</v>
      </c>
      <c r="L2823" s="268"/>
      <c r="P2823" s="1110" t="s">
        <v>3470</v>
      </c>
      <c r="Q2823" s="1111" t="s">
        <v>2763</v>
      </c>
      <c r="R2823" s="1111" t="s">
        <v>3471</v>
      </c>
      <c r="S2823" s="1111" t="s">
        <v>2765</v>
      </c>
    </row>
    <row r="2824" spans="2:19" ht="15.6" customHeight="1" x14ac:dyDescent="0.2">
      <c r="B2824" s="48" t="s">
        <v>7302</v>
      </c>
      <c r="I2824" s="2467">
        <f>'Trial Balance - FPer'!G863</f>
        <v>570</v>
      </c>
      <c r="J2824" s="58"/>
      <c r="K2824" s="58">
        <v>0</v>
      </c>
      <c r="L2824" s="268"/>
      <c r="P2824" s="1110" t="s">
        <v>3474</v>
      </c>
      <c r="Q2824" s="1111" t="s">
        <v>2763</v>
      </c>
      <c r="R2824" s="1111" t="s">
        <v>3475</v>
      </c>
      <c r="S2824" s="1111" t="s">
        <v>2765</v>
      </c>
    </row>
    <row r="2825" spans="2:19" ht="15.6" customHeight="1" x14ac:dyDescent="0.2">
      <c r="B2825" s="48" t="s">
        <v>7669</v>
      </c>
      <c r="I2825" s="2467">
        <f>'Trial Balance - FPer'!G1103</f>
        <v>133775.47</v>
      </c>
      <c r="J2825" s="58"/>
      <c r="K2825" s="58">
        <v>0</v>
      </c>
      <c r="L2825" s="268"/>
    </row>
    <row r="2826" spans="2:19" ht="15.6" customHeight="1" x14ac:dyDescent="0.2">
      <c r="I2826" s="58"/>
      <c r="J2826" s="58"/>
      <c r="K2826" s="58"/>
      <c r="L2826" s="268"/>
      <c r="M2826" s="1133"/>
      <c r="N2826" s="1147"/>
      <c r="O2826" s="1146"/>
    </row>
    <row r="2827" spans="2:19" ht="15.6" customHeight="1" x14ac:dyDescent="0.2">
      <c r="B2827" s="48" t="s">
        <v>1077</v>
      </c>
      <c r="I2827" s="203">
        <f>SUM(I2819:I2826)</f>
        <v>2080323.24</v>
      </c>
      <c r="J2827" s="58"/>
      <c r="K2827" s="203">
        <f>SUM(K2819:K2826)</f>
        <v>2436791.37</v>
      </c>
      <c r="L2827" s="268"/>
      <c r="M2827" s="1256" t="s">
        <v>2353</v>
      </c>
      <c r="N2827" s="1147"/>
      <c r="O2827" s="1146"/>
      <c r="P2827" s="1115"/>
    </row>
    <row r="2828" spans="2:19" ht="15.6" customHeight="1" x14ac:dyDescent="0.2">
      <c r="I2828" s="58"/>
      <c r="J2828" s="58"/>
      <c r="K2828" s="58"/>
      <c r="L2828" s="268"/>
      <c r="M2828" s="1133"/>
      <c r="N2828" s="1147"/>
      <c r="O2828" s="1146"/>
      <c r="P2828" s="1115"/>
    </row>
    <row r="2829" spans="2:19" ht="15.6" hidden="1" customHeight="1" x14ac:dyDescent="0.2">
      <c r="B2829" s="48" t="s">
        <v>1078</v>
      </c>
      <c r="I2829" s="58">
        <v>0</v>
      </c>
      <c r="J2829" s="58"/>
      <c r="K2829" s="58">
        <v>0</v>
      </c>
      <c r="L2829" s="268"/>
      <c r="M2829" s="1213" t="s">
        <v>1991</v>
      </c>
      <c r="N2829" s="1147"/>
      <c r="O2829" s="1146"/>
      <c r="P2829" s="1115"/>
    </row>
    <row r="2830" spans="2:19" ht="15.6" hidden="1" customHeight="1" x14ac:dyDescent="0.25">
      <c r="I2830" s="58"/>
      <c r="J2830" s="58"/>
      <c r="K2830" s="58"/>
      <c r="L2830" s="269"/>
      <c r="M2830" s="1133"/>
      <c r="N2830" s="1147"/>
      <c r="O2830" s="1146"/>
      <c r="P2830" s="1115"/>
    </row>
    <row r="2831" spans="2:19" ht="15.6" customHeight="1" thickBot="1" x14ac:dyDescent="0.3">
      <c r="B2831" s="50" t="s">
        <v>1535</v>
      </c>
      <c r="C2831" s="50"/>
      <c r="I2831" s="202">
        <f>SUM(I2827:I2830)</f>
        <v>2080323.24</v>
      </c>
      <c r="K2831" s="202">
        <f>SUM(K2827:K2830)</f>
        <v>2436791.37</v>
      </c>
      <c r="L2831" s="201"/>
    </row>
    <row r="2832" spans="2:19" ht="15.6" customHeight="1" thickTop="1" x14ac:dyDescent="0.2">
      <c r="I2832" s="265">
        <f>I2831-'Fin Perform'!I39</f>
        <v>0</v>
      </c>
      <c r="J2832" s="58"/>
      <c r="K2832" s="265">
        <f>K2831-'Fin Perform'!K39</f>
        <v>0</v>
      </c>
      <c r="L2832" s="201"/>
    </row>
    <row r="2833" spans="1:23" ht="15.6" hidden="1" customHeight="1" x14ac:dyDescent="0.25">
      <c r="A2833" s="2597"/>
      <c r="B2833" s="48" t="s">
        <v>1028</v>
      </c>
      <c r="I2833" s="206"/>
      <c r="J2833" s="206"/>
      <c r="K2833" s="206"/>
      <c r="L2833" s="269"/>
      <c r="M2833" s="1133"/>
      <c r="N2833" s="1147"/>
      <c r="O2833" s="1146"/>
      <c r="P2833" s="1115"/>
    </row>
    <row r="2834" spans="1:23" ht="15.6" hidden="1" customHeight="1" x14ac:dyDescent="0.25">
      <c r="A2834" s="2597"/>
      <c r="B2834" s="48" t="s">
        <v>1029</v>
      </c>
      <c r="I2834" s="206">
        <f>I2831-I2835</f>
        <v>2080323.24</v>
      </c>
      <c r="J2834" s="206"/>
      <c r="K2834" s="206">
        <f>K2831-K2835</f>
        <v>2436791.37</v>
      </c>
      <c r="L2834" s="269"/>
      <c r="M2834" s="1133"/>
      <c r="N2834" s="1147"/>
      <c r="O2834" s="1146"/>
      <c r="P2834" s="1115"/>
    </row>
    <row r="2835" spans="1:23" ht="15.6" hidden="1" customHeight="1" x14ac:dyDescent="0.25">
      <c r="A2835" s="2597"/>
      <c r="B2835" s="48" t="s">
        <v>1030</v>
      </c>
      <c r="I2835" s="206">
        <v>0</v>
      </c>
      <c r="J2835" s="206"/>
      <c r="K2835" s="206">
        <v>0</v>
      </c>
      <c r="L2835" s="269"/>
      <c r="M2835" s="1133"/>
      <c r="N2835" s="1147"/>
      <c r="O2835" s="1146"/>
      <c r="P2835" s="1115"/>
    </row>
    <row r="2836" spans="1:23" ht="15.6" hidden="1" customHeight="1" x14ac:dyDescent="0.25">
      <c r="A2836" s="2597"/>
      <c r="I2836" s="58"/>
      <c r="J2836" s="58"/>
      <c r="K2836" s="58"/>
      <c r="L2836" s="269"/>
      <c r="M2836" s="1133"/>
      <c r="N2836" s="1147"/>
      <c r="O2836" s="1146"/>
      <c r="P2836" s="1115"/>
    </row>
    <row r="2837" spans="1:23" ht="15.6" hidden="1" customHeight="1" thickBot="1" x14ac:dyDescent="0.3">
      <c r="A2837" s="2597"/>
      <c r="I2837" s="202">
        <f>SUM(I2834:I2836)</f>
        <v>2080323.24</v>
      </c>
      <c r="K2837" s="202">
        <f>SUM(K2834:K2836)</f>
        <v>2436791.37</v>
      </c>
      <c r="L2837" s="269"/>
      <c r="M2837" s="1133"/>
      <c r="N2837" s="1147"/>
      <c r="O2837" s="1146"/>
      <c r="P2837" s="1115"/>
    </row>
    <row r="2838" spans="1:23" ht="15.6" hidden="1" customHeight="1" thickTop="1" x14ac:dyDescent="0.25">
      <c r="A2838" s="2597"/>
      <c r="I2838" s="265">
        <f>I2837-I2831</f>
        <v>0</v>
      </c>
      <c r="J2838" s="58"/>
      <c r="K2838" s="265">
        <f>K2837-K2831</f>
        <v>0</v>
      </c>
      <c r="L2838" s="269"/>
      <c r="M2838" s="1133"/>
      <c r="N2838" s="1147"/>
      <c r="O2838" s="1146"/>
      <c r="P2838" s="1115"/>
    </row>
    <row r="2839" spans="1:23" ht="46.5" hidden="1" customHeight="1" x14ac:dyDescent="0.2">
      <c r="A2839" s="2597"/>
      <c r="B2839" s="2865" t="s">
        <v>7303</v>
      </c>
      <c r="C2839" s="2865"/>
      <c r="D2839" s="2865"/>
      <c r="E2839" s="2865"/>
      <c r="F2839" s="2865"/>
      <c r="G2839" s="2865"/>
      <c r="H2839" s="56"/>
      <c r="I2839" s="56"/>
      <c r="J2839" s="56"/>
      <c r="K2839" s="56"/>
      <c r="L2839" s="59"/>
      <c r="M2839" s="1133"/>
      <c r="N2839" s="1147"/>
      <c r="O2839" s="1146"/>
      <c r="P2839" s="1115"/>
    </row>
    <row r="2840" spans="1:23" ht="15.6" hidden="1" customHeight="1" x14ac:dyDescent="0.2">
      <c r="A2840" s="2597"/>
      <c r="I2840" s="58"/>
      <c r="J2840" s="58"/>
      <c r="K2840" s="58"/>
      <c r="L2840" s="59"/>
      <c r="N2840" s="1471"/>
    </row>
    <row r="2841" spans="1:23" ht="30.95" hidden="1" customHeight="1" x14ac:dyDescent="0.2">
      <c r="A2841" s="2597"/>
      <c r="B2841" s="2840" t="s">
        <v>1677</v>
      </c>
      <c r="C2841" s="2840"/>
      <c r="D2841" s="2840"/>
      <c r="E2841" s="2840"/>
      <c r="F2841" s="2840"/>
      <c r="G2841" s="2840"/>
      <c r="I2841" s="58"/>
      <c r="J2841" s="58"/>
      <c r="K2841" s="58"/>
      <c r="M2841" s="1213" t="s">
        <v>1991</v>
      </c>
      <c r="N2841" s="1147"/>
      <c r="O2841" s="1592"/>
      <c r="P2841" s="1115"/>
    </row>
    <row r="2842" spans="1:23" ht="15.6" hidden="1" customHeight="1" x14ac:dyDescent="0.2">
      <c r="A2842" s="2597"/>
      <c r="M2842" s="1133"/>
      <c r="N2842" s="1133"/>
      <c r="O2842" s="1146"/>
      <c r="P2842" s="1117"/>
    </row>
    <row r="2843" spans="1:23" ht="15.6" hidden="1" customHeight="1" x14ac:dyDescent="0.25">
      <c r="A2843" s="2597"/>
      <c r="I2843" s="200"/>
      <c r="J2843" s="200"/>
      <c r="K2843" s="200"/>
      <c r="L2843" s="269"/>
    </row>
    <row r="2844" spans="1:23" ht="15.6" customHeight="1" x14ac:dyDescent="0.25">
      <c r="A2844" s="211">
        <v>32</v>
      </c>
      <c r="B2844" s="50" t="s">
        <v>646</v>
      </c>
      <c r="C2844" s="50"/>
      <c r="L2844" s="201"/>
      <c r="W2844" s="1114" t="s">
        <v>3520</v>
      </c>
    </row>
    <row r="2845" spans="1:23" ht="15.6" customHeight="1" x14ac:dyDescent="0.25">
      <c r="A2845" s="211"/>
      <c r="B2845" s="50"/>
      <c r="C2845" s="50"/>
      <c r="L2845" s="201"/>
    </row>
    <row r="2846" spans="1:23" ht="15.6" customHeight="1" x14ac:dyDescent="0.2">
      <c r="B2846" s="48" t="s">
        <v>7668</v>
      </c>
      <c r="I2846" s="58">
        <f>'Trial Balance - FPer'!G1102</f>
        <v>14183362.850000001</v>
      </c>
      <c r="J2846" s="58"/>
      <c r="K2846" s="58">
        <f>SUM('Trial Balance - FPer'!C7,'Trial Balance - FPer'!C9,'Trial Balance - FPer'!C13)</f>
        <v>16136859.409999998</v>
      </c>
      <c r="L2846" s="268"/>
      <c r="P2846" s="1110" t="s">
        <v>3478</v>
      </c>
      <c r="Q2846" s="1111" t="s">
        <v>2763</v>
      </c>
      <c r="R2846" s="1111" t="s">
        <v>3479</v>
      </c>
      <c r="S2846" s="1111" t="s">
        <v>2765</v>
      </c>
    </row>
    <row r="2847" spans="1:23" ht="15.6" hidden="1" customHeight="1" x14ac:dyDescent="0.2">
      <c r="B2847" s="48" t="s">
        <v>236</v>
      </c>
      <c r="I2847" s="2043">
        <f>SUM('Trial Balance - FPer'!G8)</f>
        <v>0</v>
      </c>
      <c r="K2847" s="2043">
        <v>0</v>
      </c>
      <c r="L2847" s="201"/>
      <c r="P2847" s="1110" t="s">
        <v>3480</v>
      </c>
      <c r="Q2847" s="1111" t="s">
        <v>2763</v>
      </c>
      <c r="R2847" s="1111" t="s">
        <v>3481</v>
      </c>
      <c r="S2847" s="1111" t="s">
        <v>2765</v>
      </c>
    </row>
    <row r="2848" spans="1:23" ht="15.6" customHeight="1" x14ac:dyDescent="0.2">
      <c r="L2848" s="201"/>
    </row>
    <row r="2849" spans="1:23" ht="15.6" customHeight="1" thickBot="1" x14ac:dyDescent="0.3">
      <c r="B2849" s="50" t="s">
        <v>647</v>
      </c>
      <c r="C2849" s="50"/>
      <c r="I2849" s="202">
        <f>SUM(I2846:I2848)</f>
        <v>14183362.850000001</v>
      </c>
      <c r="K2849" s="202">
        <f>SUM(K2846:K2848)</f>
        <v>16136859.409999998</v>
      </c>
      <c r="L2849" s="201"/>
    </row>
    <row r="2850" spans="1:23" ht="15.6" customHeight="1" thickTop="1" x14ac:dyDescent="0.2">
      <c r="I2850" s="265">
        <f>I2849-'Fin Perform'!I40</f>
        <v>0</v>
      </c>
      <c r="J2850" s="58"/>
      <c r="K2850" s="265">
        <f>K2849-'Fin Perform'!K40</f>
        <v>0</v>
      </c>
      <c r="L2850" s="201"/>
    </row>
    <row r="2851" spans="1:23" ht="46.5" hidden="1" customHeight="1" x14ac:dyDescent="0.2">
      <c r="B2851" s="2840" t="s">
        <v>7409</v>
      </c>
      <c r="C2851" s="2840"/>
      <c r="D2851" s="2840"/>
      <c r="E2851" s="2840"/>
      <c r="F2851" s="2840"/>
      <c r="G2851" s="2840"/>
      <c r="H2851" s="56"/>
      <c r="I2851" s="56"/>
      <c r="J2851" s="56"/>
      <c r="K2851" s="56"/>
      <c r="L2851" s="59"/>
      <c r="M2851" s="1133"/>
      <c r="N2851" s="1147"/>
      <c r="O2851" s="1146"/>
      <c r="P2851" s="1115"/>
    </row>
    <row r="2852" spans="1:23" ht="15.6" hidden="1" customHeight="1" x14ac:dyDescent="0.2">
      <c r="I2852" s="58"/>
      <c r="J2852" s="58"/>
      <c r="K2852" s="58"/>
      <c r="L2852" s="59"/>
      <c r="N2852" s="1471"/>
    </row>
    <row r="2853" spans="1:23" ht="46.5" hidden="1" customHeight="1" x14ac:dyDescent="0.2">
      <c r="B2853" s="2840" t="s">
        <v>7410</v>
      </c>
      <c r="C2853" s="2840"/>
      <c r="D2853" s="2840"/>
      <c r="E2853" s="2840"/>
      <c r="F2853" s="2840"/>
      <c r="G2853" s="2840"/>
      <c r="J2853" s="57"/>
      <c r="M2853" s="1133"/>
      <c r="N2853" s="1147"/>
      <c r="O2853" s="1133"/>
      <c r="P2853" s="1115"/>
    </row>
    <row r="2854" spans="1:23" ht="15.6" hidden="1" customHeight="1" x14ac:dyDescent="0.2">
      <c r="I2854" s="58"/>
      <c r="J2854" s="58"/>
      <c r="K2854" s="58"/>
      <c r="L2854" s="59"/>
      <c r="N2854" s="1471"/>
    </row>
    <row r="2855" spans="1:23" ht="46.5" hidden="1" customHeight="1" x14ac:dyDescent="0.2">
      <c r="B2855" s="2865" t="s">
        <v>2149</v>
      </c>
      <c r="C2855" s="2865"/>
      <c r="D2855" s="2865"/>
      <c r="E2855" s="2865"/>
      <c r="F2855" s="2865"/>
      <c r="G2855" s="2865"/>
      <c r="I2855" s="58"/>
      <c r="J2855" s="58"/>
      <c r="K2855" s="58"/>
      <c r="M2855" s="1133"/>
      <c r="N2855" s="1147"/>
      <c r="O2855" s="1146"/>
      <c r="P2855" s="1115"/>
    </row>
    <row r="2856" spans="1:23" ht="15.6" hidden="1" customHeight="1" x14ac:dyDescent="0.2">
      <c r="M2856" s="1133"/>
      <c r="N2856" s="1133"/>
      <c r="O2856" s="1146"/>
      <c r="P2856" s="1117"/>
    </row>
    <row r="2857" spans="1:23" ht="15.6" hidden="1" customHeight="1" x14ac:dyDescent="0.2">
      <c r="D2857" s="267"/>
      <c r="F2857" s="267"/>
      <c r="G2857" s="267"/>
      <c r="H2857" s="267"/>
      <c r="I2857" s="58"/>
      <c r="J2857" s="58"/>
      <c r="K2857" s="58"/>
      <c r="L2857" s="59"/>
    </row>
    <row r="2858" spans="1:23" ht="15.6" customHeight="1" x14ac:dyDescent="0.25">
      <c r="A2858" s="211">
        <v>33</v>
      </c>
      <c r="B2858" s="50" t="s">
        <v>1629</v>
      </c>
      <c r="C2858" s="50"/>
      <c r="L2858" s="201"/>
      <c r="W2858" s="1114" t="s">
        <v>3520</v>
      </c>
    </row>
    <row r="2859" spans="1:23" ht="15.6" customHeight="1" x14ac:dyDescent="0.2">
      <c r="L2859" s="201"/>
    </row>
    <row r="2860" spans="1:23" ht="15.6" hidden="1" customHeight="1" x14ac:dyDescent="0.2">
      <c r="A2860" s="655"/>
      <c r="B2860" s="655" t="s">
        <v>4402</v>
      </c>
      <c r="C2860" s="655"/>
      <c r="D2860" s="656"/>
      <c r="E2860" s="655"/>
      <c r="F2860" s="656"/>
      <c r="G2860" s="656"/>
      <c r="H2860" s="656"/>
      <c r="I2860" s="658">
        <v>0</v>
      </c>
      <c r="J2860" s="658"/>
      <c r="K2860" s="658">
        <v>0</v>
      </c>
      <c r="L2860" s="1622"/>
      <c r="P2860" s="1110" t="s">
        <v>3482</v>
      </c>
      <c r="Q2860" s="1111" t="s">
        <v>2763</v>
      </c>
      <c r="R2860" s="1111" t="s">
        <v>3483</v>
      </c>
      <c r="S2860" s="1111" t="s">
        <v>2765</v>
      </c>
    </row>
    <row r="2861" spans="1:23" ht="15.6" hidden="1" customHeight="1" x14ac:dyDescent="0.2">
      <c r="A2861" s="655"/>
      <c r="B2861" s="655" t="s">
        <v>4403</v>
      </c>
      <c r="C2861" s="655"/>
      <c r="D2861" s="656"/>
      <c r="E2861" s="655"/>
      <c r="F2861" s="656"/>
      <c r="G2861" s="656"/>
      <c r="H2861" s="656"/>
      <c r="I2861" s="658">
        <v>0</v>
      </c>
      <c r="J2861" s="658"/>
      <c r="K2861" s="658">
        <v>0</v>
      </c>
      <c r="L2861" s="1622"/>
      <c r="P2861" s="1110" t="s">
        <v>3486</v>
      </c>
      <c r="Q2861" s="1111" t="s">
        <v>2763</v>
      </c>
      <c r="R2861" s="1111" t="s">
        <v>3487</v>
      </c>
      <c r="S2861" s="1111" t="s">
        <v>2765</v>
      </c>
    </row>
    <row r="2862" spans="1:23" ht="15.6" hidden="1" customHeight="1" x14ac:dyDescent="0.2">
      <c r="B2862" s="2046" t="s">
        <v>3749</v>
      </c>
      <c r="I2862" s="2028">
        <v>0</v>
      </c>
      <c r="J2862" s="58"/>
      <c r="K2862" s="2028">
        <v>0</v>
      </c>
      <c r="L2862" s="268"/>
      <c r="P2862" s="1110" t="s">
        <v>3488</v>
      </c>
      <c r="Q2862" s="1111" t="s">
        <v>2763</v>
      </c>
      <c r="R2862" s="1111" t="s">
        <v>3489</v>
      </c>
      <c r="S2862" s="1111" t="s">
        <v>2765</v>
      </c>
      <c r="T2862" s="48"/>
      <c r="U2862" s="48"/>
      <c r="V2862" s="48"/>
      <c r="W2862" s="48"/>
    </row>
    <row r="2863" spans="1:23" ht="15.6" hidden="1" customHeight="1" x14ac:dyDescent="0.2">
      <c r="B2863" s="48" t="s">
        <v>3750</v>
      </c>
      <c r="I2863" s="2028">
        <v>0</v>
      </c>
      <c r="J2863" s="58"/>
      <c r="K2863" s="2028">
        <v>0</v>
      </c>
      <c r="L2863" s="268"/>
      <c r="P2863" s="1110" t="s">
        <v>3490</v>
      </c>
      <c r="Q2863" s="1111" t="s">
        <v>2763</v>
      </c>
      <c r="R2863" s="1111" t="s">
        <v>3491</v>
      </c>
      <c r="S2863" s="1111" t="s">
        <v>2765</v>
      </c>
      <c r="T2863" s="48"/>
      <c r="U2863" s="48"/>
      <c r="V2863" s="48"/>
      <c r="W2863" s="48"/>
    </row>
    <row r="2864" spans="1:23" ht="15.6" hidden="1" customHeight="1" x14ac:dyDescent="0.2">
      <c r="B2864" s="2046" t="s">
        <v>3751</v>
      </c>
      <c r="I2864" s="2028"/>
      <c r="J2864" s="58"/>
      <c r="K2864" s="2028"/>
      <c r="L2864" s="268"/>
      <c r="P2864" s="1110" t="s">
        <v>3492</v>
      </c>
      <c r="Q2864" s="1111" t="s">
        <v>2763</v>
      </c>
      <c r="R2864" s="1111" t="s">
        <v>3493</v>
      </c>
      <c r="S2864" s="1111" t="s">
        <v>2765</v>
      </c>
      <c r="T2864" s="48"/>
      <c r="U2864" s="48"/>
      <c r="V2864" s="48"/>
      <c r="W2864" s="48"/>
    </row>
    <row r="2865" spans="1:23" ht="15.6" hidden="1" customHeight="1" x14ac:dyDescent="0.2">
      <c r="B2865" s="48" t="s">
        <v>3752</v>
      </c>
      <c r="I2865" s="2028">
        <v>0</v>
      </c>
      <c r="J2865" s="58"/>
      <c r="K2865" s="2028">
        <v>0</v>
      </c>
      <c r="L2865" s="268"/>
      <c r="P2865" s="1110" t="s">
        <v>3494</v>
      </c>
      <c r="Q2865" s="1111" t="s">
        <v>2763</v>
      </c>
      <c r="R2865" s="1111" t="s">
        <v>3495</v>
      </c>
      <c r="S2865" s="1111" t="s">
        <v>2765</v>
      </c>
      <c r="T2865" s="48"/>
      <c r="U2865" s="48"/>
      <c r="V2865" s="48"/>
      <c r="W2865" s="48"/>
    </row>
    <row r="2866" spans="1:23" ht="15.6" hidden="1" customHeight="1" x14ac:dyDescent="0.2">
      <c r="B2866" s="48" t="s">
        <v>3753</v>
      </c>
      <c r="I2866" s="2028">
        <v>0</v>
      </c>
      <c r="J2866" s="58"/>
      <c r="K2866" s="2028">
        <v>0</v>
      </c>
      <c r="L2866" s="268"/>
      <c r="P2866" s="1110" t="s">
        <v>3496</v>
      </c>
      <c r="Q2866" s="1111" t="s">
        <v>2763</v>
      </c>
      <c r="R2866" s="1111" t="s">
        <v>3497</v>
      </c>
      <c r="S2866" s="1111" t="s">
        <v>2765</v>
      </c>
      <c r="T2866" s="48"/>
      <c r="U2866" s="48"/>
      <c r="V2866" s="48"/>
      <c r="W2866" s="48"/>
    </row>
    <row r="2867" spans="1:23" ht="15.6" customHeight="1" x14ac:dyDescent="0.2">
      <c r="B2867" s="48" t="s">
        <v>1630</v>
      </c>
      <c r="I2867" s="58">
        <f>SUM('Trial Balance - FPer'!G766:G772)</f>
        <v>4978871.83</v>
      </c>
      <c r="J2867" s="58"/>
      <c r="K2867" s="58">
        <f>SUM('Trial Balance - FPer'!C766:C772)</f>
        <v>4893309.4399999995</v>
      </c>
      <c r="L2867" s="268"/>
      <c r="M2867" s="1147">
        <v>0</v>
      </c>
      <c r="P2867" s="1110" t="s">
        <v>3498</v>
      </c>
      <c r="Q2867" s="1111" t="s">
        <v>2763</v>
      </c>
      <c r="R2867" s="1111" t="s">
        <v>3499</v>
      </c>
      <c r="S2867" s="1111" t="s">
        <v>2765</v>
      </c>
      <c r="T2867" s="48"/>
      <c r="U2867" s="48"/>
      <c r="V2867" s="48"/>
      <c r="W2867" s="48"/>
    </row>
    <row r="2868" spans="1:23" ht="15.6" customHeight="1" x14ac:dyDescent="0.2">
      <c r="B2868" s="48" t="s">
        <v>603</v>
      </c>
      <c r="I2868" s="58">
        <f>SUM('Trial Balance - FPer'!G773:G779)</f>
        <v>130855.5</v>
      </c>
      <c r="J2868" s="58"/>
      <c r="K2868" s="58">
        <f>SUM('Trial Balance - FPer'!C773:C779)</f>
        <v>36671.870000000003</v>
      </c>
      <c r="L2868" s="268"/>
      <c r="M2868" s="1147">
        <v>0</v>
      </c>
      <c r="P2868" s="1110" t="s">
        <v>3500</v>
      </c>
      <c r="Q2868" s="1111" t="s">
        <v>2763</v>
      </c>
      <c r="R2868" s="1111" t="s">
        <v>3501</v>
      </c>
      <c r="S2868" s="1111" t="s">
        <v>2765</v>
      </c>
      <c r="T2868" s="48"/>
      <c r="U2868" s="48"/>
      <c r="V2868" s="48"/>
      <c r="W2868" s="48"/>
    </row>
    <row r="2869" spans="1:23" ht="15.6" hidden="1" customHeight="1" x14ac:dyDescent="0.2">
      <c r="B2869" s="48" t="s">
        <v>3754</v>
      </c>
      <c r="I2869" s="58">
        <v>0</v>
      </c>
      <c r="J2869" s="58"/>
      <c r="K2869" s="58">
        <v>0</v>
      </c>
      <c r="L2869" s="268"/>
      <c r="P2869" s="1110" t="s">
        <v>3502</v>
      </c>
      <c r="Q2869" s="1111" t="s">
        <v>2763</v>
      </c>
      <c r="R2869" s="1111" t="s">
        <v>3503</v>
      </c>
      <c r="S2869" s="1111" t="s">
        <v>2765</v>
      </c>
      <c r="T2869" s="48"/>
      <c r="U2869" s="48"/>
      <c r="V2869" s="48"/>
      <c r="W2869" s="48"/>
    </row>
    <row r="2870" spans="1:23" ht="15.6" customHeight="1" x14ac:dyDescent="0.2">
      <c r="B2870" s="48" t="s">
        <v>4404</v>
      </c>
      <c r="I2870" s="58">
        <f>SUM('Trial Balance - FPer'!G763:G765)</f>
        <v>59538.59</v>
      </c>
      <c r="J2870" s="58"/>
      <c r="K2870" s="58">
        <f>SUM('Trial Balance - FPer'!C763:C765)</f>
        <v>3090318.15</v>
      </c>
      <c r="L2870" s="268"/>
      <c r="M2870" s="1147">
        <v>0</v>
      </c>
      <c r="P2870" s="1110" t="s">
        <v>3484</v>
      </c>
      <c r="Q2870" s="1111" t="s">
        <v>2763</v>
      </c>
      <c r="R2870" s="1111" t="s">
        <v>3485</v>
      </c>
      <c r="S2870" s="1111" t="s">
        <v>2765</v>
      </c>
      <c r="T2870" s="48"/>
      <c r="U2870" s="48"/>
      <c r="V2870" s="48"/>
      <c r="W2870" s="48"/>
    </row>
    <row r="2871" spans="1:23" ht="15.6" hidden="1" customHeight="1" x14ac:dyDescent="0.2">
      <c r="A2871" s="655"/>
      <c r="B2871" s="655" t="s">
        <v>3755</v>
      </c>
      <c r="C2871" s="655"/>
      <c r="D2871" s="656"/>
      <c r="E2871" s="655"/>
      <c r="F2871" s="656"/>
      <c r="G2871" s="656"/>
      <c r="H2871" s="656"/>
      <c r="I2871" s="658">
        <v>0</v>
      </c>
      <c r="J2871" s="658"/>
      <c r="K2871" s="658">
        <v>0</v>
      </c>
      <c r="L2871" s="1622"/>
      <c r="P2871" s="1110" t="s">
        <v>3747</v>
      </c>
      <c r="Q2871" s="1111" t="s">
        <v>2763</v>
      </c>
      <c r="R2871" s="1111" t="s">
        <v>3748</v>
      </c>
      <c r="S2871" s="1111" t="s">
        <v>2765</v>
      </c>
      <c r="T2871" s="48"/>
      <c r="U2871" s="48"/>
      <c r="V2871" s="48"/>
      <c r="W2871" s="48"/>
    </row>
    <row r="2872" spans="1:23" ht="15.6" hidden="1" customHeight="1" x14ac:dyDescent="0.2">
      <c r="B2872" s="48" t="s">
        <v>1631</v>
      </c>
      <c r="I2872" s="58">
        <v>0</v>
      </c>
      <c r="J2872" s="58"/>
      <c r="K2872" s="58">
        <v>0</v>
      </c>
      <c r="L2872" s="268"/>
      <c r="P2872" s="1110" t="s">
        <v>3504</v>
      </c>
      <c r="Q2872" s="1111" t="s">
        <v>2763</v>
      </c>
      <c r="R2872" s="1111" t="s">
        <v>3505</v>
      </c>
      <c r="S2872" s="1111" t="s">
        <v>2765</v>
      </c>
      <c r="T2872" s="48"/>
      <c r="U2872" s="48"/>
      <c r="V2872" s="48"/>
      <c r="W2872" s="48"/>
    </row>
    <row r="2873" spans="1:23" ht="15.6" customHeight="1" x14ac:dyDescent="0.25">
      <c r="I2873" s="58"/>
      <c r="J2873" s="58"/>
      <c r="K2873" s="58"/>
      <c r="L2873" s="269"/>
      <c r="M2873" s="1133"/>
      <c r="N2873" s="1147"/>
      <c r="O2873" s="1146"/>
      <c r="T2873" s="48"/>
      <c r="U2873" s="48"/>
      <c r="V2873" s="48"/>
      <c r="W2873" s="48"/>
    </row>
    <row r="2874" spans="1:23" ht="15.6" customHeight="1" thickBot="1" x14ac:dyDescent="0.3">
      <c r="B2874" s="50" t="s">
        <v>1632</v>
      </c>
      <c r="C2874" s="50"/>
      <c r="I2874" s="202">
        <f>SUM(I2859:I2873)</f>
        <v>5169265.92</v>
      </c>
      <c r="K2874" s="202">
        <f>SUM(K2859:K2873)</f>
        <v>8020299.459999999</v>
      </c>
      <c r="L2874" s="201"/>
      <c r="T2874" s="48"/>
      <c r="U2874" s="48"/>
      <c r="V2874" s="48"/>
      <c r="W2874" s="48"/>
    </row>
    <row r="2875" spans="1:23" ht="15.6" customHeight="1" thickTop="1" x14ac:dyDescent="0.2">
      <c r="I2875" s="2107">
        <f>I2874-'Fin Perform'!I41</f>
        <v>0</v>
      </c>
      <c r="J2875" s="320"/>
      <c r="K2875" s="2107">
        <f>K2874-'Fin Perform'!K41</f>
        <v>0</v>
      </c>
      <c r="L2875" s="201"/>
      <c r="T2875" s="48"/>
      <c r="U2875" s="48"/>
      <c r="V2875" s="48"/>
      <c r="W2875" s="48"/>
    </row>
    <row r="2876" spans="1:23" ht="15.6" hidden="1" customHeight="1" x14ac:dyDescent="0.25">
      <c r="A2876" s="767"/>
      <c r="B2876" s="767" t="s">
        <v>1028</v>
      </c>
      <c r="C2876" s="767"/>
      <c r="D2876" s="769"/>
      <c r="E2876" s="767"/>
      <c r="F2876" s="769"/>
      <c r="G2876" s="769"/>
      <c r="H2876" s="769"/>
      <c r="I2876" s="1542"/>
      <c r="J2876" s="1542"/>
      <c r="K2876" s="1542"/>
      <c r="L2876" s="1619"/>
      <c r="M2876" s="1133"/>
      <c r="N2876" s="1147"/>
      <c r="O2876" s="1146"/>
      <c r="P2876" s="1115"/>
      <c r="T2876" s="48"/>
      <c r="U2876" s="48"/>
      <c r="V2876" s="48"/>
      <c r="W2876" s="48"/>
    </row>
    <row r="2877" spans="1:23" ht="15.6" hidden="1" customHeight="1" x14ac:dyDescent="0.25">
      <c r="A2877" s="767"/>
      <c r="B2877" s="767" t="s">
        <v>1029</v>
      </c>
      <c r="C2877" s="767"/>
      <c r="D2877" s="769"/>
      <c r="E2877" s="767"/>
      <c r="F2877" s="769"/>
      <c r="G2877" s="769"/>
      <c r="H2877" s="769"/>
      <c r="I2877" s="1542">
        <f>I2874-I2878</f>
        <v>5169265.92</v>
      </c>
      <c r="J2877" s="1542"/>
      <c r="K2877" s="1542">
        <f>K2874-K2878</f>
        <v>8020299.459999999</v>
      </c>
      <c r="L2877" s="1619"/>
      <c r="M2877" s="1133"/>
      <c r="N2877" s="1147"/>
      <c r="O2877" s="1146"/>
      <c r="P2877" s="1115"/>
      <c r="T2877" s="48"/>
      <c r="U2877" s="48"/>
      <c r="V2877" s="48"/>
      <c r="W2877" s="48"/>
    </row>
    <row r="2878" spans="1:23" ht="15.6" hidden="1" customHeight="1" x14ac:dyDescent="0.25">
      <c r="A2878" s="767"/>
      <c r="B2878" s="767" t="s">
        <v>1030</v>
      </c>
      <c r="C2878" s="767"/>
      <c r="D2878" s="769"/>
      <c r="E2878" s="767"/>
      <c r="F2878" s="769"/>
      <c r="G2878" s="769"/>
      <c r="H2878" s="769"/>
      <c r="I2878" s="1542">
        <v>0</v>
      </c>
      <c r="J2878" s="1542"/>
      <c r="K2878" s="1542">
        <v>0</v>
      </c>
      <c r="L2878" s="1619"/>
      <c r="M2878" s="1133"/>
      <c r="N2878" s="1147"/>
      <c r="O2878" s="1146"/>
      <c r="P2878" s="1115"/>
    </row>
    <row r="2879" spans="1:23" ht="15.6" hidden="1" customHeight="1" x14ac:dyDescent="0.25">
      <c r="A2879" s="767"/>
      <c r="B2879" s="767"/>
      <c r="C2879" s="767"/>
      <c r="D2879" s="769"/>
      <c r="E2879" s="767"/>
      <c r="F2879" s="769"/>
      <c r="G2879" s="769"/>
      <c r="H2879" s="769"/>
      <c r="I2879" s="779"/>
      <c r="J2879" s="779"/>
      <c r="K2879" s="779"/>
      <c r="L2879" s="1619"/>
      <c r="M2879" s="1133"/>
      <c r="N2879" s="1147"/>
      <c r="O2879" s="1146"/>
      <c r="P2879" s="1115"/>
    </row>
    <row r="2880" spans="1:23" ht="15.6" hidden="1" customHeight="1" thickBot="1" x14ac:dyDescent="0.3">
      <c r="A2880" s="767"/>
      <c r="B2880" s="767"/>
      <c r="C2880" s="767"/>
      <c r="D2880" s="769"/>
      <c r="E2880" s="767"/>
      <c r="F2880" s="769"/>
      <c r="G2880" s="769"/>
      <c r="H2880" s="769"/>
      <c r="I2880" s="1539">
        <f>SUM(I2877:I2879)</f>
        <v>5169265.92</v>
      </c>
      <c r="J2880" s="775"/>
      <c r="K2880" s="1539">
        <f>SUM(K2877:K2879)</f>
        <v>8020299.459999999</v>
      </c>
      <c r="L2880" s="1619"/>
      <c r="M2880" s="1133"/>
      <c r="N2880" s="1147"/>
      <c r="O2880" s="1146"/>
      <c r="P2880" s="1115"/>
    </row>
    <row r="2881" spans="1:23" ht="15.6" hidden="1" customHeight="1" thickTop="1" x14ac:dyDescent="0.25">
      <c r="A2881" s="767"/>
      <c r="B2881" s="767"/>
      <c r="C2881" s="767"/>
      <c r="D2881" s="769"/>
      <c r="E2881" s="767"/>
      <c r="F2881" s="769"/>
      <c r="G2881" s="769"/>
      <c r="H2881" s="769"/>
      <c r="I2881" s="782">
        <f>I2880-I2874</f>
        <v>0</v>
      </c>
      <c r="J2881" s="779"/>
      <c r="K2881" s="782">
        <f>K2880-K2874</f>
        <v>0</v>
      </c>
      <c r="L2881" s="1619"/>
      <c r="M2881" s="1133"/>
      <c r="N2881" s="1147"/>
      <c r="O2881" s="1146"/>
    </row>
    <row r="2882" spans="1:23" ht="46.5" customHeight="1" x14ac:dyDescent="0.2">
      <c r="B2882" s="2839" t="s">
        <v>7582</v>
      </c>
      <c r="C2882" s="2839"/>
      <c r="D2882" s="2839"/>
      <c r="E2882" s="2839"/>
      <c r="F2882" s="2839"/>
      <c r="G2882" s="2839"/>
      <c r="H2882" s="56"/>
      <c r="I2882" s="56"/>
      <c r="J2882" s="56"/>
      <c r="K2882" s="56"/>
      <c r="L2882" s="59"/>
      <c r="M2882" s="1133"/>
      <c r="N2882" s="1147"/>
      <c r="O2882" s="1146"/>
      <c r="P2882" s="1115"/>
    </row>
    <row r="2883" spans="1:23" ht="15.6" customHeight="1" x14ac:dyDescent="0.2">
      <c r="I2883" s="58"/>
      <c r="J2883" s="58"/>
      <c r="K2883" s="58"/>
      <c r="L2883" s="59"/>
      <c r="N2883" s="1471"/>
    </row>
    <row r="2884" spans="1:23" ht="46.5" hidden="1" customHeight="1" x14ac:dyDescent="0.2">
      <c r="A2884" s="767"/>
      <c r="B2884" s="2855" t="s">
        <v>1703</v>
      </c>
      <c r="C2884" s="2855"/>
      <c r="D2884" s="2855"/>
      <c r="E2884" s="2855"/>
      <c r="F2884" s="2855"/>
      <c r="G2884" s="2855"/>
      <c r="H2884" s="768"/>
      <c r="I2884" s="768"/>
      <c r="J2884" s="768"/>
      <c r="K2884" s="768"/>
      <c r="L2884" s="777"/>
      <c r="M2884" s="1133"/>
      <c r="N2884" s="1147"/>
      <c r="O2884" s="1146"/>
    </row>
    <row r="2885" spans="1:23" ht="15.6" hidden="1" customHeight="1" x14ac:dyDescent="0.2">
      <c r="A2885" s="767"/>
      <c r="B2885" s="767"/>
      <c r="C2885" s="767"/>
      <c r="D2885" s="769"/>
      <c r="E2885" s="767"/>
      <c r="F2885" s="769"/>
      <c r="G2885" s="769"/>
      <c r="H2885" s="769"/>
      <c r="I2885" s="779"/>
      <c r="J2885" s="779"/>
      <c r="K2885" s="779"/>
      <c r="L2885" s="777"/>
      <c r="N2885" s="1471"/>
    </row>
    <row r="2886" spans="1:23" ht="15.6" hidden="1" customHeight="1" x14ac:dyDescent="0.25">
      <c r="I2886" s="200"/>
      <c r="J2886" s="200"/>
      <c r="K2886" s="200"/>
      <c r="L2886" s="269"/>
    </row>
    <row r="2887" spans="1:23" ht="15.6" customHeight="1" x14ac:dyDescent="0.25">
      <c r="A2887" s="211">
        <v>34</v>
      </c>
      <c r="B2887" s="50" t="s">
        <v>648</v>
      </c>
      <c r="C2887" s="50"/>
      <c r="L2887" s="201"/>
      <c r="M2887" s="1214" t="s">
        <v>4041</v>
      </c>
      <c r="W2887" s="1114" t="s">
        <v>3520</v>
      </c>
    </row>
    <row r="2888" spans="1:23" ht="15.6" customHeight="1" x14ac:dyDescent="0.25">
      <c r="A2888" s="211"/>
      <c r="B2888" s="50"/>
      <c r="C2888" s="50"/>
      <c r="L2888" s="201"/>
    </row>
    <row r="2889" spans="1:23" ht="15.6" hidden="1" customHeight="1" x14ac:dyDescent="0.2">
      <c r="A2889" s="655"/>
      <c r="B2889" s="655" t="s">
        <v>3756</v>
      </c>
      <c r="C2889" s="655"/>
      <c r="D2889" s="656"/>
      <c r="E2889" s="655"/>
      <c r="F2889" s="656"/>
      <c r="G2889" s="1528"/>
      <c r="H2889" s="656"/>
      <c r="I2889" s="658">
        <v>0</v>
      </c>
      <c r="J2889" s="658"/>
      <c r="K2889" s="658">
        <v>0</v>
      </c>
      <c r="L2889" s="1622"/>
      <c r="P2889" s="1110" t="s">
        <v>3506</v>
      </c>
      <c r="Q2889" s="1111" t="s">
        <v>2763</v>
      </c>
      <c r="R2889" s="1111" t="s">
        <v>3507</v>
      </c>
      <c r="S2889" s="1111" t="s">
        <v>2765</v>
      </c>
    </row>
    <row r="2890" spans="1:23" ht="15.6" hidden="1" customHeight="1" x14ac:dyDescent="0.2">
      <c r="B2890" s="48" t="s">
        <v>1369</v>
      </c>
      <c r="G2890" s="217"/>
      <c r="I2890" s="58">
        <v>0</v>
      </c>
      <c r="J2890" s="58"/>
      <c r="K2890" s="58">
        <v>0</v>
      </c>
      <c r="L2890" s="268"/>
      <c r="P2890" s="1110" t="s">
        <v>3508</v>
      </c>
      <c r="Q2890" s="1111" t="s">
        <v>2763</v>
      </c>
      <c r="R2890" s="1111" t="s">
        <v>3509</v>
      </c>
      <c r="S2890" s="1111" t="s">
        <v>2765</v>
      </c>
    </row>
    <row r="2891" spans="1:23" ht="15.6" customHeight="1" x14ac:dyDescent="0.2">
      <c r="B2891" s="61" t="s">
        <v>1409</v>
      </c>
      <c r="G2891" s="217"/>
      <c r="I2891" s="58">
        <f>'Trial Balance - FPer'!G857</f>
        <v>1091380.58</v>
      </c>
      <c r="J2891" s="58"/>
      <c r="K2891" s="58">
        <f>'Trial Balance - FPer'!C857</f>
        <v>4155905.9800000004</v>
      </c>
      <c r="L2891" s="268"/>
      <c r="P2891" s="1110" t="s">
        <v>3510</v>
      </c>
      <c r="Q2891" s="1111" t="s">
        <v>2763</v>
      </c>
      <c r="R2891" s="1111" t="s">
        <v>3511</v>
      </c>
      <c r="S2891" s="1111" t="s">
        <v>2765</v>
      </c>
    </row>
    <row r="2892" spans="1:23" ht="15.6" hidden="1" customHeight="1" x14ac:dyDescent="0.2">
      <c r="B2892" s="48" t="s">
        <v>1772</v>
      </c>
      <c r="G2892" s="217"/>
      <c r="I2892" s="58">
        <v>0</v>
      </c>
      <c r="J2892" s="58"/>
      <c r="K2892" s="58">
        <v>0</v>
      </c>
      <c r="L2892" s="268"/>
      <c r="P2892" s="1110" t="s">
        <v>4405</v>
      </c>
      <c r="Q2892" s="1111" t="s">
        <v>2763</v>
      </c>
      <c r="R2892" s="1110" t="s">
        <v>4409</v>
      </c>
      <c r="S2892" s="1111" t="s">
        <v>2765</v>
      </c>
    </row>
    <row r="2893" spans="1:23" ht="15.6" hidden="1" customHeight="1" x14ac:dyDescent="0.2">
      <c r="B2893" s="48" t="s">
        <v>2150</v>
      </c>
      <c r="G2893" s="217"/>
      <c r="I2893" s="58">
        <v>0</v>
      </c>
      <c r="J2893" s="58"/>
      <c r="K2893" s="58">
        <v>0</v>
      </c>
      <c r="L2893" s="268"/>
      <c r="P2893" s="1110" t="s">
        <v>4414</v>
      </c>
      <c r="Q2893" s="1111" t="s">
        <v>2763</v>
      </c>
      <c r="R2893" s="1110" t="s">
        <v>4415</v>
      </c>
      <c r="S2893" s="1111" t="s">
        <v>2765</v>
      </c>
    </row>
    <row r="2894" spans="1:23" ht="15.6" hidden="1" customHeight="1" x14ac:dyDescent="0.2">
      <c r="B2894" s="48" t="s">
        <v>2229</v>
      </c>
      <c r="G2894" s="217"/>
      <c r="I2894" s="58">
        <v>0</v>
      </c>
      <c r="J2894" s="58"/>
      <c r="K2894" s="58">
        <v>0</v>
      </c>
      <c r="L2894" s="268"/>
      <c r="P2894" s="1110" t="s">
        <v>4406</v>
      </c>
      <c r="Q2894" s="1111" t="s">
        <v>2763</v>
      </c>
      <c r="R2894" s="1110" t="s">
        <v>4410</v>
      </c>
      <c r="S2894" s="1111" t="s">
        <v>2765</v>
      </c>
      <c r="T2894" s="48"/>
      <c r="U2894" s="48"/>
      <c r="V2894" s="48"/>
      <c r="W2894" s="48"/>
    </row>
    <row r="2895" spans="1:23" ht="15.6" hidden="1" customHeight="1" x14ac:dyDescent="0.2">
      <c r="A2895" s="655"/>
      <c r="B2895" s="655" t="s">
        <v>604</v>
      </c>
      <c r="C2895" s="655"/>
      <c r="D2895" s="656"/>
      <c r="E2895" s="655"/>
      <c r="F2895" s="656"/>
      <c r="G2895" s="1528"/>
      <c r="H2895" s="656"/>
      <c r="I2895" s="658">
        <v>0</v>
      </c>
      <c r="J2895" s="658"/>
      <c r="K2895" s="658">
        <v>0</v>
      </c>
      <c r="L2895" s="1622"/>
      <c r="P2895" s="1110" t="s">
        <v>4407</v>
      </c>
      <c r="Q2895" s="1111" t="s">
        <v>2763</v>
      </c>
      <c r="R2895" s="1110" t="s">
        <v>4411</v>
      </c>
      <c r="S2895" s="1111" t="s">
        <v>2765</v>
      </c>
      <c r="T2895" s="48"/>
      <c r="U2895" s="48"/>
      <c r="V2895" s="48"/>
      <c r="W2895" s="48"/>
    </row>
    <row r="2896" spans="1:23" ht="15.6" hidden="1" customHeight="1" x14ac:dyDescent="0.2">
      <c r="B2896" s="48" t="s">
        <v>1871</v>
      </c>
      <c r="G2896" s="217"/>
      <c r="I2896" s="58">
        <v>0</v>
      </c>
      <c r="J2896" s="58"/>
      <c r="K2896" s="58">
        <v>0</v>
      </c>
      <c r="L2896" s="268"/>
      <c r="P2896" s="1110" t="s">
        <v>4408</v>
      </c>
      <c r="Q2896" s="1111" t="s">
        <v>2763</v>
      </c>
      <c r="R2896" s="1110" t="s">
        <v>4412</v>
      </c>
      <c r="S2896" s="1111" t="s">
        <v>2765</v>
      </c>
      <c r="T2896" s="48"/>
      <c r="U2896" s="48"/>
      <c r="V2896" s="48"/>
      <c r="W2896" s="48"/>
    </row>
    <row r="2897" spans="1:23" ht="15.6" hidden="1" customHeight="1" x14ac:dyDescent="0.2">
      <c r="A2897" s="655"/>
      <c r="B2897" s="655" t="s">
        <v>1773</v>
      </c>
      <c r="C2897" s="655"/>
      <c r="D2897" s="656"/>
      <c r="E2897" s="655"/>
      <c r="F2897" s="656"/>
      <c r="G2897" s="1528"/>
      <c r="H2897" s="656"/>
      <c r="I2897" s="658">
        <v>0</v>
      </c>
      <c r="J2897" s="658"/>
      <c r="K2897" s="658">
        <v>0</v>
      </c>
      <c r="L2897" s="1622"/>
      <c r="P2897" s="1110" t="s">
        <v>3512</v>
      </c>
      <c r="Q2897" s="1111" t="s">
        <v>2763</v>
      </c>
      <c r="R2897" s="1111" t="s">
        <v>3513</v>
      </c>
      <c r="S2897" s="1111" t="s">
        <v>2765</v>
      </c>
      <c r="T2897" s="48"/>
      <c r="U2897" s="48"/>
      <c r="V2897" s="48"/>
      <c r="W2897" s="48"/>
    </row>
    <row r="2898" spans="1:23" ht="15.6" customHeight="1" x14ac:dyDescent="0.2">
      <c r="G2898" s="217"/>
      <c r="I2898" s="58"/>
      <c r="J2898" s="58"/>
      <c r="K2898" s="58"/>
      <c r="L2898" s="268"/>
      <c r="T2898" s="48"/>
      <c r="U2898" s="48"/>
      <c r="V2898" s="48"/>
      <c r="W2898" s="48"/>
    </row>
    <row r="2899" spans="1:23" ht="15.6" customHeight="1" thickBot="1" x14ac:dyDescent="0.3">
      <c r="B2899" s="50" t="s">
        <v>649</v>
      </c>
      <c r="C2899" s="50"/>
      <c r="I2899" s="204">
        <f>SUM(I2887:I2898)</f>
        <v>1091380.58</v>
      </c>
      <c r="J2899" s="58"/>
      <c r="K2899" s="204">
        <f>SUM(K2887:K2898)</f>
        <v>4155905.9800000004</v>
      </c>
      <c r="L2899" s="268"/>
      <c r="T2899" s="48"/>
      <c r="U2899" s="48"/>
      <c r="V2899" s="48"/>
      <c r="W2899" s="48"/>
    </row>
    <row r="2900" spans="1:23" ht="15.6" customHeight="1" thickTop="1" x14ac:dyDescent="0.2">
      <c r="I2900" s="265">
        <f>I2899-'Fin Perform'!I42</f>
        <v>0</v>
      </c>
      <c r="J2900" s="58"/>
      <c r="K2900" s="265">
        <f>K2899-'Fin Perform'!K42</f>
        <v>0</v>
      </c>
      <c r="L2900" s="268"/>
      <c r="P2900" s="1115"/>
      <c r="T2900" s="48"/>
      <c r="U2900" s="48"/>
      <c r="V2900" s="48"/>
      <c r="W2900" s="48"/>
    </row>
    <row r="2901" spans="1:23" ht="46.5" hidden="1" customHeight="1" x14ac:dyDescent="0.2">
      <c r="B2901" s="2839" t="s">
        <v>2547</v>
      </c>
      <c r="C2901" s="2839"/>
      <c r="D2901" s="2839"/>
      <c r="E2901" s="2839"/>
      <c r="F2901" s="2839"/>
      <c r="G2901" s="2839"/>
      <c r="H2901" s="56"/>
      <c r="I2901" s="56"/>
      <c r="J2901" s="56"/>
      <c r="K2901" s="56"/>
      <c r="L2901" s="59"/>
      <c r="M2901" s="1133"/>
      <c r="N2901" s="1147"/>
      <c r="O2901" s="1146"/>
      <c r="P2901" s="1115"/>
      <c r="T2901" s="48"/>
      <c r="U2901" s="48"/>
      <c r="V2901" s="48"/>
      <c r="W2901" s="48"/>
    </row>
    <row r="2902" spans="1:23" ht="15.6" hidden="1" customHeight="1" x14ac:dyDescent="0.2">
      <c r="M2902" s="1133"/>
      <c r="N2902" s="1147"/>
      <c r="O2902" s="1592"/>
      <c r="P2902" s="1115"/>
      <c r="T2902" s="48"/>
      <c r="U2902" s="48"/>
      <c r="V2902" s="48"/>
      <c r="W2902" s="48"/>
    </row>
    <row r="2903" spans="1:23" ht="46.5" hidden="1" customHeight="1" x14ac:dyDescent="0.2">
      <c r="B2903" s="2839" t="s">
        <v>2525</v>
      </c>
      <c r="C2903" s="2839"/>
      <c r="D2903" s="2839"/>
      <c r="E2903" s="2839"/>
      <c r="F2903" s="2839"/>
      <c r="G2903" s="2839"/>
      <c r="H2903" s="56"/>
      <c r="I2903" s="56"/>
      <c r="J2903" s="56"/>
      <c r="K2903" s="56"/>
      <c r="L2903" s="59"/>
      <c r="M2903" s="1133"/>
      <c r="N2903" s="1147"/>
      <c r="O2903" s="1146"/>
      <c r="T2903" s="48"/>
      <c r="U2903" s="48"/>
      <c r="V2903" s="48"/>
      <c r="W2903" s="48"/>
    </row>
    <row r="2904" spans="1:23" ht="15.6" hidden="1" customHeight="1" x14ac:dyDescent="0.2">
      <c r="M2904" s="1133"/>
      <c r="N2904" s="1147"/>
      <c r="O2904" s="1592"/>
      <c r="T2904" s="48"/>
      <c r="U2904" s="48"/>
      <c r="V2904" s="48"/>
      <c r="W2904" s="48"/>
    </row>
    <row r="2905" spans="1:23" ht="30.95" hidden="1" customHeight="1" x14ac:dyDescent="0.25">
      <c r="B2905" s="2839" t="s">
        <v>4413</v>
      </c>
      <c r="C2905" s="2839"/>
      <c r="D2905" s="2839"/>
      <c r="E2905" s="2839"/>
      <c r="F2905" s="2839"/>
      <c r="G2905" s="2839"/>
      <c r="H2905" s="56"/>
      <c r="I2905" s="56"/>
      <c r="J2905" s="56"/>
      <c r="K2905" s="56"/>
      <c r="L2905" s="269"/>
      <c r="T2905" s="48"/>
      <c r="U2905" s="48"/>
      <c r="V2905" s="48"/>
      <c r="W2905" s="48"/>
    </row>
    <row r="2906" spans="1:23" ht="15.6" hidden="1" customHeight="1" x14ac:dyDescent="0.25">
      <c r="I2906" s="200"/>
      <c r="J2906" s="200"/>
      <c r="K2906" s="200"/>
      <c r="L2906" s="269"/>
      <c r="T2906" s="48"/>
      <c r="U2906" s="48"/>
      <c r="V2906" s="48"/>
      <c r="W2906" s="48"/>
    </row>
    <row r="2907" spans="1:23" ht="30.95" customHeight="1" x14ac:dyDescent="0.25">
      <c r="B2907" s="2839" t="s">
        <v>4416</v>
      </c>
      <c r="C2907" s="2839"/>
      <c r="D2907" s="2839"/>
      <c r="E2907" s="2839"/>
      <c r="F2907" s="2839"/>
      <c r="G2907" s="2839"/>
      <c r="H2907" s="56"/>
      <c r="I2907" s="56"/>
      <c r="J2907" s="56"/>
      <c r="K2907" s="56"/>
      <c r="L2907" s="269"/>
      <c r="T2907" s="48"/>
      <c r="U2907" s="48"/>
      <c r="V2907" s="48"/>
      <c r="W2907" s="48"/>
    </row>
    <row r="2908" spans="1:23" ht="15.6" customHeight="1" x14ac:dyDescent="0.25">
      <c r="I2908" s="200"/>
      <c r="J2908" s="200"/>
      <c r="K2908" s="200"/>
      <c r="L2908" s="269"/>
      <c r="T2908" s="48"/>
      <c r="U2908" s="48"/>
      <c r="V2908" s="48"/>
      <c r="W2908" s="48"/>
    </row>
    <row r="2909" spans="1:23" ht="30.95" hidden="1" customHeight="1" x14ac:dyDescent="0.25">
      <c r="A2909" s="625"/>
      <c r="B2909" s="2854" t="s">
        <v>2151</v>
      </c>
      <c r="C2909" s="2854"/>
      <c r="D2909" s="2854"/>
      <c r="E2909" s="2854"/>
      <c r="F2909" s="2854"/>
      <c r="G2909" s="2854"/>
      <c r="H2909" s="632"/>
      <c r="I2909" s="632"/>
      <c r="J2909" s="632"/>
      <c r="K2909" s="632"/>
      <c r="L2909" s="969"/>
      <c r="T2909" s="48"/>
      <c r="U2909" s="48"/>
      <c r="V2909" s="48"/>
      <c r="W2909" s="48"/>
    </row>
    <row r="2910" spans="1:23" ht="15.6" hidden="1" customHeight="1" x14ac:dyDescent="0.25">
      <c r="B2910" s="2839" t="s">
        <v>2152</v>
      </c>
      <c r="C2910" s="2839"/>
      <c r="D2910" s="2839"/>
      <c r="E2910" s="2839"/>
      <c r="F2910" s="2839"/>
      <c r="G2910" s="2839"/>
      <c r="H2910" s="56"/>
      <c r="I2910" s="56"/>
      <c r="J2910" s="56"/>
      <c r="K2910" s="56"/>
      <c r="L2910" s="269"/>
    </row>
    <row r="2911" spans="1:23" ht="15.6" hidden="1" customHeight="1" x14ac:dyDescent="0.25">
      <c r="I2911" s="200"/>
      <c r="J2911" s="200"/>
      <c r="K2911" s="200"/>
      <c r="L2911" s="269"/>
    </row>
    <row r="2912" spans="1:23" ht="30.95" hidden="1" customHeight="1" x14ac:dyDescent="0.25">
      <c r="B2912" s="2839" t="s">
        <v>2153</v>
      </c>
      <c r="C2912" s="2839"/>
      <c r="D2912" s="2839"/>
      <c r="E2912" s="2839"/>
      <c r="F2912" s="2839"/>
      <c r="G2912" s="2839"/>
      <c r="H2912" s="56"/>
      <c r="I2912" s="56"/>
      <c r="J2912" s="56"/>
      <c r="K2912" s="56"/>
      <c r="L2912" s="269"/>
    </row>
    <row r="2913" spans="1:23" ht="15.6" hidden="1" customHeight="1" x14ac:dyDescent="0.25">
      <c r="I2913" s="200"/>
      <c r="J2913" s="200"/>
      <c r="K2913" s="200"/>
      <c r="L2913" s="269"/>
    </row>
    <row r="2914" spans="1:23" ht="30.95" hidden="1" customHeight="1" x14ac:dyDescent="0.25">
      <c r="B2914" s="2839" t="s">
        <v>2617</v>
      </c>
      <c r="C2914" s="2839"/>
      <c r="D2914" s="2839"/>
      <c r="E2914" s="2839"/>
      <c r="F2914" s="2839"/>
      <c r="G2914" s="2839"/>
      <c r="H2914" s="56"/>
      <c r="I2914" s="56"/>
      <c r="J2914" s="56"/>
      <c r="K2914" s="56"/>
      <c r="L2914" s="269"/>
      <c r="P2914" s="1115"/>
    </row>
    <row r="2915" spans="1:23" ht="15.6" hidden="1" customHeight="1" x14ac:dyDescent="0.25">
      <c r="I2915" s="200"/>
      <c r="J2915" s="200"/>
      <c r="K2915" s="200"/>
      <c r="L2915" s="269"/>
      <c r="P2915" s="1115"/>
    </row>
    <row r="2916" spans="1:23" ht="30.95" hidden="1" customHeight="1" x14ac:dyDescent="0.25">
      <c r="A2916" s="745"/>
      <c r="B2916" s="2841" t="s">
        <v>4417</v>
      </c>
      <c r="C2916" s="2841"/>
      <c r="D2916" s="2841"/>
      <c r="E2916" s="2841"/>
      <c r="F2916" s="2841"/>
      <c r="G2916" s="2841"/>
      <c r="H2916" s="845"/>
      <c r="I2916" s="845"/>
      <c r="J2916" s="845"/>
      <c r="K2916" s="845"/>
      <c r="L2916" s="1625"/>
    </row>
    <row r="2917" spans="1:23" ht="15.6" hidden="1" customHeight="1" x14ac:dyDescent="0.25">
      <c r="A2917" s="745"/>
      <c r="B2917" s="745"/>
      <c r="C2917" s="745"/>
      <c r="D2917" s="746"/>
      <c r="E2917" s="745"/>
      <c r="F2917" s="746"/>
      <c r="G2917" s="746"/>
      <c r="H2917" s="746"/>
      <c r="I2917" s="748"/>
      <c r="J2917" s="748"/>
      <c r="K2917" s="748"/>
      <c r="L2917" s="1625"/>
    </row>
    <row r="2918" spans="1:23" ht="30.95" hidden="1" customHeight="1" x14ac:dyDescent="0.25">
      <c r="B2918" s="2839" t="s">
        <v>2154</v>
      </c>
      <c r="C2918" s="2839"/>
      <c r="D2918" s="2839"/>
      <c r="E2918" s="2839"/>
      <c r="F2918" s="2839"/>
      <c r="G2918" s="2839"/>
      <c r="H2918" s="56"/>
      <c r="I2918" s="56"/>
      <c r="J2918" s="56"/>
      <c r="K2918" s="56"/>
      <c r="L2918" s="269"/>
      <c r="P2918" s="1115"/>
    </row>
    <row r="2919" spans="1:23" ht="15.6" hidden="1" customHeight="1" x14ac:dyDescent="0.25">
      <c r="I2919" s="200"/>
      <c r="J2919" s="200"/>
      <c r="K2919" s="200"/>
      <c r="L2919" s="269"/>
      <c r="P2919" s="1115"/>
    </row>
    <row r="2920" spans="1:23" ht="15.6" hidden="1" customHeight="1" x14ac:dyDescent="0.25">
      <c r="I2920" s="200"/>
      <c r="J2920" s="200"/>
      <c r="K2920" s="200"/>
      <c r="L2920" s="269"/>
      <c r="M2920" s="1133"/>
      <c r="N2920" s="1147"/>
      <c r="O2920" s="1146"/>
      <c r="P2920" s="1115"/>
    </row>
    <row r="2921" spans="1:23" ht="15.6" hidden="1" customHeight="1" x14ac:dyDescent="0.25">
      <c r="A2921" s="211">
        <v>40</v>
      </c>
      <c r="B2921" s="50" t="s">
        <v>1079</v>
      </c>
      <c r="C2921" s="50"/>
      <c r="L2921" s="201"/>
      <c r="M2921" s="1213" t="s">
        <v>1992</v>
      </c>
      <c r="N2921" s="1147"/>
      <c r="O2921" s="1146"/>
      <c r="P2921" s="1115"/>
      <c r="W2921" s="1114" t="s">
        <v>3520</v>
      </c>
    </row>
    <row r="2922" spans="1:23" ht="15.6" hidden="1" customHeight="1" x14ac:dyDescent="0.25">
      <c r="A2922" s="211"/>
      <c r="B2922" s="50"/>
      <c r="C2922" s="50"/>
      <c r="L2922" s="201"/>
      <c r="M2922" s="1133"/>
      <c r="N2922" s="1147"/>
      <c r="O2922" s="1146"/>
      <c r="P2922" s="1115"/>
    </row>
    <row r="2923" spans="1:23" ht="15.6" hidden="1" customHeight="1" x14ac:dyDescent="0.2">
      <c r="A2923" s="655"/>
      <c r="B2923" s="655" t="s">
        <v>229</v>
      </c>
      <c r="C2923" s="655"/>
      <c r="D2923" s="656"/>
      <c r="E2923" s="655"/>
      <c r="F2923" s="656"/>
      <c r="G2923" s="656"/>
      <c r="H2923" s="656"/>
      <c r="I2923" s="658">
        <v>0</v>
      </c>
      <c r="J2923" s="658"/>
      <c r="K2923" s="658">
        <v>0</v>
      </c>
      <c r="L2923" s="1622"/>
      <c r="M2923" s="1133"/>
      <c r="N2923" s="1147"/>
      <c r="O2923" s="1146"/>
      <c r="P2923" s="1115" t="s">
        <v>3514</v>
      </c>
      <c r="Q2923" s="1111" t="s">
        <v>2763</v>
      </c>
      <c r="R2923" s="1111" t="s">
        <v>3515</v>
      </c>
      <c r="S2923" s="1111" t="s">
        <v>2765</v>
      </c>
    </row>
    <row r="2924" spans="1:23" ht="15.6" hidden="1" customHeight="1" x14ac:dyDescent="0.2">
      <c r="A2924" s="655"/>
      <c r="B2924" s="655" t="s">
        <v>236</v>
      </c>
      <c r="C2924" s="655"/>
      <c r="D2924" s="656"/>
      <c r="E2924" s="655"/>
      <c r="F2924" s="656"/>
      <c r="G2924" s="656"/>
      <c r="H2924" s="656"/>
      <c r="I2924" s="661">
        <v>0</v>
      </c>
      <c r="J2924" s="661"/>
      <c r="K2924" s="661">
        <v>0</v>
      </c>
      <c r="L2924" s="1505"/>
      <c r="M2924" s="1133"/>
      <c r="N2924" s="1147"/>
      <c r="O2924" s="1146"/>
      <c r="P2924" s="1115" t="s">
        <v>3516</v>
      </c>
      <c r="Q2924" s="1111" t="s">
        <v>2763</v>
      </c>
      <c r="R2924" s="1111" t="s">
        <v>3517</v>
      </c>
      <c r="S2924" s="1111" t="s">
        <v>2765</v>
      </c>
    </row>
    <row r="2925" spans="1:23" ht="15.6" hidden="1" customHeight="1" x14ac:dyDescent="0.2">
      <c r="A2925" s="655"/>
      <c r="B2925" s="655"/>
      <c r="C2925" s="655"/>
      <c r="D2925" s="656"/>
      <c r="E2925" s="655"/>
      <c r="F2925" s="656"/>
      <c r="G2925" s="656"/>
      <c r="H2925" s="656"/>
      <c r="I2925" s="661"/>
      <c r="J2925" s="661"/>
      <c r="K2925" s="661"/>
      <c r="L2925" s="1505"/>
      <c r="M2925" s="1133"/>
      <c r="N2925" s="1147"/>
      <c r="O2925" s="1146"/>
      <c r="P2925" s="1115"/>
    </row>
    <row r="2926" spans="1:23" ht="15.6" hidden="1" customHeight="1" thickBot="1" x14ac:dyDescent="0.3">
      <c r="A2926" s="655"/>
      <c r="B2926" s="659" t="s">
        <v>1080</v>
      </c>
      <c r="C2926" s="659"/>
      <c r="D2926" s="656"/>
      <c r="E2926" s="655"/>
      <c r="F2926" s="656"/>
      <c r="G2926" s="656"/>
      <c r="H2926" s="656"/>
      <c r="I2926" s="1545">
        <f>SUM(I2923:I2925)</f>
        <v>0</v>
      </c>
      <c r="J2926" s="661"/>
      <c r="K2926" s="1545">
        <f>SUM(K2923:K2925)</f>
        <v>0</v>
      </c>
      <c r="L2926" s="1505"/>
      <c r="M2926" s="1133"/>
      <c r="N2926" s="1147"/>
      <c r="O2926" s="1146"/>
      <c r="P2926" s="1115"/>
    </row>
    <row r="2927" spans="1:23" ht="15.6" hidden="1" customHeight="1" thickTop="1" x14ac:dyDescent="0.2">
      <c r="A2927" s="655"/>
      <c r="B2927" s="655"/>
      <c r="C2927" s="655"/>
      <c r="D2927" s="656"/>
      <c r="E2927" s="655"/>
      <c r="F2927" s="656"/>
      <c r="G2927" s="656"/>
      <c r="H2927" s="656"/>
      <c r="I2927" s="1569">
        <f>I2926-'Fin Perform'!I43</f>
        <v>0</v>
      </c>
      <c r="J2927" s="658"/>
      <c r="K2927" s="1569">
        <f>K2926-'Fin Perform'!K43</f>
        <v>0</v>
      </c>
      <c r="L2927" s="1505"/>
      <c r="M2927" s="1133"/>
      <c r="N2927" s="1147"/>
      <c r="O2927" s="1146"/>
      <c r="P2927" s="1115"/>
    </row>
    <row r="2928" spans="1:23" ht="30.95" hidden="1" customHeight="1" x14ac:dyDescent="0.2">
      <c r="A2928" s="655"/>
      <c r="B2928" s="2868" t="s">
        <v>1081</v>
      </c>
      <c r="C2928" s="2868"/>
      <c r="D2928" s="2868"/>
      <c r="E2928" s="2868"/>
      <c r="F2928" s="2868"/>
      <c r="G2928" s="2868"/>
      <c r="H2928" s="656"/>
      <c r="I2928" s="658"/>
      <c r="J2928" s="658"/>
      <c r="K2928" s="658"/>
      <c r="L2928" s="655"/>
      <c r="M2928" s="1133"/>
      <c r="N2928" s="1147"/>
      <c r="O2928" s="1146"/>
      <c r="P2928" s="1115"/>
    </row>
    <row r="2929" spans="1:23" ht="15.6" hidden="1" customHeight="1" x14ac:dyDescent="0.2">
      <c r="A2929" s="655"/>
      <c r="B2929" s="655"/>
      <c r="C2929" s="655"/>
      <c r="D2929" s="656"/>
      <c r="E2929" s="655"/>
      <c r="F2929" s="656"/>
      <c r="G2929" s="656"/>
      <c r="H2929" s="656"/>
      <c r="I2929" s="661"/>
      <c r="J2929" s="661"/>
      <c r="K2929" s="661"/>
      <c r="L2929" s="655"/>
      <c r="M2929" s="1133"/>
      <c r="N2929" s="1133"/>
      <c r="O2929" s="1146"/>
      <c r="P2929" s="1117"/>
    </row>
    <row r="2930" spans="1:23" ht="15.6" hidden="1" customHeight="1" x14ac:dyDescent="0.2">
      <c r="I2930" s="58"/>
      <c r="J2930" s="58"/>
      <c r="K2930" s="58"/>
      <c r="L2930" s="268"/>
    </row>
    <row r="2931" spans="1:23" ht="15.6" customHeight="1" x14ac:dyDescent="0.25">
      <c r="A2931" s="211">
        <v>35</v>
      </c>
      <c r="B2931" s="50" t="s">
        <v>150</v>
      </c>
      <c r="I2931" s="200"/>
      <c r="J2931" s="200"/>
      <c r="K2931" s="200"/>
      <c r="L2931" s="269"/>
      <c r="W2931" s="1114" t="s">
        <v>3520</v>
      </c>
    </row>
    <row r="2932" spans="1:23" ht="15.6" customHeight="1" x14ac:dyDescent="0.25">
      <c r="I2932" s="200"/>
      <c r="J2932" s="200"/>
      <c r="K2932" s="200"/>
      <c r="L2932" s="269"/>
    </row>
    <row r="2933" spans="1:23" ht="15.6" customHeight="1" x14ac:dyDescent="0.25">
      <c r="B2933" s="2839" t="s">
        <v>1638</v>
      </c>
      <c r="C2933" s="2839"/>
      <c r="D2933" s="2839"/>
      <c r="E2933" s="2839"/>
      <c r="F2933" s="2839"/>
      <c r="G2933" s="2839"/>
      <c r="H2933" s="56"/>
      <c r="I2933" s="56"/>
      <c r="J2933" s="56"/>
      <c r="K2933" s="56"/>
      <c r="L2933" s="269"/>
      <c r="N2933" s="1471"/>
    </row>
    <row r="2934" spans="1:23" ht="15.6" customHeight="1" x14ac:dyDescent="0.25">
      <c r="I2934" s="200"/>
      <c r="J2934" s="200"/>
      <c r="K2934" s="200"/>
      <c r="L2934" s="269"/>
    </row>
    <row r="2935" spans="1:23" ht="15.6" customHeight="1" x14ac:dyDescent="0.2">
      <c r="B2935" s="48" t="s">
        <v>1352</v>
      </c>
      <c r="I2935" s="58">
        <f>SUM('Trial Balance - FPer'!G458:G463)</f>
        <v>157891.57999999999</v>
      </c>
      <c r="J2935" s="206"/>
      <c r="K2935" s="58">
        <f>SUM('Trial Balance - FPer'!C458:C463)</f>
        <v>441774.15</v>
      </c>
      <c r="L2935" s="288"/>
      <c r="P2935" s="1110" t="s">
        <v>3766</v>
      </c>
      <c r="Q2935" s="1111" t="s">
        <v>2763</v>
      </c>
      <c r="R2935" s="1110" t="s">
        <v>3779</v>
      </c>
      <c r="S2935" s="1111" t="s">
        <v>2765</v>
      </c>
    </row>
    <row r="2936" spans="1:23" ht="15.6" customHeight="1" x14ac:dyDescent="0.2">
      <c r="B2936" s="48" t="s">
        <v>1404</v>
      </c>
      <c r="I2936" s="58">
        <f>SUM('Trial Balance - FPer'!G468:G469)</f>
        <v>1597456.8100000003</v>
      </c>
      <c r="J2936" s="206"/>
      <c r="K2936" s="58">
        <f>SUM('Trial Balance - FPer'!C468:C469)</f>
        <v>2175075.08</v>
      </c>
      <c r="L2936" s="288"/>
      <c r="P2936" s="1110" t="s">
        <v>3518</v>
      </c>
      <c r="Q2936" s="1111" t="s">
        <v>2763</v>
      </c>
      <c r="R2936" s="1110" t="s">
        <v>3519</v>
      </c>
      <c r="S2936" s="1111" t="s">
        <v>2765</v>
      </c>
    </row>
    <row r="2937" spans="1:23" ht="15.6" customHeight="1" x14ac:dyDescent="0.2">
      <c r="B2937" s="48" t="s">
        <v>1774</v>
      </c>
      <c r="I2937" s="58">
        <f>SUM('Trial Balance - FPer'!G470)</f>
        <v>77876.05</v>
      </c>
      <c r="J2937" s="206"/>
      <c r="K2937" s="58">
        <f>SUM('Trial Balance - FPer'!C470)</f>
        <v>1047580.96</v>
      </c>
      <c r="L2937" s="288"/>
      <c r="P2937" s="1110" t="s">
        <v>3868</v>
      </c>
      <c r="Q2937" s="1111" t="s">
        <v>2763</v>
      </c>
      <c r="R2937" s="1110" t="s">
        <v>3895</v>
      </c>
      <c r="S2937" s="1111" t="s">
        <v>2765</v>
      </c>
    </row>
    <row r="2938" spans="1:23" ht="15.6" hidden="1" customHeight="1" x14ac:dyDescent="0.2">
      <c r="B2938" s="48" t="s">
        <v>1775</v>
      </c>
      <c r="I2938" s="58">
        <v>0</v>
      </c>
      <c r="J2938" s="206"/>
      <c r="K2938" s="58">
        <v>0</v>
      </c>
      <c r="L2938" s="288"/>
      <c r="P2938" s="1110" t="s">
        <v>3869</v>
      </c>
      <c r="Q2938" s="1111" t="s">
        <v>2763</v>
      </c>
      <c r="R2938" s="1110" t="s">
        <v>3889</v>
      </c>
      <c r="S2938" s="1111" t="s">
        <v>2765</v>
      </c>
    </row>
    <row r="2939" spans="1:23" ht="15.6" hidden="1" customHeight="1" x14ac:dyDescent="0.2">
      <c r="B2939" s="48" t="s">
        <v>1776</v>
      </c>
      <c r="I2939" s="58">
        <v>0</v>
      </c>
      <c r="J2939" s="206"/>
      <c r="K2939" s="58">
        <v>0</v>
      </c>
      <c r="L2939" s="288"/>
      <c r="P2939" s="1110" t="s">
        <v>3870</v>
      </c>
      <c r="Q2939" s="1111" t="s">
        <v>2763</v>
      </c>
      <c r="R2939" s="1110" t="s">
        <v>3890</v>
      </c>
      <c r="S2939" s="1111" t="s">
        <v>2765</v>
      </c>
    </row>
    <row r="2940" spans="1:23" ht="15.6" customHeight="1" x14ac:dyDescent="0.2">
      <c r="B2940" s="48" t="s">
        <v>6478</v>
      </c>
      <c r="I2940" s="58">
        <f>'Trial Balance - FPer'!G464</f>
        <v>431.49</v>
      </c>
      <c r="J2940" s="206"/>
      <c r="K2940" s="58">
        <f>'Trial Balance - FPer'!C464</f>
        <v>3167.78</v>
      </c>
      <c r="L2940" s="288"/>
      <c r="R2940" s="1110"/>
    </row>
    <row r="2941" spans="1:23" ht="15.6" customHeight="1" x14ac:dyDescent="0.2">
      <c r="B2941" s="48" t="s">
        <v>6543</v>
      </c>
      <c r="I2941" s="58">
        <f>'Trial Balance - FPer'!G467</f>
        <v>92250</v>
      </c>
      <c r="J2941" s="206"/>
      <c r="K2941" s="58">
        <f>'Trial Balance - FPer'!C467</f>
        <v>0</v>
      </c>
      <c r="L2941" s="288"/>
      <c r="R2941" s="1110"/>
    </row>
    <row r="2942" spans="1:23" ht="15.6" customHeight="1" x14ac:dyDescent="0.2">
      <c r="B2942" s="48" t="s">
        <v>6551</v>
      </c>
      <c r="I2942" s="58">
        <f>'Trial Balance - FPer'!G466</f>
        <v>113340</v>
      </c>
      <c r="J2942" s="206"/>
      <c r="K2942" s="58">
        <f>'Trial Balance - FPer'!C466</f>
        <v>0</v>
      </c>
      <c r="L2942" s="288"/>
      <c r="R2942" s="1110"/>
    </row>
    <row r="2943" spans="1:23" ht="15.6" customHeight="1" x14ac:dyDescent="0.2">
      <c r="B2943" s="48" t="s">
        <v>6553</v>
      </c>
      <c r="I2943" s="58">
        <f>'Trial Balance - FPer'!G465</f>
        <v>64230</v>
      </c>
      <c r="J2943" s="206"/>
      <c r="K2943" s="58">
        <v>0</v>
      </c>
      <c r="L2943" s="288"/>
      <c r="R2943" s="1110"/>
    </row>
    <row r="2944" spans="1:23" ht="15.6" customHeight="1" x14ac:dyDescent="0.2">
      <c r="B2944" s="48" t="s">
        <v>7667</v>
      </c>
      <c r="I2944" s="58">
        <f>'Trial Balance - FPer'!G1101</f>
        <v>3119187.56</v>
      </c>
      <c r="J2944" s="206"/>
      <c r="K2944" s="58">
        <v>0</v>
      </c>
      <c r="L2944" s="288"/>
      <c r="R2944" s="1110"/>
    </row>
    <row r="2945" spans="2:23" ht="15.6" customHeight="1" x14ac:dyDescent="0.2">
      <c r="B2945" s="48" t="s">
        <v>7670</v>
      </c>
      <c r="I2945" s="58">
        <f>'Trial Balance - FPer'!G1105</f>
        <v>1661644.33</v>
      </c>
      <c r="J2945" s="206"/>
      <c r="K2945" s="58">
        <v>0</v>
      </c>
      <c r="L2945" s="288"/>
      <c r="R2945" s="1110"/>
    </row>
    <row r="2946" spans="2:23" ht="15.6" customHeight="1" x14ac:dyDescent="0.2">
      <c r="B2946" s="48" t="s">
        <v>1777</v>
      </c>
      <c r="I2946" s="58">
        <f>SUM('Trial Balance - FPer'!G471)</f>
        <v>2092086.55</v>
      </c>
      <c r="J2946" s="206"/>
      <c r="K2946" s="58">
        <f>SUM('Trial Balance - FPer'!C471)</f>
        <v>961831.89</v>
      </c>
      <c r="L2946" s="288"/>
      <c r="P2946" s="1110" t="s">
        <v>3871</v>
      </c>
      <c r="Q2946" s="1111" t="s">
        <v>2763</v>
      </c>
      <c r="R2946" s="1110" t="s">
        <v>3891</v>
      </c>
      <c r="S2946" s="1111" t="s">
        <v>2765</v>
      </c>
    </row>
    <row r="2947" spans="2:23" ht="15.6" hidden="1" customHeight="1" x14ac:dyDescent="0.2">
      <c r="B2947" s="48" t="s">
        <v>2624</v>
      </c>
      <c r="I2947" s="58">
        <v>0</v>
      </c>
      <c r="J2947" s="206"/>
      <c r="K2947" s="58">
        <v>0</v>
      </c>
      <c r="L2947" s="288"/>
      <c r="P2947" s="1110" t="s">
        <v>3873</v>
      </c>
      <c r="Q2947" s="1111" t="s">
        <v>2763</v>
      </c>
      <c r="R2947" s="1110" t="s">
        <v>3892</v>
      </c>
      <c r="S2947" s="1111" t="s">
        <v>2765</v>
      </c>
    </row>
    <row r="2948" spans="2:23" ht="15.6" customHeight="1" x14ac:dyDescent="0.2">
      <c r="B2948" s="48" t="s">
        <v>2625</v>
      </c>
      <c r="I2948" s="58">
        <f>SUM('Trial Balance - FPer'!G472:G478)</f>
        <v>99944.74</v>
      </c>
      <c r="J2948" s="206"/>
      <c r="K2948" s="58">
        <f>SUM('Trial Balance - FPer'!C472:C478)</f>
        <v>112048.79</v>
      </c>
      <c r="L2948" s="288"/>
      <c r="P2948" s="1110" t="s">
        <v>3874</v>
      </c>
      <c r="Q2948" s="1111" t="s">
        <v>2763</v>
      </c>
      <c r="R2948" s="1110" t="s">
        <v>3893</v>
      </c>
      <c r="S2948" s="1111" t="s">
        <v>2765</v>
      </c>
      <c r="T2948" s="48"/>
      <c r="U2948" s="48"/>
      <c r="V2948" s="48"/>
      <c r="W2948" s="48"/>
    </row>
    <row r="2949" spans="2:23" ht="15.6" customHeight="1" x14ac:dyDescent="0.2">
      <c r="B2949" s="48" t="s">
        <v>6479</v>
      </c>
      <c r="I2949" s="58">
        <f>SUM('Trial Balance - FPer'!G479:G484)</f>
        <v>189173.99</v>
      </c>
      <c r="J2949" s="206"/>
      <c r="K2949" s="58">
        <f>SUM('Trial Balance - FPer'!C479:C484)</f>
        <v>108113.94</v>
      </c>
      <c r="L2949" s="288"/>
      <c r="R2949" s="1110"/>
      <c r="T2949" s="48"/>
      <c r="U2949" s="48"/>
      <c r="V2949" s="48"/>
      <c r="W2949" s="48"/>
    </row>
    <row r="2950" spans="2:23" ht="15.6" hidden="1" customHeight="1" x14ac:dyDescent="0.2">
      <c r="B2950" s="48" t="s">
        <v>1778</v>
      </c>
      <c r="I2950" s="58">
        <v>0</v>
      </c>
      <c r="J2950" s="206"/>
      <c r="K2950" s="58">
        <v>0</v>
      </c>
      <c r="L2950" s="288"/>
      <c r="P2950" s="1110" t="s">
        <v>3875</v>
      </c>
      <c r="Q2950" s="1111" t="s">
        <v>2763</v>
      </c>
      <c r="R2950" s="1110" t="s">
        <v>3894</v>
      </c>
      <c r="S2950" s="1111" t="s">
        <v>2765</v>
      </c>
      <c r="T2950" s="48"/>
      <c r="U2950" s="48"/>
      <c r="V2950" s="48"/>
      <c r="W2950" s="48"/>
    </row>
    <row r="2951" spans="2:23" ht="15.6" hidden="1" customHeight="1" x14ac:dyDescent="0.2">
      <c r="B2951" s="48" t="s">
        <v>1797</v>
      </c>
      <c r="I2951" s="58">
        <v>0</v>
      </c>
      <c r="J2951" s="206"/>
      <c r="K2951" s="58">
        <v>0</v>
      </c>
      <c r="L2951" s="288"/>
      <c r="P2951" s="1110" t="s">
        <v>3767</v>
      </c>
      <c r="Q2951" s="1111" t="s">
        <v>2763</v>
      </c>
      <c r="R2951" s="1110" t="s">
        <v>3780</v>
      </c>
      <c r="S2951" s="1111" t="s">
        <v>2765</v>
      </c>
      <c r="T2951" s="48"/>
      <c r="U2951" s="48"/>
      <c r="V2951" s="48"/>
      <c r="W2951" s="48"/>
    </row>
    <row r="2952" spans="2:23" ht="15.6" hidden="1" customHeight="1" x14ac:dyDescent="0.2">
      <c r="B2952" s="48" t="s">
        <v>2626</v>
      </c>
      <c r="I2952" s="58">
        <v>0</v>
      </c>
      <c r="J2952" s="206"/>
      <c r="K2952" s="58">
        <v>0</v>
      </c>
      <c r="L2952" s="288"/>
      <c r="P2952" s="1110" t="s">
        <v>3876</v>
      </c>
      <c r="Q2952" s="1111" t="s">
        <v>2763</v>
      </c>
      <c r="R2952" s="1110" t="s">
        <v>3908</v>
      </c>
      <c r="S2952" s="1111" t="s">
        <v>2765</v>
      </c>
      <c r="T2952" s="48"/>
      <c r="U2952" s="48"/>
      <c r="V2952" s="48"/>
      <c r="W2952" s="48"/>
    </row>
    <row r="2953" spans="2:23" ht="15.6" customHeight="1" x14ac:dyDescent="0.2">
      <c r="B2953" s="48" t="s">
        <v>6480</v>
      </c>
      <c r="I2953" s="58">
        <f>SUM('Trial Balance - FPer'!G485:G525)</f>
        <v>405213.79</v>
      </c>
      <c r="J2953" s="206"/>
      <c r="K2953" s="58">
        <f>SUM('Trial Balance - FPer'!C485:C525)</f>
        <v>0</v>
      </c>
      <c r="L2953" s="288"/>
      <c r="R2953" s="1110"/>
      <c r="T2953" s="48"/>
      <c r="U2953" s="48"/>
      <c r="V2953" s="48"/>
      <c r="W2953" s="48"/>
    </row>
    <row r="2954" spans="2:23" ht="15.6" hidden="1" customHeight="1" x14ac:dyDescent="0.2">
      <c r="B2954" s="48" t="s">
        <v>2627</v>
      </c>
      <c r="I2954" s="58">
        <v>0</v>
      </c>
      <c r="J2954" s="206"/>
      <c r="K2954" s="58">
        <v>0</v>
      </c>
      <c r="L2954" s="288"/>
      <c r="P2954" s="1110" t="s">
        <v>3877</v>
      </c>
      <c r="Q2954" s="1111" t="s">
        <v>2763</v>
      </c>
      <c r="R2954" s="1110" t="s">
        <v>3896</v>
      </c>
      <c r="S2954" s="1111" t="s">
        <v>2765</v>
      </c>
      <c r="T2954" s="48"/>
      <c r="U2954" s="48"/>
      <c r="V2954" s="48"/>
      <c r="W2954" s="48"/>
    </row>
    <row r="2955" spans="2:23" ht="15.6" hidden="1" customHeight="1" x14ac:dyDescent="0.2">
      <c r="B2955" s="48" t="s">
        <v>229</v>
      </c>
      <c r="I2955" s="58">
        <v>0</v>
      </c>
      <c r="J2955" s="206"/>
      <c r="K2955" s="58">
        <v>0</v>
      </c>
      <c r="L2955" s="288"/>
      <c r="P2955" s="1110" t="s">
        <v>3768</v>
      </c>
      <c r="Q2955" s="1111" t="s">
        <v>2763</v>
      </c>
      <c r="R2955" s="1110" t="s">
        <v>3781</v>
      </c>
      <c r="S2955" s="1111" t="s">
        <v>2765</v>
      </c>
      <c r="T2955" s="48"/>
      <c r="U2955" s="48"/>
      <c r="V2955" s="48"/>
      <c r="W2955" s="48"/>
    </row>
    <row r="2956" spans="2:23" ht="15.6" customHeight="1" x14ac:dyDescent="0.2">
      <c r="B2956" s="48" t="s">
        <v>1779</v>
      </c>
      <c r="I2956" s="58">
        <f>SUM('Trial Balance - FPer'!G526:G535)</f>
        <v>182164.5</v>
      </c>
      <c r="J2956" s="206"/>
      <c r="K2956" s="58">
        <f>SUM('Trial Balance - FPer'!C526:C535)</f>
        <v>142282.35</v>
      </c>
      <c r="L2956" s="288"/>
      <c r="P2956" s="1110" t="s">
        <v>3878</v>
      </c>
      <c r="Q2956" s="1111" t="s">
        <v>2763</v>
      </c>
      <c r="R2956" s="1110" t="s">
        <v>3897</v>
      </c>
      <c r="S2956" s="1111" t="s">
        <v>2765</v>
      </c>
      <c r="T2956" s="48"/>
      <c r="U2956" s="48"/>
      <c r="V2956" s="48"/>
      <c r="W2956" s="48"/>
    </row>
    <row r="2957" spans="2:23" ht="15.6" hidden="1" customHeight="1" x14ac:dyDescent="0.2">
      <c r="B2957" s="2046" t="s">
        <v>1780</v>
      </c>
      <c r="C2957" s="2046"/>
      <c r="D2957" s="2077"/>
      <c r="E2957" s="2046"/>
      <c r="F2957" s="2077"/>
      <c r="G2957" s="2077"/>
      <c r="H2957" s="2077"/>
      <c r="I2957" s="58">
        <v>0</v>
      </c>
      <c r="J2957" s="206"/>
      <c r="K2957" s="58">
        <v>0</v>
      </c>
      <c r="L2957" s="288"/>
      <c r="P2957" s="1110" t="s">
        <v>3879</v>
      </c>
      <c r="Q2957" s="1111" t="s">
        <v>2763</v>
      </c>
      <c r="R2957" s="1110" t="s">
        <v>3898</v>
      </c>
      <c r="S2957" s="1111" t="s">
        <v>2765</v>
      </c>
      <c r="T2957" s="48"/>
      <c r="U2957" s="48"/>
      <c r="V2957" s="48"/>
      <c r="W2957" s="48"/>
    </row>
    <row r="2958" spans="2:23" ht="15.6" customHeight="1" x14ac:dyDescent="0.2">
      <c r="B2958" s="48" t="s">
        <v>6481</v>
      </c>
      <c r="I2958" s="58">
        <f>SUM('Trial Balance - FPer'!G536)</f>
        <v>94807.950000000012</v>
      </c>
      <c r="J2958" s="206"/>
      <c r="K2958" s="58">
        <f>SUM('Trial Balance - FPer'!C536)</f>
        <v>19314.670000000042</v>
      </c>
      <c r="L2958" s="288"/>
      <c r="P2958" s="1110" t="s">
        <v>3880</v>
      </c>
      <c r="Q2958" s="1111" t="s">
        <v>2763</v>
      </c>
      <c r="R2958" s="1110" t="s">
        <v>3899</v>
      </c>
      <c r="S2958" s="1111" t="s">
        <v>2765</v>
      </c>
      <c r="T2958" s="48"/>
      <c r="U2958" s="48"/>
      <c r="V2958" s="48"/>
      <c r="W2958" s="48"/>
    </row>
    <row r="2959" spans="2:23" ht="15.6" customHeight="1" x14ac:dyDescent="0.2">
      <c r="B2959" s="48" t="s">
        <v>6482</v>
      </c>
      <c r="I2959" s="58">
        <f>SUM('Trial Balance - FPer'!G537:G549)</f>
        <v>1355962.94</v>
      </c>
      <c r="J2959" s="206"/>
      <c r="K2959" s="58">
        <f>SUM('Trial Balance - FPer'!C537:C549)</f>
        <v>1707686.6500000001</v>
      </c>
      <c r="L2959" s="288"/>
      <c r="R2959" s="1110"/>
      <c r="T2959" s="48"/>
      <c r="U2959" s="48"/>
      <c r="V2959" s="48"/>
      <c r="W2959" s="48"/>
    </row>
    <row r="2960" spans="2:23" ht="15.6" hidden="1" customHeight="1" x14ac:dyDescent="0.2">
      <c r="B2960" s="48" t="s">
        <v>1781</v>
      </c>
      <c r="I2960" s="58">
        <v>0</v>
      </c>
      <c r="J2960" s="206"/>
      <c r="K2960" s="58">
        <v>0</v>
      </c>
      <c r="L2960" s="288"/>
      <c r="N2960" s="1147">
        <f t="shared" ref="N2960:N2995" si="24">M2960-K2960</f>
        <v>0</v>
      </c>
      <c r="P2960" s="1110" t="s">
        <v>3881</v>
      </c>
      <c r="Q2960" s="1111" t="s">
        <v>2763</v>
      </c>
      <c r="R2960" s="1110" t="s">
        <v>3900</v>
      </c>
      <c r="S2960" s="1111" t="s">
        <v>2765</v>
      </c>
      <c r="T2960" s="48"/>
      <c r="U2960" s="48"/>
      <c r="V2960" s="48"/>
      <c r="W2960" s="48"/>
    </row>
    <row r="2961" spans="2:23" ht="15.6" hidden="1" customHeight="1" x14ac:dyDescent="0.2">
      <c r="B2961" s="48" t="s">
        <v>1782</v>
      </c>
      <c r="I2961" s="58">
        <v>0</v>
      </c>
      <c r="J2961" s="206"/>
      <c r="K2961" s="58">
        <v>0</v>
      </c>
      <c r="L2961" s="288"/>
      <c r="N2961" s="1147">
        <f t="shared" si="24"/>
        <v>0</v>
      </c>
      <c r="P2961" s="1110" t="s">
        <v>3882</v>
      </c>
      <c r="Q2961" s="1111" t="s">
        <v>2763</v>
      </c>
      <c r="R2961" s="1110" t="s">
        <v>3901</v>
      </c>
      <c r="S2961" s="1111" t="s">
        <v>2765</v>
      </c>
      <c r="T2961" s="48"/>
      <c r="U2961" s="48"/>
      <c r="V2961" s="48"/>
      <c r="W2961" s="48"/>
    </row>
    <row r="2962" spans="2:23" ht="15.6" customHeight="1" x14ac:dyDescent="0.2">
      <c r="B2962" s="48" t="s">
        <v>30</v>
      </c>
      <c r="I2962" s="58">
        <f>SUM('Trial Balance - FPer'!G550:G562)</f>
        <v>432313.64999999997</v>
      </c>
      <c r="J2962" s="206"/>
      <c r="K2962" s="58">
        <f>'Trial Balance - FPer'!C552</f>
        <v>532617.54</v>
      </c>
      <c r="L2962" s="288"/>
      <c r="N2962" s="1147"/>
      <c r="P2962" s="1110" t="s">
        <v>3769</v>
      </c>
      <c r="Q2962" s="1111" t="s">
        <v>2763</v>
      </c>
      <c r="R2962" s="1110" t="s">
        <v>3782</v>
      </c>
      <c r="S2962" s="1111" t="s">
        <v>2765</v>
      </c>
      <c r="T2962" s="48"/>
      <c r="U2962" s="48"/>
      <c r="V2962" s="48"/>
      <c r="W2962" s="48"/>
    </row>
    <row r="2963" spans="2:23" ht="15.6" customHeight="1" x14ac:dyDescent="0.2">
      <c r="B2963" s="48" t="s">
        <v>2628</v>
      </c>
      <c r="I2963" s="58">
        <f>SUM('Trial Balance - FPer'!G563:G578)</f>
        <v>1180581.8799999999</v>
      </c>
      <c r="J2963" s="206"/>
      <c r="K2963" s="58">
        <f>SUM('Trial Balance - FPer'!C563:C578)</f>
        <v>6393142.4500000002</v>
      </c>
      <c r="L2963" s="288"/>
      <c r="N2963" s="1147"/>
      <c r="P2963" s="1110" t="s">
        <v>3883</v>
      </c>
      <c r="Q2963" s="1111" t="s">
        <v>2763</v>
      </c>
      <c r="R2963" s="1110" t="s">
        <v>3902</v>
      </c>
      <c r="S2963" s="1111" t="s">
        <v>2765</v>
      </c>
      <c r="T2963" s="48"/>
      <c r="U2963" s="48"/>
      <c r="V2963" s="48"/>
      <c r="W2963" s="48"/>
    </row>
    <row r="2964" spans="2:23" ht="15.6" customHeight="1" x14ac:dyDescent="0.2">
      <c r="B2964" s="48" t="s">
        <v>1783</v>
      </c>
      <c r="I2964" s="58">
        <f>SUM('Trial Balance - FPer'!G663:G669)</f>
        <v>353637.96</v>
      </c>
      <c r="J2964" s="206"/>
      <c r="K2964" s="58">
        <f>SUM('Trial Balance - FPer'!C663:C669)</f>
        <v>519145.8</v>
      </c>
      <c r="L2964" s="288"/>
      <c r="N2964" s="1149"/>
      <c r="P2964" s="1110" t="s">
        <v>3770</v>
      </c>
      <c r="Q2964" s="1111" t="s">
        <v>2763</v>
      </c>
      <c r="R2964" s="1110" t="s">
        <v>3783</v>
      </c>
      <c r="S2964" s="1111" t="s">
        <v>2765</v>
      </c>
      <c r="T2964" s="48"/>
      <c r="U2964" s="48"/>
      <c r="V2964" s="48"/>
      <c r="W2964" s="48"/>
    </row>
    <row r="2965" spans="2:23" ht="15.6" customHeight="1" x14ac:dyDescent="0.2">
      <c r="B2965" s="48" t="s">
        <v>1788</v>
      </c>
      <c r="I2965" s="58">
        <f>75836.66+12577</f>
        <v>88413.66</v>
      </c>
      <c r="J2965" s="206"/>
      <c r="K2965" s="58">
        <v>3000</v>
      </c>
      <c r="L2965" s="288"/>
      <c r="N2965" s="1149"/>
      <c r="P2965" s="1110" t="s">
        <v>3884</v>
      </c>
      <c r="Q2965" s="1111" t="s">
        <v>2763</v>
      </c>
      <c r="R2965" s="1110" t="s">
        <v>3903</v>
      </c>
      <c r="S2965" s="1111" t="s">
        <v>2765</v>
      </c>
      <c r="T2965" s="48"/>
      <c r="U2965" s="48"/>
      <c r="V2965" s="48"/>
      <c r="W2965" s="48"/>
    </row>
    <row r="2966" spans="2:23" ht="15.6" hidden="1" customHeight="1" x14ac:dyDescent="0.2">
      <c r="B2966" s="48" t="s">
        <v>1784</v>
      </c>
      <c r="I2966" s="58">
        <v>0</v>
      </c>
      <c r="J2966" s="206"/>
      <c r="K2966" s="58">
        <v>0</v>
      </c>
      <c r="L2966" s="288"/>
      <c r="N2966" s="1149"/>
      <c r="P2966" s="1110" t="s">
        <v>3885</v>
      </c>
      <c r="Q2966" s="1111" t="s">
        <v>2763</v>
      </c>
      <c r="R2966" s="1110" t="s">
        <v>3904</v>
      </c>
      <c r="S2966" s="1111" t="s">
        <v>2765</v>
      </c>
      <c r="T2966" s="48"/>
      <c r="U2966" s="48"/>
      <c r="V2966" s="48"/>
      <c r="W2966" s="48"/>
    </row>
    <row r="2967" spans="2:23" ht="15.6" customHeight="1" x14ac:dyDescent="0.2">
      <c r="B2967" s="48" t="s">
        <v>6483</v>
      </c>
      <c r="I2967" s="58">
        <f>SUM('Trial Balance - FPer'!G579:G588)-12577</f>
        <v>38558.080000000002</v>
      </c>
      <c r="J2967" s="206"/>
      <c r="K2967" s="58">
        <f>SUM('Trial Balance - FPer'!C579:C588)</f>
        <v>33018.86</v>
      </c>
      <c r="L2967" s="288"/>
      <c r="N2967" s="1149"/>
      <c r="R2967" s="1110"/>
      <c r="T2967" s="48"/>
      <c r="U2967" s="48"/>
      <c r="V2967" s="48"/>
      <c r="W2967" s="48"/>
    </row>
    <row r="2968" spans="2:23" ht="15.6" hidden="1" customHeight="1" x14ac:dyDescent="0.2">
      <c r="B2968" s="48" t="s">
        <v>1785</v>
      </c>
      <c r="I2968" s="58">
        <v>0</v>
      </c>
      <c r="J2968" s="206"/>
      <c r="K2968" s="58">
        <v>0</v>
      </c>
      <c r="L2968" s="288"/>
      <c r="N2968" s="1149"/>
      <c r="P2968" s="1110" t="s">
        <v>3886</v>
      </c>
      <c r="Q2968" s="1111" t="s">
        <v>2763</v>
      </c>
      <c r="R2968" s="1110" t="s">
        <v>3905</v>
      </c>
      <c r="S2968" s="1111" t="s">
        <v>2765</v>
      </c>
      <c r="T2968" s="48"/>
      <c r="U2968" s="48"/>
      <c r="V2968" s="48"/>
      <c r="W2968" s="48"/>
    </row>
    <row r="2969" spans="2:23" ht="15.6" hidden="1" customHeight="1" x14ac:dyDescent="0.2">
      <c r="B2969" s="48" t="s">
        <v>1786</v>
      </c>
      <c r="I2969" s="58">
        <v>0</v>
      </c>
      <c r="J2969" s="206"/>
      <c r="K2969" s="58">
        <v>0</v>
      </c>
      <c r="L2969" s="288"/>
      <c r="N2969" s="1149"/>
      <c r="P2969" s="1110" t="s">
        <v>3887</v>
      </c>
      <c r="Q2969" s="1111" t="s">
        <v>2763</v>
      </c>
      <c r="R2969" s="1110" t="s">
        <v>3906</v>
      </c>
      <c r="S2969" s="1111" t="s">
        <v>2765</v>
      </c>
      <c r="T2969" s="48"/>
      <c r="U2969" s="48"/>
      <c r="V2969" s="48"/>
      <c r="W2969" s="48"/>
    </row>
    <row r="2970" spans="2:23" ht="15.6" customHeight="1" x14ac:dyDescent="0.2">
      <c r="B2970" s="48" t="s">
        <v>6484</v>
      </c>
      <c r="I2970" s="58">
        <f>SUM('Trial Balance - FPer'!G589:G594)</f>
        <v>50365.74</v>
      </c>
      <c r="J2970" s="206"/>
      <c r="K2970" s="58">
        <f>SUM('Trial Balance - FPer'!C589:C594)</f>
        <v>29374</v>
      </c>
      <c r="L2970" s="288"/>
      <c r="N2970" s="1149"/>
      <c r="P2970" s="1110" t="s">
        <v>3888</v>
      </c>
      <c r="Q2970" s="1111" t="s">
        <v>2763</v>
      </c>
      <c r="R2970" s="1110" t="s">
        <v>3907</v>
      </c>
      <c r="S2970" s="1111" t="s">
        <v>2765</v>
      </c>
      <c r="T2970" s="48"/>
      <c r="U2970" s="48"/>
      <c r="V2970" s="48"/>
      <c r="W2970" s="48"/>
    </row>
    <row r="2971" spans="2:23" ht="15.6" customHeight="1" x14ac:dyDescent="0.2">
      <c r="B2971" s="48" t="s">
        <v>6485</v>
      </c>
      <c r="I2971" s="58">
        <f>SUM('Trial Balance - FPer'!G595:G602)</f>
        <v>20916.54</v>
      </c>
      <c r="J2971" s="206"/>
      <c r="K2971" s="58">
        <f>SUM('Trial Balance - FPer'!C595:C602)</f>
        <v>31085.82</v>
      </c>
      <c r="L2971" s="288"/>
      <c r="N2971" s="1149"/>
      <c r="R2971" s="1110"/>
      <c r="T2971" s="48"/>
      <c r="U2971" s="48"/>
      <c r="V2971" s="48"/>
      <c r="W2971" s="48"/>
    </row>
    <row r="2972" spans="2:23" ht="15.6" customHeight="1" x14ac:dyDescent="0.2">
      <c r="B2972" s="48" t="s">
        <v>6487</v>
      </c>
      <c r="I2972" s="58">
        <f>SUM('Trial Balance - FPer'!G603:G604)</f>
        <v>14840</v>
      </c>
      <c r="J2972" s="206"/>
      <c r="K2972" s="58">
        <f>SUM('Trial Balance - FPer'!C603:C604)</f>
        <v>18826</v>
      </c>
      <c r="L2972" s="288"/>
      <c r="N2972" s="1149"/>
      <c r="R2972" s="1110"/>
      <c r="T2972" s="48"/>
      <c r="U2972" s="48"/>
      <c r="V2972" s="48"/>
      <c r="W2972" s="48"/>
    </row>
    <row r="2973" spans="2:23" ht="15.6" customHeight="1" x14ac:dyDescent="0.2">
      <c r="B2973" s="48" t="s">
        <v>6486</v>
      </c>
      <c r="I2973" s="58">
        <f>SUM('Trial Balance - FPer'!G605:G621)</f>
        <v>604651.95999999985</v>
      </c>
      <c r="J2973" s="206"/>
      <c r="K2973" s="58">
        <f>SUM('Trial Balance - FPer'!C605:C621)</f>
        <v>316722.39999999997</v>
      </c>
      <c r="L2973" s="288"/>
      <c r="N2973" s="1149"/>
      <c r="P2973" s="1110" t="s">
        <v>3909</v>
      </c>
      <c r="Q2973" s="1111" t="s">
        <v>2763</v>
      </c>
      <c r="R2973" s="1110" t="s">
        <v>3933</v>
      </c>
      <c r="S2973" s="1111" t="s">
        <v>2765</v>
      </c>
      <c r="T2973" s="48"/>
      <c r="U2973" s="48"/>
      <c r="V2973" s="48"/>
      <c r="W2973" s="48"/>
    </row>
    <row r="2974" spans="2:23" ht="15.6" customHeight="1" x14ac:dyDescent="0.2">
      <c r="B2974" s="48" t="s">
        <v>6488</v>
      </c>
      <c r="I2974" s="58">
        <f>SUM('Trial Balance - FPer'!G622:G642)+'Trial Balance - FPer'!G899+'Trial Balance - FPer'!G900</f>
        <v>549945.46</v>
      </c>
      <c r="J2974" s="206"/>
      <c r="K2974" s="58">
        <f>SUM('Trial Balance - FPer'!C622:C642)</f>
        <v>463619.60000000003</v>
      </c>
      <c r="L2974" s="288"/>
      <c r="N2974" s="1149"/>
      <c r="R2974" s="1110"/>
      <c r="T2974" s="48"/>
      <c r="U2974" s="48"/>
      <c r="V2974" s="48"/>
      <c r="W2974" s="48"/>
    </row>
    <row r="2975" spans="2:23" ht="15.6" hidden="1" customHeight="1" x14ac:dyDescent="0.2">
      <c r="B2975" s="48" t="s">
        <v>1787</v>
      </c>
      <c r="I2975" s="58">
        <v>0</v>
      </c>
      <c r="J2975" s="206"/>
      <c r="K2975" s="58">
        <v>0</v>
      </c>
      <c r="L2975" s="288"/>
      <c r="N2975" s="1147">
        <f t="shared" si="24"/>
        <v>0</v>
      </c>
      <c r="P2975" s="1110" t="s">
        <v>3910</v>
      </c>
      <c r="Q2975" s="1111" t="s">
        <v>2763</v>
      </c>
      <c r="R2975" s="1110" t="s">
        <v>3921</v>
      </c>
      <c r="S2975" s="1111" t="s">
        <v>2765</v>
      </c>
      <c r="T2975" s="48"/>
      <c r="U2975" s="48"/>
      <c r="V2975" s="48"/>
      <c r="W2975" s="48"/>
    </row>
    <row r="2976" spans="2:23" ht="15.6" customHeight="1" x14ac:dyDescent="0.2">
      <c r="B2976" s="48" t="s">
        <v>6489</v>
      </c>
      <c r="I2976" s="58">
        <f>SUM('Trial Balance - FPer'!G643:G649)</f>
        <v>110350.51000000001</v>
      </c>
      <c r="J2976" s="206"/>
      <c r="K2976" s="58">
        <f>SUM('Trial Balance - FPer'!C643:C649)</f>
        <v>189254.46000000002</v>
      </c>
      <c r="L2976" s="288"/>
      <c r="N2976" s="1147"/>
      <c r="P2976" s="1110" t="s">
        <v>3911</v>
      </c>
      <c r="Q2976" s="1111" t="s">
        <v>2763</v>
      </c>
      <c r="R2976" s="1110" t="s">
        <v>3922</v>
      </c>
      <c r="S2976" s="1111" t="s">
        <v>2765</v>
      </c>
      <c r="T2976" s="48"/>
      <c r="U2976" s="48"/>
      <c r="V2976" s="48"/>
      <c r="W2976" s="48"/>
    </row>
    <row r="2977" spans="2:23" ht="15.6" customHeight="1" x14ac:dyDescent="0.2">
      <c r="B2977" s="48" t="s">
        <v>6561</v>
      </c>
      <c r="I2977" s="58">
        <f>SUM('Trial Balance - FPer'!G650:G652)</f>
        <v>80922.48</v>
      </c>
      <c r="J2977" s="206"/>
      <c r="K2977" s="58">
        <f>SUM('Trial Balance - FPer'!C650:C652)</f>
        <v>72244.639999999999</v>
      </c>
      <c r="L2977" s="288"/>
      <c r="N2977" s="1147"/>
      <c r="R2977" s="1110"/>
      <c r="T2977" s="48"/>
      <c r="U2977" s="48"/>
      <c r="V2977" s="48"/>
      <c r="W2977" s="48"/>
    </row>
    <row r="2978" spans="2:23" ht="15.6" customHeight="1" x14ac:dyDescent="0.2">
      <c r="B2978" s="48" t="s">
        <v>6490</v>
      </c>
      <c r="I2978" s="58">
        <f>SUM('Trial Balance - FPer'!G653:G662)</f>
        <v>301826.40000000002</v>
      </c>
      <c r="J2978" s="206"/>
      <c r="K2978" s="58">
        <f>SUM('Trial Balance - FPer'!C653:C662)</f>
        <v>523170.37</v>
      </c>
      <c r="L2978" s="288"/>
      <c r="N2978" s="1149"/>
      <c r="P2978" s="1110" t="s">
        <v>3912</v>
      </c>
      <c r="Q2978" s="1111" t="s">
        <v>2763</v>
      </c>
      <c r="R2978" s="1110" t="s">
        <v>3923</v>
      </c>
      <c r="S2978" s="1111" t="s">
        <v>2765</v>
      </c>
      <c r="T2978" s="48"/>
      <c r="U2978" s="48"/>
      <c r="V2978" s="48"/>
      <c r="W2978" s="48"/>
    </row>
    <row r="2979" spans="2:23" ht="15.6" customHeight="1" x14ac:dyDescent="0.2">
      <c r="B2979" s="48" t="s">
        <v>6491</v>
      </c>
      <c r="I2979" s="58">
        <f>SUM('Trial Balance - FPer'!G670:G678)-75836.66</f>
        <v>341629.98</v>
      </c>
      <c r="J2979" s="206"/>
      <c r="K2979" s="58">
        <f>SUM('Trial Balance - FPer'!C670:C678)-3000</f>
        <v>80126.84</v>
      </c>
      <c r="L2979" s="288"/>
      <c r="N2979" s="1149"/>
      <c r="P2979" s="1110" t="s">
        <v>3913</v>
      </c>
      <c r="Q2979" s="1111" t="s">
        <v>2763</v>
      </c>
      <c r="R2979" s="1110" t="s">
        <v>3924</v>
      </c>
      <c r="S2979" s="1111" t="s">
        <v>2765</v>
      </c>
      <c r="T2979" s="48"/>
      <c r="U2979" s="48"/>
      <c r="V2979" s="48"/>
      <c r="W2979" s="48"/>
    </row>
    <row r="2980" spans="2:23" ht="15.6" customHeight="1" x14ac:dyDescent="0.2">
      <c r="B2980" s="48" t="s">
        <v>1789</v>
      </c>
      <c r="I2980" s="58">
        <f>SUM('Trial Balance - FPer'!G679:G695)</f>
        <v>1705360.2300000004</v>
      </c>
      <c r="J2980" s="206"/>
      <c r="K2980" s="58">
        <f>SUM('Trial Balance - FPer'!C679:C695)</f>
        <v>1439524.8699999999</v>
      </c>
      <c r="L2980" s="288"/>
      <c r="N2980" s="1149"/>
      <c r="P2980" s="1110" t="s">
        <v>3771</v>
      </c>
      <c r="Q2980" s="1111" t="s">
        <v>2763</v>
      </c>
      <c r="R2980" s="1110" t="s">
        <v>3784</v>
      </c>
      <c r="S2980" s="1111" t="s">
        <v>2765</v>
      </c>
      <c r="T2980" s="48"/>
      <c r="U2980" s="48"/>
      <c r="V2980" s="48"/>
      <c r="W2980" s="48"/>
    </row>
    <row r="2981" spans="2:23" ht="15.6" hidden="1" customHeight="1" x14ac:dyDescent="0.2">
      <c r="B2981" s="48" t="s">
        <v>1790</v>
      </c>
      <c r="I2981" s="199">
        <v>0</v>
      </c>
      <c r="J2981" s="206"/>
      <c r="K2981" s="58">
        <v>0</v>
      </c>
      <c r="L2981" s="288"/>
      <c r="N2981" s="1149"/>
      <c r="P2981" s="1110" t="s">
        <v>3914</v>
      </c>
      <c r="Q2981" s="1111" t="s">
        <v>2763</v>
      </c>
      <c r="R2981" s="1110" t="s">
        <v>3925</v>
      </c>
      <c r="S2981" s="1111" t="s">
        <v>2765</v>
      </c>
      <c r="T2981" s="48"/>
      <c r="U2981" s="48"/>
      <c r="V2981" s="48"/>
      <c r="W2981" s="48"/>
    </row>
    <row r="2982" spans="2:23" ht="15.6" customHeight="1" x14ac:dyDescent="0.2">
      <c r="B2982" s="48" t="s">
        <v>1791</v>
      </c>
      <c r="I2982" s="58">
        <f>SUM('Trial Balance - FPer'!G696:G713)</f>
        <v>668174.41999999993</v>
      </c>
      <c r="J2982" s="206"/>
      <c r="K2982" s="58">
        <f>SUM('Trial Balance - FPer'!C696:C713)</f>
        <v>29767.4</v>
      </c>
      <c r="L2982" s="288"/>
      <c r="N2982" s="1149"/>
      <c r="P2982" s="1110" t="s">
        <v>3915</v>
      </c>
      <c r="Q2982" s="1111" t="s">
        <v>2763</v>
      </c>
      <c r="R2982" s="1110" t="s">
        <v>3926</v>
      </c>
      <c r="S2982" s="1111" t="s">
        <v>2765</v>
      </c>
      <c r="T2982" s="48"/>
      <c r="U2982" s="48"/>
      <c r="V2982" s="48"/>
      <c r="W2982" s="48"/>
    </row>
    <row r="2983" spans="2:23" ht="15.6" customHeight="1" x14ac:dyDescent="0.2">
      <c r="B2983" s="48" t="s">
        <v>1792</v>
      </c>
      <c r="I2983" s="199">
        <f>SUM('Trial Balance - FPer'!G714:G716)</f>
        <v>16507.62</v>
      </c>
      <c r="J2983" s="206"/>
      <c r="K2983" s="58">
        <f>SUM('Trial Balance - FPer'!C714:C716)</f>
        <v>17038.370000000003</v>
      </c>
      <c r="L2983" s="288"/>
      <c r="N2983" s="1149"/>
      <c r="P2983" s="1110" t="s">
        <v>3772</v>
      </c>
      <c r="Q2983" s="1111" t="s">
        <v>2763</v>
      </c>
      <c r="R2983" s="1110" t="s">
        <v>3785</v>
      </c>
      <c r="S2983" s="1111" t="s">
        <v>2765</v>
      </c>
      <c r="T2983" s="48"/>
      <c r="U2983" s="48"/>
      <c r="V2983" s="48"/>
      <c r="W2983" s="48"/>
    </row>
    <row r="2984" spans="2:23" ht="15.6" customHeight="1" x14ac:dyDescent="0.2">
      <c r="B2984" s="48" t="s">
        <v>1793</v>
      </c>
      <c r="I2984" s="199">
        <f>SUM('Trial Balance - FPer'!G717:G742)</f>
        <v>2759352.74</v>
      </c>
      <c r="J2984" s="206"/>
      <c r="K2984" s="58">
        <f>SUM('Trial Balance - FPer'!C717:C742)</f>
        <v>1675716.2099999997</v>
      </c>
      <c r="L2984" s="288"/>
      <c r="N2984" s="1149"/>
      <c r="P2984" s="1110" t="s">
        <v>3773</v>
      </c>
      <c r="Q2984" s="1111" t="s">
        <v>2763</v>
      </c>
      <c r="R2984" s="1110" t="s">
        <v>3787</v>
      </c>
      <c r="S2984" s="1111" t="s">
        <v>2765</v>
      </c>
      <c r="T2984" s="48"/>
      <c r="U2984" s="48"/>
      <c r="V2984" s="48"/>
      <c r="W2984" s="48"/>
    </row>
    <row r="2985" spans="2:23" ht="15.6" customHeight="1" x14ac:dyDescent="0.2">
      <c r="B2985" s="48" t="s">
        <v>1794</v>
      </c>
      <c r="I2985" s="199">
        <f>SUM('Trial Balance - FPer'!G743:G756)</f>
        <v>173530.63000000003</v>
      </c>
      <c r="J2985" s="206"/>
      <c r="K2985" s="58">
        <f>SUM('Trial Balance - FPer'!C743:C756)</f>
        <v>90536.31</v>
      </c>
      <c r="L2985" s="288"/>
      <c r="N2985" s="1149"/>
      <c r="P2985" s="1110" t="s">
        <v>3916</v>
      </c>
      <c r="Q2985" s="1111" t="s">
        <v>2763</v>
      </c>
      <c r="R2985" s="1110" t="s">
        <v>3927</v>
      </c>
      <c r="S2985" s="1111" t="s">
        <v>2765</v>
      </c>
      <c r="T2985" s="48"/>
      <c r="U2985" s="48"/>
      <c r="V2985" s="48"/>
      <c r="W2985" s="48"/>
    </row>
    <row r="2986" spans="2:23" ht="15.6" hidden="1" customHeight="1" x14ac:dyDescent="0.2">
      <c r="B2986" s="48" t="s">
        <v>2629</v>
      </c>
      <c r="I2986" s="199">
        <v>0</v>
      </c>
      <c r="J2986" s="206"/>
      <c r="K2986" s="58">
        <v>0</v>
      </c>
      <c r="L2986" s="288"/>
      <c r="N2986" s="1147">
        <f t="shared" si="24"/>
        <v>0</v>
      </c>
      <c r="P2986" s="1110" t="s">
        <v>3774</v>
      </c>
      <c r="Q2986" s="1111" t="s">
        <v>2763</v>
      </c>
      <c r="R2986" s="1110" t="s">
        <v>3786</v>
      </c>
      <c r="S2986" s="1111" t="s">
        <v>2765</v>
      </c>
      <c r="T2986" s="48"/>
      <c r="U2986" s="48"/>
      <c r="V2986" s="48"/>
      <c r="W2986" s="48"/>
    </row>
    <row r="2987" spans="2:23" ht="15.6" hidden="1" customHeight="1" x14ac:dyDescent="0.2">
      <c r="B2987" s="48" t="s">
        <v>1795</v>
      </c>
      <c r="I2987" s="199">
        <v>0</v>
      </c>
      <c r="J2987" s="206"/>
      <c r="K2987" s="58">
        <v>0</v>
      </c>
      <c r="L2987" s="288"/>
      <c r="N2987" s="1147">
        <f t="shared" si="24"/>
        <v>0</v>
      </c>
      <c r="P2987" s="1110" t="s">
        <v>3775</v>
      </c>
      <c r="Q2987" s="1111" t="s">
        <v>2763</v>
      </c>
      <c r="R2987" s="1110" t="s">
        <v>3788</v>
      </c>
      <c r="S2987" s="1111" t="s">
        <v>2765</v>
      </c>
      <c r="T2987" s="48"/>
      <c r="U2987" s="48"/>
      <c r="V2987" s="48"/>
      <c r="W2987" s="48"/>
    </row>
    <row r="2988" spans="2:23" ht="15.6" hidden="1" customHeight="1" x14ac:dyDescent="0.2">
      <c r="B2988" s="48" t="s">
        <v>677</v>
      </c>
      <c r="I2988" s="199">
        <v>0</v>
      </c>
      <c r="J2988" s="206"/>
      <c r="K2988" s="58">
        <v>0</v>
      </c>
      <c r="L2988" s="288"/>
      <c r="M2988" s="1133"/>
      <c r="N2988" s="1147">
        <f t="shared" si="24"/>
        <v>0</v>
      </c>
      <c r="P2988" s="1110" t="s">
        <v>3917</v>
      </c>
      <c r="Q2988" s="1111" t="s">
        <v>2763</v>
      </c>
      <c r="R2988" s="1110" t="s">
        <v>3928</v>
      </c>
      <c r="S2988" s="1111" t="s">
        <v>2765</v>
      </c>
      <c r="T2988" s="48"/>
      <c r="U2988" s="48"/>
      <c r="V2988" s="48"/>
      <c r="W2988" s="48"/>
    </row>
    <row r="2989" spans="2:23" ht="15.6" hidden="1" customHeight="1" x14ac:dyDescent="0.2">
      <c r="B2989" s="48" t="s">
        <v>236</v>
      </c>
      <c r="I2989" s="199">
        <v>0</v>
      </c>
      <c r="J2989" s="206"/>
      <c r="K2989" s="58">
        <v>0</v>
      </c>
      <c r="L2989" s="288"/>
      <c r="N2989" s="1147">
        <f t="shared" si="24"/>
        <v>0</v>
      </c>
      <c r="P2989" s="1110" t="s">
        <v>3918</v>
      </c>
      <c r="Q2989" s="1111" t="s">
        <v>2763</v>
      </c>
      <c r="R2989" s="1110" t="s">
        <v>3929</v>
      </c>
      <c r="S2989" s="1111" t="s">
        <v>2765</v>
      </c>
      <c r="T2989" s="48"/>
      <c r="U2989" s="48"/>
      <c r="V2989" s="48"/>
      <c r="W2989" s="48"/>
    </row>
    <row r="2990" spans="2:23" ht="15.6" hidden="1" customHeight="1" x14ac:dyDescent="0.2">
      <c r="B2990" s="48" t="s">
        <v>1796</v>
      </c>
      <c r="I2990" s="199">
        <v>0</v>
      </c>
      <c r="J2990" s="206"/>
      <c r="K2990" s="58">
        <v>0</v>
      </c>
      <c r="L2990" s="288"/>
      <c r="N2990" s="1147">
        <f t="shared" si="24"/>
        <v>0</v>
      </c>
      <c r="P2990" s="1110" t="s">
        <v>3919</v>
      </c>
      <c r="Q2990" s="1111" t="s">
        <v>2763</v>
      </c>
      <c r="R2990" s="1110" t="s">
        <v>3930</v>
      </c>
      <c r="S2990" s="1111" t="s">
        <v>2765</v>
      </c>
      <c r="T2990" s="48"/>
      <c r="U2990" s="48"/>
      <c r="V2990" s="48"/>
      <c r="W2990" s="48"/>
    </row>
    <row r="2991" spans="2:23" ht="15.6" hidden="1" customHeight="1" x14ac:dyDescent="0.2">
      <c r="B2991" s="48" t="s">
        <v>2630</v>
      </c>
      <c r="I2991" s="199">
        <v>0</v>
      </c>
      <c r="J2991" s="206"/>
      <c r="K2991" s="58">
        <v>0</v>
      </c>
      <c r="L2991" s="288"/>
      <c r="N2991" s="1147">
        <f t="shared" si="24"/>
        <v>0</v>
      </c>
      <c r="P2991" s="1110" t="s">
        <v>3920</v>
      </c>
      <c r="Q2991" s="1111" t="s">
        <v>2763</v>
      </c>
      <c r="R2991" s="1110" t="s">
        <v>3931</v>
      </c>
      <c r="S2991" s="1111" t="s">
        <v>2765</v>
      </c>
      <c r="T2991" s="48"/>
      <c r="U2991" s="48"/>
      <c r="V2991" s="48"/>
      <c r="W2991" s="48"/>
    </row>
    <row r="2992" spans="2:23" ht="15.6" hidden="1" customHeight="1" x14ac:dyDescent="0.2">
      <c r="B2992" s="48" t="s">
        <v>1082</v>
      </c>
      <c r="I2992" s="199">
        <v>0</v>
      </c>
      <c r="J2992" s="206"/>
      <c r="K2992" s="58">
        <v>0</v>
      </c>
      <c r="L2992" s="288"/>
      <c r="M2992" s="983" t="s">
        <v>4042</v>
      </c>
      <c r="N2992" s="1147" t="e">
        <f t="shared" si="24"/>
        <v>#VALUE!</v>
      </c>
      <c r="O2992" s="1146"/>
      <c r="P2992" s="1110" t="s">
        <v>3776</v>
      </c>
      <c r="Q2992" s="1111" t="s">
        <v>2763</v>
      </c>
      <c r="R2992" s="1110" t="s">
        <v>3789</v>
      </c>
      <c r="S2992" s="1111" t="s">
        <v>2765</v>
      </c>
      <c r="T2992" s="48"/>
      <c r="U2992" s="48"/>
      <c r="V2992" s="48"/>
      <c r="W2992" s="48"/>
    </row>
    <row r="2993" spans="1:29" ht="15.6" hidden="1" customHeight="1" x14ac:dyDescent="0.25">
      <c r="A2993" s="655"/>
      <c r="B2993" s="655" t="s">
        <v>3866</v>
      </c>
      <c r="C2993" s="655"/>
      <c r="D2993" s="656"/>
      <c r="E2993" s="655"/>
      <c r="F2993" s="656"/>
      <c r="G2993" s="656"/>
      <c r="H2993" s="656"/>
      <c r="I2993" s="963">
        <v>0</v>
      </c>
      <c r="J2993" s="657"/>
      <c r="K2993" s="963">
        <v>0</v>
      </c>
      <c r="L2993" s="1201"/>
      <c r="N2993" s="1147">
        <f t="shared" si="24"/>
        <v>0</v>
      </c>
      <c r="P2993" s="1110" t="s">
        <v>3765</v>
      </c>
      <c r="Q2993" s="1111" t="s">
        <v>2763</v>
      </c>
      <c r="R2993" s="1110" t="s">
        <v>3778</v>
      </c>
      <c r="S2993" s="1111" t="s">
        <v>2765</v>
      </c>
      <c r="T2993" s="48"/>
      <c r="U2993" s="48"/>
      <c r="V2993" s="48"/>
      <c r="W2993" s="48"/>
    </row>
    <row r="2994" spans="1:29" ht="15.6" hidden="1" customHeight="1" x14ac:dyDescent="0.25">
      <c r="B2994" s="48" t="s">
        <v>1798</v>
      </c>
      <c r="I2994" s="199">
        <v>0</v>
      </c>
      <c r="J2994" s="206"/>
      <c r="K2994" s="199">
        <v>0</v>
      </c>
      <c r="L2994" s="269"/>
      <c r="N2994" s="1147">
        <f t="shared" si="24"/>
        <v>0</v>
      </c>
      <c r="P2994" s="1110" t="s">
        <v>3872</v>
      </c>
      <c r="Q2994" s="1111" t="s">
        <v>2763</v>
      </c>
      <c r="R2994" s="1110" t="s">
        <v>3932</v>
      </c>
      <c r="S2994" s="1111" t="s">
        <v>2765</v>
      </c>
      <c r="T2994" s="48"/>
      <c r="U2994" s="48"/>
      <c r="V2994" s="48"/>
      <c r="W2994" s="48"/>
    </row>
    <row r="2995" spans="1:29" ht="15.6" hidden="1" customHeight="1" x14ac:dyDescent="0.2">
      <c r="A2995" s="655"/>
      <c r="B2995" s="655" t="s">
        <v>3867</v>
      </c>
      <c r="C2995" s="655"/>
      <c r="D2995" s="656"/>
      <c r="E2995" s="655"/>
      <c r="F2995" s="656"/>
      <c r="G2995" s="656"/>
      <c r="H2995" s="656"/>
      <c r="I2995" s="658">
        <v>0</v>
      </c>
      <c r="J2995" s="658"/>
      <c r="K2995" s="658">
        <v>0</v>
      </c>
      <c r="L2995" s="997"/>
      <c r="N2995" s="1147">
        <f t="shared" si="24"/>
        <v>0</v>
      </c>
      <c r="O2995" s="1146"/>
      <c r="P2995" s="1110" t="s">
        <v>3777</v>
      </c>
      <c r="Q2995" s="1111" t="s">
        <v>2763</v>
      </c>
      <c r="R2995" s="1110" t="s">
        <v>3790</v>
      </c>
      <c r="S2995" s="1111" t="s">
        <v>2765</v>
      </c>
      <c r="T2995" s="48"/>
      <c r="U2995" s="48"/>
      <c r="V2995" s="48"/>
      <c r="W2995" s="48"/>
    </row>
    <row r="2996" spans="1:29" ht="15.6" customHeight="1" x14ac:dyDescent="0.2">
      <c r="I2996" s="206"/>
      <c r="J2996" s="206"/>
      <c r="L2996" s="288"/>
      <c r="N2996" s="1147"/>
      <c r="O2996" s="1146"/>
      <c r="T2996" s="48"/>
      <c r="U2996" s="48"/>
      <c r="V2996" s="48"/>
      <c r="W2996" s="48"/>
    </row>
    <row r="2997" spans="1:29" ht="15.6" customHeight="1" thickBot="1" x14ac:dyDescent="0.3">
      <c r="B2997" s="50" t="s">
        <v>1083</v>
      </c>
      <c r="I2997" s="204">
        <f>SUM(I2935:I2996)</f>
        <v>20795542.219999995</v>
      </c>
      <c r="J2997" s="58"/>
      <c r="K2997" s="204">
        <f>SUM(K2935:K2996)</f>
        <v>19176808.199999999</v>
      </c>
      <c r="L2997" s="269"/>
      <c r="N2997" s="1147"/>
      <c r="O2997" s="1146"/>
      <c r="T2997" s="48"/>
      <c r="U2997" s="48"/>
      <c r="V2997" s="48"/>
      <c r="W2997" s="48"/>
    </row>
    <row r="2998" spans="1:29" ht="15.6" customHeight="1" thickTop="1" x14ac:dyDescent="0.25">
      <c r="I2998" s="265">
        <f>I2997-'Fin Perform'!I44</f>
        <v>0</v>
      </c>
      <c r="J2998" s="58"/>
      <c r="K2998" s="265">
        <f>K2997-'Fin Perform'!K44</f>
        <v>0</v>
      </c>
      <c r="L2998" s="269"/>
      <c r="N2998" s="1147"/>
      <c r="O2998" s="1146"/>
      <c r="T2998" s="48"/>
      <c r="U2998" s="48"/>
      <c r="V2998" s="48"/>
      <c r="W2998" s="48"/>
    </row>
    <row r="2999" spans="1:29" ht="46.5" hidden="1" customHeight="1" x14ac:dyDescent="0.2">
      <c r="A2999" s="767"/>
      <c r="B2999" s="2855" t="s">
        <v>2526</v>
      </c>
      <c r="C2999" s="2855"/>
      <c r="D2999" s="2855"/>
      <c r="E2999" s="2855"/>
      <c r="F2999" s="2855"/>
      <c r="G2999" s="2855"/>
      <c r="H2999" s="768"/>
      <c r="I2999" s="768"/>
      <c r="J2999" s="768"/>
      <c r="K2999" s="768"/>
      <c r="L2999" s="777"/>
      <c r="M2999" s="1133"/>
      <c r="N2999" s="1147"/>
      <c r="O2999" s="1146"/>
      <c r="T2999" s="48"/>
      <c r="U2999" s="48"/>
      <c r="V2999" s="48"/>
      <c r="W2999" s="48"/>
    </row>
    <row r="3000" spans="1:29" ht="15.6" hidden="1" customHeight="1" x14ac:dyDescent="0.2">
      <c r="A3000" s="767"/>
      <c r="B3000" s="767"/>
      <c r="C3000" s="767"/>
      <c r="D3000" s="769"/>
      <c r="E3000" s="767"/>
      <c r="F3000" s="769"/>
      <c r="G3000" s="769"/>
      <c r="H3000" s="769"/>
      <c r="I3000" s="779"/>
      <c r="J3000" s="779"/>
      <c r="K3000" s="779"/>
      <c r="L3000" s="777"/>
      <c r="N3000" s="1471"/>
      <c r="T3000" s="48"/>
      <c r="U3000" s="48"/>
      <c r="V3000" s="48"/>
      <c r="W3000" s="48"/>
    </row>
    <row r="3001" spans="1:29" ht="46.5" hidden="1" customHeight="1" x14ac:dyDescent="0.2">
      <c r="A3001" s="767"/>
      <c r="B3001" s="2855" t="s">
        <v>2527</v>
      </c>
      <c r="C3001" s="2855"/>
      <c r="D3001" s="2855"/>
      <c r="E3001" s="2855"/>
      <c r="F3001" s="2855"/>
      <c r="G3001" s="2855"/>
      <c r="H3001" s="768"/>
      <c r="I3001" s="768"/>
      <c r="J3001" s="768"/>
      <c r="K3001" s="768"/>
      <c r="L3001" s="777"/>
      <c r="M3001" s="1133"/>
      <c r="N3001" s="1147"/>
      <c r="O3001" s="1146"/>
      <c r="T3001" s="48"/>
      <c r="U3001" s="48"/>
      <c r="V3001" s="48"/>
      <c r="W3001" s="48"/>
    </row>
    <row r="3002" spans="1:29" ht="15.6" hidden="1" customHeight="1" x14ac:dyDescent="0.2">
      <c r="A3002" s="767"/>
      <c r="B3002" s="767"/>
      <c r="C3002" s="767"/>
      <c r="D3002" s="769"/>
      <c r="E3002" s="767"/>
      <c r="F3002" s="769"/>
      <c r="G3002" s="769"/>
      <c r="H3002" s="769"/>
      <c r="I3002" s="779"/>
      <c r="J3002" s="779"/>
      <c r="K3002" s="779"/>
      <c r="L3002" s="777"/>
      <c r="M3002" s="1133"/>
      <c r="N3002" s="1147"/>
      <c r="O3002" s="1146"/>
      <c r="P3002" s="1115"/>
      <c r="T3002" s="48"/>
      <c r="U3002" s="48"/>
      <c r="V3002" s="48"/>
      <c r="W3002" s="48"/>
    </row>
    <row r="3003" spans="1:29" ht="62.1" customHeight="1" x14ac:dyDescent="0.25">
      <c r="B3003" s="2839" t="s">
        <v>1910</v>
      </c>
      <c r="C3003" s="2839"/>
      <c r="D3003" s="2839"/>
      <c r="E3003" s="2839"/>
      <c r="F3003" s="2839"/>
      <c r="G3003" s="2839"/>
      <c r="I3003" s="200"/>
      <c r="J3003" s="200"/>
      <c r="K3003" s="200"/>
      <c r="L3003" s="210"/>
      <c r="M3003" s="1133"/>
      <c r="N3003" s="1147"/>
      <c r="O3003" s="1133"/>
      <c r="T3003" s="48"/>
      <c r="U3003" s="48"/>
      <c r="V3003" s="48"/>
      <c r="W3003" s="48"/>
    </row>
    <row r="3004" spans="1:29" ht="15.6" customHeight="1" x14ac:dyDescent="0.2">
      <c r="I3004" s="206"/>
      <c r="J3004" s="206"/>
      <c r="K3004" s="206"/>
      <c r="L3004" s="207"/>
      <c r="M3004" s="1133"/>
      <c r="N3004" s="1147"/>
      <c r="O3004" s="1146"/>
    </row>
    <row r="3005" spans="1:29" ht="93" hidden="1" customHeight="1" x14ac:dyDescent="0.25">
      <c r="A3005" s="767"/>
      <c r="B3005" s="2855" t="s">
        <v>2528</v>
      </c>
      <c r="C3005" s="2855"/>
      <c r="D3005" s="2855"/>
      <c r="E3005" s="2855"/>
      <c r="F3005" s="2855"/>
      <c r="G3005" s="2855"/>
      <c r="H3005" s="769"/>
      <c r="I3005" s="770"/>
      <c r="J3005" s="770"/>
      <c r="K3005" s="770"/>
      <c r="L3005" s="771"/>
      <c r="M3005" s="1213" t="s">
        <v>1084</v>
      </c>
      <c r="N3005" s="1147"/>
      <c r="O3005" s="1146"/>
      <c r="P3005" s="1115"/>
    </row>
    <row r="3006" spans="1:29" ht="15.6" hidden="1" customHeight="1" x14ac:dyDescent="0.2">
      <c r="A3006" s="767"/>
      <c r="B3006" s="767"/>
      <c r="C3006" s="767"/>
      <c r="D3006" s="769"/>
      <c r="E3006" s="767"/>
      <c r="F3006" s="769"/>
      <c r="G3006" s="769"/>
      <c r="H3006" s="769"/>
      <c r="I3006" s="1542"/>
      <c r="J3006" s="1542"/>
      <c r="K3006" s="1542"/>
      <c r="L3006" s="1544"/>
      <c r="M3006" s="1133"/>
      <c r="N3006" s="1147"/>
      <c r="O3006" s="1146"/>
    </row>
    <row r="3007" spans="1:29" s="229" customFormat="1" ht="15.6" customHeight="1" thickBot="1" x14ac:dyDescent="0.3">
      <c r="B3007" s="229" t="s">
        <v>7583</v>
      </c>
      <c r="D3007" s="289"/>
      <c r="F3007" s="289"/>
      <c r="G3007" s="289"/>
      <c r="H3007" s="289"/>
      <c r="I3007" s="291">
        <f>SUM(I3009:I3022)</f>
        <v>106436681.41667849</v>
      </c>
      <c r="J3007" s="1250"/>
      <c r="K3007" s="291">
        <f>SUM(K3009:K3022)</f>
        <v>0</v>
      </c>
      <c r="L3007" s="290"/>
      <c r="M3007" s="1217" t="s">
        <v>2359</v>
      </c>
      <c r="N3007" s="621"/>
      <c r="O3007" s="855"/>
      <c r="P3007" s="1110"/>
      <c r="Q3007" s="1111"/>
      <c r="R3007" s="1111"/>
      <c r="S3007" s="1111"/>
      <c r="T3007" s="1111"/>
      <c r="U3007" s="1112"/>
      <c r="V3007" s="1133"/>
      <c r="W3007" s="1114" t="s">
        <v>3857</v>
      </c>
      <c r="X3007" s="48"/>
      <c r="Y3007" s="48"/>
      <c r="Z3007" s="48"/>
      <c r="AA3007" s="48"/>
      <c r="AB3007" s="48"/>
      <c r="AC3007" s="48"/>
    </row>
    <row r="3008" spans="1:29" ht="5.0999999999999996" customHeight="1" thickTop="1" x14ac:dyDescent="0.2">
      <c r="I3008" s="798"/>
      <c r="J3008" s="58"/>
      <c r="K3008" s="798"/>
      <c r="L3008" s="59"/>
      <c r="M3008" s="1133"/>
    </row>
    <row r="3009" spans="2:16" ht="15.6" hidden="1" customHeight="1" x14ac:dyDescent="0.25">
      <c r="B3009" s="48" t="s">
        <v>2156</v>
      </c>
      <c r="I3009" s="2164">
        <v>0</v>
      </c>
      <c r="J3009" s="270"/>
      <c r="K3009" s="2164">
        <v>0</v>
      </c>
      <c r="L3009" s="269"/>
    </row>
    <row r="3010" spans="2:16" ht="15.6" hidden="1" customHeight="1" x14ac:dyDescent="0.25">
      <c r="B3010" s="48" t="s">
        <v>2157</v>
      </c>
      <c r="I3010" s="2165">
        <v>0</v>
      </c>
      <c r="J3010" s="270"/>
      <c r="K3010" s="2165">
        <v>0</v>
      </c>
      <c r="L3010" s="269"/>
    </row>
    <row r="3011" spans="2:16" ht="15.6" hidden="1" customHeight="1" x14ac:dyDescent="0.25">
      <c r="B3011" s="48" t="s">
        <v>2158</v>
      </c>
      <c r="I3011" s="2165">
        <v>0</v>
      </c>
      <c r="J3011" s="270"/>
      <c r="K3011" s="2165">
        <v>0</v>
      </c>
      <c r="L3011" s="269"/>
    </row>
    <row r="3012" spans="2:16" ht="15.6" hidden="1" customHeight="1" x14ac:dyDescent="0.25">
      <c r="B3012" s="48" t="s">
        <v>2159</v>
      </c>
      <c r="I3012" s="2165">
        <v>0</v>
      </c>
      <c r="J3012" s="270"/>
      <c r="K3012" s="2165">
        <v>0</v>
      </c>
      <c r="L3012" s="269"/>
    </row>
    <row r="3013" spans="2:16" ht="15.6" hidden="1" customHeight="1" x14ac:dyDescent="0.25">
      <c r="B3013" s="48" t="s">
        <v>2160</v>
      </c>
      <c r="I3013" s="2165">
        <v>0</v>
      </c>
      <c r="J3013" s="270"/>
      <c r="K3013" s="2165">
        <v>0</v>
      </c>
      <c r="L3013" s="269"/>
    </row>
    <row r="3014" spans="2:16" ht="15.6" hidden="1" customHeight="1" x14ac:dyDescent="0.25">
      <c r="B3014" s="48" t="s">
        <v>2161</v>
      </c>
      <c r="I3014" s="2165">
        <v>0</v>
      </c>
      <c r="J3014" s="270"/>
      <c r="K3014" s="2165">
        <v>0</v>
      </c>
      <c r="L3014" s="269"/>
    </row>
    <row r="3015" spans="2:16" ht="15.6" hidden="1" customHeight="1" x14ac:dyDescent="0.25">
      <c r="B3015" s="48" t="s">
        <v>2162</v>
      </c>
      <c r="I3015" s="2165">
        <v>0</v>
      </c>
      <c r="J3015" s="270"/>
      <c r="K3015" s="2165">
        <v>0</v>
      </c>
      <c r="L3015" s="269"/>
    </row>
    <row r="3016" spans="2:16" ht="15.6" hidden="1" customHeight="1" x14ac:dyDescent="0.25">
      <c r="B3016" s="2082" t="s">
        <v>2163</v>
      </c>
      <c r="I3016" s="2165">
        <v>0</v>
      </c>
      <c r="J3016" s="270"/>
      <c r="K3016" s="2165">
        <v>0</v>
      </c>
      <c r="L3016" s="269"/>
    </row>
    <row r="3017" spans="2:16" ht="15.6" hidden="1" customHeight="1" x14ac:dyDescent="0.25">
      <c r="B3017" s="48" t="s">
        <v>2164</v>
      </c>
      <c r="I3017" s="2165">
        <v>0</v>
      </c>
      <c r="J3017" s="270"/>
      <c r="K3017" s="2165">
        <v>0</v>
      </c>
      <c r="L3017" s="269"/>
    </row>
    <row r="3018" spans="2:16" ht="15.6" hidden="1" customHeight="1" x14ac:dyDescent="0.25">
      <c r="B3018" s="48" t="s">
        <v>2185</v>
      </c>
      <c r="I3018" s="2165">
        <v>0</v>
      </c>
      <c r="J3018" s="270"/>
      <c r="K3018" s="2165">
        <v>0</v>
      </c>
      <c r="L3018" s="269"/>
    </row>
    <row r="3019" spans="2:16" ht="15.6" customHeight="1" x14ac:dyDescent="0.25">
      <c r="B3019" s="48" t="s">
        <v>2165</v>
      </c>
      <c r="I3019" s="2545"/>
      <c r="J3019" s="270"/>
      <c r="K3019" s="2545"/>
      <c r="L3019" s="269"/>
    </row>
    <row r="3020" spans="2:16" ht="15.6" customHeight="1" x14ac:dyDescent="0.25">
      <c r="B3020" s="48" t="s">
        <v>2166</v>
      </c>
      <c r="I3020" s="2545">
        <f>K4240</f>
        <v>106436681.41667849</v>
      </c>
      <c r="J3020" s="270"/>
      <c r="K3020" s="2545">
        <f>K4250</f>
        <v>0</v>
      </c>
      <c r="L3020" s="269"/>
    </row>
    <row r="3021" spans="2:16" ht="15.6" hidden="1" customHeight="1" x14ac:dyDescent="0.25">
      <c r="B3021" s="48" t="s">
        <v>2155</v>
      </c>
      <c r="I3021" s="2545">
        <f>K4264</f>
        <v>0</v>
      </c>
      <c r="J3021" s="270"/>
      <c r="K3021" s="2545">
        <f>K4266</f>
        <v>0</v>
      </c>
      <c r="L3021" s="269"/>
    </row>
    <row r="3022" spans="2:16" ht="15.6" customHeight="1" x14ac:dyDescent="0.25">
      <c r="I3022" s="2546"/>
      <c r="J3022" s="270"/>
      <c r="K3022" s="2546"/>
      <c r="L3022" s="269"/>
    </row>
    <row r="3023" spans="2:16" ht="15.6" customHeight="1" x14ac:dyDescent="0.25">
      <c r="I3023" s="48"/>
      <c r="J3023" s="48"/>
      <c r="K3023" s="48"/>
      <c r="L3023" s="269"/>
      <c r="P3023" s="1117"/>
    </row>
    <row r="3024" spans="2:16" ht="46.5" customHeight="1" x14ac:dyDescent="0.25">
      <c r="B3024" s="2839" t="s">
        <v>7584</v>
      </c>
      <c r="C3024" s="2839"/>
      <c r="D3024" s="2839"/>
      <c r="E3024" s="2839"/>
      <c r="F3024" s="2839"/>
      <c r="G3024" s="2839"/>
      <c r="I3024" s="200"/>
      <c r="J3024" s="200"/>
      <c r="K3024" s="200"/>
      <c r="L3024" s="210"/>
      <c r="M3024" s="1133"/>
      <c r="N3024" s="1147"/>
      <c r="O3024" s="1146"/>
      <c r="P3024" s="1117"/>
    </row>
    <row r="3025" spans="1:29" ht="15.6" customHeight="1" x14ac:dyDescent="0.2">
      <c r="I3025" s="206"/>
      <c r="J3025" s="206"/>
      <c r="K3025" s="206"/>
      <c r="L3025" s="207"/>
      <c r="M3025" s="1133"/>
      <c r="N3025" s="1147"/>
      <c r="O3025" s="1146"/>
      <c r="P3025" s="1117"/>
    </row>
    <row r="3026" spans="1:29" s="229" customFormat="1" ht="15.6" hidden="1" customHeight="1" thickBot="1" x14ac:dyDescent="0.3">
      <c r="A3026" s="776"/>
      <c r="B3026" s="776" t="s">
        <v>4156</v>
      </c>
      <c r="C3026" s="776"/>
      <c r="D3026" s="1626"/>
      <c r="E3026" s="776"/>
      <c r="F3026" s="1626"/>
      <c r="G3026" s="1626"/>
      <c r="H3026" s="1626"/>
      <c r="I3026" s="1627">
        <v>0</v>
      </c>
      <c r="J3026" s="780"/>
      <c r="K3026" s="1627">
        <v>0</v>
      </c>
      <c r="L3026" s="1628"/>
      <c r="M3026" s="299"/>
      <c r="N3026" s="621"/>
      <c r="O3026" s="855"/>
      <c r="P3026" s="1117"/>
      <c r="Q3026" s="1111"/>
      <c r="R3026" s="1111"/>
      <c r="S3026" s="1111"/>
      <c r="T3026" s="1111"/>
      <c r="U3026" s="1112"/>
      <c r="V3026" s="1133"/>
      <c r="W3026" s="1114" t="s">
        <v>3857</v>
      </c>
      <c r="X3026" s="48"/>
      <c r="Y3026" s="48"/>
      <c r="Z3026" s="48"/>
      <c r="AA3026" s="48"/>
      <c r="AB3026" s="48"/>
      <c r="AC3026" s="48"/>
    </row>
    <row r="3027" spans="1:29" ht="62.1" hidden="1" customHeight="1" thickTop="1" x14ac:dyDescent="0.25">
      <c r="A3027" s="767"/>
      <c r="B3027" s="2855" t="s">
        <v>151</v>
      </c>
      <c r="C3027" s="2855"/>
      <c r="D3027" s="2855"/>
      <c r="E3027" s="2855"/>
      <c r="F3027" s="2855"/>
      <c r="G3027" s="2855"/>
      <c r="H3027" s="768"/>
      <c r="I3027" s="768"/>
      <c r="J3027" s="768"/>
      <c r="K3027" s="768"/>
      <c r="L3027" s="1619"/>
      <c r="M3027" s="1133"/>
      <c r="N3027" s="1147"/>
      <c r="O3027" s="1146"/>
      <c r="P3027" s="1115"/>
    </row>
    <row r="3028" spans="1:29" ht="15.6" hidden="1" customHeight="1" x14ac:dyDescent="0.25">
      <c r="A3028" s="767"/>
      <c r="B3028" s="767"/>
      <c r="C3028" s="767"/>
      <c r="D3028" s="769"/>
      <c r="E3028" s="767"/>
      <c r="F3028" s="769"/>
      <c r="G3028" s="769"/>
      <c r="H3028" s="769"/>
      <c r="I3028" s="770"/>
      <c r="J3028" s="770"/>
      <c r="K3028" s="770"/>
      <c r="L3028" s="1619"/>
      <c r="M3028" s="1133"/>
      <c r="N3028" s="1147"/>
      <c r="O3028" s="1146"/>
    </row>
    <row r="3029" spans="1:29" ht="15.6" customHeight="1" x14ac:dyDescent="0.25">
      <c r="B3029" s="48" t="s">
        <v>4418</v>
      </c>
      <c r="I3029" s="200"/>
      <c r="J3029" s="200"/>
      <c r="K3029" s="200"/>
      <c r="L3029" s="269"/>
    </row>
    <row r="3030" spans="1:29" ht="15.6" customHeight="1" x14ac:dyDescent="0.25">
      <c r="I3030" s="200"/>
      <c r="J3030" s="200"/>
      <c r="K3030" s="200"/>
      <c r="L3030" s="269"/>
    </row>
    <row r="3031" spans="1:29" ht="15.6" hidden="1" customHeight="1" x14ac:dyDescent="0.2">
      <c r="A3031" s="201"/>
      <c r="B3031" s="201"/>
      <c r="C3031" s="201"/>
      <c r="D3031" s="201"/>
      <c r="E3031" s="201"/>
      <c r="F3031" s="201"/>
      <c r="G3031" s="201"/>
      <c r="H3031" s="201"/>
      <c r="I3031" s="58"/>
      <c r="K3031" s="58"/>
      <c r="L3031" s="201"/>
      <c r="M3031" s="1133"/>
      <c r="N3031" s="1147"/>
      <c r="O3031" s="1146"/>
      <c r="P3031" s="1117"/>
    </row>
    <row r="3032" spans="1:29" ht="15.6" hidden="1" customHeight="1" x14ac:dyDescent="0.25">
      <c r="A3032" s="277">
        <v>49</v>
      </c>
      <c r="B3032" s="275" t="s">
        <v>1085</v>
      </c>
      <c r="C3032" s="201"/>
      <c r="D3032" s="201"/>
      <c r="E3032" s="201"/>
      <c r="F3032" s="201"/>
      <c r="G3032" s="201"/>
      <c r="H3032" s="201"/>
      <c r="I3032" s="58"/>
      <c r="K3032" s="58"/>
      <c r="L3032" s="201"/>
      <c r="M3032" s="1133"/>
      <c r="N3032" s="1147"/>
      <c r="O3032" s="1146"/>
      <c r="W3032" s="1114" t="s">
        <v>3520</v>
      </c>
    </row>
    <row r="3033" spans="1:29" ht="15.6" hidden="1" customHeight="1" x14ac:dyDescent="0.2">
      <c r="A3033" s="201"/>
      <c r="B3033" s="201"/>
      <c r="C3033" s="201"/>
      <c r="D3033" s="201"/>
      <c r="E3033" s="201"/>
      <c r="F3033" s="201"/>
      <c r="G3033" s="201"/>
      <c r="H3033" s="201"/>
      <c r="I3033" s="58"/>
      <c r="K3033" s="58"/>
      <c r="L3033" s="201"/>
      <c r="M3033" s="1133"/>
      <c r="N3033" s="1147"/>
      <c r="O3033" s="1146"/>
    </row>
    <row r="3034" spans="1:29" ht="15.6" hidden="1" customHeight="1" x14ac:dyDescent="0.25">
      <c r="A3034" s="655"/>
      <c r="B3034" s="655" t="s">
        <v>794</v>
      </c>
      <c r="C3034" s="655"/>
      <c r="D3034" s="656"/>
      <c r="E3034" s="655"/>
      <c r="F3034" s="656"/>
      <c r="G3034" s="655"/>
      <c r="H3034" s="656"/>
      <c r="I3034" s="658">
        <v>0</v>
      </c>
      <c r="J3034" s="657"/>
      <c r="K3034" s="658">
        <v>0</v>
      </c>
      <c r="L3034" s="655"/>
      <c r="M3034" s="1256" t="s">
        <v>2360</v>
      </c>
      <c r="N3034" s="1147"/>
      <c r="O3034" s="1146"/>
      <c r="P3034" s="1110" t="s">
        <v>3757</v>
      </c>
      <c r="Q3034" s="1111" t="s">
        <v>3762</v>
      </c>
      <c r="R3034" s="1110" t="s">
        <v>3760</v>
      </c>
      <c r="S3034" s="1111" t="s">
        <v>3763</v>
      </c>
    </row>
    <row r="3035" spans="1:29" ht="15.6" hidden="1" customHeight="1" x14ac:dyDescent="0.25">
      <c r="A3035" s="655"/>
      <c r="B3035" s="655" t="s">
        <v>3759</v>
      </c>
      <c r="C3035" s="655"/>
      <c r="D3035" s="656"/>
      <c r="E3035" s="655"/>
      <c r="F3035" s="656"/>
      <c r="G3035" s="655"/>
      <c r="H3035" s="656"/>
      <c r="I3035" s="658">
        <v>0</v>
      </c>
      <c r="J3035" s="657"/>
      <c r="K3035" s="658">
        <v>0</v>
      </c>
      <c r="L3035" s="655"/>
      <c r="M3035" s="1256" t="s">
        <v>2361</v>
      </c>
      <c r="N3035" s="1147"/>
      <c r="O3035" s="1146"/>
      <c r="P3035" s="1117" t="s">
        <v>3758</v>
      </c>
      <c r="Q3035" s="1111" t="s">
        <v>2763</v>
      </c>
      <c r="R3035" s="1117" t="s">
        <v>3761</v>
      </c>
      <c r="S3035" s="1111" t="s">
        <v>2765</v>
      </c>
      <c r="Y3035" s="50"/>
    </row>
    <row r="3036" spans="1:29" ht="15.6" hidden="1" customHeight="1" x14ac:dyDescent="0.25">
      <c r="A3036" s="655"/>
      <c r="B3036" s="655" t="s">
        <v>4419</v>
      </c>
      <c r="C3036" s="655"/>
      <c r="D3036" s="656"/>
      <c r="E3036" s="655"/>
      <c r="F3036" s="656"/>
      <c r="G3036" s="655"/>
      <c r="H3036" s="656"/>
      <c r="I3036" s="658">
        <v>0</v>
      </c>
      <c r="J3036" s="657"/>
      <c r="K3036" s="658">
        <v>0</v>
      </c>
      <c r="L3036" s="655"/>
      <c r="M3036" s="1244" t="s">
        <v>4420</v>
      </c>
      <c r="N3036" s="1147"/>
      <c r="O3036" s="1146"/>
    </row>
    <row r="3037" spans="1:29" ht="15.6" hidden="1" customHeight="1" x14ac:dyDescent="0.25">
      <c r="A3037" s="655"/>
      <c r="B3037" s="655" t="s">
        <v>1872</v>
      </c>
      <c r="C3037" s="655"/>
      <c r="D3037" s="656"/>
      <c r="E3037" s="655"/>
      <c r="F3037" s="656"/>
      <c r="G3037" s="655"/>
      <c r="H3037" s="656"/>
      <c r="I3037" s="658">
        <v>0</v>
      </c>
      <c r="J3037" s="657"/>
      <c r="K3037" s="658">
        <v>0</v>
      </c>
      <c r="L3037" s="655"/>
      <c r="M3037" s="1598"/>
      <c r="N3037" s="1147"/>
      <c r="O3037" s="1146"/>
    </row>
    <row r="3038" spans="1:29" ht="15.6" hidden="1" customHeight="1" x14ac:dyDescent="0.25">
      <c r="A3038" s="655"/>
      <c r="B3038" s="655" t="s">
        <v>1086</v>
      </c>
      <c r="C3038" s="655"/>
      <c r="D3038" s="656"/>
      <c r="E3038" s="655"/>
      <c r="F3038" s="656"/>
      <c r="G3038" s="655"/>
      <c r="H3038" s="656"/>
      <c r="I3038" s="658">
        <v>0</v>
      </c>
      <c r="J3038" s="657"/>
      <c r="K3038" s="658">
        <v>0</v>
      </c>
      <c r="L3038" s="655"/>
      <c r="M3038" s="1256" t="s">
        <v>2354</v>
      </c>
      <c r="N3038" s="1147"/>
      <c r="O3038" s="1146"/>
    </row>
    <row r="3039" spans="1:29" ht="15.6" hidden="1" customHeight="1" x14ac:dyDescent="0.25">
      <c r="A3039" s="655"/>
      <c r="B3039" s="655" t="s">
        <v>1087</v>
      </c>
      <c r="C3039" s="655"/>
      <c r="D3039" s="656"/>
      <c r="E3039" s="655"/>
      <c r="F3039" s="656"/>
      <c r="G3039" s="655"/>
      <c r="H3039" s="656"/>
      <c r="I3039" s="658">
        <v>0</v>
      </c>
      <c r="J3039" s="657"/>
      <c r="K3039" s="658">
        <v>0</v>
      </c>
      <c r="L3039" s="655"/>
      <c r="M3039" s="1256" t="s">
        <v>2354</v>
      </c>
      <c r="N3039" s="1147"/>
      <c r="O3039" s="1146"/>
    </row>
    <row r="3040" spans="1:29" ht="15.6" hidden="1" customHeight="1" x14ac:dyDescent="0.25">
      <c r="A3040" s="655"/>
      <c r="B3040" s="655" t="s">
        <v>1088</v>
      </c>
      <c r="C3040" s="655"/>
      <c r="D3040" s="656"/>
      <c r="E3040" s="655"/>
      <c r="F3040" s="656"/>
      <c r="G3040" s="655"/>
      <c r="H3040" s="656"/>
      <c r="I3040" s="658">
        <v>0</v>
      </c>
      <c r="J3040" s="657"/>
      <c r="K3040" s="658">
        <v>0</v>
      </c>
      <c r="L3040" s="655"/>
      <c r="M3040" s="1256" t="s">
        <v>2354</v>
      </c>
      <c r="N3040" s="1147"/>
      <c r="O3040" s="1146"/>
      <c r="P3040" s="1117"/>
    </row>
    <row r="3041" spans="1:29" ht="15.6" hidden="1" customHeight="1" x14ac:dyDescent="0.25">
      <c r="A3041" s="655"/>
      <c r="B3041" s="655" t="s">
        <v>1089</v>
      </c>
      <c r="C3041" s="655"/>
      <c r="D3041" s="656"/>
      <c r="E3041" s="655"/>
      <c r="F3041" s="656"/>
      <c r="G3041" s="655"/>
      <c r="H3041" s="656"/>
      <c r="I3041" s="658">
        <v>0</v>
      </c>
      <c r="J3041" s="657"/>
      <c r="K3041" s="658">
        <v>0</v>
      </c>
      <c r="L3041" s="655"/>
      <c r="M3041" s="1256" t="s">
        <v>2354</v>
      </c>
      <c r="N3041" s="1147"/>
      <c r="O3041" s="1146"/>
    </row>
    <row r="3042" spans="1:29" ht="15.6" hidden="1" customHeight="1" x14ac:dyDescent="0.25">
      <c r="A3042" s="655"/>
      <c r="B3042" s="655" t="s">
        <v>1090</v>
      </c>
      <c r="C3042" s="655"/>
      <c r="D3042" s="656"/>
      <c r="E3042" s="655"/>
      <c r="F3042" s="656"/>
      <c r="G3042" s="655"/>
      <c r="H3042" s="656"/>
      <c r="I3042" s="658">
        <v>0</v>
      </c>
      <c r="J3042" s="657"/>
      <c r="K3042" s="658">
        <v>0</v>
      </c>
      <c r="L3042" s="655"/>
      <c r="M3042" s="1256" t="s">
        <v>1993</v>
      </c>
      <c r="N3042" s="1147"/>
      <c r="O3042" s="1146"/>
      <c r="P3042" s="1117"/>
    </row>
    <row r="3043" spans="1:29" ht="15.6" hidden="1" customHeight="1" x14ac:dyDescent="0.25">
      <c r="A3043" s="655"/>
      <c r="B3043" s="655" t="s">
        <v>1625</v>
      </c>
      <c r="C3043" s="655"/>
      <c r="D3043" s="656"/>
      <c r="E3043" s="655"/>
      <c r="F3043" s="656"/>
      <c r="G3043" s="655"/>
      <c r="H3043" s="656"/>
      <c r="I3043" s="658">
        <v>0</v>
      </c>
      <c r="J3043" s="657"/>
      <c r="K3043" s="658">
        <v>0</v>
      </c>
      <c r="L3043" s="655"/>
      <c r="M3043" s="1256" t="s">
        <v>1993</v>
      </c>
      <c r="N3043" s="1147"/>
      <c r="O3043" s="1146"/>
      <c r="P3043" s="1115"/>
    </row>
    <row r="3044" spans="1:29" ht="15.6" hidden="1" customHeight="1" x14ac:dyDescent="0.25">
      <c r="A3044" s="655"/>
      <c r="B3044" s="2940" t="s">
        <v>1091</v>
      </c>
      <c r="C3044" s="2940"/>
      <c r="D3044" s="2940"/>
      <c r="E3044" s="2940"/>
      <c r="F3044" s="2940"/>
      <c r="G3044" s="2940"/>
      <c r="H3044" s="1629"/>
      <c r="I3044" s="658">
        <v>0</v>
      </c>
      <c r="J3044" s="657"/>
      <c r="K3044" s="658">
        <v>0</v>
      </c>
      <c r="L3044" s="655"/>
      <c r="M3044" s="1256" t="s">
        <v>2354</v>
      </c>
      <c r="N3044" s="1147"/>
      <c r="O3044" s="1146"/>
      <c r="P3044" s="1117"/>
    </row>
    <row r="3045" spans="1:29" ht="15.6" hidden="1" customHeight="1" x14ac:dyDescent="0.25">
      <c r="A3045" s="655"/>
      <c r="B3045" s="655" t="s">
        <v>1092</v>
      </c>
      <c r="C3045" s="655"/>
      <c r="D3045" s="656"/>
      <c r="E3045" s="655"/>
      <c r="F3045" s="656"/>
      <c r="G3045" s="655"/>
      <c r="H3045" s="656"/>
      <c r="I3045" s="658">
        <v>0</v>
      </c>
      <c r="J3045" s="657"/>
      <c r="K3045" s="658">
        <v>0</v>
      </c>
      <c r="L3045" s="655"/>
      <c r="M3045" s="1213" t="s">
        <v>1093</v>
      </c>
      <c r="N3045" s="1147"/>
      <c r="O3045" s="1146"/>
      <c r="P3045" s="1123"/>
      <c r="Q3045" s="1114"/>
      <c r="R3045" s="1114"/>
      <c r="S3045" s="1114"/>
      <c r="T3045" s="1114"/>
      <c r="U3045" s="316"/>
      <c r="V3045" s="299"/>
      <c r="Z3045" s="50"/>
    </row>
    <row r="3046" spans="1:29" ht="15.6" hidden="1" customHeight="1" x14ac:dyDescent="0.25">
      <c r="A3046" s="655"/>
      <c r="B3046" s="655" t="s">
        <v>1094</v>
      </c>
      <c r="C3046" s="655"/>
      <c r="D3046" s="656"/>
      <c r="E3046" s="655"/>
      <c r="F3046" s="656"/>
      <c r="G3046" s="655"/>
      <c r="H3046" s="656"/>
      <c r="I3046" s="658">
        <v>0</v>
      </c>
      <c r="J3046" s="657"/>
      <c r="K3046" s="658">
        <v>0</v>
      </c>
      <c r="L3046" s="655"/>
      <c r="M3046" s="1213" t="s">
        <v>1095</v>
      </c>
      <c r="N3046" s="1147"/>
      <c r="O3046" s="1146"/>
      <c r="P3046" s="1117"/>
      <c r="AA3046" s="50"/>
    </row>
    <row r="3047" spans="1:29" ht="15.6" hidden="1" customHeight="1" x14ac:dyDescent="0.25">
      <c r="A3047" s="655"/>
      <c r="B3047" s="655"/>
      <c r="C3047" s="655"/>
      <c r="D3047" s="656"/>
      <c r="E3047" s="655"/>
      <c r="F3047" s="656"/>
      <c r="G3047" s="655"/>
      <c r="H3047" s="656"/>
      <c r="I3047" s="658"/>
      <c r="J3047" s="657"/>
      <c r="K3047" s="658"/>
      <c r="L3047" s="655"/>
      <c r="M3047" s="1133"/>
      <c r="N3047" s="1147"/>
      <c r="O3047" s="1146"/>
      <c r="P3047" s="1117"/>
      <c r="AB3047" s="50"/>
      <c r="AC3047" s="50"/>
    </row>
    <row r="3048" spans="1:29" ht="15.6" hidden="1" customHeight="1" thickBot="1" x14ac:dyDescent="0.3">
      <c r="A3048" s="655"/>
      <c r="B3048" s="659" t="s">
        <v>1096</v>
      </c>
      <c r="C3048" s="655"/>
      <c r="D3048" s="656"/>
      <c r="E3048" s="655"/>
      <c r="F3048" s="656"/>
      <c r="G3048" s="655"/>
      <c r="H3048" s="656"/>
      <c r="I3048" s="1630">
        <f>SUM(I3033:I3047)</f>
        <v>0</v>
      </c>
      <c r="J3048" s="1631"/>
      <c r="K3048" s="1630">
        <f>SUM(K3033:K3047)</f>
        <v>0</v>
      </c>
      <c r="L3048" s="655"/>
      <c r="M3048" s="1133"/>
      <c r="N3048" s="1147"/>
      <c r="O3048" s="1146"/>
      <c r="P3048" s="1117"/>
    </row>
    <row r="3049" spans="1:29" ht="15.6" hidden="1" customHeight="1" thickTop="1" x14ac:dyDescent="0.25">
      <c r="A3049" s="655"/>
      <c r="B3049" s="655"/>
      <c r="C3049" s="655"/>
      <c r="D3049" s="656"/>
      <c r="E3049" s="655"/>
      <c r="F3049" s="656"/>
      <c r="G3049" s="655"/>
      <c r="H3049" s="656"/>
      <c r="I3049" s="658"/>
      <c r="J3049" s="657"/>
      <c r="K3049" s="658"/>
      <c r="L3049" s="655"/>
      <c r="M3049" s="1133"/>
      <c r="N3049" s="1147"/>
      <c r="O3049" s="1146"/>
    </row>
    <row r="3050" spans="1:29" ht="62.1" hidden="1" customHeight="1" x14ac:dyDescent="0.2">
      <c r="A3050" s="655"/>
      <c r="B3050" s="2868" t="s">
        <v>2529</v>
      </c>
      <c r="C3050" s="2868"/>
      <c r="D3050" s="2868"/>
      <c r="E3050" s="2868"/>
      <c r="F3050" s="2868"/>
      <c r="G3050" s="2868"/>
      <c r="H3050" s="1546"/>
      <c r="I3050" s="1546"/>
      <c r="J3050" s="1546"/>
      <c r="K3050" s="1546"/>
      <c r="L3050" s="655"/>
      <c r="M3050" s="1213" t="s">
        <v>1097</v>
      </c>
      <c r="N3050" s="1147"/>
      <c r="O3050" s="1146"/>
      <c r="W3050" s="1607"/>
    </row>
    <row r="3051" spans="1:29" ht="15.6" hidden="1" customHeight="1" x14ac:dyDescent="0.2">
      <c r="A3051" s="655"/>
      <c r="B3051" s="655"/>
      <c r="C3051" s="655"/>
      <c r="D3051" s="656"/>
      <c r="E3051" s="655"/>
      <c r="F3051" s="656"/>
      <c r="G3051" s="656"/>
      <c r="H3051" s="656"/>
      <c r="I3051" s="661"/>
      <c r="J3051" s="661"/>
      <c r="K3051" s="661"/>
      <c r="L3051" s="655"/>
      <c r="M3051" s="1133"/>
      <c r="N3051" s="1133"/>
      <c r="O3051" s="1146"/>
    </row>
    <row r="3052" spans="1:29" ht="46.5" hidden="1" customHeight="1" x14ac:dyDescent="0.2">
      <c r="A3052" s="655"/>
      <c r="B3052" s="2868" t="s">
        <v>2530</v>
      </c>
      <c r="C3052" s="2868"/>
      <c r="D3052" s="2868"/>
      <c r="E3052" s="2868"/>
      <c r="F3052" s="2868"/>
      <c r="G3052" s="2868"/>
      <c r="H3052" s="1546"/>
      <c r="I3052" s="1546"/>
      <c r="J3052" s="1546"/>
      <c r="K3052" s="1546"/>
      <c r="L3052" s="655"/>
      <c r="M3052" s="1133"/>
      <c r="N3052" s="1147"/>
      <c r="O3052" s="1146"/>
    </row>
    <row r="3053" spans="1:29" ht="15.6" hidden="1" customHeight="1" x14ac:dyDescent="0.2">
      <c r="A3053" s="655"/>
      <c r="B3053" s="655"/>
      <c r="C3053" s="655"/>
      <c r="D3053" s="656"/>
      <c r="E3053" s="655"/>
      <c r="F3053" s="656"/>
      <c r="G3053" s="656"/>
      <c r="H3053" s="656"/>
      <c r="I3053" s="661"/>
      <c r="J3053" s="661"/>
      <c r="K3053" s="661"/>
      <c r="L3053" s="655"/>
      <c r="M3053" s="1133"/>
      <c r="N3053" s="1133"/>
      <c r="O3053" s="1146"/>
    </row>
    <row r="3054" spans="1:29" ht="15.6" hidden="1" customHeight="1" x14ac:dyDescent="0.2">
      <c r="A3054" s="201"/>
      <c r="B3054" s="201"/>
      <c r="C3054" s="201"/>
      <c r="D3054" s="201"/>
      <c r="E3054" s="201"/>
      <c r="F3054" s="201"/>
      <c r="G3054" s="201"/>
      <c r="H3054" s="201"/>
      <c r="I3054" s="58"/>
      <c r="K3054" s="58"/>
      <c r="L3054" s="201"/>
      <c r="M3054" s="1133"/>
      <c r="N3054" s="1147"/>
      <c r="O3054" s="1146"/>
    </row>
    <row r="3055" spans="1:29" ht="15.6" hidden="1" customHeight="1" x14ac:dyDescent="0.25">
      <c r="A3055" s="277">
        <v>50</v>
      </c>
      <c r="B3055" s="275" t="s">
        <v>702</v>
      </c>
      <c r="C3055" s="201"/>
      <c r="D3055" s="201"/>
      <c r="E3055" s="201"/>
      <c r="F3055" s="201"/>
      <c r="G3055" s="201"/>
      <c r="H3055" s="201"/>
      <c r="I3055" s="58"/>
      <c r="K3055" s="58"/>
      <c r="L3055" s="201"/>
      <c r="M3055" s="1133"/>
      <c r="N3055" s="1147"/>
      <c r="O3055" s="1146"/>
      <c r="W3055" s="1114" t="s">
        <v>3520</v>
      </c>
    </row>
    <row r="3056" spans="1:29" ht="15" hidden="1" customHeight="1" x14ac:dyDescent="0.2">
      <c r="A3056" s="201"/>
      <c r="B3056" s="201"/>
      <c r="C3056" s="201"/>
      <c r="D3056" s="201"/>
      <c r="E3056" s="201"/>
      <c r="F3056" s="201"/>
      <c r="G3056" s="201"/>
      <c r="H3056" s="201"/>
      <c r="I3056" s="58"/>
      <c r="K3056" s="58"/>
      <c r="L3056" s="201"/>
      <c r="M3056" s="1133"/>
      <c r="N3056" s="1147"/>
      <c r="O3056" s="1146"/>
    </row>
    <row r="3057" spans="1:29" ht="15.6" hidden="1" customHeight="1" x14ac:dyDescent="0.2">
      <c r="A3057" s="201"/>
      <c r="B3057" s="201" t="s">
        <v>1098</v>
      </c>
      <c r="C3057" s="201"/>
      <c r="D3057" s="201"/>
      <c r="E3057" s="201"/>
      <c r="F3057" s="201"/>
      <c r="G3057" s="201"/>
      <c r="H3057" s="201"/>
      <c r="I3057" s="58"/>
      <c r="K3057" s="58"/>
      <c r="L3057" s="201"/>
      <c r="M3057" s="1133"/>
      <c r="N3057" s="1147"/>
      <c r="O3057" s="1146"/>
    </row>
    <row r="3058" spans="1:29" ht="15.6" hidden="1" customHeight="1" x14ac:dyDescent="0.2">
      <c r="A3058" s="60"/>
      <c r="I3058" s="208"/>
      <c r="J3058" s="208"/>
      <c r="K3058" s="208"/>
      <c r="M3058" s="1133"/>
      <c r="N3058" s="1133"/>
      <c r="O3058" s="1146"/>
    </row>
    <row r="3059" spans="1:29" ht="15.6" hidden="1" customHeight="1" x14ac:dyDescent="0.25">
      <c r="A3059" s="767"/>
      <c r="B3059" s="776" t="s">
        <v>4157</v>
      </c>
      <c r="C3059" s="774"/>
      <c r="D3059" s="769"/>
      <c r="E3059" s="767"/>
      <c r="F3059" s="769"/>
      <c r="G3059" s="769"/>
      <c r="H3059" s="769"/>
      <c r="I3059" s="779"/>
      <c r="J3059" s="775"/>
      <c r="K3059" s="779"/>
      <c r="L3059" s="767"/>
      <c r="M3059" s="1133"/>
      <c r="N3059" s="1147"/>
      <c r="O3059" s="1146"/>
      <c r="W3059" s="1114" t="s">
        <v>3857</v>
      </c>
    </row>
    <row r="3060" spans="1:29" ht="15.6" hidden="1" customHeight="1" x14ac:dyDescent="0.25">
      <c r="A3060" s="767"/>
      <c r="B3060" s="767"/>
      <c r="C3060" s="767"/>
      <c r="D3060" s="769"/>
      <c r="E3060" s="767"/>
      <c r="F3060" s="769"/>
      <c r="G3060" s="769"/>
      <c r="H3060" s="769"/>
      <c r="I3060" s="779"/>
      <c r="J3060" s="770"/>
      <c r="K3060" s="779"/>
      <c r="L3060" s="767"/>
      <c r="M3060" s="1133"/>
      <c r="N3060" s="1147"/>
      <c r="O3060" s="1146"/>
    </row>
    <row r="3061" spans="1:29" ht="139.5" hidden="1" customHeight="1" x14ac:dyDescent="0.2">
      <c r="A3061" s="781"/>
      <c r="B3061" s="2899" t="s">
        <v>1099</v>
      </c>
      <c r="C3061" s="2899"/>
      <c r="D3061" s="2899"/>
      <c r="E3061" s="2899"/>
      <c r="F3061" s="2899"/>
      <c r="G3061" s="2899"/>
      <c r="H3061" s="781"/>
      <c r="I3061" s="779"/>
      <c r="J3061" s="775"/>
      <c r="K3061" s="779"/>
      <c r="L3061" s="781"/>
      <c r="M3061" s="1213" t="s">
        <v>1994</v>
      </c>
      <c r="N3061" s="1147"/>
      <c r="O3061" s="1146"/>
    </row>
    <row r="3062" spans="1:29" ht="15.6" hidden="1" customHeight="1" x14ac:dyDescent="0.2">
      <c r="A3062" s="1632"/>
      <c r="B3062" s="767"/>
      <c r="C3062" s="767"/>
      <c r="D3062" s="769"/>
      <c r="E3062" s="767"/>
      <c r="F3062" s="769"/>
      <c r="G3062" s="769"/>
      <c r="H3062" s="769"/>
      <c r="I3062" s="1633"/>
      <c r="J3062" s="1633"/>
      <c r="K3062" s="1633"/>
      <c r="L3062" s="767"/>
      <c r="M3062" s="1133"/>
      <c r="N3062" s="1133"/>
      <c r="O3062" s="1146"/>
      <c r="P3062" s="1117"/>
    </row>
    <row r="3063" spans="1:29" ht="15.6" hidden="1" customHeight="1" x14ac:dyDescent="0.25">
      <c r="A3063" s="767"/>
      <c r="B3063" s="776" t="s">
        <v>4158</v>
      </c>
      <c r="C3063" s="774"/>
      <c r="D3063" s="769"/>
      <c r="E3063" s="767"/>
      <c r="F3063" s="769"/>
      <c r="G3063" s="769"/>
      <c r="H3063" s="769"/>
      <c r="I3063" s="779"/>
      <c r="J3063" s="775"/>
      <c r="K3063" s="779"/>
      <c r="L3063" s="767"/>
      <c r="M3063" s="1133"/>
      <c r="N3063" s="1147"/>
      <c r="O3063" s="1146"/>
      <c r="P3063" s="1117"/>
      <c r="W3063" s="1114" t="s">
        <v>3857</v>
      </c>
    </row>
    <row r="3064" spans="1:29" ht="15.6" hidden="1" customHeight="1" x14ac:dyDescent="0.25">
      <c r="A3064" s="767"/>
      <c r="B3064" s="767"/>
      <c r="C3064" s="767"/>
      <c r="D3064" s="769"/>
      <c r="E3064" s="767"/>
      <c r="F3064" s="769"/>
      <c r="G3064" s="769"/>
      <c r="H3064" s="769"/>
      <c r="I3064" s="779"/>
      <c r="J3064" s="770"/>
      <c r="K3064" s="779"/>
      <c r="L3064" s="767"/>
      <c r="M3064" s="1133"/>
      <c r="N3064" s="1147"/>
      <c r="O3064" s="1146"/>
      <c r="V3064" s="299"/>
    </row>
    <row r="3065" spans="1:29" ht="93" hidden="1" customHeight="1" x14ac:dyDescent="0.2">
      <c r="A3065" s="781"/>
      <c r="B3065" s="2899" t="s">
        <v>1666</v>
      </c>
      <c r="C3065" s="2899"/>
      <c r="D3065" s="2899"/>
      <c r="E3065" s="2899"/>
      <c r="F3065" s="2899"/>
      <c r="G3065" s="2899"/>
      <c r="H3065" s="781"/>
      <c r="I3065" s="779"/>
      <c r="J3065" s="775"/>
      <c r="K3065" s="779"/>
      <c r="L3065" s="781"/>
      <c r="M3065" s="1213" t="s">
        <v>1994</v>
      </c>
      <c r="N3065" s="1147"/>
      <c r="O3065" s="1146"/>
    </row>
    <row r="3066" spans="1:29" ht="15.6" hidden="1" customHeight="1" x14ac:dyDescent="0.2">
      <c r="A3066" s="1632"/>
      <c r="B3066" s="767"/>
      <c r="C3066" s="767"/>
      <c r="D3066" s="769"/>
      <c r="E3066" s="767"/>
      <c r="F3066" s="769"/>
      <c r="G3066" s="769"/>
      <c r="H3066" s="769"/>
      <c r="I3066" s="1633"/>
      <c r="J3066" s="1633"/>
      <c r="K3066" s="1633"/>
      <c r="L3066" s="767"/>
      <c r="M3066" s="1133"/>
      <c r="N3066" s="1133"/>
      <c r="O3066" s="1146"/>
    </row>
    <row r="3067" spans="1:29" ht="15.6" hidden="1" customHeight="1" x14ac:dyDescent="0.25">
      <c r="A3067" s="767"/>
      <c r="B3067" s="776" t="s">
        <v>4159</v>
      </c>
      <c r="C3067" s="774"/>
      <c r="D3067" s="769"/>
      <c r="E3067" s="767"/>
      <c r="F3067" s="769"/>
      <c r="G3067" s="769"/>
      <c r="H3067" s="769"/>
      <c r="I3067" s="779"/>
      <c r="J3067" s="775"/>
      <c r="K3067" s="779"/>
      <c r="L3067" s="767"/>
      <c r="M3067" s="1133"/>
      <c r="N3067" s="1147"/>
      <c r="O3067" s="1146"/>
      <c r="W3067" s="1114" t="s">
        <v>3857</v>
      </c>
    </row>
    <row r="3068" spans="1:29" ht="15.6" hidden="1" customHeight="1" x14ac:dyDescent="0.25">
      <c r="A3068" s="767"/>
      <c r="B3068" s="767"/>
      <c r="C3068" s="767"/>
      <c r="D3068" s="769"/>
      <c r="E3068" s="767"/>
      <c r="F3068" s="769"/>
      <c r="G3068" s="769"/>
      <c r="H3068" s="769"/>
      <c r="I3068" s="770"/>
      <c r="J3068" s="769"/>
      <c r="K3068" s="770"/>
      <c r="L3068" s="771"/>
      <c r="M3068" s="1133"/>
      <c r="N3068" s="1133"/>
      <c r="O3068" s="1146"/>
    </row>
    <row r="3069" spans="1:29" ht="46.5" hidden="1" customHeight="1" x14ac:dyDescent="0.2">
      <c r="A3069" s="767"/>
      <c r="B3069" s="2855" t="s">
        <v>1100</v>
      </c>
      <c r="C3069" s="2855"/>
      <c r="D3069" s="2855"/>
      <c r="E3069" s="2855"/>
      <c r="F3069" s="2855"/>
      <c r="G3069" s="2855"/>
      <c r="H3069" s="768"/>
      <c r="I3069" s="768"/>
      <c r="J3069" s="768"/>
      <c r="K3069" s="768"/>
      <c r="L3069" s="767"/>
      <c r="M3069" s="1213" t="s">
        <v>1995</v>
      </c>
      <c r="N3069" s="1147"/>
      <c r="O3069" s="1146"/>
      <c r="W3069" s="1607"/>
      <c r="X3069" s="229"/>
    </row>
    <row r="3070" spans="1:29" ht="15.6" hidden="1" customHeight="1" x14ac:dyDescent="0.25">
      <c r="A3070" s="767"/>
      <c r="B3070" s="767"/>
      <c r="C3070" s="767"/>
      <c r="D3070" s="769"/>
      <c r="E3070" s="767"/>
      <c r="F3070" s="769"/>
      <c r="G3070" s="769"/>
      <c r="H3070" s="769"/>
      <c r="I3070" s="770"/>
      <c r="J3070" s="769"/>
      <c r="K3070" s="770"/>
      <c r="L3070" s="771"/>
      <c r="M3070" s="1133"/>
      <c r="N3070" s="1133"/>
      <c r="O3070" s="1146"/>
    </row>
    <row r="3071" spans="1:29" s="50" customFormat="1" ht="30.95" hidden="1" customHeight="1" x14ac:dyDescent="0.25">
      <c r="A3071" s="774"/>
      <c r="B3071" s="774"/>
      <c r="C3071" s="1634"/>
      <c r="D3071" s="988"/>
      <c r="E3071" s="1634"/>
      <c r="F3071" s="988"/>
      <c r="G3071" s="1634" t="s">
        <v>1101</v>
      </c>
      <c r="H3071" s="988"/>
      <c r="I3071" s="1634" t="s">
        <v>605</v>
      </c>
      <c r="J3071" s="780"/>
      <c r="K3071" s="1634" t="s">
        <v>234</v>
      </c>
      <c r="L3071" s="1635"/>
      <c r="M3071" s="234"/>
      <c r="N3071" s="234"/>
      <c r="O3071" s="232"/>
      <c r="P3071" s="1110"/>
      <c r="Q3071" s="1111"/>
      <c r="R3071" s="1111"/>
      <c r="S3071" s="1111"/>
      <c r="T3071" s="1111"/>
      <c r="U3071" s="1112"/>
      <c r="V3071" s="1133"/>
      <c r="W3071" s="1114"/>
      <c r="X3071" s="48"/>
      <c r="Y3071" s="48"/>
      <c r="Z3071" s="48"/>
      <c r="AA3071" s="48"/>
      <c r="AB3071" s="48"/>
      <c r="AC3071" s="48"/>
    </row>
    <row r="3072" spans="1:29" ht="15.6" hidden="1" customHeight="1" x14ac:dyDescent="0.25">
      <c r="A3072" s="767"/>
      <c r="B3072" s="767"/>
      <c r="C3072" s="767"/>
      <c r="D3072" s="769"/>
      <c r="E3072" s="1636"/>
      <c r="F3072" s="1637"/>
      <c r="G3072" s="1636" t="s">
        <v>255</v>
      </c>
      <c r="H3072" s="769"/>
      <c r="I3072" s="1636" t="s">
        <v>255</v>
      </c>
      <c r="J3072" s="1637"/>
      <c r="K3072" s="1636" t="s">
        <v>255</v>
      </c>
      <c r="L3072" s="771"/>
      <c r="M3072" s="1133"/>
      <c r="N3072" s="1133"/>
      <c r="O3072" s="1146"/>
    </row>
    <row r="3073" spans="1:24" ht="15.6" hidden="1" customHeight="1" x14ac:dyDescent="0.25">
      <c r="A3073" s="767"/>
      <c r="B3073" s="1638" t="str">
        <f>Parameters!C11</f>
        <v>30 June 2012</v>
      </c>
      <c r="C3073" s="767"/>
      <c r="D3073" s="769"/>
      <c r="E3073" s="767"/>
      <c r="F3073" s="769"/>
      <c r="G3073" s="769"/>
      <c r="H3073" s="769"/>
      <c r="I3073" s="779"/>
      <c r="J3073" s="779"/>
      <c r="K3073" s="779"/>
      <c r="L3073" s="777"/>
      <c r="M3073" s="1133"/>
      <c r="N3073" s="1133"/>
      <c r="O3073" s="1146"/>
    </row>
    <row r="3074" spans="1:24" ht="15.6" hidden="1" customHeight="1" x14ac:dyDescent="0.25">
      <c r="A3074" s="767"/>
      <c r="B3074" s="767"/>
      <c r="C3074" s="767"/>
      <c r="D3074" s="769"/>
      <c r="E3074" s="767"/>
      <c r="F3074" s="769"/>
      <c r="G3074" s="769"/>
      <c r="H3074" s="769"/>
      <c r="I3074" s="770"/>
      <c r="J3074" s="769"/>
      <c r="K3074" s="770"/>
      <c r="L3074" s="771"/>
      <c r="M3074" s="1133"/>
      <c r="N3074" s="1133"/>
      <c r="O3074" s="1146"/>
    </row>
    <row r="3075" spans="1:24" ht="15.6" hidden="1" customHeight="1" x14ac:dyDescent="0.25">
      <c r="A3075" s="767"/>
      <c r="B3075" s="774" t="s">
        <v>247</v>
      </c>
      <c r="C3075" s="767"/>
      <c r="D3075" s="769"/>
      <c r="E3075" s="767"/>
      <c r="F3075" s="769"/>
      <c r="G3075" s="769"/>
      <c r="H3075" s="769"/>
      <c r="I3075" s="779"/>
      <c r="J3075" s="770"/>
      <c r="K3075" s="779"/>
      <c r="L3075" s="767"/>
      <c r="M3075" s="1133"/>
      <c r="N3075" s="1147"/>
      <c r="O3075" s="1146"/>
    </row>
    <row r="3076" spans="1:24" ht="15.6" hidden="1" customHeight="1" x14ac:dyDescent="0.25">
      <c r="A3076" s="767"/>
      <c r="B3076" s="767" t="s">
        <v>1102</v>
      </c>
      <c r="C3076" s="767"/>
      <c r="D3076" s="769"/>
      <c r="E3076" s="767"/>
      <c r="F3076" s="769"/>
      <c r="G3076" s="779">
        <v>0</v>
      </c>
      <c r="H3076" s="769"/>
      <c r="I3076" s="779">
        <v>0</v>
      </c>
      <c r="J3076" s="770"/>
      <c r="K3076" s="779">
        <f>SUM(G3076:I3076)</f>
        <v>0</v>
      </c>
      <c r="L3076" s="767"/>
      <c r="M3076" s="1133"/>
      <c r="N3076" s="1147"/>
      <c r="O3076" s="1146"/>
    </row>
    <row r="3077" spans="1:24" ht="15.6" hidden="1" customHeight="1" x14ac:dyDescent="0.25">
      <c r="A3077" s="767"/>
      <c r="B3077" s="767" t="s">
        <v>405</v>
      </c>
      <c r="C3077" s="767"/>
      <c r="D3077" s="769"/>
      <c r="E3077" s="767"/>
      <c r="F3077" s="769"/>
      <c r="G3077" s="779">
        <v>0</v>
      </c>
      <c r="H3077" s="769"/>
      <c r="I3077" s="779">
        <v>0</v>
      </c>
      <c r="J3077" s="770"/>
      <c r="K3077" s="779">
        <f>SUM(G3077:I3077)</f>
        <v>0</v>
      </c>
      <c r="L3077" s="767"/>
      <c r="M3077" s="1133"/>
      <c r="N3077" s="1147"/>
      <c r="O3077" s="1146"/>
    </row>
    <row r="3078" spans="1:24" ht="15.6" hidden="1" customHeight="1" x14ac:dyDescent="0.25">
      <c r="A3078" s="767"/>
      <c r="B3078" s="767" t="s">
        <v>414</v>
      </c>
      <c r="C3078" s="767"/>
      <c r="D3078" s="769"/>
      <c r="E3078" s="767"/>
      <c r="F3078" s="769"/>
      <c r="G3078" s="779">
        <v>0</v>
      </c>
      <c r="H3078" s="769"/>
      <c r="I3078" s="779">
        <v>0</v>
      </c>
      <c r="J3078" s="770"/>
      <c r="K3078" s="779">
        <f>SUM(G3078:I3078)</f>
        <v>0</v>
      </c>
      <c r="L3078" s="767"/>
      <c r="M3078" s="1133"/>
      <c r="N3078" s="1147"/>
      <c r="O3078" s="1146"/>
      <c r="P3078" s="1117"/>
    </row>
    <row r="3079" spans="1:24" ht="15.6" hidden="1" customHeight="1" x14ac:dyDescent="0.25">
      <c r="A3079" s="767"/>
      <c r="B3079" s="767"/>
      <c r="C3079" s="767"/>
      <c r="D3079" s="769"/>
      <c r="E3079" s="767"/>
      <c r="F3079" s="769"/>
      <c r="G3079" s="779"/>
      <c r="H3079" s="769"/>
      <c r="I3079" s="779"/>
      <c r="J3079" s="770"/>
      <c r="K3079" s="779"/>
      <c r="L3079" s="767"/>
      <c r="M3079" s="1133"/>
      <c r="N3079" s="1147"/>
      <c r="O3079" s="1146"/>
      <c r="P3079" s="1117"/>
    </row>
    <row r="3080" spans="1:24" ht="15.6" hidden="1" customHeight="1" thickBot="1" x14ac:dyDescent="0.3">
      <c r="A3080" s="767"/>
      <c r="B3080" s="774" t="s">
        <v>1103</v>
      </c>
      <c r="C3080" s="767"/>
      <c r="D3080" s="769"/>
      <c r="E3080" s="767"/>
      <c r="F3080" s="769"/>
      <c r="G3080" s="1639">
        <f>SUM(G3075:G3079)</f>
        <v>0</v>
      </c>
      <c r="H3080" s="769"/>
      <c r="I3080" s="1639">
        <f>SUM(I3075:I3079)</f>
        <v>0</v>
      </c>
      <c r="J3080" s="1640"/>
      <c r="K3080" s="1639">
        <f>SUM(K3075:K3079)</f>
        <v>0</v>
      </c>
      <c r="L3080" s="767"/>
      <c r="M3080" s="1133"/>
      <c r="N3080" s="1147"/>
      <c r="O3080" s="1146"/>
    </row>
    <row r="3081" spans="1:24" ht="15.6" hidden="1" customHeight="1" thickTop="1" x14ac:dyDescent="0.25">
      <c r="A3081" s="767"/>
      <c r="B3081" s="767"/>
      <c r="C3081" s="767"/>
      <c r="D3081" s="769"/>
      <c r="E3081" s="767"/>
      <c r="F3081" s="769"/>
      <c r="G3081" s="779"/>
      <c r="H3081" s="769"/>
      <c r="I3081" s="779"/>
      <c r="J3081" s="770"/>
      <c r="K3081" s="779"/>
      <c r="L3081" s="767"/>
      <c r="M3081" s="1133"/>
      <c r="N3081" s="1147"/>
      <c r="O3081" s="1146"/>
    </row>
    <row r="3082" spans="1:24" ht="15.6" hidden="1" customHeight="1" x14ac:dyDescent="0.25">
      <c r="A3082" s="767"/>
      <c r="B3082" s="774" t="s">
        <v>1104</v>
      </c>
      <c r="C3082" s="767"/>
      <c r="D3082" s="769"/>
      <c r="E3082" s="767"/>
      <c r="F3082" s="769"/>
      <c r="G3082" s="1641">
        <f>SUM(G3083:G3087)</f>
        <v>0</v>
      </c>
      <c r="H3082" s="769"/>
      <c r="I3082" s="1641">
        <f>SUM(I3083:I3087)</f>
        <v>0</v>
      </c>
      <c r="J3082" s="770"/>
      <c r="K3082" s="1641">
        <f>SUM(K3083:K3087)</f>
        <v>0</v>
      </c>
      <c r="L3082" s="767"/>
      <c r="M3082" s="1133"/>
      <c r="N3082" s="1147"/>
      <c r="O3082" s="1146"/>
    </row>
    <row r="3083" spans="1:24" ht="15.6" hidden="1" customHeight="1" x14ac:dyDescent="0.25">
      <c r="A3083" s="767"/>
      <c r="B3083" s="767" t="s">
        <v>416</v>
      </c>
      <c r="C3083" s="767"/>
      <c r="D3083" s="769"/>
      <c r="E3083" s="767"/>
      <c r="F3083" s="769"/>
      <c r="G3083" s="1623">
        <v>0</v>
      </c>
      <c r="H3083" s="769"/>
      <c r="I3083" s="1623">
        <v>0</v>
      </c>
      <c r="J3083" s="770"/>
      <c r="K3083" s="1623">
        <f>SUM(G3083:I3083)</f>
        <v>0</v>
      </c>
      <c r="L3083" s="767"/>
      <c r="M3083" s="1133"/>
      <c r="N3083" s="1147"/>
      <c r="O3083" s="1146"/>
    </row>
    <row r="3084" spans="1:24" ht="15.6" hidden="1" customHeight="1" x14ac:dyDescent="0.25">
      <c r="A3084" s="767"/>
      <c r="B3084" s="767" t="s">
        <v>251</v>
      </c>
      <c r="C3084" s="767"/>
      <c r="D3084" s="769"/>
      <c r="E3084" s="767"/>
      <c r="F3084" s="769"/>
      <c r="G3084" s="1624">
        <v>0</v>
      </c>
      <c r="H3084" s="769"/>
      <c r="I3084" s="1624">
        <v>0</v>
      </c>
      <c r="J3084" s="770"/>
      <c r="K3084" s="1624">
        <f>SUM(G3084:I3084)</f>
        <v>0</v>
      </c>
      <c r="L3084" s="767"/>
      <c r="M3084" s="1133"/>
      <c r="N3084" s="1147"/>
      <c r="O3084" s="1146"/>
    </row>
    <row r="3085" spans="1:24" ht="15.6" hidden="1" customHeight="1" x14ac:dyDescent="0.25">
      <c r="A3085" s="767"/>
      <c r="B3085" s="767" t="s">
        <v>418</v>
      </c>
      <c r="C3085" s="767"/>
      <c r="D3085" s="769"/>
      <c r="E3085" s="767"/>
      <c r="F3085" s="769"/>
      <c r="G3085" s="1624">
        <v>0</v>
      </c>
      <c r="H3085" s="769"/>
      <c r="I3085" s="1624">
        <v>0</v>
      </c>
      <c r="J3085" s="770"/>
      <c r="K3085" s="1624">
        <f>SUM(G3085:I3085)</f>
        <v>0</v>
      </c>
      <c r="L3085" s="767"/>
      <c r="M3085" s="1133"/>
      <c r="N3085" s="1147"/>
      <c r="O3085" s="1146"/>
    </row>
    <row r="3086" spans="1:24" ht="15.6" hidden="1" customHeight="1" x14ac:dyDescent="0.25">
      <c r="A3086" s="767"/>
      <c r="B3086" s="767" t="s">
        <v>1105</v>
      </c>
      <c r="C3086" s="767"/>
      <c r="D3086" s="769"/>
      <c r="E3086" s="767"/>
      <c r="F3086" s="769"/>
      <c r="G3086" s="1624">
        <v>0</v>
      </c>
      <c r="H3086" s="769"/>
      <c r="I3086" s="1624">
        <v>0</v>
      </c>
      <c r="J3086" s="770"/>
      <c r="K3086" s="1624">
        <f>SUM(G3086:I3086)</f>
        <v>0</v>
      </c>
      <c r="L3086" s="767"/>
      <c r="M3086" s="1133"/>
      <c r="N3086" s="1147"/>
      <c r="O3086" s="1146"/>
    </row>
    <row r="3087" spans="1:24" ht="15.6" hidden="1" customHeight="1" x14ac:dyDescent="0.25">
      <c r="A3087" s="767"/>
      <c r="B3087" s="767"/>
      <c r="C3087" s="767"/>
      <c r="D3087" s="769"/>
      <c r="E3087" s="767"/>
      <c r="F3087" s="769"/>
      <c r="G3087" s="1642"/>
      <c r="H3087" s="769"/>
      <c r="I3087" s="1642"/>
      <c r="J3087" s="770"/>
      <c r="K3087" s="1642"/>
      <c r="L3087" s="767"/>
      <c r="M3087" s="1133"/>
      <c r="N3087" s="1147"/>
      <c r="O3087" s="1146"/>
    </row>
    <row r="3088" spans="1:24" ht="5.0999999999999996" hidden="1" customHeight="1" x14ac:dyDescent="0.2">
      <c r="A3088" s="767"/>
      <c r="B3088" s="767"/>
      <c r="C3088" s="767"/>
      <c r="D3088" s="769"/>
      <c r="E3088" s="767"/>
      <c r="F3088" s="769"/>
      <c r="G3088" s="769"/>
      <c r="H3088" s="769"/>
      <c r="I3088" s="1643"/>
      <c r="J3088" s="779"/>
      <c r="K3088" s="1643"/>
      <c r="L3088" s="777"/>
      <c r="M3088" s="1133"/>
      <c r="N3088" s="1133"/>
      <c r="O3088" s="1146"/>
      <c r="X3088" s="229"/>
    </row>
    <row r="3089" spans="1:23" ht="15.6" hidden="1" customHeight="1" x14ac:dyDescent="0.25">
      <c r="A3089" s="767"/>
      <c r="B3089" s="774"/>
      <c r="C3089" s="774"/>
      <c r="D3089" s="769"/>
      <c r="E3089" s="767"/>
      <c r="F3089" s="769"/>
      <c r="G3089" s="987">
        <f>+G3080-G3082</f>
        <v>0</v>
      </c>
      <c r="H3089" s="769"/>
      <c r="I3089" s="987">
        <f>+I3080-I3082</f>
        <v>0</v>
      </c>
      <c r="J3089" s="779"/>
      <c r="K3089" s="987">
        <f>+K3080-K3082</f>
        <v>0</v>
      </c>
      <c r="L3089" s="777"/>
      <c r="M3089" s="1133"/>
      <c r="N3089" s="1133"/>
      <c r="O3089" s="1146"/>
    </row>
    <row r="3090" spans="1:23" ht="15.6" hidden="1" customHeight="1" x14ac:dyDescent="0.25">
      <c r="A3090" s="767"/>
      <c r="B3090" s="767"/>
      <c r="C3090" s="767"/>
      <c r="D3090" s="769"/>
      <c r="E3090" s="767"/>
      <c r="F3090" s="769"/>
      <c r="G3090" s="779"/>
      <c r="H3090" s="769"/>
      <c r="I3090" s="779"/>
      <c r="J3090" s="770"/>
      <c r="K3090" s="779"/>
      <c r="L3090" s="767"/>
      <c r="M3090" s="1133"/>
      <c r="N3090" s="1147"/>
      <c r="O3090" s="1146"/>
    </row>
    <row r="3091" spans="1:23" ht="15.6" hidden="1" customHeight="1" x14ac:dyDescent="0.25">
      <c r="A3091" s="767"/>
      <c r="B3091" s="767" t="s">
        <v>1106</v>
      </c>
      <c r="C3091" s="767"/>
      <c r="D3091" s="769"/>
      <c r="E3091" s="767"/>
      <c r="F3091" s="769"/>
      <c r="G3091" s="779">
        <v>0</v>
      </c>
      <c r="H3091" s="769"/>
      <c r="I3091" s="779">
        <v>0</v>
      </c>
      <c r="J3091" s="770"/>
      <c r="K3091" s="779">
        <f>SUM(G3091:I3091)</f>
        <v>0</v>
      </c>
      <c r="L3091" s="767"/>
      <c r="M3091" s="1133"/>
      <c r="N3091" s="1147"/>
      <c r="O3091" s="1146"/>
    </row>
    <row r="3092" spans="1:23" ht="15.6" hidden="1" customHeight="1" x14ac:dyDescent="0.25">
      <c r="A3092" s="767"/>
      <c r="B3092" s="767" t="s">
        <v>1107</v>
      </c>
      <c r="C3092" s="767"/>
      <c r="D3092" s="769"/>
      <c r="E3092" s="767"/>
      <c r="F3092" s="769"/>
      <c r="G3092" s="779">
        <v>0</v>
      </c>
      <c r="H3092" s="769"/>
      <c r="I3092" s="779">
        <v>0</v>
      </c>
      <c r="J3092" s="770"/>
      <c r="K3092" s="779">
        <f>SUM(G3092:I3092)</f>
        <v>0</v>
      </c>
      <c r="L3092" s="767"/>
      <c r="M3092" s="1133"/>
      <c r="N3092" s="1147"/>
      <c r="O3092" s="1146"/>
    </row>
    <row r="3093" spans="1:23" ht="15.6" hidden="1" customHeight="1" x14ac:dyDescent="0.25">
      <c r="A3093" s="767"/>
      <c r="B3093" s="767"/>
      <c r="C3093" s="767"/>
      <c r="D3093" s="769"/>
      <c r="E3093" s="767"/>
      <c r="F3093" s="769"/>
      <c r="G3093" s="779"/>
      <c r="H3093" s="769"/>
      <c r="I3093" s="779"/>
      <c r="J3093" s="770"/>
      <c r="K3093" s="779"/>
      <c r="L3093" s="767"/>
      <c r="M3093" s="1133"/>
      <c r="N3093" s="1147"/>
      <c r="O3093" s="1146"/>
      <c r="P3093" s="1117"/>
    </row>
    <row r="3094" spans="1:23" ht="15.6" hidden="1" customHeight="1" thickBot="1" x14ac:dyDescent="0.3">
      <c r="A3094" s="767"/>
      <c r="B3094" s="774" t="s">
        <v>1108</v>
      </c>
      <c r="C3094" s="767"/>
      <c r="D3094" s="769"/>
      <c r="E3094" s="767"/>
      <c r="F3094" s="769"/>
      <c r="G3094" s="1639">
        <f>SUM(G3089:G3093)</f>
        <v>0</v>
      </c>
      <c r="H3094" s="769"/>
      <c r="I3094" s="1639">
        <f>SUM(I3089:I3093)</f>
        <v>0</v>
      </c>
      <c r="J3094" s="1640"/>
      <c r="K3094" s="1639">
        <f>SUM(K3089:K3093)</f>
        <v>0</v>
      </c>
      <c r="L3094" s="767"/>
      <c r="M3094" s="1482"/>
      <c r="N3094" s="1147"/>
      <c r="O3094" s="1146"/>
      <c r="P3094" s="1117"/>
    </row>
    <row r="3095" spans="1:23" ht="15.6" hidden="1" customHeight="1" thickTop="1" x14ac:dyDescent="0.25">
      <c r="A3095" s="767"/>
      <c r="B3095" s="767"/>
      <c r="C3095" s="767"/>
      <c r="D3095" s="769"/>
      <c r="E3095" s="767"/>
      <c r="F3095" s="769"/>
      <c r="G3095" s="779"/>
      <c r="H3095" s="769"/>
      <c r="I3095" s="779"/>
      <c r="J3095" s="770"/>
      <c r="K3095" s="779"/>
      <c r="L3095" s="767"/>
      <c r="M3095" s="1133"/>
      <c r="N3095" s="1147"/>
      <c r="O3095" s="1146"/>
    </row>
    <row r="3096" spans="1:23" ht="15.6" hidden="1" customHeight="1" x14ac:dyDescent="0.25">
      <c r="A3096" s="767"/>
      <c r="B3096" s="774" t="s">
        <v>1109</v>
      </c>
      <c r="C3096" s="767"/>
      <c r="D3096" s="769"/>
      <c r="E3096" s="767"/>
      <c r="F3096" s="769"/>
      <c r="G3096" s="779"/>
      <c r="H3096" s="769"/>
      <c r="I3096" s="779"/>
      <c r="J3096" s="770"/>
      <c r="K3096" s="779"/>
      <c r="L3096" s="767"/>
      <c r="M3096" s="1213" t="s">
        <v>1996</v>
      </c>
      <c r="N3096" s="1147"/>
      <c r="O3096" s="1146"/>
    </row>
    <row r="3097" spans="1:23" ht="15.6" hidden="1" customHeight="1" x14ac:dyDescent="0.2">
      <c r="A3097" s="767"/>
      <c r="B3097" s="767" t="s">
        <v>1110</v>
      </c>
      <c r="C3097" s="767"/>
      <c r="D3097" s="769"/>
      <c r="E3097" s="767"/>
      <c r="F3097" s="769"/>
      <c r="G3097" s="957">
        <v>0</v>
      </c>
      <c r="H3097" s="769"/>
      <c r="I3097" s="957">
        <v>0</v>
      </c>
      <c r="J3097" s="957"/>
      <c r="K3097" s="779">
        <f>SUM(G3097:I3097)</f>
        <v>0</v>
      </c>
      <c r="L3097" s="767"/>
      <c r="M3097" s="1133"/>
      <c r="N3097" s="1147"/>
      <c r="O3097" s="1146"/>
    </row>
    <row r="3098" spans="1:23" ht="15.6" hidden="1" customHeight="1" x14ac:dyDescent="0.2">
      <c r="A3098" s="767"/>
      <c r="B3098" s="767" t="s">
        <v>1111</v>
      </c>
      <c r="C3098" s="767"/>
      <c r="D3098" s="769"/>
      <c r="E3098" s="767"/>
      <c r="F3098" s="769"/>
      <c r="G3098" s="957">
        <v>0</v>
      </c>
      <c r="H3098" s="769"/>
      <c r="I3098" s="957">
        <v>0</v>
      </c>
      <c r="J3098" s="957"/>
      <c r="K3098" s="779">
        <f>SUM(G3098:I3098)</f>
        <v>0</v>
      </c>
      <c r="L3098" s="767"/>
      <c r="M3098" s="1133"/>
      <c r="N3098" s="1147"/>
      <c r="O3098" s="1146"/>
    </row>
    <row r="3099" spans="1:23" ht="15.6" hidden="1" customHeight="1" x14ac:dyDescent="0.2">
      <c r="A3099" s="767"/>
      <c r="B3099" s="767" t="s">
        <v>1112</v>
      </c>
      <c r="C3099" s="767"/>
      <c r="D3099" s="769"/>
      <c r="E3099" s="767"/>
      <c r="F3099" s="769"/>
      <c r="G3099" s="957">
        <v>0</v>
      </c>
      <c r="H3099" s="769"/>
      <c r="I3099" s="957">
        <v>0</v>
      </c>
      <c r="J3099" s="957"/>
      <c r="K3099" s="779">
        <f>SUM(G3099:I3099)</f>
        <v>0</v>
      </c>
      <c r="L3099" s="767"/>
      <c r="M3099" s="1133"/>
      <c r="N3099" s="1147"/>
      <c r="O3099" s="1146"/>
    </row>
    <row r="3100" spans="1:23" ht="15.6" hidden="1" customHeight="1" x14ac:dyDescent="0.2">
      <c r="A3100" s="767"/>
      <c r="B3100" s="767" t="s">
        <v>251</v>
      </c>
      <c r="C3100" s="767"/>
      <c r="D3100" s="769"/>
      <c r="E3100" s="767"/>
      <c r="F3100" s="769"/>
      <c r="G3100" s="957">
        <v>0</v>
      </c>
      <c r="H3100" s="769"/>
      <c r="I3100" s="957">
        <v>0</v>
      </c>
      <c r="J3100" s="957"/>
      <c r="K3100" s="779">
        <f>SUM(G3100:I3100)</f>
        <v>0</v>
      </c>
      <c r="L3100" s="767"/>
      <c r="M3100" s="1133"/>
      <c r="N3100" s="1147"/>
      <c r="O3100" s="1146"/>
      <c r="W3100" s="48"/>
    </row>
    <row r="3101" spans="1:23" ht="15.6" hidden="1" customHeight="1" x14ac:dyDescent="0.2">
      <c r="A3101" s="767"/>
      <c r="B3101" s="767"/>
      <c r="C3101" s="767"/>
      <c r="D3101" s="769"/>
      <c r="E3101" s="767"/>
      <c r="F3101" s="769"/>
      <c r="G3101" s="957"/>
      <c r="H3101" s="769"/>
      <c r="I3101" s="957"/>
      <c r="J3101" s="957"/>
      <c r="K3101" s="957"/>
      <c r="L3101" s="767"/>
      <c r="M3101" s="1133"/>
      <c r="N3101" s="1147"/>
      <c r="O3101" s="1146"/>
      <c r="W3101" s="48"/>
    </row>
    <row r="3102" spans="1:23" ht="15.6" hidden="1" customHeight="1" thickBot="1" x14ac:dyDescent="0.3">
      <c r="A3102" s="767"/>
      <c r="B3102" s="767"/>
      <c r="C3102" s="767"/>
      <c r="D3102" s="769"/>
      <c r="E3102" s="767"/>
      <c r="F3102" s="769"/>
      <c r="G3102" s="1639">
        <f>SUM(G3096:G3101)</f>
        <v>0</v>
      </c>
      <c r="H3102" s="769"/>
      <c r="I3102" s="1639">
        <f>SUM(I3096:I3101)</f>
        <v>0</v>
      </c>
      <c r="J3102" s="1640"/>
      <c r="K3102" s="1639">
        <f>SUM(K3096:K3101)</f>
        <v>0</v>
      </c>
      <c r="L3102" s="767"/>
      <c r="M3102" s="1133"/>
      <c r="N3102" s="1147"/>
      <c r="O3102" s="1146"/>
      <c r="W3102" s="48"/>
    </row>
    <row r="3103" spans="1:23" ht="15.6" hidden="1" customHeight="1" thickTop="1" x14ac:dyDescent="0.25">
      <c r="A3103" s="767"/>
      <c r="B3103" s="767"/>
      <c r="C3103" s="767"/>
      <c r="D3103" s="769"/>
      <c r="E3103" s="767"/>
      <c r="F3103" s="769"/>
      <c r="G3103" s="779"/>
      <c r="H3103" s="769"/>
      <c r="I3103" s="779"/>
      <c r="J3103" s="770"/>
      <c r="K3103" s="779"/>
      <c r="L3103" s="767"/>
      <c r="M3103" s="1133"/>
      <c r="N3103" s="1147"/>
      <c r="O3103" s="1146"/>
      <c r="W3103" s="48"/>
    </row>
    <row r="3104" spans="1:23" ht="15.6" hidden="1" customHeight="1" x14ac:dyDescent="0.25">
      <c r="A3104" s="767"/>
      <c r="B3104" s="1638" t="str">
        <f>Parameters!C13</f>
        <v>30 June 2011</v>
      </c>
      <c r="C3104" s="767"/>
      <c r="D3104" s="769"/>
      <c r="E3104" s="767"/>
      <c r="F3104" s="769"/>
      <c r="G3104" s="769"/>
      <c r="H3104" s="769"/>
      <c r="I3104" s="779"/>
      <c r="J3104" s="779"/>
      <c r="K3104" s="779"/>
      <c r="L3104" s="777"/>
      <c r="M3104" s="1133"/>
      <c r="N3104" s="1133"/>
      <c r="O3104" s="1146"/>
      <c r="W3104" s="48"/>
    </row>
    <row r="3105" spans="1:23" ht="15.6" hidden="1" customHeight="1" x14ac:dyDescent="0.25">
      <c r="A3105" s="767"/>
      <c r="B3105" s="767"/>
      <c r="C3105" s="767"/>
      <c r="D3105" s="769"/>
      <c r="E3105" s="767"/>
      <c r="F3105" s="769"/>
      <c r="G3105" s="769"/>
      <c r="H3105" s="769"/>
      <c r="I3105" s="770"/>
      <c r="J3105" s="769"/>
      <c r="K3105" s="770"/>
      <c r="L3105" s="771"/>
      <c r="M3105" s="1133"/>
      <c r="N3105" s="1133"/>
      <c r="O3105" s="1146"/>
      <c r="W3105" s="48"/>
    </row>
    <row r="3106" spans="1:23" ht="15.6" hidden="1" customHeight="1" x14ac:dyDescent="0.25">
      <c r="A3106" s="767"/>
      <c r="B3106" s="774" t="s">
        <v>247</v>
      </c>
      <c r="C3106" s="767"/>
      <c r="D3106" s="769"/>
      <c r="E3106" s="767"/>
      <c r="F3106" s="769"/>
      <c r="G3106" s="769"/>
      <c r="H3106" s="769"/>
      <c r="I3106" s="779"/>
      <c r="J3106" s="770"/>
      <c r="K3106" s="779"/>
      <c r="L3106" s="767"/>
      <c r="M3106" s="1133"/>
      <c r="N3106" s="1147"/>
      <c r="O3106" s="1146"/>
      <c r="W3106" s="48"/>
    </row>
    <row r="3107" spans="1:23" ht="15.6" hidden="1" customHeight="1" x14ac:dyDescent="0.25">
      <c r="A3107" s="767"/>
      <c r="B3107" s="767" t="s">
        <v>1102</v>
      </c>
      <c r="C3107" s="767"/>
      <c r="D3107" s="769"/>
      <c r="E3107" s="767"/>
      <c r="F3107" s="769"/>
      <c r="G3107" s="779">
        <v>0</v>
      </c>
      <c r="H3107" s="769"/>
      <c r="I3107" s="779">
        <v>0</v>
      </c>
      <c r="J3107" s="770"/>
      <c r="K3107" s="779">
        <f>SUM(G3107:I3107)</f>
        <v>0</v>
      </c>
      <c r="L3107" s="767"/>
      <c r="M3107" s="1133"/>
      <c r="N3107" s="1147"/>
      <c r="O3107" s="1146"/>
      <c r="W3107" s="48"/>
    </row>
    <row r="3108" spans="1:23" ht="15.6" hidden="1" customHeight="1" x14ac:dyDescent="0.25">
      <c r="A3108" s="767"/>
      <c r="B3108" s="767" t="s">
        <v>405</v>
      </c>
      <c r="C3108" s="767"/>
      <c r="D3108" s="769"/>
      <c r="E3108" s="767"/>
      <c r="F3108" s="769"/>
      <c r="G3108" s="779">
        <v>0</v>
      </c>
      <c r="H3108" s="769"/>
      <c r="I3108" s="779">
        <v>0</v>
      </c>
      <c r="J3108" s="770"/>
      <c r="K3108" s="779">
        <f>SUM(G3108:I3108)</f>
        <v>0</v>
      </c>
      <c r="L3108" s="767"/>
      <c r="M3108" s="1133"/>
      <c r="N3108" s="1147"/>
      <c r="O3108" s="1146"/>
      <c r="V3108" s="234"/>
      <c r="W3108" s="48"/>
    </row>
    <row r="3109" spans="1:23" ht="15.6" hidden="1" customHeight="1" x14ac:dyDescent="0.25">
      <c r="A3109" s="767"/>
      <c r="B3109" s="767" t="s">
        <v>414</v>
      </c>
      <c r="C3109" s="767"/>
      <c r="D3109" s="769"/>
      <c r="E3109" s="767"/>
      <c r="F3109" s="769"/>
      <c r="G3109" s="779">
        <v>0</v>
      </c>
      <c r="H3109" s="769"/>
      <c r="I3109" s="779">
        <v>0</v>
      </c>
      <c r="J3109" s="770"/>
      <c r="K3109" s="779">
        <f>SUM(G3109:I3109)</f>
        <v>0</v>
      </c>
      <c r="L3109" s="767"/>
      <c r="M3109" s="1133"/>
      <c r="N3109" s="1147"/>
      <c r="O3109" s="1146"/>
      <c r="P3109" s="1115"/>
      <c r="W3109" s="48"/>
    </row>
    <row r="3110" spans="1:23" ht="15.6" hidden="1" customHeight="1" x14ac:dyDescent="0.25">
      <c r="A3110" s="767"/>
      <c r="B3110" s="767"/>
      <c r="C3110" s="767"/>
      <c r="D3110" s="769"/>
      <c r="E3110" s="767"/>
      <c r="F3110" s="769"/>
      <c r="G3110" s="779"/>
      <c r="H3110" s="769"/>
      <c r="I3110" s="779"/>
      <c r="J3110" s="770"/>
      <c r="K3110" s="779"/>
      <c r="L3110" s="767"/>
      <c r="M3110" s="1133"/>
      <c r="N3110" s="1147"/>
      <c r="O3110" s="1146"/>
      <c r="P3110" s="1117"/>
      <c r="W3110" s="48"/>
    </row>
    <row r="3111" spans="1:23" ht="15.6" hidden="1" customHeight="1" thickBot="1" x14ac:dyDescent="0.3">
      <c r="A3111" s="767"/>
      <c r="B3111" s="774" t="s">
        <v>1103</v>
      </c>
      <c r="C3111" s="767"/>
      <c r="D3111" s="769"/>
      <c r="E3111" s="767"/>
      <c r="F3111" s="769"/>
      <c r="G3111" s="1639">
        <f>SUM(G3106:G3110)</f>
        <v>0</v>
      </c>
      <c r="H3111" s="769"/>
      <c r="I3111" s="1639">
        <f>SUM(I3106:I3110)</f>
        <v>0</v>
      </c>
      <c r="J3111" s="1640"/>
      <c r="K3111" s="1639">
        <f>SUM(K3106:K3110)</f>
        <v>0</v>
      </c>
      <c r="L3111" s="767"/>
      <c r="M3111" s="1133"/>
      <c r="N3111" s="1147"/>
      <c r="O3111" s="1146"/>
      <c r="P3111" s="1121"/>
      <c r="W3111" s="48"/>
    </row>
    <row r="3112" spans="1:23" ht="15.6" hidden="1" customHeight="1" thickTop="1" x14ac:dyDescent="0.25">
      <c r="A3112" s="767"/>
      <c r="B3112" s="767"/>
      <c r="C3112" s="767"/>
      <c r="D3112" s="769"/>
      <c r="E3112" s="767"/>
      <c r="F3112" s="769"/>
      <c r="G3112" s="779"/>
      <c r="H3112" s="769"/>
      <c r="I3112" s="779"/>
      <c r="J3112" s="770"/>
      <c r="K3112" s="779"/>
      <c r="L3112" s="767"/>
      <c r="M3112" s="1133"/>
      <c r="N3112" s="1147"/>
      <c r="O3112" s="1146"/>
      <c r="P3112" s="1117"/>
      <c r="W3112" s="48"/>
    </row>
    <row r="3113" spans="1:23" ht="15.6" hidden="1" customHeight="1" x14ac:dyDescent="0.25">
      <c r="A3113" s="767"/>
      <c r="B3113" s="774" t="s">
        <v>1104</v>
      </c>
      <c r="C3113" s="767"/>
      <c r="D3113" s="769"/>
      <c r="E3113" s="767"/>
      <c r="F3113" s="769"/>
      <c r="G3113" s="1641">
        <f>SUM(G3114:G3118)</f>
        <v>0</v>
      </c>
      <c r="H3113" s="769"/>
      <c r="I3113" s="1641">
        <f>SUM(I3114:I3118)</f>
        <v>0</v>
      </c>
      <c r="J3113" s="770"/>
      <c r="K3113" s="1641">
        <f>SUM(K3114:K3118)</f>
        <v>0</v>
      </c>
      <c r="L3113" s="767"/>
      <c r="M3113" s="1133"/>
      <c r="N3113" s="1147"/>
      <c r="O3113" s="1146"/>
      <c r="P3113" s="1117"/>
      <c r="W3113" s="48"/>
    </row>
    <row r="3114" spans="1:23" ht="15.6" hidden="1" customHeight="1" x14ac:dyDescent="0.25">
      <c r="A3114" s="767"/>
      <c r="B3114" s="767" t="s">
        <v>416</v>
      </c>
      <c r="C3114" s="767"/>
      <c r="D3114" s="769"/>
      <c r="E3114" s="767"/>
      <c r="F3114" s="769"/>
      <c r="G3114" s="1623">
        <v>0</v>
      </c>
      <c r="H3114" s="769"/>
      <c r="I3114" s="1623">
        <v>0</v>
      </c>
      <c r="J3114" s="770"/>
      <c r="K3114" s="1623">
        <f>SUM(G3114:I3114)</f>
        <v>0</v>
      </c>
      <c r="L3114" s="767"/>
      <c r="M3114" s="1133"/>
      <c r="N3114" s="1147"/>
      <c r="O3114" s="1146"/>
      <c r="W3114" s="48"/>
    </row>
    <row r="3115" spans="1:23" ht="15.6" hidden="1" customHeight="1" x14ac:dyDescent="0.25">
      <c r="A3115" s="767"/>
      <c r="B3115" s="767" t="s">
        <v>251</v>
      </c>
      <c r="C3115" s="767"/>
      <c r="D3115" s="769"/>
      <c r="E3115" s="767"/>
      <c r="F3115" s="769"/>
      <c r="G3115" s="1624">
        <v>0</v>
      </c>
      <c r="H3115" s="769"/>
      <c r="I3115" s="1624">
        <v>0</v>
      </c>
      <c r="J3115" s="770"/>
      <c r="K3115" s="1624">
        <f>SUM(G3115:I3115)</f>
        <v>0</v>
      </c>
      <c r="L3115" s="767"/>
      <c r="M3115" s="1133"/>
      <c r="N3115" s="1147"/>
      <c r="O3115" s="1146"/>
      <c r="W3115" s="48"/>
    </row>
    <row r="3116" spans="1:23" ht="15.6" hidden="1" customHeight="1" x14ac:dyDescent="0.25">
      <c r="A3116" s="767"/>
      <c r="B3116" s="767" t="s">
        <v>418</v>
      </c>
      <c r="C3116" s="767"/>
      <c r="D3116" s="769"/>
      <c r="E3116" s="767"/>
      <c r="F3116" s="769"/>
      <c r="G3116" s="1624">
        <v>0</v>
      </c>
      <c r="H3116" s="769"/>
      <c r="I3116" s="1624">
        <v>0</v>
      </c>
      <c r="J3116" s="770"/>
      <c r="K3116" s="1624">
        <f>SUM(G3116:I3116)</f>
        <v>0</v>
      </c>
      <c r="L3116" s="767"/>
      <c r="M3116" s="1133"/>
      <c r="N3116" s="1147"/>
      <c r="O3116" s="1146"/>
      <c r="Q3116" s="48"/>
      <c r="R3116" s="48"/>
      <c r="S3116" s="48"/>
      <c r="T3116" s="48"/>
      <c r="U3116" s="48"/>
      <c r="V3116" s="48"/>
      <c r="W3116" s="48"/>
    </row>
    <row r="3117" spans="1:23" ht="15.6" hidden="1" customHeight="1" x14ac:dyDescent="0.25">
      <c r="A3117" s="767"/>
      <c r="B3117" s="767" t="s">
        <v>1105</v>
      </c>
      <c r="C3117" s="767"/>
      <c r="D3117" s="769"/>
      <c r="E3117" s="767"/>
      <c r="F3117" s="769"/>
      <c r="G3117" s="1624">
        <v>0</v>
      </c>
      <c r="H3117" s="769"/>
      <c r="I3117" s="1624">
        <v>0</v>
      </c>
      <c r="J3117" s="770"/>
      <c r="K3117" s="1624">
        <f>SUM(G3117:I3117)</f>
        <v>0</v>
      </c>
      <c r="L3117" s="767"/>
      <c r="M3117" s="1133"/>
      <c r="N3117" s="1147"/>
      <c r="O3117" s="1146"/>
      <c r="Q3117" s="48"/>
      <c r="R3117" s="48"/>
      <c r="S3117" s="48"/>
      <c r="T3117" s="48"/>
      <c r="U3117" s="48"/>
      <c r="V3117" s="48"/>
      <c r="W3117" s="48"/>
    </row>
    <row r="3118" spans="1:23" ht="15.6" hidden="1" customHeight="1" x14ac:dyDescent="0.25">
      <c r="A3118" s="767"/>
      <c r="B3118" s="767"/>
      <c r="C3118" s="767"/>
      <c r="D3118" s="769"/>
      <c r="E3118" s="767"/>
      <c r="F3118" s="769"/>
      <c r="G3118" s="1642"/>
      <c r="H3118" s="769"/>
      <c r="I3118" s="1642"/>
      <c r="J3118" s="770"/>
      <c r="K3118" s="1642"/>
      <c r="L3118" s="767"/>
      <c r="M3118" s="1133"/>
      <c r="N3118" s="1147"/>
      <c r="O3118" s="1146"/>
      <c r="Q3118" s="48"/>
      <c r="R3118" s="48"/>
      <c r="S3118" s="48"/>
      <c r="T3118" s="48"/>
      <c r="U3118" s="48"/>
      <c r="V3118" s="48"/>
      <c r="W3118" s="48"/>
    </row>
    <row r="3119" spans="1:23" ht="5.0999999999999996" hidden="1" customHeight="1" x14ac:dyDescent="0.2">
      <c r="A3119" s="767"/>
      <c r="B3119" s="767"/>
      <c r="C3119" s="767"/>
      <c r="D3119" s="769"/>
      <c r="E3119" s="767"/>
      <c r="F3119" s="769"/>
      <c r="G3119" s="769"/>
      <c r="H3119" s="769"/>
      <c r="I3119" s="1643"/>
      <c r="J3119" s="779"/>
      <c r="K3119" s="1643"/>
      <c r="L3119" s="777"/>
      <c r="M3119" s="1133"/>
      <c r="N3119" s="1133"/>
      <c r="O3119" s="1146"/>
      <c r="Q3119" s="48"/>
      <c r="R3119" s="48"/>
      <c r="S3119" s="48"/>
      <c r="T3119" s="48"/>
      <c r="U3119" s="48"/>
      <c r="V3119" s="48"/>
      <c r="W3119" s="48"/>
    </row>
    <row r="3120" spans="1:23" ht="15.6" hidden="1" customHeight="1" x14ac:dyDescent="0.25">
      <c r="A3120" s="767"/>
      <c r="B3120" s="774"/>
      <c r="C3120" s="774"/>
      <c r="D3120" s="769"/>
      <c r="E3120" s="767"/>
      <c r="F3120" s="769"/>
      <c r="G3120" s="987">
        <f>+G3111-G3113</f>
        <v>0</v>
      </c>
      <c r="H3120" s="769"/>
      <c r="I3120" s="987">
        <f>+I3111-I3113</f>
        <v>0</v>
      </c>
      <c r="J3120" s="779"/>
      <c r="K3120" s="987">
        <f>+K3111-K3113</f>
        <v>0</v>
      </c>
      <c r="L3120" s="777"/>
      <c r="M3120" s="1133"/>
      <c r="N3120" s="1133"/>
      <c r="O3120" s="1146"/>
      <c r="Q3120" s="48"/>
      <c r="R3120" s="48"/>
      <c r="S3120" s="48"/>
      <c r="T3120" s="48"/>
      <c r="U3120" s="48"/>
      <c r="V3120" s="48"/>
      <c r="W3120" s="48"/>
    </row>
    <row r="3121" spans="1:24" ht="15.6" hidden="1" customHeight="1" x14ac:dyDescent="0.25">
      <c r="A3121" s="767"/>
      <c r="B3121" s="767"/>
      <c r="C3121" s="767"/>
      <c r="D3121" s="769"/>
      <c r="E3121" s="767"/>
      <c r="F3121" s="769"/>
      <c r="G3121" s="779"/>
      <c r="H3121" s="769"/>
      <c r="I3121" s="779"/>
      <c r="J3121" s="770"/>
      <c r="K3121" s="779"/>
      <c r="L3121" s="767"/>
      <c r="M3121" s="1133"/>
      <c r="N3121" s="1147"/>
      <c r="O3121" s="1146"/>
      <c r="Q3121" s="48"/>
      <c r="R3121" s="48"/>
      <c r="S3121" s="48"/>
      <c r="T3121" s="48"/>
      <c r="U3121" s="48"/>
      <c r="V3121" s="48"/>
      <c r="W3121" s="48"/>
    </row>
    <row r="3122" spans="1:24" ht="15.6" hidden="1" customHeight="1" x14ac:dyDescent="0.25">
      <c r="A3122" s="767"/>
      <c r="B3122" s="767" t="s">
        <v>1106</v>
      </c>
      <c r="C3122" s="767"/>
      <c r="D3122" s="769"/>
      <c r="E3122" s="767"/>
      <c r="F3122" s="769"/>
      <c r="G3122" s="779">
        <v>0</v>
      </c>
      <c r="H3122" s="769"/>
      <c r="I3122" s="779">
        <v>0</v>
      </c>
      <c r="J3122" s="770"/>
      <c r="K3122" s="779">
        <f>SUM(G3122:I3122)</f>
        <v>0</v>
      </c>
      <c r="L3122" s="767"/>
      <c r="M3122" s="1133"/>
      <c r="N3122" s="1147"/>
      <c r="O3122" s="1146"/>
      <c r="Q3122" s="48"/>
      <c r="R3122" s="48"/>
      <c r="S3122" s="48"/>
      <c r="T3122" s="48"/>
      <c r="U3122" s="48"/>
      <c r="V3122" s="48"/>
      <c r="W3122" s="48"/>
    </row>
    <row r="3123" spans="1:24" ht="15.6" hidden="1" customHeight="1" x14ac:dyDescent="0.25">
      <c r="A3123" s="767"/>
      <c r="B3123" s="767" t="s">
        <v>1107</v>
      </c>
      <c r="C3123" s="767"/>
      <c r="D3123" s="769"/>
      <c r="E3123" s="767"/>
      <c r="F3123" s="769"/>
      <c r="G3123" s="779">
        <v>0</v>
      </c>
      <c r="H3123" s="769"/>
      <c r="I3123" s="779">
        <v>0</v>
      </c>
      <c r="J3123" s="770"/>
      <c r="K3123" s="779">
        <f>SUM(G3123:I3123)</f>
        <v>0</v>
      </c>
      <c r="L3123" s="767"/>
      <c r="M3123" s="1133"/>
      <c r="N3123" s="1147"/>
      <c r="O3123" s="1146"/>
      <c r="P3123" s="1115"/>
      <c r="Q3123" s="48"/>
      <c r="R3123" s="48"/>
      <c r="S3123" s="48"/>
      <c r="T3123" s="48"/>
      <c r="U3123" s="48"/>
      <c r="V3123" s="48"/>
      <c r="W3123" s="48"/>
    </row>
    <row r="3124" spans="1:24" ht="15.6" hidden="1" customHeight="1" x14ac:dyDescent="0.25">
      <c r="A3124" s="767"/>
      <c r="B3124" s="767"/>
      <c r="C3124" s="767"/>
      <c r="D3124" s="769"/>
      <c r="E3124" s="767"/>
      <c r="F3124" s="769"/>
      <c r="G3124" s="779"/>
      <c r="H3124" s="769"/>
      <c r="I3124" s="779"/>
      <c r="J3124" s="770"/>
      <c r="K3124" s="779"/>
      <c r="L3124" s="767"/>
      <c r="M3124" s="1133"/>
      <c r="N3124" s="1147"/>
      <c r="O3124" s="1146"/>
      <c r="P3124" s="1115"/>
      <c r="Q3124" s="48"/>
      <c r="R3124" s="48"/>
      <c r="S3124" s="48"/>
      <c r="T3124" s="48"/>
      <c r="U3124" s="48"/>
      <c r="V3124" s="48"/>
      <c r="W3124" s="48"/>
    </row>
    <row r="3125" spans="1:24" ht="15.6" hidden="1" customHeight="1" thickBot="1" x14ac:dyDescent="0.3">
      <c r="A3125" s="767"/>
      <c r="B3125" s="774" t="s">
        <v>1108</v>
      </c>
      <c r="C3125" s="767"/>
      <c r="D3125" s="769"/>
      <c r="E3125" s="767"/>
      <c r="F3125" s="769"/>
      <c r="G3125" s="1639">
        <f>SUM(G3120:G3124)</f>
        <v>0</v>
      </c>
      <c r="H3125" s="769"/>
      <c r="I3125" s="1639">
        <f>SUM(I3120:I3124)</f>
        <v>0</v>
      </c>
      <c r="J3125" s="1640"/>
      <c r="K3125" s="1639">
        <f>SUM(K3120:K3124)</f>
        <v>0</v>
      </c>
      <c r="L3125" s="767"/>
      <c r="M3125" s="1133"/>
      <c r="N3125" s="1147"/>
      <c r="O3125" s="1146"/>
      <c r="Q3125" s="48"/>
      <c r="R3125" s="48"/>
      <c r="S3125" s="48"/>
      <c r="T3125" s="48"/>
      <c r="U3125" s="48"/>
      <c r="V3125" s="48"/>
      <c r="W3125" s="48"/>
    </row>
    <row r="3126" spans="1:24" ht="15.6" hidden="1" customHeight="1" thickTop="1" x14ac:dyDescent="0.25">
      <c r="A3126" s="767"/>
      <c r="B3126" s="767"/>
      <c r="C3126" s="767"/>
      <c r="D3126" s="769"/>
      <c r="E3126" s="767"/>
      <c r="F3126" s="769"/>
      <c r="G3126" s="779"/>
      <c r="H3126" s="769"/>
      <c r="I3126" s="779"/>
      <c r="J3126" s="770"/>
      <c r="K3126" s="779"/>
      <c r="L3126" s="767"/>
      <c r="M3126" s="1133"/>
      <c r="N3126" s="1147"/>
      <c r="O3126" s="1146"/>
      <c r="Q3126" s="48"/>
      <c r="R3126" s="48"/>
      <c r="S3126" s="48"/>
      <c r="T3126" s="48"/>
      <c r="U3126" s="48"/>
      <c r="V3126" s="48"/>
      <c r="W3126" s="48"/>
    </row>
    <row r="3127" spans="1:24" ht="15.6" hidden="1" customHeight="1" x14ac:dyDescent="0.25">
      <c r="A3127" s="767"/>
      <c r="B3127" s="774" t="s">
        <v>1109</v>
      </c>
      <c r="C3127" s="767"/>
      <c r="D3127" s="769"/>
      <c r="E3127" s="767"/>
      <c r="F3127" s="769"/>
      <c r="G3127" s="779"/>
      <c r="H3127" s="769"/>
      <c r="I3127" s="779"/>
      <c r="J3127" s="770"/>
      <c r="K3127" s="779"/>
      <c r="L3127" s="767"/>
      <c r="M3127" s="1133"/>
      <c r="N3127" s="1147"/>
      <c r="O3127" s="1146"/>
      <c r="Q3127" s="48"/>
      <c r="R3127" s="48"/>
      <c r="S3127" s="48"/>
      <c r="T3127" s="48"/>
      <c r="U3127" s="48"/>
      <c r="V3127" s="48"/>
      <c r="W3127" s="48"/>
    </row>
    <row r="3128" spans="1:24" ht="15.6" hidden="1" customHeight="1" x14ac:dyDescent="0.2">
      <c r="A3128" s="767"/>
      <c r="B3128" s="767" t="s">
        <v>1110</v>
      </c>
      <c r="C3128" s="767"/>
      <c r="D3128" s="769"/>
      <c r="E3128" s="767"/>
      <c r="F3128" s="769"/>
      <c r="G3128" s="957">
        <v>0</v>
      </c>
      <c r="H3128" s="769"/>
      <c r="I3128" s="957">
        <v>0</v>
      </c>
      <c r="J3128" s="957"/>
      <c r="K3128" s="779">
        <f>SUM(G3128:I3128)</f>
        <v>0</v>
      </c>
      <c r="L3128" s="767"/>
      <c r="M3128" s="1133"/>
      <c r="N3128" s="1147"/>
      <c r="O3128" s="1146"/>
      <c r="Q3128" s="48"/>
      <c r="R3128" s="48"/>
      <c r="S3128" s="48"/>
      <c r="T3128" s="48"/>
      <c r="U3128" s="48"/>
      <c r="V3128" s="48"/>
      <c r="W3128" s="48"/>
    </row>
    <row r="3129" spans="1:24" ht="15.6" hidden="1" customHeight="1" x14ac:dyDescent="0.2">
      <c r="A3129" s="767"/>
      <c r="B3129" s="767" t="s">
        <v>1111</v>
      </c>
      <c r="C3129" s="767"/>
      <c r="D3129" s="769"/>
      <c r="E3129" s="767"/>
      <c r="F3129" s="769"/>
      <c r="G3129" s="957">
        <v>0</v>
      </c>
      <c r="H3129" s="769"/>
      <c r="I3129" s="957">
        <v>0</v>
      </c>
      <c r="J3129" s="957"/>
      <c r="K3129" s="779">
        <f>SUM(G3129:I3129)</f>
        <v>0</v>
      </c>
      <c r="L3129" s="767"/>
      <c r="M3129" s="1133"/>
      <c r="N3129" s="1147"/>
      <c r="O3129" s="1146"/>
      <c r="Q3129" s="48"/>
      <c r="R3129" s="48"/>
      <c r="S3129" s="48"/>
      <c r="T3129" s="48"/>
      <c r="U3129" s="48"/>
      <c r="V3129" s="48"/>
      <c r="W3129" s="48"/>
    </row>
    <row r="3130" spans="1:24" ht="15.6" hidden="1" customHeight="1" x14ac:dyDescent="0.2">
      <c r="A3130" s="767"/>
      <c r="B3130" s="767" t="s">
        <v>1112</v>
      </c>
      <c r="C3130" s="767"/>
      <c r="D3130" s="769"/>
      <c r="E3130" s="767"/>
      <c r="F3130" s="769"/>
      <c r="G3130" s="957">
        <v>0</v>
      </c>
      <c r="H3130" s="769"/>
      <c r="I3130" s="957">
        <v>0</v>
      </c>
      <c r="J3130" s="957"/>
      <c r="K3130" s="779">
        <f>SUM(G3130:I3130)</f>
        <v>0</v>
      </c>
      <c r="L3130" s="767"/>
      <c r="M3130" s="1133"/>
      <c r="N3130" s="1147"/>
      <c r="O3130" s="1146"/>
      <c r="Q3130" s="48"/>
      <c r="R3130" s="48"/>
      <c r="S3130" s="48"/>
      <c r="T3130" s="48"/>
      <c r="U3130" s="48"/>
      <c r="V3130" s="48"/>
      <c r="W3130" s="48"/>
    </row>
    <row r="3131" spans="1:24" ht="15.6" hidden="1" customHeight="1" x14ac:dyDescent="0.2">
      <c r="A3131" s="767"/>
      <c r="B3131" s="767" t="s">
        <v>251</v>
      </c>
      <c r="C3131" s="767"/>
      <c r="D3131" s="769"/>
      <c r="E3131" s="767"/>
      <c r="F3131" s="769"/>
      <c r="G3131" s="957">
        <v>0</v>
      </c>
      <c r="H3131" s="769"/>
      <c r="I3131" s="957">
        <v>0</v>
      </c>
      <c r="J3131" s="957"/>
      <c r="K3131" s="779">
        <f>SUM(G3131:I3131)</f>
        <v>0</v>
      </c>
      <c r="L3131" s="767"/>
      <c r="M3131" s="1133"/>
      <c r="N3131" s="1147"/>
      <c r="O3131" s="1146"/>
      <c r="Q3131" s="48"/>
      <c r="R3131" s="48"/>
      <c r="S3131" s="48"/>
      <c r="T3131" s="48"/>
      <c r="U3131" s="48"/>
      <c r="V3131" s="48"/>
      <c r="W3131" s="48"/>
    </row>
    <row r="3132" spans="1:24" ht="15.6" hidden="1" customHeight="1" x14ac:dyDescent="0.25">
      <c r="A3132" s="767"/>
      <c r="B3132" s="767"/>
      <c r="C3132" s="767"/>
      <c r="D3132" s="769"/>
      <c r="E3132" s="767"/>
      <c r="F3132" s="769"/>
      <c r="G3132" s="957"/>
      <c r="H3132" s="769"/>
      <c r="I3132" s="957"/>
      <c r="J3132" s="957"/>
      <c r="K3132" s="957"/>
      <c r="L3132" s="767"/>
      <c r="M3132" s="1133"/>
      <c r="N3132" s="1147"/>
      <c r="O3132" s="1146"/>
      <c r="X3132" s="50"/>
    </row>
    <row r="3133" spans="1:24" ht="15.6" hidden="1" customHeight="1" thickBot="1" x14ac:dyDescent="0.3">
      <c r="A3133" s="767"/>
      <c r="B3133" s="767"/>
      <c r="C3133" s="767"/>
      <c r="D3133" s="769"/>
      <c r="E3133" s="767"/>
      <c r="F3133" s="769"/>
      <c r="G3133" s="1639">
        <f>SUM(G3127:G3132)</f>
        <v>0</v>
      </c>
      <c r="H3133" s="769"/>
      <c r="I3133" s="1639">
        <f>SUM(I3127:I3132)</f>
        <v>0</v>
      </c>
      <c r="J3133" s="1640"/>
      <c r="K3133" s="1639">
        <f>SUM(K3127:K3132)</f>
        <v>0</v>
      </c>
      <c r="L3133" s="767"/>
      <c r="M3133" s="1133"/>
      <c r="N3133" s="1147"/>
      <c r="O3133" s="1146"/>
    </row>
    <row r="3134" spans="1:24" ht="15.6" hidden="1" customHeight="1" thickTop="1" x14ac:dyDescent="0.25">
      <c r="A3134" s="767"/>
      <c r="B3134" s="767"/>
      <c r="C3134" s="767"/>
      <c r="D3134" s="769"/>
      <c r="E3134" s="767"/>
      <c r="F3134" s="769"/>
      <c r="G3134" s="779"/>
      <c r="H3134" s="769"/>
      <c r="I3134" s="779"/>
      <c r="J3134" s="770"/>
      <c r="K3134" s="779"/>
      <c r="L3134" s="767"/>
      <c r="M3134" s="1133"/>
      <c r="N3134" s="1147"/>
      <c r="O3134" s="1146"/>
    </row>
    <row r="3135" spans="1:24" ht="15.6" hidden="1" customHeight="1" x14ac:dyDescent="0.2">
      <c r="A3135" s="767"/>
      <c r="B3135" s="2855" t="s">
        <v>2206</v>
      </c>
      <c r="C3135" s="2855"/>
      <c r="D3135" s="2855"/>
      <c r="E3135" s="2855"/>
      <c r="F3135" s="2855"/>
      <c r="G3135" s="2855"/>
      <c r="H3135" s="2855"/>
      <c r="I3135" s="2855"/>
      <c r="J3135" s="2855"/>
      <c r="K3135" s="2855"/>
      <c r="L3135" s="767"/>
      <c r="M3135" s="1133"/>
      <c r="N3135" s="1147"/>
      <c r="O3135" s="1146"/>
    </row>
    <row r="3136" spans="1:24" ht="15.6" hidden="1" customHeight="1" x14ac:dyDescent="0.2">
      <c r="A3136" s="767"/>
      <c r="B3136" s="767"/>
      <c r="C3136" s="767"/>
      <c r="D3136" s="769"/>
      <c r="E3136" s="767"/>
      <c r="F3136" s="769"/>
      <c r="G3136" s="769"/>
      <c r="H3136" s="769"/>
      <c r="I3136" s="775"/>
      <c r="J3136" s="775"/>
      <c r="K3136" s="775"/>
      <c r="L3136" s="767"/>
      <c r="M3136" s="1133"/>
      <c r="N3136" s="1133"/>
      <c r="O3136" s="1146"/>
    </row>
    <row r="3137" spans="1:23" ht="15.6" hidden="1" customHeight="1" x14ac:dyDescent="0.25">
      <c r="A3137" s="659"/>
      <c r="B3137" s="655"/>
      <c r="C3137" s="655"/>
      <c r="D3137" s="655"/>
      <c r="E3137" s="655"/>
      <c r="F3137" s="655"/>
      <c r="G3137" s="656"/>
      <c r="H3137" s="669"/>
      <c r="I3137" s="1223">
        <f>Parameters!C17</f>
        <v>2012</v>
      </c>
      <c r="J3137" s="1568"/>
      <c r="K3137" s="1223">
        <f>Parameters!C19</f>
        <v>2011</v>
      </c>
      <c r="L3137" s="655"/>
      <c r="M3137" s="232" t="s">
        <v>803</v>
      </c>
      <c r="N3137" s="1224">
        <f>Parameters!C21</f>
        <v>2010</v>
      </c>
      <c r="O3137" s="1460"/>
    </row>
    <row r="3138" spans="1:23" ht="15.6" hidden="1" customHeight="1" x14ac:dyDescent="0.25">
      <c r="A3138" s="655"/>
      <c r="B3138" s="655"/>
      <c r="C3138" s="655"/>
      <c r="D3138" s="656"/>
      <c r="E3138" s="655"/>
      <c r="F3138" s="656"/>
      <c r="G3138" s="656"/>
      <c r="H3138" s="656"/>
      <c r="I3138" s="1613" t="s">
        <v>255</v>
      </c>
      <c r="J3138" s="1614"/>
      <c r="K3138" s="1613" t="s">
        <v>255</v>
      </c>
      <c r="L3138" s="664"/>
      <c r="M3138" s="1133"/>
      <c r="N3138" s="1133"/>
      <c r="O3138" s="1146"/>
    </row>
    <row r="3139" spans="1:23" ht="15.6" hidden="1" customHeight="1" x14ac:dyDescent="0.25">
      <c r="I3139" s="200"/>
      <c r="J3139" s="200"/>
    </row>
    <row r="3140" spans="1:23" ht="15.6" customHeight="1" x14ac:dyDescent="0.25">
      <c r="A3140" s="211">
        <v>36</v>
      </c>
      <c r="B3140" s="50" t="s">
        <v>215</v>
      </c>
      <c r="C3140" s="50"/>
      <c r="K3140" s="206"/>
      <c r="W3140" s="1114" t="s">
        <v>3520</v>
      </c>
    </row>
    <row r="3141" spans="1:23" ht="15.6" customHeight="1" x14ac:dyDescent="0.25">
      <c r="B3141" s="50"/>
      <c r="C3141" s="50"/>
      <c r="E3141" s="50"/>
    </row>
    <row r="3142" spans="1:23" ht="30.95" hidden="1" customHeight="1" x14ac:dyDescent="0.2">
      <c r="A3142" s="201"/>
      <c r="B3142" s="2900" t="s">
        <v>2488</v>
      </c>
      <c r="C3142" s="2900"/>
      <c r="D3142" s="2900"/>
      <c r="E3142" s="2900"/>
      <c r="F3142" s="2900"/>
      <c r="G3142" s="2900"/>
      <c r="H3142" s="2900"/>
      <c r="I3142" s="2900"/>
      <c r="J3142" s="2900"/>
      <c r="K3142" s="2900"/>
      <c r="L3142" s="201"/>
      <c r="M3142" s="1482"/>
      <c r="N3142" s="1147"/>
      <c r="O3142" s="1133"/>
    </row>
    <row r="3143" spans="1:23" ht="46.5" customHeight="1" x14ac:dyDescent="0.2">
      <c r="A3143" s="201"/>
      <c r="B3143" s="2861" t="s">
        <v>7513</v>
      </c>
      <c r="C3143" s="2861"/>
      <c r="D3143" s="2861"/>
      <c r="E3143" s="2861"/>
      <c r="F3143" s="2861"/>
      <c r="G3143" s="2861"/>
      <c r="H3143" s="2861"/>
      <c r="I3143" s="2861"/>
      <c r="J3143" s="2861"/>
      <c r="K3143" s="2861"/>
      <c r="L3143" s="201"/>
      <c r="M3143" s="1482" t="s">
        <v>1997</v>
      </c>
      <c r="N3143" s="1147"/>
      <c r="O3143" s="1146"/>
    </row>
    <row r="3144" spans="1:23" ht="15.6" customHeight="1" x14ac:dyDescent="0.2">
      <c r="I3144" s="270"/>
      <c r="J3144" s="270"/>
      <c r="K3144" s="270"/>
      <c r="N3144" s="1147"/>
      <c r="O3144" s="1146"/>
    </row>
    <row r="3145" spans="1:23" ht="15.6" customHeight="1" x14ac:dyDescent="0.2">
      <c r="B3145" s="48" t="s">
        <v>1693</v>
      </c>
      <c r="I3145" s="270"/>
      <c r="J3145" s="270"/>
      <c r="K3145" s="270"/>
      <c r="N3145" s="1147"/>
      <c r="O3145" s="1146"/>
    </row>
    <row r="3146" spans="1:23" ht="15.6" customHeight="1" x14ac:dyDescent="0.2">
      <c r="B3146" s="48" t="s">
        <v>1311</v>
      </c>
      <c r="I3146" s="270"/>
      <c r="J3146" s="270"/>
      <c r="K3146" s="270"/>
      <c r="N3146" s="1147"/>
      <c r="O3146" s="1146"/>
    </row>
    <row r="3147" spans="1:23" ht="15.6" hidden="1" customHeight="1" x14ac:dyDescent="0.2">
      <c r="A3147" s="655"/>
      <c r="B3147" s="655" t="s">
        <v>1537</v>
      </c>
      <c r="C3147" s="655"/>
      <c r="D3147" s="656"/>
      <c r="E3147" s="655"/>
      <c r="F3147" s="656"/>
      <c r="G3147" s="656"/>
      <c r="H3147" s="656"/>
      <c r="I3147" s="1570"/>
      <c r="J3147" s="1570"/>
      <c r="K3147" s="1570"/>
      <c r="L3147" s="655"/>
      <c r="N3147" s="1147"/>
      <c r="O3147" s="1146"/>
    </row>
    <row r="3148" spans="1:23" ht="15.6" hidden="1" customHeight="1" x14ac:dyDescent="0.2">
      <c r="A3148" s="655"/>
      <c r="B3148" s="655" t="s">
        <v>1538</v>
      </c>
      <c r="C3148" s="655"/>
      <c r="D3148" s="656"/>
      <c r="E3148" s="655"/>
      <c r="F3148" s="656"/>
      <c r="G3148" s="656"/>
      <c r="H3148" s="656"/>
      <c r="I3148" s="1570"/>
      <c r="J3148" s="1570"/>
      <c r="K3148" s="1570"/>
      <c r="L3148" s="655"/>
      <c r="N3148" s="1147"/>
      <c r="O3148" s="1146"/>
      <c r="Q3148" s="48"/>
      <c r="R3148" s="48"/>
      <c r="S3148" s="48"/>
      <c r="T3148" s="48"/>
      <c r="U3148" s="48"/>
      <c r="V3148" s="48"/>
      <c r="W3148" s="48"/>
    </row>
    <row r="3149" spans="1:23" ht="15.6" hidden="1" customHeight="1" x14ac:dyDescent="0.2">
      <c r="A3149" s="655"/>
      <c r="B3149" s="655" t="s">
        <v>1539</v>
      </c>
      <c r="C3149" s="655"/>
      <c r="D3149" s="656"/>
      <c r="E3149" s="655"/>
      <c r="F3149" s="656"/>
      <c r="G3149" s="656"/>
      <c r="H3149" s="656"/>
      <c r="I3149" s="1570"/>
      <c r="J3149" s="1570"/>
      <c r="K3149" s="1570"/>
      <c r="L3149" s="655"/>
      <c r="N3149" s="1147"/>
      <c r="O3149" s="1146"/>
      <c r="Q3149" s="48"/>
      <c r="R3149" s="48"/>
      <c r="S3149" s="48"/>
      <c r="T3149" s="48"/>
      <c r="U3149" s="48"/>
      <c r="V3149" s="48"/>
      <c r="W3149" s="48"/>
    </row>
    <row r="3150" spans="1:23" ht="15.6" customHeight="1" x14ac:dyDescent="0.2">
      <c r="B3150" s="48" t="s">
        <v>1540</v>
      </c>
      <c r="I3150" s="270"/>
      <c r="J3150" s="270"/>
      <c r="K3150" s="270"/>
      <c r="N3150" s="1147"/>
      <c r="O3150" s="1146"/>
      <c r="P3150" s="1115"/>
      <c r="Q3150" s="48"/>
      <c r="R3150" s="48"/>
      <c r="S3150" s="48"/>
      <c r="T3150" s="48"/>
      <c r="U3150" s="48"/>
      <c r="V3150" s="48"/>
      <c r="W3150" s="48"/>
    </row>
    <row r="3151" spans="1:23" ht="15.6" hidden="1" customHeight="1" x14ac:dyDescent="0.2">
      <c r="B3151" s="2082" t="s">
        <v>1445</v>
      </c>
      <c r="I3151" s="270"/>
      <c r="J3151" s="270"/>
      <c r="K3151" s="270"/>
      <c r="N3151" s="1147"/>
      <c r="O3151" s="1146"/>
      <c r="Q3151" s="48"/>
      <c r="R3151" s="48"/>
      <c r="S3151" s="48"/>
      <c r="T3151" s="48"/>
      <c r="U3151" s="48"/>
      <c r="V3151" s="48"/>
      <c r="W3151" s="48"/>
    </row>
    <row r="3152" spans="1:23" ht="15.6" customHeight="1" x14ac:dyDescent="0.2">
      <c r="B3152" s="48" t="s">
        <v>1541</v>
      </c>
      <c r="I3152" s="270"/>
      <c r="J3152" s="270"/>
      <c r="K3152" s="270"/>
      <c r="N3152" s="1147"/>
      <c r="O3152" s="1146"/>
      <c r="P3152" s="1115"/>
      <c r="Q3152" s="48"/>
      <c r="R3152" s="48"/>
      <c r="S3152" s="48"/>
      <c r="T3152" s="48"/>
      <c r="U3152" s="48"/>
      <c r="V3152" s="48"/>
      <c r="W3152" s="48"/>
    </row>
    <row r="3153" spans="1:23" ht="15.6" customHeight="1" x14ac:dyDescent="0.2">
      <c r="B3153" s="48" t="s">
        <v>1426</v>
      </c>
      <c r="I3153" s="270"/>
      <c r="J3153" s="270"/>
      <c r="K3153" s="270"/>
      <c r="N3153" s="1147"/>
      <c r="O3153" s="1146"/>
      <c r="P3153" s="1115"/>
      <c r="Q3153" s="48"/>
      <c r="R3153" s="48"/>
      <c r="S3153" s="48"/>
      <c r="T3153" s="48"/>
      <c r="U3153" s="48"/>
      <c r="V3153" s="48"/>
      <c r="W3153" s="48"/>
    </row>
    <row r="3154" spans="1:23" ht="15.6" customHeight="1" x14ac:dyDescent="0.2">
      <c r="B3154" s="48" t="s">
        <v>1423</v>
      </c>
      <c r="I3154" s="270"/>
      <c r="J3154" s="270"/>
      <c r="K3154" s="270"/>
      <c r="N3154" s="1147"/>
      <c r="O3154" s="1146"/>
      <c r="P3154" s="1115"/>
      <c r="Q3154" s="48"/>
      <c r="R3154" s="48"/>
      <c r="S3154" s="48"/>
      <c r="T3154" s="48"/>
      <c r="U3154" s="48"/>
      <c r="V3154" s="48"/>
      <c r="W3154" s="48"/>
    </row>
    <row r="3155" spans="1:23" ht="15.6" customHeight="1" x14ac:dyDescent="0.2">
      <c r="B3155" s="48" t="s">
        <v>1424</v>
      </c>
      <c r="I3155" s="270"/>
      <c r="J3155" s="270"/>
      <c r="K3155" s="270"/>
      <c r="N3155" s="1147"/>
      <c r="O3155" s="1146"/>
      <c r="P3155" s="1115"/>
      <c r="Q3155" s="48"/>
      <c r="R3155" s="48"/>
      <c r="S3155" s="48"/>
      <c r="T3155" s="48"/>
      <c r="U3155" s="48"/>
      <c r="V3155" s="48"/>
      <c r="W3155" s="48"/>
    </row>
    <row r="3156" spans="1:23" ht="15.6" hidden="1" customHeight="1" x14ac:dyDescent="0.25">
      <c r="A3156" s="767"/>
      <c r="B3156" s="767" t="s">
        <v>2015</v>
      </c>
      <c r="C3156" s="767"/>
      <c r="D3156" s="769"/>
      <c r="E3156" s="767"/>
      <c r="F3156" s="769"/>
      <c r="G3156" s="769"/>
      <c r="H3156" s="769"/>
      <c r="I3156" s="779"/>
      <c r="J3156" s="770"/>
      <c r="K3156" s="779"/>
      <c r="L3156" s="767"/>
      <c r="N3156" s="1147"/>
      <c r="O3156" s="1134"/>
      <c r="P3156" s="1115"/>
      <c r="Q3156" s="48"/>
      <c r="R3156" s="48"/>
      <c r="S3156" s="48"/>
      <c r="T3156" s="48"/>
      <c r="U3156" s="48"/>
      <c r="V3156" s="48"/>
      <c r="W3156" s="48"/>
    </row>
    <row r="3157" spans="1:23" ht="15.6" hidden="1" customHeight="1" x14ac:dyDescent="0.25">
      <c r="B3157" s="2082" t="s">
        <v>2016</v>
      </c>
      <c r="C3157" s="2082"/>
      <c r="I3157" s="58"/>
      <c r="J3157" s="200"/>
      <c r="K3157" s="58"/>
      <c r="N3157" s="1147"/>
      <c r="O3157" s="1134"/>
      <c r="P3157" s="1115"/>
      <c r="Q3157" s="48"/>
      <c r="R3157" s="48"/>
      <c r="S3157" s="48"/>
      <c r="T3157" s="48"/>
      <c r="U3157" s="48"/>
      <c r="V3157" s="48"/>
      <c r="W3157" s="48"/>
    </row>
    <row r="3158" spans="1:23" ht="15.6" customHeight="1" x14ac:dyDescent="0.2">
      <c r="B3158" s="48" t="s">
        <v>1425</v>
      </c>
      <c r="I3158" s="270"/>
      <c r="J3158" s="270"/>
      <c r="K3158" s="270"/>
      <c r="N3158" s="1147"/>
      <c r="O3158" s="1146"/>
      <c r="P3158" s="1115"/>
      <c r="Q3158" s="48"/>
      <c r="R3158" s="48"/>
      <c r="S3158" s="48"/>
      <c r="T3158" s="48"/>
      <c r="U3158" s="48"/>
      <c r="V3158" s="48"/>
      <c r="W3158" s="48"/>
    </row>
    <row r="3159" spans="1:23" ht="15.6" customHeight="1" x14ac:dyDescent="0.25">
      <c r="B3159" s="48" t="s">
        <v>2017</v>
      </c>
      <c r="I3159" s="58"/>
      <c r="J3159" s="200"/>
      <c r="K3159" s="58"/>
      <c r="N3159" s="1147"/>
      <c r="O3159" s="1134"/>
      <c r="P3159" s="1115"/>
      <c r="Q3159" s="48"/>
      <c r="R3159" s="48"/>
      <c r="S3159" s="48"/>
      <c r="T3159" s="48"/>
      <c r="U3159" s="48"/>
      <c r="V3159" s="48"/>
      <c r="W3159" s="48"/>
    </row>
    <row r="3160" spans="1:23" ht="15.6" customHeight="1" x14ac:dyDescent="0.25">
      <c r="B3160" s="48" t="s">
        <v>2018</v>
      </c>
      <c r="I3160" s="58"/>
      <c r="J3160" s="200"/>
      <c r="K3160" s="58"/>
      <c r="N3160" s="1147"/>
      <c r="O3160" s="1134"/>
      <c r="P3160" s="1115"/>
      <c r="Q3160" s="48"/>
      <c r="R3160" s="48"/>
      <c r="S3160" s="48"/>
      <c r="T3160" s="48"/>
      <c r="U3160" s="48"/>
      <c r="V3160" s="48"/>
      <c r="W3160" s="48"/>
    </row>
    <row r="3161" spans="1:23" ht="15.6" hidden="1" customHeight="1" x14ac:dyDescent="0.25">
      <c r="B3161" s="48" t="s">
        <v>2019</v>
      </c>
      <c r="I3161" s="58"/>
      <c r="J3161" s="200"/>
      <c r="K3161" s="58"/>
      <c r="N3161" s="1147"/>
      <c r="O3161" s="1134"/>
      <c r="P3161" s="1115"/>
      <c r="Q3161" s="48"/>
      <c r="R3161" s="48"/>
      <c r="S3161" s="48"/>
      <c r="T3161" s="48"/>
      <c r="U3161" s="48"/>
      <c r="V3161" s="48"/>
      <c r="W3161" s="48"/>
    </row>
    <row r="3162" spans="1:23" ht="15.6" hidden="1" customHeight="1" x14ac:dyDescent="0.2">
      <c r="A3162" s="655"/>
      <c r="B3162" s="655" t="s">
        <v>1444</v>
      </c>
      <c r="C3162" s="655"/>
      <c r="D3162" s="656"/>
      <c r="E3162" s="655"/>
      <c r="F3162" s="656"/>
      <c r="G3162" s="656"/>
      <c r="H3162" s="656"/>
      <c r="I3162" s="1570"/>
      <c r="J3162" s="1570"/>
      <c r="K3162" s="1570"/>
      <c r="L3162" s="655"/>
      <c r="N3162" s="1147"/>
      <c r="O3162" s="1146"/>
      <c r="P3162" s="1115"/>
      <c r="Q3162" s="48"/>
      <c r="R3162" s="48"/>
      <c r="S3162" s="48"/>
      <c r="T3162" s="48"/>
      <c r="U3162" s="48"/>
      <c r="V3162" s="48"/>
      <c r="W3162" s="48"/>
    </row>
    <row r="3163" spans="1:23" ht="15.6" customHeight="1" x14ac:dyDescent="0.2">
      <c r="B3163" s="48" t="s">
        <v>2005</v>
      </c>
      <c r="I3163" s="270"/>
      <c r="J3163" s="270"/>
      <c r="K3163" s="270"/>
      <c r="N3163" s="1147"/>
      <c r="O3163" s="1146"/>
      <c r="P3163" s="1115"/>
      <c r="Q3163" s="48"/>
      <c r="R3163" s="48"/>
      <c r="S3163" s="48"/>
      <c r="T3163" s="48"/>
      <c r="U3163" s="48"/>
      <c r="V3163" s="48"/>
      <c r="W3163" s="48"/>
    </row>
    <row r="3164" spans="1:23" ht="15.6" customHeight="1" x14ac:dyDescent="0.2">
      <c r="B3164" s="48" t="s">
        <v>1446</v>
      </c>
      <c r="I3164" s="270"/>
      <c r="J3164" s="270"/>
      <c r="K3164" s="270"/>
      <c r="N3164" s="1147"/>
      <c r="O3164" s="1146"/>
      <c r="P3164" s="1115"/>
    </row>
    <row r="3165" spans="1:23" ht="15.6" hidden="1" customHeight="1" x14ac:dyDescent="0.25">
      <c r="A3165" s="767"/>
      <c r="B3165" s="767" t="s">
        <v>2020</v>
      </c>
      <c r="C3165" s="767"/>
      <c r="D3165" s="769"/>
      <c r="E3165" s="767"/>
      <c r="F3165" s="769"/>
      <c r="G3165" s="769"/>
      <c r="H3165" s="769"/>
      <c r="I3165" s="779"/>
      <c r="J3165" s="770"/>
      <c r="K3165" s="779"/>
      <c r="L3165" s="767"/>
      <c r="N3165" s="1147"/>
      <c r="O3165" s="1134"/>
      <c r="P3165" s="1115"/>
    </row>
    <row r="3166" spans="1:23" ht="15.6" customHeight="1" x14ac:dyDescent="0.25">
      <c r="B3166" s="48" t="s">
        <v>2021</v>
      </c>
      <c r="I3166" s="58"/>
      <c r="J3166" s="200"/>
      <c r="K3166" s="58"/>
      <c r="N3166" s="1147"/>
      <c r="O3166" s="1134"/>
      <c r="P3166" s="1115"/>
    </row>
    <row r="3167" spans="1:23" ht="15.6" hidden="1" customHeight="1" x14ac:dyDescent="0.25">
      <c r="A3167" s="767"/>
      <c r="B3167" s="48" t="s">
        <v>1312</v>
      </c>
      <c r="D3167" s="769"/>
      <c r="E3167" s="767"/>
      <c r="F3167" s="769"/>
      <c r="G3167" s="769"/>
      <c r="H3167" s="769"/>
      <c r="I3167" s="779"/>
      <c r="J3167" s="770"/>
      <c r="K3167" s="779"/>
      <c r="L3167" s="767"/>
      <c r="N3167" s="1147"/>
      <c r="O3167" s="1134"/>
      <c r="P3167" s="1115"/>
    </row>
    <row r="3168" spans="1:23" ht="15.6" customHeight="1" x14ac:dyDescent="0.2">
      <c r="B3168" s="48" t="s">
        <v>1313</v>
      </c>
      <c r="I3168" s="270"/>
      <c r="J3168" s="270"/>
      <c r="K3168" s="270"/>
      <c r="N3168" s="1147"/>
      <c r="O3168" s="1146"/>
      <c r="P3168" s="1115"/>
    </row>
    <row r="3169" spans="1:23" ht="15.6" hidden="1" customHeight="1" x14ac:dyDescent="0.2">
      <c r="A3169" s="655"/>
      <c r="B3169" s="48" t="s">
        <v>1314</v>
      </c>
      <c r="D3169" s="656"/>
      <c r="E3169" s="655"/>
      <c r="F3169" s="656"/>
      <c r="G3169" s="656"/>
      <c r="H3169" s="656"/>
      <c r="I3169" s="1570"/>
      <c r="J3169" s="1570"/>
      <c r="K3169" s="1570"/>
      <c r="L3169" s="655"/>
      <c r="N3169" s="1147"/>
      <c r="O3169" s="1146"/>
      <c r="P3169" s="1115"/>
    </row>
    <row r="3170" spans="1:23" ht="15.6" hidden="1" customHeight="1" x14ac:dyDescent="0.2">
      <c r="A3170" s="655"/>
      <c r="B3170" s="48" t="s">
        <v>1315</v>
      </c>
      <c r="D3170" s="656"/>
      <c r="E3170" s="655"/>
      <c r="F3170" s="656"/>
      <c r="G3170" s="656"/>
      <c r="H3170" s="656"/>
      <c r="I3170" s="1570"/>
      <c r="J3170" s="1570"/>
      <c r="K3170" s="1570"/>
      <c r="L3170" s="655"/>
      <c r="N3170" s="1147"/>
      <c r="O3170" s="1146"/>
      <c r="P3170" s="1115"/>
    </row>
    <row r="3171" spans="1:23" ht="15.6" customHeight="1" x14ac:dyDescent="0.2">
      <c r="B3171" s="48" t="s">
        <v>1316</v>
      </c>
      <c r="I3171" s="270"/>
      <c r="J3171" s="270"/>
      <c r="K3171" s="270"/>
      <c r="N3171" s="1147"/>
      <c r="O3171" s="1146"/>
      <c r="P3171" s="1115"/>
    </row>
    <row r="3172" spans="1:23" ht="15.6" customHeight="1" x14ac:dyDescent="0.2">
      <c r="B3172" s="48" t="s">
        <v>1639</v>
      </c>
      <c r="I3172" s="270"/>
      <c r="J3172" s="270"/>
      <c r="K3172" s="270"/>
      <c r="N3172" s="1147"/>
      <c r="O3172" s="1146"/>
      <c r="P3172" s="1115"/>
    </row>
    <row r="3173" spans="1:23" ht="15.6" customHeight="1" x14ac:dyDescent="0.2">
      <c r="B3173" s="48" t="s">
        <v>1317</v>
      </c>
      <c r="I3173" s="270"/>
      <c r="J3173" s="270"/>
      <c r="K3173" s="270"/>
      <c r="N3173" s="1147"/>
      <c r="O3173" s="1146"/>
      <c r="P3173" s="1115"/>
    </row>
    <row r="3174" spans="1:23" ht="15.6" customHeight="1" x14ac:dyDescent="0.2">
      <c r="B3174" s="48" t="s">
        <v>1318</v>
      </c>
      <c r="I3174" s="270"/>
      <c r="J3174" s="270"/>
      <c r="K3174" s="270"/>
      <c r="N3174" s="1147"/>
      <c r="O3174" s="1146"/>
      <c r="P3174" s="1115"/>
    </row>
    <row r="3175" spans="1:23" ht="15.6" customHeight="1" x14ac:dyDescent="0.2">
      <c r="I3175" s="270"/>
      <c r="J3175" s="270"/>
      <c r="K3175" s="270"/>
      <c r="N3175" s="1147"/>
      <c r="O3175" s="1146"/>
      <c r="P3175" s="1115"/>
    </row>
    <row r="3176" spans="1:23" ht="15.6" customHeight="1" x14ac:dyDescent="0.2">
      <c r="B3176" s="671" t="s">
        <v>7585</v>
      </c>
      <c r="C3176" s="672"/>
      <c r="D3176" s="672"/>
      <c r="E3176" s="672"/>
      <c r="F3176" s="672"/>
      <c r="I3176" s="270"/>
      <c r="J3176" s="270"/>
      <c r="K3176" s="270"/>
      <c r="M3176" s="1133"/>
      <c r="N3176" s="1147"/>
      <c r="O3176" s="1133"/>
      <c r="P3176" s="1115"/>
      <c r="W3176" s="1114" t="s">
        <v>3857</v>
      </c>
    </row>
    <row r="3177" spans="1:23" ht="15.6" customHeight="1" x14ac:dyDescent="0.2">
      <c r="I3177" s="58"/>
      <c r="J3177" s="58"/>
      <c r="K3177" s="58"/>
      <c r="M3177" s="1133"/>
      <c r="N3177" s="1147"/>
      <c r="O3177" s="1133"/>
      <c r="P3177" s="1115"/>
    </row>
    <row r="3178" spans="1:23" ht="30.95" customHeight="1" x14ac:dyDescent="0.2">
      <c r="A3178" s="201"/>
      <c r="B3178" s="2861" t="s">
        <v>1876</v>
      </c>
      <c r="C3178" s="2861"/>
      <c r="D3178" s="2861"/>
      <c r="E3178" s="2861"/>
      <c r="F3178" s="2861"/>
      <c r="G3178" s="2861"/>
      <c r="H3178" s="2861"/>
      <c r="I3178" s="2861"/>
      <c r="J3178" s="2861"/>
      <c r="K3178" s="2861"/>
      <c r="L3178" s="201"/>
      <c r="M3178" s="1482"/>
      <c r="N3178" s="1147"/>
      <c r="O3178" s="1133"/>
      <c r="P3178" s="1115"/>
    </row>
    <row r="3179" spans="1:23" ht="15.6" customHeight="1" x14ac:dyDescent="0.2">
      <c r="I3179" s="58"/>
      <c r="J3179" s="58"/>
      <c r="K3179" s="58"/>
      <c r="L3179" s="59"/>
      <c r="M3179" s="1133"/>
      <c r="N3179" s="1147"/>
      <c r="O3179" s="1133"/>
      <c r="P3179" s="1115"/>
    </row>
    <row r="3180" spans="1:23" ht="15.6" customHeight="1" x14ac:dyDescent="0.25">
      <c r="B3180" s="50" t="s">
        <v>1877</v>
      </c>
      <c r="I3180" s="58"/>
      <c r="J3180" s="58"/>
      <c r="K3180" s="58"/>
      <c r="M3180" s="1133"/>
      <c r="N3180" s="1147"/>
      <c r="O3180" s="1133"/>
      <c r="P3180" s="1115"/>
      <c r="Q3180" s="48"/>
      <c r="R3180" s="48"/>
      <c r="S3180" s="48"/>
      <c r="T3180" s="48"/>
      <c r="U3180" s="48"/>
      <c r="V3180" s="48"/>
      <c r="W3180" s="48"/>
    </row>
    <row r="3181" spans="1:23" ht="15.6" customHeight="1" x14ac:dyDescent="0.25">
      <c r="C3181" s="57"/>
      <c r="E3181" s="57"/>
      <c r="I3181" s="57"/>
      <c r="J3181" s="58"/>
      <c r="K3181" s="266" t="s">
        <v>40</v>
      </c>
      <c r="N3181" s="1147"/>
      <c r="O3181" s="1133"/>
      <c r="P3181" s="1115"/>
      <c r="Q3181" s="48"/>
      <c r="R3181" s="48"/>
      <c r="S3181" s="48"/>
      <c r="T3181" s="48"/>
      <c r="U3181" s="48"/>
      <c r="V3181" s="48"/>
      <c r="W3181" s="48"/>
    </row>
    <row r="3182" spans="1:23" ht="15.6" customHeight="1" x14ac:dyDescent="0.25">
      <c r="C3182" s="57"/>
      <c r="E3182" s="57"/>
      <c r="I3182" s="57"/>
      <c r="J3182" s="58"/>
      <c r="K3182" s="266" t="s">
        <v>1056</v>
      </c>
      <c r="N3182" s="1147"/>
      <c r="O3182" s="1133"/>
      <c r="P3182" s="1115"/>
      <c r="Q3182" s="48"/>
      <c r="R3182" s="48"/>
      <c r="S3182" s="48"/>
      <c r="T3182" s="48"/>
      <c r="U3182" s="48"/>
      <c r="V3182" s="48"/>
      <c r="W3182" s="48"/>
    </row>
    <row r="3183" spans="1:23" ht="15.6" customHeight="1" x14ac:dyDescent="0.2">
      <c r="C3183" s="57"/>
      <c r="E3183" s="57"/>
      <c r="I3183" s="57"/>
      <c r="J3183" s="58"/>
      <c r="K3183" s="58"/>
      <c r="N3183" s="1147"/>
      <c r="O3183" s="1133"/>
      <c r="P3183" s="1115"/>
      <c r="Q3183" s="48"/>
      <c r="R3183" s="48"/>
      <c r="S3183" s="48"/>
      <c r="T3183" s="48"/>
      <c r="U3183" s="48"/>
      <c r="V3183" s="48"/>
      <c r="W3183" s="48"/>
    </row>
    <row r="3184" spans="1:23" ht="15.6" customHeight="1" x14ac:dyDescent="0.25">
      <c r="B3184" s="50" t="str">
        <f>"Balances published as at "&amp;Parameters!C13</f>
        <v>Balances published as at 30 June 2011</v>
      </c>
      <c r="C3184" s="57"/>
      <c r="E3184" s="57"/>
      <c r="I3184" s="57"/>
      <c r="J3184" s="58"/>
      <c r="K3184" s="224">
        <v>163352810</v>
      </c>
      <c r="N3184" s="1147"/>
      <c r="O3184" s="1133"/>
      <c r="P3184" s="1115"/>
      <c r="Q3184" s="48"/>
      <c r="R3184" s="48"/>
      <c r="S3184" s="48"/>
      <c r="T3184" s="48"/>
      <c r="U3184" s="48"/>
      <c r="V3184" s="48"/>
      <c r="W3184" s="48"/>
    </row>
    <row r="3185" spans="2:23" ht="15.6" hidden="1" customHeight="1" x14ac:dyDescent="0.2">
      <c r="B3185" s="48" t="s">
        <v>2073</v>
      </c>
      <c r="C3185" s="57"/>
      <c r="E3185" s="57"/>
      <c r="I3185" s="57"/>
      <c r="J3185" s="58"/>
      <c r="K3185" s="58"/>
      <c r="N3185" s="1147"/>
      <c r="O3185" s="1133"/>
      <c r="P3185" s="1115"/>
      <c r="Q3185" s="48"/>
      <c r="R3185" s="48"/>
      <c r="S3185" s="48"/>
      <c r="T3185" s="48"/>
      <c r="U3185" s="48"/>
      <c r="V3185" s="48"/>
      <c r="W3185" s="48"/>
    </row>
    <row r="3186" spans="2:23" ht="15.6" hidden="1" customHeight="1" x14ac:dyDescent="0.2">
      <c r="B3186" s="48" t="s">
        <v>2465</v>
      </c>
      <c r="C3186" s="57"/>
      <c r="E3186" s="57"/>
      <c r="I3186" s="58">
        <v>0</v>
      </c>
      <c r="J3186" s="58"/>
      <c r="K3186" s="58"/>
      <c r="M3186" s="1134"/>
      <c r="O3186" s="1133"/>
      <c r="P3186" s="1115"/>
      <c r="Q3186" s="48"/>
      <c r="R3186" s="48"/>
      <c r="S3186" s="48"/>
      <c r="T3186" s="48"/>
      <c r="U3186" s="48"/>
      <c r="V3186" s="48"/>
      <c r="W3186" s="48"/>
    </row>
    <row r="3187" spans="2:23" ht="15.6" hidden="1" customHeight="1" x14ac:dyDescent="0.2">
      <c r="B3187" s="48" t="s">
        <v>2466</v>
      </c>
      <c r="C3187" s="57"/>
      <c r="E3187" s="57"/>
      <c r="I3187" s="58">
        <v>0</v>
      </c>
      <c r="J3187" s="58"/>
      <c r="K3187" s="58"/>
      <c r="M3187" s="1134"/>
      <c r="O3187" s="1133"/>
      <c r="P3187" s="1115"/>
      <c r="Q3187" s="48"/>
      <c r="R3187" s="48"/>
      <c r="S3187" s="48"/>
      <c r="T3187" s="48"/>
      <c r="U3187" s="48"/>
      <c r="V3187" s="48"/>
      <c r="W3187" s="48"/>
    </row>
    <row r="3188" spans="2:23" ht="15.6" hidden="1" customHeight="1" x14ac:dyDescent="0.2">
      <c r="B3188" s="48" t="s">
        <v>2466</v>
      </c>
      <c r="C3188" s="57"/>
      <c r="E3188" s="57"/>
      <c r="I3188" s="58">
        <v>0</v>
      </c>
      <c r="J3188" s="58"/>
      <c r="K3188" s="58"/>
      <c r="M3188" s="1134"/>
      <c r="O3188" s="1133"/>
      <c r="P3188" s="1115"/>
      <c r="Q3188" s="48"/>
      <c r="R3188" s="48"/>
      <c r="S3188" s="48"/>
      <c r="T3188" s="48"/>
      <c r="U3188" s="48"/>
      <c r="V3188" s="48"/>
      <c r="W3188" s="48"/>
    </row>
    <row r="3189" spans="2:23" ht="15.6" hidden="1" customHeight="1" x14ac:dyDescent="0.2">
      <c r="B3189" s="48" t="s">
        <v>2467</v>
      </c>
      <c r="C3189" s="57"/>
      <c r="E3189" s="57"/>
      <c r="I3189" s="58">
        <v>0</v>
      </c>
      <c r="J3189" s="58"/>
      <c r="K3189" s="58"/>
      <c r="M3189" s="1134"/>
      <c r="O3189" s="1133"/>
      <c r="P3189" s="1115"/>
      <c r="Q3189" s="48"/>
      <c r="R3189" s="48"/>
      <c r="S3189" s="48"/>
      <c r="T3189" s="48"/>
      <c r="U3189" s="48"/>
      <c r="V3189" s="48"/>
      <c r="W3189" s="48"/>
    </row>
    <row r="3190" spans="2:23" ht="15.6" hidden="1" customHeight="1" x14ac:dyDescent="0.2">
      <c r="B3190" s="48" t="s">
        <v>2468</v>
      </c>
      <c r="C3190" s="57"/>
      <c r="E3190" s="57"/>
      <c r="I3190" s="58">
        <v>0</v>
      </c>
      <c r="J3190" s="58"/>
      <c r="K3190" s="58"/>
      <c r="M3190" s="1134"/>
      <c r="O3190" s="1133"/>
      <c r="P3190" s="1115"/>
      <c r="Q3190" s="48"/>
      <c r="R3190" s="48"/>
      <c r="S3190" s="48"/>
      <c r="T3190" s="48"/>
      <c r="U3190" s="48"/>
      <c r="V3190" s="48"/>
      <c r="W3190" s="48"/>
    </row>
    <row r="3191" spans="2:23" ht="15.6" hidden="1" customHeight="1" x14ac:dyDescent="0.2">
      <c r="B3191" s="48" t="s">
        <v>2469</v>
      </c>
      <c r="C3191" s="57"/>
      <c r="E3191" s="57"/>
      <c r="I3191" s="212">
        <v>0</v>
      </c>
      <c r="J3191" s="58"/>
      <c r="K3191" s="58">
        <f>SUM(I3185:I3191)</f>
        <v>0</v>
      </c>
      <c r="M3191" s="1134"/>
      <c r="O3191" s="1133"/>
      <c r="P3191" s="1115"/>
      <c r="Q3191" s="48"/>
      <c r="R3191" s="48"/>
      <c r="S3191" s="48"/>
      <c r="T3191" s="48"/>
      <c r="U3191" s="48"/>
      <c r="V3191" s="48"/>
      <c r="W3191" s="48"/>
    </row>
    <row r="3192" spans="2:23" ht="15.6" hidden="1" customHeight="1" x14ac:dyDescent="0.2">
      <c r="C3192" s="57"/>
      <c r="E3192" s="57"/>
      <c r="I3192" s="58"/>
      <c r="J3192" s="58"/>
      <c r="K3192" s="58"/>
      <c r="M3192" s="1134"/>
      <c r="O3192" s="1133"/>
      <c r="P3192" s="1115"/>
      <c r="Q3192" s="48"/>
      <c r="R3192" s="48"/>
      <c r="S3192" s="48"/>
      <c r="T3192" s="48"/>
      <c r="U3192" s="48"/>
      <c r="V3192" s="48"/>
      <c r="W3192" s="48"/>
    </row>
    <row r="3193" spans="2:23" ht="15.6" hidden="1" customHeight="1" x14ac:dyDescent="0.2">
      <c r="B3193" s="48" t="s">
        <v>2074</v>
      </c>
      <c r="C3193" s="57"/>
      <c r="E3193" s="57"/>
      <c r="I3193" s="57"/>
      <c r="J3193" s="58"/>
      <c r="K3193" s="58"/>
      <c r="N3193" s="1147"/>
      <c r="O3193" s="1133"/>
      <c r="P3193" s="1115"/>
      <c r="Q3193" s="48"/>
      <c r="R3193" s="48"/>
      <c r="S3193" s="48"/>
      <c r="T3193" s="48"/>
      <c r="U3193" s="48"/>
      <c r="V3193" s="48"/>
      <c r="W3193" s="48"/>
    </row>
    <row r="3194" spans="2:23" ht="15.6" hidden="1" customHeight="1" x14ac:dyDescent="0.2">
      <c r="B3194" s="48" t="s">
        <v>2471</v>
      </c>
      <c r="C3194" s="57"/>
      <c r="E3194" s="57"/>
      <c r="I3194" s="58">
        <v>0</v>
      </c>
      <c r="J3194" s="58"/>
      <c r="K3194" s="58"/>
      <c r="M3194" s="1134"/>
      <c r="O3194" s="1133"/>
      <c r="Q3194" s="48"/>
      <c r="R3194" s="48"/>
      <c r="S3194" s="48"/>
      <c r="T3194" s="48"/>
      <c r="U3194" s="48"/>
      <c r="V3194" s="48"/>
      <c r="W3194" s="48"/>
    </row>
    <row r="3195" spans="2:23" ht="15.6" hidden="1" customHeight="1" x14ac:dyDescent="0.2">
      <c r="B3195" s="48" t="s">
        <v>2472</v>
      </c>
      <c r="C3195" s="57"/>
      <c r="E3195" s="57"/>
      <c r="I3195" s="58">
        <v>0</v>
      </c>
      <c r="J3195" s="58"/>
      <c r="K3195" s="58"/>
      <c r="M3195" s="1134"/>
      <c r="O3195" s="1133"/>
      <c r="P3195" s="1115"/>
      <c r="Q3195" s="48"/>
      <c r="R3195" s="48"/>
      <c r="S3195" s="48"/>
      <c r="T3195" s="48"/>
      <c r="U3195" s="48"/>
      <c r="V3195" s="48"/>
      <c r="W3195" s="48"/>
    </row>
    <row r="3196" spans="2:23" ht="15.6" hidden="1" customHeight="1" x14ac:dyDescent="0.2">
      <c r="B3196" s="48" t="s">
        <v>2470</v>
      </c>
      <c r="C3196" s="57"/>
      <c r="E3196" s="57"/>
      <c r="I3196" s="58">
        <v>0</v>
      </c>
      <c r="J3196" s="58"/>
      <c r="K3196" s="58"/>
      <c r="M3196" s="1134"/>
      <c r="O3196" s="1133"/>
      <c r="Q3196" s="48"/>
      <c r="R3196" s="48"/>
      <c r="S3196" s="48"/>
      <c r="T3196" s="48"/>
      <c r="U3196" s="48"/>
      <c r="V3196" s="48"/>
      <c r="W3196" s="48"/>
    </row>
    <row r="3197" spans="2:23" ht="15.6" hidden="1" customHeight="1" x14ac:dyDescent="0.2">
      <c r="B3197" s="48" t="s">
        <v>2580</v>
      </c>
      <c r="C3197" s="57"/>
      <c r="E3197" s="57"/>
      <c r="I3197" s="58">
        <v>0</v>
      </c>
      <c r="J3197" s="58"/>
      <c r="K3197" s="58"/>
      <c r="M3197" s="1134"/>
      <c r="O3197" s="1133"/>
      <c r="P3197" s="1115"/>
      <c r="Q3197" s="48"/>
      <c r="R3197" s="48"/>
      <c r="S3197" s="48"/>
      <c r="T3197" s="48"/>
      <c r="U3197" s="48"/>
      <c r="V3197" s="48"/>
      <c r="W3197" s="48"/>
    </row>
    <row r="3198" spans="2:23" ht="15.6" hidden="1" customHeight="1" x14ac:dyDescent="0.2">
      <c r="B3198" s="48" t="s">
        <v>2722</v>
      </c>
      <c r="C3198" s="57"/>
      <c r="E3198" s="57"/>
      <c r="I3198" s="58">
        <v>0</v>
      </c>
      <c r="J3198" s="58"/>
      <c r="K3198" s="58"/>
      <c r="M3198" s="1134"/>
      <c r="O3198" s="1133"/>
      <c r="P3198" s="1115"/>
      <c r="Q3198" s="48"/>
      <c r="R3198" s="48"/>
      <c r="S3198" s="48"/>
      <c r="T3198" s="48"/>
      <c r="U3198" s="48"/>
      <c r="V3198" s="48"/>
      <c r="W3198" s="48"/>
    </row>
    <row r="3199" spans="2:23" ht="15.6" hidden="1" customHeight="1" x14ac:dyDescent="0.2">
      <c r="B3199" s="48" t="s">
        <v>2719</v>
      </c>
      <c r="C3199" s="57"/>
      <c r="E3199" s="57"/>
      <c r="I3199" s="58">
        <v>0</v>
      </c>
      <c r="J3199" s="58"/>
      <c r="K3199" s="58"/>
      <c r="M3199" s="1134"/>
      <c r="O3199" s="1133"/>
      <c r="P3199" s="1115"/>
      <c r="Q3199" s="48"/>
      <c r="R3199" s="48"/>
      <c r="S3199" s="48"/>
      <c r="T3199" s="48"/>
      <c r="U3199" s="48"/>
      <c r="V3199" s="48"/>
      <c r="W3199" s="48"/>
    </row>
    <row r="3200" spans="2:23" ht="15.6" hidden="1" customHeight="1" x14ac:dyDescent="0.2">
      <c r="B3200" s="48" t="s">
        <v>2583</v>
      </c>
      <c r="C3200" s="57"/>
      <c r="E3200" s="57"/>
      <c r="I3200" s="212">
        <v>0</v>
      </c>
      <c r="J3200" s="58"/>
      <c r="K3200" s="58">
        <f>SUM(I3193:I3200)</f>
        <v>0</v>
      </c>
      <c r="M3200" s="1134"/>
      <c r="O3200" s="1133"/>
      <c r="P3200" s="1115"/>
      <c r="Q3200" s="48"/>
      <c r="R3200" s="48"/>
      <c r="S3200" s="48"/>
      <c r="T3200" s="48"/>
      <c r="U3200" s="48"/>
      <c r="V3200" s="48"/>
      <c r="W3200" s="48"/>
    </row>
    <row r="3201" spans="2:23" ht="15.6" hidden="1" customHeight="1" x14ac:dyDescent="0.2">
      <c r="C3201" s="57"/>
      <c r="E3201" s="57"/>
      <c r="I3201" s="57"/>
      <c r="J3201" s="58"/>
      <c r="K3201" s="58"/>
      <c r="M3201" s="1134"/>
      <c r="O3201" s="1133"/>
      <c r="P3201" s="1115"/>
      <c r="Q3201" s="48"/>
      <c r="R3201" s="48"/>
      <c r="S3201" s="48"/>
      <c r="T3201" s="48"/>
      <c r="U3201" s="48"/>
      <c r="V3201" s="48"/>
      <c r="W3201" s="48"/>
    </row>
    <row r="3202" spans="2:23" ht="15.6" hidden="1" customHeight="1" x14ac:dyDescent="0.25">
      <c r="B3202" s="50" t="str">
        <f>"Restated Balances as at "&amp;Parameters!C15</f>
        <v>Restated Balances as at 30 June 2010</v>
      </c>
      <c r="C3202" s="57"/>
      <c r="E3202" s="57"/>
      <c r="I3202" s="57"/>
      <c r="J3202" s="224">
        <f>SUM(J3184:J3201)</f>
        <v>0</v>
      </c>
      <c r="K3202" s="667">
        <f>SUM(K3184:K3201)</f>
        <v>163352810</v>
      </c>
      <c r="M3202" s="1134"/>
      <c r="O3202" s="1133"/>
      <c r="P3202" s="1115"/>
      <c r="Q3202" s="48"/>
      <c r="R3202" s="48"/>
      <c r="S3202" s="48"/>
      <c r="T3202" s="48"/>
      <c r="U3202" s="48"/>
      <c r="V3202" s="48"/>
      <c r="W3202" s="48"/>
    </row>
    <row r="3203" spans="2:23" ht="15.6" customHeight="1" x14ac:dyDescent="0.2">
      <c r="C3203" s="57"/>
      <c r="E3203" s="57"/>
      <c r="I3203" s="57"/>
      <c r="J3203" s="58"/>
      <c r="K3203" s="58"/>
      <c r="M3203" s="1134"/>
      <c r="O3203" s="1133"/>
      <c r="Q3203" s="48"/>
      <c r="R3203" s="48"/>
      <c r="S3203" s="48"/>
      <c r="T3203" s="48"/>
      <c r="U3203" s="48"/>
      <c r="V3203" s="48"/>
      <c r="W3203" s="48"/>
    </row>
    <row r="3204" spans="2:23" ht="15.6" hidden="1" customHeight="1" x14ac:dyDescent="0.2">
      <c r="B3204" s="48" t="str">
        <f>"Transactions incurred for the Year "&amp;Parameters!C27</f>
        <v>Transactions incurred for the Year 2010/11</v>
      </c>
      <c r="C3204" s="57"/>
      <c r="E3204" s="57"/>
      <c r="I3204" s="57"/>
      <c r="J3204" s="58"/>
      <c r="K3204" s="58">
        <v>0</v>
      </c>
      <c r="M3204" s="1134"/>
      <c r="O3204" s="1133"/>
      <c r="P3204" s="1115"/>
      <c r="Q3204" s="48"/>
      <c r="R3204" s="48"/>
      <c r="S3204" s="48"/>
      <c r="T3204" s="48"/>
      <c r="U3204" s="48"/>
      <c r="V3204" s="48"/>
      <c r="W3204" s="48"/>
    </row>
    <row r="3205" spans="2:23" ht="15.6" customHeight="1" x14ac:dyDescent="0.2">
      <c r="B3205" s="48" t="s">
        <v>2073</v>
      </c>
      <c r="C3205" s="57"/>
      <c r="E3205" s="57"/>
      <c r="I3205" s="57"/>
      <c r="J3205" s="58"/>
      <c r="K3205" s="58"/>
      <c r="N3205" s="1147"/>
      <c r="O3205" s="1133"/>
      <c r="P3205" s="1115"/>
      <c r="Q3205" s="48"/>
      <c r="R3205" s="48"/>
      <c r="S3205" s="48"/>
      <c r="T3205" s="48"/>
      <c r="U3205" s="48"/>
      <c r="V3205" s="48"/>
      <c r="W3205" s="48"/>
    </row>
    <row r="3206" spans="2:23" ht="15.6" customHeight="1" x14ac:dyDescent="0.2">
      <c r="B3206" s="2045" t="s">
        <v>7320</v>
      </c>
      <c r="C3206" s="57"/>
      <c r="E3206" s="57"/>
      <c r="I3206" s="58">
        <f>'2012 - TB'!O729</f>
        <v>-10215500</v>
      </c>
      <c r="J3206" s="58"/>
      <c r="K3206" s="58"/>
      <c r="N3206" s="1147"/>
      <c r="O3206" s="1133"/>
      <c r="P3206" s="1115"/>
      <c r="Q3206" s="48"/>
      <c r="R3206" s="48"/>
      <c r="S3206" s="48"/>
      <c r="T3206" s="48"/>
      <c r="U3206" s="48"/>
      <c r="V3206" s="48"/>
      <c r="W3206" s="48"/>
    </row>
    <row r="3207" spans="2:23" ht="15.6" hidden="1" customHeight="1" x14ac:dyDescent="0.2">
      <c r="B3207" s="2045" t="s">
        <v>6559</v>
      </c>
      <c r="C3207" s="57"/>
      <c r="E3207" s="57"/>
      <c r="I3207" s="58"/>
      <c r="J3207" s="58"/>
      <c r="K3207" s="58"/>
      <c r="N3207" s="1147"/>
      <c r="O3207" s="1133"/>
      <c r="P3207" s="1115"/>
      <c r="Q3207" s="48"/>
      <c r="R3207" s="48"/>
      <c r="S3207" s="48"/>
      <c r="T3207" s="48"/>
      <c r="U3207" s="48"/>
      <c r="V3207" s="48"/>
      <c r="W3207" s="48"/>
    </row>
    <row r="3208" spans="2:23" ht="15.6" hidden="1" customHeight="1" x14ac:dyDescent="0.2">
      <c r="B3208" s="2045" t="s">
        <v>6499</v>
      </c>
      <c r="C3208" s="57"/>
      <c r="E3208" s="57"/>
      <c r="I3208" s="58">
        <v>0</v>
      </c>
      <c r="J3208" s="58"/>
      <c r="K3208" s="58"/>
      <c r="N3208" s="1147"/>
      <c r="O3208" s="1133"/>
      <c r="P3208" s="1115"/>
      <c r="Q3208" s="48"/>
      <c r="R3208" s="48"/>
      <c r="S3208" s="48"/>
      <c r="T3208" s="48"/>
      <c r="U3208" s="48"/>
      <c r="V3208" s="48"/>
      <c r="W3208" s="48"/>
    </row>
    <row r="3209" spans="2:23" ht="15.6" hidden="1" customHeight="1" x14ac:dyDescent="0.2">
      <c r="D3209" s="48"/>
      <c r="F3209" s="48"/>
      <c r="G3209" s="48"/>
      <c r="H3209" s="48"/>
      <c r="I3209" s="48"/>
      <c r="J3209" s="58"/>
      <c r="K3209" s="58"/>
      <c r="N3209" s="1147"/>
      <c r="O3209" s="1133"/>
      <c r="P3209" s="1115"/>
      <c r="Q3209" s="48"/>
      <c r="R3209" s="48"/>
      <c r="S3209" s="48"/>
      <c r="T3209" s="48"/>
      <c r="U3209" s="48"/>
      <c r="V3209" s="48"/>
      <c r="W3209" s="48"/>
    </row>
    <row r="3210" spans="2:23" ht="15.6" customHeight="1" x14ac:dyDescent="0.2">
      <c r="B3210" s="2045" t="s">
        <v>7319</v>
      </c>
      <c r="C3210" s="57"/>
      <c r="E3210" s="57"/>
      <c r="I3210" s="58">
        <f>-'2012 - TB'!P608</f>
        <v>9708399.0500000007</v>
      </c>
      <c r="J3210" s="58"/>
      <c r="K3210" s="58"/>
      <c r="N3210" s="1147"/>
      <c r="O3210" s="1133"/>
      <c r="P3210" s="1115"/>
      <c r="Q3210" s="48"/>
      <c r="R3210" s="48"/>
      <c r="S3210" s="48"/>
      <c r="T3210" s="48"/>
      <c r="U3210" s="48"/>
      <c r="V3210" s="48"/>
      <c r="W3210" s="48"/>
    </row>
    <row r="3211" spans="2:23" ht="15.6" customHeight="1" x14ac:dyDescent="0.2">
      <c r="B3211" s="2045" t="s">
        <v>7432</v>
      </c>
      <c r="C3211" s="57"/>
      <c r="E3211" s="57"/>
      <c r="I3211" s="58">
        <f>'Trial Balance - FPos'!C286</f>
        <v>83566</v>
      </c>
      <c r="J3211" s="58"/>
      <c r="K3211" s="58">
        <f>SUM(I3206:I3211)</f>
        <v>-423534.94999999925</v>
      </c>
      <c r="N3211" s="1147"/>
      <c r="O3211" s="1133"/>
      <c r="P3211" s="1115"/>
      <c r="Q3211" s="48"/>
      <c r="R3211" s="48"/>
      <c r="S3211" s="48"/>
      <c r="T3211" s="48"/>
      <c r="U3211" s="48"/>
      <c r="V3211" s="48"/>
      <c r="W3211" s="48"/>
    </row>
    <row r="3212" spans="2:23" ht="15.6" customHeight="1" x14ac:dyDescent="0.2">
      <c r="C3212" s="57"/>
      <c r="E3212" s="57"/>
      <c r="I3212" s="57"/>
      <c r="J3212" s="58"/>
      <c r="K3212" s="58"/>
      <c r="N3212" s="1147"/>
      <c r="O3212" s="1133"/>
      <c r="P3212" s="1115"/>
      <c r="Q3212" s="48"/>
      <c r="R3212" s="48"/>
      <c r="S3212" s="48"/>
      <c r="T3212" s="48"/>
      <c r="U3212" s="48"/>
      <c r="V3212" s="48"/>
      <c r="W3212" s="48"/>
    </row>
    <row r="3213" spans="2:23" ht="15.6" customHeight="1" x14ac:dyDescent="0.2">
      <c r="B3213" s="48" t="s">
        <v>2074</v>
      </c>
      <c r="C3213" s="57"/>
      <c r="E3213" s="57"/>
      <c r="I3213" s="58"/>
      <c r="J3213" s="58"/>
      <c r="K3213" s="58"/>
      <c r="N3213" s="1147"/>
      <c r="O3213" s="1133"/>
      <c r="P3213" s="1115"/>
    </row>
    <row r="3214" spans="2:23" ht="15.6" hidden="1" customHeight="1" x14ac:dyDescent="0.2">
      <c r="B3214" s="48" t="s">
        <v>2579</v>
      </c>
      <c r="C3214" s="57"/>
      <c r="E3214" s="57"/>
      <c r="I3214" s="58">
        <v>0</v>
      </c>
      <c r="J3214" s="58"/>
      <c r="K3214" s="58"/>
      <c r="M3214" s="1134"/>
      <c r="O3214" s="1133"/>
      <c r="P3214" s="1115"/>
    </row>
    <row r="3215" spans="2:23" ht="15.6" hidden="1" customHeight="1" x14ac:dyDescent="0.2">
      <c r="B3215" s="48" t="s">
        <v>6560</v>
      </c>
      <c r="C3215" s="57"/>
      <c r="E3215" s="57"/>
      <c r="I3215" s="58"/>
      <c r="J3215" s="58"/>
      <c r="K3215" s="58"/>
      <c r="M3215" s="1134"/>
      <c r="O3215" s="1133"/>
      <c r="P3215" s="1115"/>
    </row>
    <row r="3216" spans="2:23" ht="15.6" hidden="1" customHeight="1" x14ac:dyDescent="0.2">
      <c r="C3216" s="57"/>
      <c r="D3216" s="48"/>
      <c r="F3216" s="48"/>
      <c r="G3216" s="48"/>
      <c r="H3216" s="48"/>
      <c r="I3216" s="48"/>
      <c r="J3216" s="58"/>
      <c r="K3216" s="58"/>
      <c r="M3216" s="1134"/>
      <c r="O3216" s="1133"/>
      <c r="P3216" s="1115"/>
    </row>
    <row r="3217" spans="2:16" ht="15.6" hidden="1" customHeight="1" x14ac:dyDescent="0.2">
      <c r="B3217" s="48" t="s">
        <v>2473</v>
      </c>
      <c r="C3217" s="57"/>
      <c r="E3217" s="57"/>
      <c r="I3217" s="58">
        <v>0</v>
      </c>
      <c r="J3217" s="58"/>
      <c r="K3217" s="58"/>
      <c r="M3217" s="1134"/>
      <c r="O3217" s="1133"/>
      <c r="P3217" s="1115"/>
    </row>
    <row r="3218" spans="2:16" ht="15.6" hidden="1" customHeight="1" x14ac:dyDescent="0.2">
      <c r="B3218" s="48" t="s">
        <v>2474</v>
      </c>
      <c r="C3218" s="57"/>
      <c r="E3218" s="57"/>
      <c r="I3218" s="58">
        <v>0</v>
      </c>
      <c r="J3218" s="58"/>
      <c r="K3218" s="58"/>
      <c r="M3218" s="1134"/>
      <c r="O3218" s="1133"/>
      <c r="P3218" s="1115"/>
    </row>
    <row r="3219" spans="2:16" ht="15.6" customHeight="1" x14ac:dyDescent="0.2">
      <c r="B3219" s="2045" t="s">
        <v>7488</v>
      </c>
      <c r="C3219" s="57"/>
      <c r="E3219" s="57"/>
      <c r="I3219" s="58">
        <f>-'2012 - TB'!W608-361619</f>
        <v>166339.40000000002</v>
      </c>
      <c r="J3219" s="58"/>
      <c r="K3219" s="58"/>
      <c r="M3219" s="1134"/>
      <c r="O3219" s="1133"/>
      <c r="P3219" s="1115"/>
    </row>
    <row r="3220" spans="2:16" ht="15.6" customHeight="1" x14ac:dyDescent="0.2">
      <c r="B3220" s="2045" t="s">
        <v>7431</v>
      </c>
      <c r="C3220" s="57"/>
      <c r="E3220" s="57"/>
      <c r="I3220" s="58">
        <v>361619</v>
      </c>
      <c r="J3220" s="58"/>
      <c r="K3220" s="58"/>
      <c r="M3220" s="1134"/>
      <c r="O3220" s="1133"/>
      <c r="P3220" s="1115"/>
    </row>
    <row r="3221" spans="2:16" ht="15.6" customHeight="1" x14ac:dyDescent="0.2">
      <c r="B3221" s="2045" t="s">
        <v>7385</v>
      </c>
      <c r="C3221" s="57"/>
      <c r="E3221" s="57"/>
      <c r="I3221" s="58">
        <v>-7320.04</v>
      </c>
      <c r="J3221" s="58"/>
      <c r="K3221" s="58"/>
      <c r="M3221" s="1134"/>
      <c r="O3221" s="1133"/>
      <c r="P3221" s="1115"/>
    </row>
    <row r="3222" spans="2:16" ht="15.6" customHeight="1" x14ac:dyDescent="0.2">
      <c r="B3222" s="2045" t="s">
        <v>8140</v>
      </c>
      <c r="C3222" s="57"/>
      <c r="E3222" s="57"/>
      <c r="I3222" s="58">
        <v>-1402051.14</v>
      </c>
      <c r="J3222" s="58"/>
      <c r="K3222" s="58"/>
      <c r="M3222" s="1134"/>
      <c r="O3222" s="1133"/>
      <c r="P3222" s="1115"/>
    </row>
    <row r="3223" spans="2:16" ht="15.6" customHeight="1" x14ac:dyDescent="0.2">
      <c r="B3223" s="2045" t="s">
        <v>8141</v>
      </c>
      <c r="C3223" s="57"/>
      <c r="E3223" s="57"/>
      <c r="I3223" s="58">
        <v>-513729.96</v>
      </c>
      <c r="J3223" s="58"/>
      <c r="K3223" s="58"/>
      <c r="M3223" s="1134"/>
      <c r="O3223" s="1133"/>
      <c r="P3223" s="1115"/>
    </row>
    <row r="3224" spans="2:16" ht="15.6" customHeight="1" x14ac:dyDescent="0.2">
      <c r="B3224" s="2045" t="s">
        <v>7423</v>
      </c>
      <c r="C3224" s="57"/>
      <c r="E3224" s="57"/>
      <c r="I3224" s="58">
        <v>5135150</v>
      </c>
      <c r="J3224" s="58"/>
      <c r="K3224" s="58"/>
      <c r="M3224" s="1134"/>
      <c r="O3224" s="1133"/>
      <c r="P3224" s="1115"/>
    </row>
    <row r="3225" spans="2:16" ht="15.6" customHeight="1" x14ac:dyDescent="0.2">
      <c r="B3225" s="2045" t="s">
        <v>7424</v>
      </c>
      <c r="C3225" s="57"/>
      <c r="E3225" s="57"/>
      <c r="I3225" s="58">
        <f>5782835.65-2752135.2-2032377.82+5113616</f>
        <v>6111938.6299999999</v>
      </c>
      <c r="J3225" s="58"/>
      <c r="K3225" s="58"/>
      <c r="M3225" s="1134"/>
      <c r="O3225" s="1133"/>
      <c r="P3225" s="1115"/>
    </row>
    <row r="3226" spans="2:16" ht="15.6" customHeight="1" x14ac:dyDescent="0.2">
      <c r="B3226" s="2045" t="s">
        <v>7430</v>
      </c>
      <c r="C3226" s="57"/>
      <c r="E3226" s="57"/>
      <c r="I3226" s="58">
        <v>1780205</v>
      </c>
      <c r="J3226" s="58"/>
      <c r="K3226" s="58"/>
      <c r="M3226" s="1134"/>
      <c r="O3226" s="1133"/>
      <c r="P3226" s="1115"/>
    </row>
    <row r="3227" spans="2:16" ht="15.6" customHeight="1" x14ac:dyDescent="0.2">
      <c r="B3227" s="2045" t="s">
        <v>7480</v>
      </c>
      <c r="C3227" s="57"/>
      <c r="E3227" s="57"/>
      <c r="I3227" s="58">
        <v>-1357259.82</v>
      </c>
      <c r="J3227" s="58"/>
      <c r="K3227" s="58"/>
      <c r="M3227" s="1134"/>
      <c r="O3227" s="1133"/>
      <c r="P3227" s="1115"/>
    </row>
    <row r="3228" spans="2:16" ht="15.6" customHeight="1" x14ac:dyDescent="0.2">
      <c r="B3228" s="2045" t="s">
        <v>7481</v>
      </c>
      <c r="C3228" s="57"/>
      <c r="E3228" s="57"/>
      <c r="I3228" s="58">
        <f>-(15563008.32+I3227)</f>
        <v>-14205748.5</v>
      </c>
      <c r="J3228" s="58"/>
      <c r="K3228" s="58"/>
      <c r="M3228" s="1134"/>
      <c r="O3228" s="1133"/>
      <c r="P3228" s="1115"/>
    </row>
    <row r="3229" spans="2:16" ht="15.6" customHeight="1" x14ac:dyDescent="0.2">
      <c r="B3229" s="2045" t="s">
        <v>7429</v>
      </c>
      <c r="C3229" s="57"/>
      <c r="E3229" s="57"/>
      <c r="I3229" s="58">
        <v>-10665500</v>
      </c>
      <c r="J3229" s="58"/>
      <c r="K3229" s="58"/>
      <c r="M3229" s="1134"/>
      <c r="O3229" s="1133"/>
      <c r="P3229" s="1115"/>
    </row>
    <row r="3230" spans="2:16" ht="15.6" customHeight="1" x14ac:dyDescent="0.2">
      <c r="B3230" s="2045" t="s">
        <v>7443</v>
      </c>
      <c r="C3230" s="57"/>
      <c r="E3230" s="57"/>
      <c r="I3230" s="58">
        <f>4488394-483384.44-2614488.13+727790</f>
        <v>2118311.4300000002</v>
      </c>
      <c r="J3230" s="58"/>
      <c r="K3230" s="58"/>
      <c r="M3230" s="1134"/>
      <c r="O3230" s="1133"/>
      <c r="P3230" s="1115"/>
    </row>
    <row r="3231" spans="2:16" ht="15.6" customHeight="1" x14ac:dyDescent="0.2">
      <c r="B3231" s="2045" t="s">
        <v>8150</v>
      </c>
      <c r="C3231" s="57"/>
      <c r="E3231" s="57"/>
      <c r="I3231" s="58">
        <v>4215670</v>
      </c>
      <c r="J3231" s="58"/>
      <c r="K3231" s="58"/>
      <c r="M3231" s="1134"/>
      <c r="O3231" s="1133"/>
      <c r="P3231" s="1115"/>
    </row>
    <row r="3232" spans="2:16" ht="15.6" customHeight="1" x14ac:dyDescent="0.2">
      <c r="B3232" s="2045" t="s">
        <v>7520</v>
      </c>
      <c r="C3232" s="57"/>
      <c r="E3232" s="57"/>
      <c r="I3232" s="58">
        <f>'2012 - TB'!AV700</f>
        <v>534123.09</v>
      </c>
      <c r="J3232" s="58"/>
      <c r="K3232" s="58"/>
      <c r="M3232" s="1134"/>
      <c r="O3232" s="1133"/>
      <c r="P3232" s="1115"/>
    </row>
    <row r="3233" spans="1:23" ht="15.6" customHeight="1" x14ac:dyDescent="0.2">
      <c r="B3233" s="2045" t="s">
        <v>7473</v>
      </c>
      <c r="C3233" s="57"/>
      <c r="E3233" s="57"/>
      <c r="I3233" s="59">
        <f>-'2012 - TB'!AV608-I3234-I3232-'2012 - TB'!BI608-'2012 - TB'!BK608-I3231</f>
        <v>171385662.02000001</v>
      </c>
      <c r="J3233" s="58"/>
      <c r="K3233" s="58"/>
      <c r="M3233" s="1134"/>
      <c r="O3233" s="1133"/>
      <c r="P3233" s="1115"/>
    </row>
    <row r="3234" spans="1:23" ht="15.6" customHeight="1" x14ac:dyDescent="0.2">
      <c r="B3234" s="2045" t="s">
        <v>7485</v>
      </c>
      <c r="C3234" s="57"/>
      <c r="E3234" s="57"/>
      <c r="I3234" s="58">
        <f>-K2735</f>
        <v>-21078163.109999999</v>
      </c>
      <c r="J3234" s="58"/>
      <c r="K3234" s="58"/>
      <c r="M3234" s="1134"/>
      <c r="O3234" s="1133"/>
      <c r="P3234" s="1115"/>
    </row>
    <row r="3235" spans="1:23" ht="15.6" customHeight="1" x14ac:dyDescent="0.2">
      <c r="B3235" s="2045" t="s">
        <v>7682</v>
      </c>
      <c r="C3235" s="57"/>
      <c r="E3235" s="57"/>
      <c r="I3235" s="58">
        <v>-3166348.76</v>
      </c>
      <c r="J3235" s="58"/>
      <c r="K3235" s="58"/>
      <c r="M3235" s="1134"/>
      <c r="O3235" s="1133"/>
      <c r="P3235" s="1115"/>
    </row>
    <row r="3236" spans="1:23" ht="15.6" customHeight="1" x14ac:dyDescent="0.2">
      <c r="B3236" s="2045" t="s">
        <v>7506</v>
      </c>
      <c r="C3236" s="960"/>
      <c r="D3236" s="960"/>
      <c r="E3236" s="960"/>
      <c r="F3236" s="960"/>
      <c r="G3236" s="960"/>
      <c r="H3236" s="960"/>
      <c r="I3236" s="58">
        <v>875692.23</v>
      </c>
      <c r="J3236" s="58"/>
      <c r="K3236" s="58">
        <f>SUM(I3213:I3236)</f>
        <v>140288589.47</v>
      </c>
      <c r="M3236" s="1134"/>
      <c r="O3236" s="1133"/>
      <c r="P3236" s="1115"/>
    </row>
    <row r="3237" spans="1:23" ht="15.6" customHeight="1" x14ac:dyDescent="0.25">
      <c r="C3237" s="219"/>
      <c r="E3237" s="219"/>
      <c r="G3237" s="219"/>
      <c r="I3237" s="219"/>
      <c r="J3237" s="58"/>
      <c r="K3237" s="58"/>
      <c r="M3237" s="1134"/>
      <c r="O3237" s="1133"/>
      <c r="P3237" s="1115"/>
    </row>
    <row r="3238" spans="1:23" ht="15.6" customHeight="1" thickBot="1" x14ac:dyDescent="0.3">
      <c r="B3238" s="50" t="str">
        <f>"Restated Balances as at "&amp;Parameters!C13</f>
        <v>Restated Balances as at 30 June 2011</v>
      </c>
      <c r="C3238" s="57"/>
      <c r="E3238" s="57"/>
      <c r="I3238" s="57"/>
      <c r="K3238" s="204">
        <f>SUM(K3202:K3237)</f>
        <v>303217864.51999998</v>
      </c>
      <c r="N3238" s="1147"/>
      <c r="O3238" s="1133"/>
      <c r="P3238" s="1115"/>
    </row>
    <row r="3239" spans="1:23" ht="15.6" customHeight="1" thickTop="1" x14ac:dyDescent="0.2">
      <c r="C3239" s="57"/>
      <c r="E3239" s="57"/>
      <c r="I3239" s="57"/>
      <c r="J3239" s="57"/>
      <c r="K3239" s="2550">
        <f>K3238-'Trial Balance - FPos'!C12</f>
        <v>0</v>
      </c>
      <c r="N3239" s="1147"/>
      <c r="O3239" s="1133"/>
      <c r="P3239" s="1115"/>
    </row>
    <row r="3240" spans="1:23" ht="15.6" customHeight="1" x14ac:dyDescent="0.25">
      <c r="B3240" s="50" t="s">
        <v>2484</v>
      </c>
      <c r="I3240" s="270"/>
      <c r="J3240" s="270"/>
      <c r="K3240" s="270"/>
      <c r="N3240" s="1147"/>
      <c r="O3240" s="1146"/>
    </row>
    <row r="3241" spans="1:23" ht="15.6" customHeight="1" x14ac:dyDescent="0.2">
      <c r="A3241" s="201"/>
      <c r="B3241" s="2861" t="s">
        <v>2549</v>
      </c>
      <c r="C3241" s="2861"/>
      <c r="D3241" s="2861"/>
      <c r="E3241" s="2861"/>
      <c r="F3241" s="2861"/>
      <c r="G3241" s="2861"/>
      <c r="H3241" s="2861"/>
      <c r="I3241" s="2861"/>
      <c r="J3241" s="2861"/>
      <c r="K3241" s="2861"/>
      <c r="L3241" s="201"/>
      <c r="M3241" s="1482"/>
      <c r="N3241" s="1147"/>
      <c r="O3241" s="1146"/>
      <c r="P3241" s="1115"/>
    </row>
    <row r="3242" spans="1:23" ht="15.6" customHeight="1" x14ac:dyDescent="0.2">
      <c r="I3242" s="270"/>
      <c r="J3242" s="270"/>
      <c r="K3242" s="270"/>
      <c r="N3242" s="1147"/>
      <c r="O3242" s="1146"/>
      <c r="P3242" s="1115"/>
    </row>
    <row r="3243" spans="1:23" ht="15.6" customHeight="1" x14ac:dyDescent="0.2">
      <c r="B3243" s="671" t="s">
        <v>7586</v>
      </c>
      <c r="C3243" s="672"/>
      <c r="D3243" s="672"/>
      <c r="E3243" s="672"/>
      <c r="F3243" s="672"/>
      <c r="I3243" s="270"/>
      <c r="J3243" s="270"/>
      <c r="K3243" s="270"/>
      <c r="M3243" s="1133"/>
      <c r="N3243" s="1147"/>
      <c r="O3243" s="1146"/>
      <c r="P3243" s="1115"/>
      <c r="W3243" s="1114" t="s">
        <v>3857</v>
      </c>
    </row>
    <row r="3244" spans="1:23" ht="15.6" customHeight="1" x14ac:dyDescent="0.2">
      <c r="B3244" s="671" t="s">
        <v>6500</v>
      </c>
      <c r="C3244" s="672"/>
      <c r="D3244" s="672"/>
      <c r="E3244" s="672"/>
      <c r="F3244" s="672"/>
      <c r="I3244" s="270"/>
      <c r="J3244" s="270"/>
      <c r="K3244" s="270"/>
      <c r="M3244" s="1133"/>
      <c r="N3244" s="1147"/>
      <c r="O3244" s="1146"/>
    </row>
    <row r="3245" spans="1:23" ht="15.6" customHeight="1" x14ac:dyDescent="0.2">
      <c r="I3245" s="58"/>
      <c r="J3245" s="58"/>
      <c r="K3245" s="58"/>
      <c r="M3245" s="1133"/>
      <c r="N3245" s="1147"/>
      <c r="O3245" s="1146"/>
    </row>
    <row r="3246" spans="1:23" ht="46.5" customHeight="1" x14ac:dyDescent="0.2">
      <c r="A3246" s="201"/>
      <c r="B3246" s="2861" t="s">
        <v>2557</v>
      </c>
      <c r="C3246" s="2861"/>
      <c r="D3246" s="2861"/>
      <c r="E3246" s="2861"/>
      <c r="F3246" s="2861"/>
      <c r="G3246" s="2861"/>
      <c r="H3246" s="2861"/>
      <c r="I3246" s="2861"/>
      <c r="J3246" s="2861"/>
      <c r="K3246" s="2861"/>
      <c r="L3246" s="201"/>
      <c r="M3246" s="1482"/>
      <c r="N3246" s="1147"/>
      <c r="O3246" s="1146"/>
      <c r="Q3246" s="48"/>
      <c r="R3246" s="48"/>
      <c r="S3246" s="48"/>
      <c r="T3246" s="48"/>
      <c r="U3246" s="48"/>
      <c r="V3246" s="48"/>
      <c r="W3246" s="48"/>
    </row>
    <row r="3247" spans="1:23" ht="15.6" customHeight="1" x14ac:dyDescent="0.2">
      <c r="I3247" s="58"/>
      <c r="J3247" s="58"/>
      <c r="K3247" s="58"/>
      <c r="L3247" s="59"/>
      <c r="M3247" s="1133"/>
      <c r="N3247" s="1147"/>
      <c r="O3247" s="1146"/>
      <c r="P3247" s="1115"/>
      <c r="Q3247" s="48"/>
      <c r="R3247" s="48"/>
      <c r="S3247" s="48"/>
      <c r="T3247" s="48"/>
      <c r="U3247" s="48"/>
      <c r="V3247" s="48"/>
      <c r="W3247" s="48"/>
    </row>
    <row r="3248" spans="1:23" ht="15.6" customHeight="1" x14ac:dyDescent="0.25">
      <c r="B3248" s="50" t="s">
        <v>1303</v>
      </c>
      <c r="I3248" s="58"/>
      <c r="J3248" s="58"/>
      <c r="K3248" s="58"/>
      <c r="M3248" s="1133"/>
      <c r="N3248" s="1147"/>
      <c r="O3248" s="1146"/>
      <c r="Q3248" s="48"/>
      <c r="R3248" s="48"/>
      <c r="S3248" s="48"/>
      <c r="T3248" s="48"/>
      <c r="U3248" s="48"/>
      <c r="V3248" s="48"/>
      <c r="W3248" s="48"/>
    </row>
    <row r="3249" spans="2:23" ht="15.6" customHeight="1" x14ac:dyDescent="0.2">
      <c r="I3249" s="58"/>
      <c r="J3249" s="58"/>
      <c r="K3249" s="58"/>
      <c r="Q3249" s="48"/>
      <c r="R3249" s="48"/>
      <c r="S3249" s="48"/>
      <c r="T3249" s="48"/>
      <c r="U3249" s="48"/>
      <c r="V3249" s="48"/>
      <c r="W3249" s="48"/>
    </row>
    <row r="3250" spans="2:23" ht="15.6" customHeight="1" x14ac:dyDescent="0.25">
      <c r="C3250" s="57"/>
      <c r="E3250" s="266" t="s">
        <v>1874</v>
      </c>
      <c r="G3250" s="266" t="s">
        <v>2550</v>
      </c>
      <c r="H3250" s="48"/>
      <c r="I3250" s="266" t="s">
        <v>1874</v>
      </c>
      <c r="J3250" s="57"/>
      <c r="K3250" s="266" t="s">
        <v>2552</v>
      </c>
      <c r="M3250" s="1133"/>
      <c r="N3250" s="1147"/>
      <c r="O3250" s="1146"/>
      <c r="P3250" s="1115"/>
      <c r="Q3250" s="48"/>
      <c r="R3250" s="48"/>
      <c r="S3250" s="48"/>
      <c r="T3250" s="48"/>
      <c r="U3250" s="48"/>
      <c r="V3250" s="48"/>
      <c r="W3250" s="48"/>
    </row>
    <row r="3251" spans="2:23" ht="15.6" customHeight="1" x14ac:dyDescent="0.25">
      <c r="C3251" s="57"/>
      <c r="E3251" s="266" t="s">
        <v>2550</v>
      </c>
      <c r="G3251" s="266" t="s">
        <v>1436</v>
      </c>
      <c r="H3251" s="48"/>
      <c r="I3251" s="266" t="s">
        <v>2552</v>
      </c>
      <c r="J3251" s="57"/>
      <c r="K3251" s="266" t="s">
        <v>1436</v>
      </c>
      <c r="M3251" s="232" t="s">
        <v>1879</v>
      </c>
      <c r="N3251" s="1147"/>
      <c r="O3251" s="1146"/>
      <c r="P3251" s="1115"/>
      <c r="Q3251" s="48"/>
      <c r="R3251" s="48"/>
      <c r="S3251" s="48"/>
      <c r="T3251" s="48"/>
      <c r="U3251" s="48"/>
      <c r="V3251" s="48"/>
      <c r="W3251" s="48"/>
    </row>
    <row r="3252" spans="2:23" ht="15.6" customHeight="1" x14ac:dyDescent="0.25">
      <c r="C3252" s="57"/>
      <c r="E3252" s="266" t="s">
        <v>2551</v>
      </c>
      <c r="G3252" s="266" t="s">
        <v>2556</v>
      </c>
      <c r="H3252" s="48"/>
      <c r="I3252" s="266" t="s">
        <v>2551</v>
      </c>
      <c r="J3252" s="57"/>
      <c r="K3252" s="266" t="s">
        <v>2556</v>
      </c>
      <c r="M3252" s="232"/>
      <c r="N3252" s="1147"/>
      <c r="O3252" s="1146"/>
      <c r="P3252" s="1115"/>
      <c r="Q3252" s="48"/>
      <c r="R3252" s="48"/>
      <c r="S3252" s="48"/>
      <c r="T3252" s="48"/>
      <c r="U3252" s="48"/>
      <c r="V3252" s="48"/>
      <c r="W3252" s="48"/>
    </row>
    <row r="3253" spans="2:23" ht="15.6" customHeight="1" x14ac:dyDescent="0.2">
      <c r="C3253" s="57"/>
      <c r="E3253" s="58"/>
      <c r="G3253" s="58"/>
      <c r="H3253" s="48"/>
      <c r="I3253" s="58"/>
      <c r="J3253" s="57"/>
      <c r="K3253" s="58"/>
      <c r="M3253" s="1133"/>
      <c r="N3253" s="1147"/>
      <c r="O3253" s="1146"/>
      <c r="P3253" s="1115"/>
      <c r="Q3253" s="48"/>
      <c r="R3253" s="48"/>
      <c r="S3253" s="48"/>
      <c r="T3253" s="48"/>
      <c r="U3253" s="48"/>
      <c r="V3253" s="48"/>
      <c r="W3253" s="48"/>
    </row>
    <row r="3254" spans="2:23" ht="15.6" customHeight="1" x14ac:dyDescent="0.25">
      <c r="B3254" s="50" t="str">
        <f>"Balances published as at "&amp;Parameters!C15</f>
        <v>Balances published as at 30 June 2010</v>
      </c>
      <c r="C3254" s="57"/>
      <c r="E3254" s="224">
        <v>59504915</v>
      </c>
      <c r="G3254" s="224">
        <v>-45661072</v>
      </c>
      <c r="H3254" s="48"/>
      <c r="I3254" s="224">
        <v>0</v>
      </c>
      <c r="J3254" s="57"/>
      <c r="K3254" s="224">
        <v>0</v>
      </c>
      <c r="M3254" s="1133"/>
      <c r="N3254" s="1147"/>
      <c r="O3254" s="1146"/>
      <c r="Q3254" s="48"/>
      <c r="R3254" s="48"/>
      <c r="S3254" s="48"/>
      <c r="T3254" s="48"/>
      <c r="U3254" s="48"/>
      <c r="V3254" s="48"/>
      <c r="W3254" s="48"/>
    </row>
    <row r="3255" spans="2:23" ht="15.6" customHeight="1" x14ac:dyDescent="0.2">
      <c r="B3255" s="48" t="s">
        <v>2553</v>
      </c>
      <c r="C3255" s="57"/>
      <c r="E3255" s="58">
        <v>-4676435</v>
      </c>
      <c r="G3255" s="58">
        <v>0</v>
      </c>
      <c r="H3255" s="48"/>
      <c r="I3255" s="58">
        <f>-E3255</f>
        <v>4676435</v>
      </c>
      <c r="J3255" s="57"/>
      <c r="K3255" s="58">
        <f>-G3255</f>
        <v>0</v>
      </c>
      <c r="M3255" s="1133"/>
      <c r="O3255" s="1146"/>
      <c r="Q3255" s="48"/>
      <c r="R3255" s="48"/>
      <c r="S3255" s="48"/>
      <c r="T3255" s="48"/>
      <c r="U3255" s="48"/>
      <c r="V3255" s="48"/>
      <c r="W3255" s="48"/>
    </row>
    <row r="3256" spans="2:23" ht="15.6" customHeight="1" x14ac:dyDescent="0.2">
      <c r="C3256" s="57"/>
      <c r="E3256" s="212"/>
      <c r="G3256" s="212"/>
      <c r="H3256" s="48"/>
      <c r="I3256" s="212"/>
      <c r="J3256" s="57"/>
      <c r="K3256" s="212"/>
      <c r="M3256" s="1133"/>
      <c r="O3256" s="1146"/>
      <c r="Q3256" s="48"/>
      <c r="R3256" s="48"/>
      <c r="S3256" s="48"/>
      <c r="T3256" s="48"/>
      <c r="U3256" s="48"/>
      <c r="V3256" s="48"/>
      <c r="W3256" s="48"/>
    </row>
    <row r="3257" spans="2:23" ht="15.6" customHeight="1" x14ac:dyDescent="0.25">
      <c r="B3257" s="50" t="str">
        <f>"Restated Balances as at "&amp;Parameters!C15</f>
        <v>Restated Balances as at 30 June 2010</v>
      </c>
      <c r="C3257" s="57"/>
      <c r="E3257" s="667">
        <f>SUM(E3254:E3256)</f>
        <v>54828480</v>
      </c>
      <c r="G3257" s="667">
        <f>SUM(G3254:G3256)</f>
        <v>-45661072</v>
      </c>
      <c r="H3257" s="48"/>
      <c r="I3257" s="667">
        <f>SUM(I3254:I3256)</f>
        <v>4676435</v>
      </c>
      <c r="J3257" s="57"/>
      <c r="K3257" s="667">
        <f>SUM(K3254:K3256)</f>
        <v>0</v>
      </c>
      <c r="M3257" s="1133"/>
      <c r="O3257" s="1146"/>
      <c r="Q3257" s="48"/>
      <c r="R3257" s="48"/>
      <c r="S3257" s="48"/>
      <c r="T3257" s="48"/>
      <c r="U3257" s="48"/>
      <c r="V3257" s="48"/>
      <c r="W3257" s="48"/>
    </row>
    <row r="3258" spans="2:23" ht="15.6" customHeight="1" x14ac:dyDescent="0.2">
      <c r="C3258" s="57"/>
      <c r="E3258" s="58"/>
      <c r="G3258" s="58"/>
      <c r="H3258" s="48"/>
      <c r="I3258" s="58"/>
      <c r="J3258" s="57"/>
      <c r="K3258" s="58"/>
      <c r="M3258" s="1133"/>
      <c r="O3258" s="1146"/>
      <c r="Q3258" s="48"/>
      <c r="R3258" s="48"/>
      <c r="S3258" s="48"/>
      <c r="T3258" s="48"/>
      <c r="U3258" s="48"/>
      <c r="V3258" s="48"/>
      <c r="W3258" s="48"/>
    </row>
    <row r="3259" spans="2:23" ht="15.6" customHeight="1" x14ac:dyDescent="0.2">
      <c r="B3259" s="48" t="s">
        <v>2227</v>
      </c>
      <c r="C3259" s="57"/>
      <c r="E3259" s="58"/>
      <c r="G3259" s="58"/>
      <c r="H3259" s="48"/>
      <c r="I3259" s="58"/>
      <c r="J3259" s="57"/>
      <c r="K3259" s="58"/>
      <c r="M3259" s="1133"/>
      <c r="O3259" s="1146"/>
      <c r="Q3259" s="48"/>
      <c r="R3259" s="48"/>
      <c r="S3259" s="48"/>
      <c r="T3259" s="48"/>
      <c r="U3259" s="48"/>
      <c r="V3259" s="48"/>
      <c r="W3259" s="48"/>
    </row>
    <row r="3260" spans="2:23" ht="15.6" customHeight="1" x14ac:dyDescent="0.2">
      <c r="B3260" s="48" t="s">
        <v>2554</v>
      </c>
      <c r="C3260" s="57"/>
      <c r="E3260" s="58">
        <f>51947100-59504914</f>
        <v>-7557814</v>
      </c>
      <c r="G3260" s="58">
        <f>-42166845+45661071</f>
        <v>3494226</v>
      </c>
      <c r="H3260" s="48"/>
      <c r="I3260" s="58">
        <v>0</v>
      </c>
      <c r="J3260" s="57"/>
      <c r="K3260" s="58">
        <v>0</v>
      </c>
      <c r="M3260" s="1133"/>
      <c r="O3260" s="1146"/>
      <c r="Q3260" s="48"/>
      <c r="R3260" s="48"/>
      <c r="S3260" s="48"/>
      <c r="T3260" s="48"/>
      <c r="U3260" s="48"/>
      <c r="V3260" s="48"/>
      <c r="W3260" s="48"/>
    </row>
    <row r="3261" spans="2:23" ht="15.6" customHeight="1" x14ac:dyDescent="0.2">
      <c r="B3261" s="48" t="s">
        <v>2555</v>
      </c>
      <c r="C3261" s="57"/>
      <c r="E3261" s="58">
        <v>549854</v>
      </c>
      <c r="G3261" s="58">
        <v>0</v>
      </c>
      <c r="H3261" s="48"/>
      <c r="I3261" s="58">
        <f>-E3261</f>
        <v>-549854</v>
      </c>
      <c r="J3261" s="57"/>
      <c r="K3261" s="58">
        <f>-G3261</f>
        <v>0</v>
      </c>
      <c r="M3261" s="1133"/>
      <c r="O3261" s="1146"/>
      <c r="Q3261" s="48"/>
      <c r="R3261" s="48"/>
      <c r="S3261" s="48"/>
      <c r="T3261" s="48"/>
      <c r="U3261" s="48"/>
      <c r="V3261" s="48"/>
      <c r="W3261" s="48"/>
    </row>
    <row r="3262" spans="2:23" ht="15.6" customHeight="1" x14ac:dyDescent="0.25">
      <c r="C3262" s="219"/>
      <c r="E3262" s="58"/>
      <c r="G3262" s="58"/>
      <c r="H3262" s="48"/>
      <c r="I3262" s="58"/>
      <c r="J3262" s="57"/>
      <c r="K3262" s="58"/>
      <c r="M3262" s="1133"/>
      <c r="O3262" s="1146"/>
    </row>
    <row r="3263" spans="2:23" ht="15.6" customHeight="1" thickBot="1" x14ac:dyDescent="0.3">
      <c r="B3263" s="50" t="str">
        <f>"Restated Balances as at "&amp;Parameters!C13</f>
        <v>Restated Balances as at 30 June 2011</v>
      </c>
      <c r="C3263" s="57"/>
      <c r="E3263" s="204">
        <f>SUM(E3257:E3262)</f>
        <v>47820520</v>
      </c>
      <c r="G3263" s="204">
        <f>SUM(G3257:G3262)</f>
        <v>-42166846</v>
      </c>
      <c r="H3263" s="48"/>
      <c r="I3263" s="204">
        <f>SUM(I3257:I3262)</f>
        <v>4126581</v>
      </c>
      <c r="J3263" s="57"/>
      <c r="K3263" s="204">
        <f>SUM(K3257:K3262)</f>
        <v>0</v>
      </c>
      <c r="M3263" s="1133"/>
      <c r="N3263" s="1147"/>
      <c r="O3263" s="1146"/>
    </row>
    <row r="3264" spans="2:23" ht="15.6" customHeight="1" thickTop="1" x14ac:dyDescent="0.2">
      <c r="C3264" s="57"/>
      <c r="E3264" s="2107">
        <f>E3263-'Notes I'!G127</f>
        <v>-369451.14999999851</v>
      </c>
      <c r="G3264" s="2107">
        <f>G3263+'Notes I'!I127</f>
        <v>136175.83728482574</v>
      </c>
      <c r="H3264" s="48"/>
      <c r="I3264" s="2107">
        <f>I3263-'Notes I'!G465</f>
        <v>0.5</v>
      </c>
      <c r="J3264" s="57"/>
      <c r="K3264" s="265">
        <f>K3263+'Notes I'!I465</f>
        <v>0</v>
      </c>
      <c r="M3264" s="1133"/>
      <c r="N3264" s="1147"/>
      <c r="O3264" s="1146"/>
    </row>
    <row r="3265" spans="1:23" ht="15.6" customHeight="1" x14ac:dyDescent="0.2">
      <c r="B3265" s="671" t="s">
        <v>7587</v>
      </c>
      <c r="C3265" s="672"/>
      <c r="D3265" s="672"/>
      <c r="E3265" s="672"/>
      <c r="F3265" s="672"/>
      <c r="I3265" s="270"/>
      <c r="J3265" s="270"/>
      <c r="K3265" s="270"/>
      <c r="M3265" s="1133"/>
      <c r="N3265" s="1147"/>
      <c r="O3265" s="1133"/>
      <c r="W3265" s="1114" t="s">
        <v>3857</v>
      </c>
    </row>
    <row r="3266" spans="1:23" ht="15.6" hidden="1" customHeight="1" x14ac:dyDescent="0.25">
      <c r="A3266" s="1177"/>
      <c r="B3266" s="2842" t="s">
        <v>4046</v>
      </c>
      <c r="C3266" s="2843"/>
      <c r="D3266" s="2843"/>
      <c r="E3266" s="2843"/>
      <c r="F3266" s="2843"/>
      <c r="G3266" s="2843"/>
      <c r="H3266" s="2843"/>
      <c r="I3266" s="2843"/>
      <c r="J3266" s="2843"/>
      <c r="K3266" s="2843"/>
      <c r="L3266" s="980"/>
      <c r="M3266" s="1133"/>
      <c r="N3266" s="1133"/>
      <c r="O3266" s="1133"/>
      <c r="P3266" s="1097"/>
      <c r="Q3266" s="1098"/>
      <c r="R3266" s="1097"/>
      <c r="S3266" s="1098"/>
      <c r="T3266" s="1097"/>
      <c r="U3266" s="1098"/>
    </row>
    <row r="3267" spans="1:23" ht="15.6" customHeight="1" x14ac:dyDescent="0.2">
      <c r="I3267" s="58"/>
      <c r="J3267" s="58"/>
      <c r="K3267" s="58"/>
      <c r="M3267" s="1133"/>
      <c r="N3267" s="1147"/>
      <c r="O3267" s="1133"/>
    </row>
    <row r="3268" spans="1:23" ht="46.5" customHeight="1" x14ac:dyDescent="0.2">
      <c r="A3268" s="201"/>
      <c r="B3268" s="2861" t="s">
        <v>7305</v>
      </c>
      <c r="C3268" s="2861"/>
      <c r="D3268" s="2861"/>
      <c r="E3268" s="2861"/>
      <c r="F3268" s="2861"/>
      <c r="G3268" s="2861"/>
      <c r="H3268" s="2861"/>
      <c r="I3268" s="2861"/>
      <c r="J3268" s="2861"/>
      <c r="K3268" s="2861"/>
      <c r="L3268" s="201"/>
      <c r="M3268" s="1482"/>
      <c r="N3268" s="1147"/>
      <c r="O3268" s="1146"/>
    </row>
    <row r="3269" spans="1:23" ht="15.6" customHeight="1" x14ac:dyDescent="0.2">
      <c r="I3269" s="270"/>
      <c r="J3269" s="270"/>
      <c r="K3269" s="270"/>
      <c r="N3269" s="1147"/>
      <c r="O3269" s="1146"/>
    </row>
    <row r="3270" spans="1:23" ht="15.6" customHeight="1" x14ac:dyDescent="0.25">
      <c r="C3270" s="2941" t="s">
        <v>2365</v>
      </c>
      <c r="D3270" s="2941"/>
      <c r="E3270" s="2941"/>
      <c r="G3270" s="266" t="s">
        <v>497</v>
      </c>
      <c r="I3270" s="266" t="s">
        <v>2363</v>
      </c>
      <c r="J3270" s="57"/>
      <c r="K3270" s="266" t="s">
        <v>2362</v>
      </c>
      <c r="M3270" s="1133"/>
      <c r="N3270" s="1147"/>
      <c r="O3270" s="1133"/>
    </row>
    <row r="3271" spans="1:23" ht="15.6" customHeight="1" x14ac:dyDescent="0.25">
      <c r="C3271" s="2941" t="s">
        <v>2366</v>
      </c>
      <c r="D3271" s="2941"/>
      <c r="E3271" s="2941"/>
      <c r="G3271" s="266" t="s">
        <v>2364</v>
      </c>
      <c r="I3271" s="266" t="s">
        <v>261</v>
      </c>
      <c r="J3271" s="57"/>
      <c r="K3271" s="266" t="s">
        <v>261</v>
      </c>
      <c r="M3271" s="1133"/>
      <c r="N3271" s="1147"/>
      <c r="O3271" s="1133"/>
    </row>
    <row r="3272" spans="1:23" ht="15.6" customHeight="1" x14ac:dyDescent="0.2">
      <c r="I3272" s="58"/>
      <c r="J3272" s="58"/>
      <c r="K3272" s="58"/>
      <c r="M3272" s="1133"/>
      <c r="N3272" s="1147"/>
      <c r="O3272" s="1133"/>
    </row>
    <row r="3273" spans="1:23" ht="15.6" customHeight="1" x14ac:dyDescent="0.25">
      <c r="B3273" s="50" t="s">
        <v>1155</v>
      </c>
      <c r="I3273" s="58"/>
      <c r="J3273" s="200"/>
      <c r="K3273" s="58"/>
      <c r="N3273" s="1147"/>
      <c r="O3273" s="1146"/>
    </row>
    <row r="3274" spans="1:23" ht="15.6" customHeight="1" x14ac:dyDescent="0.25">
      <c r="B3274" s="50" t="s">
        <v>1450</v>
      </c>
      <c r="I3274" s="58"/>
      <c r="J3274" s="200"/>
      <c r="K3274" s="58"/>
      <c r="N3274" s="1147"/>
      <c r="O3274" s="1146"/>
    </row>
    <row r="3275" spans="1:23" ht="15.6" hidden="1" customHeight="1" x14ac:dyDescent="0.25">
      <c r="B3275" s="2046" t="s">
        <v>165</v>
      </c>
      <c r="C3275" s="2046" t="s">
        <v>498</v>
      </c>
      <c r="D3275" s="2077"/>
      <c r="E3275" s="2046"/>
      <c r="F3275" s="2077"/>
      <c r="G3275" s="2077" t="s">
        <v>2367</v>
      </c>
      <c r="H3275" s="2077"/>
      <c r="I3275" s="2043">
        <f>K4339</f>
        <v>0</v>
      </c>
      <c r="J3275" s="2092"/>
      <c r="K3275" s="2043">
        <f>I3275</f>
        <v>0</v>
      </c>
      <c r="N3275" s="1147"/>
      <c r="O3275" s="1146"/>
    </row>
    <row r="3276" spans="1:23" ht="15.6" customHeight="1" x14ac:dyDescent="0.25">
      <c r="B3276" s="48" t="s">
        <v>7304</v>
      </c>
      <c r="C3276" s="48" t="s">
        <v>498</v>
      </c>
      <c r="G3276" s="57" t="s">
        <v>2367</v>
      </c>
      <c r="I3276" s="58">
        <f t="shared" ref="I3276:I3277" si="25">K4340</f>
        <v>95825.5</v>
      </c>
      <c r="J3276" s="200"/>
      <c r="K3276" s="58">
        <f t="shared" ref="K3276:K3277" si="26">I3276</f>
        <v>95825.5</v>
      </c>
      <c r="M3276" s="1133"/>
      <c r="N3276" s="1147"/>
      <c r="O3276" s="1146"/>
    </row>
    <row r="3277" spans="1:23" ht="15.6" hidden="1" customHeight="1" x14ac:dyDescent="0.25">
      <c r="B3277" s="48" t="s">
        <v>290</v>
      </c>
      <c r="C3277" s="48" t="s">
        <v>498</v>
      </c>
      <c r="G3277" s="57" t="s">
        <v>2367</v>
      </c>
      <c r="I3277" s="58">
        <f t="shared" si="25"/>
        <v>0</v>
      </c>
      <c r="J3277" s="200"/>
      <c r="K3277" s="58">
        <f t="shared" si="26"/>
        <v>0</v>
      </c>
      <c r="N3277" s="1147"/>
      <c r="O3277" s="1146"/>
    </row>
    <row r="3278" spans="1:23" ht="15.6" customHeight="1" x14ac:dyDescent="0.25">
      <c r="I3278" s="58"/>
      <c r="J3278" s="200"/>
      <c r="K3278" s="58"/>
      <c r="N3278" s="1471"/>
      <c r="Q3278" s="48"/>
      <c r="R3278" s="48"/>
      <c r="S3278" s="48"/>
      <c r="T3278" s="48"/>
      <c r="U3278" s="48"/>
      <c r="V3278" s="48"/>
      <c r="W3278" s="48"/>
    </row>
    <row r="3279" spans="1:23" ht="15.6" hidden="1" customHeight="1" x14ac:dyDescent="0.25">
      <c r="B3279" s="50" t="s">
        <v>783</v>
      </c>
      <c r="I3279" s="58"/>
      <c r="J3279" s="200"/>
      <c r="K3279" s="58"/>
      <c r="M3279" s="1133"/>
      <c r="N3279" s="1147"/>
      <c r="O3279" s="1146"/>
      <c r="Q3279" s="48"/>
      <c r="R3279" s="48"/>
      <c r="S3279" s="48"/>
      <c r="T3279" s="48"/>
      <c r="U3279" s="48"/>
      <c r="V3279" s="48"/>
      <c r="W3279" s="48"/>
    </row>
    <row r="3280" spans="1:23" ht="15.6" hidden="1" customHeight="1" x14ac:dyDescent="0.25">
      <c r="B3280" s="2046" t="s">
        <v>1414</v>
      </c>
      <c r="C3280" s="2046" t="s">
        <v>499</v>
      </c>
      <c r="D3280" s="2077"/>
      <c r="E3280" s="2046"/>
      <c r="F3280" s="2077"/>
      <c r="G3280" s="2077" t="s">
        <v>2367</v>
      </c>
      <c r="H3280" s="2077"/>
      <c r="I3280" s="2043">
        <f t="shared" ref="I3280:I3282" si="27">K4344</f>
        <v>0</v>
      </c>
      <c r="J3280" s="2092"/>
      <c r="K3280" s="2043">
        <f t="shared" ref="K3280:K3282" si="28">I3280</f>
        <v>0</v>
      </c>
      <c r="M3280" s="1133"/>
      <c r="N3280" s="1147"/>
      <c r="O3280" s="1146"/>
      <c r="Q3280" s="48"/>
      <c r="R3280" s="48"/>
      <c r="S3280" s="48"/>
      <c r="T3280" s="48"/>
      <c r="U3280" s="48"/>
      <c r="V3280" s="48"/>
      <c r="W3280" s="48"/>
    </row>
    <row r="3281" spans="2:23" ht="15.6" hidden="1" customHeight="1" x14ac:dyDescent="0.25">
      <c r="B3281" s="2046" t="s">
        <v>1519</v>
      </c>
      <c r="C3281" s="2046" t="s">
        <v>499</v>
      </c>
      <c r="D3281" s="2077"/>
      <c r="E3281" s="2046"/>
      <c r="F3281" s="2077"/>
      <c r="G3281" s="2077" t="s">
        <v>2367</v>
      </c>
      <c r="H3281" s="2077"/>
      <c r="I3281" s="2043">
        <f t="shared" si="27"/>
        <v>0</v>
      </c>
      <c r="J3281" s="2092"/>
      <c r="K3281" s="2043">
        <f t="shared" si="28"/>
        <v>0</v>
      </c>
      <c r="M3281" s="1133"/>
      <c r="N3281" s="1147"/>
      <c r="O3281" s="1146"/>
      <c r="Q3281" s="48"/>
      <c r="R3281" s="48"/>
      <c r="S3281" s="48"/>
      <c r="T3281" s="48"/>
      <c r="U3281" s="48"/>
      <c r="V3281" s="48"/>
      <c r="W3281" s="48"/>
    </row>
    <row r="3282" spans="2:23" ht="15.6" hidden="1" customHeight="1" x14ac:dyDescent="0.25">
      <c r="B3282" s="2046" t="s">
        <v>3601</v>
      </c>
      <c r="C3282" s="2046" t="s">
        <v>499</v>
      </c>
      <c r="D3282" s="2077"/>
      <c r="E3282" s="2046"/>
      <c r="F3282" s="2077"/>
      <c r="G3282" s="2077" t="s">
        <v>2367</v>
      </c>
      <c r="H3282" s="2077"/>
      <c r="I3282" s="2043">
        <f t="shared" si="27"/>
        <v>0</v>
      </c>
      <c r="J3282" s="2092"/>
      <c r="K3282" s="2043">
        <f t="shared" si="28"/>
        <v>0</v>
      </c>
      <c r="M3282" s="1133"/>
      <c r="N3282" s="1147"/>
      <c r="O3282" s="1146"/>
      <c r="Q3282" s="48"/>
      <c r="R3282" s="48"/>
      <c r="S3282" s="48"/>
      <c r="T3282" s="48"/>
      <c r="U3282" s="48"/>
      <c r="V3282" s="48"/>
      <c r="W3282" s="48"/>
    </row>
    <row r="3283" spans="2:23" ht="15.6" hidden="1" customHeight="1" x14ac:dyDescent="0.25">
      <c r="I3283" s="58"/>
      <c r="J3283" s="200"/>
      <c r="K3283" s="58"/>
      <c r="M3283" s="1133"/>
      <c r="N3283" s="1147"/>
      <c r="O3283" s="1146"/>
      <c r="Q3283" s="48"/>
      <c r="R3283" s="48"/>
      <c r="S3283" s="48"/>
      <c r="T3283" s="48"/>
      <c r="U3283" s="48"/>
      <c r="V3283" s="48"/>
      <c r="W3283" s="48"/>
    </row>
    <row r="3284" spans="2:23" ht="15.6" hidden="1" customHeight="1" x14ac:dyDescent="0.25">
      <c r="B3284" s="50" t="s">
        <v>399</v>
      </c>
      <c r="I3284" s="58"/>
      <c r="J3284" s="200"/>
      <c r="K3284" s="58"/>
      <c r="N3284" s="1147"/>
      <c r="O3284" s="1146"/>
      <c r="Q3284" s="48"/>
      <c r="R3284" s="48"/>
      <c r="S3284" s="48"/>
      <c r="T3284" s="48"/>
      <c r="U3284" s="48"/>
      <c r="V3284" s="48"/>
      <c r="W3284" s="48"/>
    </row>
    <row r="3285" spans="2:23" ht="15.6" hidden="1" customHeight="1" x14ac:dyDescent="0.25">
      <c r="B3285" s="2046" t="s">
        <v>1720</v>
      </c>
      <c r="C3285" s="2046" t="s">
        <v>499</v>
      </c>
      <c r="D3285" s="2077"/>
      <c r="E3285" s="2046"/>
      <c r="F3285" s="2077"/>
      <c r="G3285" s="2077" t="s">
        <v>2367</v>
      </c>
      <c r="H3285" s="2077"/>
      <c r="I3285" s="2043">
        <f t="shared" ref="I3285:I3290" si="29">K4349</f>
        <v>0</v>
      </c>
      <c r="J3285" s="2092"/>
      <c r="K3285" s="2043">
        <f t="shared" ref="K3285:K3290" si="30">I3285</f>
        <v>0</v>
      </c>
      <c r="N3285" s="1147"/>
      <c r="O3285" s="1146"/>
      <c r="Q3285" s="48"/>
      <c r="R3285" s="48"/>
      <c r="S3285" s="48"/>
      <c r="T3285" s="48"/>
      <c r="U3285" s="48"/>
      <c r="V3285" s="48"/>
      <c r="W3285" s="48"/>
    </row>
    <row r="3286" spans="2:23" ht="15.6" hidden="1" customHeight="1" x14ac:dyDescent="0.25">
      <c r="B3286" s="2046" t="s">
        <v>1719</v>
      </c>
      <c r="C3286" s="2046" t="s">
        <v>499</v>
      </c>
      <c r="D3286" s="2077"/>
      <c r="E3286" s="2046"/>
      <c r="F3286" s="2077"/>
      <c r="G3286" s="2077" t="s">
        <v>2367</v>
      </c>
      <c r="H3286" s="2077"/>
      <c r="I3286" s="2043">
        <f t="shared" si="29"/>
        <v>0</v>
      </c>
      <c r="J3286" s="2092"/>
      <c r="K3286" s="2043">
        <f t="shared" si="30"/>
        <v>0</v>
      </c>
      <c r="N3286" s="1147"/>
      <c r="O3286" s="1146"/>
      <c r="Q3286" s="48"/>
      <c r="R3286" s="48"/>
      <c r="S3286" s="48"/>
      <c r="T3286" s="48"/>
      <c r="U3286" s="48"/>
      <c r="V3286" s="48"/>
      <c r="W3286" s="48"/>
    </row>
    <row r="3287" spans="2:23" ht="15.6" hidden="1" customHeight="1" x14ac:dyDescent="0.25">
      <c r="B3287" s="2046" t="s">
        <v>1721</v>
      </c>
      <c r="C3287" s="2046" t="s">
        <v>499</v>
      </c>
      <c r="D3287" s="2077"/>
      <c r="E3287" s="2046"/>
      <c r="F3287" s="2077"/>
      <c r="G3287" s="2077" t="s">
        <v>2367</v>
      </c>
      <c r="H3287" s="2077"/>
      <c r="I3287" s="2043">
        <f t="shared" si="29"/>
        <v>0</v>
      </c>
      <c r="J3287" s="2092"/>
      <c r="K3287" s="2043">
        <f t="shared" si="30"/>
        <v>0</v>
      </c>
      <c r="N3287" s="1147"/>
      <c r="O3287" s="1146"/>
      <c r="Q3287" s="48"/>
      <c r="R3287" s="48"/>
      <c r="S3287" s="48"/>
      <c r="T3287" s="48"/>
      <c r="U3287" s="48"/>
      <c r="V3287" s="48"/>
      <c r="W3287" s="48"/>
    </row>
    <row r="3288" spans="2:23" ht="15.6" hidden="1" customHeight="1" x14ac:dyDescent="0.25">
      <c r="B3288" s="2046" t="s">
        <v>1722</v>
      </c>
      <c r="C3288" s="2046" t="s">
        <v>499</v>
      </c>
      <c r="D3288" s="2077"/>
      <c r="E3288" s="2046"/>
      <c r="F3288" s="2077"/>
      <c r="G3288" s="2077" t="s">
        <v>2367</v>
      </c>
      <c r="H3288" s="2077"/>
      <c r="I3288" s="2043">
        <f t="shared" si="29"/>
        <v>0</v>
      </c>
      <c r="J3288" s="2092"/>
      <c r="K3288" s="2043">
        <f t="shared" si="30"/>
        <v>0</v>
      </c>
      <c r="N3288" s="1147"/>
      <c r="O3288" s="1146"/>
      <c r="Q3288" s="48"/>
      <c r="R3288" s="48"/>
      <c r="S3288" s="48"/>
      <c r="T3288" s="48"/>
      <c r="U3288" s="48"/>
      <c r="V3288" s="48"/>
      <c r="W3288" s="48"/>
    </row>
    <row r="3289" spans="2:23" ht="15.6" hidden="1" customHeight="1" x14ac:dyDescent="0.25">
      <c r="B3289" s="2046" t="s">
        <v>1723</v>
      </c>
      <c r="C3289" s="2046" t="s">
        <v>499</v>
      </c>
      <c r="D3289" s="2077"/>
      <c r="E3289" s="2046"/>
      <c r="F3289" s="2077"/>
      <c r="G3289" s="2077" t="s">
        <v>2367</v>
      </c>
      <c r="H3289" s="2077"/>
      <c r="I3289" s="2043">
        <f t="shared" si="29"/>
        <v>0</v>
      </c>
      <c r="J3289" s="2092"/>
      <c r="K3289" s="2043">
        <f t="shared" si="30"/>
        <v>0</v>
      </c>
      <c r="N3289" s="1147"/>
      <c r="O3289" s="1146"/>
      <c r="Q3289" s="48"/>
      <c r="R3289" s="48"/>
      <c r="S3289" s="48"/>
      <c r="T3289" s="48"/>
      <c r="U3289" s="48"/>
      <c r="V3289" s="48"/>
      <c r="W3289" s="48"/>
    </row>
    <row r="3290" spans="2:23" ht="15.6" hidden="1" customHeight="1" x14ac:dyDescent="0.25">
      <c r="B3290" s="2046" t="s">
        <v>1724</v>
      </c>
      <c r="C3290" s="2046" t="s">
        <v>499</v>
      </c>
      <c r="D3290" s="2077"/>
      <c r="E3290" s="2046"/>
      <c r="F3290" s="2077"/>
      <c r="G3290" s="2077" t="s">
        <v>2367</v>
      </c>
      <c r="H3290" s="2077"/>
      <c r="I3290" s="2043">
        <f t="shared" si="29"/>
        <v>0</v>
      </c>
      <c r="J3290" s="2092"/>
      <c r="K3290" s="2043">
        <f t="shared" si="30"/>
        <v>0</v>
      </c>
      <c r="N3290" s="1147"/>
      <c r="O3290" s="1146"/>
      <c r="Q3290" s="48"/>
      <c r="R3290" s="48"/>
      <c r="S3290" s="48"/>
      <c r="T3290" s="48"/>
      <c r="U3290" s="48"/>
      <c r="V3290" s="48"/>
      <c r="W3290" s="48"/>
    </row>
    <row r="3291" spans="2:23" ht="15.6" hidden="1" customHeight="1" x14ac:dyDescent="0.25">
      <c r="I3291" s="58"/>
      <c r="J3291" s="200"/>
      <c r="K3291" s="58"/>
      <c r="N3291" s="1147"/>
      <c r="O3291" s="1146"/>
      <c r="Q3291" s="48"/>
      <c r="R3291" s="48"/>
      <c r="S3291" s="48"/>
      <c r="T3291" s="48"/>
      <c r="U3291" s="48"/>
      <c r="V3291" s="48"/>
      <c r="W3291" s="48"/>
    </row>
    <row r="3292" spans="2:23" ht="15.6" customHeight="1" x14ac:dyDescent="0.25">
      <c r="B3292" s="50" t="s">
        <v>3969</v>
      </c>
      <c r="I3292" s="58"/>
      <c r="J3292" s="200"/>
      <c r="K3292" s="58"/>
      <c r="N3292" s="1147"/>
      <c r="O3292" s="1146"/>
      <c r="Q3292" s="48"/>
      <c r="R3292" s="48"/>
      <c r="S3292" s="48"/>
      <c r="T3292" s="48"/>
      <c r="U3292" s="48"/>
      <c r="V3292" s="48"/>
      <c r="W3292" s="48"/>
    </row>
    <row r="3293" spans="2:23" ht="15.6" customHeight="1" x14ac:dyDescent="0.25">
      <c r="B3293" s="48" t="s">
        <v>229</v>
      </c>
      <c r="C3293" s="48" t="s">
        <v>499</v>
      </c>
      <c r="G3293" s="57" t="s">
        <v>2367</v>
      </c>
      <c r="I3293" s="58">
        <f t="shared" ref="I3293:I3296" si="31">K4357</f>
        <v>247850.23000000004</v>
      </c>
      <c r="J3293" s="200"/>
      <c r="K3293" s="58">
        <f t="shared" ref="K3293:K3297" si="32">I3293</f>
        <v>247850.23000000004</v>
      </c>
      <c r="N3293" s="1147"/>
      <c r="O3293" s="1146"/>
      <c r="P3293" s="1115"/>
      <c r="Q3293" s="48"/>
      <c r="R3293" s="48"/>
      <c r="S3293" s="48"/>
      <c r="T3293" s="48"/>
      <c r="U3293" s="48"/>
      <c r="V3293" s="48"/>
      <c r="W3293" s="48"/>
    </row>
    <row r="3294" spans="2:23" ht="15.6" customHeight="1" x14ac:dyDescent="0.25">
      <c r="B3294" s="48" t="s">
        <v>166</v>
      </c>
      <c r="C3294" s="48" t="s">
        <v>499</v>
      </c>
      <c r="G3294" s="57" t="s">
        <v>2367</v>
      </c>
      <c r="I3294" s="58">
        <f t="shared" si="31"/>
        <v>160752</v>
      </c>
      <c r="J3294" s="200"/>
      <c r="K3294" s="58">
        <f t="shared" si="32"/>
        <v>160752</v>
      </c>
      <c r="N3294" s="1147"/>
      <c r="O3294" s="1146"/>
      <c r="P3294" s="1115"/>
      <c r="Q3294" s="48"/>
      <c r="R3294" s="48"/>
      <c r="S3294" s="48"/>
      <c r="T3294" s="48"/>
      <c r="U3294" s="48"/>
      <c r="V3294" s="48"/>
      <c r="W3294" s="48"/>
    </row>
    <row r="3295" spans="2:23" ht="15.6" customHeight="1" x14ac:dyDescent="0.25">
      <c r="B3295" s="48" t="s">
        <v>500</v>
      </c>
      <c r="C3295" s="48" t="s">
        <v>499</v>
      </c>
      <c r="G3295" s="57" t="s">
        <v>2367</v>
      </c>
      <c r="I3295" s="58">
        <f t="shared" si="31"/>
        <v>205668.73414613027</v>
      </c>
      <c r="J3295" s="200"/>
      <c r="K3295" s="58">
        <f t="shared" si="32"/>
        <v>205668.73414613027</v>
      </c>
      <c r="N3295" s="1147"/>
      <c r="O3295" s="1146"/>
      <c r="P3295" s="1115"/>
      <c r="Q3295" s="48"/>
      <c r="R3295" s="48"/>
      <c r="S3295" s="48"/>
      <c r="T3295" s="48"/>
      <c r="U3295" s="48"/>
      <c r="V3295" s="48"/>
      <c r="W3295" s="48"/>
    </row>
    <row r="3296" spans="2:23" ht="15.6" customHeight="1" x14ac:dyDescent="0.25">
      <c r="B3296" s="48" t="s">
        <v>236</v>
      </c>
      <c r="C3296" s="48" t="s">
        <v>499</v>
      </c>
      <c r="G3296" s="57" t="s">
        <v>2367</v>
      </c>
      <c r="I3296" s="58">
        <f t="shared" si="31"/>
        <v>386387.61856904067</v>
      </c>
      <c r="J3296" s="200"/>
      <c r="K3296" s="58">
        <f t="shared" si="32"/>
        <v>386387.61856904067</v>
      </c>
      <c r="N3296" s="1147"/>
      <c r="O3296" s="1146"/>
      <c r="Q3296" s="48"/>
      <c r="R3296" s="48"/>
      <c r="S3296" s="48"/>
      <c r="T3296" s="48"/>
      <c r="U3296" s="48"/>
      <c r="V3296" s="48"/>
      <c r="W3296" s="48"/>
    </row>
    <row r="3297" spans="2:23" ht="15.6" customHeight="1" x14ac:dyDescent="0.25">
      <c r="B3297" s="48" t="s">
        <v>402</v>
      </c>
      <c r="C3297" s="48" t="s">
        <v>499</v>
      </c>
      <c r="G3297" s="57" t="s">
        <v>2367</v>
      </c>
      <c r="I3297" s="58">
        <f>K4361</f>
        <v>4886290.7299999977</v>
      </c>
      <c r="J3297" s="200"/>
      <c r="K3297" s="58">
        <f t="shared" si="32"/>
        <v>4886290.7299999977</v>
      </c>
      <c r="N3297" s="1147"/>
      <c r="O3297" s="1146"/>
      <c r="P3297" s="1115"/>
      <c r="Q3297" s="48"/>
      <c r="R3297" s="48"/>
      <c r="S3297" s="48"/>
      <c r="T3297" s="48"/>
      <c r="U3297" s="48"/>
      <c r="V3297" s="48"/>
      <c r="W3297" s="48"/>
    </row>
    <row r="3298" spans="2:23" ht="15.6" customHeight="1" x14ac:dyDescent="0.25">
      <c r="I3298" s="58"/>
      <c r="J3298" s="200"/>
      <c r="K3298" s="58"/>
      <c r="N3298" s="1147"/>
      <c r="O3298" s="1146"/>
      <c r="Q3298" s="48"/>
      <c r="R3298" s="48"/>
      <c r="S3298" s="48"/>
      <c r="T3298" s="48"/>
      <c r="U3298" s="48"/>
      <c r="V3298" s="48"/>
      <c r="W3298" s="48"/>
    </row>
    <row r="3299" spans="2:23" ht="15.6" customHeight="1" x14ac:dyDescent="0.25">
      <c r="B3299" s="50" t="s">
        <v>3970</v>
      </c>
      <c r="I3299" s="58"/>
      <c r="J3299" s="200"/>
      <c r="K3299" s="58"/>
      <c r="N3299" s="1147"/>
      <c r="O3299" s="1146"/>
      <c r="Q3299" s="48"/>
      <c r="R3299" s="48"/>
      <c r="S3299" s="48"/>
      <c r="T3299" s="48"/>
      <c r="U3299" s="48"/>
      <c r="V3299" s="48"/>
      <c r="W3299" s="48"/>
    </row>
    <row r="3300" spans="2:23" ht="15.6" customHeight="1" x14ac:dyDescent="0.25">
      <c r="B3300" s="48" t="s">
        <v>2259</v>
      </c>
      <c r="C3300" s="48" t="s">
        <v>499</v>
      </c>
      <c r="G3300" s="57" t="s">
        <v>2367</v>
      </c>
      <c r="I3300" s="58">
        <f t="shared" ref="I3300:I3312" si="33">K4364</f>
        <v>4126580.5</v>
      </c>
      <c r="J3300" s="200"/>
      <c r="K3300" s="58">
        <f t="shared" ref="K3300:K3312" si="34">I3300</f>
        <v>4126580.5</v>
      </c>
      <c r="N3300" s="1147"/>
      <c r="O3300" s="1146"/>
      <c r="Q3300" s="48"/>
      <c r="R3300" s="48"/>
      <c r="S3300" s="48"/>
      <c r="T3300" s="48"/>
      <c r="U3300" s="48"/>
      <c r="V3300" s="48"/>
      <c r="W3300" s="48"/>
    </row>
    <row r="3301" spans="2:23" ht="15.6" hidden="1" customHeight="1" x14ac:dyDescent="0.25">
      <c r="B3301" s="2046" t="s">
        <v>332</v>
      </c>
      <c r="C3301" s="2046" t="s">
        <v>499</v>
      </c>
      <c r="D3301" s="2077"/>
      <c r="E3301" s="2046"/>
      <c r="F3301" s="2077"/>
      <c r="G3301" s="2077" t="s">
        <v>2367</v>
      </c>
      <c r="H3301" s="2077"/>
      <c r="I3301" s="2043">
        <f t="shared" si="33"/>
        <v>0</v>
      </c>
      <c r="J3301" s="2092"/>
      <c r="K3301" s="2043">
        <f t="shared" si="34"/>
        <v>0</v>
      </c>
      <c r="N3301" s="1147"/>
      <c r="O3301" s="1146"/>
      <c r="Q3301" s="48"/>
      <c r="R3301" s="48"/>
      <c r="S3301" s="48"/>
      <c r="T3301" s="48"/>
      <c r="U3301" s="48"/>
      <c r="V3301" s="48"/>
      <c r="W3301" s="48"/>
    </row>
    <row r="3302" spans="2:23" ht="15.6" hidden="1" customHeight="1" x14ac:dyDescent="0.25">
      <c r="B3302" s="2046" t="s">
        <v>334</v>
      </c>
      <c r="C3302" s="2046" t="s">
        <v>499</v>
      </c>
      <c r="D3302" s="2077"/>
      <c r="E3302" s="2046"/>
      <c r="F3302" s="2077"/>
      <c r="G3302" s="2077" t="s">
        <v>2367</v>
      </c>
      <c r="H3302" s="2077"/>
      <c r="I3302" s="2043">
        <f t="shared" si="33"/>
        <v>0</v>
      </c>
      <c r="J3302" s="2092"/>
      <c r="K3302" s="2043">
        <f t="shared" si="34"/>
        <v>0</v>
      </c>
      <c r="N3302" s="1147"/>
      <c r="O3302" s="1146"/>
      <c r="Q3302" s="48"/>
      <c r="R3302" s="48"/>
      <c r="S3302" s="48"/>
      <c r="T3302" s="48"/>
      <c r="U3302" s="48"/>
      <c r="V3302" s="48"/>
      <c r="W3302" s="48"/>
    </row>
    <row r="3303" spans="2:23" ht="15.6" hidden="1" customHeight="1" x14ac:dyDescent="0.25">
      <c r="B3303" s="2046" t="s">
        <v>333</v>
      </c>
      <c r="C3303" s="2046" t="s">
        <v>499</v>
      </c>
      <c r="D3303" s="2077"/>
      <c r="E3303" s="2046"/>
      <c r="F3303" s="2077"/>
      <c r="G3303" s="2077" t="s">
        <v>2367</v>
      </c>
      <c r="H3303" s="2077"/>
      <c r="I3303" s="2043">
        <f t="shared" si="33"/>
        <v>0</v>
      </c>
      <c r="J3303" s="2092"/>
      <c r="K3303" s="2043">
        <f t="shared" si="34"/>
        <v>0</v>
      </c>
      <c r="N3303" s="1147"/>
      <c r="O3303" s="1146"/>
      <c r="Q3303" s="48"/>
      <c r="R3303" s="48"/>
      <c r="S3303" s="48"/>
      <c r="T3303" s="48"/>
      <c r="U3303" s="48"/>
      <c r="V3303" s="48"/>
      <c r="W3303" s="48"/>
    </row>
    <row r="3304" spans="2:23" ht="15.6" hidden="1" customHeight="1" x14ac:dyDescent="0.25">
      <c r="B3304" s="2046" t="s">
        <v>660</v>
      </c>
      <c r="C3304" s="2046" t="s">
        <v>499</v>
      </c>
      <c r="D3304" s="2077"/>
      <c r="E3304" s="2046"/>
      <c r="F3304" s="2077"/>
      <c r="G3304" s="2077" t="s">
        <v>2367</v>
      </c>
      <c r="H3304" s="2077"/>
      <c r="I3304" s="2043">
        <f t="shared" si="33"/>
        <v>0</v>
      </c>
      <c r="J3304" s="2092"/>
      <c r="K3304" s="2043">
        <f t="shared" si="34"/>
        <v>0</v>
      </c>
      <c r="N3304" s="1147"/>
      <c r="O3304" s="1146"/>
      <c r="Q3304" s="48"/>
      <c r="R3304" s="48"/>
      <c r="S3304" s="48"/>
      <c r="T3304" s="48"/>
      <c r="U3304" s="48"/>
      <c r="V3304" s="48"/>
      <c r="W3304" s="48"/>
    </row>
    <row r="3305" spans="2:23" ht="15.6" hidden="1" customHeight="1" x14ac:dyDescent="0.25">
      <c r="B3305" s="2046" t="s">
        <v>665</v>
      </c>
      <c r="C3305" s="2046" t="s">
        <v>499</v>
      </c>
      <c r="D3305" s="2077"/>
      <c r="E3305" s="2046"/>
      <c r="F3305" s="2077"/>
      <c r="G3305" s="2077" t="s">
        <v>2367</v>
      </c>
      <c r="H3305" s="2077"/>
      <c r="I3305" s="2043">
        <f t="shared" si="33"/>
        <v>0</v>
      </c>
      <c r="J3305" s="2092"/>
      <c r="K3305" s="2043">
        <f t="shared" si="34"/>
        <v>0</v>
      </c>
      <c r="N3305" s="1147"/>
      <c r="O3305" s="1146"/>
      <c r="Q3305" s="48"/>
      <c r="R3305" s="48"/>
      <c r="S3305" s="48"/>
      <c r="T3305" s="48"/>
      <c r="U3305" s="48"/>
      <c r="V3305" s="48"/>
      <c r="W3305" s="48"/>
    </row>
    <row r="3306" spans="2:23" ht="15.6" hidden="1" customHeight="1" x14ac:dyDescent="0.25">
      <c r="B3306" s="2046" t="s">
        <v>1758</v>
      </c>
      <c r="C3306" s="2046" t="s">
        <v>499</v>
      </c>
      <c r="D3306" s="2077"/>
      <c r="E3306" s="2046"/>
      <c r="F3306" s="2077"/>
      <c r="G3306" s="2077" t="s">
        <v>2367</v>
      </c>
      <c r="H3306" s="2077"/>
      <c r="I3306" s="2043">
        <f t="shared" si="33"/>
        <v>0</v>
      </c>
      <c r="J3306" s="2092"/>
      <c r="K3306" s="2043">
        <f t="shared" si="34"/>
        <v>0</v>
      </c>
      <c r="N3306" s="1147"/>
      <c r="O3306" s="1146"/>
      <c r="P3306" s="1115"/>
      <c r="Q3306" s="48"/>
      <c r="R3306" s="48"/>
      <c r="S3306" s="48"/>
      <c r="T3306" s="48"/>
      <c r="U3306" s="48"/>
      <c r="V3306" s="48"/>
      <c r="W3306" s="48"/>
    </row>
    <row r="3307" spans="2:23" ht="15.6" hidden="1" customHeight="1" x14ac:dyDescent="0.25">
      <c r="B3307" s="2046" t="s">
        <v>3521</v>
      </c>
      <c r="C3307" s="2046" t="s">
        <v>499</v>
      </c>
      <c r="D3307" s="2077"/>
      <c r="E3307" s="2046"/>
      <c r="F3307" s="2077"/>
      <c r="G3307" s="2077" t="s">
        <v>2367</v>
      </c>
      <c r="H3307" s="2077"/>
      <c r="I3307" s="2043">
        <f t="shared" si="33"/>
        <v>0</v>
      </c>
      <c r="J3307" s="2092"/>
      <c r="K3307" s="2043">
        <f t="shared" si="34"/>
        <v>0</v>
      </c>
      <c r="N3307" s="1147"/>
      <c r="O3307" s="1146"/>
      <c r="P3307" s="1115"/>
      <c r="Q3307" s="48"/>
      <c r="R3307" s="48"/>
      <c r="S3307" s="48"/>
      <c r="T3307" s="48"/>
      <c r="U3307" s="48"/>
      <c r="V3307" s="48"/>
      <c r="W3307" s="48"/>
    </row>
    <row r="3308" spans="2:23" ht="15.6" hidden="1" customHeight="1" x14ac:dyDescent="0.25">
      <c r="B3308" s="2046" t="s">
        <v>1417</v>
      </c>
      <c r="C3308" s="2046" t="s">
        <v>499</v>
      </c>
      <c r="D3308" s="2077"/>
      <c r="E3308" s="2046"/>
      <c r="F3308" s="2077"/>
      <c r="G3308" s="2077" t="s">
        <v>2367</v>
      </c>
      <c r="H3308" s="2077"/>
      <c r="I3308" s="2043">
        <f t="shared" si="33"/>
        <v>0</v>
      </c>
      <c r="J3308" s="2092"/>
      <c r="K3308" s="2043">
        <f t="shared" si="34"/>
        <v>0</v>
      </c>
      <c r="N3308" s="1147"/>
      <c r="O3308" s="1146"/>
      <c r="P3308" s="1115"/>
      <c r="Q3308" s="48"/>
      <c r="R3308" s="48"/>
      <c r="S3308" s="48"/>
      <c r="T3308" s="48"/>
      <c r="U3308" s="48"/>
      <c r="V3308" s="48"/>
      <c r="W3308" s="48"/>
    </row>
    <row r="3309" spans="2:23" ht="15.6" hidden="1" customHeight="1" x14ac:dyDescent="0.25">
      <c r="B3309" s="2046" t="s">
        <v>706</v>
      </c>
      <c r="C3309" s="2046" t="s">
        <v>499</v>
      </c>
      <c r="D3309" s="2077"/>
      <c r="E3309" s="2046"/>
      <c r="F3309" s="2077"/>
      <c r="G3309" s="2077" t="s">
        <v>2367</v>
      </c>
      <c r="H3309" s="2077"/>
      <c r="I3309" s="2043">
        <f t="shared" si="33"/>
        <v>0</v>
      </c>
      <c r="J3309" s="2092"/>
      <c r="K3309" s="2043">
        <f t="shared" si="34"/>
        <v>0</v>
      </c>
      <c r="N3309" s="1147"/>
      <c r="O3309" s="1146"/>
      <c r="P3309" s="1115"/>
      <c r="Q3309" s="48"/>
      <c r="R3309" s="48"/>
      <c r="S3309" s="48"/>
      <c r="T3309" s="48"/>
      <c r="U3309" s="48"/>
      <c r="V3309" s="48"/>
      <c r="W3309" s="48"/>
    </row>
    <row r="3310" spans="2:23" ht="15.6" hidden="1" customHeight="1" x14ac:dyDescent="0.25">
      <c r="B3310" s="2046" t="s">
        <v>296</v>
      </c>
      <c r="C3310" s="2046" t="s">
        <v>499</v>
      </c>
      <c r="D3310" s="2077"/>
      <c r="E3310" s="2046"/>
      <c r="F3310" s="2077"/>
      <c r="G3310" s="2077" t="s">
        <v>2367</v>
      </c>
      <c r="H3310" s="2077"/>
      <c r="I3310" s="2043">
        <f t="shared" si="33"/>
        <v>0</v>
      </c>
      <c r="J3310" s="2092"/>
      <c r="K3310" s="2043">
        <f t="shared" si="34"/>
        <v>0</v>
      </c>
      <c r="N3310" s="1147"/>
      <c r="O3310" s="1146"/>
      <c r="P3310" s="1115"/>
      <c r="Q3310" s="48"/>
      <c r="R3310" s="48"/>
      <c r="S3310" s="48"/>
      <c r="T3310" s="48"/>
      <c r="U3310" s="48"/>
      <c r="V3310" s="48"/>
      <c r="W3310" s="48"/>
    </row>
    <row r="3311" spans="2:23" ht="15.6" hidden="1" customHeight="1" x14ac:dyDescent="0.25">
      <c r="B3311" s="2046" t="s">
        <v>297</v>
      </c>
      <c r="C3311" s="2046" t="s">
        <v>499</v>
      </c>
      <c r="D3311" s="2077"/>
      <c r="E3311" s="2046"/>
      <c r="F3311" s="2077"/>
      <c r="G3311" s="2077" t="s">
        <v>2367</v>
      </c>
      <c r="H3311" s="2077"/>
      <c r="I3311" s="2043">
        <f t="shared" si="33"/>
        <v>0</v>
      </c>
      <c r="J3311" s="2092"/>
      <c r="K3311" s="2043">
        <f t="shared" si="34"/>
        <v>0</v>
      </c>
      <c r="N3311" s="1147"/>
      <c r="O3311" s="1146"/>
      <c r="P3311" s="1115"/>
      <c r="Q3311" s="48"/>
      <c r="R3311" s="48"/>
      <c r="S3311" s="48"/>
      <c r="T3311" s="48"/>
      <c r="U3311" s="48"/>
      <c r="V3311" s="48"/>
      <c r="W3311" s="48"/>
    </row>
    <row r="3312" spans="2:23" ht="15.6" hidden="1" customHeight="1" x14ac:dyDescent="0.25">
      <c r="B3312" s="2046" t="s">
        <v>298</v>
      </c>
      <c r="C3312" s="2046" t="s">
        <v>499</v>
      </c>
      <c r="D3312" s="2077"/>
      <c r="E3312" s="2046"/>
      <c r="F3312" s="2077"/>
      <c r="G3312" s="2077" t="s">
        <v>2367</v>
      </c>
      <c r="H3312" s="2077"/>
      <c r="I3312" s="2043">
        <f t="shared" si="33"/>
        <v>0</v>
      </c>
      <c r="J3312" s="2092"/>
      <c r="K3312" s="2043">
        <f t="shared" si="34"/>
        <v>0</v>
      </c>
      <c r="N3312" s="1147"/>
      <c r="O3312" s="1146"/>
      <c r="P3312" s="1115"/>
      <c r="Q3312" s="48"/>
      <c r="R3312" s="48"/>
      <c r="S3312" s="48"/>
      <c r="T3312" s="48"/>
      <c r="U3312" s="48"/>
      <c r="V3312" s="48"/>
      <c r="W3312" s="48"/>
    </row>
    <row r="3313" spans="2:23" ht="15.6" customHeight="1" x14ac:dyDescent="0.25">
      <c r="I3313" s="58"/>
      <c r="J3313" s="200"/>
      <c r="K3313" s="58"/>
      <c r="N3313" s="1147"/>
      <c r="O3313" s="1146"/>
      <c r="P3313" s="1115"/>
      <c r="Q3313" s="48"/>
      <c r="R3313" s="48"/>
      <c r="S3313" s="48"/>
      <c r="T3313" s="48"/>
      <c r="U3313" s="48"/>
      <c r="V3313" s="48"/>
      <c r="W3313" s="48"/>
    </row>
    <row r="3314" spans="2:23" ht="15.6" customHeight="1" x14ac:dyDescent="0.25">
      <c r="B3314" s="50" t="s">
        <v>4217</v>
      </c>
      <c r="I3314" s="58"/>
      <c r="J3314" s="200"/>
      <c r="K3314" s="58"/>
      <c r="N3314" s="1147"/>
      <c r="O3314" s="1146"/>
      <c r="P3314" s="1115"/>
      <c r="Q3314" s="48"/>
      <c r="R3314" s="48"/>
      <c r="S3314" s="48"/>
      <c r="T3314" s="48"/>
      <c r="U3314" s="48"/>
      <c r="V3314" s="48"/>
      <c r="W3314" s="48"/>
    </row>
    <row r="3315" spans="2:23" ht="15.6" customHeight="1" x14ac:dyDescent="0.25">
      <c r="B3315" s="48" t="s">
        <v>580</v>
      </c>
      <c r="C3315" s="48" t="s">
        <v>502</v>
      </c>
      <c r="G3315" s="57" t="s">
        <v>2368</v>
      </c>
      <c r="I3315" s="58">
        <f t="shared" ref="I3315:I3320" si="35">K4379</f>
        <v>299229.11</v>
      </c>
      <c r="J3315" s="200"/>
      <c r="K3315" s="58">
        <f t="shared" ref="K3315:K3320" si="36">I3315</f>
        <v>299229.11</v>
      </c>
      <c r="N3315" s="1147"/>
      <c r="O3315" s="1146"/>
      <c r="P3315" s="1115"/>
      <c r="Q3315" s="48"/>
      <c r="R3315" s="48"/>
      <c r="S3315" s="48"/>
      <c r="T3315" s="48"/>
      <c r="U3315" s="48"/>
      <c r="V3315" s="48"/>
      <c r="W3315" s="48"/>
    </row>
    <row r="3316" spans="2:23" ht="15.6" hidden="1" customHeight="1" x14ac:dyDescent="0.25">
      <c r="B3316" s="2046" t="s">
        <v>581</v>
      </c>
      <c r="C3316" s="2046" t="s">
        <v>498</v>
      </c>
      <c r="D3316" s="2077"/>
      <c r="E3316" s="2046"/>
      <c r="F3316" s="2077"/>
      <c r="G3316" s="2077" t="s">
        <v>2367</v>
      </c>
      <c r="H3316" s="2077"/>
      <c r="I3316" s="2043">
        <f t="shared" si="35"/>
        <v>0</v>
      </c>
      <c r="J3316" s="2092"/>
      <c r="K3316" s="2043">
        <f t="shared" si="36"/>
        <v>0</v>
      </c>
      <c r="N3316" s="1147"/>
      <c r="O3316" s="1146"/>
      <c r="P3316" s="1115"/>
      <c r="Q3316" s="48"/>
      <c r="R3316" s="48"/>
      <c r="S3316" s="48"/>
      <c r="T3316" s="48"/>
      <c r="U3316" s="48"/>
      <c r="V3316" s="48"/>
      <c r="W3316" s="48"/>
    </row>
    <row r="3317" spans="2:23" ht="15.6" hidden="1" customHeight="1" x14ac:dyDescent="0.25">
      <c r="B3317" s="2046" t="s">
        <v>455</v>
      </c>
      <c r="C3317" s="2046" t="s">
        <v>498</v>
      </c>
      <c r="D3317" s="2077"/>
      <c r="E3317" s="2046"/>
      <c r="F3317" s="2077"/>
      <c r="G3317" s="2077" t="s">
        <v>2367</v>
      </c>
      <c r="H3317" s="2077"/>
      <c r="I3317" s="2043">
        <f t="shared" si="35"/>
        <v>0</v>
      </c>
      <c r="J3317" s="2092"/>
      <c r="K3317" s="2043">
        <f t="shared" si="36"/>
        <v>0</v>
      </c>
      <c r="N3317" s="1147"/>
      <c r="O3317" s="1146"/>
      <c r="P3317" s="1115"/>
      <c r="Q3317" s="48"/>
      <c r="R3317" s="48"/>
      <c r="S3317" s="48"/>
      <c r="T3317" s="48"/>
      <c r="U3317" s="48"/>
      <c r="V3317" s="48"/>
      <c r="W3317" s="48"/>
    </row>
    <row r="3318" spans="2:23" ht="15.6" customHeight="1" x14ac:dyDescent="0.25">
      <c r="B3318" s="259" t="s">
        <v>501</v>
      </c>
      <c r="C3318" s="48" t="s">
        <v>502</v>
      </c>
      <c r="G3318" s="57" t="s">
        <v>2368</v>
      </c>
      <c r="I3318" s="58">
        <f t="shared" si="35"/>
        <v>212465</v>
      </c>
      <c r="J3318" s="200"/>
      <c r="K3318" s="58">
        <f t="shared" si="36"/>
        <v>212465</v>
      </c>
      <c r="N3318" s="1147"/>
      <c r="O3318" s="1146"/>
      <c r="P3318" s="1115"/>
      <c r="Q3318" s="48"/>
      <c r="R3318" s="48"/>
      <c r="S3318" s="48"/>
      <c r="T3318" s="48"/>
      <c r="U3318" s="48"/>
      <c r="V3318" s="48"/>
      <c r="W3318" s="48"/>
    </row>
    <row r="3319" spans="2:23" ht="15.6" customHeight="1" x14ac:dyDescent="0.25">
      <c r="B3319" s="259" t="s">
        <v>335</v>
      </c>
      <c r="C3319" s="48" t="s">
        <v>502</v>
      </c>
      <c r="G3319" s="57" t="s">
        <v>2368</v>
      </c>
      <c r="I3319" s="58">
        <f t="shared" si="35"/>
        <v>1179.9000000000001</v>
      </c>
      <c r="J3319" s="200"/>
      <c r="K3319" s="58">
        <f t="shared" si="36"/>
        <v>1179.9000000000001</v>
      </c>
      <c r="N3319" s="1147"/>
      <c r="O3319" s="1146"/>
      <c r="P3319" s="1115"/>
      <c r="Q3319" s="48"/>
      <c r="R3319" s="48"/>
      <c r="S3319" s="48"/>
      <c r="T3319" s="48"/>
      <c r="U3319" s="48"/>
      <c r="V3319" s="48"/>
      <c r="W3319" s="48"/>
    </row>
    <row r="3320" spans="2:23" ht="15.6" hidden="1" customHeight="1" x14ac:dyDescent="0.25">
      <c r="B3320" s="2166" t="s">
        <v>336</v>
      </c>
      <c r="C3320" s="2046" t="s">
        <v>502</v>
      </c>
      <c r="D3320" s="2077"/>
      <c r="E3320" s="2046"/>
      <c r="F3320" s="2077"/>
      <c r="G3320" s="2077" t="s">
        <v>2368</v>
      </c>
      <c r="H3320" s="2077"/>
      <c r="I3320" s="2043">
        <f t="shared" si="35"/>
        <v>0</v>
      </c>
      <c r="J3320" s="2092"/>
      <c r="K3320" s="2043">
        <f t="shared" si="36"/>
        <v>0</v>
      </c>
      <c r="N3320" s="1147"/>
      <c r="O3320" s="1146"/>
      <c r="P3320" s="1115"/>
      <c r="Q3320" s="48"/>
      <c r="R3320" s="48"/>
      <c r="S3320" s="48"/>
      <c r="T3320" s="48"/>
      <c r="U3320" s="48"/>
      <c r="V3320" s="48"/>
      <c r="W3320" s="48"/>
    </row>
    <row r="3321" spans="2:23" ht="15.6" customHeight="1" x14ac:dyDescent="0.25">
      <c r="I3321" s="58"/>
      <c r="J3321" s="200"/>
      <c r="K3321" s="58"/>
      <c r="N3321" s="1147"/>
      <c r="O3321" s="1146"/>
      <c r="P3321" s="1115"/>
      <c r="Q3321" s="48"/>
      <c r="R3321" s="48"/>
      <c r="S3321" s="48"/>
      <c r="T3321" s="48"/>
      <c r="U3321" s="48"/>
      <c r="V3321" s="48"/>
      <c r="W3321" s="48"/>
    </row>
    <row r="3322" spans="2:23" ht="15.6" hidden="1" customHeight="1" x14ac:dyDescent="0.25">
      <c r="B3322" s="50" t="s">
        <v>442</v>
      </c>
      <c r="I3322" s="58"/>
      <c r="J3322" s="200"/>
      <c r="K3322" s="58"/>
      <c r="N3322" s="1147"/>
      <c r="O3322" s="1146"/>
      <c r="P3322" s="1115"/>
      <c r="Q3322" s="48"/>
      <c r="R3322" s="48"/>
      <c r="S3322" s="48"/>
      <c r="T3322" s="48"/>
      <c r="U3322" s="48"/>
      <c r="V3322" s="48"/>
      <c r="W3322" s="48"/>
    </row>
    <row r="3323" spans="2:23" ht="15.6" hidden="1" customHeight="1" x14ac:dyDescent="0.25">
      <c r="B3323" s="2046" t="s">
        <v>1414</v>
      </c>
      <c r="C3323" s="2046" t="s">
        <v>499</v>
      </c>
      <c r="D3323" s="2077"/>
      <c r="E3323" s="2046"/>
      <c r="F3323" s="2077"/>
      <c r="G3323" s="2077" t="s">
        <v>2367</v>
      </c>
      <c r="H3323" s="2077"/>
      <c r="I3323" s="2043">
        <f t="shared" ref="I3323:I3331" si="37">K4387</f>
        <v>0</v>
      </c>
      <c r="J3323" s="2092"/>
      <c r="K3323" s="2043">
        <f t="shared" ref="K3323:K3331" si="38">I3323</f>
        <v>0</v>
      </c>
      <c r="M3323" s="1133"/>
      <c r="N3323" s="1147"/>
      <c r="O3323" s="1146"/>
      <c r="P3323" s="1115"/>
      <c r="Q3323" s="48"/>
      <c r="R3323" s="48"/>
      <c r="S3323" s="48"/>
      <c r="T3323" s="48"/>
      <c r="U3323" s="48"/>
      <c r="V3323" s="48"/>
      <c r="W3323" s="48"/>
    </row>
    <row r="3324" spans="2:23" ht="15.6" hidden="1" customHeight="1" x14ac:dyDescent="0.25">
      <c r="B3324" s="2046" t="s">
        <v>1519</v>
      </c>
      <c r="C3324" s="2046" t="s">
        <v>499</v>
      </c>
      <c r="D3324" s="2077"/>
      <c r="E3324" s="2046"/>
      <c r="F3324" s="2077"/>
      <c r="G3324" s="2077" t="s">
        <v>2367</v>
      </c>
      <c r="H3324" s="2077"/>
      <c r="I3324" s="2043">
        <f t="shared" si="37"/>
        <v>0</v>
      </c>
      <c r="J3324" s="2092"/>
      <c r="K3324" s="2043">
        <f t="shared" si="38"/>
        <v>0</v>
      </c>
      <c r="M3324" s="1133"/>
      <c r="N3324" s="1147"/>
      <c r="O3324" s="1146"/>
      <c r="P3324" s="1115"/>
      <c r="Q3324" s="48"/>
      <c r="R3324" s="48"/>
      <c r="S3324" s="48"/>
      <c r="T3324" s="48"/>
      <c r="U3324" s="48"/>
      <c r="V3324" s="48"/>
      <c r="W3324" s="48"/>
    </row>
    <row r="3325" spans="2:23" ht="15.6" hidden="1" customHeight="1" x14ac:dyDescent="0.25">
      <c r="B3325" s="2046" t="s">
        <v>3601</v>
      </c>
      <c r="C3325" s="2046" t="s">
        <v>499</v>
      </c>
      <c r="D3325" s="2077"/>
      <c r="E3325" s="2046"/>
      <c r="F3325" s="2077"/>
      <c r="G3325" s="2077" t="s">
        <v>2367</v>
      </c>
      <c r="H3325" s="2077"/>
      <c r="I3325" s="2043">
        <f t="shared" si="37"/>
        <v>0</v>
      </c>
      <c r="J3325" s="2092"/>
      <c r="K3325" s="2043">
        <f t="shared" si="38"/>
        <v>0</v>
      </c>
      <c r="M3325" s="1133"/>
      <c r="N3325" s="1147"/>
      <c r="O3325" s="1146"/>
      <c r="P3325" s="1115"/>
      <c r="Q3325" s="48"/>
      <c r="R3325" s="48"/>
      <c r="S3325" s="48"/>
      <c r="T3325" s="48"/>
      <c r="U3325" s="48"/>
      <c r="V3325" s="48"/>
      <c r="W3325" s="48"/>
    </row>
    <row r="3326" spans="2:23" ht="15.6" hidden="1" customHeight="1" x14ac:dyDescent="0.25">
      <c r="B3326" s="2046" t="s">
        <v>1720</v>
      </c>
      <c r="C3326" s="2046" t="s">
        <v>499</v>
      </c>
      <c r="D3326" s="2077"/>
      <c r="E3326" s="2046"/>
      <c r="F3326" s="2077"/>
      <c r="G3326" s="2077" t="s">
        <v>2367</v>
      </c>
      <c r="H3326" s="2077"/>
      <c r="I3326" s="2043">
        <f t="shared" si="37"/>
        <v>0</v>
      </c>
      <c r="J3326" s="2092"/>
      <c r="K3326" s="2043">
        <f t="shared" si="38"/>
        <v>0</v>
      </c>
      <c r="N3326" s="1147"/>
      <c r="O3326" s="1146"/>
      <c r="P3326" s="1115"/>
      <c r="Q3326" s="48"/>
      <c r="R3326" s="48"/>
      <c r="S3326" s="48"/>
      <c r="T3326" s="48"/>
      <c r="U3326" s="48"/>
      <c r="V3326" s="48"/>
      <c r="W3326" s="48"/>
    </row>
    <row r="3327" spans="2:23" ht="15.6" hidden="1" customHeight="1" x14ac:dyDescent="0.25">
      <c r="B3327" s="2046" t="s">
        <v>1719</v>
      </c>
      <c r="C3327" s="2046" t="s">
        <v>499</v>
      </c>
      <c r="D3327" s="2077"/>
      <c r="E3327" s="2046"/>
      <c r="F3327" s="2077"/>
      <c r="G3327" s="2077" t="s">
        <v>2367</v>
      </c>
      <c r="H3327" s="2077"/>
      <c r="I3327" s="2043">
        <f t="shared" si="37"/>
        <v>0</v>
      </c>
      <c r="J3327" s="2092"/>
      <c r="K3327" s="2043">
        <f t="shared" si="38"/>
        <v>0</v>
      </c>
      <c r="N3327" s="1147"/>
      <c r="O3327" s="1146"/>
      <c r="P3327" s="1115"/>
      <c r="Q3327" s="48"/>
      <c r="R3327" s="48"/>
      <c r="S3327" s="48"/>
      <c r="T3327" s="48"/>
      <c r="U3327" s="48"/>
      <c r="V3327" s="48"/>
      <c r="W3327" s="48"/>
    </row>
    <row r="3328" spans="2:23" ht="15.6" hidden="1" customHeight="1" x14ac:dyDescent="0.25">
      <c r="B3328" s="2046" t="s">
        <v>1721</v>
      </c>
      <c r="C3328" s="2046" t="s">
        <v>499</v>
      </c>
      <c r="D3328" s="2077"/>
      <c r="E3328" s="2046"/>
      <c r="F3328" s="2077"/>
      <c r="G3328" s="2077" t="s">
        <v>2367</v>
      </c>
      <c r="H3328" s="2077"/>
      <c r="I3328" s="2043">
        <f t="shared" si="37"/>
        <v>0</v>
      </c>
      <c r="J3328" s="2092"/>
      <c r="K3328" s="2043">
        <f t="shared" si="38"/>
        <v>0</v>
      </c>
      <c r="N3328" s="1147"/>
      <c r="O3328" s="1146"/>
      <c r="P3328" s="1115"/>
      <c r="Q3328" s="48"/>
      <c r="R3328" s="48"/>
      <c r="S3328" s="48"/>
      <c r="T3328" s="48"/>
      <c r="U3328" s="48"/>
      <c r="V3328" s="48"/>
      <c r="W3328" s="48"/>
    </row>
    <row r="3329" spans="2:23" ht="15.6" hidden="1" customHeight="1" x14ac:dyDescent="0.25">
      <c r="B3329" s="2046" t="s">
        <v>1722</v>
      </c>
      <c r="C3329" s="2046" t="s">
        <v>499</v>
      </c>
      <c r="D3329" s="2077"/>
      <c r="E3329" s="2046"/>
      <c r="F3329" s="2077"/>
      <c r="G3329" s="2077" t="s">
        <v>2367</v>
      </c>
      <c r="H3329" s="2077"/>
      <c r="I3329" s="2043">
        <f t="shared" si="37"/>
        <v>0</v>
      </c>
      <c r="J3329" s="2092"/>
      <c r="K3329" s="2043">
        <f t="shared" si="38"/>
        <v>0</v>
      </c>
      <c r="N3329" s="1147"/>
      <c r="O3329" s="1146"/>
      <c r="P3329" s="1115"/>
      <c r="Q3329" s="48"/>
      <c r="R3329" s="48"/>
      <c r="S3329" s="48"/>
      <c r="T3329" s="48"/>
      <c r="U3329" s="48"/>
      <c r="V3329" s="48"/>
      <c r="W3329" s="48"/>
    </row>
    <row r="3330" spans="2:23" ht="15.6" hidden="1" customHeight="1" x14ac:dyDescent="0.25">
      <c r="B3330" s="2046" t="s">
        <v>1723</v>
      </c>
      <c r="C3330" s="2046" t="s">
        <v>499</v>
      </c>
      <c r="D3330" s="2077"/>
      <c r="E3330" s="2046"/>
      <c r="F3330" s="2077"/>
      <c r="G3330" s="2077" t="s">
        <v>2367</v>
      </c>
      <c r="H3330" s="2077"/>
      <c r="I3330" s="2043">
        <f t="shared" si="37"/>
        <v>0</v>
      </c>
      <c r="J3330" s="2092"/>
      <c r="K3330" s="2043">
        <f t="shared" si="38"/>
        <v>0</v>
      </c>
      <c r="N3330" s="1147"/>
      <c r="O3330" s="1146"/>
      <c r="P3330" s="1115"/>
      <c r="Q3330" s="48"/>
      <c r="R3330" s="48"/>
      <c r="S3330" s="48"/>
      <c r="T3330" s="48"/>
      <c r="U3330" s="48"/>
      <c r="V3330" s="48"/>
      <c r="W3330" s="48"/>
    </row>
    <row r="3331" spans="2:23" ht="15.6" hidden="1" customHeight="1" x14ac:dyDescent="0.25">
      <c r="B3331" s="2046" t="s">
        <v>1724</v>
      </c>
      <c r="C3331" s="2046" t="s">
        <v>499</v>
      </c>
      <c r="D3331" s="2077"/>
      <c r="E3331" s="2046"/>
      <c r="F3331" s="2077"/>
      <c r="G3331" s="2077" t="s">
        <v>2367</v>
      </c>
      <c r="H3331" s="2077"/>
      <c r="I3331" s="2043">
        <f t="shared" si="37"/>
        <v>0</v>
      </c>
      <c r="J3331" s="2092"/>
      <c r="K3331" s="2043">
        <f t="shared" si="38"/>
        <v>0</v>
      </c>
      <c r="N3331" s="1147"/>
      <c r="O3331" s="1146"/>
      <c r="P3331" s="1115"/>
      <c r="Q3331" s="48"/>
      <c r="R3331" s="48"/>
      <c r="S3331" s="48"/>
      <c r="T3331" s="48"/>
      <c r="U3331" s="48"/>
      <c r="V3331" s="48"/>
      <c r="W3331" s="48"/>
    </row>
    <row r="3332" spans="2:23" ht="15.6" hidden="1" customHeight="1" x14ac:dyDescent="0.25">
      <c r="I3332" s="244">
        <f>SUM(I3274:I3331)</f>
        <v>10622229.322715169</v>
      </c>
      <c r="J3332" s="200"/>
      <c r="K3332" s="244">
        <f>SUM(K3274:K3331)</f>
        <v>10622229.322715169</v>
      </c>
      <c r="N3332" s="1147"/>
      <c r="O3332" s="1146"/>
      <c r="P3332" s="1115"/>
      <c r="Q3332" s="48"/>
      <c r="R3332" s="48"/>
      <c r="S3332" s="48"/>
      <c r="T3332" s="48"/>
      <c r="U3332" s="48"/>
      <c r="V3332" s="48"/>
      <c r="W3332" s="48"/>
    </row>
    <row r="3333" spans="2:23" ht="15.6" customHeight="1" x14ac:dyDescent="0.25">
      <c r="B3333" s="50" t="s">
        <v>1162</v>
      </c>
      <c r="I3333" s="58"/>
      <c r="J3333" s="200"/>
      <c r="K3333" s="58"/>
      <c r="N3333" s="1147"/>
      <c r="O3333" s="1146"/>
      <c r="P3333" s="1115"/>
      <c r="Q3333" s="48"/>
      <c r="R3333" s="48"/>
      <c r="S3333" s="48"/>
      <c r="T3333" s="48"/>
      <c r="U3333" s="48"/>
      <c r="V3333" s="48"/>
      <c r="W3333" s="48"/>
    </row>
    <row r="3334" spans="2:23" ht="15.6" customHeight="1" x14ac:dyDescent="0.25">
      <c r="B3334" s="50" t="s">
        <v>390</v>
      </c>
      <c r="I3334" s="58"/>
      <c r="J3334" s="200"/>
      <c r="K3334" s="58"/>
      <c r="M3334" s="1133"/>
      <c r="N3334" s="1147"/>
      <c r="O3334" s="1146"/>
      <c r="P3334" s="1115"/>
      <c r="Q3334" s="48"/>
      <c r="R3334" s="48"/>
      <c r="S3334" s="48"/>
      <c r="T3334" s="48"/>
      <c r="U3334" s="48"/>
      <c r="V3334" s="48"/>
      <c r="W3334" s="48"/>
    </row>
    <row r="3335" spans="2:23" ht="15.6" hidden="1" customHeight="1" x14ac:dyDescent="0.25">
      <c r="B3335" s="2046" t="s">
        <v>206</v>
      </c>
      <c r="C3335" s="2046" t="s">
        <v>1554</v>
      </c>
      <c r="D3335" s="2077"/>
      <c r="E3335" s="2046"/>
      <c r="F3335" s="2077"/>
      <c r="G3335" s="2077" t="s">
        <v>2367</v>
      </c>
      <c r="H3335" s="2077"/>
      <c r="I3335" s="2043">
        <f>K4474</f>
        <v>0</v>
      </c>
      <c r="J3335" s="2092"/>
      <c r="K3335" s="2043">
        <f>I3335</f>
        <v>0</v>
      </c>
      <c r="M3335" s="1133"/>
      <c r="N3335" s="1147"/>
      <c r="O3335" s="1146"/>
      <c r="P3335" s="1115"/>
      <c r="Q3335" s="48"/>
      <c r="R3335" s="48"/>
      <c r="S3335" s="48"/>
      <c r="T3335" s="48"/>
      <c r="U3335" s="48"/>
      <c r="V3335" s="48"/>
      <c r="W3335" s="48"/>
    </row>
    <row r="3336" spans="2:23" ht="15.6" hidden="1" customHeight="1" x14ac:dyDescent="0.25">
      <c r="B3336" s="2046" t="s">
        <v>275</v>
      </c>
      <c r="C3336" s="2046" t="s">
        <v>1554</v>
      </c>
      <c r="D3336" s="2077"/>
      <c r="E3336" s="2046"/>
      <c r="F3336" s="2077"/>
      <c r="G3336" s="2077" t="s">
        <v>2367</v>
      </c>
      <c r="H3336" s="2077"/>
      <c r="I3336" s="2043">
        <f t="shared" ref="I3336:I3339" si="39">K4475</f>
        <v>0</v>
      </c>
      <c r="J3336" s="2092"/>
      <c r="K3336" s="2043">
        <f t="shared" ref="K3336:K3339" si="40">I3336</f>
        <v>0</v>
      </c>
      <c r="M3336" s="1133"/>
      <c r="N3336" s="1147"/>
      <c r="O3336" s="1146"/>
      <c r="P3336" s="1115"/>
      <c r="Q3336" s="48"/>
      <c r="R3336" s="48"/>
      <c r="S3336" s="48"/>
      <c r="T3336" s="48"/>
      <c r="U3336" s="48"/>
      <c r="V3336" s="48"/>
      <c r="W3336" s="48"/>
    </row>
    <row r="3337" spans="2:23" ht="15.6" customHeight="1" x14ac:dyDescent="0.25">
      <c r="B3337" s="48" t="s">
        <v>1486</v>
      </c>
      <c r="C3337" s="48" t="s">
        <v>1554</v>
      </c>
      <c r="G3337" s="57" t="s">
        <v>2367</v>
      </c>
      <c r="I3337" s="58">
        <f t="shared" si="39"/>
        <v>650325.60999999987</v>
      </c>
      <c r="J3337" s="200"/>
      <c r="K3337" s="58">
        <f t="shared" si="40"/>
        <v>650325.60999999987</v>
      </c>
      <c r="M3337" s="1133"/>
      <c r="N3337" s="1147"/>
      <c r="O3337" s="1146"/>
      <c r="P3337" s="1115"/>
      <c r="Q3337" s="48"/>
      <c r="R3337" s="48"/>
      <c r="S3337" s="48"/>
      <c r="T3337" s="48"/>
      <c r="U3337" s="48"/>
      <c r="V3337" s="48"/>
      <c r="W3337" s="48"/>
    </row>
    <row r="3338" spans="2:23" ht="15.6" customHeight="1" x14ac:dyDescent="0.25">
      <c r="B3338" s="48" t="s">
        <v>653</v>
      </c>
      <c r="C3338" s="48" t="s">
        <v>1554</v>
      </c>
      <c r="G3338" s="57" t="s">
        <v>2367</v>
      </c>
      <c r="I3338" s="58">
        <f t="shared" si="39"/>
        <v>1425012.73</v>
      </c>
      <c r="J3338" s="200"/>
      <c r="K3338" s="58">
        <f t="shared" si="40"/>
        <v>1425012.73</v>
      </c>
      <c r="M3338" s="1133"/>
      <c r="N3338" s="1147"/>
      <c r="O3338" s="1146"/>
      <c r="P3338" s="1115"/>
      <c r="Q3338" s="48"/>
      <c r="R3338" s="48"/>
      <c r="S3338" s="48"/>
      <c r="T3338" s="48"/>
      <c r="U3338" s="48"/>
      <c r="V3338" s="48"/>
      <c r="W3338" s="48"/>
    </row>
    <row r="3339" spans="2:23" ht="15.6" customHeight="1" x14ac:dyDescent="0.25">
      <c r="B3339" s="48" t="s">
        <v>577</v>
      </c>
      <c r="C3339" s="48" t="s">
        <v>1554</v>
      </c>
      <c r="G3339" s="57" t="s">
        <v>2367</v>
      </c>
      <c r="I3339" s="58">
        <f t="shared" si="39"/>
        <v>1337754.6399999999</v>
      </c>
      <c r="J3339" s="200"/>
      <c r="K3339" s="58">
        <f t="shared" si="40"/>
        <v>1337754.6399999999</v>
      </c>
      <c r="M3339" s="1133"/>
      <c r="N3339" s="1147"/>
      <c r="O3339" s="1146"/>
      <c r="P3339" s="1115"/>
      <c r="Q3339" s="48"/>
      <c r="R3339" s="48"/>
      <c r="S3339" s="48"/>
      <c r="T3339" s="48"/>
      <c r="U3339" s="48"/>
      <c r="V3339" s="48"/>
      <c r="W3339" s="48"/>
    </row>
    <row r="3340" spans="2:23" ht="15.6" customHeight="1" x14ac:dyDescent="0.25">
      <c r="I3340" s="58"/>
      <c r="J3340" s="200"/>
      <c r="K3340" s="58"/>
      <c r="M3340" s="1133"/>
      <c r="N3340" s="1147"/>
      <c r="O3340" s="1146"/>
      <c r="P3340" s="1115"/>
      <c r="Q3340" s="48"/>
      <c r="R3340" s="48"/>
      <c r="S3340" s="48"/>
      <c r="T3340" s="48"/>
      <c r="U3340" s="48"/>
      <c r="V3340" s="48"/>
      <c r="W3340" s="48"/>
    </row>
    <row r="3341" spans="2:23" ht="15.6" customHeight="1" x14ac:dyDescent="0.25">
      <c r="B3341" s="50" t="s">
        <v>1873</v>
      </c>
      <c r="I3341" s="58"/>
      <c r="J3341" s="200"/>
      <c r="K3341" s="58"/>
      <c r="M3341" s="1133"/>
      <c r="N3341" s="1147"/>
      <c r="O3341" s="1146"/>
      <c r="P3341" s="1115"/>
      <c r="Q3341" s="48"/>
      <c r="R3341" s="48"/>
      <c r="S3341" s="48"/>
      <c r="T3341" s="48"/>
      <c r="U3341" s="48"/>
      <c r="V3341" s="48"/>
      <c r="W3341" s="48"/>
    </row>
    <row r="3342" spans="2:23" ht="15.6" customHeight="1" x14ac:dyDescent="0.25">
      <c r="B3342" s="48" t="s">
        <v>59</v>
      </c>
      <c r="C3342" s="48" t="s">
        <v>1554</v>
      </c>
      <c r="G3342" s="57" t="s">
        <v>2367</v>
      </c>
      <c r="I3342" s="58">
        <f t="shared" ref="I3342:I3345" si="41">K4481</f>
        <v>14117074.239999998</v>
      </c>
      <c r="J3342" s="200"/>
      <c r="K3342" s="58">
        <f t="shared" ref="K3342:K3350" si="42">I3342</f>
        <v>14117074.239999998</v>
      </c>
      <c r="M3342" s="1133"/>
      <c r="N3342" s="1147"/>
      <c r="O3342" s="1146"/>
      <c r="P3342" s="1115"/>
      <c r="Q3342" s="48"/>
      <c r="R3342" s="48"/>
      <c r="S3342" s="48"/>
      <c r="T3342" s="48"/>
      <c r="U3342" s="48"/>
      <c r="V3342" s="48"/>
      <c r="W3342" s="48"/>
    </row>
    <row r="3343" spans="2:23" ht="15.6" customHeight="1" x14ac:dyDescent="0.25">
      <c r="B3343" s="48" t="s">
        <v>658</v>
      </c>
      <c r="C3343" s="48" t="s">
        <v>4043</v>
      </c>
      <c r="G3343" s="57" t="s">
        <v>2368</v>
      </c>
      <c r="I3343" s="58">
        <f t="shared" si="41"/>
        <v>239710.54</v>
      </c>
      <c r="J3343" s="200"/>
      <c r="K3343" s="58">
        <f t="shared" si="42"/>
        <v>239710.54</v>
      </c>
      <c r="M3343" s="1133"/>
      <c r="N3343" s="1147"/>
      <c r="O3343" s="1146"/>
      <c r="P3343" s="1115"/>
      <c r="Q3343" s="48"/>
      <c r="R3343" s="48"/>
      <c r="S3343" s="48"/>
      <c r="T3343" s="48"/>
      <c r="U3343" s="48"/>
      <c r="V3343" s="48"/>
      <c r="W3343" s="48"/>
    </row>
    <row r="3344" spans="2:23" ht="15.6" hidden="1" customHeight="1" x14ac:dyDescent="0.25">
      <c r="B3344" s="48" t="s">
        <v>1416</v>
      </c>
      <c r="C3344" s="48" t="s">
        <v>1554</v>
      </c>
      <c r="G3344" s="57" t="s">
        <v>2367</v>
      </c>
      <c r="I3344" s="58">
        <f t="shared" si="41"/>
        <v>0</v>
      </c>
      <c r="J3344" s="200"/>
      <c r="K3344" s="58">
        <f t="shared" si="42"/>
        <v>0</v>
      </c>
      <c r="M3344" s="1133"/>
      <c r="N3344" s="1147"/>
      <c r="O3344" s="1146"/>
      <c r="P3344" s="1115"/>
      <c r="Q3344" s="48"/>
      <c r="R3344" s="48"/>
      <c r="S3344" s="48"/>
      <c r="T3344" s="48"/>
      <c r="U3344" s="48"/>
      <c r="V3344" s="48"/>
      <c r="W3344" s="48"/>
    </row>
    <row r="3345" spans="2:23" ht="15.6" hidden="1" customHeight="1" x14ac:dyDescent="0.25">
      <c r="B3345" s="48" t="s">
        <v>659</v>
      </c>
      <c r="C3345" s="48" t="s">
        <v>1554</v>
      </c>
      <c r="G3345" s="57" t="s">
        <v>2367</v>
      </c>
      <c r="I3345" s="58">
        <f t="shared" si="41"/>
        <v>0</v>
      </c>
      <c r="J3345" s="200"/>
      <c r="K3345" s="58">
        <f t="shared" si="42"/>
        <v>0</v>
      </c>
      <c r="M3345" s="1133"/>
      <c r="N3345" s="1147"/>
      <c r="O3345" s="1146"/>
      <c r="P3345" s="1115"/>
      <c r="Q3345" s="48"/>
      <c r="R3345" s="48"/>
      <c r="S3345" s="48"/>
      <c r="T3345" s="48"/>
      <c r="U3345" s="48"/>
      <c r="V3345" s="48"/>
      <c r="W3345" s="48"/>
    </row>
    <row r="3346" spans="2:23" ht="15.6" hidden="1" customHeight="1" x14ac:dyDescent="0.25">
      <c r="B3346" s="48" t="s">
        <v>2721</v>
      </c>
      <c r="C3346" s="48" t="s">
        <v>1554</v>
      </c>
      <c r="G3346" s="57" t="s">
        <v>2367</v>
      </c>
      <c r="I3346" s="58" t="e">
        <f>#REF!</f>
        <v>#REF!</v>
      </c>
      <c r="J3346" s="200"/>
      <c r="K3346" s="58" t="e">
        <f t="shared" si="42"/>
        <v>#REF!</v>
      </c>
      <c r="M3346" s="1133"/>
      <c r="N3346" s="1147"/>
      <c r="O3346" s="1146"/>
      <c r="P3346" s="1115"/>
      <c r="Q3346" s="48"/>
      <c r="R3346" s="48"/>
      <c r="S3346" s="48"/>
      <c r="T3346" s="48"/>
      <c r="U3346" s="48"/>
      <c r="V3346" s="48"/>
      <c r="W3346" s="48"/>
    </row>
    <row r="3347" spans="2:23" ht="15.6" hidden="1" customHeight="1" x14ac:dyDescent="0.25">
      <c r="B3347" s="48" t="s">
        <v>1975</v>
      </c>
      <c r="C3347" s="48" t="s">
        <v>1554</v>
      </c>
      <c r="G3347" s="57" t="s">
        <v>2367</v>
      </c>
      <c r="I3347" s="58" t="e">
        <f>#REF!</f>
        <v>#REF!</v>
      </c>
      <c r="J3347" s="200"/>
      <c r="K3347" s="58" t="e">
        <f t="shared" si="42"/>
        <v>#REF!</v>
      </c>
      <c r="M3347" s="1133"/>
      <c r="N3347" s="1147"/>
      <c r="O3347" s="1146"/>
      <c r="P3347" s="1115"/>
      <c r="Q3347" s="48"/>
      <c r="R3347" s="48"/>
      <c r="S3347" s="48"/>
      <c r="T3347" s="48"/>
      <c r="U3347" s="48"/>
      <c r="V3347" s="48"/>
      <c r="W3347" s="48"/>
    </row>
    <row r="3348" spans="2:23" ht="15.6" hidden="1" customHeight="1" x14ac:dyDescent="0.25">
      <c r="B3348" s="48" t="s">
        <v>3627</v>
      </c>
      <c r="C3348" s="48" t="s">
        <v>1554</v>
      </c>
      <c r="G3348" s="57" t="s">
        <v>2367</v>
      </c>
      <c r="I3348" s="58" t="e">
        <f>#REF!</f>
        <v>#REF!</v>
      </c>
      <c r="J3348" s="200"/>
      <c r="K3348" s="58" t="e">
        <f t="shared" si="42"/>
        <v>#REF!</v>
      </c>
      <c r="M3348" s="1133"/>
      <c r="N3348" s="1147"/>
      <c r="O3348" s="1146"/>
      <c r="P3348" s="1115"/>
      <c r="Q3348" s="48"/>
      <c r="R3348" s="48"/>
      <c r="S3348" s="48"/>
      <c r="T3348" s="48"/>
      <c r="U3348" s="48"/>
      <c r="V3348" s="48"/>
      <c r="W3348" s="48"/>
    </row>
    <row r="3349" spans="2:23" ht="15.6" customHeight="1" x14ac:dyDescent="0.25">
      <c r="B3349" s="48" t="s">
        <v>660</v>
      </c>
      <c r="C3349" s="48" t="s">
        <v>1554</v>
      </c>
      <c r="G3349" s="57" t="s">
        <v>2367</v>
      </c>
      <c r="I3349" s="58">
        <f>K4485</f>
        <v>236574.36</v>
      </c>
      <c r="J3349" s="200"/>
      <c r="K3349" s="58">
        <f t="shared" si="42"/>
        <v>236574.36</v>
      </c>
      <c r="M3349" s="1133"/>
      <c r="N3349" s="1147"/>
      <c r="O3349" s="1146"/>
      <c r="P3349" s="1115"/>
      <c r="Q3349" s="48"/>
      <c r="R3349" s="48"/>
      <c r="S3349" s="48"/>
      <c r="T3349" s="48"/>
      <c r="U3349" s="48"/>
      <c r="V3349" s="48"/>
      <c r="W3349" s="48"/>
    </row>
    <row r="3350" spans="2:23" ht="15.6" customHeight="1" x14ac:dyDescent="0.25">
      <c r="B3350" s="48" t="s">
        <v>60</v>
      </c>
      <c r="C3350" s="48" t="s">
        <v>1554</v>
      </c>
      <c r="G3350" s="57" t="s">
        <v>2367</v>
      </c>
      <c r="I3350" s="58">
        <f>K4487</f>
        <v>76648.03</v>
      </c>
      <c r="J3350" s="200"/>
      <c r="K3350" s="58">
        <f t="shared" si="42"/>
        <v>76648.03</v>
      </c>
      <c r="M3350" s="1133"/>
      <c r="N3350" s="1147"/>
      <c r="O3350" s="1146"/>
      <c r="P3350" s="1115"/>
      <c r="Q3350" s="48"/>
      <c r="R3350" s="48"/>
      <c r="S3350" s="48"/>
      <c r="T3350" s="48"/>
      <c r="U3350" s="48"/>
      <c r="V3350" s="48"/>
      <c r="W3350" s="48"/>
    </row>
    <row r="3351" spans="2:23" ht="15.6" customHeight="1" x14ac:dyDescent="0.25">
      <c r="I3351" s="58"/>
      <c r="J3351" s="200"/>
      <c r="K3351" s="58"/>
      <c r="M3351" s="1133"/>
      <c r="N3351" s="1147"/>
      <c r="O3351" s="1146"/>
      <c r="P3351" s="1115"/>
      <c r="Q3351" s="48"/>
      <c r="R3351" s="48"/>
      <c r="S3351" s="48"/>
      <c r="T3351" s="48"/>
      <c r="U3351" s="48"/>
      <c r="V3351" s="48"/>
      <c r="W3351" s="48"/>
    </row>
    <row r="3352" spans="2:23" ht="15.6" hidden="1" customHeight="1" x14ac:dyDescent="0.25">
      <c r="B3352" s="50" t="s">
        <v>333</v>
      </c>
      <c r="I3352" s="58"/>
      <c r="J3352" s="200"/>
      <c r="K3352" s="58"/>
      <c r="M3352" s="1133"/>
      <c r="N3352" s="1147"/>
      <c r="O3352" s="1146"/>
      <c r="P3352" s="1115"/>
      <c r="Q3352" s="48"/>
      <c r="R3352" s="48"/>
      <c r="S3352" s="48"/>
      <c r="T3352" s="48"/>
      <c r="U3352" s="48"/>
      <c r="V3352" s="48"/>
      <c r="W3352" s="48"/>
    </row>
    <row r="3353" spans="2:23" ht="15.6" hidden="1" customHeight="1" x14ac:dyDescent="0.25">
      <c r="B3353" s="2046" t="s">
        <v>576</v>
      </c>
      <c r="C3353" s="2046" t="s">
        <v>1554</v>
      </c>
      <c r="D3353" s="2077"/>
      <c r="E3353" s="2046"/>
      <c r="F3353" s="2077"/>
      <c r="G3353" s="2077" t="s">
        <v>2367</v>
      </c>
      <c r="H3353" s="2077"/>
      <c r="I3353" s="2043">
        <f t="shared" ref="I3353:I3364" si="43">K4490</f>
        <v>0</v>
      </c>
      <c r="J3353" s="2092"/>
      <c r="K3353" s="2043">
        <f t="shared" ref="K3353:K3364" si="44">I3353</f>
        <v>0</v>
      </c>
      <c r="M3353" s="1133"/>
      <c r="N3353" s="1147"/>
      <c r="O3353" s="1146"/>
      <c r="P3353" s="1115"/>
      <c r="Q3353" s="48"/>
      <c r="R3353" s="48"/>
      <c r="S3353" s="48"/>
      <c r="T3353" s="48"/>
      <c r="U3353" s="48"/>
      <c r="V3353" s="48"/>
      <c r="W3353" s="48"/>
    </row>
    <row r="3354" spans="2:23" ht="15.6" hidden="1" customHeight="1" x14ac:dyDescent="0.25">
      <c r="B3354" s="2046" t="s">
        <v>577</v>
      </c>
      <c r="C3354" s="2046" t="s">
        <v>1554</v>
      </c>
      <c r="D3354" s="2077"/>
      <c r="E3354" s="2046"/>
      <c r="F3354" s="2077"/>
      <c r="G3354" s="2077" t="s">
        <v>2367</v>
      </c>
      <c r="H3354" s="2077"/>
      <c r="I3354" s="2043">
        <f t="shared" si="43"/>
        <v>0</v>
      </c>
      <c r="J3354" s="2092"/>
      <c r="K3354" s="2043">
        <f t="shared" si="44"/>
        <v>0</v>
      </c>
      <c r="M3354" s="1133"/>
      <c r="N3354" s="1147"/>
      <c r="O3354" s="1146"/>
      <c r="P3354" s="1115"/>
      <c r="Q3354" s="48"/>
      <c r="R3354" s="48"/>
      <c r="S3354" s="48"/>
      <c r="T3354" s="48"/>
      <c r="U3354" s="48"/>
      <c r="V3354" s="48"/>
      <c r="W3354" s="48"/>
    </row>
    <row r="3355" spans="2:23" ht="15.6" hidden="1" customHeight="1" x14ac:dyDescent="0.25">
      <c r="I3355" s="58">
        <f t="shared" si="43"/>
        <v>0</v>
      </c>
      <c r="J3355" s="200"/>
      <c r="K3355" s="58">
        <f t="shared" si="44"/>
        <v>0</v>
      </c>
      <c r="M3355" s="1133"/>
      <c r="N3355" s="1147"/>
      <c r="O3355" s="1146"/>
      <c r="P3355" s="1115"/>
      <c r="Q3355" s="48"/>
      <c r="R3355" s="48"/>
      <c r="S3355" s="48"/>
      <c r="T3355" s="48"/>
      <c r="U3355" s="48"/>
      <c r="V3355" s="48"/>
      <c r="W3355" s="48"/>
    </row>
    <row r="3356" spans="2:23" ht="15.6" customHeight="1" x14ac:dyDescent="0.25">
      <c r="B3356" s="50" t="s">
        <v>395</v>
      </c>
      <c r="I3356" s="58"/>
      <c r="J3356" s="200"/>
      <c r="K3356" s="58"/>
      <c r="M3356" s="1133"/>
      <c r="N3356" s="1147"/>
      <c r="O3356" s="1146"/>
      <c r="P3356" s="1115"/>
      <c r="Q3356" s="48"/>
      <c r="R3356" s="48"/>
      <c r="S3356" s="48"/>
      <c r="T3356" s="48"/>
      <c r="U3356" s="48"/>
      <c r="V3356" s="48"/>
      <c r="W3356" s="48"/>
    </row>
    <row r="3357" spans="2:23" ht="15.6" customHeight="1" x14ac:dyDescent="0.25">
      <c r="B3357" s="48" t="s">
        <v>395</v>
      </c>
      <c r="C3357" s="48" t="s">
        <v>1554</v>
      </c>
      <c r="G3357" s="57" t="s">
        <v>2368</v>
      </c>
      <c r="I3357" s="58">
        <f t="shared" si="43"/>
        <v>2065666.0399999998</v>
      </c>
      <c r="J3357" s="200"/>
      <c r="K3357" s="58">
        <f t="shared" si="44"/>
        <v>2065666.0399999998</v>
      </c>
      <c r="M3357" s="1133"/>
      <c r="N3357" s="1147"/>
      <c r="O3357" s="1146"/>
      <c r="P3357" s="1115"/>
      <c r="Q3357" s="48"/>
      <c r="R3357" s="48"/>
      <c r="S3357" s="48"/>
      <c r="T3357" s="48"/>
      <c r="U3357" s="48"/>
      <c r="V3357" s="48"/>
      <c r="W3357" s="48"/>
    </row>
    <row r="3358" spans="2:23" ht="15.6" customHeight="1" x14ac:dyDescent="0.25">
      <c r="I3358" s="58"/>
      <c r="J3358" s="200"/>
      <c r="K3358" s="58"/>
      <c r="M3358" s="1133"/>
      <c r="N3358" s="1147"/>
      <c r="O3358" s="1146"/>
      <c r="P3358" s="1115"/>
    </row>
    <row r="3359" spans="2:23" ht="15.6" customHeight="1" x14ac:dyDescent="0.25">
      <c r="B3359" s="50" t="s">
        <v>396</v>
      </c>
      <c r="I3359" s="58"/>
      <c r="J3359" s="200"/>
      <c r="K3359" s="58"/>
      <c r="M3359" s="1133"/>
      <c r="N3359" s="1147"/>
      <c r="O3359" s="1146"/>
      <c r="P3359" s="1115"/>
    </row>
    <row r="3360" spans="2:23" ht="15.6" hidden="1" customHeight="1" x14ac:dyDescent="0.25">
      <c r="B3360" s="2046" t="s">
        <v>206</v>
      </c>
      <c r="C3360" s="2046" t="s">
        <v>1554</v>
      </c>
      <c r="D3360" s="2077"/>
      <c r="E3360" s="2046"/>
      <c r="F3360" s="2077"/>
      <c r="G3360" s="2077" t="s">
        <v>2367</v>
      </c>
      <c r="H3360" s="2077"/>
      <c r="I3360" s="2043">
        <f t="shared" si="43"/>
        <v>0</v>
      </c>
      <c r="J3360" s="2092"/>
      <c r="K3360" s="2043">
        <f t="shared" si="44"/>
        <v>0</v>
      </c>
      <c r="M3360" s="1133"/>
      <c r="N3360" s="1147"/>
      <c r="O3360" s="1146"/>
      <c r="P3360" s="1115"/>
    </row>
    <row r="3361" spans="1:23" ht="15.6" hidden="1" customHeight="1" x14ac:dyDescent="0.25">
      <c r="B3361" s="2046" t="s">
        <v>275</v>
      </c>
      <c r="C3361" s="2046" t="s">
        <v>1554</v>
      </c>
      <c r="D3361" s="2077"/>
      <c r="E3361" s="2046"/>
      <c r="F3361" s="2077"/>
      <c r="G3361" s="2077" t="s">
        <v>2367</v>
      </c>
      <c r="H3361" s="2077"/>
      <c r="I3361" s="2043">
        <f t="shared" si="43"/>
        <v>0</v>
      </c>
      <c r="J3361" s="2092"/>
      <c r="K3361" s="2043">
        <f t="shared" si="44"/>
        <v>0</v>
      </c>
      <c r="M3361" s="1133"/>
      <c r="N3361" s="1147"/>
      <c r="O3361" s="1146"/>
    </row>
    <row r="3362" spans="1:23" ht="15.6" customHeight="1" x14ac:dyDescent="0.25">
      <c r="B3362" s="48" t="s">
        <v>1486</v>
      </c>
      <c r="C3362" s="48" t="s">
        <v>1554</v>
      </c>
      <c r="G3362" s="57" t="s">
        <v>2367</v>
      </c>
      <c r="I3362" s="58">
        <f t="shared" si="43"/>
        <v>458273</v>
      </c>
      <c r="J3362" s="200"/>
      <c r="K3362" s="58">
        <f t="shared" si="44"/>
        <v>458273</v>
      </c>
      <c r="M3362" s="1133"/>
      <c r="N3362" s="1147"/>
      <c r="O3362" s="1146"/>
      <c r="P3362" s="1115"/>
    </row>
    <row r="3363" spans="1:23" ht="15.6" customHeight="1" x14ac:dyDescent="0.25">
      <c r="B3363" s="48" t="s">
        <v>653</v>
      </c>
      <c r="C3363" s="48" t="s">
        <v>1554</v>
      </c>
      <c r="G3363" s="57" t="s">
        <v>2367</v>
      </c>
      <c r="I3363" s="58">
        <f t="shared" si="43"/>
        <v>303438</v>
      </c>
      <c r="J3363" s="200"/>
      <c r="K3363" s="58">
        <f t="shared" si="44"/>
        <v>303438</v>
      </c>
      <c r="M3363" s="1133"/>
      <c r="N3363" s="1147"/>
      <c r="O3363" s="1146"/>
    </row>
    <row r="3364" spans="1:23" ht="15.6" hidden="1" customHeight="1" x14ac:dyDescent="0.25">
      <c r="B3364" s="2046" t="s">
        <v>577</v>
      </c>
      <c r="C3364" s="2046" t="s">
        <v>1554</v>
      </c>
      <c r="D3364" s="2077"/>
      <c r="E3364" s="2046"/>
      <c r="F3364" s="2077"/>
      <c r="G3364" s="2077" t="s">
        <v>2367</v>
      </c>
      <c r="H3364" s="2077"/>
      <c r="I3364" s="2043">
        <f t="shared" si="43"/>
        <v>0</v>
      </c>
      <c r="J3364" s="2092"/>
      <c r="K3364" s="2043">
        <f t="shared" si="44"/>
        <v>0</v>
      </c>
      <c r="M3364" s="1133"/>
      <c r="N3364" s="1147"/>
      <c r="O3364" s="1146"/>
      <c r="P3364" s="1115"/>
    </row>
    <row r="3365" spans="1:23" ht="15.6" customHeight="1" x14ac:dyDescent="0.25">
      <c r="I3365" s="244" t="e">
        <f>SUM(I3334:I3364)</f>
        <v>#REF!</v>
      </c>
      <c r="J3365" s="200"/>
      <c r="K3365" s="244" t="e">
        <f>SUM(K3334:K3364)</f>
        <v>#REF!</v>
      </c>
      <c r="M3365" s="1133"/>
      <c r="N3365" s="1147"/>
      <c r="O3365" s="1146"/>
    </row>
    <row r="3366" spans="1:23" ht="15.6" customHeight="1" x14ac:dyDescent="0.2">
      <c r="B3366" s="229" t="s">
        <v>7487</v>
      </c>
      <c r="I3366" s="270"/>
      <c r="J3366" s="270"/>
      <c r="K3366" s="270"/>
      <c r="M3366" s="1133"/>
      <c r="N3366" s="1147"/>
      <c r="O3366" s="1133"/>
      <c r="P3366" s="1115"/>
      <c r="W3366" s="1114" t="s">
        <v>3857</v>
      </c>
    </row>
    <row r="3367" spans="1:23" ht="15.6" customHeight="1" x14ac:dyDescent="0.2">
      <c r="I3367" s="58"/>
      <c r="J3367" s="58"/>
      <c r="K3367" s="58"/>
      <c r="M3367" s="1133"/>
      <c r="N3367" s="1147"/>
      <c r="O3367" s="1133"/>
      <c r="P3367" s="1115"/>
    </row>
    <row r="3368" spans="1:23" ht="30.95" customHeight="1" x14ac:dyDescent="0.2">
      <c r="A3368" s="201"/>
      <c r="B3368" s="2861" t="s">
        <v>1878</v>
      </c>
      <c r="C3368" s="2861"/>
      <c r="D3368" s="2861"/>
      <c r="E3368" s="2861"/>
      <c r="F3368" s="2861"/>
      <c r="G3368" s="2861"/>
      <c r="H3368" s="2861"/>
      <c r="I3368" s="2861"/>
      <c r="J3368" s="2861"/>
      <c r="K3368" s="2861"/>
      <c r="L3368" s="201"/>
      <c r="M3368" s="1482"/>
      <c r="N3368" s="1147"/>
      <c r="O3368" s="1133"/>
      <c r="P3368" s="1115"/>
    </row>
    <row r="3369" spans="1:23" ht="15.6" customHeight="1" x14ac:dyDescent="0.2">
      <c r="I3369" s="58"/>
      <c r="J3369" s="58"/>
      <c r="K3369" s="58"/>
      <c r="L3369" s="59"/>
      <c r="M3369" s="1133"/>
      <c r="N3369" s="1147"/>
      <c r="O3369" s="1133"/>
      <c r="P3369" s="1115"/>
    </row>
    <row r="3370" spans="1:23" ht="15.6" customHeight="1" x14ac:dyDescent="0.25">
      <c r="B3370" s="50" t="s">
        <v>1877</v>
      </c>
      <c r="I3370" s="58"/>
      <c r="J3370" s="58"/>
      <c r="K3370" s="58"/>
      <c r="M3370" s="1133"/>
      <c r="N3370" s="1147"/>
      <c r="O3370" s="1133"/>
      <c r="P3370" s="1115"/>
    </row>
    <row r="3371" spans="1:23" ht="15.6" customHeight="1" x14ac:dyDescent="0.25">
      <c r="G3371" s="266" t="s">
        <v>1057</v>
      </c>
      <c r="H3371" s="58"/>
      <c r="I3371" s="266" t="s">
        <v>242</v>
      </c>
      <c r="K3371" s="266" t="s">
        <v>1056</v>
      </c>
      <c r="M3371" s="1133"/>
      <c r="N3371" s="1147"/>
      <c r="O3371" s="1133"/>
      <c r="P3371" s="1115"/>
    </row>
    <row r="3372" spans="1:23" ht="15.6" customHeight="1" x14ac:dyDescent="0.25">
      <c r="G3372" s="266" t="s">
        <v>714</v>
      </c>
      <c r="H3372" s="58"/>
      <c r="I3372" s="266" t="s">
        <v>714</v>
      </c>
      <c r="K3372" s="266" t="s">
        <v>714</v>
      </c>
      <c r="M3372" s="1133"/>
      <c r="N3372" s="1147"/>
      <c r="O3372" s="1133"/>
      <c r="P3372" s="1115"/>
    </row>
    <row r="3373" spans="1:23" ht="15.6" customHeight="1" x14ac:dyDescent="0.2">
      <c r="G3373" s="58"/>
      <c r="H3373" s="58"/>
      <c r="I3373" s="58"/>
      <c r="K3373" s="58"/>
      <c r="M3373" s="1133"/>
      <c r="N3373" s="1147"/>
      <c r="O3373" s="1133"/>
    </row>
    <row r="3374" spans="1:23" ht="15.6" customHeight="1" x14ac:dyDescent="0.25">
      <c r="B3374" s="50" t="str">
        <f>"Total as per AFS previously published for "&amp;Parameters!C27</f>
        <v>Total as per AFS previously published for 2010/11</v>
      </c>
      <c r="G3374" s="224">
        <v>101750443</v>
      </c>
      <c r="H3374" s="58"/>
      <c r="I3374" s="224">
        <v>95360935</v>
      </c>
      <c r="K3374" s="224">
        <f t="shared" ref="K3374:K3385" si="45">G3374-I3374</f>
        <v>6389508</v>
      </c>
      <c r="N3374" s="1147"/>
      <c r="O3374" s="1133"/>
      <c r="P3374" s="1115"/>
      <c r="Q3374" s="48"/>
      <c r="R3374" s="48"/>
      <c r="S3374" s="48"/>
      <c r="T3374" s="48"/>
      <c r="U3374" s="48"/>
      <c r="V3374" s="48"/>
      <c r="W3374" s="48"/>
    </row>
    <row r="3375" spans="1:23" ht="15.6" customHeight="1" x14ac:dyDescent="0.2">
      <c r="B3375" s="48" t="s">
        <v>7588</v>
      </c>
      <c r="G3375" s="58">
        <v>0</v>
      </c>
      <c r="H3375" s="58"/>
      <c r="I3375" s="58">
        <v>-83566</v>
      </c>
      <c r="K3375" s="58">
        <f>G3375-I3375</f>
        <v>83566</v>
      </c>
      <c r="N3375" s="1147"/>
      <c r="O3375" s="1133"/>
      <c r="P3375" s="1115"/>
      <c r="Q3375" s="48"/>
      <c r="R3375" s="48"/>
      <c r="S3375" s="48"/>
      <c r="T3375" s="48"/>
      <c r="U3375" s="48"/>
      <c r="V3375" s="48"/>
      <c r="W3375" s="48"/>
    </row>
    <row r="3376" spans="1:23" ht="15.6" customHeight="1" x14ac:dyDescent="0.2">
      <c r="B3376" s="48" t="s">
        <v>7589</v>
      </c>
      <c r="G3376" s="58">
        <f>K2793</f>
        <v>2849677.71</v>
      </c>
      <c r="H3376" s="58"/>
      <c r="I3376" s="58">
        <v>2849678</v>
      </c>
      <c r="K3376" s="58">
        <v>0</v>
      </c>
      <c r="N3376" s="1147"/>
      <c r="O3376" s="1133"/>
      <c r="P3376" s="1115"/>
      <c r="Q3376" s="48"/>
      <c r="R3376" s="48"/>
      <c r="S3376" s="48"/>
      <c r="T3376" s="48"/>
      <c r="U3376" s="48"/>
      <c r="V3376" s="48"/>
      <c r="W3376" s="48"/>
    </row>
    <row r="3377" spans="1:23" ht="15.6" customHeight="1" x14ac:dyDescent="0.2">
      <c r="B3377" s="48" t="s">
        <v>7590</v>
      </c>
      <c r="G3377" s="58">
        <f>I3448+I3449</f>
        <v>0</v>
      </c>
      <c r="H3377" s="58"/>
      <c r="I3377" s="58">
        <v>-361619</v>
      </c>
      <c r="K3377" s="58">
        <f t="shared" si="45"/>
        <v>361619</v>
      </c>
      <c r="N3377" s="1147"/>
      <c r="O3377" s="1133"/>
      <c r="P3377" s="1115"/>
      <c r="Q3377" s="48"/>
      <c r="R3377" s="48"/>
      <c r="S3377" s="48"/>
      <c r="T3377" s="48"/>
      <c r="U3377" s="48"/>
      <c r="V3377" s="48"/>
      <c r="W3377" s="48"/>
    </row>
    <row r="3378" spans="1:23" ht="15.6" customHeight="1" x14ac:dyDescent="0.2">
      <c r="B3378" s="48" t="s">
        <v>7591</v>
      </c>
      <c r="G3378" s="58">
        <v>1780205</v>
      </c>
      <c r="H3378" s="58"/>
      <c r="I3378" s="58">
        <f>'Fin Perform'!K36</f>
        <v>21078163.109999999</v>
      </c>
      <c r="K3378" s="58">
        <f>G3378-I3378</f>
        <v>-19297958.109999999</v>
      </c>
      <c r="N3378" s="1147"/>
      <c r="O3378" s="1133"/>
      <c r="P3378" s="1115"/>
      <c r="Q3378" s="48"/>
      <c r="R3378" s="48"/>
      <c r="S3378" s="48"/>
      <c r="T3378" s="48"/>
      <c r="U3378" s="48"/>
      <c r="V3378" s="48"/>
      <c r="W3378" s="48"/>
    </row>
    <row r="3379" spans="1:23" ht="15.6" hidden="1" customHeight="1" x14ac:dyDescent="0.2">
      <c r="B3379" s="2082" t="s">
        <v>2531</v>
      </c>
      <c r="G3379" s="58">
        <v>0</v>
      </c>
      <c r="H3379" s="2043"/>
      <c r="I3379" s="2043">
        <f>M3522</f>
        <v>0</v>
      </c>
      <c r="J3379" s="2060"/>
      <c r="K3379" s="2043">
        <f>G3379-I3379</f>
        <v>0</v>
      </c>
      <c r="N3379" s="1147"/>
      <c r="O3379" s="1133"/>
      <c r="P3379" s="1115"/>
      <c r="Q3379" s="48"/>
      <c r="R3379" s="48"/>
      <c r="S3379" s="48"/>
      <c r="T3379" s="48"/>
      <c r="U3379" s="48"/>
      <c r="V3379" s="48"/>
      <c r="W3379" s="48"/>
    </row>
    <row r="3380" spans="1:23" ht="15.6" hidden="1" customHeight="1" x14ac:dyDescent="0.2">
      <c r="B3380" s="2082" t="s">
        <v>2532</v>
      </c>
      <c r="G3380" s="58">
        <v>0</v>
      </c>
      <c r="H3380" s="2043"/>
      <c r="I3380" s="2043">
        <f>-M3551</f>
        <v>0</v>
      </c>
      <c r="J3380" s="2060"/>
      <c r="K3380" s="2043">
        <f t="shared" si="45"/>
        <v>0</v>
      </c>
      <c r="N3380" s="1147"/>
      <c r="O3380" s="1133"/>
      <c r="P3380" s="1115"/>
      <c r="Q3380" s="48"/>
      <c r="R3380" s="48"/>
      <c r="S3380" s="48"/>
      <c r="T3380" s="48"/>
      <c r="U3380" s="48"/>
      <c r="V3380" s="48"/>
      <c r="W3380" s="48"/>
    </row>
    <row r="3381" spans="1:23" ht="15.6" hidden="1" customHeight="1" x14ac:dyDescent="0.2">
      <c r="B3381" s="2082" t="s">
        <v>2533</v>
      </c>
      <c r="G3381" s="58">
        <f>M3766</f>
        <v>0</v>
      </c>
      <c r="H3381" s="2043"/>
      <c r="I3381" s="2043">
        <v>0</v>
      </c>
      <c r="J3381" s="2060"/>
      <c r="K3381" s="2043">
        <f t="shared" si="45"/>
        <v>0</v>
      </c>
      <c r="N3381" s="1147"/>
      <c r="O3381" s="1133"/>
      <c r="P3381" s="1115"/>
      <c r="Q3381" s="48"/>
      <c r="R3381" s="48"/>
      <c r="S3381" s="48"/>
      <c r="T3381" s="48"/>
      <c r="U3381" s="48"/>
      <c r="V3381" s="48"/>
      <c r="W3381" s="48"/>
    </row>
    <row r="3382" spans="1:23" ht="15.6" hidden="1" customHeight="1" x14ac:dyDescent="0.2">
      <c r="B3382" s="2082" t="s">
        <v>2534</v>
      </c>
      <c r="G3382" s="58">
        <v>0</v>
      </c>
      <c r="H3382" s="2043"/>
      <c r="I3382" s="2043">
        <f>-M3767</f>
        <v>0</v>
      </c>
      <c r="J3382" s="2060"/>
      <c r="K3382" s="2043">
        <f>G3382-I3382</f>
        <v>0</v>
      </c>
      <c r="N3382" s="1147"/>
      <c r="O3382" s="1133"/>
      <c r="P3382" s="1115"/>
      <c r="Q3382" s="48"/>
      <c r="R3382" s="48"/>
      <c r="S3382" s="48"/>
      <c r="T3382" s="48"/>
      <c r="U3382" s="48"/>
      <c r="V3382" s="48"/>
      <c r="W3382" s="48"/>
    </row>
    <row r="3383" spans="1:23" ht="15.6" hidden="1" customHeight="1" x14ac:dyDescent="0.2">
      <c r="B3383" s="2082" t="s">
        <v>2535</v>
      </c>
      <c r="G3383" s="58">
        <f>M3802</f>
        <v>0</v>
      </c>
      <c r="H3383" s="2043"/>
      <c r="I3383" s="2043">
        <v>0</v>
      </c>
      <c r="J3383" s="2060"/>
      <c r="K3383" s="2043">
        <f>G3383-I3383</f>
        <v>0</v>
      </c>
      <c r="N3383" s="1147"/>
      <c r="O3383" s="1133"/>
      <c r="P3383" s="1115"/>
      <c r="Q3383" s="48"/>
      <c r="R3383" s="48"/>
      <c r="S3383" s="48"/>
      <c r="T3383" s="48"/>
      <c r="U3383" s="48"/>
      <c r="V3383" s="48"/>
      <c r="W3383" s="48"/>
    </row>
    <row r="3384" spans="1:23" ht="15.6" hidden="1" customHeight="1" x14ac:dyDescent="0.2">
      <c r="B3384" s="2082" t="s">
        <v>2536</v>
      </c>
      <c r="G3384" s="58">
        <v>0</v>
      </c>
      <c r="H3384" s="2043"/>
      <c r="I3384" s="2043">
        <v>0</v>
      </c>
      <c r="J3384" s="2060"/>
      <c r="K3384" s="2043">
        <f>G3384-I3384</f>
        <v>0</v>
      </c>
      <c r="N3384" s="1147"/>
      <c r="O3384" s="1133"/>
      <c r="P3384" s="1115"/>
      <c r="Q3384" s="48"/>
      <c r="R3384" s="48"/>
      <c r="S3384" s="48"/>
      <c r="T3384" s="48"/>
      <c r="U3384" s="48"/>
      <c r="V3384" s="48"/>
      <c r="W3384" s="48"/>
    </row>
    <row r="3385" spans="1:23" ht="15.6" hidden="1" customHeight="1" x14ac:dyDescent="0.2">
      <c r="B3385" s="2082" t="s">
        <v>2537</v>
      </c>
      <c r="G3385" s="58">
        <v>0</v>
      </c>
      <c r="H3385" s="2043"/>
      <c r="I3385" s="2043">
        <v>0</v>
      </c>
      <c r="J3385" s="2060"/>
      <c r="K3385" s="2043">
        <f t="shared" si="45"/>
        <v>0</v>
      </c>
      <c r="N3385" s="1147"/>
      <c r="O3385" s="1133"/>
      <c r="P3385" s="1115"/>
      <c r="Q3385" s="48"/>
      <c r="R3385" s="48"/>
      <c r="S3385" s="48"/>
      <c r="T3385" s="48"/>
      <c r="U3385" s="48"/>
      <c r="V3385" s="48"/>
      <c r="W3385" s="48"/>
    </row>
    <row r="3386" spans="1:23" ht="15.6" customHeight="1" x14ac:dyDescent="0.2">
      <c r="B3386" s="48" t="s">
        <v>7592</v>
      </c>
      <c r="G3386" s="58">
        <v>0</v>
      </c>
      <c r="H3386" s="58"/>
      <c r="I3386" s="58">
        <f>K2822</f>
        <v>1357259.82</v>
      </c>
      <c r="K3386" s="58">
        <f>G3386-I3386</f>
        <v>-1357259.82</v>
      </c>
      <c r="N3386" s="1147"/>
      <c r="O3386" s="1133"/>
      <c r="P3386" s="1115"/>
      <c r="Q3386" s="48"/>
      <c r="R3386" s="48"/>
      <c r="S3386" s="48"/>
      <c r="T3386" s="48"/>
      <c r="U3386" s="48"/>
      <c r="V3386" s="48"/>
      <c r="W3386" s="48"/>
    </row>
    <row r="3387" spans="1:23" ht="15.6" customHeight="1" x14ac:dyDescent="0.2">
      <c r="G3387" s="58"/>
      <c r="H3387" s="58"/>
      <c r="I3387" s="58"/>
      <c r="K3387" s="58"/>
      <c r="N3387" s="1147"/>
      <c r="O3387" s="1133"/>
      <c r="P3387" s="1115"/>
      <c r="Q3387" s="48"/>
      <c r="R3387" s="48"/>
      <c r="S3387" s="48"/>
      <c r="T3387" s="48"/>
      <c r="U3387" s="48"/>
      <c r="V3387" s="48"/>
      <c r="W3387" s="48"/>
    </row>
    <row r="3388" spans="1:23" ht="15.6" customHeight="1" thickBot="1" x14ac:dyDescent="0.3">
      <c r="B3388" s="50" t="str">
        <f>"Restated Total as per AFS currently disclosed for "&amp;Parameters!C27</f>
        <v>Restated Total as per AFS currently disclosed for 2010/11</v>
      </c>
      <c r="G3388" s="204">
        <f>SUM(G3374:G3387)</f>
        <v>106380325.70999999</v>
      </c>
      <c r="H3388" s="199"/>
      <c r="I3388" s="204">
        <f>SUM(I3374:I3387)</f>
        <v>120200850.92999999</v>
      </c>
      <c r="K3388" s="204">
        <f>SUM(K3374:K3387)</f>
        <v>-13820524.93</v>
      </c>
      <c r="N3388" s="1147"/>
      <c r="O3388" s="1133"/>
      <c r="P3388" s="1115"/>
      <c r="Q3388" s="48"/>
      <c r="R3388" s="48"/>
      <c r="S3388" s="48"/>
      <c r="T3388" s="48"/>
      <c r="U3388" s="48"/>
      <c r="V3388" s="48"/>
      <c r="W3388" s="48"/>
    </row>
    <row r="3389" spans="1:23" ht="15.6" customHeight="1" thickTop="1" x14ac:dyDescent="0.2">
      <c r="G3389" s="2226">
        <f>G3388-'Fin Perform'!K30</f>
        <v>0.48000000417232513</v>
      </c>
      <c r="H3389" s="320"/>
      <c r="I3389" s="2226">
        <f>I3388-'Fin Perform'!K48</f>
        <v>-0.20000001788139343</v>
      </c>
      <c r="J3389" s="287"/>
      <c r="K3389" s="2226">
        <f>K3388-'Fin Perform'!K57</f>
        <v>0.9700000211596489</v>
      </c>
      <c r="N3389" s="1147"/>
      <c r="O3389" s="1133"/>
      <c r="P3389" s="1115"/>
      <c r="Q3389" s="48"/>
      <c r="R3389" s="48"/>
      <c r="S3389" s="48"/>
      <c r="T3389" s="48"/>
      <c r="U3389" s="48"/>
      <c r="V3389" s="48"/>
      <c r="W3389" s="48"/>
    </row>
    <row r="3390" spans="1:23" ht="15.6" customHeight="1" x14ac:dyDescent="0.25">
      <c r="B3390" s="50" t="s">
        <v>2479</v>
      </c>
      <c r="I3390" s="270"/>
      <c r="J3390" s="270"/>
      <c r="K3390" s="270"/>
      <c r="N3390" s="1147"/>
      <c r="O3390" s="1146"/>
      <c r="P3390" s="1115"/>
      <c r="Q3390" s="48"/>
      <c r="R3390" s="48"/>
      <c r="S3390" s="48"/>
      <c r="T3390" s="48"/>
      <c r="U3390" s="48"/>
      <c r="V3390" s="48"/>
      <c r="W3390" s="48"/>
    </row>
    <row r="3391" spans="1:23" ht="30.95" customHeight="1" x14ac:dyDescent="0.2">
      <c r="A3391" s="201"/>
      <c r="B3391" s="2861" t="s">
        <v>6501</v>
      </c>
      <c r="C3391" s="2861"/>
      <c r="D3391" s="2861"/>
      <c r="E3391" s="2861"/>
      <c r="F3391" s="2861"/>
      <c r="G3391" s="2861"/>
      <c r="H3391" s="2861"/>
      <c r="I3391" s="2861"/>
      <c r="J3391" s="2861"/>
      <c r="K3391" s="2861"/>
      <c r="L3391" s="201"/>
      <c r="M3391" s="1482"/>
      <c r="N3391" s="1147"/>
      <c r="O3391" s="1146"/>
      <c r="P3391" s="1115"/>
    </row>
    <row r="3392" spans="1:23" ht="15.6" customHeight="1" x14ac:dyDescent="0.2">
      <c r="I3392" s="58"/>
      <c r="J3392" s="58"/>
      <c r="K3392" s="58"/>
    </row>
    <row r="3393" spans="1:23" ht="15.6" customHeight="1" x14ac:dyDescent="0.2">
      <c r="A3393" s="201"/>
      <c r="B3393" s="2861" t="s">
        <v>1302</v>
      </c>
      <c r="C3393" s="2861"/>
      <c r="D3393" s="2861"/>
      <c r="E3393" s="2861"/>
      <c r="F3393" s="2861"/>
      <c r="G3393" s="2861"/>
      <c r="H3393" s="2861"/>
      <c r="I3393" s="2861"/>
      <c r="J3393" s="2861"/>
      <c r="K3393" s="2861"/>
      <c r="L3393" s="201"/>
      <c r="M3393" s="1482"/>
      <c r="N3393" s="1147"/>
      <c r="O3393" s="1146"/>
      <c r="P3393" s="1115"/>
    </row>
    <row r="3394" spans="1:23" ht="15.6" customHeight="1" x14ac:dyDescent="0.2">
      <c r="I3394" s="270"/>
      <c r="J3394" s="270"/>
      <c r="K3394" s="270"/>
      <c r="N3394" s="1147"/>
      <c r="O3394" s="1146"/>
    </row>
    <row r="3395" spans="1:23" ht="15.6" customHeight="1" x14ac:dyDescent="0.2">
      <c r="B3395" s="671" t="s">
        <v>7593</v>
      </c>
      <c r="C3395" s="672"/>
      <c r="D3395" s="672"/>
      <c r="E3395" s="672"/>
      <c r="F3395" s="672"/>
      <c r="I3395" s="270"/>
      <c r="J3395" s="270"/>
      <c r="K3395" s="270"/>
      <c r="M3395" s="1133"/>
      <c r="N3395" s="1147"/>
      <c r="O3395" s="1146"/>
      <c r="P3395" s="1115"/>
      <c r="W3395" s="1114" t="s">
        <v>3857</v>
      </c>
    </row>
    <row r="3396" spans="1:23" ht="15.6" customHeight="1" x14ac:dyDescent="0.2">
      <c r="I3396" s="58"/>
      <c r="J3396" s="58"/>
      <c r="K3396" s="58"/>
      <c r="M3396" s="1133"/>
      <c r="N3396" s="1147"/>
      <c r="O3396" s="1146"/>
    </row>
    <row r="3397" spans="1:23" ht="30.95" hidden="1" customHeight="1" x14ac:dyDescent="0.2">
      <c r="A3397" s="201"/>
      <c r="B3397" s="2861" t="s">
        <v>2078</v>
      </c>
      <c r="C3397" s="2861"/>
      <c r="D3397" s="2861"/>
      <c r="E3397" s="2861"/>
      <c r="F3397" s="2861"/>
      <c r="G3397" s="2861"/>
      <c r="H3397" s="2861"/>
      <c r="I3397" s="2861"/>
      <c r="J3397" s="2861"/>
      <c r="K3397" s="2861"/>
      <c r="L3397" s="201"/>
      <c r="M3397" s="1482"/>
      <c r="N3397" s="1147"/>
      <c r="O3397" s="1146"/>
      <c r="P3397" s="1115"/>
    </row>
    <row r="3398" spans="1:23" ht="15.6" hidden="1" customHeight="1" x14ac:dyDescent="0.2">
      <c r="I3398" s="58"/>
      <c r="J3398" s="58"/>
      <c r="K3398" s="58"/>
      <c r="M3398" s="1133"/>
      <c r="N3398" s="1147"/>
      <c r="O3398" s="1146"/>
      <c r="P3398" s="1115"/>
    </row>
    <row r="3399" spans="1:23" ht="30.95" customHeight="1" x14ac:dyDescent="0.2">
      <c r="A3399" s="201"/>
      <c r="B3399" s="2861" t="s">
        <v>6502</v>
      </c>
      <c r="C3399" s="2861"/>
      <c r="D3399" s="2861"/>
      <c r="E3399" s="2861"/>
      <c r="F3399" s="2861"/>
      <c r="G3399" s="2861"/>
      <c r="H3399" s="2861"/>
      <c r="I3399" s="2861"/>
      <c r="J3399" s="2861"/>
      <c r="K3399" s="2861"/>
      <c r="L3399" s="201"/>
      <c r="M3399" s="1482"/>
      <c r="N3399" s="1147"/>
      <c r="O3399" s="1146"/>
      <c r="P3399" s="1115"/>
    </row>
    <row r="3400" spans="1:23" ht="15.6" customHeight="1" x14ac:dyDescent="0.2">
      <c r="I3400" s="58"/>
      <c r="J3400" s="58"/>
      <c r="K3400" s="58"/>
      <c r="L3400" s="59"/>
      <c r="M3400" s="1133"/>
      <c r="N3400" s="1147"/>
      <c r="O3400" s="1146"/>
      <c r="P3400" s="1115"/>
    </row>
    <row r="3401" spans="1:23" ht="15.6" customHeight="1" x14ac:dyDescent="0.25">
      <c r="B3401" s="50" t="s">
        <v>1303</v>
      </c>
      <c r="I3401" s="58"/>
      <c r="J3401" s="58"/>
      <c r="K3401" s="58"/>
      <c r="M3401" s="1133"/>
      <c r="N3401" s="1147"/>
      <c r="O3401" s="1146"/>
      <c r="P3401" s="1115"/>
    </row>
    <row r="3402" spans="1:23" ht="15.6" customHeight="1" x14ac:dyDescent="0.2">
      <c r="I3402" s="58"/>
      <c r="J3402" s="58"/>
      <c r="K3402" s="58"/>
    </row>
    <row r="3403" spans="1:23" ht="19.5" x14ac:dyDescent="0.55000000000000004">
      <c r="C3403" s="57"/>
      <c r="E3403" s="57"/>
      <c r="H3403" s="2167"/>
      <c r="I3403" s="2168" t="s">
        <v>231</v>
      </c>
      <c r="J3403" s="57"/>
      <c r="K3403" s="266"/>
      <c r="M3403" s="1133"/>
      <c r="N3403" s="1147"/>
      <c r="O3403" s="1146"/>
      <c r="P3403" s="1115"/>
    </row>
    <row r="3404" spans="1:23" ht="15.6" customHeight="1" x14ac:dyDescent="0.25">
      <c r="C3404" s="57"/>
      <c r="E3404" s="57"/>
      <c r="H3404" s="48"/>
      <c r="I3404" s="266" t="s">
        <v>2086</v>
      </c>
      <c r="J3404" s="57"/>
      <c r="K3404" s="266" t="s">
        <v>4424</v>
      </c>
      <c r="M3404" s="232" t="s">
        <v>1879</v>
      </c>
      <c r="N3404" s="1147"/>
      <c r="O3404" s="1146"/>
      <c r="P3404" s="1115"/>
    </row>
    <row r="3405" spans="1:23" ht="15.6" customHeight="1" x14ac:dyDescent="0.25">
      <c r="C3405" s="57"/>
      <c r="E3405" s="57"/>
      <c r="H3405" s="48"/>
      <c r="I3405" s="266" t="s">
        <v>2087</v>
      </c>
      <c r="J3405" s="57"/>
      <c r="K3405" s="266" t="s">
        <v>4428</v>
      </c>
      <c r="M3405" s="232"/>
      <c r="N3405" s="1147"/>
      <c r="O3405" s="1146"/>
      <c r="P3405" s="1115"/>
    </row>
    <row r="3406" spans="1:23" ht="15.6" customHeight="1" x14ac:dyDescent="0.2">
      <c r="C3406" s="57"/>
      <c r="E3406" s="57"/>
      <c r="H3406" s="48"/>
      <c r="I3406" s="58"/>
      <c r="J3406" s="57"/>
      <c r="K3406" s="58"/>
      <c r="M3406" s="1133"/>
      <c r="N3406" s="1147"/>
      <c r="O3406" s="1146"/>
      <c r="P3406" s="1115"/>
    </row>
    <row r="3407" spans="1:23" ht="15.6" customHeight="1" x14ac:dyDescent="0.25">
      <c r="B3407" s="50" t="str">
        <f>"Balances published as at "&amp;Parameters!C13</f>
        <v>Balances published as at 30 June 2011</v>
      </c>
      <c r="C3407" s="57"/>
      <c r="E3407" s="57"/>
      <c r="H3407" s="48"/>
      <c r="I3407" s="224"/>
      <c r="J3407" s="57"/>
      <c r="K3407" s="224">
        <v>28426292</v>
      </c>
      <c r="M3407" s="1133"/>
      <c r="N3407" s="1147"/>
      <c r="O3407" s="1146"/>
      <c r="P3407" s="1115"/>
      <c r="Q3407" s="48"/>
      <c r="R3407" s="48"/>
      <c r="S3407" s="48"/>
      <c r="T3407" s="48"/>
      <c r="U3407" s="48"/>
      <c r="V3407" s="48"/>
      <c r="W3407" s="48"/>
    </row>
    <row r="3408" spans="1:23" ht="15.6" customHeight="1" x14ac:dyDescent="0.2">
      <c r="B3408" s="48" t="s">
        <v>6504</v>
      </c>
      <c r="C3408" s="57"/>
      <c r="E3408" s="57"/>
      <c r="H3408" s="48"/>
      <c r="I3408" s="58">
        <v>83566</v>
      </c>
      <c r="J3408" s="57"/>
      <c r="K3408" s="58">
        <f>-I3408</f>
        <v>-83566</v>
      </c>
      <c r="M3408" s="1147">
        <f>SUM(D3408:K3408)</f>
        <v>0</v>
      </c>
      <c r="O3408" s="1146"/>
      <c r="P3408" s="1115"/>
      <c r="Q3408" s="48"/>
      <c r="R3408" s="48"/>
      <c r="S3408" s="48"/>
      <c r="T3408" s="48"/>
      <c r="U3408" s="48"/>
      <c r="V3408" s="48"/>
      <c r="W3408" s="48"/>
    </row>
    <row r="3409" spans="1:23" ht="15.6" customHeight="1" x14ac:dyDescent="0.2">
      <c r="B3409" s="48" t="s">
        <v>6562</v>
      </c>
      <c r="C3409" s="57"/>
      <c r="E3409" s="57"/>
      <c r="H3409" s="48"/>
      <c r="I3409" s="58"/>
      <c r="J3409" s="57"/>
      <c r="K3409" s="58">
        <f>-'Fin Perform'!K41</f>
        <v>-8020299.459999999</v>
      </c>
      <c r="M3409" s="1147">
        <f>SUM(D3409:K3409)</f>
        <v>-8020299.459999999</v>
      </c>
      <c r="O3409" s="1146"/>
      <c r="P3409" s="1115"/>
      <c r="Q3409" s="48"/>
      <c r="R3409" s="48"/>
      <c r="S3409" s="48"/>
      <c r="T3409" s="48"/>
      <c r="U3409" s="48"/>
      <c r="V3409" s="48"/>
      <c r="W3409" s="48"/>
    </row>
    <row r="3410" spans="1:23" ht="15.6" customHeight="1" x14ac:dyDescent="0.2">
      <c r="B3410" s="48" t="s">
        <v>7313</v>
      </c>
      <c r="C3410" s="57"/>
      <c r="E3410" s="57"/>
      <c r="H3410" s="48"/>
      <c r="I3410" s="58"/>
      <c r="J3410" s="57"/>
      <c r="K3410" s="58">
        <v>-361619</v>
      </c>
      <c r="O3410" s="1146"/>
      <c r="P3410" s="1115"/>
      <c r="Q3410" s="48"/>
      <c r="R3410" s="48"/>
      <c r="S3410" s="48"/>
      <c r="T3410" s="48"/>
      <c r="U3410" s="48"/>
      <c r="V3410" s="48"/>
      <c r="W3410" s="48"/>
    </row>
    <row r="3411" spans="1:23" ht="15.6" customHeight="1" x14ac:dyDescent="0.2">
      <c r="B3411" s="48" t="s">
        <v>7312</v>
      </c>
      <c r="C3411" s="57"/>
      <c r="E3411" s="57"/>
      <c r="H3411" s="48"/>
      <c r="I3411" s="58"/>
      <c r="J3411" s="57"/>
      <c r="K3411" s="58">
        <v>-813827</v>
      </c>
      <c r="O3411" s="1146"/>
      <c r="P3411" s="1115"/>
      <c r="Q3411" s="48"/>
      <c r="R3411" s="48"/>
      <c r="S3411" s="48"/>
      <c r="T3411" s="48"/>
      <c r="U3411" s="48"/>
      <c r="V3411" s="48"/>
      <c r="W3411" s="48"/>
    </row>
    <row r="3412" spans="1:23" ht="15.6" customHeight="1" x14ac:dyDescent="0.2">
      <c r="B3412" s="48" t="s">
        <v>7381</v>
      </c>
      <c r="C3412" s="57"/>
      <c r="E3412" s="57"/>
      <c r="H3412" s="48"/>
      <c r="I3412" s="58"/>
      <c r="J3412" s="57"/>
      <c r="K3412" s="58">
        <v>29828</v>
      </c>
      <c r="O3412" s="1146"/>
      <c r="P3412" s="1115"/>
      <c r="Q3412" s="48"/>
      <c r="R3412" s="48"/>
      <c r="S3412" s="48"/>
      <c r="T3412" s="48"/>
      <c r="U3412" s="48"/>
      <c r="V3412" s="48"/>
      <c r="W3412" s="48"/>
    </row>
    <row r="3413" spans="1:23" ht="15.6" customHeight="1" x14ac:dyDescent="0.2">
      <c r="C3413" s="57"/>
      <c r="E3413" s="57"/>
      <c r="H3413" s="48"/>
      <c r="I3413" s="212"/>
      <c r="J3413" s="57"/>
      <c r="K3413" s="212"/>
      <c r="O3413" s="1146"/>
      <c r="P3413" s="1115"/>
      <c r="Q3413" s="48"/>
      <c r="R3413" s="48"/>
      <c r="S3413" s="48"/>
      <c r="T3413" s="48"/>
      <c r="U3413" s="48"/>
      <c r="V3413" s="48"/>
      <c r="W3413" s="48"/>
    </row>
    <row r="3414" spans="1:23" ht="15.6" customHeight="1" thickBot="1" x14ac:dyDescent="0.3">
      <c r="B3414" s="50" t="str">
        <f>"Restated Balances as at "&amp;Parameters!C13</f>
        <v>Restated Balances as at 30 June 2011</v>
      </c>
      <c r="C3414" s="57"/>
      <c r="E3414" s="57"/>
      <c r="H3414" s="48"/>
      <c r="I3414" s="667">
        <f>SUM(I3407:I3413)</f>
        <v>83566</v>
      </c>
      <c r="J3414" s="57"/>
      <c r="K3414" s="667">
        <f>SUM(K3407:K3413)</f>
        <v>19176808.539999999</v>
      </c>
      <c r="M3414" s="622">
        <f>SUM(M3407:M3413)</f>
        <v>-8020299.459999999</v>
      </c>
      <c r="O3414" s="1310">
        <f>K3414-'Fin Perform'!K44</f>
        <v>0.33999999985098839</v>
      </c>
      <c r="P3414" s="1115"/>
      <c r="Q3414" s="48"/>
      <c r="R3414" s="48"/>
      <c r="S3414" s="48"/>
      <c r="T3414" s="48"/>
      <c r="U3414" s="48"/>
      <c r="V3414" s="48"/>
      <c r="W3414" s="48"/>
    </row>
    <row r="3415" spans="1:23" ht="15.6" customHeight="1" thickTop="1" x14ac:dyDescent="0.2">
      <c r="C3415" s="57"/>
      <c r="E3415" s="57"/>
      <c r="G3415" s="58"/>
      <c r="H3415" s="48"/>
      <c r="I3415" s="2750"/>
      <c r="J3415" s="57"/>
      <c r="K3415" s="2750"/>
      <c r="O3415" s="1146"/>
      <c r="P3415" s="1115"/>
      <c r="Q3415" s="48"/>
      <c r="R3415" s="48"/>
      <c r="S3415" s="48"/>
      <c r="T3415" s="48"/>
      <c r="U3415" s="48"/>
      <c r="V3415" s="48"/>
      <c r="W3415" s="48"/>
    </row>
    <row r="3416" spans="1:23" ht="15.6" hidden="1" customHeight="1" x14ac:dyDescent="0.2">
      <c r="B3416" s="48" t="s">
        <v>2227</v>
      </c>
      <c r="C3416" s="57"/>
      <c r="E3416" s="57"/>
      <c r="G3416" s="58"/>
      <c r="H3416" s="48"/>
      <c r="I3416" s="58"/>
      <c r="J3416" s="57"/>
      <c r="K3416" s="58"/>
      <c r="O3416" s="1146"/>
      <c r="P3416" s="1115"/>
      <c r="Q3416" s="48"/>
      <c r="R3416" s="48"/>
      <c r="S3416" s="48"/>
      <c r="T3416" s="48"/>
      <c r="U3416" s="48"/>
      <c r="V3416" s="48"/>
      <c r="W3416" s="48"/>
    </row>
    <row r="3417" spans="1:23" ht="15.6" hidden="1" customHeight="1" x14ac:dyDescent="0.2">
      <c r="B3417" s="48" t="s">
        <v>1923</v>
      </c>
      <c r="C3417" s="57"/>
      <c r="E3417" s="57"/>
      <c r="G3417" s="58">
        <v>0</v>
      </c>
      <c r="H3417" s="48"/>
      <c r="I3417" s="58">
        <v>0</v>
      </c>
      <c r="J3417" s="57"/>
      <c r="K3417" s="58">
        <v>0</v>
      </c>
      <c r="M3417" s="1147">
        <v>0</v>
      </c>
      <c r="O3417" s="1146"/>
      <c r="P3417" s="1115"/>
      <c r="Q3417" s="48"/>
      <c r="R3417" s="48"/>
      <c r="S3417" s="48"/>
      <c r="T3417" s="48"/>
      <c r="U3417" s="48"/>
      <c r="V3417" s="48"/>
      <c r="W3417" s="48"/>
    </row>
    <row r="3418" spans="1:23" ht="15.6" hidden="1" customHeight="1" x14ac:dyDescent="0.2">
      <c r="B3418" s="48" t="s">
        <v>6503</v>
      </c>
      <c r="C3418" s="57"/>
      <c r="E3418" s="57"/>
      <c r="G3418" s="58">
        <v>0</v>
      </c>
      <c r="H3418" s="48"/>
      <c r="I3418" s="199">
        <v>0</v>
      </c>
      <c r="J3418" s="57"/>
      <c r="K3418" s="58">
        <f>-G3418</f>
        <v>0</v>
      </c>
      <c r="M3418" s="1147">
        <f>SUM(D3418:K3418)</f>
        <v>0</v>
      </c>
      <c r="O3418" s="1146"/>
      <c r="P3418" s="1115"/>
      <c r="Q3418" s="48"/>
      <c r="R3418" s="48"/>
      <c r="S3418" s="48"/>
      <c r="T3418" s="48"/>
      <c r="U3418" s="48"/>
      <c r="V3418" s="48"/>
      <c r="W3418" s="48"/>
    </row>
    <row r="3419" spans="1:23" ht="15.6" hidden="1" customHeight="1" x14ac:dyDescent="0.2">
      <c r="B3419" s="48" t="s">
        <v>2085</v>
      </c>
      <c r="C3419" s="57"/>
      <c r="E3419" s="57"/>
      <c r="G3419" s="58">
        <v>0</v>
      </c>
      <c r="H3419" s="48"/>
      <c r="I3419" s="58">
        <v>0</v>
      </c>
      <c r="J3419" s="57"/>
      <c r="K3419" s="58">
        <v>0</v>
      </c>
      <c r="M3419" s="1147">
        <f>SUM(D3419:K3419)</f>
        <v>0</v>
      </c>
      <c r="O3419" s="1146"/>
      <c r="P3419" s="1115"/>
      <c r="Q3419" s="48"/>
      <c r="R3419" s="48"/>
      <c r="S3419" s="48"/>
      <c r="T3419" s="48"/>
      <c r="U3419" s="48"/>
      <c r="V3419" s="48"/>
      <c r="W3419" s="48"/>
    </row>
    <row r="3420" spans="1:23" ht="15.6" hidden="1" customHeight="1" x14ac:dyDescent="0.25">
      <c r="C3420" s="219"/>
      <c r="E3420" s="219"/>
      <c r="G3420" s="58"/>
      <c r="H3420" s="48"/>
      <c r="I3420" s="58"/>
      <c r="J3420" s="57"/>
      <c r="K3420" s="58"/>
      <c r="O3420" s="1146"/>
      <c r="P3420" s="1115"/>
      <c r="Q3420" s="48"/>
      <c r="R3420" s="48"/>
      <c r="S3420" s="48"/>
      <c r="T3420" s="48"/>
      <c r="U3420" s="48"/>
      <c r="V3420" s="48"/>
      <c r="W3420" s="48"/>
    </row>
    <row r="3421" spans="1:23" ht="15.6" hidden="1" customHeight="1" thickBot="1" x14ac:dyDescent="0.3">
      <c r="B3421" s="50" t="str">
        <f>"Restated Balances as at "&amp;Parameters!C13</f>
        <v>Restated Balances as at 30 June 2011</v>
      </c>
      <c r="C3421" s="57"/>
      <c r="E3421" s="57"/>
      <c r="G3421" s="204">
        <f>SUM(G3414:G3420)</f>
        <v>0</v>
      </c>
      <c r="H3421" s="48"/>
      <c r="I3421" s="204">
        <f>SUM(I3415:I3420)</f>
        <v>0</v>
      </c>
      <c r="J3421" s="57"/>
      <c r="K3421" s="204">
        <f>SUM(K3414:K3420)</f>
        <v>19176808.539999999</v>
      </c>
      <c r="M3421" s="622">
        <f>SUM(M3416:M3420)</f>
        <v>0</v>
      </c>
      <c r="N3421" s="1147"/>
      <c r="O3421" s="1146"/>
      <c r="P3421" s="1115"/>
      <c r="Q3421" s="48"/>
      <c r="R3421" s="48"/>
      <c r="S3421" s="48"/>
      <c r="T3421" s="48"/>
      <c r="U3421" s="48"/>
      <c r="V3421" s="48"/>
      <c r="W3421" s="48"/>
    </row>
    <row r="3422" spans="1:23" ht="15.6" hidden="1" customHeight="1" x14ac:dyDescent="0.2">
      <c r="C3422" s="57"/>
      <c r="E3422" s="57"/>
      <c r="G3422" s="265">
        <v>0</v>
      </c>
      <c r="H3422" s="48"/>
      <c r="I3422" s="265">
        <v>0</v>
      </c>
      <c r="J3422" s="57"/>
      <c r="K3422" s="265"/>
      <c r="M3422" s="1133"/>
      <c r="N3422" s="1147"/>
      <c r="O3422" s="1146"/>
      <c r="Q3422" s="48"/>
      <c r="R3422" s="48"/>
      <c r="S3422" s="48"/>
      <c r="T3422" s="48"/>
      <c r="U3422" s="48"/>
      <c r="V3422" s="48"/>
      <c r="W3422" s="48"/>
    </row>
    <row r="3423" spans="1:23" ht="15.6" customHeight="1" x14ac:dyDescent="0.25">
      <c r="B3423" s="50" t="s">
        <v>2480</v>
      </c>
      <c r="I3423" s="270"/>
      <c r="J3423" s="270"/>
      <c r="K3423" s="270"/>
      <c r="N3423" s="1147"/>
      <c r="O3423" s="1146"/>
      <c r="P3423" s="1115"/>
      <c r="Q3423" s="48"/>
      <c r="R3423" s="48"/>
      <c r="S3423" s="48"/>
      <c r="T3423" s="48"/>
      <c r="U3423" s="48"/>
      <c r="V3423" s="48"/>
      <c r="W3423" s="48"/>
    </row>
    <row r="3424" spans="1:23" ht="30.95" customHeight="1" x14ac:dyDescent="0.2">
      <c r="A3424" s="201"/>
      <c r="B3424" s="2861" t="s">
        <v>1875</v>
      </c>
      <c r="C3424" s="2861"/>
      <c r="D3424" s="2861"/>
      <c r="E3424" s="2861"/>
      <c r="F3424" s="2861"/>
      <c r="G3424" s="2861"/>
      <c r="H3424" s="2861"/>
      <c r="I3424" s="2861"/>
      <c r="J3424" s="2861"/>
      <c r="K3424" s="2861"/>
      <c r="L3424" s="201"/>
      <c r="M3424" s="1482"/>
      <c r="N3424" s="1147"/>
      <c r="O3424" s="1146"/>
      <c r="Q3424" s="48"/>
      <c r="R3424" s="48"/>
      <c r="S3424" s="48"/>
      <c r="T3424" s="48"/>
      <c r="U3424" s="48"/>
      <c r="V3424" s="48"/>
      <c r="W3424" s="48"/>
    </row>
    <row r="3425" spans="1:23" ht="15.6" customHeight="1" x14ac:dyDescent="0.2">
      <c r="I3425" s="58"/>
      <c r="J3425" s="58"/>
      <c r="K3425" s="58"/>
      <c r="P3425" s="1115"/>
      <c r="Q3425" s="48"/>
      <c r="R3425" s="48"/>
      <c r="S3425" s="48"/>
      <c r="T3425" s="48"/>
      <c r="U3425" s="48"/>
      <c r="V3425" s="48"/>
      <c r="W3425" s="48"/>
    </row>
    <row r="3426" spans="1:23" ht="15.6" customHeight="1" x14ac:dyDescent="0.2">
      <c r="A3426" s="201"/>
      <c r="B3426" s="2861" t="s">
        <v>1302</v>
      </c>
      <c r="C3426" s="2861"/>
      <c r="D3426" s="2861"/>
      <c r="E3426" s="2861"/>
      <c r="F3426" s="2861"/>
      <c r="G3426" s="2861"/>
      <c r="H3426" s="2861"/>
      <c r="I3426" s="2861"/>
      <c r="J3426" s="2861"/>
      <c r="K3426" s="2861"/>
      <c r="L3426" s="201"/>
      <c r="M3426" s="1482"/>
      <c r="N3426" s="1147"/>
      <c r="O3426" s="1146"/>
      <c r="P3426" s="1115"/>
    </row>
    <row r="3427" spans="1:23" ht="15.6" customHeight="1" x14ac:dyDescent="0.2">
      <c r="I3427" s="270"/>
      <c r="J3427" s="270"/>
      <c r="K3427" s="270"/>
      <c r="N3427" s="1147"/>
      <c r="O3427" s="1146"/>
      <c r="P3427" s="1115"/>
    </row>
    <row r="3428" spans="1:23" ht="15.6" customHeight="1" x14ac:dyDescent="0.2">
      <c r="B3428" s="671" t="s">
        <v>7594</v>
      </c>
      <c r="C3428" s="672"/>
      <c r="D3428" s="672"/>
      <c r="E3428" s="672"/>
      <c r="F3428" s="672"/>
      <c r="I3428" s="270"/>
      <c r="J3428" s="270"/>
      <c r="K3428" s="270"/>
      <c r="M3428" s="1133"/>
      <c r="N3428" s="1147"/>
      <c r="O3428" s="1146"/>
      <c r="P3428" s="1115"/>
      <c r="W3428" s="1114" t="s">
        <v>3857</v>
      </c>
    </row>
    <row r="3429" spans="1:23" ht="15.6" customHeight="1" x14ac:dyDescent="0.2">
      <c r="I3429" s="58"/>
      <c r="J3429" s="58"/>
      <c r="K3429" s="58"/>
      <c r="M3429" s="1133"/>
      <c r="N3429" s="1147"/>
      <c r="O3429" s="1146"/>
      <c r="P3429" s="1115"/>
    </row>
    <row r="3430" spans="1:23" ht="30.95" customHeight="1" x14ac:dyDescent="0.2">
      <c r="A3430" s="201"/>
      <c r="B3430" s="2861" t="s">
        <v>6510</v>
      </c>
      <c r="C3430" s="2861"/>
      <c r="D3430" s="2861"/>
      <c r="E3430" s="2861"/>
      <c r="F3430" s="2861"/>
      <c r="G3430" s="2861"/>
      <c r="H3430" s="2861"/>
      <c r="I3430" s="2861"/>
      <c r="J3430" s="2861"/>
      <c r="K3430" s="2861"/>
      <c r="L3430" s="201"/>
      <c r="M3430" s="1482"/>
      <c r="N3430" s="1147"/>
      <c r="O3430" s="1146"/>
      <c r="P3430" s="1115"/>
    </row>
    <row r="3431" spans="1:23" ht="15.6" customHeight="1" x14ac:dyDescent="0.2">
      <c r="I3431" s="58"/>
      <c r="J3431" s="58"/>
      <c r="K3431" s="58"/>
      <c r="L3431" s="59"/>
      <c r="M3431" s="1133"/>
      <c r="N3431" s="1147"/>
      <c r="O3431" s="1146"/>
      <c r="P3431" s="1115"/>
    </row>
    <row r="3432" spans="1:23" ht="15.6" customHeight="1" x14ac:dyDescent="0.25">
      <c r="B3432" s="50" t="s">
        <v>1303</v>
      </c>
      <c r="I3432" s="58"/>
      <c r="J3432" s="58"/>
      <c r="K3432" s="58"/>
      <c r="M3432" s="1133"/>
      <c r="N3432" s="1147"/>
      <c r="O3432" s="1146"/>
      <c r="P3432" s="1115"/>
    </row>
    <row r="3433" spans="1:23" ht="15.6" customHeight="1" x14ac:dyDescent="0.2">
      <c r="I3433" s="58"/>
      <c r="J3433" s="58"/>
      <c r="K3433" s="58"/>
      <c r="P3433" s="1115"/>
    </row>
    <row r="3434" spans="1:23" ht="15.6" customHeight="1" x14ac:dyDescent="0.25">
      <c r="C3434" s="57"/>
      <c r="E3434" s="57"/>
      <c r="H3434" s="48"/>
      <c r="I3434" s="266"/>
      <c r="J3434" s="57"/>
      <c r="K3434" s="266" t="s">
        <v>6505</v>
      </c>
      <c r="M3434" s="1133"/>
      <c r="N3434" s="1147"/>
      <c r="O3434" s="1146"/>
      <c r="P3434" s="1115"/>
    </row>
    <row r="3435" spans="1:23" ht="15.6" customHeight="1" x14ac:dyDescent="0.25">
      <c r="C3435" s="57"/>
      <c r="E3435" s="57"/>
      <c r="H3435" s="48"/>
      <c r="I3435" s="266"/>
      <c r="J3435" s="57"/>
      <c r="K3435" s="266" t="s">
        <v>1435</v>
      </c>
      <c r="M3435" s="232" t="s">
        <v>1879</v>
      </c>
      <c r="N3435" s="1147"/>
      <c r="O3435" s="1146"/>
      <c r="P3435" s="1115"/>
    </row>
    <row r="3436" spans="1:23" ht="15.6" customHeight="1" x14ac:dyDescent="0.25">
      <c r="C3436" s="57"/>
      <c r="E3436" s="57"/>
      <c r="H3436" s="48"/>
      <c r="I3436" s="266"/>
      <c r="J3436" s="57"/>
      <c r="K3436" s="266" t="s">
        <v>6511</v>
      </c>
      <c r="M3436" s="232"/>
      <c r="N3436" s="1147"/>
      <c r="O3436" s="1146"/>
      <c r="P3436" s="1115"/>
    </row>
    <row r="3437" spans="1:23" ht="15.6" customHeight="1" x14ac:dyDescent="0.2">
      <c r="C3437" s="57"/>
      <c r="E3437" s="57"/>
      <c r="H3437" s="48"/>
      <c r="I3437" s="58"/>
      <c r="J3437" s="57"/>
      <c r="K3437" s="58"/>
      <c r="M3437" s="1133"/>
      <c r="N3437" s="1147"/>
      <c r="O3437" s="1146"/>
      <c r="P3437" s="1115"/>
    </row>
    <row r="3438" spans="1:23" ht="15.6" customHeight="1" x14ac:dyDescent="0.25">
      <c r="B3438" s="50" t="str">
        <f>"Balances published as at "&amp;Parameters!C13</f>
        <v>Balances published as at 30 June 2011</v>
      </c>
      <c r="C3438" s="57"/>
      <c r="E3438" s="57"/>
      <c r="H3438" s="48"/>
      <c r="I3438" s="224"/>
      <c r="J3438" s="57"/>
      <c r="K3438" s="224">
        <f>K3440+K3439</f>
        <v>1636434</v>
      </c>
      <c r="M3438" s="1133"/>
      <c r="N3438" s="1147"/>
      <c r="O3438" s="1146"/>
      <c r="P3438" s="1115"/>
    </row>
    <row r="3439" spans="1:23" ht="15.6" customHeight="1" x14ac:dyDescent="0.2">
      <c r="B3439" s="48" t="s">
        <v>6506</v>
      </c>
      <c r="C3439" s="57"/>
      <c r="E3439" s="57"/>
      <c r="H3439" s="48"/>
      <c r="I3439" s="58"/>
      <c r="J3439" s="57"/>
      <c r="K3439" s="58">
        <v>575744</v>
      </c>
      <c r="M3439" s="1147">
        <f>SUM(D3439:K3439)</f>
        <v>575744</v>
      </c>
      <c r="O3439" s="1146"/>
      <c r="P3439" s="1115"/>
    </row>
    <row r="3440" spans="1:23" ht="15.6" customHeight="1" x14ac:dyDescent="0.2">
      <c r="B3440" s="48" t="s">
        <v>6507</v>
      </c>
      <c r="C3440" s="57"/>
      <c r="E3440" s="57"/>
      <c r="H3440" s="48"/>
      <c r="I3440" s="58"/>
      <c r="J3440" s="57"/>
      <c r="K3440" s="58">
        <v>1060690</v>
      </c>
      <c r="M3440" s="1147">
        <f>SUM(D3440:K3440)</f>
        <v>1060690</v>
      </c>
      <c r="O3440" s="1146"/>
      <c r="P3440" s="1115"/>
    </row>
    <row r="3441" spans="1:23" ht="15.6" customHeight="1" x14ac:dyDescent="0.2">
      <c r="C3441" s="57"/>
      <c r="E3441" s="57"/>
      <c r="H3441" s="48"/>
      <c r="I3441" s="58"/>
      <c r="J3441" s="57"/>
      <c r="K3441" s="212"/>
      <c r="O3441" s="1146"/>
      <c r="P3441" s="1115"/>
    </row>
    <row r="3442" spans="1:23" ht="15.6" customHeight="1" x14ac:dyDescent="0.2">
      <c r="B3442" s="48" t="s">
        <v>6508</v>
      </c>
      <c r="C3442" s="57"/>
      <c r="E3442" s="57"/>
      <c r="H3442" s="48"/>
      <c r="I3442" s="58"/>
      <c r="J3442" s="57"/>
      <c r="K3442" s="58">
        <f>-(K3439-320343)</f>
        <v>-255401</v>
      </c>
      <c r="O3442" s="1146"/>
      <c r="P3442" s="1115"/>
    </row>
    <row r="3443" spans="1:23" ht="15.6" customHeight="1" x14ac:dyDescent="0.2">
      <c r="B3443" s="48" t="s">
        <v>6509</v>
      </c>
      <c r="C3443" s="57"/>
      <c r="E3443" s="57"/>
      <c r="H3443" s="48"/>
      <c r="I3443" s="58"/>
      <c r="J3443" s="57"/>
      <c r="K3443" s="58">
        <f>-(K3440-379793)</f>
        <v>-680897</v>
      </c>
      <c r="O3443" s="1146"/>
      <c r="P3443" s="1115"/>
    </row>
    <row r="3444" spans="1:23" ht="15.6" customHeight="1" x14ac:dyDescent="0.2">
      <c r="C3444" s="57"/>
      <c r="E3444" s="57"/>
      <c r="H3444" s="48"/>
      <c r="I3444" s="58"/>
      <c r="J3444" s="57"/>
      <c r="K3444" s="58"/>
      <c r="O3444" s="1146"/>
      <c r="P3444" s="1115"/>
    </row>
    <row r="3445" spans="1:23" ht="15.6" customHeight="1" thickBot="1" x14ac:dyDescent="0.3">
      <c r="B3445" s="50" t="str">
        <f>"Restated Balances as at "&amp;Parameters!C13</f>
        <v>Restated Balances as at 30 June 2011</v>
      </c>
      <c r="C3445" s="57"/>
      <c r="E3445" s="57"/>
      <c r="H3445" s="48"/>
      <c r="I3445" s="58"/>
      <c r="J3445" s="57"/>
      <c r="K3445" s="667">
        <f>SUM(K3439:K3443)</f>
        <v>700136</v>
      </c>
      <c r="M3445" s="622">
        <f>SUM(M3438:M3441)</f>
        <v>1636434</v>
      </c>
      <c r="O3445" s="1146"/>
      <c r="P3445" s="1115"/>
    </row>
    <row r="3446" spans="1:23" ht="15.6" customHeight="1" thickTop="1" x14ac:dyDescent="0.2">
      <c r="C3446" s="57"/>
      <c r="E3446" s="57"/>
      <c r="H3446" s="48"/>
      <c r="I3446" s="58"/>
      <c r="J3446" s="57"/>
      <c r="K3446" s="58"/>
      <c r="O3446" s="1146"/>
      <c r="P3446" s="1115"/>
    </row>
    <row r="3447" spans="1:23" ht="15.6" hidden="1" customHeight="1" x14ac:dyDescent="0.2">
      <c r="B3447" s="48" t="s">
        <v>2227</v>
      </c>
      <c r="C3447" s="57"/>
      <c r="E3447" s="57"/>
      <c r="H3447" s="48"/>
      <c r="I3447" s="58"/>
      <c r="J3447" s="57"/>
      <c r="K3447" s="58"/>
      <c r="O3447" s="1146"/>
      <c r="P3447" s="1115"/>
    </row>
    <row r="3448" spans="1:23" ht="15.6" hidden="1" customHeight="1" x14ac:dyDescent="0.2">
      <c r="B3448" s="48" t="s">
        <v>1880</v>
      </c>
      <c r="C3448" s="57"/>
      <c r="E3448" s="57"/>
      <c r="H3448" s="48"/>
      <c r="I3448" s="58"/>
      <c r="J3448" s="57"/>
      <c r="K3448" s="58">
        <v>0</v>
      </c>
      <c r="M3448" s="1147">
        <f>SUM(D3448:K3448)</f>
        <v>0</v>
      </c>
      <c r="O3448" s="1146"/>
      <c r="P3448" s="1115"/>
    </row>
    <row r="3449" spans="1:23" ht="15.6" hidden="1" customHeight="1" x14ac:dyDescent="0.2">
      <c r="B3449" s="48" t="s">
        <v>1881</v>
      </c>
      <c r="C3449" s="57"/>
      <c r="E3449" s="57"/>
      <c r="H3449" s="48"/>
      <c r="I3449" s="58"/>
      <c r="J3449" s="57"/>
      <c r="K3449" s="58">
        <v>0</v>
      </c>
      <c r="M3449" s="1147">
        <f>SUM(D3449:K3449)</f>
        <v>0</v>
      </c>
      <c r="O3449" s="1146"/>
      <c r="P3449" s="1115"/>
    </row>
    <row r="3450" spans="1:23" ht="15.6" hidden="1" customHeight="1" x14ac:dyDescent="0.25">
      <c r="C3450" s="219"/>
      <c r="E3450" s="219"/>
      <c r="G3450" s="219"/>
      <c r="H3450" s="48"/>
      <c r="I3450" s="58"/>
      <c r="J3450" s="57"/>
      <c r="K3450" s="58"/>
      <c r="O3450" s="1146"/>
      <c r="P3450" s="1115"/>
    </row>
    <row r="3451" spans="1:23" ht="15.6" hidden="1" customHeight="1" thickBot="1" x14ac:dyDescent="0.3">
      <c r="B3451" s="50" t="str">
        <f>"Restated Balances as at "&amp;Parameters!C13</f>
        <v>Restated Balances as at 30 June 2011</v>
      </c>
      <c r="C3451" s="57"/>
      <c r="E3451" s="57"/>
      <c r="H3451" s="48"/>
      <c r="I3451" s="58"/>
      <c r="J3451" s="57"/>
      <c r="K3451" s="204">
        <f>SUM(K3445:K3450)</f>
        <v>700136</v>
      </c>
      <c r="M3451" s="622">
        <f>SUM(M3447:M3450)</f>
        <v>0</v>
      </c>
      <c r="N3451" s="1147"/>
      <c r="O3451" s="1146"/>
      <c r="P3451" s="1115"/>
    </row>
    <row r="3452" spans="1:23" ht="15.6" hidden="1" customHeight="1" thickTop="1" x14ac:dyDescent="0.2">
      <c r="C3452" s="57"/>
      <c r="E3452" s="57"/>
      <c r="H3452" s="48"/>
      <c r="I3452" s="265">
        <v>0</v>
      </c>
      <c r="J3452" s="57"/>
      <c r="K3452" s="265">
        <v>0</v>
      </c>
      <c r="M3452" s="1133"/>
      <c r="N3452" s="1147"/>
      <c r="O3452" s="1146"/>
      <c r="P3452" s="1115"/>
    </row>
    <row r="3453" spans="1:23" ht="15.6" customHeight="1" x14ac:dyDescent="0.25">
      <c r="B3453" s="50" t="s">
        <v>2481</v>
      </c>
      <c r="I3453" s="270"/>
      <c r="J3453" s="270"/>
      <c r="K3453" s="270"/>
      <c r="N3453" s="1147"/>
      <c r="O3453" s="1133"/>
      <c r="P3453" s="1115"/>
    </row>
    <row r="3454" spans="1:23" ht="46.5" customHeight="1" x14ac:dyDescent="0.2">
      <c r="A3454" s="201"/>
      <c r="B3454" s="2861" t="s">
        <v>7433</v>
      </c>
      <c r="C3454" s="2861"/>
      <c r="D3454" s="2861"/>
      <c r="E3454" s="2861"/>
      <c r="F3454" s="2861"/>
      <c r="G3454" s="2861"/>
      <c r="H3454" s="2861"/>
      <c r="I3454" s="2861"/>
      <c r="J3454" s="2861"/>
      <c r="K3454" s="2861"/>
      <c r="L3454" s="201"/>
      <c r="M3454" s="1482"/>
      <c r="N3454" s="1147"/>
      <c r="O3454" s="1133"/>
      <c r="P3454" s="1115"/>
    </row>
    <row r="3455" spans="1:23" ht="15.6" customHeight="1" x14ac:dyDescent="0.2">
      <c r="I3455" s="270"/>
      <c r="J3455" s="270"/>
      <c r="K3455" s="270"/>
      <c r="N3455" s="1147"/>
      <c r="O3455" s="1133"/>
      <c r="P3455" s="1115"/>
    </row>
    <row r="3456" spans="1:23" ht="15.6" hidden="1" customHeight="1" x14ac:dyDescent="0.2">
      <c r="B3456" s="671" t="s">
        <v>7411</v>
      </c>
      <c r="C3456" s="672"/>
      <c r="D3456" s="672"/>
      <c r="E3456" s="672"/>
      <c r="F3456" s="672"/>
      <c r="I3456" s="270"/>
      <c r="J3456" s="270"/>
      <c r="K3456" s="270"/>
      <c r="M3456" s="1133"/>
      <c r="N3456" s="1147"/>
      <c r="O3456" s="1133"/>
      <c r="P3456" s="1115"/>
      <c r="W3456" s="1114" t="s">
        <v>3857</v>
      </c>
    </row>
    <row r="3457" spans="1:23" ht="15.6" hidden="1" customHeight="1" x14ac:dyDescent="0.2">
      <c r="I3457" s="58"/>
      <c r="J3457" s="58"/>
      <c r="K3457" s="58"/>
      <c r="M3457" s="1133"/>
      <c r="N3457" s="1147"/>
      <c r="O3457" s="1133"/>
      <c r="P3457" s="1115"/>
    </row>
    <row r="3458" spans="1:23" ht="30.95" hidden="1" customHeight="1" x14ac:dyDescent="0.2">
      <c r="A3458" s="201"/>
      <c r="B3458" s="2861" t="s">
        <v>2052</v>
      </c>
      <c r="C3458" s="2861"/>
      <c r="D3458" s="2861"/>
      <c r="E3458" s="2861"/>
      <c r="F3458" s="2861"/>
      <c r="G3458" s="2861"/>
      <c r="H3458" s="2861"/>
      <c r="I3458" s="2861"/>
      <c r="J3458" s="2861"/>
      <c r="K3458" s="2861"/>
      <c r="L3458" s="201"/>
      <c r="M3458" s="1482"/>
      <c r="N3458" s="1147"/>
      <c r="O3458" s="1133"/>
      <c r="P3458" s="1115"/>
    </row>
    <row r="3459" spans="1:23" ht="15.6" hidden="1" customHeight="1" x14ac:dyDescent="0.2">
      <c r="I3459" s="58"/>
      <c r="J3459" s="58"/>
      <c r="K3459" s="58"/>
      <c r="M3459" s="1133"/>
      <c r="N3459" s="1147"/>
      <c r="O3459" s="1133"/>
      <c r="P3459" s="1115"/>
    </row>
    <row r="3460" spans="1:23" ht="46.5" hidden="1" customHeight="1" x14ac:dyDescent="0.2">
      <c r="A3460" s="2170"/>
      <c r="B3460" s="2879" t="s">
        <v>2217</v>
      </c>
      <c r="C3460" s="2879"/>
      <c r="D3460" s="2879"/>
      <c r="E3460" s="2879"/>
      <c r="F3460" s="2879"/>
      <c r="G3460" s="2879"/>
      <c r="H3460" s="2879"/>
      <c r="I3460" s="2879"/>
      <c r="J3460" s="2879"/>
      <c r="K3460" s="2879"/>
      <c r="L3460" s="2170"/>
      <c r="M3460" s="1482"/>
      <c r="N3460" s="1147"/>
      <c r="O3460" s="1133"/>
      <c r="P3460" s="1115"/>
    </row>
    <row r="3461" spans="1:23" ht="15.6" hidden="1" customHeight="1" x14ac:dyDescent="0.2">
      <c r="A3461" s="2046"/>
      <c r="B3461" s="2046"/>
      <c r="C3461" s="2046"/>
      <c r="D3461" s="2077"/>
      <c r="E3461" s="2046"/>
      <c r="F3461" s="2077"/>
      <c r="G3461" s="2077"/>
      <c r="H3461" s="2077"/>
      <c r="I3461" s="2043"/>
      <c r="J3461" s="2043"/>
      <c r="K3461" s="2043"/>
      <c r="L3461" s="2173"/>
      <c r="M3461" s="1133"/>
      <c r="N3461" s="1147"/>
      <c r="O3461" s="1133"/>
      <c r="P3461" s="1115"/>
      <c r="Q3461" s="48"/>
      <c r="R3461" s="48"/>
      <c r="S3461" s="48"/>
      <c r="T3461" s="48"/>
      <c r="U3461" s="48"/>
      <c r="V3461" s="48"/>
      <c r="W3461" s="48"/>
    </row>
    <row r="3462" spans="1:23" ht="15.6" hidden="1" customHeight="1" x14ac:dyDescent="0.25">
      <c r="A3462" s="2046"/>
      <c r="B3462" s="2046"/>
      <c r="C3462" s="2046"/>
      <c r="D3462" s="2077"/>
      <c r="E3462" s="2174" t="s">
        <v>39</v>
      </c>
      <c r="F3462" s="2077"/>
      <c r="G3462" s="2901" t="s">
        <v>2044</v>
      </c>
      <c r="H3462" s="2077"/>
      <c r="I3462" s="2549" t="s">
        <v>1713</v>
      </c>
      <c r="J3462" s="58"/>
      <c r="K3462" s="2549" t="s">
        <v>2045</v>
      </c>
      <c r="M3462" s="1133"/>
      <c r="N3462" s="1147"/>
      <c r="O3462" s="1133"/>
      <c r="P3462" s="1115"/>
      <c r="Q3462" s="48"/>
      <c r="R3462" s="48"/>
      <c r="S3462" s="48"/>
      <c r="T3462" s="48"/>
      <c r="U3462" s="48"/>
      <c r="V3462" s="48"/>
      <c r="W3462" s="48"/>
    </row>
    <row r="3463" spans="1:23" ht="15.6" hidden="1" customHeight="1" x14ac:dyDescent="0.25">
      <c r="A3463" s="2046"/>
      <c r="B3463" s="2046"/>
      <c r="C3463" s="2046"/>
      <c r="D3463" s="2077"/>
      <c r="E3463" s="2174" t="s">
        <v>35</v>
      </c>
      <c r="F3463" s="2077"/>
      <c r="G3463" s="2901"/>
      <c r="H3463" s="2077"/>
      <c r="I3463" s="2549" t="s">
        <v>1195</v>
      </c>
      <c r="J3463" s="58"/>
      <c r="K3463" s="2549" t="s">
        <v>887</v>
      </c>
      <c r="M3463" s="1133"/>
      <c r="N3463" s="1147"/>
      <c r="O3463" s="1133"/>
      <c r="P3463" s="1115"/>
      <c r="Q3463" s="48"/>
      <c r="R3463" s="48"/>
      <c r="S3463" s="48"/>
      <c r="T3463" s="48"/>
      <c r="U3463" s="48"/>
      <c r="V3463" s="48"/>
      <c r="W3463" s="48"/>
    </row>
    <row r="3464" spans="1:23" ht="15.6" hidden="1" customHeight="1" x14ac:dyDescent="0.2">
      <c r="A3464" s="2046"/>
      <c r="B3464" s="2046"/>
      <c r="C3464" s="2046"/>
      <c r="D3464" s="2077"/>
      <c r="E3464" s="2043"/>
      <c r="F3464" s="2077"/>
      <c r="G3464" s="2085" t="s">
        <v>2475</v>
      </c>
      <c r="H3464" s="2077"/>
      <c r="I3464" s="58"/>
      <c r="J3464" s="58"/>
      <c r="K3464" s="58"/>
      <c r="M3464" s="1133"/>
      <c r="N3464" s="1147"/>
      <c r="O3464" s="1133"/>
      <c r="Q3464" s="48"/>
      <c r="R3464" s="48"/>
      <c r="S3464" s="48"/>
      <c r="T3464" s="48"/>
      <c r="U3464" s="48"/>
      <c r="V3464" s="48"/>
      <c r="W3464" s="48"/>
    </row>
    <row r="3465" spans="1:23" ht="15.6" hidden="1" customHeight="1" x14ac:dyDescent="0.25">
      <c r="A3465" s="2046"/>
      <c r="B3465" s="2081" t="str">
        <f>"Original Balances as at "&amp;Parameters!C15</f>
        <v>Original Balances as at 30 June 2010</v>
      </c>
      <c r="C3465" s="2046"/>
      <c r="D3465" s="2077"/>
      <c r="E3465" s="2049">
        <v>0</v>
      </c>
      <c r="F3465" s="2077"/>
      <c r="G3465" s="2049">
        <v>0</v>
      </c>
      <c r="H3465" s="2077"/>
      <c r="I3465" s="224">
        <v>0</v>
      </c>
      <c r="J3465" s="58"/>
      <c r="K3465" s="224">
        <v>0</v>
      </c>
      <c r="M3465" s="1133"/>
      <c r="N3465" s="1147"/>
      <c r="O3465" s="1133"/>
      <c r="Q3465" s="48"/>
      <c r="R3465" s="48"/>
      <c r="S3465" s="48"/>
      <c r="T3465" s="48"/>
      <c r="U3465" s="48"/>
      <c r="V3465" s="48"/>
      <c r="W3465" s="48"/>
    </row>
    <row r="3466" spans="1:23" ht="15.6" hidden="1" customHeight="1" x14ac:dyDescent="0.2">
      <c r="A3466" s="2046"/>
      <c r="B3466" s="2046" t="s">
        <v>2046</v>
      </c>
      <c r="C3466" s="2046"/>
      <c r="D3466" s="2077"/>
      <c r="E3466" s="2043"/>
      <c r="F3466" s="2077"/>
      <c r="G3466" s="2043"/>
      <c r="H3466" s="2077"/>
      <c r="I3466" s="58"/>
      <c r="J3466" s="58"/>
      <c r="K3466" s="58"/>
      <c r="N3466" s="1147"/>
      <c r="O3466" s="1133"/>
      <c r="Q3466" s="48"/>
      <c r="R3466" s="48"/>
      <c r="S3466" s="48"/>
      <c r="T3466" s="48"/>
      <c r="U3466" s="48"/>
      <c r="V3466" s="48"/>
      <c r="W3466" s="48"/>
    </row>
    <row r="3467" spans="1:23" ht="15.6" hidden="1" customHeight="1" x14ac:dyDescent="0.2">
      <c r="A3467" s="2046"/>
      <c r="B3467" s="2046" t="s">
        <v>2048</v>
      </c>
      <c r="C3467" s="2046"/>
      <c r="D3467" s="2077"/>
      <c r="E3467" s="2043">
        <v>0</v>
      </c>
      <c r="F3467" s="2077"/>
      <c r="G3467" s="2043">
        <v>0</v>
      </c>
      <c r="H3467" s="2077"/>
      <c r="I3467" s="58">
        <v>0</v>
      </c>
      <c r="J3467" s="58"/>
      <c r="K3467" s="58">
        <v>0</v>
      </c>
      <c r="M3467" s="1147">
        <f t="shared" ref="M3467:M3473" si="46">SUM(D3467:K3467)</f>
        <v>0</v>
      </c>
      <c r="N3467" s="1147"/>
      <c r="O3467" s="1133"/>
      <c r="P3467" s="1115"/>
      <c r="Q3467" s="48"/>
      <c r="R3467" s="48"/>
      <c r="S3467" s="48"/>
      <c r="T3467" s="48"/>
      <c r="U3467" s="48"/>
      <c r="V3467" s="48"/>
      <c r="W3467" s="48"/>
    </row>
    <row r="3468" spans="1:23" ht="15.6" hidden="1" customHeight="1" x14ac:dyDescent="0.2">
      <c r="A3468" s="2046"/>
      <c r="B3468" s="2046" t="s">
        <v>2047</v>
      </c>
      <c r="C3468" s="2046"/>
      <c r="D3468" s="2077"/>
      <c r="E3468" s="2043">
        <v>0</v>
      </c>
      <c r="F3468" s="2077"/>
      <c r="G3468" s="2043">
        <v>0</v>
      </c>
      <c r="H3468" s="2077"/>
      <c r="I3468" s="58">
        <v>0</v>
      </c>
      <c r="J3468" s="58"/>
      <c r="K3468" s="58">
        <v>0</v>
      </c>
      <c r="M3468" s="1147">
        <f t="shared" si="46"/>
        <v>0</v>
      </c>
      <c r="N3468" s="1147"/>
      <c r="O3468" s="1133"/>
      <c r="Q3468" s="48"/>
      <c r="R3468" s="48"/>
      <c r="S3468" s="48"/>
      <c r="T3468" s="48"/>
      <c r="U3468" s="48"/>
      <c r="V3468" s="48"/>
      <c r="W3468" s="48"/>
    </row>
    <row r="3469" spans="1:23" ht="15.6" hidden="1" customHeight="1" x14ac:dyDescent="0.2">
      <c r="A3469" s="2046"/>
      <c r="B3469" s="2046" t="s">
        <v>2049</v>
      </c>
      <c r="C3469" s="2046"/>
      <c r="D3469" s="2077"/>
      <c r="E3469" s="2043">
        <v>0</v>
      </c>
      <c r="F3469" s="2077"/>
      <c r="G3469" s="2043">
        <v>0</v>
      </c>
      <c r="H3469" s="2077"/>
      <c r="I3469" s="58">
        <v>0</v>
      </c>
      <c r="J3469" s="58"/>
      <c r="K3469" s="58">
        <v>0</v>
      </c>
      <c r="M3469" s="1147">
        <f t="shared" si="46"/>
        <v>0</v>
      </c>
      <c r="N3469" s="1147"/>
      <c r="O3469" s="1133"/>
      <c r="P3469" s="1115"/>
      <c r="Q3469" s="48"/>
      <c r="R3469" s="48"/>
      <c r="S3469" s="48"/>
      <c r="T3469" s="48"/>
      <c r="U3469" s="48"/>
      <c r="V3469" s="48"/>
      <c r="W3469" s="48"/>
    </row>
    <row r="3470" spans="1:23" ht="15.6" hidden="1" customHeight="1" x14ac:dyDescent="0.2">
      <c r="A3470" s="2046"/>
      <c r="B3470" s="2046" t="s">
        <v>2051</v>
      </c>
      <c r="C3470" s="2046"/>
      <c r="D3470" s="2077"/>
      <c r="E3470" s="2043">
        <v>0</v>
      </c>
      <c r="F3470" s="2077"/>
      <c r="G3470" s="2043">
        <v>0</v>
      </c>
      <c r="H3470" s="2077"/>
      <c r="I3470" s="58">
        <v>0</v>
      </c>
      <c r="J3470" s="58"/>
      <c r="K3470" s="58"/>
      <c r="M3470" s="1147">
        <f>SUM(D3470:K3470)</f>
        <v>0</v>
      </c>
      <c r="N3470" s="1147"/>
      <c r="O3470" s="1133"/>
      <c r="P3470" s="1115"/>
      <c r="Q3470" s="48"/>
      <c r="R3470" s="48"/>
      <c r="S3470" s="48"/>
      <c r="T3470" s="48"/>
      <c r="U3470" s="48"/>
      <c r="V3470" s="48"/>
      <c r="W3470" s="48"/>
    </row>
    <row r="3471" spans="1:23" ht="15.6" hidden="1" customHeight="1" x14ac:dyDescent="0.2">
      <c r="A3471" s="2046"/>
      <c r="B3471" s="2046" t="s">
        <v>2050</v>
      </c>
      <c r="C3471" s="2046"/>
      <c r="D3471" s="2077"/>
      <c r="E3471" s="2043"/>
      <c r="F3471" s="2077"/>
      <c r="G3471" s="2043"/>
      <c r="H3471" s="2077"/>
      <c r="I3471" s="58"/>
      <c r="J3471" s="58"/>
      <c r="K3471" s="58"/>
      <c r="N3471" s="1147"/>
      <c r="O3471" s="1133"/>
      <c r="P3471" s="1115"/>
      <c r="Q3471" s="48"/>
      <c r="R3471" s="48"/>
      <c r="S3471" s="48"/>
      <c r="T3471" s="48"/>
      <c r="U3471" s="48"/>
      <c r="V3471" s="48"/>
      <c r="W3471" s="48"/>
    </row>
    <row r="3472" spans="1:23" ht="15.6" hidden="1" customHeight="1" x14ac:dyDescent="0.2">
      <c r="A3472" s="2046"/>
      <c r="B3472" s="2046" t="s">
        <v>2048</v>
      </c>
      <c r="C3472" s="2046"/>
      <c r="D3472" s="2077"/>
      <c r="E3472" s="2043">
        <v>0</v>
      </c>
      <c r="F3472" s="2077"/>
      <c r="G3472" s="2043">
        <v>0</v>
      </c>
      <c r="H3472" s="2077"/>
      <c r="I3472" s="58">
        <v>0</v>
      </c>
      <c r="J3472" s="58"/>
      <c r="K3472" s="58">
        <v>0</v>
      </c>
      <c r="M3472" s="1147">
        <f t="shared" si="46"/>
        <v>0</v>
      </c>
      <c r="N3472" s="1147"/>
      <c r="O3472" s="1133"/>
      <c r="P3472" s="1115"/>
      <c r="Q3472" s="48"/>
      <c r="R3472" s="48"/>
      <c r="S3472" s="48"/>
      <c r="T3472" s="48"/>
      <c r="U3472" s="48"/>
      <c r="V3472" s="48"/>
      <c r="W3472" s="48"/>
    </row>
    <row r="3473" spans="1:23" ht="15.6" hidden="1" customHeight="1" x14ac:dyDescent="0.2">
      <c r="A3473" s="2046"/>
      <c r="B3473" s="2046" t="s">
        <v>2047</v>
      </c>
      <c r="C3473" s="2046"/>
      <c r="D3473" s="2077"/>
      <c r="E3473" s="2043">
        <v>0</v>
      </c>
      <c r="F3473" s="2077"/>
      <c r="G3473" s="2043">
        <v>0</v>
      </c>
      <c r="H3473" s="2077"/>
      <c r="I3473" s="58">
        <v>0</v>
      </c>
      <c r="J3473" s="58"/>
      <c r="K3473" s="58">
        <v>0</v>
      </c>
      <c r="M3473" s="1147">
        <f t="shared" si="46"/>
        <v>0</v>
      </c>
      <c r="N3473" s="1147"/>
      <c r="O3473" s="1133"/>
      <c r="P3473" s="1115"/>
      <c r="Q3473" s="48"/>
      <c r="R3473" s="48"/>
      <c r="S3473" s="48"/>
      <c r="T3473" s="48"/>
      <c r="U3473" s="48"/>
      <c r="V3473" s="48"/>
      <c r="W3473" s="48"/>
    </row>
    <row r="3474" spans="1:23" ht="15.6" hidden="1" customHeight="1" x14ac:dyDescent="0.2">
      <c r="A3474" s="2046"/>
      <c r="B3474" s="2046" t="s">
        <v>2049</v>
      </c>
      <c r="C3474" s="2046"/>
      <c r="D3474" s="2077"/>
      <c r="E3474" s="2043">
        <v>0</v>
      </c>
      <c r="F3474" s="2077"/>
      <c r="G3474" s="2043">
        <v>0</v>
      </c>
      <c r="H3474" s="2077"/>
      <c r="I3474" s="58">
        <v>0</v>
      </c>
      <c r="J3474" s="58"/>
      <c r="K3474" s="58">
        <v>0</v>
      </c>
      <c r="M3474" s="1147">
        <f>SUM(D3474:K3474)</f>
        <v>0</v>
      </c>
      <c r="N3474" s="1147"/>
      <c r="O3474" s="1133"/>
      <c r="P3474" s="1115"/>
      <c r="Q3474" s="48"/>
      <c r="R3474" s="48"/>
      <c r="S3474" s="48"/>
      <c r="T3474" s="48"/>
      <c r="U3474" s="48"/>
      <c r="V3474" s="48"/>
      <c r="W3474" s="48"/>
    </row>
    <row r="3475" spans="1:23" ht="15.6" hidden="1" customHeight="1" x14ac:dyDescent="0.2">
      <c r="A3475" s="2046"/>
      <c r="B3475" s="2046" t="s">
        <v>2051</v>
      </c>
      <c r="C3475" s="2046"/>
      <c r="D3475" s="2077"/>
      <c r="E3475" s="2043">
        <v>0</v>
      </c>
      <c r="F3475" s="2077"/>
      <c r="G3475" s="2043">
        <v>0</v>
      </c>
      <c r="H3475" s="2077"/>
      <c r="I3475" s="58">
        <v>0</v>
      </c>
      <c r="J3475" s="58"/>
      <c r="K3475" s="58">
        <v>0</v>
      </c>
      <c r="M3475" s="1147">
        <f>SUM(D3475:K3475)</f>
        <v>0</v>
      </c>
      <c r="N3475" s="1147"/>
      <c r="O3475" s="1133"/>
      <c r="Q3475" s="48"/>
      <c r="R3475" s="48"/>
      <c r="S3475" s="48"/>
      <c r="T3475" s="48"/>
      <c r="U3475" s="48"/>
      <c r="V3475" s="48"/>
      <c r="W3475" s="48"/>
    </row>
    <row r="3476" spans="1:23" ht="15.6" hidden="1" customHeight="1" x14ac:dyDescent="0.2">
      <c r="A3476" s="2046"/>
      <c r="B3476" s="2046"/>
      <c r="C3476" s="2046"/>
      <c r="D3476" s="2077"/>
      <c r="E3476" s="2043"/>
      <c r="F3476" s="2077"/>
      <c r="G3476" s="2043"/>
      <c r="H3476" s="2077"/>
      <c r="I3476" s="58"/>
      <c r="J3476" s="58"/>
      <c r="K3476" s="58"/>
      <c r="M3476" s="1133"/>
      <c r="N3476" s="1147"/>
      <c r="O3476" s="1133"/>
      <c r="P3476" s="1115"/>
      <c r="Q3476" s="48"/>
      <c r="R3476" s="48"/>
      <c r="S3476" s="48"/>
      <c r="T3476" s="48"/>
      <c r="U3476" s="48"/>
      <c r="V3476" s="48"/>
      <c r="W3476" s="48"/>
    </row>
    <row r="3477" spans="1:23" ht="30.95" hidden="1" customHeight="1" thickBot="1" x14ac:dyDescent="0.3">
      <c r="A3477" s="2046"/>
      <c r="B3477" s="2927" t="str">
        <f>"Restated Balances now published per AFS as at "&amp;Parameters!C15</f>
        <v>Restated Balances now published per AFS as at 30 June 2010</v>
      </c>
      <c r="C3477" s="2927"/>
      <c r="D3477" s="2175"/>
      <c r="E3477" s="2048">
        <f>SUM(E3465:E3476)</f>
        <v>0</v>
      </c>
      <c r="F3477" s="2077"/>
      <c r="G3477" s="2048">
        <f>SUM(G3465:G3476)</f>
        <v>0</v>
      </c>
      <c r="H3477" s="2077"/>
      <c r="I3477" s="667">
        <f>SUM(I3465:I3476)</f>
        <v>0</v>
      </c>
      <c r="K3477" s="667">
        <f>SUM(K3465:K3476)</f>
        <v>0</v>
      </c>
      <c r="M3477" s="622">
        <f>SUM(M3465:M3476)</f>
        <v>0</v>
      </c>
      <c r="N3477" s="1147"/>
      <c r="O3477" s="1133"/>
      <c r="P3477" s="1115"/>
      <c r="Q3477" s="48"/>
      <c r="R3477" s="48"/>
      <c r="S3477" s="48"/>
      <c r="T3477" s="48"/>
      <c r="U3477" s="48"/>
      <c r="V3477" s="48"/>
      <c r="W3477" s="48"/>
    </row>
    <row r="3478" spans="1:23" ht="15.6" hidden="1" customHeight="1" thickTop="1" x14ac:dyDescent="0.2">
      <c r="A3478" s="2046"/>
      <c r="B3478" s="2046"/>
      <c r="C3478" s="2077"/>
      <c r="D3478" s="2077"/>
      <c r="E3478" s="2046"/>
      <c r="F3478" s="2077"/>
      <c r="G3478" s="2043"/>
      <c r="H3478" s="2077"/>
      <c r="I3478" s="58"/>
      <c r="J3478" s="58"/>
      <c r="K3478" s="58"/>
      <c r="O3478" s="1146"/>
      <c r="P3478" s="1115"/>
      <c r="Q3478" s="48"/>
      <c r="R3478" s="48"/>
      <c r="S3478" s="48"/>
      <c r="T3478" s="48"/>
      <c r="U3478" s="48"/>
      <c r="V3478" s="48"/>
      <c r="W3478" s="48"/>
    </row>
    <row r="3479" spans="1:23" ht="15.6" hidden="1" customHeight="1" x14ac:dyDescent="0.2">
      <c r="A3479" s="2046"/>
      <c r="B3479" s="2046" t="s">
        <v>2227</v>
      </c>
      <c r="C3479" s="2077"/>
      <c r="D3479" s="2077"/>
      <c r="E3479" s="2046"/>
      <c r="F3479" s="2077"/>
      <c r="G3479" s="2043"/>
      <c r="H3479" s="2077"/>
      <c r="I3479" s="58"/>
      <c r="J3479" s="58"/>
      <c r="K3479" s="58"/>
      <c r="O3479" s="1146"/>
      <c r="P3479" s="1115"/>
      <c r="Q3479" s="48"/>
      <c r="R3479" s="48"/>
      <c r="S3479" s="48"/>
      <c r="T3479" s="48"/>
      <c r="U3479" s="48"/>
      <c r="V3479" s="48"/>
      <c r="W3479" s="48"/>
    </row>
    <row r="3480" spans="1:23" ht="15.6" hidden="1" customHeight="1" x14ac:dyDescent="0.2">
      <c r="A3480" s="2046"/>
      <c r="B3480" s="2176" t="s">
        <v>2057</v>
      </c>
      <c r="C3480" s="2077"/>
      <c r="D3480" s="2077"/>
      <c r="E3480" s="2046"/>
      <c r="F3480" s="2077"/>
      <c r="G3480" s="2043"/>
      <c r="H3480" s="2077"/>
      <c r="I3480" s="58"/>
      <c r="J3480" s="58"/>
      <c r="K3480" s="58"/>
      <c r="O3480" s="1146"/>
      <c r="P3480" s="1115"/>
      <c r="Q3480" s="48"/>
      <c r="R3480" s="48"/>
      <c r="S3480" s="48"/>
      <c r="T3480" s="48"/>
      <c r="U3480" s="48"/>
      <c r="V3480" s="48"/>
      <c r="W3480" s="48"/>
    </row>
    <row r="3481" spans="1:23" ht="15.6" hidden="1" customHeight="1" x14ac:dyDescent="0.2">
      <c r="A3481" s="2046"/>
      <c r="B3481" s="2046" t="s">
        <v>2055</v>
      </c>
      <c r="C3481" s="2077"/>
      <c r="D3481" s="2077"/>
      <c r="E3481" s="2043">
        <v>0</v>
      </c>
      <c r="F3481" s="2077"/>
      <c r="G3481" s="2043">
        <v>0</v>
      </c>
      <c r="H3481" s="2077"/>
      <c r="I3481" s="58">
        <v>0</v>
      </c>
      <c r="J3481" s="58"/>
      <c r="K3481" s="58">
        <v>0</v>
      </c>
      <c r="O3481" s="1146"/>
      <c r="P3481" s="1115"/>
      <c r="Q3481" s="48"/>
      <c r="R3481" s="48"/>
      <c r="S3481" s="48"/>
      <c r="T3481" s="48"/>
      <c r="U3481" s="48"/>
      <c r="V3481" s="48"/>
      <c r="W3481" s="48"/>
    </row>
    <row r="3482" spans="1:23" ht="15.6" hidden="1" customHeight="1" x14ac:dyDescent="0.2">
      <c r="A3482" s="2046"/>
      <c r="B3482" s="2046" t="s">
        <v>2056</v>
      </c>
      <c r="C3482" s="2077"/>
      <c r="D3482" s="2077"/>
      <c r="E3482" s="2043">
        <v>0</v>
      </c>
      <c r="F3482" s="2077"/>
      <c r="G3482" s="2043">
        <v>0</v>
      </c>
      <c r="H3482" s="2077"/>
      <c r="I3482" s="58">
        <v>0</v>
      </c>
      <c r="J3482" s="58"/>
      <c r="K3482" s="58">
        <v>0</v>
      </c>
      <c r="O3482" s="1146"/>
      <c r="P3482" s="1115"/>
      <c r="Q3482" s="48"/>
      <c r="R3482" s="48"/>
      <c r="S3482" s="48"/>
      <c r="T3482" s="48"/>
      <c r="U3482" s="48"/>
      <c r="V3482" s="48"/>
      <c r="W3482" s="48"/>
    </row>
    <row r="3483" spans="1:23" ht="15.6" hidden="1" customHeight="1" x14ac:dyDescent="0.2">
      <c r="A3483" s="2046"/>
      <c r="B3483" s="2046" t="s">
        <v>2058</v>
      </c>
      <c r="C3483" s="2077"/>
      <c r="D3483" s="2077"/>
      <c r="E3483" s="2043">
        <v>0</v>
      </c>
      <c r="F3483" s="2077"/>
      <c r="G3483" s="2043">
        <v>0</v>
      </c>
      <c r="H3483" s="2077"/>
      <c r="I3483" s="58">
        <v>0</v>
      </c>
      <c r="J3483" s="58"/>
      <c r="K3483" s="58">
        <v>0</v>
      </c>
      <c r="O3483" s="1146"/>
      <c r="P3483" s="1115"/>
      <c r="Q3483" s="48"/>
      <c r="R3483" s="48"/>
      <c r="S3483" s="48"/>
      <c r="T3483" s="48"/>
      <c r="U3483" s="48"/>
      <c r="V3483" s="48"/>
      <c r="W3483" s="48"/>
    </row>
    <row r="3484" spans="1:23" ht="15.6" hidden="1" customHeight="1" x14ac:dyDescent="0.2">
      <c r="A3484" s="2046"/>
      <c r="B3484" s="2046" t="s">
        <v>2059</v>
      </c>
      <c r="C3484" s="2077"/>
      <c r="D3484" s="2077"/>
      <c r="E3484" s="2043">
        <v>0</v>
      </c>
      <c r="F3484" s="2077"/>
      <c r="G3484" s="2043">
        <v>0</v>
      </c>
      <c r="H3484" s="2077"/>
      <c r="I3484" s="58">
        <v>0</v>
      </c>
      <c r="J3484" s="58"/>
      <c r="K3484" s="58">
        <v>0</v>
      </c>
      <c r="O3484" s="1146"/>
      <c r="P3484" s="1115"/>
      <c r="Q3484" s="48"/>
      <c r="R3484" s="48"/>
      <c r="S3484" s="48"/>
      <c r="T3484" s="48"/>
      <c r="U3484" s="48"/>
      <c r="V3484" s="48"/>
      <c r="W3484" s="48"/>
    </row>
    <row r="3485" spans="1:23" ht="15.6" hidden="1" customHeight="1" x14ac:dyDescent="0.2">
      <c r="A3485" s="2046"/>
      <c r="B3485" s="2046"/>
      <c r="C3485" s="2077"/>
      <c r="D3485" s="2077"/>
      <c r="E3485" s="2043"/>
      <c r="F3485" s="2077"/>
      <c r="G3485" s="2043"/>
      <c r="H3485" s="2077"/>
      <c r="I3485" s="58"/>
      <c r="J3485" s="58"/>
      <c r="K3485" s="58"/>
      <c r="O3485" s="1146"/>
      <c r="P3485" s="1115"/>
      <c r="Q3485" s="48"/>
      <c r="R3485" s="48"/>
      <c r="S3485" s="48"/>
      <c r="T3485" s="48"/>
      <c r="U3485" s="48"/>
      <c r="V3485" s="48"/>
      <c r="W3485" s="48"/>
    </row>
    <row r="3486" spans="1:23" ht="15.6" hidden="1" customHeight="1" x14ac:dyDescent="0.2">
      <c r="A3486" s="2046"/>
      <c r="B3486" s="2176" t="s">
        <v>2061</v>
      </c>
      <c r="C3486" s="2077"/>
      <c r="D3486" s="2077"/>
      <c r="E3486" s="2043"/>
      <c r="F3486" s="2077"/>
      <c r="G3486" s="2043"/>
      <c r="H3486" s="2077"/>
      <c r="I3486" s="58"/>
      <c r="J3486" s="58"/>
      <c r="K3486" s="58"/>
      <c r="O3486" s="1146"/>
      <c r="P3486" s="1115"/>
      <c r="Q3486" s="48"/>
      <c r="R3486" s="48"/>
      <c r="S3486" s="48"/>
      <c r="T3486" s="48"/>
      <c r="U3486" s="48"/>
      <c r="V3486" s="48"/>
      <c r="W3486" s="48"/>
    </row>
    <row r="3487" spans="1:23" ht="15.6" hidden="1" customHeight="1" x14ac:dyDescent="0.2">
      <c r="A3487" s="2046"/>
      <c r="B3487" s="2046" t="s">
        <v>2058</v>
      </c>
      <c r="C3487" s="2077"/>
      <c r="D3487" s="2077"/>
      <c r="E3487" s="2043">
        <v>0</v>
      </c>
      <c r="F3487" s="2077"/>
      <c r="G3487" s="2043">
        <v>0</v>
      </c>
      <c r="H3487" s="2077"/>
      <c r="I3487" s="58">
        <v>0</v>
      </c>
      <c r="J3487" s="58"/>
      <c r="K3487" s="58">
        <v>0</v>
      </c>
      <c r="M3487" s="1147">
        <f>SUM(D3487:K3487)</f>
        <v>0</v>
      </c>
      <c r="O3487" s="1146"/>
      <c r="P3487" s="1115"/>
      <c r="Q3487" s="48"/>
      <c r="R3487" s="48"/>
      <c r="S3487" s="48"/>
      <c r="T3487" s="48"/>
      <c r="U3487" s="48"/>
      <c r="V3487" s="48"/>
      <c r="W3487" s="48"/>
    </row>
    <row r="3488" spans="1:23" ht="15.6" hidden="1" customHeight="1" x14ac:dyDescent="0.2">
      <c r="A3488" s="2046"/>
      <c r="B3488" s="2511" t="s">
        <v>7434</v>
      </c>
      <c r="C3488" s="2077"/>
      <c r="D3488" s="2077"/>
      <c r="E3488" s="2043">
        <v>0</v>
      </c>
      <c r="F3488" s="2077"/>
      <c r="G3488" s="2043">
        <v>0</v>
      </c>
      <c r="H3488" s="2077"/>
      <c r="I3488" s="58">
        <v>0</v>
      </c>
      <c r="J3488" s="58"/>
      <c r="K3488" s="58">
        <v>0</v>
      </c>
      <c r="O3488" s="1146"/>
      <c r="P3488" s="1115"/>
      <c r="Q3488" s="48"/>
      <c r="R3488" s="48"/>
      <c r="S3488" s="48"/>
      <c r="T3488" s="48"/>
      <c r="U3488" s="48"/>
      <c r="V3488" s="48"/>
      <c r="W3488" s="48"/>
    </row>
    <row r="3489" spans="1:23" ht="15.6" hidden="1" customHeight="1" x14ac:dyDescent="0.2">
      <c r="A3489" s="2046"/>
      <c r="B3489" s="2046" t="s">
        <v>2060</v>
      </c>
      <c r="C3489" s="2077"/>
      <c r="D3489" s="2077"/>
      <c r="E3489" s="2043">
        <v>0</v>
      </c>
      <c r="F3489" s="2077"/>
      <c r="G3489" s="2043">
        <f>-E3489</f>
        <v>0</v>
      </c>
      <c r="H3489" s="2077"/>
      <c r="I3489" s="58">
        <v>0</v>
      </c>
      <c r="J3489" s="58"/>
      <c r="K3489" s="58">
        <v>0</v>
      </c>
      <c r="M3489" s="1147">
        <f>SUM(D3489:K3489)</f>
        <v>0</v>
      </c>
      <c r="O3489" s="1146"/>
      <c r="P3489" s="1115"/>
      <c r="Q3489" s="48"/>
      <c r="R3489" s="48"/>
      <c r="S3489" s="48"/>
      <c r="T3489" s="48"/>
      <c r="U3489" s="48"/>
      <c r="V3489" s="48"/>
      <c r="W3489" s="48"/>
    </row>
    <row r="3490" spans="1:23" ht="15.6" hidden="1" customHeight="1" x14ac:dyDescent="0.25">
      <c r="A3490" s="2046"/>
      <c r="B3490" s="2046"/>
      <c r="C3490" s="2177"/>
      <c r="D3490" s="2077"/>
      <c r="E3490" s="2046"/>
      <c r="F3490" s="2077"/>
      <c r="G3490" s="2043"/>
      <c r="H3490" s="2077"/>
      <c r="I3490" s="58"/>
      <c r="J3490" s="58"/>
      <c r="K3490" s="58"/>
      <c r="O3490" s="1146"/>
      <c r="P3490" s="1115"/>
      <c r="Q3490" s="48"/>
      <c r="R3490" s="48"/>
      <c r="S3490" s="48"/>
      <c r="T3490" s="48"/>
      <c r="U3490" s="48"/>
      <c r="V3490" s="48"/>
      <c r="W3490" s="48"/>
    </row>
    <row r="3491" spans="1:23" ht="15.6" hidden="1" customHeight="1" thickBot="1" x14ac:dyDescent="0.3">
      <c r="A3491" s="2046"/>
      <c r="B3491" s="2081" t="str">
        <f>"Restated Balances as at "&amp;Parameters!C13</f>
        <v>Restated Balances as at 30 June 2011</v>
      </c>
      <c r="C3491" s="2077"/>
      <c r="D3491" s="2077"/>
      <c r="E3491" s="2050">
        <f>SUM(E3477:E3490)</f>
        <v>0</v>
      </c>
      <c r="F3491" s="2077"/>
      <c r="G3491" s="2050">
        <f>SUM(G3477:G3490)</f>
        <v>0</v>
      </c>
      <c r="H3491" s="2077"/>
      <c r="I3491" s="204">
        <f>SUM(I3477:I3490)</f>
        <v>0</v>
      </c>
      <c r="K3491" s="204">
        <f>SUM(K3477:K3490)</f>
        <v>0</v>
      </c>
      <c r="M3491" s="622">
        <f>SUM(M3479:M3490)</f>
        <v>0</v>
      </c>
      <c r="N3491" s="1147"/>
      <c r="O3491" s="1146"/>
      <c r="P3491" s="1115"/>
      <c r="Q3491" s="48"/>
      <c r="R3491" s="48"/>
      <c r="S3491" s="48"/>
      <c r="T3491" s="48"/>
      <c r="U3491" s="48"/>
      <c r="V3491" s="48"/>
      <c r="W3491" s="48"/>
    </row>
    <row r="3492" spans="1:23" ht="15.6" hidden="1" customHeight="1" thickTop="1" x14ac:dyDescent="0.25">
      <c r="A3492" s="2046"/>
      <c r="B3492" s="2046"/>
      <c r="C3492" s="2046"/>
      <c r="D3492" s="2077"/>
      <c r="E3492" s="2178"/>
      <c r="F3492" s="2077"/>
      <c r="G3492" s="2178"/>
      <c r="H3492" s="2077"/>
      <c r="I3492" s="2178"/>
      <c r="J3492" s="2092"/>
      <c r="K3492" s="2178"/>
      <c r="L3492" s="2046"/>
      <c r="M3492" s="1133"/>
      <c r="N3492" s="1147"/>
      <c r="O3492" s="1133"/>
      <c r="P3492" s="1115"/>
      <c r="Q3492" s="48"/>
      <c r="R3492" s="48"/>
      <c r="S3492" s="48"/>
      <c r="T3492" s="48"/>
      <c r="U3492" s="48"/>
      <c r="V3492" s="48"/>
      <c r="W3492" s="48"/>
    </row>
    <row r="3493" spans="1:23" ht="15.6" hidden="1" customHeight="1" x14ac:dyDescent="0.25">
      <c r="A3493" s="2046"/>
      <c r="B3493" s="2081" t="s">
        <v>2482</v>
      </c>
      <c r="C3493" s="2046"/>
      <c r="D3493" s="2077"/>
      <c r="E3493" s="2046"/>
      <c r="F3493" s="2077"/>
      <c r="G3493" s="2077"/>
      <c r="H3493" s="2077"/>
      <c r="I3493" s="2169"/>
      <c r="J3493" s="2169"/>
      <c r="K3493" s="2169"/>
      <c r="L3493" s="2046"/>
      <c r="N3493" s="1147"/>
      <c r="O3493" s="1146"/>
      <c r="P3493" s="1115"/>
      <c r="Q3493" s="48"/>
      <c r="R3493" s="48"/>
      <c r="S3493" s="48"/>
      <c r="T3493" s="48"/>
      <c r="U3493" s="48"/>
      <c r="V3493" s="48"/>
      <c r="W3493" s="48"/>
    </row>
    <row r="3494" spans="1:23" ht="46.5" hidden="1" customHeight="1" x14ac:dyDescent="0.2">
      <c r="A3494" s="2170"/>
      <c r="B3494" s="2879" t="s">
        <v>2068</v>
      </c>
      <c r="C3494" s="2879"/>
      <c r="D3494" s="2879"/>
      <c r="E3494" s="2879"/>
      <c r="F3494" s="2879"/>
      <c r="G3494" s="2879"/>
      <c r="H3494" s="2879"/>
      <c r="I3494" s="2879"/>
      <c r="J3494" s="2879"/>
      <c r="K3494" s="2879"/>
      <c r="L3494" s="2170"/>
      <c r="N3494" s="1147"/>
      <c r="O3494" s="1146"/>
      <c r="P3494" s="1115"/>
    </row>
    <row r="3495" spans="1:23" ht="15.6" hidden="1" customHeight="1" x14ac:dyDescent="0.2">
      <c r="A3495" s="2046"/>
      <c r="B3495" s="2046"/>
      <c r="C3495" s="2046"/>
      <c r="D3495" s="2077"/>
      <c r="E3495" s="2046"/>
      <c r="F3495" s="2077"/>
      <c r="G3495" s="2077"/>
      <c r="H3495" s="2077"/>
      <c r="I3495" s="2169"/>
      <c r="J3495" s="2169"/>
      <c r="K3495" s="2169"/>
      <c r="L3495" s="2046"/>
      <c r="N3495" s="1147"/>
      <c r="O3495" s="1146"/>
      <c r="P3495" s="1115"/>
    </row>
    <row r="3496" spans="1:23" ht="15.6" hidden="1" customHeight="1" x14ac:dyDescent="0.2">
      <c r="A3496" s="2170"/>
      <c r="B3496" s="2879" t="s">
        <v>1302</v>
      </c>
      <c r="C3496" s="2879"/>
      <c r="D3496" s="2879"/>
      <c r="E3496" s="2879"/>
      <c r="F3496" s="2879"/>
      <c r="G3496" s="2879"/>
      <c r="H3496" s="2879"/>
      <c r="I3496" s="2879"/>
      <c r="J3496" s="2879"/>
      <c r="K3496" s="2879"/>
      <c r="L3496" s="2170"/>
      <c r="M3496" s="1482"/>
      <c r="N3496" s="1147"/>
      <c r="O3496" s="1146"/>
    </row>
    <row r="3497" spans="1:23" ht="15.6" hidden="1" customHeight="1" x14ac:dyDescent="0.2">
      <c r="I3497" s="270"/>
      <c r="J3497" s="270"/>
      <c r="K3497" s="270"/>
      <c r="N3497" s="1147"/>
      <c r="O3497" s="1146"/>
      <c r="P3497" s="1115"/>
    </row>
    <row r="3498" spans="1:23" ht="15.6" hidden="1" customHeight="1" x14ac:dyDescent="0.2">
      <c r="B3498" s="671" t="s">
        <v>7412</v>
      </c>
      <c r="C3498" s="672"/>
      <c r="D3498" s="672"/>
      <c r="E3498" s="672"/>
      <c r="F3498" s="672"/>
      <c r="I3498" s="270"/>
      <c r="J3498" s="270"/>
      <c r="K3498" s="270"/>
      <c r="M3498" s="1133"/>
      <c r="N3498" s="1147"/>
      <c r="O3498" s="1146"/>
      <c r="W3498" s="1114" t="s">
        <v>3857</v>
      </c>
    </row>
    <row r="3499" spans="1:23" ht="15.6" hidden="1" customHeight="1" x14ac:dyDescent="0.2">
      <c r="B3499" s="671" t="s">
        <v>1936</v>
      </c>
      <c r="C3499" s="672"/>
      <c r="D3499" s="672"/>
      <c r="E3499" s="672"/>
      <c r="F3499" s="672"/>
      <c r="I3499" s="270"/>
      <c r="J3499" s="270"/>
      <c r="K3499" s="270"/>
      <c r="M3499" s="1133"/>
      <c r="N3499" s="1147"/>
      <c r="O3499" s="1146"/>
      <c r="P3499" s="1115"/>
    </row>
    <row r="3500" spans="1:23" ht="15.6" hidden="1" customHeight="1" x14ac:dyDescent="0.2">
      <c r="I3500" s="58"/>
      <c r="J3500" s="58"/>
      <c r="K3500" s="58"/>
      <c r="M3500" s="1133"/>
      <c r="N3500" s="1147"/>
      <c r="O3500" s="1146"/>
    </row>
    <row r="3501" spans="1:23" ht="30.95" hidden="1" customHeight="1" x14ac:dyDescent="0.2">
      <c r="A3501" s="2170"/>
      <c r="B3501" s="2879" t="s">
        <v>1439</v>
      </c>
      <c r="C3501" s="2879"/>
      <c r="D3501" s="2879"/>
      <c r="E3501" s="2879"/>
      <c r="F3501" s="2879"/>
      <c r="G3501" s="2879"/>
      <c r="H3501" s="2879"/>
      <c r="I3501" s="2879"/>
      <c r="J3501" s="2879"/>
      <c r="K3501" s="2879"/>
      <c r="L3501" s="2170"/>
      <c r="M3501" s="1482"/>
      <c r="N3501" s="1147"/>
      <c r="O3501" s="1146"/>
      <c r="P3501" s="1115"/>
    </row>
    <row r="3502" spans="1:23" ht="15.6" hidden="1" customHeight="1" x14ac:dyDescent="0.2">
      <c r="A3502" s="2046"/>
      <c r="B3502" s="2046"/>
      <c r="C3502" s="2046"/>
      <c r="D3502" s="2077"/>
      <c r="E3502" s="2046"/>
      <c r="F3502" s="2077"/>
      <c r="G3502" s="2077"/>
      <c r="H3502" s="2077"/>
      <c r="I3502" s="2043"/>
      <c r="J3502" s="2043"/>
      <c r="K3502" s="2043"/>
      <c r="L3502" s="2173"/>
      <c r="M3502" s="1133"/>
      <c r="N3502" s="1147"/>
      <c r="O3502" s="1146"/>
      <c r="P3502" s="1115"/>
    </row>
    <row r="3503" spans="1:23" ht="15.6" hidden="1" customHeight="1" x14ac:dyDescent="0.25">
      <c r="A3503" s="2046"/>
      <c r="B3503" s="2081" t="s">
        <v>1303</v>
      </c>
      <c r="C3503" s="2046"/>
      <c r="D3503" s="2077"/>
      <c r="E3503" s="2046"/>
      <c r="F3503" s="2077"/>
      <c r="G3503" s="2077"/>
      <c r="H3503" s="2077"/>
      <c r="I3503" s="2043"/>
      <c r="J3503" s="2043"/>
      <c r="K3503" s="2043"/>
      <c r="L3503" s="2046"/>
      <c r="M3503" s="1133"/>
      <c r="N3503" s="1147"/>
      <c r="O3503" s="1146"/>
      <c r="P3503" s="1115"/>
    </row>
    <row r="3504" spans="1:23" ht="15.6" hidden="1" customHeight="1" x14ac:dyDescent="0.2">
      <c r="A3504" s="2046"/>
      <c r="B3504" s="2046"/>
      <c r="C3504" s="2046"/>
      <c r="D3504" s="2077"/>
      <c r="E3504" s="2046"/>
      <c r="F3504" s="2077"/>
      <c r="G3504" s="2077"/>
      <c r="H3504" s="2077"/>
      <c r="I3504" s="2043"/>
      <c r="J3504" s="2043"/>
      <c r="K3504" s="2043"/>
      <c r="L3504" s="2046"/>
      <c r="P3504" s="1115"/>
    </row>
    <row r="3505" spans="1:23" ht="15.6" hidden="1" customHeight="1" x14ac:dyDescent="0.25">
      <c r="A3505" s="2046"/>
      <c r="B3505" s="2046"/>
      <c r="C3505" s="2077"/>
      <c r="D3505" s="2077"/>
      <c r="E3505" s="2046"/>
      <c r="F3505" s="2077"/>
      <c r="G3505" s="2174" t="s">
        <v>1436</v>
      </c>
      <c r="H3505" s="2077"/>
      <c r="I3505" s="2174" t="s">
        <v>1436</v>
      </c>
      <c r="J3505" s="2043"/>
      <c r="K3505" s="2174" t="s">
        <v>1441</v>
      </c>
      <c r="L3505" s="2046"/>
      <c r="M3505" s="1133"/>
      <c r="N3505" s="1147"/>
      <c r="O3505" s="1146"/>
      <c r="P3505" s="1115"/>
    </row>
    <row r="3506" spans="1:23" ht="15.6" hidden="1" customHeight="1" x14ac:dyDescent="0.25">
      <c r="A3506" s="2046"/>
      <c r="B3506" s="2046"/>
      <c r="C3506" s="2077"/>
      <c r="D3506" s="2077"/>
      <c r="E3506" s="2046"/>
      <c r="F3506" s="2077"/>
      <c r="G3506" s="2174" t="s">
        <v>224</v>
      </c>
      <c r="H3506" s="2077"/>
      <c r="I3506" s="2174" t="s">
        <v>1438</v>
      </c>
      <c r="J3506" s="2043"/>
      <c r="K3506" s="2174"/>
      <c r="L3506" s="2046"/>
      <c r="M3506" s="1133"/>
      <c r="N3506" s="1147"/>
      <c r="O3506" s="1146"/>
      <c r="P3506" s="1115"/>
    </row>
    <row r="3507" spans="1:23" ht="15.6" hidden="1" customHeight="1" x14ac:dyDescent="0.25">
      <c r="A3507" s="2046"/>
      <c r="B3507" s="2046"/>
      <c r="C3507" s="2077"/>
      <c r="D3507" s="2077"/>
      <c r="E3507" s="2046"/>
      <c r="F3507" s="2077"/>
      <c r="G3507" s="2174" t="s">
        <v>1437</v>
      </c>
      <c r="H3507" s="2077"/>
      <c r="I3507" s="2174" t="s">
        <v>737</v>
      </c>
      <c r="J3507" s="2043"/>
      <c r="K3507" s="2174" t="s">
        <v>232</v>
      </c>
      <c r="L3507" s="2046"/>
      <c r="M3507" s="232" t="s">
        <v>454</v>
      </c>
      <c r="N3507" s="1147"/>
      <c r="O3507" s="1146"/>
      <c r="P3507" s="1115"/>
    </row>
    <row r="3508" spans="1:23" ht="15.6" hidden="1" customHeight="1" x14ac:dyDescent="0.2">
      <c r="A3508" s="2046"/>
      <c r="B3508" s="2046"/>
      <c r="C3508" s="2077"/>
      <c r="D3508" s="2077"/>
      <c r="E3508" s="2046"/>
      <c r="F3508" s="2077"/>
      <c r="G3508" s="2043"/>
      <c r="H3508" s="2077"/>
      <c r="I3508" s="2043"/>
      <c r="J3508" s="2043"/>
      <c r="K3508" s="2043"/>
      <c r="L3508" s="2046"/>
      <c r="M3508" s="1133"/>
      <c r="N3508" s="1147"/>
      <c r="O3508" s="1146"/>
      <c r="P3508" s="1115"/>
    </row>
    <row r="3509" spans="1:23" ht="15.6" hidden="1" customHeight="1" x14ac:dyDescent="0.25">
      <c r="A3509" s="2046"/>
      <c r="B3509" s="2081" t="str">
        <f>"Balances published as at "&amp;Parameters!C15</f>
        <v>Balances published as at 30 June 2010</v>
      </c>
      <c r="C3509" s="2077"/>
      <c r="D3509" s="2077"/>
      <c r="E3509" s="2046"/>
      <c r="F3509" s="2077"/>
      <c r="G3509" s="2049">
        <v>0</v>
      </c>
      <c r="H3509" s="2077"/>
      <c r="I3509" s="2049">
        <v>0</v>
      </c>
      <c r="J3509" s="2043"/>
      <c r="K3509" s="2049">
        <v>0</v>
      </c>
      <c r="L3509" s="2046"/>
      <c r="M3509" s="1133"/>
      <c r="N3509" s="1147"/>
      <c r="O3509" s="1146"/>
      <c r="P3509" s="1115"/>
    </row>
    <row r="3510" spans="1:23" ht="15.6" hidden="1" customHeight="1" x14ac:dyDescent="0.2">
      <c r="A3510" s="2046"/>
      <c r="B3510" s="2082" t="s">
        <v>1440</v>
      </c>
      <c r="C3510" s="2083"/>
      <c r="D3510" s="2077"/>
      <c r="E3510" s="2046"/>
      <c r="F3510" s="2077"/>
      <c r="G3510" s="2043">
        <v>0</v>
      </c>
      <c r="H3510" s="2077"/>
      <c r="I3510" s="2043">
        <v>0</v>
      </c>
      <c r="J3510" s="2043"/>
      <c r="K3510" s="2043">
        <v>0</v>
      </c>
      <c r="L3510" s="2046"/>
      <c r="M3510" s="1147">
        <f>SUM(D3510:K3510)</f>
        <v>0</v>
      </c>
      <c r="O3510" s="1146"/>
      <c r="P3510" s="1115"/>
      <c r="Q3510" s="48"/>
      <c r="R3510" s="48"/>
      <c r="S3510" s="48"/>
      <c r="T3510" s="48"/>
      <c r="U3510" s="48"/>
      <c r="V3510" s="48"/>
      <c r="W3510" s="48"/>
    </row>
    <row r="3511" spans="1:23" ht="15.6" hidden="1" customHeight="1" x14ac:dyDescent="0.2">
      <c r="A3511" s="2046"/>
      <c r="B3511" s="2082" t="s">
        <v>2069</v>
      </c>
      <c r="C3511" s="2083"/>
      <c r="D3511" s="2077"/>
      <c r="E3511" s="2046"/>
      <c r="F3511" s="2077"/>
      <c r="G3511" s="2043">
        <v>0</v>
      </c>
      <c r="H3511" s="2077"/>
      <c r="I3511" s="2043">
        <v>0</v>
      </c>
      <c r="J3511" s="2043"/>
      <c r="K3511" s="2043">
        <v>0</v>
      </c>
      <c r="L3511" s="2046"/>
      <c r="M3511" s="1147">
        <f>SUM(D3511:K3511)</f>
        <v>0</v>
      </c>
      <c r="O3511" s="1146"/>
      <c r="P3511" s="1115"/>
      <c r="Q3511" s="48"/>
      <c r="R3511" s="48"/>
      <c r="S3511" s="48"/>
      <c r="T3511" s="48"/>
      <c r="U3511" s="48"/>
      <c r="V3511" s="48"/>
      <c r="W3511" s="48"/>
    </row>
    <row r="3512" spans="1:23" ht="15.6" hidden="1" customHeight="1" x14ac:dyDescent="0.2">
      <c r="A3512" s="2046"/>
      <c r="B3512" s="2046"/>
      <c r="C3512" s="2077"/>
      <c r="D3512" s="2077"/>
      <c r="E3512" s="2046"/>
      <c r="F3512" s="2077"/>
      <c r="G3512" s="2047"/>
      <c r="H3512" s="2077"/>
      <c r="I3512" s="2047"/>
      <c r="J3512" s="2047"/>
      <c r="K3512" s="2047"/>
      <c r="L3512" s="2046"/>
      <c r="O3512" s="1146"/>
      <c r="P3512" s="1115"/>
      <c r="Q3512" s="48"/>
      <c r="R3512" s="48"/>
      <c r="S3512" s="48"/>
      <c r="T3512" s="48"/>
      <c r="U3512" s="48"/>
      <c r="V3512" s="48"/>
      <c r="W3512" s="48"/>
    </row>
    <row r="3513" spans="1:23" ht="15.6" hidden="1" customHeight="1" thickBot="1" x14ac:dyDescent="0.3">
      <c r="A3513" s="2046"/>
      <c r="B3513" s="2081" t="str">
        <f>"Restated Balances as at "&amp;Parameters!C15</f>
        <v>Restated Balances as at 30 June 2010</v>
      </c>
      <c r="C3513" s="2077"/>
      <c r="D3513" s="2077"/>
      <c r="E3513" s="2046"/>
      <c r="F3513" s="2077"/>
      <c r="G3513" s="2048">
        <f>SUM(G3509:G3512)</f>
        <v>0</v>
      </c>
      <c r="H3513" s="2077"/>
      <c r="I3513" s="2048">
        <f>SUM(I3509:I3512)</f>
        <v>0</v>
      </c>
      <c r="J3513" s="2048">
        <f>SUM(J3509:J3512)</f>
        <v>0</v>
      </c>
      <c r="K3513" s="2048">
        <f>SUM(K3509:K3512)</f>
        <v>0</v>
      </c>
      <c r="L3513" s="2046"/>
      <c r="M3513" s="622">
        <f>SUM(M3509:M3512)</f>
        <v>0</v>
      </c>
      <c r="O3513" s="1146"/>
      <c r="P3513" s="1115"/>
      <c r="Q3513" s="48"/>
      <c r="R3513" s="48"/>
      <c r="S3513" s="48"/>
      <c r="T3513" s="48"/>
      <c r="U3513" s="48"/>
      <c r="V3513" s="48"/>
      <c r="W3513" s="48"/>
    </row>
    <row r="3514" spans="1:23" ht="15.6" hidden="1" customHeight="1" thickTop="1" x14ac:dyDescent="0.2">
      <c r="A3514" s="2046"/>
      <c r="B3514" s="2046"/>
      <c r="C3514" s="2077"/>
      <c r="D3514" s="2077"/>
      <c r="E3514" s="2046"/>
      <c r="F3514" s="2077"/>
      <c r="G3514" s="2043"/>
      <c r="H3514" s="2077"/>
      <c r="I3514" s="2043"/>
      <c r="J3514" s="2043"/>
      <c r="K3514" s="2043"/>
      <c r="L3514" s="2046"/>
      <c r="O3514" s="1146"/>
      <c r="P3514" s="1115"/>
      <c r="Q3514" s="48"/>
      <c r="R3514" s="48"/>
      <c r="S3514" s="48"/>
      <c r="T3514" s="48"/>
      <c r="U3514" s="48"/>
      <c r="V3514" s="48"/>
      <c r="W3514" s="48"/>
    </row>
    <row r="3515" spans="1:23" ht="15.6" hidden="1" customHeight="1" x14ac:dyDescent="0.2">
      <c r="A3515" s="2046"/>
      <c r="B3515" s="2082" t="s">
        <v>2227</v>
      </c>
      <c r="C3515" s="2083"/>
      <c r="D3515" s="2077"/>
      <c r="E3515" s="2046"/>
      <c r="F3515" s="2077"/>
      <c r="G3515" s="2043"/>
      <c r="H3515" s="2077"/>
      <c r="I3515" s="2043"/>
      <c r="J3515" s="2043"/>
      <c r="K3515" s="2043"/>
      <c r="L3515" s="2046"/>
      <c r="O3515" s="1146"/>
      <c r="P3515" s="1115"/>
      <c r="Q3515" s="48"/>
      <c r="R3515" s="48"/>
      <c r="S3515" s="48"/>
      <c r="T3515" s="48"/>
      <c r="U3515" s="48"/>
      <c r="V3515" s="48"/>
      <c r="W3515" s="48"/>
    </row>
    <row r="3516" spans="1:23" ht="15.6" hidden="1" customHeight="1" x14ac:dyDescent="0.2">
      <c r="A3516" s="2046"/>
      <c r="B3516" s="2082" t="s">
        <v>2070</v>
      </c>
      <c r="C3516" s="2083"/>
      <c r="D3516" s="2077"/>
      <c r="E3516" s="2046"/>
      <c r="F3516" s="2077"/>
      <c r="G3516" s="2043">
        <v>0</v>
      </c>
      <c r="H3516" s="2077"/>
      <c r="I3516" s="2043">
        <v>0</v>
      </c>
      <c r="J3516" s="2043"/>
      <c r="K3516" s="2043">
        <v>0</v>
      </c>
      <c r="L3516" s="2046"/>
      <c r="M3516" s="1147">
        <f>SUM(D3516:J3516)</f>
        <v>0</v>
      </c>
      <c r="O3516" s="1146"/>
      <c r="P3516" s="1115"/>
      <c r="Q3516" s="48"/>
      <c r="R3516" s="48"/>
      <c r="S3516" s="48"/>
      <c r="T3516" s="48"/>
      <c r="U3516" s="48"/>
      <c r="V3516" s="48"/>
      <c r="W3516" s="48"/>
    </row>
    <row r="3517" spans="1:23" ht="15.6" hidden="1" customHeight="1" x14ac:dyDescent="0.2">
      <c r="A3517" s="2046"/>
      <c r="B3517" s="2082" t="s">
        <v>2071</v>
      </c>
      <c r="C3517" s="2083"/>
      <c r="D3517" s="2077"/>
      <c r="E3517" s="2046"/>
      <c r="F3517" s="2077"/>
      <c r="G3517" s="2043">
        <v>0</v>
      </c>
      <c r="H3517" s="2077"/>
      <c r="I3517" s="2043">
        <v>0</v>
      </c>
      <c r="J3517" s="2043"/>
      <c r="K3517" s="2043">
        <v>0</v>
      </c>
      <c r="L3517" s="2046"/>
      <c r="M3517" s="1147">
        <f>SUM(D3517:K3517)</f>
        <v>0</v>
      </c>
      <c r="O3517" s="1146"/>
      <c r="P3517" s="1115"/>
      <c r="Q3517" s="48"/>
      <c r="R3517" s="48"/>
      <c r="S3517" s="48"/>
      <c r="T3517" s="48"/>
      <c r="U3517" s="48"/>
      <c r="V3517" s="48"/>
      <c r="W3517" s="48"/>
    </row>
    <row r="3518" spans="1:23" ht="15.6" hidden="1" customHeight="1" x14ac:dyDescent="0.2">
      <c r="A3518" s="2046"/>
      <c r="B3518" s="2082" t="s">
        <v>2072</v>
      </c>
      <c r="C3518" s="2083"/>
      <c r="D3518" s="2077"/>
      <c r="E3518" s="2046"/>
      <c r="F3518" s="2077"/>
      <c r="G3518" s="2043">
        <v>0</v>
      </c>
      <c r="H3518" s="2077"/>
      <c r="I3518" s="2043">
        <v>0</v>
      </c>
      <c r="J3518" s="2043"/>
      <c r="K3518" s="2043">
        <v>0</v>
      </c>
      <c r="L3518" s="2046"/>
      <c r="O3518" s="1146"/>
      <c r="P3518" s="1115"/>
      <c r="Q3518" s="48"/>
      <c r="R3518" s="48"/>
      <c r="S3518" s="48"/>
      <c r="T3518" s="48"/>
      <c r="U3518" s="48"/>
      <c r="V3518" s="48"/>
      <c r="W3518" s="48"/>
    </row>
    <row r="3519" spans="1:23" ht="15.6" hidden="1" customHeight="1" x14ac:dyDescent="0.2">
      <c r="A3519" s="2046"/>
      <c r="B3519" s="2082" t="s">
        <v>1443</v>
      </c>
      <c r="C3519" s="2083"/>
      <c r="D3519" s="2077"/>
      <c r="E3519" s="2046"/>
      <c r="F3519" s="2077"/>
      <c r="G3519" s="2043">
        <v>0</v>
      </c>
      <c r="H3519" s="2077"/>
      <c r="I3519" s="2043">
        <v>0</v>
      </c>
      <c r="J3519" s="2043"/>
      <c r="K3519" s="2043">
        <v>0</v>
      </c>
      <c r="L3519" s="2046"/>
      <c r="M3519" s="1147">
        <f>SUM(D3519:K3519)</f>
        <v>0</v>
      </c>
      <c r="O3519" s="1146"/>
      <c r="P3519" s="1115"/>
      <c r="Q3519" s="48"/>
      <c r="R3519" s="48"/>
      <c r="S3519" s="48"/>
      <c r="T3519" s="48"/>
      <c r="U3519" s="48"/>
      <c r="V3519" s="48"/>
      <c r="W3519" s="48"/>
    </row>
    <row r="3520" spans="1:23" ht="15.6" hidden="1" customHeight="1" x14ac:dyDescent="0.2">
      <c r="A3520" s="2046"/>
      <c r="B3520" s="2082" t="s">
        <v>1442</v>
      </c>
      <c r="C3520" s="2083"/>
      <c r="D3520" s="2077"/>
      <c r="E3520" s="2046"/>
      <c r="F3520" s="2077"/>
      <c r="G3520" s="2043">
        <v>0</v>
      </c>
      <c r="H3520" s="2077"/>
      <c r="I3520" s="2043">
        <v>0</v>
      </c>
      <c r="J3520" s="2043"/>
      <c r="K3520" s="2043">
        <v>0</v>
      </c>
      <c r="L3520" s="2046"/>
      <c r="M3520" s="1147">
        <f>SUM(D3520:K3520)</f>
        <v>0</v>
      </c>
      <c r="O3520" s="1146"/>
      <c r="P3520" s="1115"/>
      <c r="Q3520" s="48"/>
      <c r="R3520" s="48"/>
      <c r="S3520" s="48"/>
      <c r="T3520" s="48"/>
      <c r="U3520" s="48"/>
      <c r="V3520" s="48"/>
      <c r="W3520" s="48"/>
    </row>
    <row r="3521" spans="1:23" ht="15.6" hidden="1" customHeight="1" x14ac:dyDescent="0.25">
      <c r="A3521" s="2046"/>
      <c r="B3521" s="2046"/>
      <c r="C3521" s="2177"/>
      <c r="D3521" s="2077"/>
      <c r="E3521" s="2046"/>
      <c r="F3521" s="2077"/>
      <c r="G3521" s="2043"/>
      <c r="H3521" s="2077"/>
      <c r="I3521" s="2043"/>
      <c r="J3521" s="2043"/>
      <c r="K3521" s="2043"/>
      <c r="L3521" s="2046"/>
      <c r="O3521" s="1146"/>
      <c r="P3521" s="1115"/>
      <c r="Q3521" s="48"/>
      <c r="R3521" s="48"/>
      <c r="S3521" s="48"/>
      <c r="T3521" s="48"/>
      <c r="U3521" s="48"/>
      <c r="V3521" s="48"/>
      <c r="W3521" s="48"/>
    </row>
    <row r="3522" spans="1:23" ht="15.6" hidden="1" customHeight="1" thickBot="1" x14ac:dyDescent="0.3">
      <c r="A3522" s="2046"/>
      <c r="B3522" s="2081" t="str">
        <f>"Restated Balances as at "&amp;Parameters!C13</f>
        <v>Restated Balances as at 30 June 2011</v>
      </c>
      <c r="C3522" s="2077"/>
      <c r="D3522" s="2077"/>
      <c r="E3522" s="2046"/>
      <c r="F3522" s="2077"/>
      <c r="G3522" s="2050">
        <f>SUM(G3513:G3521)</f>
        <v>0</v>
      </c>
      <c r="H3522" s="2077"/>
      <c r="I3522" s="2050">
        <f>SUM(I3513:I3521)</f>
        <v>0</v>
      </c>
      <c r="J3522" s="2060"/>
      <c r="K3522" s="2050">
        <f>SUM(K3513:K3521)</f>
        <v>0</v>
      </c>
      <c r="L3522" s="2046"/>
      <c r="M3522" s="622">
        <f>SUM(M3515:M3521)</f>
        <v>0</v>
      </c>
      <c r="N3522" s="1147"/>
      <c r="O3522" s="1146"/>
      <c r="P3522" s="1115"/>
      <c r="Q3522" s="48"/>
      <c r="R3522" s="48"/>
      <c r="S3522" s="48"/>
      <c r="T3522" s="48"/>
      <c r="U3522" s="48"/>
      <c r="V3522" s="48"/>
      <c r="W3522" s="48"/>
    </row>
    <row r="3523" spans="1:23" ht="15.6" hidden="1" customHeight="1" thickTop="1" x14ac:dyDescent="0.2">
      <c r="A3523" s="2046"/>
      <c r="B3523" s="2046"/>
      <c r="C3523" s="2077"/>
      <c r="D3523" s="2077"/>
      <c r="E3523" s="2046"/>
      <c r="F3523" s="2077"/>
      <c r="G3523" s="2179">
        <v>0</v>
      </c>
      <c r="H3523" s="2077"/>
      <c r="I3523" s="2179">
        <v>0</v>
      </c>
      <c r="J3523" s="2077"/>
      <c r="K3523" s="2179">
        <v>0</v>
      </c>
      <c r="L3523" s="2046"/>
      <c r="M3523" s="1133"/>
      <c r="N3523" s="1147"/>
      <c r="O3523" s="1146"/>
      <c r="P3523" s="1115"/>
      <c r="Q3523" s="48"/>
      <c r="R3523" s="48"/>
      <c r="S3523" s="48"/>
      <c r="T3523" s="48"/>
      <c r="U3523" s="48"/>
      <c r="V3523" s="48"/>
      <c r="W3523" s="48"/>
    </row>
    <row r="3524" spans="1:23" ht="15.6" customHeight="1" x14ac:dyDescent="0.25">
      <c r="B3524" s="50" t="s">
        <v>2483</v>
      </c>
      <c r="I3524" s="270"/>
      <c r="J3524" s="270"/>
      <c r="K3524" s="270"/>
      <c r="N3524" s="1147"/>
      <c r="O3524" s="1146"/>
      <c r="P3524" s="1115"/>
      <c r="Q3524" s="48"/>
      <c r="R3524" s="48"/>
      <c r="S3524" s="48"/>
      <c r="T3524" s="48"/>
      <c r="U3524" s="48"/>
      <c r="V3524" s="48"/>
      <c r="W3524" s="48"/>
    </row>
    <row r="3525" spans="1:23" ht="46.5" customHeight="1" x14ac:dyDescent="0.2">
      <c r="A3525" s="201"/>
      <c r="B3525" s="2861" t="s">
        <v>1916</v>
      </c>
      <c r="C3525" s="2861"/>
      <c r="D3525" s="2861"/>
      <c r="E3525" s="2861"/>
      <c r="F3525" s="2861"/>
      <c r="G3525" s="2861"/>
      <c r="H3525" s="2861"/>
      <c r="I3525" s="2861"/>
      <c r="J3525" s="2861"/>
      <c r="K3525" s="2861"/>
      <c r="L3525" s="201"/>
      <c r="M3525" s="1482"/>
      <c r="N3525" s="1147"/>
      <c r="O3525" s="1146"/>
      <c r="P3525" s="1115"/>
      <c r="Q3525" s="48"/>
      <c r="R3525" s="48"/>
      <c r="S3525" s="48"/>
      <c r="T3525" s="48"/>
      <c r="U3525" s="48"/>
      <c r="V3525" s="48"/>
      <c r="W3525" s="48"/>
    </row>
    <row r="3526" spans="1:23" ht="15.6" customHeight="1" x14ac:dyDescent="0.2">
      <c r="I3526" s="270"/>
      <c r="J3526" s="270"/>
      <c r="K3526" s="270"/>
      <c r="N3526" s="1147"/>
      <c r="O3526" s="1146"/>
      <c r="P3526" s="1115"/>
    </row>
    <row r="3527" spans="1:23" ht="15.6" customHeight="1" x14ac:dyDescent="0.2">
      <c r="A3527" s="201"/>
      <c r="B3527" s="2861" t="s">
        <v>1302</v>
      </c>
      <c r="C3527" s="2861"/>
      <c r="D3527" s="2861"/>
      <c r="E3527" s="2861"/>
      <c r="F3527" s="2861"/>
      <c r="G3527" s="2861"/>
      <c r="H3527" s="2861"/>
      <c r="I3527" s="2861"/>
      <c r="J3527" s="2861"/>
      <c r="K3527" s="2861"/>
      <c r="L3527" s="201"/>
      <c r="M3527" s="1482"/>
      <c r="N3527" s="1147"/>
      <c r="O3527" s="1146"/>
      <c r="P3527" s="1121"/>
    </row>
    <row r="3528" spans="1:23" ht="15.6" customHeight="1" x14ac:dyDescent="0.2">
      <c r="I3528" s="270"/>
      <c r="J3528" s="270"/>
      <c r="K3528" s="270"/>
      <c r="N3528" s="1147"/>
      <c r="O3528" s="1146"/>
      <c r="P3528" s="1117"/>
    </row>
    <row r="3529" spans="1:23" ht="15.6" hidden="1" customHeight="1" x14ac:dyDescent="0.2">
      <c r="B3529" s="671" t="s">
        <v>6512</v>
      </c>
      <c r="C3529" s="672"/>
      <c r="D3529" s="672"/>
      <c r="E3529" s="672"/>
      <c r="F3529" s="672"/>
      <c r="I3529" s="270"/>
      <c r="J3529" s="270"/>
      <c r="K3529" s="270"/>
      <c r="M3529" s="1133"/>
      <c r="N3529" s="1147"/>
      <c r="O3529" s="1133"/>
      <c r="P3529" s="1117"/>
      <c r="W3529" s="1114" t="s">
        <v>3857</v>
      </c>
    </row>
    <row r="3530" spans="1:23" ht="15.6" hidden="1" customHeight="1" x14ac:dyDescent="0.2">
      <c r="B3530" s="671" t="s">
        <v>6513</v>
      </c>
      <c r="C3530" s="672"/>
      <c r="D3530" s="672"/>
      <c r="E3530" s="672"/>
      <c r="F3530" s="672"/>
      <c r="I3530" s="270"/>
      <c r="J3530" s="270"/>
      <c r="K3530" s="270"/>
      <c r="M3530" s="1133"/>
      <c r="N3530" s="1147"/>
      <c r="O3530" s="1146"/>
      <c r="P3530" s="1115"/>
    </row>
    <row r="3531" spans="1:23" ht="15.6" hidden="1" customHeight="1" x14ac:dyDescent="0.2">
      <c r="I3531" s="58"/>
      <c r="J3531" s="58"/>
      <c r="K3531" s="58"/>
      <c r="M3531" s="1133"/>
      <c r="N3531" s="1147"/>
      <c r="O3531" s="1133"/>
      <c r="P3531" s="1117"/>
    </row>
    <row r="3532" spans="1:23" ht="30.95" hidden="1" customHeight="1" x14ac:dyDescent="0.2">
      <c r="A3532" s="201"/>
      <c r="B3532" s="2861" t="s">
        <v>1925</v>
      </c>
      <c r="C3532" s="2861"/>
      <c r="D3532" s="2861"/>
      <c r="E3532" s="2861"/>
      <c r="F3532" s="2861"/>
      <c r="G3532" s="2861"/>
      <c r="H3532" s="2861"/>
      <c r="I3532" s="2861"/>
      <c r="J3532" s="2861"/>
      <c r="K3532" s="2861"/>
      <c r="L3532" s="201"/>
      <c r="M3532" s="1482"/>
      <c r="N3532" s="1147"/>
      <c r="O3532" s="1133"/>
    </row>
    <row r="3533" spans="1:23" ht="15.6" hidden="1" customHeight="1" x14ac:dyDescent="0.2">
      <c r="I3533" s="58"/>
      <c r="J3533" s="58"/>
      <c r="K3533" s="58"/>
      <c r="L3533" s="59"/>
      <c r="M3533" s="1133"/>
      <c r="N3533" s="1147"/>
      <c r="O3533" s="1133"/>
    </row>
    <row r="3534" spans="1:23" ht="30.95" hidden="1" customHeight="1" x14ac:dyDescent="0.2">
      <c r="A3534" s="201"/>
      <c r="B3534" s="2861" t="s">
        <v>1933</v>
      </c>
      <c r="C3534" s="2861"/>
      <c r="D3534" s="2861"/>
      <c r="E3534" s="2861"/>
      <c r="F3534" s="2861"/>
      <c r="G3534" s="2861"/>
      <c r="H3534" s="2861"/>
      <c r="I3534" s="2861"/>
      <c r="J3534" s="2861"/>
      <c r="K3534" s="2861"/>
      <c r="L3534" s="201"/>
      <c r="M3534" s="1482"/>
      <c r="N3534" s="1147"/>
      <c r="O3534" s="1133"/>
    </row>
    <row r="3535" spans="1:23" ht="15.6" hidden="1" customHeight="1" x14ac:dyDescent="0.2">
      <c r="I3535" s="58"/>
      <c r="J3535" s="58"/>
      <c r="K3535" s="58"/>
      <c r="L3535" s="59"/>
      <c r="M3535" s="1133"/>
      <c r="N3535" s="1147"/>
      <c r="O3535" s="1133"/>
    </row>
    <row r="3536" spans="1:23" ht="15.6" hidden="1" customHeight="1" x14ac:dyDescent="0.25">
      <c r="B3536" s="50" t="s">
        <v>1303</v>
      </c>
      <c r="I3536" s="58"/>
      <c r="J3536" s="58"/>
      <c r="K3536" s="58"/>
      <c r="M3536" s="1133"/>
      <c r="N3536" s="1147"/>
      <c r="O3536" s="1133"/>
    </row>
    <row r="3537" spans="2:23" ht="15.6" hidden="1" customHeight="1" x14ac:dyDescent="0.25">
      <c r="C3537" s="57"/>
      <c r="E3537" s="57"/>
      <c r="G3537" s="266" t="s">
        <v>1438</v>
      </c>
      <c r="I3537" s="266" t="s">
        <v>1917</v>
      </c>
      <c r="J3537" s="57"/>
      <c r="K3537" s="266" t="s">
        <v>1920</v>
      </c>
      <c r="N3537" s="1147"/>
      <c r="O3537" s="1133"/>
    </row>
    <row r="3538" spans="2:23" ht="15.6" hidden="1" customHeight="1" x14ac:dyDescent="0.25">
      <c r="C3538" s="57"/>
      <c r="E3538" s="57"/>
      <c r="G3538" s="266" t="s">
        <v>1874</v>
      </c>
      <c r="I3538" s="266" t="s">
        <v>1918</v>
      </c>
      <c r="J3538" s="57"/>
      <c r="K3538" s="266" t="s">
        <v>1921</v>
      </c>
      <c r="N3538" s="1147"/>
      <c r="O3538" s="1133"/>
    </row>
    <row r="3539" spans="2:23" ht="15.6" hidden="1" customHeight="1" x14ac:dyDescent="0.2">
      <c r="C3539" s="57"/>
      <c r="E3539" s="57"/>
      <c r="G3539" s="58"/>
      <c r="I3539" s="58"/>
      <c r="J3539" s="57"/>
      <c r="K3539" s="58"/>
      <c r="N3539" s="1147"/>
      <c r="O3539" s="1133"/>
    </row>
    <row r="3540" spans="2:23" ht="15.6" hidden="1" customHeight="1" x14ac:dyDescent="0.25">
      <c r="B3540" s="50" t="str">
        <f>"Balances published as at "&amp;Parameters!C15</f>
        <v>Balances published as at 30 June 2010</v>
      </c>
      <c r="C3540" s="57"/>
      <c r="E3540" s="57"/>
      <c r="G3540" s="224">
        <v>0</v>
      </c>
      <c r="I3540" s="224">
        <v>0</v>
      </c>
      <c r="J3540" s="57"/>
      <c r="K3540" s="224">
        <v>0</v>
      </c>
      <c r="N3540" s="1147"/>
      <c r="O3540" s="1133"/>
    </row>
    <row r="3541" spans="2:23" ht="15.6" hidden="1" customHeight="1" x14ac:dyDescent="0.2">
      <c r="B3541" s="48" t="s">
        <v>1919</v>
      </c>
      <c r="C3541" s="57"/>
      <c r="E3541" s="57"/>
      <c r="G3541" s="58">
        <f>-I3541-K3541</f>
        <v>0</v>
      </c>
      <c r="I3541" s="58">
        <v>0</v>
      </c>
      <c r="J3541" s="57"/>
      <c r="K3541" s="58">
        <v>0</v>
      </c>
      <c r="M3541" s="1147">
        <f>SUM(G3541:K3541)</f>
        <v>0</v>
      </c>
      <c r="O3541" s="1133"/>
    </row>
    <row r="3542" spans="2:23" ht="15.6" hidden="1" customHeight="1" x14ac:dyDescent="0.2">
      <c r="B3542" s="48" t="s">
        <v>1922</v>
      </c>
      <c r="C3542" s="57"/>
      <c r="E3542" s="57"/>
      <c r="G3542" s="58">
        <f>-I3542-K3542</f>
        <v>0</v>
      </c>
      <c r="I3542" s="58">
        <v>0</v>
      </c>
      <c r="J3542" s="57"/>
      <c r="K3542" s="58">
        <v>0</v>
      </c>
      <c r="M3542" s="1147">
        <f>SUM(G3542:K3542)</f>
        <v>0</v>
      </c>
      <c r="O3542" s="1133"/>
      <c r="P3542" s="48"/>
      <c r="Q3542" s="48"/>
      <c r="R3542" s="48"/>
      <c r="S3542" s="48"/>
      <c r="T3542" s="48"/>
      <c r="U3542" s="48"/>
      <c r="V3542" s="48"/>
      <c r="W3542" s="48"/>
    </row>
    <row r="3543" spans="2:23" ht="15.6" hidden="1" customHeight="1" x14ac:dyDescent="0.2">
      <c r="B3543" s="48" t="s">
        <v>1913</v>
      </c>
      <c r="C3543" s="57"/>
      <c r="E3543" s="57"/>
      <c r="G3543" s="58">
        <v>0</v>
      </c>
      <c r="I3543" s="58">
        <v>0</v>
      </c>
      <c r="J3543" s="57"/>
      <c r="K3543" s="58">
        <v>0</v>
      </c>
      <c r="M3543" s="1147">
        <f>SUM(G3543:K3543)</f>
        <v>0</v>
      </c>
      <c r="O3543" s="1133"/>
      <c r="P3543" s="48"/>
      <c r="Q3543" s="48"/>
      <c r="R3543" s="48"/>
      <c r="S3543" s="48"/>
      <c r="T3543" s="48"/>
      <c r="U3543" s="48"/>
      <c r="V3543" s="48"/>
      <c r="W3543" s="48"/>
    </row>
    <row r="3544" spans="2:23" ht="15.6" hidden="1" customHeight="1" x14ac:dyDescent="0.2">
      <c r="C3544" s="57"/>
      <c r="E3544" s="57"/>
      <c r="G3544" s="212"/>
      <c r="I3544" s="212"/>
      <c r="J3544" s="57"/>
      <c r="K3544" s="212"/>
      <c r="O3544" s="1133"/>
      <c r="P3544" s="48"/>
      <c r="Q3544" s="48"/>
      <c r="R3544" s="48"/>
      <c r="S3544" s="48"/>
      <c r="T3544" s="48"/>
      <c r="U3544" s="48"/>
      <c r="V3544" s="48"/>
      <c r="W3544" s="48"/>
    </row>
    <row r="3545" spans="2:23" ht="15.6" hidden="1" customHeight="1" thickBot="1" x14ac:dyDescent="0.3">
      <c r="B3545" s="50" t="str">
        <f>"Restated Balances as at "&amp;Parameters!C15</f>
        <v>Restated Balances as at 30 June 2010</v>
      </c>
      <c r="C3545" s="57"/>
      <c r="E3545" s="57"/>
      <c r="G3545" s="667">
        <f>SUM(G3540:G3544)</f>
        <v>0</v>
      </c>
      <c r="I3545" s="667">
        <f>SUM(I3540:I3544)</f>
        <v>0</v>
      </c>
      <c r="J3545" s="57"/>
      <c r="K3545" s="667">
        <f>SUM(K3540:K3544)</f>
        <v>0</v>
      </c>
      <c r="M3545" s="622">
        <f>SUM(M3540:M3544)</f>
        <v>0</v>
      </c>
      <c r="O3545" s="1133"/>
      <c r="P3545" s="48"/>
      <c r="Q3545" s="48"/>
      <c r="R3545" s="48"/>
      <c r="S3545" s="48"/>
      <c r="T3545" s="48"/>
      <c r="U3545" s="48"/>
      <c r="V3545" s="48"/>
      <c r="W3545" s="48"/>
    </row>
    <row r="3546" spans="2:23" ht="15.6" hidden="1" customHeight="1" thickTop="1" x14ac:dyDescent="0.2">
      <c r="C3546" s="57"/>
      <c r="E3546" s="57"/>
      <c r="G3546" s="58"/>
      <c r="I3546" s="58"/>
      <c r="J3546" s="57"/>
      <c r="K3546" s="58"/>
      <c r="O3546" s="1133"/>
      <c r="P3546" s="48"/>
      <c r="Q3546" s="48"/>
      <c r="R3546" s="48"/>
      <c r="S3546" s="48"/>
      <c r="T3546" s="48"/>
      <c r="U3546" s="48"/>
      <c r="V3546" s="48"/>
      <c r="W3546" s="48"/>
    </row>
    <row r="3547" spans="2:23" ht="15.6" hidden="1" customHeight="1" x14ac:dyDescent="0.2">
      <c r="B3547" s="48" t="str">
        <f>"Transactions incurred for the Year "&amp;Parameters!C27</f>
        <v>Transactions incurred for the Year 2010/11</v>
      </c>
      <c r="C3547" s="57"/>
      <c r="E3547" s="57"/>
      <c r="G3547" s="58"/>
      <c r="I3547" s="58"/>
      <c r="J3547" s="57"/>
      <c r="K3547" s="58"/>
      <c r="O3547" s="1133"/>
      <c r="P3547" s="48"/>
      <c r="Q3547" s="48"/>
      <c r="R3547" s="48"/>
      <c r="S3547" s="48"/>
      <c r="T3547" s="48"/>
      <c r="U3547" s="48"/>
      <c r="V3547" s="48"/>
      <c r="W3547" s="48"/>
    </row>
    <row r="3548" spans="2:23" ht="15.6" hidden="1" customHeight="1" x14ac:dyDescent="0.2">
      <c r="B3548" s="48" t="s">
        <v>1923</v>
      </c>
      <c r="C3548" s="57"/>
      <c r="E3548" s="57"/>
      <c r="G3548" s="58">
        <v>0</v>
      </c>
      <c r="I3548" s="58">
        <v>0</v>
      </c>
      <c r="J3548" s="57"/>
      <c r="K3548" s="58">
        <v>0</v>
      </c>
      <c r="O3548" s="1133"/>
      <c r="P3548" s="48"/>
      <c r="Q3548" s="48"/>
      <c r="R3548" s="48"/>
      <c r="S3548" s="48"/>
      <c r="T3548" s="48"/>
      <c r="U3548" s="48"/>
      <c r="V3548" s="48"/>
      <c r="W3548" s="48"/>
    </row>
    <row r="3549" spans="2:23" ht="15.6" hidden="1" customHeight="1" x14ac:dyDescent="0.2">
      <c r="B3549" s="48" t="s">
        <v>1915</v>
      </c>
      <c r="C3549" s="57"/>
      <c r="E3549" s="57"/>
      <c r="G3549" s="58">
        <f>-I3549-K3549</f>
        <v>0</v>
      </c>
      <c r="I3549" s="58">
        <v>0</v>
      </c>
      <c r="J3549" s="57"/>
      <c r="K3549" s="199">
        <v>0</v>
      </c>
      <c r="M3549" s="1147">
        <f>SUM(G3549:K3549)</f>
        <v>0</v>
      </c>
      <c r="O3549" s="1133"/>
      <c r="P3549" s="48"/>
      <c r="Q3549" s="48"/>
      <c r="R3549" s="48"/>
      <c r="S3549" s="48"/>
      <c r="T3549" s="48"/>
      <c r="U3549" s="48"/>
      <c r="V3549" s="48"/>
      <c r="W3549" s="48"/>
    </row>
    <row r="3550" spans="2:23" ht="15.6" hidden="1" customHeight="1" x14ac:dyDescent="0.2">
      <c r="B3550" s="48" t="s">
        <v>1924</v>
      </c>
      <c r="C3550" s="57"/>
      <c r="E3550" s="57"/>
      <c r="G3550" s="58">
        <f>-I3550-K3550</f>
        <v>0</v>
      </c>
      <c r="I3550" s="58">
        <v>0</v>
      </c>
      <c r="J3550" s="57"/>
      <c r="K3550" s="199">
        <v>0</v>
      </c>
      <c r="M3550" s="1147">
        <f>SUM(G3550:K3550)</f>
        <v>0</v>
      </c>
      <c r="O3550" s="1133"/>
      <c r="P3550" s="48"/>
      <c r="Q3550" s="48"/>
      <c r="R3550" s="48"/>
      <c r="S3550" s="48"/>
      <c r="T3550" s="48"/>
      <c r="U3550" s="48"/>
      <c r="V3550" s="48"/>
      <c r="W3550" s="48"/>
    </row>
    <row r="3551" spans="2:23" ht="15.6" hidden="1" customHeight="1" x14ac:dyDescent="0.2">
      <c r="B3551" s="48" t="s">
        <v>1914</v>
      </c>
      <c r="C3551" s="57"/>
      <c r="E3551" s="57"/>
      <c r="G3551" s="58">
        <v>0</v>
      </c>
      <c r="I3551" s="58">
        <v>0</v>
      </c>
      <c r="J3551" s="57"/>
      <c r="K3551" s="58">
        <v>0</v>
      </c>
      <c r="M3551" s="1147">
        <f>SUM(G3551:K3551)</f>
        <v>0</v>
      </c>
      <c r="O3551" s="1133"/>
      <c r="P3551" s="48"/>
      <c r="Q3551" s="48"/>
      <c r="R3551" s="48"/>
      <c r="S3551" s="48"/>
      <c r="T3551" s="48"/>
      <c r="U3551" s="48"/>
      <c r="V3551" s="48"/>
      <c r="W3551" s="48"/>
    </row>
    <row r="3552" spans="2:23" ht="15.6" hidden="1" customHeight="1" x14ac:dyDescent="0.25">
      <c r="C3552" s="219"/>
      <c r="E3552" s="219"/>
      <c r="G3552" s="58"/>
      <c r="I3552" s="58"/>
      <c r="J3552" s="57"/>
      <c r="K3552" s="58"/>
      <c r="O3552" s="1133"/>
      <c r="P3552" s="48"/>
      <c r="Q3552" s="48"/>
      <c r="R3552" s="48"/>
      <c r="S3552" s="48"/>
      <c r="T3552" s="48"/>
      <c r="U3552" s="48"/>
      <c r="V3552" s="48"/>
      <c r="W3552" s="48"/>
    </row>
    <row r="3553" spans="1:23" ht="15.6" hidden="1" customHeight="1" thickBot="1" x14ac:dyDescent="0.3">
      <c r="B3553" s="50" t="str">
        <f>"Restated Balances as at "&amp;Parameters!C13</f>
        <v>Restated Balances as at 30 June 2011</v>
      </c>
      <c r="C3553" s="57"/>
      <c r="E3553" s="57"/>
      <c r="G3553" s="204">
        <f>SUM(G3545:G3552)</f>
        <v>0</v>
      </c>
      <c r="I3553" s="204">
        <f>SUM(I3545:I3552)</f>
        <v>0</v>
      </c>
      <c r="J3553" s="57"/>
      <c r="K3553" s="204">
        <f>SUM(K3545:K3552)</f>
        <v>0</v>
      </c>
      <c r="M3553" s="622">
        <f>SUM(M3547:M3552)</f>
        <v>0</v>
      </c>
      <c r="N3553" s="1147"/>
      <c r="O3553" s="1133"/>
      <c r="P3553" s="48"/>
      <c r="Q3553" s="48"/>
      <c r="R3553" s="48"/>
      <c r="S3553" s="48"/>
      <c r="T3553" s="48"/>
      <c r="U3553" s="48"/>
      <c r="V3553" s="48"/>
      <c r="W3553" s="48"/>
    </row>
    <row r="3554" spans="1:23" ht="15.6" hidden="1" customHeight="1" thickTop="1" x14ac:dyDescent="0.2">
      <c r="C3554" s="57"/>
      <c r="E3554" s="57"/>
      <c r="G3554" s="265">
        <v>-4.1909515857696533E-9</v>
      </c>
      <c r="I3554" s="265">
        <v>0</v>
      </c>
      <c r="J3554" s="57"/>
      <c r="K3554" s="265">
        <v>0</v>
      </c>
      <c r="N3554" s="1147"/>
      <c r="O3554" s="1133"/>
      <c r="P3554" s="48"/>
      <c r="Q3554" s="48"/>
      <c r="R3554" s="48"/>
      <c r="S3554" s="48"/>
      <c r="T3554" s="48"/>
      <c r="U3554" s="48"/>
      <c r="V3554" s="48"/>
      <c r="W3554" s="48"/>
    </row>
    <row r="3555" spans="1:23" ht="15.6" hidden="1" customHeight="1" x14ac:dyDescent="0.25">
      <c r="A3555" s="50"/>
      <c r="D3555" s="48"/>
      <c r="F3555" s="48"/>
      <c r="H3555" s="1254"/>
      <c r="I3555" s="1263">
        <f>Parameters!C17</f>
        <v>2012</v>
      </c>
      <c r="J3555" s="1254"/>
      <c r="K3555" s="1263">
        <f>Parameters!C19</f>
        <v>2011</v>
      </c>
      <c r="M3555" s="232" t="s">
        <v>803</v>
      </c>
      <c r="N3555" s="1224">
        <f>Parameters!C21</f>
        <v>2010</v>
      </c>
      <c r="O3555" s="1460"/>
      <c r="P3555" s="48"/>
      <c r="Q3555" s="48"/>
      <c r="R3555" s="48"/>
      <c r="S3555" s="48"/>
      <c r="T3555" s="48"/>
      <c r="U3555" s="48"/>
      <c r="V3555" s="48"/>
      <c r="W3555" s="48"/>
    </row>
    <row r="3556" spans="1:23" ht="15.6" hidden="1" customHeight="1" x14ac:dyDescent="0.25">
      <c r="I3556" s="237" t="s">
        <v>255</v>
      </c>
      <c r="J3556" s="238"/>
      <c r="K3556" s="237" t="s">
        <v>255</v>
      </c>
      <c r="L3556" s="210"/>
      <c r="M3556" s="1133"/>
      <c r="N3556" s="1133"/>
      <c r="O3556" s="1146"/>
      <c r="P3556" s="48"/>
      <c r="Q3556" s="48"/>
      <c r="R3556" s="48"/>
      <c r="S3556" s="48"/>
      <c r="T3556" s="48"/>
      <c r="U3556" s="48"/>
      <c r="V3556" s="48"/>
      <c r="W3556" s="48"/>
    </row>
    <row r="3557" spans="1:23" ht="15.6" hidden="1" customHeight="1" x14ac:dyDescent="0.25">
      <c r="I3557" s="237"/>
      <c r="J3557" s="238"/>
      <c r="K3557" s="237"/>
      <c r="L3557" s="210"/>
      <c r="M3557" s="1133"/>
      <c r="N3557" s="1133"/>
      <c r="O3557" s="1146"/>
      <c r="P3557" s="48"/>
      <c r="Q3557" s="48"/>
      <c r="R3557" s="48"/>
      <c r="S3557" s="48"/>
      <c r="T3557" s="48"/>
      <c r="U3557" s="48"/>
      <c r="V3557" s="48"/>
      <c r="W3557" s="48"/>
    </row>
    <row r="3558" spans="1:23" ht="15.6" customHeight="1" x14ac:dyDescent="0.25">
      <c r="B3558" s="50" t="s">
        <v>2571</v>
      </c>
      <c r="I3558" s="58"/>
      <c r="J3558" s="58"/>
      <c r="K3558" s="58"/>
      <c r="M3558" s="1133"/>
      <c r="N3558" s="1147"/>
      <c r="O3558" s="1133"/>
      <c r="P3558" s="48"/>
      <c r="Q3558" s="48"/>
      <c r="R3558" s="48"/>
      <c r="S3558" s="48"/>
      <c r="T3558" s="48"/>
      <c r="U3558" s="48"/>
      <c r="V3558" s="48"/>
      <c r="W3558" s="48"/>
    </row>
    <row r="3559" spans="1:23" ht="15.6" customHeight="1" x14ac:dyDescent="0.25">
      <c r="I3559" s="237"/>
      <c r="J3559" s="238"/>
      <c r="K3559" s="237"/>
      <c r="L3559" s="210"/>
      <c r="M3559" s="1133"/>
      <c r="N3559" s="1133"/>
      <c r="O3559" s="1146"/>
      <c r="P3559" s="48"/>
      <c r="Q3559" s="48"/>
      <c r="R3559" s="48"/>
      <c r="S3559" s="48"/>
      <c r="T3559" s="48"/>
      <c r="U3559" s="48"/>
      <c r="V3559" s="48"/>
      <c r="W3559" s="48"/>
    </row>
    <row r="3560" spans="1:23" ht="46.5" customHeight="1" x14ac:dyDescent="0.2">
      <c r="A3560" s="201"/>
      <c r="B3560" s="2861" t="str">
        <f>"The effect of the above-mentioned changes in Accounting Policies on the accumulated surplus is a decrease of R423 525 in the surplus for the financial year "&amp;Parameters!C27&amp;" and the nature of the changes in the Accounting Policies is as follows:"</f>
        <v>The effect of the above-mentioned changes in Accounting Policies on the accumulated surplus is a decrease of R423 525 in the surplus for the financial year 2010/11 and the nature of the changes in the Accounting Policies is as follows:</v>
      </c>
      <c r="C3560" s="2861"/>
      <c r="D3560" s="2861"/>
      <c r="E3560" s="2861"/>
      <c r="F3560" s="2861"/>
      <c r="G3560" s="2861"/>
      <c r="H3560" s="201"/>
      <c r="I3560" s="1255"/>
      <c r="J3560" s="270"/>
      <c r="K3560" s="1255"/>
      <c r="L3560" s="201"/>
      <c r="N3560" s="1147"/>
      <c r="O3560" s="1146"/>
      <c r="P3560" s="48"/>
      <c r="Q3560" s="48"/>
      <c r="R3560" s="48"/>
      <c r="S3560" s="48"/>
      <c r="T3560" s="48"/>
      <c r="U3560" s="48"/>
      <c r="V3560" s="48"/>
      <c r="W3560" s="48"/>
    </row>
    <row r="3561" spans="1:23" ht="15.6" customHeight="1" x14ac:dyDescent="0.2">
      <c r="I3561" s="270"/>
      <c r="J3561" s="270"/>
      <c r="K3561" s="270"/>
      <c r="N3561" s="1147"/>
      <c r="O3561" s="1146"/>
      <c r="P3561" s="48"/>
      <c r="Q3561" s="48"/>
      <c r="R3561" s="48"/>
      <c r="S3561" s="48"/>
      <c r="T3561" s="48"/>
      <c r="U3561" s="48"/>
      <c r="V3561" s="48"/>
      <c r="W3561" s="48"/>
    </row>
    <row r="3562" spans="1:23" ht="15.6" hidden="1" customHeight="1" x14ac:dyDescent="0.2">
      <c r="A3562" s="2046"/>
      <c r="B3562" s="2046" t="s">
        <v>1693</v>
      </c>
      <c r="C3562" s="2046"/>
      <c r="D3562" s="2077"/>
      <c r="E3562" s="2046"/>
      <c r="F3562" s="2077"/>
      <c r="G3562" s="2077"/>
      <c r="H3562" s="2077"/>
      <c r="I3562" s="2169">
        <v>0</v>
      </c>
      <c r="J3562" s="2169"/>
      <c r="K3562" s="2169">
        <v>0</v>
      </c>
      <c r="L3562" s="2046"/>
      <c r="N3562" s="1147"/>
      <c r="O3562" s="1133"/>
      <c r="P3562" s="48"/>
      <c r="Q3562" s="48"/>
      <c r="R3562" s="48"/>
      <c r="S3562" s="48"/>
      <c r="T3562" s="48"/>
      <c r="U3562" s="48"/>
      <c r="V3562" s="48"/>
      <c r="W3562" s="48"/>
    </row>
    <row r="3563" spans="1:23" ht="15.6" hidden="1" customHeight="1" x14ac:dyDescent="0.2">
      <c r="A3563" s="2046"/>
      <c r="B3563" s="2046" t="s">
        <v>1311</v>
      </c>
      <c r="C3563" s="2046"/>
      <c r="D3563" s="2077"/>
      <c r="E3563" s="2046"/>
      <c r="F3563" s="2077"/>
      <c r="G3563" s="2077"/>
      <c r="H3563" s="2077"/>
      <c r="I3563" s="2169">
        <v>0</v>
      </c>
      <c r="J3563" s="2169"/>
      <c r="K3563" s="2169">
        <v>0</v>
      </c>
      <c r="L3563" s="2046"/>
      <c r="N3563" s="1147"/>
      <c r="O3563" s="1133"/>
      <c r="P3563" s="48"/>
      <c r="Q3563" s="48"/>
      <c r="R3563" s="48"/>
      <c r="S3563" s="48"/>
      <c r="T3563" s="48"/>
      <c r="U3563" s="48"/>
      <c r="V3563" s="48"/>
      <c r="W3563" s="48"/>
    </row>
    <row r="3564" spans="1:23" ht="15.6" hidden="1" customHeight="1" x14ac:dyDescent="0.2">
      <c r="A3564" s="2046"/>
      <c r="B3564" s="2046" t="s">
        <v>1537</v>
      </c>
      <c r="C3564" s="2046"/>
      <c r="D3564" s="2077"/>
      <c r="E3564" s="2046"/>
      <c r="F3564" s="2077"/>
      <c r="G3564" s="2077"/>
      <c r="H3564" s="2077"/>
      <c r="I3564" s="2169">
        <v>0</v>
      </c>
      <c r="J3564" s="2169"/>
      <c r="K3564" s="2169">
        <v>0</v>
      </c>
      <c r="L3564" s="2046"/>
      <c r="N3564" s="1147"/>
      <c r="O3564" s="1133"/>
      <c r="P3564" s="48"/>
      <c r="Q3564" s="48"/>
      <c r="R3564" s="48"/>
      <c r="S3564" s="48"/>
      <c r="T3564" s="48"/>
      <c r="U3564" s="48"/>
      <c r="V3564" s="48"/>
      <c r="W3564" s="48"/>
    </row>
    <row r="3565" spans="1:23" ht="15.6" hidden="1" customHeight="1" x14ac:dyDescent="0.2">
      <c r="A3565" s="2046"/>
      <c r="B3565" s="2046" t="s">
        <v>1538</v>
      </c>
      <c r="C3565" s="2046"/>
      <c r="D3565" s="2077"/>
      <c r="E3565" s="2046"/>
      <c r="F3565" s="2077"/>
      <c r="G3565" s="2077"/>
      <c r="H3565" s="2077"/>
      <c r="I3565" s="2169">
        <v>0</v>
      </c>
      <c r="J3565" s="2169"/>
      <c r="K3565" s="2169">
        <v>0</v>
      </c>
      <c r="L3565" s="2046"/>
      <c r="N3565" s="1147"/>
      <c r="O3565" s="1133"/>
      <c r="P3565" s="48"/>
      <c r="Q3565" s="48"/>
      <c r="R3565" s="48"/>
      <c r="S3565" s="48"/>
      <c r="T3565" s="48"/>
      <c r="U3565" s="48"/>
      <c r="V3565" s="48"/>
      <c r="W3565" s="48"/>
    </row>
    <row r="3566" spans="1:23" ht="15.6" hidden="1" customHeight="1" x14ac:dyDescent="0.2">
      <c r="A3566" s="2046"/>
      <c r="B3566" s="2046" t="s">
        <v>1539</v>
      </c>
      <c r="C3566" s="2046"/>
      <c r="D3566" s="2077"/>
      <c r="E3566" s="2046"/>
      <c r="F3566" s="2077"/>
      <c r="G3566" s="2077"/>
      <c r="H3566" s="2077"/>
      <c r="I3566" s="2169">
        <v>0</v>
      </c>
      <c r="J3566" s="2169"/>
      <c r="K3566" s="2169">
        <v>0</v>
      </c>
      <c r="L3566" s="2046"/>
      <c r="N3566" s="1147"/>
      <c r="O3566" s="1133"/>
      <c r="P3566" s="48"/>
      <c r="Q3566" s="48"/>
      <c r="R3566" s="48"/>
      <c r="S3566" s="48"/>
      <c r="T3566" s="48"/>
      <c r="U3566" s="48"/>
      <c r="V3566" s="48"/>
      <c r="W3566" s="48"/>
    </row>
    <row r="3567" spans="1:23" ht="15.6" hidden="1" customHeight="1" x14ac:dyDescent="0.2">
      <c r="A3567" s="2046"/>
      <c r="B3567" s="2046" t="s">
        <v>1540</v>
      </c>
      <c r="C3567" s="2046"/>
      <c r="D3567" s="2077"/>
      <c r="E3567" s="2046"/>
      <c r="F3567" s="2077"/>
      <c r="G3567" s="2077"/>
      <c r="H3567" s="2077"/>
      <c r="I3567" s="2169">
        <v>0</v>
      </c>
      <c r="J3567" s="2169"/>
      <c r="K3567" s="2169">
        <v>0</v>
      </c>
      <c r="L3567" s="2046"/>
      <c r="N3567" s="1147"/>
      <c r="O3567" s="1133"/>
      <c r="P3567" s="48"/>
      <c r="Q3567" s="48"/>
      <c r="R3567" s="48"/>
      <c r="S3567" s="48"/>
      <c r="T3567" s="48"/>
      <c r="U3567" s="48"/>
      <c r="V3567" s="48"/>
      <c r="W3567" s="48"/>
    </row>
    <row r="3568" spans="1:23" ht="15.6" hidden="1" customHeight="1" x14ac:dyDescent="0.2">
      <c r="A3568" s="2046"/>
      <c r="B3568" s="2046" t="s">
        <v>1445</v>
      </c>
      <c r="C3568" s="2046"/>
      <c r="D3568" s="2077"/>
      <c r="E3568" s="2046"/>
      <c r="F3568" s="2077"/>
      <c r="G3568" s="2077"/>
      <c r="H3568" s="2077"/>
      <c r="I3568" s="2169">
        <v>0</v>
      </c>
      <c r="J3568" s="2169"/>
      <c r="K3568" s="2169">
        <v>0</v>
      </c>
      <c r="L3568" s="2046"/>
      <c r="N3568" s="1147"/>
      <c r="O3568" s="1133"/>
      <c r="P3568" s="48"/>
      <c r="Q3568" s="48"/>
      <c r="R3568" s="48"/>
      <c r="S3568" s="48"/>
      <c r="T3568" s="48"/>
      <c r="U3568" s="48"/>
      <c r="V3568" s="48"/>
      <c r="W3568" s="48"/>
    </row>
    <row r="3569" spans="1:23" ht="15.6" customHeight="1" x14ac:dyDescent="0.2">
      <c r="B3569" s="48" t="s">
        <v>1541</v>
      </c>
      <c r="I3569" s="270">
        <v>0</v>
      </c>
      <c r="J3569" s="270"/>
      <c r="K3569" s="270">
        <f>I3211</f>
        <v>83566</v>
      </c>
      <c r="N3569" s="1147"/>
      <c r="O3569" s="1133"/>
      <c r="P3569" s="48"/>
      <c r="Q3569" s="48"/>
      <c r="R3569" s="48"/>
      <c r="S3569" s="48"/>
      <c r="T3569" s="48"/>
      <c r="U3569" s="48"/>
      <c r="V3569" s="48"/>
      <c r="W3569" s="48"/>
    </row>
    <row r="3570" spans="1:23" ht="15.6" hidden="1" customHeight="1" x14ac:dyDescent="0.2">
      <c r="B3570" s="48" t="s">
        <v>1426</v>
      </c>
      <c r="I3570" s="270">
        <v>0</v>
      </c>
      <c r="J3570" s="270"/>
      <c r="K3570" s="270">
        <f>-M3451</f>
        <v>0</v>
      </c>
      <c r="N3570" s="1147"/>
      <c r="O3570" s="1133"/>
      <c r="P3570" s="48"/>
      <c r="Q3570" s="48"/>
      <c r="R3570" s="48"/>
      <c r="S3570" s="48"/>
      <c r="T3570" s="48"/>
      <c r="U3570" s="48"/>
      <c r="V3570" s="48"/>
      <c r="W3570" s="48"/>
    </row>
    <row r="3571" spans="1:23" ht="15.6" hidden="1" customHeight="1" x14ac:dyDescent="0.2">
      <c r="B3571" s="48" t="s">
        <v>1423</v>
      </c>
      <c r="I3571" s="270">
        <v>0</v>
      </c>
      <c r="J3571" s="270"/>
      <c r="K3571" s="270">
        <v>0</v>
      </c>
      <c r="N3571" s="1147"/>
      <c r="O3571" s="1133"/>
      <c r="P3571" s="48"/>
      <c r="Q3571" s="48"/>
      <c r="R3571" s="48"/>
      <c r="S3571" s="48"/>
      <c r="T3571" s="48"/>
      <c r="U3571" s="48"/>
      <c r="V3571" s="48"/>
      <c r="W3571" s="48"/>
    </row>
    <row r="3572" spans="1:23" ht="15.6" hidden="1" customHeight="1" x14ac:dyDescent="0.2">
      <c r="B3572" s="48" t="s">
        <v>1424</v>
      </c>
      <c r="I3572" s="270">
        <v>0</v>
      </c>
      <c r="J3572" s="270"/>
      <c r="K3572" s="270">
        <f>-G3487</f>
        <v>0</v>
      </c>
      <c r="N3572" s="1147"/>
      <c r="O3572" s="1133"/>
      <c r="P3572" s="48"/>
      <c r="Q3572" s="48"/>
      <c r="R3572" s="48"/>
      <c r="S3572" s="48"/>
      <c r="T3572" s="48"/>
      <c r="U3572" s="48"/>
      <c r="V3572" s="48"/>
      <c r="W3572" s="48"/>
    </row>
    <row r="3573" spans="1:23" ht="15.6" hidden="1" customHeight="1" x14ac:dyDescent="0.2">
      <c r="A3573" s="2046"/>
      <c r="B3573" s="2046" t="s">
        <v>2015</v>
      </c>
      <c r="C3573" s="2046"/>
      <c r="D3573" s="2077"/>
      <c r="E3573" s="2046"/>
      <c r="F3573" s="2077"/>
      <c r="G3573" s="2077"/>
      <c r="H3573" s="2077"/>
      <c r="I3573" s="2169">
        <v>0</v>
      </c>
      <c r="J3573" s="2169"/>
      <c r="K3573" s="2169">
        <v>0</v>
      </c>
      <c r="L3573" s="2046"/>
      <c r="N3573" s="1147"/>
      <c r="O3573" s="1133"/>
      <c r="P3573" s="48"/>
      <c r="Q3573" s="48"/>
      <c r="R3573" s="48"/>
      <c r="S3573" s="48"/>
      <c r="T3573" s="48"/>
      <c r="U3573" s="48"/>
      <c r="V3573" s="48"/>
      <c r="W3573" s="48"/>
    </row>
    <row r="3574" spans="1:23" ht="15.6" hidden="1" customHeight="1" x14ac:dyDescent="0.2">
      <c r="A3574" s="2046"/>
      <c r="B3574" s="2046" t="s">
        <v>2016</v>
      </c>
      <c r="C3574" s="2046"/>
      <c r="D3574" s="2077"/>
      <c r="E3574" s="2046"/>
      <c r="F3574" s="2077"/>
      <c r="G3574" s="2077"/>
      <c r="H3574" s="2077"/>
      <c r="I3574" s="2169">
        <v>0</v>
      </c>
      <c r="J3574" s="2169"/>
      <c r="K3574" s="2169">
        <v>0</v>
      </c>
      <c r="L3574" s="2046"/>
      <c r="N3574" s="1147"/>
      <c r="O3574" s="1133"/>
      <c r="P3574" s="48"/>
      <c r="Q3574" s="48"/>
      <c r="R3574" s="48"/>
      <c r="S3574" s="48"/>
      <c r="T3574" s="48"/>
      <c r="U3574" s="48"/>
      <c r="V3574" s="48"/>
      <c r="W3574" s="48"/>
    </row>
    <row r="3575" spans="1:23" ht="15.6" customHeight="1" x14ac:dyDescent="0.2">
      <c r="B3575" s="48" t="s">
        <v>2022</v>
      </c>
      <c r="I3575" s="270">
        <v>0</v>
      </c>
      <c r="J3575" s="270"/>
      <c r="K3575" s="270">
        <f>SUM(I3206,I3210)</f>
        <v>-507100.94999999925</v>
      </c>
      <c r="N3575" s="1147"/>
      <c r="O3575" s="1146"/>
      <c r="P3575" s="48"/>
      <c r="Q3575" s="48"/>
      <c r="R3575" s="48"/>
      <c r="S3575" s="48"/>
      <c r="T3575" s="48"/>
      <c r="U3575" s="48"/>
      <c r="V3575" s="48"/>
      <c r="W3575" s="48"/>
    </row>
    <row r="3576" spans="1:23" ht="15.6" hidden="1" customHeight="1" x14ac:dyDescent="0.2">
      <c r="A3576" s="2046"/>
      <c r="B3576" s="2046" t="s">
        <v>2017</v>
      </c>
      <c r="C3576" s="2046"/>
      <c r="D3576" s="2077"/>
      <c r="E3576" s="2046"/>
      <c r="F3576" s="2077"/>
      <c r="G3576" s="2077"/>
      <c r="H3576" s="2077"/>
      <c r="I3576" s="2169">
        <v>0</v>
      </c>
      <c r="J3576" s="2169"/>
      <c r="K3576" s="2169">
        <v>0</v>
      </c>
      <c r="L3576" s="2046"/>
      <c r="N3576" s="1147"/>
      <c r="O3576" s="1146"/>
      <c r="P3576" s="48"/>
      <c r="Q3576" s="48"/>
      <c r="R3576" s="48"/>
      <c r="S3576" s="48"/>
      <c r="T3576" s="48"/>
      <c r="U3576" s="48"/>
      <c r="V3576" s="48"/>
      <c r="W3576" s="48"/>
    </row>
    <row r="3577" spans="1:23" ht="15.6" hidden="1" customHeight="1" x14ac:dyDescent="0.2">
      <c r="A3577" s="2046"/>
      <c r="B3577" s="2046" t="s">
        <v>2018</v>
      </c>
      <c r="C3577" s="2046"/>
      <c r="D3577" s="2077"/>
      <c r="E3577" s="2046"/>
      <c r="F3577" s="2077"/>
      <c r="G3577" s="2077"/>
      <c r="H3577" s="2077"/>
      <c r="I3577" s="2169">
        <v>0</v>
      </c>
      <c r="J3577" s="2169"/>
      <c r="K3577" s="2169">
        <v>0</v>
      </c>
      <c r="L3577" s="2046"/>
      <c r="N3577" s="1147"/>
      <c r="O3577" s="1146"/>
      <c r="P3577" s="48"/>
      <c r="Q3577" s="48"/>
      <c r="R3577" s="48"/>
      <c r="S3577" s="48"/>
      <c r="T3577" s="48"/>
      <c r="U3577" s="48"/>
      <c r="V3577" s="48"/>
      <c r="W3577" s="48"/>
    </row>
    <row r="3578" spans="1:23" ht="15.6" hidden="1" customHeight="1" x14ac:dyDescent="0.2">
      <c r="A3578" s="2046"/>
      <c r="B3578" s="2046" t="s">
        <v>2019</v>
      </c>
      <c r="C3578" s="2046"/>
      <c r="D3578" s="2077"/>
      <c r="E3578" s="2046"/>
      <c r="F3578" s="2077"/>
      <c r="G3578" s="2077"/>
      <c r="H3578" s="2077"/>
      <c r="I3578" s="2169">
        <v>0</v>
      </c>
      <c r="J3578" s="2169"/>
      <c r="K3578" s="2169">
        <v>0</v>
      </c>
      <c r="L3578" s="2046"/>
      <c r="N3578" s="1147"/>
      <c r="O3578" s="1146"/>
      <c r="P3578" s="48"/>
      <c r="Q3578" s="48"/>
      <c r="R3578" s="48"/>
      <c r="S3578" s="48"/>
      <c r="T3578" s="48"/>
      <c r="U3578" s="48"/>
      <c r="V3578" s="48"/>
      <c r="W3578" s="48"/>
    </row>
    <row r="3579" spans="1:23" ht="15.6" hidden="1" customHeight="1" x14ac:dyDescent="0.2">
      <c r="A3579" s="2046"/>
      <c r="B3579" s="2046" t="s">
        <v>1444</v>
      </c>
      <c r="C3579" s="2046"/>
      <c r="D3579" s="2077"/>
      <c r="E3579" s="2046"/>
      <c r="F3579" s="2077"/>
      <c r="G3579" s="2077"/>
      <c r="H3579" s="2077"/>
      <c r="I3579" s="2169">
        <v>0</v>
      </c>
      <c r="J3579" s="2169"/>
      <c r="K3579" s="2169">
        <v>0</v>
      </c>
      <c r="L3579" s="2046"/>
      <c r="N3579" s="1147"/>
      <c r="O3579" s="1133"/>
      <c r="P3579" s="48"/>
      <c r="Q3579" s="48"/>
      <c r="R3579" s="48"/>
      <c r="S3579" s="48"/>
      <c r="T3579" s="48"/>
      <c r="U3579" s="48"/>
      <c r="V3579" s="48"/>
      <c r="W3579" s="48"/>
    </row>
    <row r="3580" spans="1:23" ht="15" hidden="1" customHeight="1" x14ac:dyDescent="0.2">
      <c r="A3580" s="2046"/>
      <c r="B3580" s="2046" t="s">
        <v>2023</v>
      </c>
      <c r="C3580" s="2046"/>
      <c r="D3580" s="2077"/>
      <c r="E3580" s="2046"/>
      <c r="F3580" s="2077"/>
      <c r="G3580" s="2077"/>
      <c r="H3580" s="2077"/>
      <c r="I3580" s="2169">
        <v>0</v>
      </c>
      <c r="J3580" s="2169"/>
      <c r="K3580" s="2169">
        <v>0</v>
      </c>
      <c r="L3580" s="2046"/>
      <c r="N3580" s="1147"/>
      <c r="O3580" s="1133"/>
      <c r="P3580" s="48"/>
      <c r="Q3580" s="48"/>
      <c r="R3580" s="48"/>
      <c r="S3580" s="48"/>
      <c r="T3580" s="48"/>
      <c r="U3580" s="48"/>
      <c r="V3580" s="48"/>
      <c r="W3580" s="48"/>
    </row>
    <row r="3581" spans="1:23" ht="15.6" hidden="1" customHeight="1" x14ac:dyDescent="0.2">
      <c r="A3581" s="2046"/>
      <c r="B3581" s="2046" t="s">
        <v>1446</v>
      </c>
      <c r="C3581" s="2046"/>
      <c r="D3581" s="2077"/>
      <c r="E3581" s="2046"/>
      <c r="F3581" s="2077"/>
      <c r="G3581" s="2077"/>
      <c r="H3581" s="2077"/>
      <c r="I3581" s="2169">
        <v>0</v>
      </c>
      <c r="J3581" s="2169"/>
      <c r="K3581" s="2169">
        <f>-I3487</f>
        <v>0</v>
      </c>
      <c r="L3581" s="2046"/>
      <c r="N3581" s="1147"/>
      <c r="O3581" s="1133"/>
      <c r="P3581" s="48"/>
      <c r="Q3581" s="48"/>
      <c r="R3581" s="48"/>
      <c r="S3581" s="48"/>
      <c r="T3581" s="48"/>
      <c r="U3581" s="48"/>
      <c r="V3581" s="48"/>
      <c r="W3581" s="48"/>
    </row>
    <row r="3582" spans="1:23" ht="15.6" hidden="1" customHeight="1" x14ac:dyDescent="0.2">
      <c r="A3582" s="2046"/>
      <c r="B3582" s="2046" t="s">
        <v>2020</v>
      </c>
      <c r="C3582" s="2046"/>
      <c r="D3582" s="2077"/>
      <c r="E3582" s="2046"/>
      <c r="F3582" s="2077"/>
      <c r="G3582" s="2077"/>
      <c r="H3582" s="2077"/>
      <c r="I3582" s="2169">
        <v>0</v>
      </c>
      <c r="J3582" s="2169"/>
      <c r="K3582" s="2169">
        <v>0</v>
      </c>
      <c r="L3582" s="2046"/>
      <c r="N3582" s="1147"/>
      <c r="O3582" s="1133"/>
      <c r="P3582" s="48"/>
      <c r="Q3582" s="48"/>
      <c r="R3582" s="48"/>
      <c r="S3582" s="48"/>
      <c r="T3582" s="48"/>
      <c r="U3582" s="48"/>
      <c r="V3582" s="48"/>
      <c r="W3582" s="48"/>
    </row>
    <row r="3583" spans="1:23" ht="15.6" hidden="1" customHeight="1" x14ac:dyDescent="0.2">
      <c r="B3583" s="48" t="s">
        <v>2021</v>
      </c>
      <c r="I3583" s="270">
        <v>0</v>
      </c>
      <c r="J3583" s="270"/>
      <c r="K3583" s="270">
        <v>0</v>
      </c>
      <c r="N3583" s="1147"/>
      <c r="O3583" s="1133"/>
      <c r="P3583" s="48"/>
      <c r="Q3583" s="48"/>
      <c r="R3583" s="48"/>
      <c r="S3583" s="48"/>
      <c r="T3583" s="48"/>
      <c r="U3583" s="48"/>
      <c r="V3583" s="48"/>
      <c r="W3583" s="48"/>
    </row>
    <row r="3584" spans="1:23" ht="15.6" hidden="1" customHeight="1" x14ac:dyDescent="0.25">
      <c r="A3584" s="2046"/>
      <c r="B3584" s="2046" t="s">
        <v>1312</v>
      </c>
      <c r="C3584" s="2046"/>
      <c r="D3584" s="2077"/>
      <c r="E3584" s="2046"/>
      <c r="F3584" s="2077"/>
      <c r="G3584" s="2077"/>
      <c r="H3584" s="2077"/>
      <c r="I3584" s="2043">
        <v>0</v>
      </c>
      <c r="J3584" s="2092"/>
      <c r="K3584" s="2043">
        <v>0</v>
      </c>
      <c r="L3584" s="2046"/>
      <c r="N3584" s="1147"/>
      <c r="O3584" s="1134"/>
      <c r="P3584" s="48"/>
      <c r="Q3584" s="48"/>
      <c r="R3584" s="48"/>
      <c r="S3584" s="48"/>
      <c r="T3584" s="48"/>
      <c r="U3584" s="48"/>
      <c r="V3584" s="48"/>
      <c r="W3584" s="48"/>
    </row>
    <row r="3585" spans="1:23" ht="15.6" hidden="1" customHeight="1" x14ac:dyDescent="0.2">
      <c r="A3585" s="2046"/>
      <c r="B3585" s="2046" t="s">
        <v>1313</v>
      </c>
      <c r="C3585" s="2046"/>
      <c r="D3585" s="2077"/>
      <c r="E3585" s="2046"/>
      <c r="F3585" s="2077"/>
      <c r="G3585" s="2077"/>
      <c r="H3585" s="2077"/>
      <c r="I3585" s="2169">
        <v>0</v>
      </c>
      <c r="J3585" s="2169"/>
      <c r="K3585" s="2169">
        <v>0</v>
      </c>
      <c r="L3585" s="2046"/>
      <c r="N3585" s="1147"/>
      <c r="O3585" s="1146"/>
      <c r="P3585" s="48"/>
      <c r="Q3585" s="48"/>
      <c r="R3585" s="48"/>
      <c r="S3585" s="48"/>
      <c r="T3585" s="48"/>
      <c r="U3585" s="48"/>
      <c r="V3585" s="48"/>
      <c r="W3585" s="48"/>
    </row>
    <row r="3586" spans="1:23" ht="15.6" hidden="1" customHeight="1" x14ac:dyDescent="0.2">
      <c r="A3586" s="2046"/>
      <c r="B3586" s="2046" t="s">
        <v>1314</v>
      </c>
      <c r="C3586" s="2046"/>
      <c r="D3586" s="2077"/>
      <c r="E3586" s="2046"/>
      <c r="F3586" s="2077"/>
      <c r="G3586" s="2077"/>
      <c r="H3586" s="2077"/>
      <c r="I3586" s="2169">
        <v>0</v>
      </c>
      <c r="J3586" s="2169"/>
      <c r="K3586" s="2169">
        <v>0</v>
      </c>
      <c r="L3586" s="2046"/>
      <c r="N3586" s="1147"/>
      <c r="O3586" s="1146"/>
      <c r="P3586" s="48"/>
      <c r="Q3586" s="48"/>
      <c r="R3586" s="48"/>
      <c r="S3586" s="48"/>
      <c r="T3586" s="48"/>
      <c r="U3586" s="48"/>
      <c r="V3586" s="48"/>
      <c r="W3586" s="48"/>
    </row>
    <row r="3587" spans="1:23" ht="15.6" hidden="1" customHeight="1" x14ac:dyDescent="0.2">
      <c r="A3587" s="2046"/>
      <c r="B3587" s="2046" t="s">
        <v>1315</v>
      </c>
      <c r="C3587" s="2046"/>
      <c r="D3587" s="2077"/>
      <c r="E3587" s="2046"/>
      <c r="F3587" s="2077"/>
      <c r="G3587" s="2077"/>
      <c r="H3587" s="2077"/>
      <c r="I3587" s="2169">
        <v>0</v>
      </c>
      <c r="J3587" s="2169"/>
      <c r="K3587" s="2169">
        <v>0</v>
      </c>
      <c r="L3587" s="2046"/>
      <c r="N3587" s="1147"/>
      <c r="O3587" s="1146"/>
      <c r="P3587" s="48"/>
      <c r="Q3587" s="48"/>
      <c r="R3587" s="48"/>
      <c r="S3587" s="48"/>
      <c r="T3587" s="48"/>
      <c r="U3587" s="48"/>
      <c r="V3587" s="48"/>
      <c r="W3587" s="48"/>
    </row>
    <row r="3588" spans="1:23" ht="15.6" hidden="1" customHeight="1" x14ac:dyDescent="0.2">
      <c r="B3588" s="48" t="s">
        <v>1316</v>
      </c>
      <c r="I3588" s="270">
        <v>0</v>
      </c>
      <c r="J3588" s="270"/>
      <c r="K3588" s="270">
        <f>M3522</f>
        <v>0</v>
      </c>
      <c r="N3588" s="1147"/>
      <c r="O3588" s="1146"/>
      <c r="P3588" s="48"/>
      <c r="Q3588" s="48"/>
      <c r="R3588" s="48"/>
      <c r="S3588" s="48"/>
      <c r="T3588" s="48"/>
      <c r="U3588" s="48"/>
      <c r="V3588" s="48"/>
      <c r="W3588" s="48"/>
    </row>
    <row r="3589" spans="1:23" ht="15.6" hidden="1" customHeight="1" x14ac:dyDescent="0.2">
      <c r="A3589" s="2046"/>
      <c r="B3589" s="2046" t="s">
        <v>1317</v>
      </c>
      <c r="C3589" s="2046"/>
      <c r="D3589" s="2077"/>
      <c r="E3589" s="2046"/>
      <c r="F3589" s="2077"/>
      <c r="G3589" s="2077"/>
      <c r="H3589" s="2077"/>
      <c r="I3589" s="2169">
        <v>0</v>
      </c>
      <c r="J3589" s="2169"/>
      <c r="K3589" s="2169">
        <v>0</v>
      </c>
      <c r="L3589" s="2046"/>
      <c r="N3589" s="1147"/>
      <c r="O3589" s="1146"/>
      <c r="P3589" s="48"/>
      <c r="Q3589" s="48"/>
      <c r="R3589" s="48"/>
      <c r="S3589" s="48"/>
      <c r="T3589" s="48"/>
      <c r="U3589" s="48"/>
      <c r="V3589" s="48"/>
      <c r="W3589" s="48"/>
    </row>
    <row r="3590" spans="1:23" ht="15.6" hidden="1" customHeight="1" x14ac:dyDescent="0.2">
      <c r="A3590" s="2046"/>
      <c r="B3590" s="2046" t="s">
        <v>2006</v>
      </c>
      <c r="C3590" s="2046"/>
      <c r="D3590" s="2077"/>
      <c r="E3590" s="2046"/>
      <c r="F3590" s="2077"/>
      <c r="G3590" s="2077"/>
      <c r="H3590" s="2077"/>
      <c r="I3590" s="2169">
        <v>0</v>
      </c>
      <c r="J3590" s="2169"/>
      <c r="K3590" s="2169">
        <f>-M3551</f>
        <v>0</v>
      </c>
      <c r="L3590" s="2046"/>
      <c r="N3590" s="1147"/>
      <c r="O3590" s="1146"/>
    </row>
    <row r="3591" spans="1:23" ht="15.6" customHeight="1" x14ac:dyDescent="0.2">
      <c r="I3591" s="615"/>
      <c r="J3591" s="270"/>
      <c r="K3591" s="615">
        <v>0</v>
      </c>
      <c r="N3591" s="1147"/>
      <c r="O3591" s="1146"/>
    </row>
    <row r="3592" spans="1:23" ht="15.6" customHeight="1" thickBot="1" x14ac:dyDescent="0.3">
      <c r="B3592" s="50" t="s">
        <v>1359</v>
      </c>
      <c r="C3592" s="50"/>
      <c r="I3592" s="204">
        <f>SUM(I3562:I3591)</f>
        <v>0</v>
      </c>
      <c r="J3592" s="58"/>
      <c r="K3592" s="204">
        <f>SUM(K3562:K3591)</f>
        <v>-423534.94999999925</v>
      </c>
      <c r="L3592" s="59"/>
      <c r="N3592" s="1147"/>
      <c r="O3592" s="1146"/>
    </row>
    <row r="3593" spans="1:23" ht="15.6" customHeight="1" thickTop="1" x14ac:dyDescent="0.2">
      <c r="I3593" s="265">
        <f>I3592-'Net Assets'!J27</f>
        <v>0</v>
      </c>
      <c r="J3593" s="270"/>
      <c r="K3593" s="2107">
        <f>K3592-'Net Assets'!J10</f>
        <v>83566</v>
      </c>
      <c r="N3593" s="1147"/>
      <c r="O3593" s="1146"/>
    </row>
    <row r="3594" spans="1:23" ht="46.5" hidden="1" customHeight="1" thickBot="1" x14ac:dyDescent="0.25">
      <c r="A3594" s="781"/>
      <c r="B3594" s="2899" t="str">
        <f>"The above-mentioned changes in Accounting Policies had no effect on the Accumulated Surplus as at "&amp;Parameters!C13&amp;", but the Accumulated Surplus as at "&amp;Parameters!C15&amp;" has increased by R47 050 million."</f>
        <v>The above-mentioned changes in Accounting Policies had no effect on the Accumulated Surplus as at 30 June 2011, but the Accumulated Surplus as at 30 June 2010 has increased by R47 050 million.</v>
      </c>
      <c r="C3594" s="2899"/>
      <c r="D3594" s="2899"/>
      <c r="E3594" s="2899"/>
      <c r="F3594" s="2899"/>
      <c r="G3594" s="2899"/>
      <c r="H3594" s="781"/>
      <c r="I3594" s="1640"/>
      <c r="J3594" s="957"/>
      <c r="K3594" s="1640"/>
      <c r="L3594" s="781"/>
      <c r="M3594" s="622">
        <f>K3202-K3184</f>
        <v>0</v>
      </c>
      <c r="N3594" s="1147"/>
      <c r="O3594" s="1146"/>
    </row>
    <row r="3595" spans="1:23" ht="30.95" hidden="1" customHeight="1" x14ac:dyDescent="0.2">
      <c r="A3595" s="201"/>
      <c r="B3595" s="2861" t="str">
        <f>"The above-mentioned changes in Accounting Policies had no effect on the Accumulated Surplus as at "&amp;Parameters!C13&amp;" and the Accumulated Surplus of prior years was not affected either."</f>
        <v>The above-mentioned changes in Accounting Policies had no effect on the Accumulated Surplus as at 30 June 2011 and the Accumulated Surplus of prior years was not affected either.</v>
      </c>
      <c r="C3595" s="2892"/>
      <c r="D3595" s="2892"/>
      <c r="E3595" s="2892"/>
      <c r="F3595" s="2892"/>
      <c r="G3595" s="2892"/>
      <c r="H3595" s="201"/>
      <c r="I3595" s="1255"/>
      <c r="J3595" s="270"/>
      <c r="K3595" s="1255"/>
      <c r="L3595" s="201"/>
      <c r="N3595" s="1147"/>
      <c r="O3595" s="1146"/>
      <c r="P3595" s="1115"/>
    </row>
    <row r="3596" spans="1:23" ht="15.6" hidden="1" customHeight="1" x14ac:dyDescent="0.2">
      <c r="I3596" s="270"/>
      <c r="J3596" s="270"/>
      <c r="K3596" s="270"/>
      <c r="N3596" s="1147"/>
      <c r="O3596" s="1146"/>
      <c r="P3596" s="1115"/>
    </row>
    <row r="3597" spans="1:23" ht="15.6" hidden="1" customHeight="1" x14ac:dyDescent="0.25">
      <c r="I3597" s="200"/>
      <c r="J3597" s="200"/>
      <c r="P3597" s="1115"/>
    </row>
    <row r="3598" spans="1:23" ht="15.6" customHeight="1" x14ac:dyDescent="0.25">
      <c r="A3598" s="211">
        <v>37</v>
      </c>
      <c r="B3598" s="50" t="s">
        <v>178</v>
      </c>
      <c r="C3598" s="50"/>
      <c r="K3598" s="206"/>
      <c r="P3598" s="1115"/>
      <c r="W3598" s="1114" t="s">
        <v>3520</v>
      </c>
    </row>
    <row r="3599" spans="1:23" ht="15.6" customHeight="1" x14ac:dyDescent="0.25">
      <c r="B3599" s="50"/>
      <c r="C3599" s="50"/>
      <c r="E3599" s="50"/>
      <c r="P3599" s="1115"/>
    </row>
    <row r="3600" spans="1:23" ht="15.6" customHeight="1" x14ac:dyDescent="0.2">
      <c r="A3600" s="201"/>
      <c r="B3600" s="2861" t="s">
        <v>1935</v>
      </c>
      <c r="C3600" s="2861"/>
      <c r="D3600" s="2861"/>
      <c r="E3600" s="2861"/>
      <c r="F3600" s="2861"/>
      <c r="G3600" s="2861"/>
      <c r="H3600" s="2861"/>
      <c r="I3600" s="2861"/>
      <c r="J3600" s="2861"/>
      <c r="K3600" s="2861"/>
      <c r="L3600" s="201"/>
      <c r="M3600" s="1482"/>
      <c r="N3600" s="1147"/>
      <c r="O3600" s="1133"/>
      <c r="P3600" s="1115"/>
    </row>
    <row r="3601" spans="1:23" ht="15.6" customHeight="1" x14ac:dyDescent="0.25">
      <c r="I3601" s="271"/>
      <c r="J3601" s="200"/>
      <c r="K3601" s="271"/>
      <c r="P3601" s="1115"/>
    </row>
    <row r="3602" spans="1:23" ht="15.6" customHeight="1" x14ac:dyDescent="0.2">
      <c r="B3602" s="671" t="s">
        <v>7595</v>
      </c>
      <c r="C3602" s="672"/>
      <c r="D3602" s="672"/>
      <c r="E3602" s="672"/>
      <c r="F3602" s="672"/>
      <c r="I3602" s="270"/>
      <c r="J3602" s="270"/>
      <c r="K3602" s="270"/>
      <c r="M3602" s="1133"/>
      <c r="N3602" s="1147"/>
      <c r="O3602" s="1146"/>
      <c r="P3602" s="1115"/>
      <c r="W3602" s="1114" t="s">
        <v>3857</v>
      </c>
    </row>
    <row r="3603" spans="1:23" ht="15.6" customHeight="1" x14ac:dyDescent="0.2">
      <c r="B3603" s="671" t="s">
        <v>2485</v>
      </c>
      <c r="C3603" s="672"/>
      <c r="D3603" s="672"/>
      <c r="E3603" s="672"/>
      <c r="F3603" s="672"/>
      <c r="I3603" s="270"/>
      <c r="J3603" s="270"/>
      <c r="K3603" s="270"/>
      <c r="M3603" s="1133"/>
      <c r="N3603" s="1147"/>
      <c r="O3603" s="1146"/>
      <c r="P3603" s="1115"/>
    </row>
    <row r="3604" spans="1:23" ht="15.6" customHeight="1" x14ac:dyDescent="0.2">
      <c r="I3604" s="58"/>
      <c r="J3604" s="58"/>
      <c r="K3604" s="58"/>
      <c r="M3604" s="1133"/>
      <c r="N3604" s="1147"/>
      <c r="O3604" s="1146"/>
      <c r="P3604" s="1115"/>
    </row>
    <row r="3605" spans="1:23" ht="30.95" hidden="1" customHeight="1" x14ac:dyDescent="0.2">
      <c r="A3605" s="201"/>
      <c r="B3605" s="2861" t="s">
        <v>2252</v>
      </c>
      <c r="C3605" s="2861"/>
      <c r="D3605" s="2861"/>
      <c r="E3605" s="2861"/>
      <c r="F3605" s="2861"/>
      <c r="G3605" s="2861"/>
      <c r="H3605" s="2861"/>
      <c r="I3605" s="2861"/>
      <c r="J3605" s="2861"/>
      <c r="K3605" s="2861"/>
      <c r="L3605" s="201"/>
      <c r="M3605" s="1482"/>
      <c r="N3605" s="1147"/>
      <c r="O3605" s="1146"/>
      <c r="P3605" s="1115"/>
    </row>
    <row r="3606" spans="1:23" ht="15.6" hidden="1" customHeight="1" x14ac:dyDescent="0.2">
      <c r="I3606" s="58"/>
      <c r="J3606" s="58"/>
      <c r="K3606" s="58"/>
      <c r="L3606" s="59"/>
      <c r="M3606" s="1133"/>
      <c r="N3606" s="1147"/>
      <c r="O3606" s="1146"/>
      <c r="P3606" s="1115"/>
      <c r="Q3606" s="48"/>
      <c r="R3606" s="48"/>
      <c r="S3606" s="48"/>
      <c r="T3606" s="48"/>
      <c r="U3606" s="48"/>
      <c r="V3606" s="48"/>
      <c r="W3606" s="48"/>
    </row>
    <row r="3607" spans="1:23" ht="30.95" hidden="1" customHeight="1" x14ac:dyDescent="0.2">
      <c r="A3607" s="201"/>
      <c r="B3607" s="2861" t="s">
        <v>2253</v>
      </c>
      <c r="C3607" s="2861"/>
      <c r="D3607" s="2861"/>
      <c r="E3607" s="2861"/>
      <c r="F3607" s="2861"/>
      <c r="G3607" s="2861"/>
      <c r="H3607" s="2861"/>
      <c r="I3607" s="2861"/>
      <c r="J3607" s="2861"/>
      <c r="K3607" s="2861"/>
      <c r="L3607" s="201"/>
      <c r="M3607" s="1482"/>
      <c r="N3607" s="1147"/>
      <c r="O3607" s="1146"/>
      <c r="P3607" s="1115"/>
      <c r="Q3607" s="48"/>
      <c r="R3607" s="48"/>
      <c r="S3607" s="48"/>
      <c r="T3607" s="48"/>
      <c r="U3607" s="48"/>
      <c r="V3607" s="48"/>
      <c r="W3607" s="48"/>
    </row>
    <row r="3608" spans="1:23" ht="15.6" hidden="1" customHeight="1" x14ac:dyDescent="0.2">
      <c r="I3608" s="58"/>
      <c r="J3608" s="58"/>
      <c r="K3608" s="58"/>
      <c r="L3608" s="59"/>
      <c r="M3608" s="1133"/>
      <c r="N3608" s="1147"/>
      <c r="O3608" s="1146"/>
      <c r="P3608" s="1115"/>
      <c r="Q3608" s="48"/>
      <c r="R3608" s="48"/>
      <c r="S3608" s="48"/>
      <c r="T3608" s="48"/>
      <c r="U3608" s="48"/>
      <c r="V3608" s="48"/>
      <c r="W3608" s="48"/>
    </row>
    <row r="3609" spans="1:23" ht="30.95" hidden="1" customHeight="1" x14ac:dyDescent="0.2">
      <c r="A3609" s="201"/>
      <c r="B3609" s="2861" t="s">
        <v>2254</v>
      </c>
      <c r="C3609" s="2861"/>
      <c r="D3609" s="2861"/>
      <c r="E3609" s="2861"/>
      <c r="F3609" s="2861"/>
      <c r="G3609" s="2861"/>
      <c r="H3609" s="2861"/>
      <c r="I3609" s="2861"/>
      <c r="J3609" s="2861"/>
      <c r="K3609" s="2861"/>
      <c r="L3609" s="201"/>
      <c r="M3609" s="1482"/>
      <c r="N3609" s="1147"/>
      <c r="O3609" s="1146"/>
      <c r="P3609" s="1115"/>
      <c r="Q3609" s="48"/>
      <c r="R3609" s="48"/>
      <c r="S3609" s="48"/>
      <c r="T3609" s="48"/>
      <c r="U3609" s="48"/>
      <c r="V3609" s="48"/>
      <c r="W3609" s="48"/>
    </row>
    <row r="3610" spans="1:23" ht="15.6" hidden="1" customHeight="1" x14ac:dyDescent="0.2">
      <c r="I3610" s="58"/>
      <c r="J3610" s="58"/>
      <c r="K3610" s="58"/>
      <c r="L3610" s="59"/>
      <c r="M3610" s="1133"/>
      <c r="N3610" s="1147"/>
      <c r="O3610" s="1146"/>
      <c r="P3610" s="1115"/>
      <c r="Q3610" s="48"/>
      <c r="R3610" s="48"/>
      <c r="S3610" s="48"/>
      <c r="T3610" s="48"/>
      <c r="U3610" s="48"/>
      <c r="V3610" s="48"/>
      <c r="W3610" s="48"/>
    </row>
    <row r="3611" spans="1:23" ht="46.5" hidden="1" customHeight="1" x14ac:dyDescent="0.2">
      <c r="A3611" s="201"/>
      <c r="B3611" s="2861" t="s">
        <v>2573</v>
      </c>
      <c r="C3611" s="2861"/>
      <c r="D3611" s="2861"/>
      <c r="E3611" s="2861"/>
      <c r="F3611" s="2861"/>
      <c r="G3611" s="2861"/>
      <c r="H3611" s="2861"/>
      <c r="I3611" s="2861"/>
      <c r="J3611" s="2861"/>
      <c r="K3611" s="2861"/>
      <c r="L3611" s="201"/>
      <c r="M3611" s="1482"/>
      <c r="N3611" s="1147"/>
      <c r="O3611" s="1146"/>
      <c r="P3611" s="1115"/>
      <c r="Q3611" s="48"/>
      <c r="R3611" s="48"/>
      <c r="S3611" s="48"/>
      <c r="T3611" s="48"/>
      <c r="U3611" s="48"/>
      <c r="V3611" s="48"/>
      <c r="W3611" s="48"/>
    </row>
    <row r="3612" spans="1:23" ht="15.6" hidden="1" customHeight="1" x14ac:dyDescent="0.2">
      <c r="I3612" s="58"/>
      <c r="J3612" s="58"/>
      <c r="K3612" s="58"/>
      <c r="L3612" s="59"/>
      <c r="M3612" s="1133"/>
      <c r="N3612" s="1147"/>
      <c r="O3612" s="1146"/>
      <c r="P3612" s="1115"/>
      <c r="Q3612" s="48"/>
      <c r="R3612" s="48"/>
      <c r="S3612" s="48"/>
      <c r="T3612" s="48"/>
      <c r="U3612" s="48"/>
      <c r="V3612" s="48"/>
      <c r="W3612" s="48"/>
    </row>
    <row r="3613" spans="1:23" ht="15.6" customHeight="1" x14ac:dyDescent="0.25">
      <c r="B3613" s="50" t="s">
        <v>1021</v>
      </c>
      <c r="I3613" s="58"/>
      <c r="J3613" s="58"/>
      <c r="K3613" s="58"/>
      <c r="M3613" s="1133"/>
      <c r="N3613" s="1147"/>
      <c r="O3613" s="1146"/>
      <c r="P3613" s="1115"/>
      <c r="Q3613" s="48"/>
      <c r="R3613" s="48"/>
      <c r="S3613" s="48"/>
      <c r="T3613" s="48"/>
      <c r="U3613" s="48"/>
      <c r="V3613" s="48"/>
      <c r="W3613" s="48"/>
    </row>
    <row r="3614" spans="1:23" ht="15.6" customHeight="1" x14ac:dyDescent="0.2">
      <c r="I3614" s="58"/>
      <c r="J3614" s="58"/>
      <c r="K3614" s="58"/>
      <c r="P3614" s="1115"/>
      <c r="Q3614" s="48"/>
      <c r="R3614" s="48"/>
      <c r="S3614" s="48"/>
      <c r="T3614" s="48"/>
      <c r="U3614" s="48"/>
      <c r="V3614" s="48"/>
      <c r="W3614" s="48"/>
    </row>
    <row r="3615" spans="1:23" ht="15.6" customHeight="1" x14ac:dyDescent="0.25">
      <c r="C3615" s="57"/>
      <c r="E3615" s="57"/>
      <c r="G3615" s="2549" t="s">
        <v>2079</v>
      </c>
      <c r="H3615" s="48"/>
      <c r="I3615" s="2549" t="s">
        <v>2045</v>
      </c>
      <c r="J3615" s="57"/>
      <c r="K3615" s="2549" t="s">
        <v>251</v>
      </c>
      <c r="M3615" s="1133"/>
      <c r="N3615" s="1147"/>
      <c r="O3615" s="1146"/>
      <c r="P3615" s="1115"/>
      <c r="Q3615" s="48"/>
      <c r="R3615" s="48"/>
      <c r="S3615" s="48"/>
      <c r="T3615" s="48"/>
      <c r="U3615" s="48"/>
      <c r="V3615" s="48"/>
      <c r="W3615" s="48"/>
    </row>
    <row r="3616" spans="1:23" ht="15.6" customHeight="1" x14ac:dyDescent="0.25">
      <c r="C3616" s="57"/>
      <c r="E3616" s="57"/>
      <c r="G3616" s="2549" t="s">
        <v>2080</v>
      </c>
      <c r="H3616" s="48"/>
      <c r="I3616" s="2549"/>
      <c r="J3616" s="57"/>
      <c r="K3616" s="2549"/>
      <c r="M3616" s="1133"/>
      <c r="N3616" s="1147"/>
      <c r="O3616" s="1146"/>
      <c r="P3616" s="1115"/>
      <c r="Q3616" s="48"/>
      <c r="R3616" s="48"/>
      <c r="S3616" s="48"/>
      <c r="T3616" s="48"/>
      <c r="U3616" s="48"/>
      <c r="V3616" s="48"/>
      <c r="W3616" s="48"/>
    </row>
    <row r="3617" spans="2:23" ht="15.6" customHeight="1" x14ac:dyDescent="0.25">
      <c r="C3617" s="57"/>
      <c r="E3617" s="57"/>
      <c r="G3617" s="2549" t="s">
        <v>2081</v>
      </c>
      <c r="H3617" s="48"/>
      <c r="I3617" s="2549" t="s">
        <v>887</v>
      </c>
      <c r="J3617" s="57"/>
      <c r="K3617" s="2549" t="s">
        <v>704</v>
      </c>
      <c r="M3617" s="232" t="s">
        <v>1879</v>
      </c>
      <c r="N3617" s="1147"/>
      <c r="O3617" s="1146"/>
      <c r="P3617" s="1115"/>
      <c r="Q3617" s="48"/>
      <c r="R3617" s="48"/>
      <c r="S3617" s="48"/>
      <c r="T3617" s="48"/>
      <c r="U3617" s="48"/>
      <c r="V3617" s="48"/>
      <c r="W3617" s="48"/>
    </row>
    <row r="3618" spans="2:23" ht="15.6" customHeight="1" x14ac:dyDescent="0.2">
      <c r="C3618" s="57"/>
      <c r="E3618" s="57"/>
      <c r="G3618" s="58"/>
      <c r="H3618" s="48"/>
      <c r="I3618" s="58"/>
      <c r="J3618" s="57"/>
      <c r="M3618" s="1133"/>
      <c r="N3618" s="1147"/>
      <c r="O3618" s="1146"/>
      <c r="P3618" s="1115"/>
      <c r="Q3618" s="48"/>
      <c r="R3618" s="48"/>
      <c r="S3618" s="48"/>
      <c r="T3618" s="48"/>
      <c r="U3618" s="48"/>
      <c r="V3618" s="48"/>
      <c r="W3618" s="48"/>
    </row>
    <row r="3619" spans="2:23" ht="15.6" customHeight="1" x14ac:dyDescent="0.25">
      <c r="B3619" s="50" t="str">
        <f>"Balances published as at "&amp;Parameters!C15</f>
        <v>Balances published as at 30 June 2010</v>
      </c>
      <c r="C3619" s="57"/>
      <c r="E3619" s="57"/>
      <c r="G3619" s="224">
        <v>168770562</v>
      </c>
      <c r="H3619" s="48"/>
      <c r="I3619" s="224">
        <v>880853</v>
      </c>
      <c r="J3619" s="57"/>
      <c r="M3619" s="1133"/>
      <c r="N3619" s="1147"/>
      <c r="O3619" s="1146"/>
      <c r="P3619" s="1115"/>
      <c r="Q3619" s="48"/>
      <c r="R3619" s="48"/>
      <c r="S3619" s="48"/>
      <c r="T3619" s="48"/>
      <c r="U3619" s="48"/>
      <c r="V3619" s="48"/>
      <c r="W3619" s="48"/>
    </row>
    <row r="3620" spans="2:23" ht="15.6" customHeight="1" x14ac:dyDescent="0.2">
      <c r="B3620" s="48" t="s">
        <v>7496</v>
      </c>
      <c r="C3620" s="57"/>
      <c r="E3620" s="57"/>
      <c r="G3620" s="58">
        <f>'PPE Note'!M86</f>
        <v>459906757.69999993</v>
      </c>
      <c r="H3620" s="48"/>
      <c r="I3620" s="58">
        <v>0</v>
      </c>
      <c r="J3620" s="57"/>
      <c r="M3620" s="1147">
        <f>SUM(D3620:L3620)</f>
        <v>459906757.69999993</v>
      </c>
      <c r="O3620" s="1146"/>
      <c r="P3620" s="1115"/>
      <c r="Q3620" s="48"/>
      <c r="R3620" s="48"/>
      <c r="S3620" s="48"/>
      <c r="T3620" s="48"/>
      <c r="U3620" s="48"/>
      <c r="V3620" s="48"/>
      <c r="W3620" s="48"/>
    </row>
    <row r="3621" spans="2:23" ht="15.6" customHeight="1" x14ac:dyDescent="0.2">
      <c r="B3621" s="48" t="s">
        <v>7435</v>
      </c>
      <c r="C3621" s="57"/>
      <c r="E3621" s="57"/>
      <c r="G3621" s="58">
        <v>0</v>
      </c>
      <c r="H3621" s="48"/>
      <c r="I3621" s="58">
        <v>0</v>
      </c>
      <c r="J3621" s="57"/>
      <c r="M3621" s="1147">
        <f>SUM(D3621:L3621)</f>
        <v>0</v>
      </c>
      <c r="O3621" s="1146"/>
      <c r="P3621" s="1115"/>
      <c r="Q3621" s="48"/>
      <c r="R3621" s="48"/>
      <c r="S3621" s="48"/>
      <c r="T3621" s="48"/>
      <c r="U3621" s="48"/>
      <c r="V3621" s="48"/>
      <c r="W3621" s="48"/>
    </row>
    <row r="3622" spans="2:23" ht="15.6" customHeight="1" x14ac:dyDescent="0.2">
      <c r="B3622" s="48" t="s">
        <v>7497</v>
      </c>
      <c r="C3622" s="57"/>
      <c r="E3622" s="57"/>
      <c r="G3622" s="58">
        <f>'PPE Note'!K92</f>
        <v>-327386156.69</v>
      </c>
      <c r="H3622" s="48"/>
      <c r="I3622" s="58">
        <v>0</v>
      </c>
      <c r="J3622" s="57"/>
      <c r="M3622" s="1147">
        <f>SUM(D3622:L3622)</f>
        <v>-327386156.69</v>
      </c>
      <c r="O3622" s="1146"/>
      <c r="P3622" s="1115"/>
    </row>
    <row r="3623" spans="2:23" ht="15.6" customHeight="1" x14ac:dyDescent="0.2">
      <c r="C3623" s="57"/>
      <c r="E3623" s="57"/>
      <c r="G3623" s="212"/>
      <c r="H3623" s="48"/>
      <c r="I3623" s="212"/>
      <c r="J3623" s="57"/>
      <c r="O3623" s="1146"/>
      <c r="P3623" s="1115"/>
    </row>
    <row r="3624" spans="2:23" ht="15.6" customHeight="1" thickBot="1" x14ac:dyDescent="0.3">
      <c r="B3624" s="50" t="str">
        <f>"Restated Balances as at "&amp;Parameters!C15</f>
        <v>Restated Balances as at 30 June 2010</v>
      </c>
      <c r="C3624" s="57"/>
      <c r="E3624" s="57"/>
      <c r="G3624" s="667">
        <f>SUM(G3619:G3623)</f>
        <v>301291163.00999993</v>
      </c>
      <c r="H3624" s="48"/>
      <c r="I3624" s="667">
        <f>SUM(I3619:I3623)</f>
        <v>880853</v>
      </c>
      <c r="J3624" s="57"/>
      <c r="M3624" s="622">
        <f>SUM(M3619:M3623)</f>
        <v>132520601.00999993</v>
      </c>
      <c r="O3624" s="1146"/>
      <c r="P3624" s="1115"/>
    </row>
    <row r="3625" spans="2:23" ht="15.6" customHeight="1" thickTop="1" x14ac:dyDescent="0.2">
      <c r="C3625" s="57"/>
      <c r="E3625" s="57"/>
      <c r="G3625" s="58"/>
      <c r="H3625" s="48"/>
      <c r="I3625" s="58"/>
      <c r="J3625" s="57"/>
      <c r="O3625" s="1146"/>
      <c r="P3625" s="1115"/>
    </row>
    <row r="3626" spans="2:23" ht="15.6" customHeight="1" x14ac:dyDescent="0.25">
      <c r="B3626" s="50" t="str">
        <f>"Amount per AFS previously published for "&amp;Parameters!C27</f>
        <v>Amount per AFS previously published for 2010/11</v>
      </c>
      <c r="C3626" s="57"/>
      <c r="E3626" s="57"/>
      <c r="G3626" s="58">
        <v>155975629</v>
      </c>
      <c r="H3626" s="48"/>
      <c r="I3626" s="58">
        <v>28523647</v>
      </c>
      <c r="J3626" s="57"/>
      <c r="K3626" s="224">
        <v>0</v>
      </c>
      <c r="O3626" s="1146"/>
      <c r="P3626" s="1115"/>
    </row>
    <row r="3627" spans="2:23" ht="15.6" customHeight="1" x14ac:dyDescent="0.25">
      <c r="B3627" s="48" t="s">
        <v>7521</v>
      </c>
      <c r="C3627" s="57"/>
      <c r="E3627" s="57"/>
      <c r="G3627" s="58">
        <v>-428339</v>
      </c>
      <c r="H3627" s="48"/>
      <c r="I3627" s="58">
        <v>0</v>
      </c>
      <c r="J3627" s="57"/>
      <c r="K3627" s="224"/>
      <c r="O3627" s="1146"/>
      <c r="P3627" s="1115"/>
    </row>
    <row r="3628" spans="2:23" ht="15.6" customHeight="1" x14ac:dyDescent="0.2">
      <c r="B3628" s="48" t="s">
        <v>7437</v>
      </c>
      <c r="C3628" s="57"/>
      <c r="E3628" s="57"/>
      <c r="G3628" s="58">
        <f>I3233</f>
        <v>171385662.02000001</v>
      </c>
      <c r="H3628" s="48"/>
      <c r="I3628" s="58">
        <v>-10665500</v>
      </c>
      <c r="J3628" s="57"/>
      <c r="N3628" s="1134">
        <f>G3628-I3233</f>
        <v>0</v>
      </c>
      <c r="O3628" s="1146"/>
      <c r="P3628" s="1115"/>
    </row>
    <row r="3629" spans="2:23" ht="15.6" customHeight="1" x14ac:dyDescent="0.2">
      <c r="B3629" s="48" t="s">
        <v>7436</v>
      </c>
      <c r="C3629" s="57"/>
      <c r="E3629" s="57"/>
      <c r="G3629" s="58">
        <v>0</v>
      </c>
      <c r="H3629" s="48"/>
      <c r="I3629" s="58">
        <v>1780205</v>
      </c>
      <c r="J3629" s="57"/>
      <c r="O3629" s="1146"/>
      <c r="P3629" s="1115"/>
    </row>
    <row r="3630" spans="2:23" ht="15.6" customHeight="1" x14ac:dyDescent="0.2">
      <c r="B3630" s="48" t="s">
        <v>8185</v>
      </c>
      <c r="C3630" s="57"/>
      <c r="E3630" s="57"/>
      <c r="G3630" s="58">
        <v>3598130.06</v>
      </c>
      <c r="H3630" s="48"/>
      <c r="I3630" s="58"/>
      <c r="J3630" s="57"/>
      <c r="O3630" s="1146"/>
      <c r="P3630" s="1115"/>
    </row>
    <row r="3631" spans="2:23" ht="15.6" customHeight="1" x14ac:dyDescent="0.2">
      <c r="B3631" s="48" t="s">
        <v>7498</v>
      </c>
      <c r="C3631" s="57"/>
      <c r="E3631" s="57"/>
      <c r="G3631" s="58">
        <f>I3234</f>
        <v>-21078163.109999999</v>
      </c>
      <c r="H3631" s="48"/>
      <c r="I3631" s="58">
        <v>0</v>
      </c>
      <c r="J3631" s="57"/>
      <c r="K3631" s="58">
        <f>G3631</f>
        <v>-21078163.109999999</v>
      </c>
      <c r="M3631" s="1147">
        <f>SUM(D3631:L3631)</f>
        <v>-42156326.219999999</v>
      </c>
      <c r="O3631" s="1146"/>
      <c r="P3631" s="1115"/>
    </row>
    <row r="3632" spans="2:23" ht="15.6" customHeight="1" x14ac:dyDescent="0.25">
      <c r="C3632" s="219"/>
      <c r="E3632" s="219"/>
      <c r="G3632" s="58"/>
      <c r="H3632" s="48"/>
      <c r="I3632" s="58"/>
      <c r="J3632" s="57"/>
      <c r="O3632" s="1146"/>
      <c r="P3632" s="1115"/>
    </row>
    <row r="3633" spans="1:23" ht="15.6" customHeight="1" thickBot="1" x14ac:dyDescent="0.3">
      <c r="B3633" s="50" t="str">
        <f>"Restated Balances as at "&amp;Parameters!C13</f>
        <v>Restated Balances as at 30 June 2011</v>
      </c>
      <c r="C3633" s="57"/>
      <c r="E3633" s="57"/>
      <c r="G3633" s="204">
        <f>SUM(G3626:G3632)</f>
        <v>309452918.96999997</v>
      </c>
      <c r="H3633" s="48"/>
      <c r="I3633" s="204">
        <f>SUM(I3624:I3632)</f>
        <v>20519205</v>
      </c>
      <c r="J3633" s="57"/>
      <c r="K3633" s="204">
        <f>SUM(K3624:K3632)</f>
        <v>-21078163.109999999</v>
      </c>
      <c r="M3633" s="622">
        <f>SUM(M3628:M3632)</f>
        <v>-42156326.219999999</v>
      </c>
      <c r="O3633" s="1146"/>
      <c r="P3633" s="1115"/>
    </row>
    <row r="3634" spans="1:23" ht="15.6" customHeight="1" thickTop="1" x14ac:dyDescent="0.2">
      <c r="C3634" s="57"/>
      <c r="E3634" s="57"/>
      <c r="G3634" s="2550">
        <v>0</v>
      </c>
      <c r="H3634" s="48"/>
      <c r="I3634" s="265">
        <v>0</v>
      </c>
      <c r="J3634" s="57"/>
      <c r="K3634" s="271">
        <v>0</v>
      </c>
      <c r="M3634" s="1133"/>
      <c r="N3634" s="1147"/>
      <c r="O3634" s="1146"/>
      <c r="P3634" s="1115"/>
    </row>
    <row r="3635" spans="1:23" ht="15.6" customHeight="1" x14ac:dyDescent="0.2">
      <c r="B3635" s="671" t="s">
        <v>7596</v>
      </c>
      <c r="C3635" s="672"/>
      <c r="D3635" s="672"/>
      <c r="E3635" s="672"/>
      <c r="F3635" s="672"/>
      <c r="G3635" s="672"/>
      <c r="I3635" s="270"/>
      <c r="J3635" s="270"/>
      <c r="K3635" s="270"/>
      <c r="M3635" s="1133"/>
      <c r="N3635" s="1147"/>
      <c r="O3635" s="1146"/>
      <c r="P3635" s="1115"/>
      <c r="W3635" s="1114" t="s">
        <v>3857</v>
      </c>
    </row>
    <row r="3636" spans="1:23" ht="15.6" customHeight="1" x14ac:dyDescent="0.2">
      <c r="B3636" s="671" t="s">
        <v>2577</v>
      </c>
      <c r="C3636" s="672"/>
      <c r="D3636" s="672"/>
      <c r="E3636" s="672"/>
      <c r="F3636" s="672"/>
      <c r="I3636" s="270"/>
      <c r="J3636" s="270"/>
      <c r="K3636" s="270"/>
      <c r="M3636" s="1133"/>
      <c r="N3636" s="1147"/>
      <c r="O3636" s="1146"/>
      <c r="P3636" s="1115"/>
    </row>
    <row r="3637" spans="1:23" ht="15.6" customHeight="1" x14ac:dyDescent="0.2">
      <c r="I3637" s="58"/>
      <c r="J3637" s="58"/>
      <c r="K3637" s="58"/>
      <c r="M3637" s="1133"/>
      <c r="N3637" s="1147"/>
      <c r="O3637" s="1146"/>
      <c r="P3637" s="1115"/>
    </row>
    <row r="3638" spans="1:23" ht="30.95" hidden="1" customHeight="1" x14ac:dyDescent="0.2">
      <c r="A3638" s="201"/>
      <c r="B3638" s="2879" t="s">
        <v>2581</v>
      </c>
      <c r="C3638" s="2879"/>
      <c r="D3638" s="2879"/>
      <c r="E3638" s="2879"/>
      <c r="F3638" s="2879"/>
      <c r="G3638" s="2879"/>
      <c r="H3638" s="2879"/>
      <c r="I3638" s="2879"/>
      <c r="J3638" s="2879"/>
      <c r="K3638" s="2879"/>
      <c r="L3638" s="201"/>
      <c r="M3638" s="1482"/>
      <c r="N3638" s="1147"/>
      <c r="O3638" s="1133"/>
      <c r="P3638" s="1115"/>
    </row>
    <row r="3639" spans="1:23" ht="15.6" hidden="1" customHeight="1" x14ac:dyDescent="0.2">
      <c r="B3639" s="2046"/>
      <c r="C3639" s="2046"/>
      <c r="D3639" s="2077"/>
      <c r="E3639" s="2046"/>
      <c r="F3639" s="2077"/>
      <c r="G3639" s="2077"/>
      <c r="H3639" s="2077"/>
      <c r="I3639" s="2043"/>
      <c r="J3639" s="2043"/>
      <c r="K3639" s="2043"/>
      <c r="M3639" s="1133"/>
      <c r="N3639" s="1147"/>
      <c r="O3639" s="1146"/>
      <c r="P3639" s="1115"/>
    </row>
    <row r="3640" spans="1:23" ht="30.95" customHeight="1" x14ac:dyDescent="0.2">
      <c r="A3640" s="201"/>
      <c r="B3640" s="2861" t="s">
        <v>7507</v>
      </c>
      <c r="C3640" s="2861"/>
      <c r="D3640" s="2861"/>
      <c r="E3640" s="2861"/>
      <c r="F3640" s="2861"/>
      <c r="G3640" s="2861"/>
      <c r="H3640" s="2861"/>
      <c r="I3640" s="2861"/>
      <c r="J3640" s="2861"/>
      <c r="K3640" s="2861"/>
      <c r="L3640" s="201"/>
      <c r="M3640" s="1482"/>
      <c r="N3640" s="1147"/>
      <c r="O3640" s="1133"/>
      <c r="P3640" s="1115"/>
    </row>
    <row r="3641" spans="1:23" ht="15.6" hidden="1" customHeight="1" x14ac:dyDescent="0.2">
      <c r="B3641" s="2046"/>
      <c r="C3641" s="2046"/>
      <c r="D3641" s="2077"/>
      <c r="E3641" s="2046"/>
      <c r="F3641" s="2077"/>
      <c r="G3641" s="2077"/>
      <c r="H3641" s="2077"/>
      <c r="I3641" s="2043"/>
      <c r="J3641" s="2043"/>
      <c r="K3641" s="2043"/>
      <c r="M3641" s="1133"/>
      <c r="N3641" s="1147"/>
      <c r="O3641" s="1146"/>
      <c r="P3641" s="1115"/>
      <c r="Q3641" s="48"/>
      <c r="R3641" s="48"/>
      <c r="S3641" s="48"/>
      <c r="T3641" s="48"/>
      <c r="U3641" s="48"/>
      <c r="V3641" s="48"/>
      <c r="W3641" s="48"/>
    </row>
    <row r="3642" spans="1:23" ht="30.95" hidden="1" customHeight="1" x14ac:dyDescent="0.2">
      <c r="A3642" s="201"/>
      <c r="B3642" s="2879" t="s">
        <v>2584</v>
      </c>
      <c r="C3642" s="2879"/>
      <c r="D3642" s="2879"/>
      <c r="E3642" s="2879"/>
      <c r="F3642" s="2879"/>
      <c r="G3642" s="2879"/>
      <c r="H3642" s="2879"/>
      <c r="I3642" s="2879"/>
      <c r="J3642" s="2879"/>
      <c r="K3642" s="2879"/>
      <c r="L3642" s="201"/>
      <c r="M3642" s="1482"/>
      <c r="N3642" s="1147"/>
      <c r="O3642" s="1133"/>
      <c r="P3642" s="1115"/>
      <c r="Q3642" s="48"/>
      <c r="R3642" s="48"/>
      <c r="S3642" s="48"/>
      <c r="T3642" s="48"/>
      <c r="U3642" s="48"/>
      <c r="V3642" s="48"/>
      <c r="W3642" s="48"/>
    </row>
    <row r="3643" spans="1:23" ht="15.6" hidden="1" customHeight="1" x14ac:dyDescent="0.2">
      <c r="B3643" s="2046"/>
      <c r="C3643" s="2046"/>
      <c r="D3643" s="2077"/>
      <c r="E3643" s="2046"/>
      <c r="F3643" s="2077"/>
      <c r="G3643" s="2077"/>
      <c r="H3643" s="2077"/>
      <c r="I3643" s="2043"/>
      <c r="J3643" s="2043"/>
      <c r="K3643" s="2043"/>
      <c r="M3643" s="1133"/>
      <c r="N3643" s="1147"/>
      <c r="O3643" s="1146"/>
      <c r="P3643" s="1115"/>
      <c r="Q3643" s="48"/>
      <c r="R3643" s="48"/>
      <c r="S3643" s="48"/>
      <c r="T3643" s="48"/>
      <c r="U3643" s="48"/>
      <c r="V3643" s="48"/>
      <c r="W3643" s="48"/>
    </row>
    <row r="3644" spans="1:23" ht="30.95" hidden="1" customHeight="1" x14ac:dyDescent="0.2">
      <c r="A3644" s="201"/>
      <c r="B3644" s="2879" t="s">
        <v>2723</v>
      </c>
      <c r="C3644" s="2879"/>
      <c r="D3644" s="2879"/>
      <c r="E3644" s="2879"/>
      <c r="F3644" s="2879"/>
      <c r="G3644" s="2879"/>
      <c r="H3644" s="2879"/>
      <c r="I3644" s="2879"/>
      <c r="J3644" s="2879"/>
      <c r="K3644" s="2879"/>
      <c r="L3644" s="201"/>
      <c r="M3644" s="1482"/>
      <c r="N3644" s="1147"/>
      <c r="O3644" s="1133"/>
      <c r="P3644" s="1115"/>
      <c r="Q3644" s="48"/>
      <c r="R3644" s="48"/>
      <c r="S3644" s="48"/>
      <c r="T3644" s="48"/>
      <c r="U3644" s="48"/>
      <c r="V3644" s="48"/>
      <c r="W3644" s="48"/>
    </row>
    <row r="3645" spans="1:23" ht="15.6" hidden="1" customHeight="1" x14ac:dyDescent="0.2">
      <c r="B3645" s="2046"/>
      <c r="C3645" s="2046"/>
      <c r="D3645" s="2077"/>
      <c r="E3645" s="2046"/>
      <c r="F3645" s="2077"/>
      <c r="G3645" s="2077"/>
      <c r="H3645" s="2077"/>
      <c r="I3645" s="2043"/>
      <c r="J3645" s="2043"/>
      <c r="K3645" s="2043"/>
      <c r="M3645" s="1133"/>
      <c r="N3645" s="1147"/>
      <c r="O3645" s="1146"/>
      <c r="P3645" s="1115"/>
      <c r="Q3645" s="48"/>
      <c r="R3645" s="48"/>
      <c r="S3645" s="48"/>
      <c r="T3645" s="48"/>
      <c r="U3645" s="48"/>
      <c r="V3645" s="48"/>
      <c r="W3645" s="48"/>
    </row>
    <row r="3646" spans="1:23" ht="30.95" hidden="1" customHeight="1" x14ac:dyDescent="0.2">
      <c r="A3646" s="201"/>
      <c r="B3646" s="2879" t="s">
        <v>2716</v>
      </c>
      <c r="C3646" s="2879"/>
      <c r="D3646" s="2879"/>
      <c r="E3646" s="2879"/>
      <c r="F3646" s="2879"/>
      <c r="G3646" s="2879"/>
      <c r="H3646" s="2879"/>
      <c r="I3646" s="2879"/>
      <c r="J3646" s="2879"/>
      <c r="K3646" s="2879"/>
      <c r="L3646" s="201"/>
      <c r="M3646" s="1482"/>
      <c r="N3646" s="1147"/>
      <c r="O3646" s="1133"/>
      <c r="P3646" s="1115"/>
      <c r="Q3646" s="48"/>
      <c r="R3646" s="48"/>
      <c r="S3646" s="48"/>
      <c r="T3646" s="48"/>
      <c r="U3646" s="48"/>
      <c r="V3646" s="48"/>
      <c r="W3646" s="48"/>
    </row>
    <row r="3647" spans="1:23" ht="15.6" hidden="1" customHeight="1" x14ac:dyDescent="0.2">
      <c r="B3647" s="2046"/>
      <c r="C3647" s="2046"/>
      <c r="D3647" s="2077"/>
      <c r="E3647" s="2046"/>
      <c r="F3647" s="2077"/>
      <c r="G3647" s="2077"/>
      <c r="H3647" s="2077"/>
      <c r="I3647" s="2043"/>
      <c r="J3647" s="2043"/>
      <c r="K3647" s="2043"/>
      <c r="M3647" s="1133"/>
      <c r="N3647" s="1147"/>
      <c r="O3647" s="1146"/>
      <c r="P3647" s="1115"/>
      <c r="Q3647" s="48"/>
      <c r="R3647" s="48"/>
      <c r="S3647" s="48"/>
      <c r="T3647" s="48"/>
      <c r="U3647" s="48"/>
      <c r="V3647" s="48"/>
      <c r="W3647" s="48"/>
    </row>
    <row r="3648" spans="1:23" ht="30.95" hidden="1" customHeight="1" x14ac:dyDescent="0.2">
      <c r="A3648" s="201"/>
      <c r="B3648" s="2900" t="s">
        <v>2576</v>
      </c>
      <c r="C3648" s="2900"/>
      <c r="D3648" s="2900"/>
      <c r="E3648" s="2900"/>
      <c r="F3648" s="2900"/>
      <c r="G3648" s="2900"/>
      <c r="H3648" s="2900"/>
      <c r="I3648" s="2900"/>
      <c r="J3648" s="2900"/>
      <c r="K3648" s="2900"/>
      <c r="L3648" s="201"/>
      <c r="M3648" s="1482"/>
      <c r="N3648" s="1147"/>
      <c r="O3648" s="1133"/>
      <c r="P3648" s="1115"/>
      <c r="Q3648" s="48"/>
      <c r="R3648" s="48"/>
      <c r="S3648" s="48"/>
      <c r="T3648" s="48"/>
      <c r="U3648" s="48"/>
      <c r="V3648" s="48"/>
      <c r="W3648" s="48"/>
    </row>
    <row r="3649" spans="1:23" ht="15.6" hidden="1" customHeight="1" x14ac:dyDescent="0.2">
      <c r="B3649" s="2046"/>
      <c r="C3649" s="2046"/>
      <c r="D3649" s="2077"/>
      <c r="E3649" s="2046"/>
      <c r="F3649" s="2077"/>
      <c r="G3649" s="2077"/>
      <c r="H3649" s="2077"/>
      <c r="I3649" s="2043"/>
      <c r="J3649" s="2043"/>
      <c r="K3649" s="2043"/>
      <c r="M3649" s="1133"/>
      <c r="N3649" s="1147"/>
      <c r="O3649" s="1146"/>
      <c r="P3649" s="1115"/>
      <c r="Q3649" s="48"/>
      <c r="R3649" s="48"/>
      <c r="S3649" s="48"/>
      <c r="T3649" s="48"/>
      <c r="U3649" s="48"/>
      <c r="V3649" s="48"/>
      <c r="W3649" s="48"/>
    </row>
    <row r="3650" spans="1:23" ht="30.95" hidden="1" customHeight="1" x14ac:dyDescent="0.2">
      <c r="A3650" s="201"/>
      <c r="B3650" s="2879" t="s">
        <v>2578</v>
      </c>
      <c r="C3650" s="2879"/>
      <c r="D3650" s="2879"/>
      <c r="E3650" s="2879"/>
      <c r="F3650" s="2879"/>
      <c r="G3650" s="2879"/>
      <c r="H3650" s="2879"/>
      <c r="I3650" s="2879"/>
      <c r="J3650" s="2879"/>
      <c r="K3650" s="2879"/>
      <c r="L3650" s="201"/>
      <c r="M3650" s="1482"/>
      <c r="N3650" s="1147"/>
      <c r="O3650" s="1133"/>
      <c r="P3650" s="1115"/>
      <c r="Q3650" s="48"/>
      <c r="R3650" s="48"/>
      <c r="S3650" s="48"/>
      <c r="T3650" s="48"/>
      <c r="U3650" s="48"/>
      <c r="V3650" s="48"/>
      <c r="W3650" s="48"/>
    </row>
    <row r="3651" spans="1:23" ht="15.6" hidden="1" customHeight="1" x14ac:dyDescent="0.2">
      <c r="B3651" s="2046"/>
      <c r="C3651" s="2046"/>
      <c r="D3651" s="2077"/>
      <c r="E3651" s="2046"/>
      <c r="F3651" s="2077"/>
      <c r="G3651" s="2077"/>
      <c r="H3651" s="2077"/>
      <c r="I3651" s="2043"/>
      <c r="J3651" s="2043"/>
      <c r="K3651" s="2043"/>
      <c r="L3651" s="59"/>
      <c r="M3651" s="1133"/>
      <c r="N3651" s="1147"/>
      <c r="O3651" s="1146"/>
      <c r="P3651" s="1115"/>
      <c r="Q3651" s="48"/>
      <c r="R3651" s="48"/>
      <c r="S3651" s="48"/>
      <c r="T3651" s="48"/>
      <c r="U3651" s="48"/>
      <c r="V3651" s="48"/>
      <c r="W3651" s="48"/>
    </row>
    <row r="3652" spans="1:23" ht="15.6" customHeight="1" x14ac:dyDescent="0.25">
      <c r="B3652" s="50" t="s">
        <v>1021</v>
      </c>
      <c r="I3652" s="58"/>
      <c r="J3652" s="58"/>
      <c r="K3652" s="58"/>
      <c r="M3652" s="1133"/>
      <c r="N3652" s="1147"/>
      <c r="O3652" s="1146"/>
      <c r="P3652" s="1115"/>
      <c r="Q3652" s="48"/>
      <c r="R3652" s="48"/>
      <c r="S3652" s="48"/>
      <c r="T3652" s="48"/>
      <c r="U3652" s="48"/>
      <c r="V3652" s="48"/>
      <c r="W3652" s="48"/>
    </row>
    <row r="3653" spans="1:23" ht="15.6" customHeight="1" x14ac:dyDescent="0.2">
      <c r="E3653" s="2898"/>
      <c r="G3653" s="2898"/>
      <c r="I3653" s="2898" t="s">
        <v>7508</v>
      </c>
      <c r="J3653" s="58"/>
      <c r="K3653" s="2891" t="s">
        <v>2574</v>
      </c>
      <c r="M3653" s="1133"/>
      <c r="N3653" s="1147"/>
      <c r="O3653" s="1146"/>
      <c r="P3653" s="1115"/>
      <c r="Q3653" s="48"/>
      <c r="R3653" s="48"/>
      <c r="S3653" s="48"/>
      <c r="T3653" s="48"/>
      <c r="U3653" s="48"/>
      <c r="V3653" s="48"/>
      <c r="W3653" s="48"/>
    </row>
    <row r="3654" spans="1:23" ht="15.6" customHeight="1" x14ac:dyDescent="0.2">
      <c r="E3654" s="2898"/>
      <c r="G3654" s="2898"/>
      <c r="I3654" s="2898"/>
      <c r="J3654" s="58"/>
      <c r="K3654" s="2891"/>
      <c r="M3654" s="1133"/>
      <c r="N3654" s="1147"/>
      <c r="O3654" s="1146"/>
      <c r="P3654" s="1115"/>
      <c r="Q3654" s="48"/>
      <c r="R3654" s="48"/>
      <c r="S3654" s="48"/>
      <c r="T3654" s="48"/>
      <c r="U3654" s="48"/>
      <c r="V3654" s="48"/>
      <c r="W3654" s="48"/>
    </row>
    <row r="3655" spans="1:23" ht="15.6" customHeight="1" x14ac:dyDescent="0.25">
      <c r="B3655" s="50"/>
      <c r="I3655" s="58"/>
      <c r="J3655" s="58"/>
      <c r="K3655" s="320"/>
      <c r="M3655" s="1133"/>
      <c r="N3655" s="1147"/>
      <c r="O3655" s="1146"/>
      <c r="P3655" s="1115"/>
      <c r="Q3655" s="48"/>
      <c r="R3655" s="48"/>
      <c r="S3655" s="48"/>
      <c r="T3655" s="48"/>
      <c r="U3655" s="48"/>
      <c r="V3655" s="48"/>
      <c r="W3655" s="48"/>
    </row>
    <row r="3656" spans="1:23" ht="15.6" hidden="1" customHeight="1" x14ac:dyDescent="0.25">
      <c r="B3656" s="50" t="str">
        <f>"Balances published as at "&amp;Parameters!C15</f>
        <v>Balances published as at 30 June 2010</v>
      </c>
      <c r="I3656" s="224">
        <v>0</v>
      </c>
      <c r="J3656" s="58"/>
      <c r="K3656" s="320"/>
      <c r="M3656" s="1133"/>
      <c r="N3656" s="1147"/>
      <c r="O3656" s="1146"/>
      <c r="P3656" s="1115"/>
      <c r="Q3656" s="48"/>
      <c r="R3656" s="48"/>
      <c r="S3656" s="48"/>
      <c r="T3656" s="48"/>
      <c r="U3656" s="48"/>
      <c r="V3656" s="48"/>
      <c r="W3656" s="48"/>
    </row>
    <row r="3657" spans="1:23" ht="15.6" hidden="1" customHeight="1" x14ac:dyDescent="0.2">
      <c r="B3657" s="48" t="s">
        <v>2575</v>
      </c>
      <c r="I3657" s="58">
        <v>0</v>
      </c>
      <c r="J3657" s="58"/>
      <c r="K3657" s="320"/>
      <c r="M3657" s="1147">
        <f>SUM(D3657:L3657)</f>
        <v>0</v>
      </c>
      <c r="N3657" s="1147"/>
      <c r="O3657" s="1146"/>
      <c r="P3657" s="1115"/>
      <c r="Q3657" s="48"/>
      <c r="R3657" s="48"/>
      <c r="S3657" s="48"/>
      <c r="T3657" s="48"/>
      <c r="U3657" s="48"/>
      <c r="V3657" s="48"/>
      <c r="W3657" s="48"/>
    </row>
    <row r="3658" spans="1:23" ht="15.6" hidden="1" customHeight="1" x14ac:dyDescent="0.2">
      <c r="B3658" s="48" t="s">
        <v>2724</v>
      </c>
      <c r="I3658" s="58">
        <v>0</v>
      </c>
      <c r="J3658" s="58"/>
      <c r="K3658" s="320"/>
      <c r="M3658" s="1147">
        <f>SUM(D3658:L3658)</f>
        <v>0</v>
      </c>
      <c r="N3658" s="1147"/>
      <c r="O3658" s="1146"/>
      <c r="P3658" s="1115"/>
      <c r="Q3658" s="48"/>
      <c r="R3658" s="48"/>
      <c r="S3658" s="48"/>
      <c r="T3658" s="48"/>
      <c r="U3658" s="48"/>
      <c r="V3658" s="48"/>
      <c r="W3658" s="48"/>
    </row>
    <row r="3659" spans="1:23" ht="15.6" hidden="1" customHeight="1" x14ac:dyDescent="0.2">
      <c r="B3659" s="48" t="s">
        <v>2717</v>
      </c>
      <c r="I3659" s="58">
        <v>0</v>
      </c>
      <c r="J3659" s="58"/>
      <c r="K3659" s="320"/>
      <c r="M3659" s="1147">
        <f>SUM(D3659:L3659)</f>
        <v>0</v>
      </c>
      <c r="N3659" s="1147"/>
      <c r="O3659" s="1146"/>
      <c r="P3659" s="1115"/>
      <c r="Q3659" s="48"/>
      <c r="R3659" s="48"/>
      <c r="S3659" s="48"/>
      <c r="T3659" s="48"/>
      <c r="U3659" s="48"/>
      <c r="V3659" s="48"/>
      <c r="W3659" s="48"/>
    </row>
    <row r="3660" spans="1:23" ht="15.6" hidden="1" customHeight="1" x14ac:dyDescent="0.2">
      <c r="B3660" s="48" t="s">
        <v>2582</v>
      </c>
      <c r="I3660" s="58">
        <v>0</v>
      </c>
      <c r="J3660" s="58"/>
      <c r="K3660" s="320"/>
      <c r="M3660" s="1147">
        <f>SUM(D3660:L3660)</f>
        <v>0</v>
      </c>
      <c r="N3660" s="1147"/>
      <c r="O3660" s="1146"/>
      <c r="P3660" s="1115"/>
      <c r="Q3660" s="48"/>
      <c r="R3660" s="48"/>
      <c r="S3660" s="48"/>
      <c r="T3660" s="48"/>
      <c r="U3660" s="48"/>
      <c r="V3660" s="48"/>
      <c r="W3660" s="48"/>
    </row>
    <row r="3661" spans="1:23" ht="15.6" hidden="1" customHeight="1" x14ac:dyDescent="0.25">
      <c r="B3661" s="50"/>
      <c r="I3661" s="212"/>
      <c r="J3661" s="58"/>
      <c r="K3661" s="320"/>
      <c r="M3661" s="1133"/>
      <c r="N3661" s="1147"/>
      <c r="O3661" s="1146"/>
      <c r="P3661" s="1115"/>
      <c r="Q3661" s="48"/>
      <c r="R3661" s="48"/>
      <c r="S3661" s="48"/>
      <c r="T3661" s="48"/>
      <c r="U3661" s="48"/>
      <c r="V3661" s="48"/>
      <c r="W3661" s="48"/>
    </row>
    <row r="3662" spans="1:23" ht="15.6" hidden="1" customHeight="1" x14ac:dyDescent="0.25">
      <c r="B3662" s="50" t="str">
        <f>"Restated Balances as at "&amp;Parameters!C15</f>
        <v>Restated Balances as at 30 June 2010</v>
      </c>
      <c r="I3662" s="667">
        <f>SUM(I3656:I3661)</f>
        <v>0</v>
      </c>
      <c r="J3662" s="58"/>
      <c r="K3662" s="320"/>
      <c r="M3662" s="1133"/>
      <c r="N3662" s="1147"/>
      <c r="O3662" s="1146"/>
      <c r="P3662" s="1115"/>
      <c r="Q3662" s="48"/>
      <c r="R3662" s="48"/>
      <c r="S3662" s="48"/>
      <c r="T3662" s="48"/>
      <c r="U3662" s="48"/>
      <c r="V3662" s="48"/>
      <c r="W3662" s="48"/>
    </row>
    <row r="3663" spans="1:23" ht="15.6" hidden="1" customHeight="1" x14ac:dyDescent="0.25">
      <c r="B3663" s="50"/>
      <c r="I3663" s="58"/>
      <c r="J3663" s="58"/>
      <c r="K3663" s="320"/>
      <c r="M3663" s="1133"/>
      <c r="N3663" s="1147"/>
      <c r="O3663" s="1146"/>
      <c r="P3663" s="1115"/>
      <c r="Q3663" s="48"/>
      <c r="R3663" s="48"/>
      <c r="S3663" s="48"/>
      <c r="T3663" s="48"/>
      <c r="U3663" s="48"/>
      <c r="V3663" s="48"/>
      <c r="W3663" s="48"/>
    </row>
    <row r="3664" spans="1:23" ht="15.6" customHeight="1" x14ac:dyDescent="0.25">
      <c r="B3664" s="50" t="str">
        <f>"Amount per AFS previously published for "&amp;Parameters!C27</f>
        <v>Amount per AFS previously published for 2010/11</v>
      </c>
      <c r="I3664" s="224"/>
      <c r="J3664" s="58"/>
      <c r="K3664" s="1531">
        <v>0</v>
      </c>
      <c r="M3664" s="1133"/>
      <c r="N3664" s="1147"/>
      <c r="O3664" s="1146"/>
      <c r="P3664" s="1115"/>
      <c r="Q3664" s="48"/>
      <c r="R3664" s="48"/>
      <c r="S3664" s="48"/>
      <c r="T3664" s="48"/>
      <c r="U3664" s="48"/>
      <c r="V3664" s="48"/>
      <c r="W3664" s="48"/>
    </row>
    <row r="3665" spans="2:23" ht="15.6" customHeight="1" x14ac:dyDescent="0.2">
      <c r="B3665" s="48" t="str">
        <f>"Transactions incurred for the Year "&amp;Parameters!C27</f>
        <v>Transactions incurred for the Year 2010/11</v>
      </c>
      <c r="I3665" s="58">
        <f>-(I3671+I3668)</f>
        <v>-3023637</v>
      </c>
      <c r="J3665" s="58"/>
      <c r="K3665" s="320"/>
      <c r="M3665" s="1133"/>
      <c r="N3665" s="1147"/>
      <c r="O3665" s="1146"/>
      <c r="P3665" s="1115"/>
      <c r="Q3665" s="48"/>
      <c r="R3665" s="48"/>
      <c r="S3665" s="48"/>
      <c r="T3665" s="48"/>
      <c r="U3665" s="48"/>
      <c r="V3665" s="48"/>
      <c r="W3665" s="48"/>
    </row>
    <row r="3666" spans="2:23" ht="15.6" hidden="1" customHeight="1" x14ac:dyDescent="0.2">
      <c r="B3666" s="48" t="s">
        <v>2585</v>
      </c>
      <c r="I3666" s="58">
        <v>0</v>
      </c>
      <c r="J3666" s="58"/>
      <c r="K3666" s="320">
        <v>0</v>
      </c>
      <c r="M3666" s="1147">
        <f>SUM(D3666:L3666)</f>
        <v>0</v>
      </c>
      <c r="N3666" s="1147"/>
      <c r="O3666" s="1146"/>
      <c r="P3666" s="1115"/>
      <c r="Q3666" s="48"/>
      <c r="R3666" s="48"/>
      <c r="S3666" s="48"/>
      <c r="T3666" s="48"/>
      <c r="U3666" s="48"/>
      <c r="V3666" s="48"/>
      <c r="W3666" s="48"/>
    </row>
    <row r="3667" spans="2:23" ht="15.6" hidden="1" customHeight="1" x14ac:dyDescent="0.2">
      <c r="B3667" s="48" t="s">
        <v>2586</v>
      </c>
      <c r="I3667" s="58">
        <v>0</v>
      </c>
      <c r="J3667" s="58"/>
      <c r="K3667" s="320">
        <v>0</v>
      </c>
      <c r="M3667" s="1147">
        <f>SUM(D3667:L3667)</f>
        <v>0</v>
      </c>
      <c r="N3667" s="1147"/>
      <c r="O3667" s="1146"/>
      <c r="P3667" s="1115"/>
      <c r="Q3667" s="48"/>
      <c r="R3667" s="48"/>
      <c r="S3667" s="48"/>
      <c r="T3667" s="48"/>
      <c r="U3667" s="48"/>
      <c r="V3667" s="48"/>
      <c r="W3667" s="48"/>
    </row>
    <row r="3668" spans="2:23" ht="15.6" customHeight="1" x14ac:dyDescent="0.2">
      <c r="B3668" s="48" t="s">
        <v>7509</v>
      </c>
      <c r="I3668" s="58">
        <v>875692.23</v>
      </c>
      <c r="J3668" s="58"/>
      <c r="K3668" s="320">
        <v>0</v>
      </c>
      <c r="M3668" s="1147">
        <f>SUM(D3668:L3668)</f>
        <v>875692.23</v>
      </c>
      <c r="N3668" s="1147"/>
      <c r="O3668" s="1146"/>
      <c r="P3668" s="1115"/>
      <c r="Q3668" s="48"/>
      <c r="R3668" s="48"/>
      <c r="S3668" s="48"/>
      <c r="T3668" s="48"/>
      <c r="U3668" s="48"/>
      <c r="V3668" s="48"/>
      <c r="W3668" s="48"/>
    </row>
    <row r="3669" spans="2:23" ht="15.6" hidden="1" customHeight="1" x14ac:dyDescent="0.2">
      <c r="B3669" s="48" t="s">
        <v>2228</v>
      </c>
      <c r="I3669" s="58">
        <f>-SUM(I3681,K3681)</f>
        <v>0</v>
      </c>
      <c r="J3669" s="58"/>
      <c r="K3669" s="320">
        <v>0</v>
      </c>
      <c r="M3669" s="1147">
        <f>SUM(D3669:L3669)</f>
        <v>0</v>
      </c>
      <c r="N3669" s="1147"/>
      <c r="O3669" s="1146"/>
      <c r="P3669" s="1115"/>
      <c r="Q3669" s="48"/>
      <c r="R3669" s="48"/>
      <c r="S3669" s="48"/>
      <c r="T3669" s="48"/>
      <c r="U3669" s="48"/>
      <c r="V3669" s="48"/>
      <c r="W3669" s="48"/>
    </row>
    <row r="3670" spans="2:23" ht="15.6" customHeight="1" x14ac:dyDescent="0.25">
      <c r="B3670" s="50"/>
      <c r="I3670" s="58"/>
      <c r="J3670" s="58"/>
      <c r="K3670" s="320"/>
      <c r="M3670" s="1133"/>
      <c r="N3670" s="1147"/>
      <c r="O3670" s="1146"/>
      <c r="P3670" s="1115"/>
      <c r="Q3670" s="48"/>
      <c r="R3670" s="48"/>
      <c r="S3670" s="48"/>
      <c r="T3670" s="48"/>
      <c r="U3670" s="48"/>
      <c r="V3670" s="48"/>
      <c r="W3670" s="48"/>
    </row>
    <row r="3671" spans="2:23" ht="15.6" customHeight="1" thickBot="1" x14ac:dyDescent="0.3">
      <c r="B3671" s="50" t="str">
        <f>"Restated Amount currently disclosed for "&amp;Parameters!C27</f>
        <v>Restated Amount currently disclosed for 2010/11</v>
      </c>
      <c r="I3671" s="204">
        <v>2147944.77</v>
      </c>
      <c r="J3671" s="58"/>
      <c r="K3671" s="1531">
        <f>SUM(K3664:K3670)</f>
        <v>0</v>
      </c>
      <c r="M3671" s="1133"/>
      <c r="N3671" s="1147"/>
      <c r="O3671" s="1146"/>
      <c r="P3671" s="1115"/>
      <c r="Q3671" s="48"/>
      <c r="R3671" s="48"/>
      <c r="S3671" s="48"/>
      <c r="T3671" s="48"/>
      <c r="U3671" s="48"/>
      <c r="V3671" s="48"/>
      <c r="W3671" s="48"/>
    </row>
    <row r="3672" spans="2:23" ht="15.6" hidden="1" customHeight="1" thickTop="1" x14ac:dyDescent="0.25">
      <c r="B3672" s="2081"/>
      <c r="C3672" s="2046"/>
      <c r="D3672" s="2077"/>
      <c r="E3672" s="2046"/>
      <c r="F3672" s="2077"/>
      <c r="G3672" s="2077"/>
      <c r="H3672" s="2077"/>
      <c r="I3672" s="2178">
        <v>0</v>
      </c>
      <c r="J3672" s="2043"/>
      <c r="K3672" s="2178">
        <v>0</v>
      </c>
      <c r="M3672" s="1133"/>
      <c r="N3672" s="1147"/>
      <c r="O3672" s="1146"/>
      <c r="P3672" s="1115"/>
      <c r="Q3672" s="48"/>
      <c r="R3672" s="48"/>
      <c r="S3672" s="48"/>
      <c r="T3672" s="48"/>
      <c r="U3672" s="48"/>
      <c r="V3672" s="48"/>
      <c r="W3672" s="48"/>
    </row>
    <row r="3673" spans="2:23" ht="15.6" hidden="1" customHeight="1" x14ac:dyDescent="0.2">
      <c r="B3673" s="2046"/>
      <c r="C3673" s="2046"/>
      <c r="D3673" s="2077"/>
      <c r="E3673" s="2046"/>
      <c r="F3673" s="2077"/>
      <c r="G3673" s="2901" t="s">
        <v>416</v>
      </c>
      <c r="H3673" s="2077"/>
      <c r="I3673" s="2901" t="s">
        <v>418</v>
      </c>
      <c r="J3673" s="2043"/>
      <c r="K3673" s="2901" t="s">
        <v>421</v>
      </c>
      <c r="M3673" s="1133"/>
      <c r="N3673" s="1147"/>
      <c r="O3673" s="1146"/>
      <c r="P3673" s="1115"/>
    </row>
    <row r="3674" spans="2:23" ht="15.6" hidden="1" customHeight="1" x14ac:dyDescent="0.2">
      <c r="B3674" s="2046"/>
      <c r="C3674" s="2046"/>
      <c r="D3674" s="2077"/>
      <c r="E3674" s="2046"/>
      <c r="F3674" s="2077"/>
      <c r="G3674" s="2901"/>
      <c r="H3674" s="2077"/>
      <c r="I3674" s="2901"/>
      <c r="J3674" s="2043"/>
      <c r="K3674" s="2901"/>
      <c r="M3674" s="1133"/>
      <c r="N3674" s="1147"/>
      <c r="O3674" s="1146"/>
      <c r="P3674" s="1115"/>
    </row>
    <row r="3675" spans="2:23" ht="15.6" hidden="1" customHeight="1" x14ac:dyDescent="0.2">
      <c r="B3675" s="2046"/>
      <c r="C3675" s="2046"/>
      <c r="D3675" s="2077"/>
      <c r="E3675" s="2046"/>
      <c r="F3675" s="2077"/>
      <c r="G3675" s="2043"/>
      <c r="H3675" s="2077"/>
      <c r="I3675" s="2043"/>
      <c r="J3675" s="2043"/>
      <c r="K3675" s="2043"/>
      <c r="M3675" s="1133"/>
      <c r="N3675" s="1147"/>
      <c r="O3675" s="1146"/>
      <c r="P3675" s="1115"/>
    </row>
    <row r="3676" spans="2:23" ht="15.6" hidden="1" customHeight="1" x14ac:dyDescent="0.25">
      <c r="B3676" s="2081" t="str">
        <f>"Amount per AFS previously published for "&amp;Parameters!C27</f>
        <v>Amount per AFS previously published for 2010/11</v>
      </c>
      <c r="C3676" s="2046"/>
      <c r="D3676" s="2077"/>
      <c r="E3676" s="2046"/>
      <c r="F3676" s="2077"/>
      <c r="G3676" s="2049">
        <v>0</v>
      </c>
      <c r="H3676" s="2077"/>
      <c r="I3676" s="2049">
        <v>0</v>
      </c>
      <c r="J3676" s="2043"/>
      <c r="K3676" s="2049">
        <v>0</v>
      </c>
      <c r="M3676" s="1133"/>
      <c r="N3676" s="1147"/>
      <c r="O3676" s="1146"/>
      <c r="P3676" s="1115"/>
    </row>
    <row r="3677" spans="2:23" ht="15.6" hidden="1" customHeight="1" x14ac:dyDescent="0.2">
      <c r="B3677" s="2082" t="s">
        <v>2585</v>
      </c>
      <c r="C3677" s="2082"/>
      <c r="D3677" s="2083"/>
      <c r="E3677" s="2082"/>
      <c r="F3677" s="2077"/>
      <c r="G3677" s="2043">
        <v>0</v>
      </c>
      <c r="H3677" s="2077"/>
      <c r="I3677" s="2043">
        <v>0</v>
      </c>
      <c r="J3677" s="2043"/>
      <c r="K3677" s="2043">
        <v>0</v>
      </c>
      <c r="M3677" s="1147">
        <f>SUM(D3677:L3677)</f>
        <v>0</v>
      </c>
      <c r="N3677" s="1147"/>
      <c r="O3677" s="1146"/>
      <c r="P3677" s="1115"/>
    </row>
    <row r="3678" spans="2:23" ht="15.6" hidden="1" customHeight="1" x14ac:dyDescent="0.2">
      <c r="B3678" s="2082" t="s">
        <v>2586</v>
      </c>
      <c r="C3678" s="2082"/>
      <c r="D3678" s="2083"/>
      <c r="E3678" s="2082"/>
      <c r="F3678" s="2077"/>
      <c r="G3678" s="2043">
        <v>0</v>
      </c>
      <c r="H3678" s="2077"/>
      <c r="I3678" s="2043">
        <v>0</v>
      </c>
      <c r="J3678" s="2043"/>
      <c r="K3678" s="2043">
        <v>0</v>
      </c>
      <c r="M3678" s="1147">
        <f>SUM(D3678:L3678)</f>
        <v>0</v>
      </c>
      <c r="N3678" s="1147"/>
      <c r="O3678" s="1146"/>
      <c r="P3678" s="1115"/>
    </row>
    <row r="3679" spans="2:23" ht="15.6" hidden="1" customHeight="1" x14ac:dyDescent="0.2">
      <c r="B3679" s="2082" t="s">
        <v>2725</v>
      </c>
      <c r="C3679" s="2082"/>
      <c r="D3679" s="2083"/>
      <c r="E3679" s="2082"/>
      <c r="F3679" s="2077"/>
      <c r="G3679" s="2043">
        <v>0</v>
      </c>
      <c r="H3679" s="2077"/>
      <c r="I3679" s="2043">
        <v>0</v>
      </c>
      <c r="J3679" s="2043"/>
      <c r="K3679" s="2043">
        <v>0</v>
      </c>
      <c r="M3679" s="1147">
        <f>SUM(D3679:L3679)</f>
        <v>0</v>
      </c>
      <c r="N3679" s="1147"/>
      <c r="O3679" s="1146"/>
      <c r="P3679" s="1115"/>
    </row>
    <row r="3680" spans="2:23" ht="15.6" hidden="1" customHeight="1" x14ac:dyDescent="0.2">
      <c r="B3680" s="2082" t="s">
        <v>2718</v>
      </c>
      <c r="C3680" s="2082"/>
      <c r="D3680" s="2083"/>
      <c r="E3680" s="2082"/>
      <c r="F3680" s="2077"/>
      <c r="G3680" s="2043">
        <v>0</v>
      </c>
      <c r="H3680" s="2077"/>
      <c r="I3680" s="2043">
        <v>0</v>
      </c>
      <c r="J3680" s="2043"/>
      <c r="K3680" s="2043">
        <v>0</v>
      </c>
      <c r="M3680" s="1147">
        <f>SUM(D3680:L3680)</f>
        <v>0</v>
      </c>
      <c r="N3680" s="1147"/>
      <c r="O3680" s="1146"/>
      <c r="P3680" s="1115"/>
    </row>
    <row r="3681" spans="1:23" ht="15.6" hidden="1" customHeight="1" x14ac:dyDescent="0.2">
      <c r="B3681" s="2082" t="s">
        <v>2228</v>
      </c>
      <c r="C3681" s="2082"/>
      <c r="D3681" s="2083"/>
      <c r="E3681" s="2082"/>
      <c r="F3681" s="2077"/>
      <c r="G3681" s="2043">
        <v>0</v>
      </c>
      <c r="H3681" s="2077"/>
      <c r="I3681" s="2043">
        <v>0</v>
      </c>
      <c r="J3681" s="2043"/>
      <c r="K3681" s="2043">
        <v>0</v>
      </c>
      <c r="M3681" s="1147">
        <f>SUM(D3681:L3681)</f>
        <v>0</v>
      </c>
      <c r="N3681" s="1147"/>
      <c r="O3681" s="1146"/>
      <c r="P3681" s="1115"/>
    </row>
    <row r="3682" spans="1:23" ht="15.6" hidden="1" customHeight="1" x14ac:dyDescent="0.2">
      <c r="B3682" s="2046"/>
      <c r="C3682" s="2046"/>
      <c r="D3682" s="2077"/>
      <c r="E3682" s="2046"/>
      <c r="F3682" s="2077"/>
      <c r="G3682" s="2043"/>
      <c r="H3682" s="2077"/>
      <c r="I3682" s="2043"/>
      <c r="J3682" s="2043"/>
      <c r="K3682" s="2043"/>
      <c r="M3682" s="1133"/>
      <c r="N3682" s="1147"/>
      <c r="O3682" s="1146"/>
      <c r="P3682" s="1115"/>
    </row>
    <row r="3683" spans="1:23" ht="15.6" hidden="1" customHeight="1" thickBot="1" x14ac:dyDescent="0.3">
      <c r="B3683" s="2081" t="str">
        <f>"Restated Amount currently disclosed for "&amp;Parameters!C27</f>
        <v>Restated Amount currently disclosed for 2010/11</v>
      </c>
      <c r="C3683" s="2046"/>
      <c r="D3683" s="2077"/>
      <c r="E3683" s="2046"/>
      <c r="F3683" s="2077"/>
      <c r="G3683" s="2050">
        <f>SUM(G3676:G3682)</f>
        <v>0</v>
      </c>
      <c r="H3683" s="2077"/>
      <c r="I3683" s="2050">
        <f>SUM(I3676:I3682)</f>
        <v>0</v>
      </c>
      <c r="J3683" s="2060"/>
      <c r="K3683" s="2050">
        <f>SUM(K3676:K3682)</f>
        <v>0</v>
      </c>
      <c r="M3683" s="622">
        <f>SUM(M3656:M3682)</f>
        <v>875692.23</v>
      </c>
      <c r="N3683" s="1147"/>
      <c r="O3683" s="1146"/>
      <c r="P3683" s="1115"/>
    </row>
    <row r="3684" spans="1:23" ht="15.6" hidden="1" customHeight="1" thickTop="1" x14ac:dyDescent="0.25">
      <c r="G3684" s="271">
        <v>0</v>
      </c>
      <c r="I3684" s="271">
        <v>0</v>
      </c>
      <c r="J3684" s="200"/>
      <c r="K3684" s="271">
        <v>0</v>
      </c>
      <c r="M3684" s="1133"/>
      <c r="N3684" s="1147"/>
      <c r="O3684" s="1146"/>
      <c r="P3684" s="1115"/>
    </row>
    <row r="3685" spans="1:23" ht="15.6" hidden="1" customHeight="1" x14ac:dyDescent="0.2">
      <c r="B3685" s="2180" t="s">
        <v>6880</v>
      </c>
      <c r="C3685" s="2046"/>
      <c r="D3685" s="2077"/>
      <c r="E3685" s="2046"/>
      <c r="F3685" s="2077"/>
      <c r="G3685" s="2077"/>
      <c r="H3685" s="2077"/>
      <c r="I3685" s="2169"/>
      <c r="J3685" s="2169"/>
      <c r="K3685" s="2169"/>
      <c r="M3685" s="1133"/>
      <c r="N3685" s="1147"/>
      <c r="O3685" s="1146"/>
      <c r="P3685" s="1115"/>
      <c r="W3685" s="1114" t="s">
        <v>3857</v>
      </c>
    </row>
    <row r="3686" spans="1:23" ht="15.6" hidden="1" customHeight="1" x14ac:dyDescent="0.2">
      <c r="B3686" s="2046"/>
      <c r="C3686" s="2046"/>
      <c r="D3686" s="2077"/>
      <c r="E3686" s="2046"/>
      <c r="F3686" s="2077"/>
      <c r="G3686" s="2077"/>
      <c r="H3686" s="2077"/>
      <c r="I3686" s="2043"/>
      <c r="J3686" s="2043"/>
      <c r="K3686" s="2043"/>
      <c r="M3686" s="1133"/>
      <c r="N3686" s="1147"/>
      <c r="O3686" s="1146"/>
      <c r="P3686" s="1115"/>
    </row>
    <row r="3687" spans="1:23" ht="30.95" hidden="1" customHeight="1" x14ac:dyDescent="0.2">
      <c r="A3687" s="201"/>
      <c r="B3687" s="2879" t="s">
        <v>2542</v>
      </c>
      <c r="C3687" s="2879"/>
      <c r="D3687" s="2879"/>
      <c r="E3687" s="2879"/>
      <c r="F3687" s="2879"/>
      <c r="G3687" s="2879"/>
      <c r="H3687" s="2879"/>
      <c r="I3687" s="2879"/>
      <c r="J3687" s="2879"/>
      <c r="K3687" s="2879"/>
      <c r="L3687" s="201"/>
      <c r="M3687" s="1482"/>
      <c r="N3687" s="1147"/>
      <c r="O3687" s="1133"/>
      <c r="P3687" s="1115"/>
    </row>
    <row r="3688" spans="1:23" ht="15.6" hidden="1" customHeight="1" x14ac:dyDescent="0.2">
      <c r="B3688" s="2046"/>
      <c r="C3688" s="2046"/>
      <c r="D3688" s="2077"/>
      <c r="E3688" s="2046"/>
      <c r="F3688" s="2077"/>
      <c r="G3688" s="2077"/>
      <c r="H3688" s="2077"/>
      <c r="I3688" s="2043"/>
      <c r="J3688" s="2043"/>
      <c r="K3688" s="2043"/>
      <c r="L3688" s="59"/>
      <c r="M3688" s="1133"/>
      <c r="N3688" s="1147"/>
      <c r="O3688" s="1146"/>
      <c r="P3688" s="1115"/>
    </row>
    <row r="3689" spans="1:23" ht="15.6" hidden="1" customHeight="1" x14ac:dyDescent="0.25">
      <c r="B3689" s="2081" t="s">
        <v>1021</v>
      </c>
      <c r="C3689" s="2046"/>
      <c r="D3689" s="2077"/>
      <c r="E3689" s="2046"/>
      <c r="F3689" s="2077"/>
      <c r="G3689" s="2077"/>
      <c r="H3689" s="2077"/>
      <c r="I3689" s="2043"/>
      <c r="J3689" s="2043"/>
      <c r="K3689" s="2043"/>
      <c r="M3689" s="1133"/>
      <c r="N3689" s="1147"/>
      <c r="O3689" s="1146"/>
      <c r="P3689" s="1115"/>
    </row>
    <row r="3690" spans="1:23" ht="15.6" hidden="1" customHeight="1" x14ac:dyDescent="0.25">
      <c r="B3690" s="2046"/>
      <c r="C3690" s="2046"/>
      <c r="D3690" s="2077"/>
      <c r="E3690" s="2046"/>
      <c r="F3690" s="2077"/>
      <c r="G3690" s="2077"/>
      <c r="H3690" s="2077"/>
      <c r="I3690" s="2174" t="s">
        <v>737</v>
      </c>
      <c r="J3690" s="2043"/>
      <c r="K3690" s="2174" t="s">
        <v>2543</v>
      </c>
      <c r="M3690" s="1133"/>
      <c r="N3690" s="1147"/>
      <c r="O3690" s="1146"/>
      <c r="P3690" s="1115"/>
    </row>
    <row r="3691" spans="1:23" ht="15.6" hidden="1" customHeight="1" x14ac:dyDescent="0.25">
      <c r="B3691" s="2046"/>
      <c r="C3691" s="2046"/>
      <c r="D3691" s="2077"/>
      <c r="E3691" s="2046"/>
      <c r="F3691" s="2077"/>
      <c r="G3691" s="2077"/>
      <c r="H3691" s="2077"/>
      <c r="I3691" s="2174" t="s">
        <v>704</v>
      </c>
      <c r="J3691" s="2043"/>
      <c r="K3691" s="2174" t="s">
        <v>2544</v>
      </c>
      <c r="M3691" s="1133"/>
      <c r="N3691" s="1147"/>
      <c r="O3691" s="1146"/>
      <c r="P3691" s="1115"/>
    </row>
    <row r="3692" spans="1:23" ht="15.6" hidden="1" customHeight="1" x14ac:dyDescent="0.2">
      <c r="B3692" s="2046"/>
      <c r="C3692" s="2046"/>
      <c r="D3692" s="2077"/>
      <c r="E3692" s="2046"/>
      <c r="F3692" s="2077"/>
      <c r="G3692" s="2077"/>
      <c r="H3692" s="2077"/>
      <c r="I3692" s="2043"/>
      <c r="J3692" s="2043"/>
      <c r="K3692" s="2043"/>
      <c r="M3692" s="1133"/>
      <c r="N3692" s="1147"/>
      <c r="O3692" s="1146"/>
      <c r="P3692" s="1115"/>
    </row>
    <row r="3693" spans="1:23" ht="15.6" hidden="1" customHeight="1" x14ac:dyDescent="0.25">
      <c r="B3693" s="2081" t="str">
        <f>"Amount per AFS previously published for "&amp;Parameters!C27</f>
        <v>Amount per AFS previously published for 2010/11</v>
      </c>
      <c r="C3693" s="2046"/>
      <c r="D3693" s="2077"/>
      <c r="E3693" s="2046"/>
      <c r="F3693" s="2077"/>
      <c r="G3693" s="2077"/>
      <c r="H3693" s="2077"/>
      <c r="I3693" s="2049">
        <v>0</v>
      </c>
      <c r="J3693" s="2043"/>
      <c r="K3693" s="2049">
        <v>0</v>
      </c>
      <c r="M3693" s="1133"/>
      <c r="N3693" s="1147"/>
      <c r="O3693" s="1146"/>
      <c r="P3693" s="1115"/>
    </row>
    <row r="3694" spans="1:23" ht="15.6" hidden="1" customHeight="1" x14ac:dyDescent="0.2">
      <c r="B3694" s="2082" t="s">
        <v>2545</v>
      </c>
      <c r="C3694" s="2082"/>
      <c r="D3694" s="2077"/>
      <c r="E3694" s="2046"/>
      <c r="F3694" s="2077"/>
      <c r="G3694" s="2077"/>
      <c r="H3694" s="2077"/>
      <c r="I3694" s="2043">
        <v>0</v>
      </c>
      <c r="J3694" s="2043"/>
      <c r="K3694" s="2043">
        <f>I3694</f>
        <v>0</v>
      </c>
      <c r="M3694" s="1147">
        <f>I3694-K3694</f>
        <v>0</v>
      </c>
      <c r="N3694" s="1147"/>
      <c r="O3694" s="1146"/>
      <c r="P3694" s="1115"/>
    </row>
    <row r="3695" spans="1:23" ht="15.6" hidden="1" customHeight="1" x14ac:dyDescent="0.2">
      <c r="B3695" s="2082" t="s">
        <v>2546</v>
      </c>
      <c r="C3695" s="2082"/>
      <c r="D3695" s="2077"/>
      <c r="E3695" s="2046"/>
      <c r="F3695" s="2077"/>
      <c r="G3695" s="2077"/>
      <c r="H3695" s="2077"/>
      <c r="I3695" s="2043">
        <v>0</v>
      </c>
      <c r="J3695" s="2043"/>
      <c r="K3695" s="2043">
        <f>I3695</f>
        <v>0</v>
      </c>
      <c r="M3695" s="1147">
        <f>I3695-K3695</f>
        <v>0</v>
      </c>
      <c r="N3695" s="1147"/>
      <c r="O3695" s="1146"/>
      <c r="P3695" s="1115"/>
    </row>
    <row r="3696" spans="1:23" ht="15.6" hidden="1" customHeight="1" x14ac:dyDescent="0.2">
      <c r="B3696" s="2046"/>
      <c r="C3696" s="2046"/>
      <c r="D3696" s="2077"/>
      <c r="E3696" s="2046"/>
      <c r="F3696" s="2077"/>
      <c r="G3696" s="2077"/>
      <c r="H3696" s="2077"/>
      <c r="I3696" s="2043"/>
      <c r="J3696" s="2043"/>
      <c r="K3696" s="2043"/>
      <c r="M3696" s="1133"/>
      <c r="N3696" s="1147"/>
      <c r="O3696" s="1146"/>
      <c r="P3696" s="1115"/>
    </row>
    <row r="3697" spans="1:23" ht="15.6" hidden="1" customHeight="1" thickBot="1" x14ac:dyDescent="0.3">
      <c r="B3697" s="2081" t="str">
        <f>"Restated Amount currently disclosed for "&amp;Parameters!C27</f>
        <v>Restated Amount currently disclosed for 2010/11</v>
      </c>
      <c r="C3697" s="2046"/>
      <c r="D3697" s="2077"/>
      <c r="E3697" s="2046"/>
      <c r="F3697" s="2077"/>
      <c r="G3697" s="2077"/>
      <c r="H3697" s="2077"/>
      <c r="I3697" s="2050">
        <f>SUM(I3693:I3696)</f>
        <v>0</v>
      </c>
      <c r="J3697" s="2060"/>
      <c r="K3697" s="2050">
        <f>SUM(K3693:K3696)</f>
        <v>0</v>
      </c>
      <c r="M3697" s="622">
        <f>SUM(M3693:M3696)</f>
        <v>0</v>
      </c>
      <c r="N3697" s="1147"/>
      <c r="O3697" s="1146"/>
      <c r="P3697" s="1115"/>
    </row>
    <row r="3698" spans="1:23" ht="15.6" hidden="1" customHeight="1" thickTop="1" x14ac:dyDescent="0.25">
      <c r="I3698" s="271">
        <f>I3697-'Fin Perform'!K18</f>
        <v>-28275179.93</v>
      </c>
      <c r="J3698" s="200"/>
      <c r="K3698" s="271">
        <f>K3697-'Fin Perform'!K42</f>
        <v>-4155905.9800000004</v>
      </c>
      <c r="M3698" s="1133"/>
      <c r="N3698" s="1147"/>
      <c r="O3698" s="1146"/>
      <c r="P3698" s="1115"/>
    </row>
    <row r="3699" spans="1:23" ht="15.6" hidden="1" customHeight="1" x14ac:dyDescent="0.2">
      <c r="B3699" s="671" t="s">
        <v>7486</v>
      </c>
      <c r="C3699" s="672"/>
      <c r="D3699" s="672"/>
      <c r="E3699" s="672"/>
      <c r="F3699" s="672"/>
      <c r="G3699" s="672"/>
      <c r="I3699" s="270"/>
      <c r="J3699" s="270"/>
      <c r="K3699" s="270"/>
      <c r="M3699" s="1133"/>
      <c r="N3699" s="1147"/>
      <c r="O3699" s="1146"/>
      <c r="P3699" s="1115"/>
      <c r="W3699" s="1114" t="s">
        <v>3857</v>
      </c>
    </row>
    <row r="3700" spans="1:23" ht="15.6" hidden="1" customHeight="1" x14ac:dyDescent="0.2">
      <c r="I3700" s="58"/>
      <c r="J3700" s="58"/>
      <c r="K3700" s="58"/>
      <c r="M3700" s="1133"/>
      <c r="N3700" s="1147"/>
      <c r="O3700" s="1146"/>
      <c r="P3700" s="1115"/>
    </row>
    <row r="3701" spans="1:23" ht="30.95" hidden="1" customHeight="1" x14ac:dyDescent="0.2">
      <c r="A3701" s="201"/>
      <c r="B3701" s="2861" t="s">
        <v>2538</v>
      </c>
      <c r="C3701" s="2861"/>
      <c r="D3701" s="2861"/>
      <c r="E3701" s="2861"/>
      <c r="F3701" s="2861"/>
      <c r="G3701" s="2861"/>
      <c r="H3701" s="2861"/>
      <c r="I3701" s="2861"/>
      <c r="J3701" s="2861"/>
      <c r="K3701" s="2861"/>
      <c r="L3701" s="201"/>
      <c r="M3701" s="1482"/>
      <c r="N3701" s="1147"/>
      <c r="O3701" s="1133"/>
      <c r="P3701" s="1115"/>
    </row>
    <row r="3702" spans="1:23" ht="15.6" hidden="1" customHeight="1" x14ac:dyDescent="0.2">
      <c r="I3702" s="58"/>
      <c r="J3702" s="58"/>
      <c r="K3702" s="58"/>
      <c r="L3702" s="59"/>
      <c r="M3702" s="1133"/>
      <c r="N3702" s="1147"/>
      <c r="O3702" s="1146"/>
      <c r="P3702" s="1115"/>
    </row>
    <row r="3703" spans="1:23" ht="15.6" hidden="1" customHeight="1" x14ac:dyDescent="0.2">
      <c r="A3703" s="201"/>
      <c r="B3703" s="2861" t="s">
        <v>1926</v>
      </c>
      <c r="C3703" s="2861"/>
      <c r="D3703" s="2861"/>
      <c r="E3703" s="2861"/>
      <c r="F3703" s="2861"/>
      <c r="G3703" s="2861"/>
      <c r="H3703" s="2861"/>
      <c r="I3703" s="2861"/>
      <c r="J3703" s="2861"/>
      <c r="K3703" s="2861"/>
      <c r="L3703" s="201"/>
      <c r="M3703" s="1482"/>
      <c r="N3703" s="1147"/>
      <c r="O3703" s="1133"/>
      <c r="P3703" s="1115"/>
    </row>
    <row r="3704" spans="1:23" ht="15.6" hidden="1" customHeight="1" x14ac:dyDescent="0.2">
      <c r="I3704" s="58"/>
      <c r="J3704" s="58"/>
      <c r="K3704" s="58"/>
      <c r="L3704" s="59"/>
      <c r="M3704" s="1133"/>
      <c r="N3704" s="1147"/>
      <c r="O3704" s="1146"/>
      <c r="P3704" s="1115"/>
    </row>
    <row r="3705" spans="1:23" ht="15.6" hidden="1" customHeight="1" x14ac:dyDescent="0.25">
      <c r="B3705" s="2081" t="s">
        <v>1021</v>
      </c>
      <c r="C3705" s="2046"/>
      <c r="D3705" s="2077"/>
      <c r="E3705" s="2046"/>
      <c r="F3705" s="2077"/>
      <c r="G3705" s="2077"/>
      <c r="H3705" s="2077"/>
      <c r="I3705" s="2043"/>
      <c r="J3705" s="2043"/>
      <c r="K3705" s="2043"/>
      <c r="M3705" s="1133"/>
      <c r="N3705" s="1147"/>
      <c r="O3705" s="1146"/>
      <c r="P3705" s="1115"/>
      <c r="Q3705" s="48"/>
      <c r="R3705" s="48"/>
      <c r="S3705" s="48"/>
      <c r="T3705" s="48"/>
      <c r="U3705" s="48"/>
      <c r="V3705" s="48"/>
      <c r="W3705" s="48"/>
    </row>
    <row r="3706" spans="1:23" ht="15.6" hidden="1" customHeight="1" x14ac:dyDescent="0.25">
      <c r="B3706" s="2046"/>
      <c r="C3706" s="2046"/>
      <c r="D3706" s="2077"/>
      <c r="E3706" s="2046"/>
      <c r="F3706" s="2077"/>
      <c r="G3706" s="2182" t="str">
        <f>Parameters!C27</f>
        <v>2010/11</v>
      </c>
      <c r="H3706" s="2043"/>
      <c r="I3706" s="2182" t="str">
        <f>Parameters!C25</f>
        <v>2011/12</v>
      </c>
      <c r="J3706" s="2043"/>
      <c r="K3706" s="2174" t="s">
        <v>1434</v>
      </c>
      <c r="L3706" s="59"/>
      <c r="M3706" s="1133"/>
      <c r="N3706" s="1147"/>
      <c r="O3706" s="1146"/>
      <c r="P3706" s="1115"/>
      <c r="Q3706" s="48"/>
      <c r="R3706" s="48"/>
      <c r="S3706" s="48"/>
      <c r="T3706" s="48"/>
      <c r="U3706" s="48"/>
      <c r="V3706" s="48"/>
      <c r="W3706" s="48"/>
    </row>
    <row r="3707" spans="1:23" ht="15.6" hidden="1" customHeight="1" x14ac:dyDescent="0.25">
      <c r="B3707" s="2046"/>
      <c r="C3707" s="2046"/>
      <c r="D3707" s="2077"/>
      <c r="E3707" s="2046"/>
      <c r="F3707" s="2077"/>
      <c r="G3707" s="2174" t="s">
        <v>1057</v>
      </c>
      <c r="H3707" s="2043"/>
      <c r="I3707" s="2174" t="s">
        <v>1057</v>
      </c>
      <c r="J3707" s="2043"/>
      <c r="K3707" s="2174" t="s">
        <v>261</v>
      </c>
      <c r="L3707" s="59"/>
      <c r="M3707" s="1133"/>
      <c r="N3707" s="1147"/>
      <c r="O3707" s="1146"/>
      <c r="P3707" s="1115"/>
      <c r="Q3707" s="48"/>
      <c r="R3707" s="48"/>
      <c r="S3707" s="48"/>
      <c r="T3707" s="48"/>
      <c r="U3707" s="48"/>
      <c r="V3707" s="48"/>
      <c r="W3707" s="48"/>
    </row>
    <row r="3708" spans="1:23" ht="15.6" hidden="1" customHeight="1" x14ac:dyDescent="0.2">
      <c r="B3708" s="2046"/>
      <c r="C3708" s="2046"/>
      <c r="D3708" s="2077"/>
      <c r="E3708" s="2046"/>
      <c r="F3708" s="2077"/>
      <c r="G3708" s="2077"/>
      <c r="H3708" s="2077"/>
      <c r="I3708" s="2043"/>
      <c r="J3708" s="2043"/>
      <c r="K3708" s="2043"/>
      <c r="L3708" s="59"/>
      <c r="M3708" s="1133"/>
      <c r="N3708" s="1147"/>
      <c r="O3708" s="1146"/>
      <c r="P3708" s="1115"/>
      <c r="Q3708" s="48"/>
      <c r="R3708" s="48"/>
      <c r="S3708" s="48"/>
      <c r="T3708" s="48"/>
      <c r="U3708" s="48"/>
      <c r="V3708" s="48"/>
      <c r="W3708" s="48"/>
    </row>
    <row r="3709" spans="1:23" ht="15.6" hidden="1" customHeight="1" x14ac:dyDescent="0.2">
      <c r="B3709" s="2046" t="s">
        <v>404</v>
      </c>
      <c r="C3709" s="2046"/>
      <c r="D3709" s="2077"/>
      <c r="E3709" s="2046"/>
      <c r="F3709" s="2077"/>
      <c r="G3709" s="2043">
        <v>0</v>
      </c>
      <c r="H3709" s="2077"/>
      <c r="I3709" s="2043">
        <v>0</v>
      </c>
      <c r="J3709" s="2043"/>
      <c r="K3709" s="2043">
        <f t="shared" ref="K3709:K3721" si="47">G3709-I3709</f>
        <v>0</v>
      </c>
      <c r="L3709" s="59"/>
      <c r="M3709" s="1133"/>
      <c r="N3709" s="1147"/>
      <c r="O3709" s="1146"/>
      <c r="P3709" s="1115"/>
      <c r="Q3709" s="48"/>
      <c r="R3709" s="48"/>
      <c r="S3709" s="48"/>
      <c r="T3709" s="48"/>
      <c r="U3709" s="48"/>
      <c r="V3709" s="48"/>
      <c r="W3709" s="48"/>
    </row>
    <row r="3710" spans="1:23" ht="15.6" hidden="1" customHeight="1" x14ac:dyDescent="0.2">
      <c r="B3710" s="2046" t="s">
        <v>405</v>
      </c>
      <c r="C3710" s="2046"/>
      <c r="D3710" s="2077"/>
      <c r="E3710" s="2046"/>
      <c r="F3710" s="2077"/>
      <c r="G3710" s="2043">
        <v>0</v>
      </c>
      <c r="H3710" s="2077"/>
      <c r="I3710" s="2043">
        <v>0</v>
      </c>
      <c r="J3710" s="2043"/>
      <c r="K3710" s="2043">
        <f t="shared" si="47"/>
        <v>0</v>
      </c>
      <c r="L3710" s="59"/>
      <c r="M3710" s="1133"/>
      <c r="N3710" s="1147"/>
      <c r="O3710" s="1146"/>
      <c r="P3710" s="1115"/>
      <c r="Q3710" s="48"/>
      <c r="R3710" s="48"/>
      <c r="S3710" s="48"/>
      <c r="T3710" s="48"/>
      <c r="U3710" s="48"/>
      <c r="V3710" s="48"/>
      <c r="W3710" s="48"/>
    </row>
    <row r="3711" spans="1:23" ht="15.6" hidden="1" customHeight="1" x14ac:dyDescent="0.2">
      <c r="B3711" s="2046" t="s">
        <v>406</v>
      </c>
      <c r="C3711" s="2046"/>
      <c r="D3711" s="2077"/>
      <c r="E3711" s="2046"/>
      <c r="F3711" s="2077"/>
      <c r="G3711" s="2043">
        <v>0</v>
      </c>
      <c r="H3711" s="2077"/>
      <c r="I3711" s="2043">
        <v>0</v>
      </c>
      <c r="J3711" s="2043"/>
      <c r="K3711" s="2043">
        <f t="shared" si="47"/>
        <v>0</v>
      </c>
      <c r="L3711" s="59"/>
      <c r="M3711" s="1133"/>
      <c r="N3711" s="1147"/>
      <c r="O3711" s="1146"/>
      <c r="P3711" s="1115"/>
      <c r="Q3711" s="48"/>
      <c r="R3711" s="48"/>
      <c r="S3711" s="48"/>
      <c r="T3711" s="48"/>
      <c r="U3711" s="48"/>
      <c r="V3711" s="48"/>
      <c r="W3711" s="48"/>
    </row>
    <row r="3712" spans="1:23" ht="15.6" hidden="1" customHeight="1" x14ac:dyDescent="0.2">
      <c r="B3712" s="2082" t="s">
        <v>443</v>
      </c>
      <c r="C3712" s="2082"/>
      <c r="D3712" s="2083"/>
      <c r="E3712" s="2082"/>
      <c r="F3712" s="2083"/>
      <c r="G3712" s="2028">
        <v>0</v>
      </c>
      <c r="H3712" s="2083"/>
      <c r="I3712" s="2028">
        <v>0</v>
      </c>
      <c r="J3712" s="2028"/>
      <c r="K3712" s="2028">
        <f t="shared" si="47"/>
        <v>0</v>
      </c>
      <c r="L3712" s="59"/>
      <c r="M3712" s="1133"/>
      <c r="N3712" s="1147"/>
      <c r="O3712" s="1146"/>
      <c r="P3712" s="1115"/>
      <c r="Q3712" s="48"/>
      <c r="R3712" s="48"/>
      <c r="S3712" s="48"/>
      <c r="T3712" s="48"/>
      <c r="U3712" s="48"/>
      <c r="V3712" s="48"/>
      <c r="W3712" s="48"/>
    </row>
    <row r="3713" spans="1:23" ht="15.6" hidden="1" customHeight="1" x14ac:dyDescent="0.2">
      <c r="B3713" s="2082" t="s">
        <v>444</v>
      </c>
      <c r="C3713" s="2082"/>
      <c r="D3713" s="2083"/>
      <c r="E3713" s="2082"/>
      <c r="F3713" s="2083"/>
      <c r="G3713" s="2028">
        <v>0</v>
      </c>
      <c r="H3713" s="2083"/>
      <c r="I3713" s="2028">
        <v>0</v>
      </c>
      <c r="J3713" s="2028"/>
      <c r="K3713" s="2028">
        <f t="shared" si="47"/>
        <v>0</v>
      </c>
      <c r="L3713" s="59"/>
      <c r="M3713" s="1133"/>
      <c r="N3713" s="1147"/>
      <c r="O3713" s="1146"/>
      <c r="P3713" s="1115"/>
      <c r="Q3713" s="48"/>
      <c r="R3713" s="48"/>
      <c r="S3713" s="48"/>
      <c r="T3713" s="48"/>
      <c r="U3713" s="48"/>
      <c r="V3713" s="48"/>
      <c r="W3713" s="48"/>
    </row>
    <row r="3714" spans="1:23" ht="15.6" hidden="1" customHeight="1" x14ac:dyDescent="0.2">
      <c r="B3714" s="2046" t="s">
        <v>248</v>
      </c>
      <c r="C3714" s="2046"/>
      <c r="D3714" s="2077"/>
      <c r="E3714" s="2046"/>
      <c r="F3714" s="2077"/>
      <c r="G3714" s="2043">
        <v>0</v>
      </c>
      <c r="H3714" s="2077"/>
      <c r="I3714" s="2043">
        <v>0</v>
      </c>
      <c r="J3714" s="2043"/>
      <c r="K3714" s="2043">
        <f t="shared" si="47"/>
        <v>0</v>
      </c>
      <c r="L3714" s="59"/>
      <c r="M3714" s="1133"/>
      <c r="N3714" s="1147"/>
      <c r="O3714" s="1146"/>
      <c r="P3714" s="1115"/>
      <c r="Q3714" s="48"/>
      <c r="R3714" s="48"/>
      <c r="S3714" s="48"/>
      <c r="T3714" s="48"/>
      <c r="U3714" s="48"/>
      <c r="V3714" s="48"/>
      <c r="W3714" s="48"/>
    </row>
    <row r="3715" spans="1:23" ht="15.6" hidden="1" customHeight="1" x14ac:dyDescent="0.2">
      <c r="B3715" s="2046" t="s">
        <v>411</v>
      </c>
      <c r="C3715" s="2046"/>
      <c r="D3715" s="2077"/>
      <c r="E3715" s="2046"/>
      <c r="F3715" s="2077"/>
      <c r="G3715" s="2043">
        <v>0</v>
      </c>
      <c r="H3715" s="2077"/>
      <c r="I3715" s="2043">
        <v>0</v>
      </c>
      <c r="J3715" s="2043"/>
      <c r="K3715" s="2043">
        <f t="shared" si="47"/>
        <v>0</v>
      </c>
      <c r="L3715" s="59"/>
      <c r="M3715" s="1133"/>
      <c r="N3715" s="1147"/>
      <c r="O3715" s="1146"/>
      <c r="P3715" s="1115"/>
      <c r="Q3715" s="48"/>
      <c r="R3715" s="48"/>
      <c r="S3715" s="48"/>
      <c r="T3715" s="48"/>
      <c r="U3715" s="48"/>
      <c r="V3715" s="48"/>
      <c r="W3715" s="48"/>
    </row>
    <row r="3716" spans="1:23" ht="15.6" hidden="1" customHeight="1" x14ac:dyDescent="0.2">
      <c r="B3716" s="2046" t="s">
        <v>412</v>
      </c>
      <c r="C3716" s="2046"/>
      <c r="D3716" s="2077"/>
      <c r="E3716" s="2046"/>
      <c r="F3716" s="2077"/>
      <c r="G3716" s="2043">
        <v>0</v>
      </c>
      <c r="H3716" s="2077"/>
      <c r="I3716" s="2043">
        <v>0</v>
      </c>
      <c r="J3716" s="2043"/>
      <c r="K3716" s="2043">
        <f t="shared" si="47"/>
        <v>0</v>
      </c>
      <c r="L3716" s="59"/>
      <c r="M3716" s="1133"/>
      <c r="N3716" s="1147"/>
      <c r="O3716" s="1146"/>
      <c r="P3716" s="1115"/>
      <c r="Q3716" s="48"/>
      <c r="R3716" s="48"/>
      <c r="S3716" s="48"/>
      <c r="T3716" s="48"/>
      <c r="U3716" s="48"/>
      <c r="V3716" s="48"/>
      <c r="W3716" s="48"/>
    </row>
    <row r="3717" spans="1:23" ht="15.6" hidden="1" customHeight="1" x14ac:dyDescent="0.2">
      <c r="B3717" s="2082" t="s">
        <v>787</v>
      </c>
      <c r="C3717" s="2082"/>
      <c r="D3717" s="2083"/>
      <c r="E3717" s="2082"/>
      <c r="F3717" s="2083"/>
      <c r="G3717" s="2028">
        <v>0</v>
      </c>
      <c r="H3717" s="2083"/>
      <c r="I3717" s="2028">
        <v>0</v>
      </c>
      <c r="J3717" s="2028"/>
      <c r="K3717" s="2028">
        <f t="shared" si="47"/>
        <v>0</v>
      </c>
      <c r="L3717" s="59"/>
      <c r="M3717" s="1133"/>
      <c r="N3717" s="1147"/>
      <c r="O3717" s="1146"/>
      <c r="P3717" s="1115"/>
      <c r="Q3717" s="48"/>
      <c r="R3717" s="48"/>
      <c r="S3717" s="48"/>
      <c r="T3717" s="48"/>
      <c r="U3717" s="48"/>
      <c r="V3717" s="48"/>
      <c r="W3717" s="48"/>
    </row>
    <row r="3718" spans="1:23" ht="15.6" hidden="1" customHeight="1" x14ac:dyDescent="0.2">
      <c r="B3718" s="2046" t="s">
        <v>445</v>
      </c>
      <c r="C3718" s="2046"/>
      <c r="D3718" s="2077"/>
      <c r="E3718" s="2046"/>
      <c r="F3718" s="2077"/>
      <c r="G3718" s="2043">
        <v>0</v>
      </c>
      <c r="H3718" s="2077"/>
      <c r="I3718" s="2043">
        <v>0</v>
      </c>
      <c r="J3718" s="2043"/>
      <c r="K3718" s="2043">
        <f t="shared" si="47"/>
        <v>0</v>
      </c>
      <c r="L3718" s="59"/>
      <c r="M3718" s="1133"/>
      <c r="N3718" s="1147"/>
      <c r="O3718" s="1146"/>
      <c r="P3718" s="1115"/>
      <c r="Q3718" s="48"/>
      <c r="R3718" s="48"/>
      <c r="S3718" s="48"/>
      <c r="T3718" s="48"/>
      <c r="U3718" s="48"/>
      <c r="V3718" s="48"/>
      <c r="W3718" s="48"/>
    </row>
    <row r="3719" spans="1:23" ht="15.6" hidden="1" customHeight="1" x14ac:dyDescent="0.2">
      <c r="B3719" s="2046" t="s">
        <v>414</v>
      </c>
      <c r="C3719" s="2046"/>
      <c r="D3719" s="2077"/>
      <c r="E3719" s="2046"/>
      <c r="F3719" s="2077"/>
      <c r="G3719" s="2043">
        <v>0</v>
      </c>
      <c r="H3719" s="2077"/>
      <c r="I3719" s="2043">
        <v>0</v>
      </c>
      <c r="J3719" s="2043"/>
      <c r="K3719" s="2043">
        <f t="shared" si="47"/>
        <v>0</v>
      </c>
      <c r="L3719" s="59"/>
      <c r="M3719" s="1133"/>
      <c r="N3719" s="1147"/>
      <c r="O3719" s="1146"/>
      <c r="P3719" s="1115"/>
      <c r="Q3719" s="48"/>
      <c r="R3719" s="48"/>
      <c r="S3719" s="48"/>
      <c r="T3719" s="48"/>
      <c r="U3719" s="48"/>
      <c r="V3719" s="48"/>
      <c r="W3719" s="48"/>
    </row>
    <row r="3720" spans="1:23" ht="15.6" hidden="1" customHeight="1" x14ac:dyDescent="0.2">
      <c r="B3720" s="2046" t="s">
        <v>415</v>
      </c>
      <c r="C3720" s="2046"/>
      <c r="D3720" s="2077"/>
      <c r="E3720" s="2046"/>
      <c r="F3720" s="2077"/>
      <c r="G3720" s="2043">
        <v>0</v>
      </c>
      <c r="H3720" s="2077"/>
      <c r="I3720" s="2043">
        <v>0</v>
      </c>
      <c r="J3720" s="2043"/>
      <c r="K3720" s="2043">
        <f>G3720-I3720</f>
        <v>0</v>
      </c>
      <c r="L3720" s="59"/>
      <c r="M3720" s="1133"/>
      <c r="N3720" s="1147"/>
      <c r="O3720" s="1146"/>
      <c r="P3720" s="1115"/>
      <c r="Q3720" s="48"/>
      <c r="R3720" s="48"/>
      <c r="S3720" s="48"/>
      <c r="T3720" s="48"/>
      <c r="U3720" s="48"/>
      <c r="V3720" s="48"/>
      <c r="W3720" s="48"/>
    </row>
    <row r="3721" spans="1:23" ht="15.6" hidden="1" customHeight="1" x14ac:dyDescent="0.2">
      <c r="B3721" s="2046" t="s">
        <v>1304</v>
      </c>
      <c r="C3721" s="2046"/>
      <c r="D3721" s="2077"/>
      <c r="E3721" s="2046"/>
      <c r="F3721" s="2077"/>
      <c r="G3721" s="2043">
        <v>0</v>
      </c>
      <c r="H3721" s="2077"/>
      <c r="I3721" s="2043">
        <v>0</v>
      </c>
      <c r="J3721" s="2043"/>
      <c r="K3721" s="2043">
        <f t="shared" si="47"/>
        <v>0</v>
      </c>
      <c r="L3721" s="59"/>
      <c r="M3721" s="1133"/>
      <c r="N3721" s="1147"/>
      <c r="O3721" s="1146"/>
      <c r="P3721" s="1115"/>
    </row>
    <row r="3722" spans="1:23" ht="15.6" hidden="1" customHeight="1" x14ac:dyDescent="0.2">
      <c r="B3722" s="2046"/>
      <c r="C3722" s="2046"/>
      <c r="D3722" s="2077"/>
      <c r="E3722" s="2046"/>
      <c r="F3722" s="2077"/>
      <c r="G3722" s="2077"/>
      <c r="H3722" s="2077"/>
      <c r="I3722" s="2043"/>
      <c r="J3722" s="2043"/>
      <c r="K3722" s="2043"/>
      <c r="L3722" s="59"/>
      <c r="M3722" s="1133"/>
      <c r="N3722" s="1147"/>
      <c r="O3722" s="1146"/>
      <c r="P3722" s="1115"/>
    </row>
    <row r="3723" spans="1:23" ht="15.6" hidden="1" customHeight="1" thickBot="1" x14ac:dyDescent="0.3">
      <c r="B3723" s="2046"/>
      <c r="C3723" s="2046"/>
      <c r="D3723" s="2077"/>
      <c r="E3723" s="2046"/>
      <c r="F3723" s="2077"/>
      <c r="G3723" s="2183">
        <f>SUM(G3709:G3722)</f>
        <v>0</v>
      </c>
      <c r="H3723" s="2077"/>
      <c r="I3723" s="2183">
        <f>SUM(I3709:I3722)</f>
        <v>0</v>
      </c>
      <c r="J3723" s="2043"/>
      <c r="K3723" s="2050">
        <f>SUM(K3709:K3722)</f>
        <v>0</v>
      </c>
      <c r="L3723" s="59"/>
      <c r="M3723" s="1133"/>
      <c r="N3723" s="1147"/>
      <c r="O3723" s="1146"/>
      <c r="P3723" s="1115"/>
    </row>
    <row r="3724" spans="1:23" ht="15.6" hidden="1" customHeight="1" thickTop="1" x14ac:dyDescent="0.2">
      <c r="I3724" s="271">
        <v>0</v>
      </c>
      <c r="J3724" s="58"/>
      <c r="K3724" s="58"/>
      <c r="L3724" s="59"/>
      <c r="M3724" s="1133"/>
      <c r="N3724" s="1147"/>
      <c r="O3724" s="1146"/>
      <c r="P3724" s="1115"/>
    </row>
    <row r="3725" spans="1:23" ht="15.6" hidden="1" customHeight="1" x14ac:dyDescent="0.2">
      <c r="B3725" s="2171" t="s">
        <v>6881</v>
      </c>
      <c r="C3725" s="2172"/>
      <c r="D3725" s="2172"/>
      <c r="E3725" s="2172"/>
      <c r="F3725" s="2172"/>
      <c r="G3725" s="2172"/>
      <c r="H3725" s="2077"/>
      <c r="I3725" s="2169"/>
      <c r="J3725" s="2169"/>
      <c r="K3725" s="2169"/>
      <c r="M3725" s="1133"/>
      <c r="N3725" s="1147"/>
      <c r="O3725" s="1146"/>
      <c r="P3725" s="1115"/>
      <c r="W3725" s="1114" t="s">
        <v>3857</v>
      </c>
    </row>
    <row r="3726" spans="1:23" ht="15.6" hidden="1" customHeight="1" x14ac:dyDescent="0.2">
      <c r="B3726" s="2046"/>
      <c r="C3726" s="2046"/>
      <c r="D3726" s="2077"/>
      <c r="E3726" s="2046"/>
      <c r="F3726" s="2077"/>
      <c r="G3726" s="2077"/>
      <c r="H3726" s="2077"/>
      <c r="I3726" s="2043"/>
      <c r="J3726" s="2043"/>
      <c r="K3726" s="2043"/>
      <c r="M3726" s="1133"/>
      <c r="N3726" s="1147"/>
      <c r="O3726" s="1146"/>
      <c r="P3726" s="1115"/>
    </row>
    <row r="3727" spans="1:23" ht="30.95" hidden="1" customHeight="1" x14ac:dyDescent="0.2">
      <c r="A3727" s="201"/>
      <c r="B3727" s="2879" t="s">
        <v>2539</v>
      </c>
      <c r="C3727" s="2879"/>
      <c r="D3727" s="2879"/>
      <c r="E3727" s="2879"/>
      <c r="F3727" s="2879"/>
      <c r="G3727" s="2879"/>
      <c r="H3727" s="2879"/>
      <c r="I3727" s="2879"/>
      <c r="J3727" s="2879"/>
      <c r="K3727" s="2879"/>
      <c r="L3727" s="201"/>
      <c r="M3727" s="1482"/>
      <c r="N3727" s="1147"/>
      <c r="O3727" s="1133"/>
      <c r="P3727" s="1115"/>
    </row>
    <row r="3728" spans="1:23" ht="15.6" hidden="1" customHeight="1" x14ac:dyDescent="0.2">
      <c r="B3728" s="2046"/>
      <c r="C3728" s="2046"/>
      <c r="D3728" s="2077"/>
      <c r="E3728" s="2046"/>
      <c r="F3728" s="2077"/>
      <c r="G3728" s="2077"/>
      <c r="H3728" s="2077"/>
      <c r="I3728" s="2043"/>
      <c r="J3728" s="2043"/>
      <c r="K3728" s="2043"/>
      <c r="L3728" s="59"/>
      <c r="M3728" s="1133"/>
      <c r="N3728" s="1147"/>
      <c r="O3728" s="1146"/>
      <c r="P3728" s="1115"/>
    </row>
    <row r="3729" spans="1:16" ht="30.95" hidden="1" customHeight="1" x14ac:dyDescent="0.2">
      <c r="A3729" s="201"/>
      <c r="B3729" s="2879" t="s">
        <v>2186</v>
      </c>
      <c r="C3729" s="2879"/>
      <c r="D3729" s="2879"/>
      <c r="E3729" s="2879"/>
      <c r="F3729" s="2879"/>
      <c r="G3729" s="2879"/>
      <c r="H3729" s="2879"/>
      <c r="I3729" s="2879"/>
      <c r="J3729" s="2879"/>
      <c r="K3729" s="2879"/>
      <c r="L3729" s="201"/>
      <c r="M3729" s="1482"/>
      <c r="N3729" s="1147"/>
      <c r="O3729" s="1133"/>
      <c r="P3729" s="1115"/>
    </row>
    <row r="3730" spans="1:16" ht="15.6" hidden="1" customHeight="1" x14ac:dyDescent="0.2">
      <c r="B3730" s="2046"/>
      <c r="C3730" s="2046"/>
      <c r="D3730" s="2077"/>
      <c r="E3730" s="2046"/>
      <c r="F3730" s="2077"/>
      <c r="G3730" s="2077"/>
      <c r="H3730" s="2077"/>
      <c r="I3730" s="2043"/>
      <c r="J3730" s="2043"/>
      <c r="K3730" s="2043"/>
      <c r="L3730" s="59"/>
      <c r="M3730" s="1133"/>
      <c r="N3730" s="1147"/>
      <c r="O3730" s="1146"/>
      <c r="P3730" s="1115"/>
    </row>
    <row r="3731" spans="1:16" ht="15.6" hidden="1" customHeight="1" x14ac:dyDescent="0.25">
      <c r="B3731" s="2081" t="s">
        <v>1021</v>
      </c>
      <c r="C3731" s="2046"/>
      <c r="D3731" s="2077"/>
      <c r="E3731" s="2046"/>
      <c r="F3731" s="2077"/>
      <c r="G3731" s="2077"/>
      <c r="H3731" s="2077"/>
      <c r="I3731" s="2043"/>
      <c r="J3731" s="2043"/>
      <c r="K3731" s="2043"/>
      <c r="M3731" s="1133"/>
      <c r="N3731" s="1147"/>
      <c r="O3731" s="1146"/>
      <c r="P3731" s="1115"/>
    </row>
    <row r="3732" spans="1:16" ht="15.6" hidden="1" customHeight="1" x14ac:dyDescent="0.25">
      <c r="B3732" s="2046"/>
      <c r="C3732" s="2046"/>
      <c r="D3732" s="2077"/>
      <c r="E3732" s="2046"/>
      <c r="F3732" s="2077"/>
      <c r="G3732" s="2182" t="str">
        <f>Parameters!C27</f>
        <v>2010/11</v>
      </c>
      <c r="H3732" s="2043"/>
      <c r="I3732" s="2182" t="str">
        <f>Parameters!C25</f>
        <v>2011/12</v>
      </c>
      <c r="J3732" s="2043"/>
      <c r="K3732" s="2174" t="s">
        <v>1434</v>
      </c>
      <c r="L3732" s="59"/>
      <c r="M3732" s="1133"/>
      <c r="N3732" s="1147"/>
      <c r="O3732" s="1146"/>
      <c r="P3732" s="1115"/>
    </row>
    <row r="3733" spans="1:16" ht="15.6" hidden="1" customHeight="1" x14ac:dyDescent="0.25">
      <c r="B3733" s="2046"/>
      <c r="C3733" s="2046"/>
      <c r="D3733" s="2077"/>
      <c r="E3733" s="2046"/>
      <c r="F3733" s="2077"/>
      <c r="G3733" s="2174" t="s">
        <v>242</v>
      </c>
      <c r="H3733" s="2043"/>
      <c r="I3733" s="2174" t="s">
        <v>242</v>
      </c>
      <c r="J3733" s="2043"/>
      <c r="K3733" s="2174" t="s">
        <v>261</v>
      </c>
      <c r="L3733" s="59"/>
      <c r="M3733" s="1133"/>
      <c r="N3733" s="1147"/>
      <c r="O3733" s="1146"/>
      <c r="P3733" s="1115"/>
    </row>
    <row r="3734" spans="1:16" ht="15.6" hidden="1" customHeight="1" x14ac:dyDescent="0.2">
      <c r="B3734" s="2046"/>
      <c r="C3734" s="2046"/>
      <c r="D3734" s="2077"/>
      <c r="E3734" s="2046"/>
      <c r="F3734" s="2077"/>
      <c r="G3734" s="2077"/>
      <c r="H3734" s="2077"/>
      <c r="I3734" s="2043"/>
      <c r="J3734" s="2043"/>
      <c r="K3734" s="2043"/>
      <c r="L3734" s="59"/>
      <c r="M3734" s="1133"/>
      <c r="N3734" s="1147"/>
      <c r="O3734" s="1146"/>
      <c r="P3734" s="1115"/>
    </row>
    <row r="3735" spans="1:16" ht="15.6" hidden="1" customHeight="1" x14ac:dyDescent="0.2">
      <c r="B3735" s="2046" t="s">
        <v>416</v>
      </c>
      <c r="C3735" s="2046"/>
      <c r="D3735" s="2077"/>
      <c r="E3735" s="2046"/>
      <c r="F3735" s="2077"/>
      <c r="G3735" s="2043">
        <v>0</v>
      </c>
      <c r="H3735" s="2077"/>
      <c r="I3735" s="2043">
        <v>0</v>
      </c>
      <c r="J3735" s="2043"/>
      <c r="K3735" s="2043">
        <f t="shared" ref="K3735:K3745" si="48">G3735-I3735</f>
        <v>0</v>
      </c>
      <c r="L3735" s="59"/>
      <c r="M3735" s="1133"/>
      <c r="N3735" s="1147"/>
      <c r="O3735" s="1146"/>
      <c r="P3735" s="1115"/>
    </row>
    <row r="3736" spans="1:16" ht="15.6" hidden="1" customHeight="1" x14ac:dyDescent="0.2">
      <c r="B3736" s="2046" t="s">
        <v>250</v>
      </c>
      <c r="C3736" s="2046"/>
      <c r="D3736" s="2077"/>
      <c r="E3736" s="2046"/>
      <c r="F3736" s="2077"/>
      <c r="G3736" s="2043">
        <v>0</v>
      </c>
      <c r="H3736" s="2077"/>
      <c r="I3736" s="2043">
        <v>0</v>
      </c>
      <c r="J3736" s="2043"/>
      <c r="K3736" s="2043">
        <f t="shared" si="48"/>
        <v>0</v>
      </c>
      <c r="L3736" s="59"/>
      <c r="M3736" s="1133"/>
      <c r="N3736" s="1147"/>
      <c r="O3736" s="1146"/>
      <c r="P3736" s="1115"/>
    </row>
    <row r="3737" spans="1:16" ht="15.6" hidden="1" customHeight="1" x14ac:dyDescent="0.2">
      <c r="B3737" s="2046" t="s">
        <v>417</v>
      </c>
      <c r="C3737" s="2046"/>
      <c r="D3737" s="2077"/>
      <c r="E3737" s="2046"/>
      <c r="F3737" s="2077"/>
      <c r="G3737" s="2043">
        <v>0</v>
      </c>
      <c r="H3737" s="2077"/>
      <c r="I3737" s="2043">
        <v>0</v>
      </c>
      <c r="J3737" s="2043"/>
      <c r="K3737" s="2043">
        <f t="shared" si="48"/>
        <v>0</v>
      </c>
      <c r="L3737" s="59"/>
      <c r="M3737" s="1133"/>
      <c r="N3737" s="1147"/>
      <c r="O3737" s="1146"/>
      <c r="P3737" s="1115"/>
    </row>
    <row r="3738" spans="1:16" ht="15.6" hidden="1" customHeight="1" x14ac:dyDescent="0.2">
      <c r="B3738" s="2082" t="s">
        <v>792</v>
      </c>
      <c r="C3738" s="2082"/>
      <c r="D3738" s="2083"/>
      <c r="E3738" s="2082"/>
      <c r="F3738" s="2083"/>
      <c r="G3738" s="2028">
        <v>0</v>
      </c>
      <c r="H3738" s="2083"/>
      <c r="I3738" s="2028">
        <v>0</v>
      </c>
      <c r="J3738" s="2028"/>
      <c r="K3738" s="2028">
        <f t="shared" si="48"/>
        <v>0</v>
      </c>
      <c r="L3738" s="59"/>
      <c r="M3738" s="1133"/>
      <c r="N3738" s="1147"/>
      <c r="O3738" s="1146"/>
      <c r="P3738" s="1115"/>
    </row>
    <row r="3739" spans="1:16" ht="15.6" hidden="1" customHeight="1" x14ac:dyDescent="0.2">
      <c r="B3739" s="2082" t="s">
        <v>154</v>
      </c>
      <c r="C3739" s="2082"/>
      <c r="D3739" s="2083"/>
      <c r="E3739" s="2082"/>
      <c r="F3739" s="2083"/>
      <c r="G3739" s="2028">
        <v>0</v>
      </c>
      <c r="H3739" s="2083"/>
      <c r="I3739" s="2028">
        <v>0</v>
      </c>
      <c r="J3739" s="2028"/>
      <c r="K3739" s="2028">
        <f t="shared" si="48"/>
        <v>0</v>
      </c>
      <c r="L3739" s="59"/>
      <c r="M3739" s="1133"/>
      <c r="N3739" s="1147"/>
      <c r="O3739" s="1146"/>
      <c r="P3739" s="1115"/>
    </row>
    <row r="3740" spans="1:16" ht="15.6" hidden="1" customHeight="1" x14ac:dyDescent="0.2">
      <c r="B3740" s="2082" t="s">
        <v>2054</v>
      </c>
      <c r="C3740" s="2082"/>
      <c r="D3740" s="2083"/>
      <c r="E3740" s="2082"/>
      <c r="F3740" s="2083"/>
      <c r="G3740" s="2028">
        <v>0</v>
      </c>
      <c r="H3740" s="2083"/>
      <c r="I3740" s="2028">
        <v>0</v>
      </c>
      <c r="J3740" s="2028"/>
      <c r="K3740" s="2028">
        <f t="shared" si="48"/>
        <v>0</v>
      </c>
      <c r="L3740" s="59"/>
      <c r="M3740" s="1133"/>
      <c r="N3740" s="1147"/>
      <c r="O3740" s="1146"/>
      <c r="P3740" s="1115"/>
    </row>
    <row r="3741" spans="1:16" ht="15.6" hidden="1" customHeight="1" x14ac:dyDescent="0.2">
      <c r="B3741" s="2046" t="s">
        <v>1455</v>
      </c>
      <c r="C3741" s="2046"/>
      <c r="D3741" s="2077"/>
      <c r="E3741" s="2046"/>
      <c r="F3741" s="2077"/>
      <c r="G3741" s="2043">
        <v>0</v>
      </c>
      <c r="H3741" s="2077"/>
      <c r="I3741" s="2043">
        <v>0</v>
      </c>
      <c r="J3741" s="2043"/>
      <c r="K3741" s="2043">
        <f t="shared" si="48"/>
        <v>0</v>
      </c>
      <c r="L3741" s="59"/>
      <c r="M3741" s="1133"/>
      <c r="N3741" s="1147"/>
      <c r="O3741" s="1146"/>
      <c r="P3741" s="1115"/>
    </row>
    <row r="3742" spans="1:16" ht="15.6" hidden="1" customHeight="1" x14ac:dyDescent="0.2">
      <c r="B3742" s="2082" t="s">
        <v>420</v>
      </c>
      <c r="C3742" s="2082"/>
      <c r="D3742" s="2083"/>
      <c r="E3742" s="2082"/>
      <c r="F3742" s="2083"/>
      <c r="G3742" s="2028">
        <v>0</v>
      </c>
      <c r="H3742" s="2083"/>
      <c r="I3742" s="2028">
        <v>0</v>
      </c>
      <c r="J3742" s="2028"/>
      <c r="K3742" s="2028">
        <f t="shared" si="48"/>
        <v>0</v>
      </c>
      <c r="L3742" s="59"/>
      <c r="M3742" s="1133"/>
      <c r="N3742" s="1147"/>
      <c r="O3742" s="1146"/>
      <c r="P3742" s="1115"/>
    </row>
    <row r="3743" spans="1:16" ht="15.6" hidden="1" customHeight="1" x14ac:dyDescent="0.2">
      <c r="B3743" s="2082" t="s">
        <v>421</v>
      </c>
      <c r="C3743" s="2082"/>
      <c r="D3743" s="2083"/>
      <c r="E3743" s="2082"/>
      <c r="F3743" s="2083"/>
      <c r="G3743" s="2028">
        <v>0</v>
      </c>
      <c r="H3743" s="2083"/>
      <c r="I3743" s="2028">
        <v>0</v>
      </c>
      <c r="J3743" s="2028"/>
      <c r="K3743" s="2028">
        <f t="shared" si="48"/>
        <v>0</v>
      </c>
      <c r="L3743" s="59"/>
      <c r="M3743" s="1133"/>
      <c r="N3743" s="1147"/>
      <c r="O3743" s="1146"/>
      <c r="P3743" s="1115"/>
    </row>
    <row r="3744" spans="1:16" ht="15.6" hidden="1" customHeight="1" x14ac:dyDescent="0.2">
      <c r="B3744" s="2046" t="s">
        <v>422</v>
      </c>
      <c r="C3744" s="2046"/>
      <c r="D3744" s="2077"/>
      <c r="E3744" s="2046"/>
      <c r="F3744" s="2077"/>
      <c r="G3744" s="2043">
        <v>0</v>
      </c>
      <c r="H3744" s="2077"/>
      <c r="I3744" s="2043">
        <v>0</v>
      </c>
      <c r="J3744" s="2043"/>
      <c r="K3744" s="2043">
        <f t="shared" si="48"/>
        <v>0</v>
      </c>
      <c r="L3744" s="59"/>
      <c r="M3744" s="1133"/>
      <c r="N3744" s="1147"/>
      <c r="O3744" s="1146"/>
      <c r="P3744" s="1115"/>
    </row>
    <row r="3745" spans="1:23" ht="15.6" hidden="1" customHeight="1" x14ac:dyDescent="0.2">
      <c r="B3745" s="2082" t="s">
        <v>423</v>
      </c>
      <c r="C3745" s="2082"/>
      <c r="D3745" s="2083"/>
      <c r="E3745" s="2082"/>
      <c r="F3745" s="2083"/>
      <c r="G3745" s="2028">
        <v>0</v>
      </c>
      <c r="H3745" s="2083"/>
      <c r="I3745" s="2028">
        <v>0</v>
      </c>
      <c r="J3745" s="2028"/>
      <c r="K3745" s="2028">
        <f t="shared" si="48"/>
        <v>0</v>
      </c>
      <c r="L3745" s="59"/>
      <c r="M3745" s="1133"/>
      <c r="N3745" s="1147"/>
      <c r="O3745" s="1146"/>
      <c r="P3745" s="1115"/>
    </row>
    <row r="3746" spans="1:23" ht="15.6" hidden="1" customHeight="1" x14ac:dyDescent="0.2">
      <c r="I3746" s="58"/>
      <c r="J3746" s="58"/>
      <c r="K3746" s="58"/>
      <c r="L3746" s="59"/>
      <c r="M3746" s="1133"/>
      <c r="N3746" s="1147"/>
      <c r="O3746" s="1146"/>
      <c r="P3746" s="1115"/>
    </row>
    <row r="3747" spans="1:23" ht="15.6" hidden="1" customHeight="1" thickBot="1" x14ac:dyDescent="0.3">
      <c r="G3747" s="2181">
        <f>SUM(G3735:G3746)</f>
        <v>0</v>
      </c>
      <c r="I3747" s="2181">
        <f>SUM(I3735:I3746)</f>
        <v>0</v>
      </c>
      <c r="J3747" s="58"/>
      <c r="K3747" s="204">
        <f>SUM(K3735:K3746)</f>
        <v>0</v>
      </c>
      <c r="L3747" s="59"/>
      <c r="M3747" s="1133"/>
      <c r="N3747" s="1147"/>
      <c r="O3747" s="1146"/>
      <c r="P3747" s="1115"/>
    </row>
    <row r="3748" spans="1:23" ht="15.6" hidden="1" customHeight="1" thickTop="1" x14ac:dyDescent="0.2">
      <c r="I3748" s="271">
        <v>0</v>
      </c>
      <c r="J3748" s="58"/>
      <c r="K3748" s="58"/>
      <c r="L3748" s="59"/>
      <c r="M3748" s="1133"/>
      <c r="N3748" s="1147"/>
      <c r="O3748" s="1146"/>
      <c r="P3748" s="1115"/>
    </row>
    <row r="3749" spans="1:23" ht="15.6" hidden="1" customHeight="1" x14ac:dyDescent="0.2">
      <c r="B3749" s="2171" t="s">
        <v>6882</v>
      </c>
      <c r="C3749" s="2172"/>
      <c r="D3749" s="2172"/>
      <c r="E3749" s="2172"/>
      <c r="F3749" s="2172"/>
      <c r="G3749" s="2172"/>
      <c r="H3749" s="2077"/>
      <c r="I3749" s="2169"/>
      <c r="J3749" s="2169"/>
      <c r="K3749" s="2169"/>
      <c r="M3749" s="1133"/>
      <c r="N3749" s="1147"/>
      <c r="O3749" s="1146"/>
      <c r="P3749" s="1115"/>
      <c r="W3749" s="1114" t="s">
        <v>3857</v>
      </c>
    </row>
    <row r="3750" spans="1:23" ht="15.6" hidden="1" customHeight="1" x14ac:dyDescent="0.2">
      <c r="B3750" s="2171" t="s">
        <v>2486</v>
      </c>
      <c r="C3750" s="2172"/>
      <c r="D3750" s="2172"/>
      <c r="E3750" s="2172"/>
      <c r="F3750" s="2172"/>
      <c r="G3750" s="2077"/>
      <c r="H3750" s="2077"/>
      <c r="I3750" s="2169"/>
      <c r="J3750" s="2169"/>
      <c r="K3750" s="2169"/>
      <c r="M3750" s="1133"/>
      <c r="N3750" s="1147"/>
      <c r="O3750" s="1146"/>
      <c r="P3750" s="1115"/>
    </row>
    <row r="3751" spans="1:23" ht="15.6" hidden="1" customHeight="1" x14ac:dyDescent="0.2">
      <c r="B3751" s="2046"/>
      <c r="C3751" s="2046"/>
      <c r="D3751" s="2077"/>
      <c r="E3751" s="2046"/>
      <c r="F3751" s="2077"/>
      <c r="G3751" s="2077"/>
      <c r="H3751" s="2077"/>
      <c r="I3751" s="2043"/>
      <c r="J3751" s="2043"/>
      <c r="K3751" s="2043"/>
      <c r="M3751" s="1133"/>
      <c r="N3751" s="1147"/>
      <c r="O3751" s="1146"/>
      <c r="P3751" s="1115"/>
    </row>
    <row r="3752" spans="1:23" ht="30.95" hidden="1" customHeight="1" x14ac:dyDescent="0.2">
      <c r="A3752" s="201"/>
      <c r="B3752" s="2879" t="s">
        <v>1937</v>
      </c>
      <c r="C3752" s="2879"/>
      <c r="D3752" s="2879"/>
      <c r="E3752" s="2879"/>
      <c r="F3752" s="2879"/>
      <c r="G3752" s="2879"/>
      <c r="H3752" s="2879"/>
      <c r="I3752" s="2879"/>
      <c r="J3752" s="2879"/>
      <c r="K3752" s="2879"/>
      <c r="L3752" s="201"/>
      <c r="M3752" s="1482"/>
      <c r="N3752" s="1147"/>
      <c r="O3752" s="1133"/>
      <c r="P3752" s="1115"/>
    </row>
    <row r="3753" spans="1:23" ht="15.6" hidden="1" customHeight="1" x14ac:dyDescent="0.2">
      <c r="B3753" s="2046"/>
      <c r="C3753" s="2046"/>
      <c r="D3753" s="2077"/>
      <c r="E3753" s="2046"/>
      <c r="F3753" s="2077"/>
      <c r="G3753" s="2077"/>
      <c r="H3753" s="2077"/>
      <c r="I3753" s="2043"/>
      <c r="J3753" s="2043"/>
      <c r="K3753" s="2043"/>
      <c r="L3753" s="59"/>
      <c r="M3753" s="1133"/>
      <c r="N3753" s="1147"/>
      <c r="O3753" s="1146"/>
      <c r="P3753" s="1115"/>
      <c r="Q3753" s="48"/>
      <c r="R3753" s="48"/>
      <c r="S3753" s="48"/>
      <c r="T3753" s="48"/>
      <c r="U3753" s="48"/>
      <c r="V3753" s="48"/>
      <c r="W3753" s="48"/>
    </row>
    <row r="3754" spans="1:23" ht="30.95" hidden="1" customHeight="1" x14ac:dyDescent="0.2">
      <c r="A3754" s="201"/>
      <c r="B3754" s="2879" t="s">
        <v>2092</v>
      </c>
      <c r="C3754" s="2879"/>
      <c r="D3754" s="2879"/>
      <c r="E3754" s="2879"/>
      <c r="F3754" s="2879"/>
      <c r="G3754" s="2879"/>
      <c r="H3754" s="2879"/>
      <c r="I3754" s="2879"/>
      <c r="J3754" s="2879"/>
      <c r="K3754" s="2879"/>
      <c r="L3754" s="201"/>
      <c r="M3754" s="1482"/>
      <c r="N3754" s="1147"/>
      <c r="O3754" s="1133"/>
      <c r="P3754" s="1115"/>
      <c r="Q3754" s="48"/>
      <c r="R3754" s="48"/>
      <c r="S3754" s="48"/>
      <c r="T3754" s="48"/>
      <c r="U3754" s="48"/>
      <c r="V3754" s="48"/>
      <c r="W3754" s="48"/>
    </row>
    <row r="3755" spans="1:23" ht="15.6" hidden="1" customHeight="1" x14ac:dyDescent="0.2">
      <c r="B3755" s="2046"/>
      <c r="C3755" s="2046"/>
      <c r="D3755" s="2077"/>
      <c r="E3755" s="2046"/>
      <c r="F3755" s="2077"/>
      <c r="G3755" s="2077"/>
      <c r="H3755" s="2077"/>
      <c r="I3755" s="2043"/>
      <c r="J3755" s="2043"/>
      <c r="K3755" s="2043"/>
      <c r="L3755" s="59"/>
      <c r="M3755" s="1133"/>
      <c r="N3755" s="1147"/>
      <c r="O3755" s="1146"/>
      <c r="P3755" s="1115"/>
      <c r="Q3755" s="48"/>
      <c r="R3755" s="48"/>
      <c r="S3755" s="48"/>
      <c r="T3755" s="48"/>
      <c r="U3755" s="48"/>
      <c r="V3755" s="48"/>
      <c r="W3755" s="48"/>
    </row>
    <row r="3756" spans="1:23" ht="15.6" hidden="1" customHeight="1" x14ac:dyDescent="0.25">
      <c r="B3756" s="2081" t="s">
        <v>1021</v>
      </c>
      <c r="C3756" s="2046"/>
      <c r="D3756" s="2077"/>
      <c r="E3756" s="2046"/>
      <c r="F3756" s="2077"/>
      <c r="G3756" s="2077"/>
      <c r="H3756" s="2077"/>
      <c r="I3756" s="2043"/>
      <c r="J3756" s="2043"/>
      <c r="K3756" s="2043"/>
      <c r="M3756" s="1133"/>
      <c r="N3756" s="1147"/>
      <c r="O3756" s="1146"/>
      <c r="P3756" s="1115"/>
      <c r="Q3756" s="48"/>
      <c r="R3756" s="48"/>
      <c r="S3756" s="48"/>
      <c r="T3756" s="48"/>
      <c r="U3756" s="48"/>
      <c r="V3756" s="48"/>
      <c r="W3756" s="48"/>
    </row>
    <row r="3757" spans="1:23" ht="15.6" hidden="1" customHeight="1" x14ac:dyDescent="0.25">
      <c r="B3757" s="2046"/>
      <c r="C3757" s="2046"/>
      <c r="D3757" s="2077"/>
      <c r="E3757" s="2046"/>
      <c r="F3757" s="2077"/>
      <c r="G3757" s="2174" t="s">
        <v>10</v>
      </c>
      <c r="H3757" s="2077"/>
      <c r="I3757" s="2174" t="s">
        <v>1022</v>
      </c>
      <c r="J3757" s="2043"/>
      <c r="K3757" s="2174" t="s">
        <v>190</v>
      </c>
      <c r="M3757" s="1133"/>
      <c r="N3757" s="1147"/>
      <c r="O3757" s="1146"/>
      <c r="P3757" s="1115"/>
      <c r="Q3757" s="48"/>
      <c r="R3757" s="48"/>
      <c r="S3757" s="48"/>
      <c r="T3757" s="48"/>
      <c r="U3757" s="48"/>
      <c r="V3757" s="48"/>
      <c r="W3757" s="48"/>
    </row>
    <row r="3758" spans="1:23" ht="15.6" hidden="1" customHeight="1" x14ac:dyDescent="0.25">
      <c r="B3758" s="2046"/>
      <c r="C3758" s="2046"/>
      <c r="D3758" s="2077"/>
      <c r="E3758" s="2046"/>
      <c r="F3758" s="2077"/>
      <c r="G3758" s="2174" t="s">
        <v>2090</v>
      </c>
      <c r="H3758" s="2077"/>
      <c r="I3758" s="2174" t="s">
        <v>1918</v>
      </c>
      <c r="J3758" s="2043"/>
      <c r="K3758" s="2174" t="s">
        <v>1022</v>
      </c>
      <c r="M3758" s="1133"/>
      <c r="N3758" s="1147"/>
      <c r="O3758" s="1146"/>
      <c r="P3758" s="1115"/>
      <c r="Q3758" s="48"/>
      <c r="R3758" s="48"/>
      <c r="S3758" s="48"/>
      <c r="T3758" s="48"/>
      <c r="U3758" s="48"/>
      <c r="V3758" s="48"/>
      <c r="W3758" s="48"/>
    </row>
    <row r="3759" spans="1:23" ht="15.6" hidden="1" customHeight="1" x14ac:dyDescent="0.25">
      <c r="B3759" s="2046"/>
      <c r="C3759" s="2046"/>
      <c r="D3759" s="2077"/>
      <c r="E3759" s="2046"/>
      <c r="F3759" s="2077"/>
      <c r="G3759" s="2174"/>
      <c r="H3759" s="2077"/>
      <c r="I3759" s="2174"/>
      <c r="J3759" s="2043"/>
      <c r="K3759" s="2174"/>
      <c r="M3759" s="1133"/>
      <c r="N3759" s="1147"/>
      <c r="O3759" s="1146"/>
      <c r="P3759" s="1115"/>
      <c r="Q3759" s="48"/>
      <c r="R3759" s="48"/>
      <c r="S3759" s="48"/>
      <c r="T3759" s="48"/>
      <c r="U3759" s="48"/>
      <c r="V3759" s="48"/>
      <c r="W3759" s="48"/>
    </row>
    <row r="3760" spans="1:23" ht="15.6" hidden="1" customHeight="1" x14ac:dyDescent="0.25">
      <c r="B3760" s="2081" t="str">
        <f>"Balances published as at "&amp;Parameters!C15</f>
        <v>Balances published as at 30 June 2010</v>
      </c>
      <c r="C3760" s="2046"/>
      <c r="D3760" s="2077"/>
      <c r="E3760" s="2046"/>
      <c r="F3760" s="2077"/>
      <c r="G3760" s="2174"/>
      <c r="H3760" s="2077"/>
      <c r="I3760" s="2174"/>
      <c r="J3760" s="2043"/>
      <c r="K3760" s="2174">
        <v>0</v>
      </c>
      <c r="M3760" s="1133"/>
      <c r="N3760" s="1147"/>
      <c r="O3760" s="1146"/>
      <c r="P3760" s="1115"/>
      <c r="Q3760" s="48"/>
      <c r="R3760" s="48"/>
      <c r="S3760" s="48"/>
      <c r="T3760" s="48"/>
      <c r="U3760" s="48"/>
      <c r="V3760" s="48"/>
      <c r="W3760" s="48"/>
    </row>
    <row r="3761" spans="1:23" ht="15.6" hidden="1" customHeight="1" x14ac:dyDescent="0.2">
      <c r="B3761" s="2046" t="s">
        <v>2091</v>
      </c>
      <c r="C3761" s="2077"/>
      <c r="D3761" s="2077"/>
      <c r="E3761" s="2046"/>
      <c r="F3761" s="2077"/>
      <c r="G3761" s="2043"/>
      <c r="H3761" s="2077"/>
      <c r="I3761" s="2043"/>
      <c r="J3761" s="2077"/>
      <c r="K3761" s="2043">
        <v>0</v>
      </c>
      <c r="M3761" s="1147">
        <f>SUM(D3761:K3761)</f>
        <v>0</v>
      </c>
      <c r="O3761" s="1133"/>
      <c r="P3761" s="1115"/>
      <c r="Q3761" s="48"/>
      <c r="R3761" s="48"/>
      <c r="S3761" s="48"/>
      <c r="T3761" s="48"/>
      <c r="U3761" s="48"/>
      <c r="V3761" s="48"/>
      <c r="W3761" s="48"/>
    </row>
    <row r="3762" spans="1:23" ht="15.6" hidden="1" customHeight="1" x14ac:dyDescent="0.2">
      <c r="B3762" s="2046"/>
      <c r="C3762" s="2077"/>
      <c r="D3762" s="2077"/>
      <c r="E3762" s="2046"/>
      <c r="F3762" s="2077"/>
      <c r="G3762" s="2046"/>
      <c r="H3762" s="2046"/>
      <c r="I3762" s="2046"/>
      <c r="J3762" s="2077"/>
      <c r="K3762" s="2047"/>
      <c r="O3762" s="1133"/>
      <c r="P3762" s="1115"/>
      <c r="Q3762" s="48"/>
      <c r="R3762" s="48"/>
      <c r="S3762" s="48"/>
      <c r="T3762" s="48"/>
      <c r="U3762" s="48"/>
      <c r="V3762" s="48"/>
      <c r="W3762" s="48"/>
    </row>
    <row r="3763" spans="1:23" ht="15.6" hidden="1" customHeight="1" thickBot="1" x14ac:dyDescent="0.3">
      <c r="B3763" s="2081" t="str">
        <f>"Restated Balances as at "&amp;Parameters!C15</f>
        <v>Restated Balances as at 30 June 2010</v>
      </c>
      <c r="C3763" s="2077"/>
      <c r="D3763" s="2077"/>
      <c r="E3763" s="2046"/>
      <c r="F3763" s="2077"/>
      <c r="G3763" s="2046"/>
      <c r="H3763" s="2046"/>
      <c r="I3763" s="2046"/>
      <c r="J3763" s="2077"/>
      <c r="K3763" s="2048">
        <f>SUM(K3760:K3762)</f>
        <v>0</v>
      </c>
      <c r="M3763" s="622">
        <f>SUM(M3760:M3762)</f>
        <v>0</v>
      </c>
      <c r="O3763" s="1133"/>
      <c r="P3763" s="1115"/>
      <c r="Q3763" s="48"/>
      <c r="R3763" s="48"/>
      <c r="S3763" s="48"/>
      <c r="T3763" s="48"/>
      <c r="U3763" s="48"/>
      <c r="V3763" s="48"/>
      <c r="W3763" s="48"/>
    </row>
    <row r="3764" spans="1:23" ht="15.6" hidden="1" customHeight="1" thickTop="1" x14ac:dyDescent="0.2">
      <c r="B3764" s="2046"/>
      <c r="C3764" s="2046"/>
      <c r="D3764" s="2077"/>
      <c r="E3764" s="2046"/>
      <c r="F3764" s="2077"/>
      <c r="G3764" s="2043"/>
      <c r="H3764" s="2077"/>
      <c r="I3764" s="2043"/>
      <c r="J3764" s="2043"/>
      <c r="K3764" s="2043"/>
      <c r="M3764" s="1133"/>
      <c r="N3764" s="1147"/>
      <c r="O3764" s="1146"/>
      <c r="P3764" s="1115"/>
      <c r="Q3764" s="48"/>
      <c r="R3764" s="48"/>
      <c r="S3764" s="48"/>
      <c r="T3764" s="48"/>
      <c r="U3764" s="48"/>
      <c r="V3764" s="48"/>
      <c r="W3764" s="48"/>
    </row>
    <row r="3765" spans="1:23" ht="15.6" hidden="1" customHeight="1" x14ac:dyDescent="0.25">
      <c r="B3765" s="2081" t="str">
        <f>"Balances / Transactions as per AFS previously published for "&amp;Parameters!C27</f>
        <v>Balances / Transactions as per AFS previously published for 2010/11</v>
      </c>
      <c r="C3765" s="2046"/>
      <c r="D3765" s="2077"/>
      <c r="E3765" s="2046"/>
      <c r="F3765" s="2077"/>
      <c r="G3765" s="2049">
        <f>G3713</f>
        <v>0</v>
      </c>
      <c r="H3765" s="2077"/>
      <c r="I3765" s="2049">
        <f>-I3739</f>
        <v>0</v>
      </c>
      <c r="J3765" s="2043"/>
      <c r="K3765" s="2049">
        <v>0</v>
      </c>
      <c r="M3765" s="1133"/>
      <c r="N3765" s="1147"/>
      <c r="O3765" s="1146"/>
      <c r="P3765" s="1115"/>
      <c r="Q3765" s="48"/>
      <c r="R3765" s="48"/>
      <c r="S3765" s="48"/>
      <c r="T3765" s="48"/>
      <c r="U3765" s="48"/>
      <c r="V3765" s="48"/>
      <c r="W3765" s="48"/>
    </row>
    <row r="3766" spans="1:23" ht="15.6" hidden="1" customHeight="1" x14ac:dyDescent="0.2">
      <c r="B3766" s="2046" t="s">
        <v>2053</v>
      </c>
      <c r="C3766" s="2046"/>
      <c r="D3766" s="2077"/>
      <c r="E3766" s="2046"/>
      <c r="F3766" s="2077"/>
      <c r="G3766" s="2043">
        <v>0</v>
      </c>
      <c r="H3766" s="2077"/>
      <c r="I3766" s="2043">
        <v>0</v>
      </c>
      <c r="J3766" s="2043"/>
      <c r="K3766" s="2043">
        <v>0</v>
      </c>
      <c r="M3766" s="1147">
        <f>SUM(D3766:I3766)</f>
        <v>0</v>
      </c>
      <c r="N3766" s="1147"/>
      <c r="O3766" s="1146"/>
      <c r="P3766" s="1115"/>
      <c r="Q3766" s="48"/>
      <c r="R3766" s="48"/>
      <c r="S3766" s="48"/>
      <c r="T3766" s="48"/>
      <c r="U3766" s="48"/>
      <c r="V3766" s="48"/>
      <c r="W3766" s="48"/>
    </row>
    <row r="3767" spans="1:23" ht="15.6" hidden="1" customHeight="1" x14ac:dyDescent="0.2">
      <c r="B3767" s="2046" t="s">
        <v>2091</v>
      </c>
      <c r="C3767" s="2046"/>
      <c r="D3767" s="2077"/>
      <c r="E3767" s="2046"/>
      <c r="F3767" s="2077"/>
      <c r="G3767" s="2043">
        <v>0</v>
      </c>
      <c r="H3767" s="2077"/>
      <c r="I3767" s="2043">
        <v>0</v>
      </c>
      <c r="J3767" s="2043"/>
      <c r="K3767" s="2043">
        <v>0</v>
      </c>
      <c r="M3767" s="1147">
        <f>SUM(D3767:I3767)</f>
        <v>0</v>
      </c>
      <c r="N3767" s="1147"/>
      <c r="O3767" s="1146"/>
      <c r="P3767" s="1115"/>
      <c r="Q3767" s="48"/>
      <c r="R3767" s="48"/>
      <c r="S3767" s="48"/>
      <c r="T3767" s="48"/>
      <c r="U3767" s="48"/>
      <c r="V3767" s="48"/>
      <c r="W3767" s="48"/>
    </row>
    <row r="3768" spans="1:23" ht="15.6" hidden="1" customHeight="1" x14ac:dyDescent="0.2">
      <c r="B3768" s="2046" t="s">
        <v>2540</v>
      </c>
      <c r="C3768" s="2046"/>
      <c r="D3768" s="2077"/>
      <c r="E3768" s="2046"/>
      <c r="F3768" s="2077"/>
      <c r="G3768" s="2043">
        <v>0</v>
      </c>
      <c r="H3768" s="2077"/>
      <c r="I3768" s="2043">
        <f>G3551</f>
        <v>0</v>
      </c>
      <c r="J3768" s="2043"/>
      <c r="K3768" s="2043">
        <v>0</v>
      </c>
      <c r="M3768" s="1147">
        <v>0</v>
      </c>
      <c r="N3768" s="1147"/>
      <c r="O3768" s="1146"/>
      <c r="P3768" s="1115"/>
      <c r="Q3768" s="48"/>
      <c r="R3768" s="48"/>
      <c r="S3768" s="48"/>
      <c r="T3768" s="48"/>
      <c r="U3768" s="48"/>
      <c r="V3768" s="48"/>
      <c r="W3768" s="48"/>
    </row>
    <row r="3769" spans="1:23" ht="15.6" hidden="1" customHeight="1" x14ac:dyDescent="0.2">
      <c r="B3769" s="2046"/>
      <c r="C3769" s="2046"/>
      <c r="D3769" s="2077"/>
      <c r="E3769" s="2046"/>
      <c r="F3769" s="2077"/>
      <c r="G3769" s="2043"/>
      <c r="H3769" s="2077"/>
      <c r="I3769" s="2043"/>
      <c r="J3769" s="2043"/>
      <c r="K3769" s="2043"/>
      <c r="M3769" s="1133"/>
      <c r="N3769" s="1147"/>
      <c r="O3769" s="1146"/>
      <c r="P3769" s="1115"/>
    </row>
    <row r="3770" spans="1:23" ht="15.6" hidden="1" customHeight="1" thickBot="1" x14ac:dyDescent="0.3">
      <c r="B3770" s="2081" t="str">
        <f>"Balances as at 30 June 2010 per AFS published for "&amp;Parameters!C27</f>
        <v>Balances as at 30 June 2010 per AFS published for 2010/11</v>
      </c>
      <c r="C3770" s="2046"/>
      <c r="D3770" s="2077"/>
      <c r="E3770" s="2046"/>
      <c r="F3770" s="2077"/>
      <c r="G3770" s="2050">
        <f>SUM(G3765:G3769)</f>
        <v>0</v>
      </c>
      <c r="H3770" s="2077"/>
      <c r="I3770" s="2050">
        <f>SUM(I3765:I3769)</f>
        <v>0</v>
      </c>
      <c r="J3770" s="2060"/>
      <c r="K3770" s="2050">
        <f>SUM(K3763:K3769)</f>
        <v>0</v>
      </c>
      <c r="M3770" s="622">
        <f>SUM(M3765:M3769)</f>
        <v>0</v>
      </c>
      <c r="N3770" s="1147"/>
      <c r="O3770" s="1146"/>
      <c r="P3770" s="1115"/>
    </row>
    <row r="3771" spans="1:23" ht="15.6" customHeight="1" thickTop="1" x14ac:dyDescent="0.25">
      <c r="G3771" s="2226">
        <v>-14631630.260000002</v>
      </c>
      <c r="I3771" s="271">
        <v>0</v>
      </c>
      <c r="J3771" s="200"/>
      <c r="K3771" s="271">
        <v>0</v>
      </c>
      <c r="M3771" s="1133"/>
      <c r="N3771" s="1147"/>
      <c r="O3771" s="1146"/>
      <c r="P3771" s="1115"/>
    </row>
    <row r="3772" spans="1:23" ht="15.6" customHeight="1" x14ac:dyDescent="0.2">
      <c r="B3772" s="671" t="s">
        <v>7597</v>
      </c>
      <c r="C3772" s="672"/>
      <c r="D3772" s="672"/>
      <c r="E3772" s="672"/>
      <c r="F3772" s="672"/>
      <c r="G3772" s="672"/>
      <c r="I3772" s="270"/>
      <c r="J3772" s="270"/>
      <c r="K3772" s="270"/>
      <c r="M3772" s="1133"/>
      <c r="N3772" s="1147"/>
      <c r="O3772" s="1146"/>
      <c r="P3772" s="1115"/>
      <c r="W3772" s="1114" t="s">
        <v>3857</v>
      </c>
    </row>
    <row r="3773" spans="1:23" ht="15.6" customHeight="1" x14ac:dyDescent="0.2">
      <c r="B3773" s="671" t="s">
        <v>2487</v>
      </c>
      <c r="C3773" s="672"/>
      <c r="D3773" s="672"/>
      <c r="E3773" s="672"/>
      <c r="F3773" s="672"/>
      <c r="I3773" s="270"/>
      <c r="J3773" s="270"/>
      <c r="K3773" s="270"/>
      <c r="M3773" s="1133"/>
      <c r="N3773" s="1147"/>
      <c r="O3773" s="1146"/>
      <c r="P3773" s="1115"/>
    </row>
    <row r="3774" spans="1:23" ht="15.6" hidden="1" customHeight="1" x14ac:dyDescent="0.2">
      <c r="I3774" s="58"/>
      <c r="J3774" s="58"/>
      <c r="K3774" s="58"/>
      <c r="M3774" s="1133"/>
      <c r="N3774" s="1147"/>
      <c r="O3774" s="1146"/>
    </row>
    <row r="3775" spans="1:23" ht="30.95" hidden="1" customHeight="1" x14ac:dyDescent="0.2">
      <c r="A3775" s="201"/>
      <c r="B3775" s="2879" t="s">
        <v>1929</v>
      </c>
      <c r="C3775" s="2879"/>
      <c r="D3775" s="2879"/>
      <c r="E3775" s="2879"/>
      <c r="F3775" s="2879"/>
      <c r="G3775" s="2879"/>
      <c r="H3775" s="2879"/>
      <c r="I3775" s="2879"/>
      <c r="J3775" s="2879"/>
      <c r="K3775" s="2879"/>
      <c r="L3775" s="201"/>
      <c r="M3775" s="1482"/>
      <c r="N3775" s="1147"/>
      <c r="O3775" s="1133"/>
      <c r="P3775" s="1115"/>
    </row>
    <row r="3776" spans="1:23" ht="15.6" hidden="1" customHeight="1" x14ac:dyDescent="0.2">
      <c r="B3776" s="2046"/>
      <c r="C3776" s="2046"/>
      <c r="D3776" s="2077"/>
      <c r="E3776" s="2046"/>
      <c r="F3776" s="2077"/>
      <c r="G3776" s="2077"/>
      <c r="H3776" s="2077"/>
      <c r="I3776" s="2043"/>
      <c r="J3776" s="2043"/>
      <c r="K3776" s="2043"/>
      <c r="L3776" s="59"/>
      <c r="M3776" s="1133"/>
      <c r="N3776" s="1147"/>
      <c r="O3776" s="1146"/>
    </row>
    <row r="3777" spans="1:23" ht="30.95" hidden="1" customHeight="1" x14ac:dyDescent="0.2">
      <c r="A3777" s="201"/>
      <c r="B3777" s="2879" t="s">
        <v>2082</v>
      </c>
      <c r="C3777" s="2879"/>
      <c r="D3777" s="2879"/>
      <c r="E3777" s="2879"/>
      <c r="F3777" s="2879"/>
      <c r="G3777" s="2879"/>
      <c r="H3777" s="2879"/>
      <c r="I3777" s="2879"/>
      <c r="J3777" s="2879"/>
      <c r="K3777" s="2879"/>
      <c r="L3777" s="201"/>
      <c r="M3777" s="1482"/>
      <c r="N3777" s="1147"/>
      <c r="O3777" s="1133"/>
      <c r="P3777" s="1115"/>
    </row>
    <row r="3778" spans="1:23" ht="15.6" hidden="1" customHeight="1" x14ac:dyDescent="0.2">
      <c r="B3778" s="2046"/>
      <c r="C3778" s="2046"/>
      <c r="D3778" s="2077"/>
      <c r="E3778" s="2046"/>
      <c r="F3778" s="2077"/>
      <c r="G3778" s="2077"/>
      <c r="H3778" s="2077"/>
      <c r="I3778" s="2043"/>
      <c r="J3778" s="2043"/>
      <c r="K3778" s="2043"/>
      <c r="L3778" s="59"/>
      <c r="M3778" s="1133"/>
      <c r="N3778" s="1147"/>
      <c r="O3778" s="1146"/>
      <c r="P3778" s="1115"/>
    </row>
    <row r="3779" spans="1:23" ht="30.95" hidden="1" customHeight="1" x14ac:dyDescent="0.2">
      <c r="A3779" s="201"/>
      <c r="B3779" s="2879" t="s">
        <v>2077</v>
      </c>
      <c r="C3779" s="2879"/>
      <c r="D3779" s="2879"/>
      <c r="E3779" s="2879"/>
      <c r="F3779" s="2879"/>
      <c r="G3779" s="2879"/>
      <c r="H3779" s="2879"/>
      <c r="I3779" s="2879"/>
      <c r="J3779" s="2879"/>
      <c r="K3779" s="2879"/>
      <c r="L3779" s="201"/>
      <c r="M3779" s="1482"/>
      <c r="N3779" s="1147"/>
      <c r="O3779" s="1133"/>
      <c r="P3779" s="1115"/>
    </row>
    <row r="3780" spans="1:23" ht="15.6" hidden="1" customHeight="1" x14ac:dyDescent="0.2">
      <c r="B3780" s="2046"/>
      <c r="C3780" s="2046"/>
      <c r="D3780" s="2077"/>
      <c r="E3780" s="2046"/>
      <c r="F3780" s="2077"/>
      <c r="G3780" s="2077"/>
      <c r="H3780" s="2077"/>
      <c r="I3780" s="2043"/>
      <c r="J3780" s="2043"/>
      <c r="K3780" s="2043"/>
      <c r="L3780" s="59"/>
      <c r="M3780" s="1133"/>
      <c r="N3780" s="1147"/>
      <c r="O3780" s="1146"/>
      <c r="P3780" s="1115"/>
    </row>
    <row r="3781" spans="1:23" ht="30.95" hidden="1" customHeight="1" x14ac:dyDescent="0.2">
      <c r="A3781" s="201"/>
      <c r="B3781" s="2879" t="s">
        <v>2089</v>
      </c>
      <c r="C3781" s="2879"/>
      <c r="D3781" s="2879"/>
      <c r="E3781" s="2879"/>
      <c r="F3781" s="2879"/>
      <c r="G3781" s="2879"/>
      <c r="H3781" s="2879"/>
      <c r="I3781" s="2879"/>
      <c r="J3781" s="2879"/>
      <c r="K3781" s="2879"/>
      <c r="L3781" s="201"/>
      <c r="M3781" s="1482"/>
      <c r="N3781" s="1147"/>
      <c r="O3781" s="1133"/>
      <c r="P3781" s="1115"/>
    </row>
    <row r="3782" spans="1:23" ht="15.6" customHeight="1" x14ac:dyDescent="0.2">
      <c r="I3782" s="58"/>
      <c r="J3782" s="58"/>
      <c r="K3782" s="58"/>
      <c r="L3782" s="59"/>
      <c r="M3782" s="1133"/>
      <c r="N3782" s="1147"/>
      <c r="O3782" s="1146"/>
      <c r="P3782" s="1115"/>
    </row>
    <row r="3783" spans="1:23" ht="15" customHeight="1" x14ac:dyDescent="0.2">
      <c r="A3783" s="201"/>
      <c r="B3783" s="2861" t="s">
        <v>7500</v>
      </c>
      <c r="C3783" s="2861"/>
      <c r="D3783" s="2861"/>
      <c r="E3783" s="2861"/>
      <c r="F3783" s="2861"/>
      <c r="G3783" s="2861"/>
      <c r="H3783" s="2861"/>
      <c r="I3783" s="2861"/>
      <c r="J3783" s="2861"/>
      <c r="K3783" s="2861"/>
      <c r="L3783" s="201"/>
      <c r="M3783" s="1482"/>
      <c r="N3783" s="1147"/>
      <c r="O3783" s="1133"/>
      <c r="P3783" s="1115"/>
    </row>
    <row r="3784" spans="1:23" ht="15.6" customHeight="1" x14ac:dyDescent="0.2">
      <c r="I3784" s="58"/>
      <c r="J3784" s="58"/>
      <c r="K3784" s="58"/>
      <c r="L3784" s="59"/>
      <c r="M3784" s="1133"/>
      <c r="N3784" s="1147"/>
      <c r="O3784" s="1146"/>
      <c r="P3784" s="1115"/>
    </row>
    <row r="3785" spans="1:23" ht="46.5" customHeight="1" x14ac:dyDescent="0.2">
      <c r="A3785" s="201"/>
      <c r="B3785" s="2861" t="s">
        <v>1938</v>
      </c>
      <c r="C3785" s="2861"/>
      <c r="D3785" s="2861"/>
      <c r="E3785" s="2861"/>
      <c r="F3785" s="2861"/>
      <c r="G3785" s="2861"/>
      <c r="H3785" s="2861"/>
      <c r="I3785" s="2861"/>
      <c r="J3785" s="2861"/>
      <c r="K3785" s="2861"/>
      <c r="L3785" s="201"/>
      <c r="M3785" s="1482"/>
      <c r="N3785" s="1147"/>
      <c r="O3785" s="1133"/>
      <c r="P3785" s="1115"/>
      <c r="Q3785" s="48"/>
      <c r="R3785" s="48"/>
      <c r="S3785" s="48"/>
      <c r="T3785" s="48"/>
      <c r="U3785" s="48"/>
      <c r="V3785" s="48"/>
      <c r="W3785" s="48"/>
    </row>
    <row r="3786" spans="1:23" ht="15.6" customHeight="1" x14ac:dyDescent="0.2">
      <c r="I3786" s="58"/>
      <c r="J3786" s="58"/>
      <c r="K3786" s="58"/>
      <c r="L3786" s="59"/>
      <c r="M3786" s="1133"/>
      <c r="N3786" s="1147"/>
      <c r="O3786" s="1146"/>
      <c r="P3786" s="1115"/>
      <c r="Q3786" s="48"/>
      <c r="R3786" s="48"/>
      <c r="S3786" s="48"/>
      <c r="T3786" s="48"/>
      <c r="U3786" s="48"/>
      <c r="V3786" s="48"/>
      <c r="W3786" s="48"/>
    </row>
    <row r="3787" spans="1:23" ht="15.6" customHeight="1" x14ac:dyDescent="0.25">
      <c r="B3787" s="50" t="s">
        <v>1021</v>
      </c>
      <c r="I3787" s="58"/>
      <c r="J3787" s="58"/>
      <c r="K3787" s="58"/>
      <c r="M3787" s="1133"/>
      <c r="N3787" s="1147"/>
      <c r="O3787" s="1146"/>
      <c r="P3787" s="1115"/>
      <c r="Q3787" s="48"/>
      <c r="R3787" s="48"/>
      <c r="S3787" s="48"/>
      <c r="T3787" s="48"/>
      <c r="U3787" s="48"/>
      <c r="V3787" s="48"/>
      <c r="W3787" s="48"/>
    </row>
    <row r="3788" spans="1:23" ht="15.6" customHeight="1" x14ac:dyDescent="0.25">
      <c r="I3788" s="2898" t="s">
        <v>233</v>
      </c>
      <c r="J3788" s="58"/>
      <c r="K3788" s="2570" t="s">
        <v>1928</v>
      </c>
      <c r="M3788" s="1133"/>
      <c r="N3788" s="1147"/>
      <c r="O3788" s="1146"/>
      <c r="P3788" s="1115"/>
      <c r="Q3788" s="48"/>
      <c r="R3788" s="48"/>
      <c r="S3788" s="48"/>
      <c r="T3788" s="48"/>
      <c r="U3788" s="48"/>
      <c r="V3788" s="48"/>
      <c r="W3788" s="48"/>
    </row>
    <row r="3789" spans="1:23" ht="15.6" customHeight="1" x14ac:dyDescent="0.25">
      <c r="I3789" s="2898"/>
      <c r="J3789" s="58"/>
      <c r="K3789" s="2570" t="s">
        <v>1058</v>
      </c>
      <c r="M3789" s="1133"/>
      <c r="N3789" s="1147"/>
      <c r="O3789" s="1146"/>
      <c r="P3789" s="1115"/>
      <c r="Q3789" s="48"/>
      <c r="R3789" s="48"/>
      <c r="S3789" s="48"/>
      <c r="T3789" s="48"/>
      <c r="U3789" s="48"/>
      <c r="V3789" s="48"/>
      <c r="W3789" s="48"/>
    </row>
    <row r="3790" spans="1:23" ht="15.6" customHeight="1" x14ac:dyDescent="0.2">
      <c r="I3790" s="58"/>
      <c r="J3790" s="58"/>
      <c r="K3790" s="57"/>
      <c r="M3790" s="1133"/>
      <c r="N3790" s="1147"/>
      <c r="O3790" s="1146"/>
      <c r="P3790" s="1115"/>
      <c r="Q3790" s="48"/>
      <c r="R3790" s="48"/>
      <c r="S3790" s="48"/>
      <c r="T3790" s="48"/>
      <c r="U3790" s="48"/>
      <c r="V3790" s="48"/>
      <c r="W3790" s="48"/>
    </row>
    <row r="3791" spans="1:23" ht="15.6" customHeight="1" x14ac:dyDescent="0.25">
      <c r="B3791" s="50" t="str">
        <f>"Balances published as at "&amp;Parameters!C15</f>
        <v>Balances published as at 30 June 2010</v>
      </c>
      <c r="C3791" s="57"/>
      <c r="I3791" s="224">
        <v>12133518</v>
      </c>
      <c r="J3791" s="57"/>
      <c r="K3791" s="224">
        <v>10688892</v>
      </c>
      <c r="N3791" s="1147"/>
      <c r="O3791" s="1133"/>
      <c r="P3791" s="1115"/>
      <c r="Q3791" s="48"/>
      <c r="R3791" s="48"/>
      <c r="S3791" s="48"/>
      <c r="T3791" s="48"/>
      <c r="U3791" s="48"/>
      <c r="V3791" s="48"/>
      <c r="W3791" s="48"/>
    </row>
    <row r="3792" spans="1:23" ht="15.6" hidden="1" customHeight="1" x14ac:dyDescent="0.2">
      <c r="B3792" s="48" t="s">
        <v>1927</v>
      </c>
      <c r="C3792" s="57"/>
      <c r="I3792" s="58">
        <v>0</v>
      </c>
      <c r="J3792" s="57"/>
      <c r="K3792" s="58">
        <v>0</v>
      </c>
      <c r="M3792" s="1147">
        <f t="shared" ref="M3792:M3797" si="49">SUM(D3792:K3792)</f>
        <v>0</v>
      </c>
      <c r="O3792" s="1133"/>
      <c r="P3792" s="1115"/>
      <c r="Q3792" s="48"/>
      <c r="R3792" s="48"/>
      <c r="S3792" s="48"/>
      <c r="T3792" s="48"/>
      <c r="U3792" s="48"/>
      <c r="V3792" s="48"/>
      <c r="W3792" s="48"/>
    </row>
    <row r="3793" spans="2:23" ht="15.6" hidden="1" customHeight="1" x14ac:dyDescent="0.2">
      <c r="B3793" s="48" t="s">
        <v>2084</v>
      </c>
      <c r="C3793" s="57"/>
      <c r="I3793" s="58">
        <v>0</v>
      </c>
      <c r="J3793" s="57"/>
      <c r="K3793" s="58">
        <v>0</v>
      </c>
      <c r="M3793" s="1147">
        <f t="shared" si="49"/>
        <v>0</v>
      </c>
      <c r="O3793" s="1133"/>
      <c r="Q3793" s="48"/>
      <c r="R3793" s="48"/>
      <c r="S3793" s="48"/>
      <c r="T3793" s="48"/>
      <c r="U3793" s="48"/>
      <c r="V3793" s="48"/>
      <c r="W3793" s="48"/>
    </row>
    <row r="3794" spans="2:23" ht="15.6" hidden="1" customHeight="1" x14ac:dyDescent="0.2">
      <c r="B3794" s="48" t="s">
        <v>2083</v>
      </c>
      <c r="C3794" s="57"/>
      <c r="I3794" s="58">
        <v>0</v>
      </c>
      <c r="J3794" s="57"/>
      <c r="K3794" s="58">
        <v>0</v>
      </c>
      <c r="M3794" s="1147">
        <f t="shared" si="49"/>
        <v>0</v>
      </c>
      <c r="O3794" s="1133"/>
      <c r="P3794" s="1115"/>
      <c r="Q3794" s="48"/>
      <c r="R3794" s="48"/>
      <c r="S3794" s="48"/>
      <c r="T3794" s="48"/>
      <c r="U3794" s="48"/>
      <c r="V3794" s="48"/>
      <c r="W3794" s="48"/>
    </row>
    <row r="3795" spans="2:23" ht="15.6" hidden="1" customHeight="1" x14ac:dyDescent="0.2">
      <c r="B3795" s="48" t="s">
        <v>2088</v>
      </c>
      <c r="C3795" s="57"/>
      <c r="I3795" s="58">
        <v>0</v>
      </c>
      <c r="J3795" s="57"/>
      <c r="K3795" s="58">
        <v>0</v>
      </c>
      <c r="M3795" s="1147">
        <f t="shared" si="49"/>
        <v>0</v>
      </c>
      <c r="O3795" s="1133"/>
      <c r="Q3795" s="48"/>
      <c r="R3795" s="48"/>
      <c r="S3795" s="48"/>
      <c r="T3795" s="48"/>
      <c r="U3795" s="48"/>
      <c r="V3795" s="48"/>
      <c r="W3795" s="48"/>
    </row>
    <row r="3796" spans="2:23" ht="15.6" hidden="1" customHeight="1" x14ac:dyDescent="0.2">
      <c r="B3796" s="48" t="s">
        <v>1931</v>
      </c>
      <c r="C3796" s="57"/>
      <c r="I3796" s="58">
        <v>0</v>
      </c>
      <c r="J3796" s="57"/>
      <c r="K3796" s="58">
        <v>0</v>
      </c>
      <c r="M3796" s="1147">
        <f t="shared" si="49"/>
        <v>0</v>
      </c>
      <c r="O3796" s="1133"/>
      <c r="P3796" s="1115"/>
      <c r="Q3796" s="48"/>
      <c r="R3796" s="48"/>
      <c r="S3796" s="48"/>
      <c r="T3796" s="48"/>
      <c r="U3796" s="48"/>
      <c r="V3796" s="48"/>
      <c r="W3796" s="48"/>
    </row>
    <row r="3797" spans="2:23" ht="15.6" hidden="1" customHeight="1" x14ac:dyDescent="0.2">
      <c r="B3797" s="48" t="s">
        <v>1932</v>
      </c>
      <c r="C3797" s="57"/>
      <c r="I3797" s="58">
        <v>0</v>
      </c>
      <c r="J3797" s="57"/>
      <c r="K3797" s="58">
        <v>0</v>
      </c>
      <c r="M3797" s="1147">
        <f t="shared" si="49"/>
        <v>0</v>
      </c>
      <c r="O3797" s="1133"/>
      <c r="P3797" s="1115"/>
      <c r="Q3797" s="48"/>
      <c r="R3797" s="48"/>
      <c r="S3797" s="48"/>
      <c r="T3797" s="48"/>
      <c r="U3797" s="48"/>
      <c r="V3797" s="48"/>
      <c r="W3797" s="48"/>
    </row>
    <row r="3798" spans="2:23" ht="15.6" customHeight="1" x14ac:dyDescent="0.2">
      <c r="C3798" s="57"/>
      <c r="I3798" s="212"/>
      <c r="J3798" s="57"/>
      <c r="K3798" s="212"/>
      <c r="O3798" s="1133"/>
      <c r="P3798" s="1115"/>
      <c r="Q3798" s="48"/>
      <c r="R3798" s="48"/>
      <c r="S3798" s="48"/>
      <c r="T3798" s="48"/>
      <c r="U3798" s="48"/>
      <c r="V3798" s="48"/>
      <c r="W3798" s="48"/>
    </row>
    <row r="3799" spans="2:23" ht="15.6" customHeight="1" thickBot="1" x14ac:dyDescent="0.3">
      <c r="B3799" s="50" t="str">
        <f>"Restated Balances as at "&amp;Parameters!C15</f>
        <v>Restated Balances as at 30 June 2010</v>
      </c>
      <c r="C3799" s="57"/>
      <c r="I3799" s="667">
        <f>SUM(I3791:I3798)</f>
        <v>12133518</v>
      </c>
      <c r="J3799" s="57"/>
      <c r="K3799" s="667">
        <f>SUM(K3791:K3798)</f>
        <v>10688892</v>
      </c>
      <c r="M3799" s="622">
        <f>SUM(M3791:M3798)</f>
        <v>0</v>
      </c>
      <c r="O3799" s="1133"/>
      <c r="P3799" s="1115"/>
      <c r="Q3799" s="48"/>
      <c r="R3799" s="48"/>
      <c r="S3799" s="48"/>
      <c r="T3799" s="48"/>
      <c r="U3799" s="48"/>
      <c r="V3799" s="48"/>
      <c r="W3799" s="48"/>
    </row>
    <row r="3800" spans="2:23" ht="15.6" customHeight="1" thickTop="1" x14ac:dyDescent="0.2">
      <c r="C3800" s="57"/>
      <c r="I3800" s="58"/>
      <c r="J3800" s="57"/>
      <c r="K3800" s="58"/>
      <c r="O3800" s="1133"/>
      <c r="P3800" s="1115"/>
      <c r="Q3800" s="48"/>
      <c r="R3800" s="48"/>
      <c r="S3800" s="48"/>
      <c r="T3800" s="48"/>
      <c r="U3800" s="48"/>
      <c r="V3800" s="48"/>
      <c r="W3800" s="48"/>
    </row>
    <row r="3801" spans="2:23" ht="15.6" customHeight="1" x14ac:dyDescent="0.2">
      <c r="B3801" s="48" t="str">
        <f>"Transactions incurred for the Year "&amp;Parameters!C27</f>
        <v>Transactions incurred for the Year 2010/11</v>
      </c>
      <c r="C3801" s="57"/>
      <c r="I3801" s="58">
        <v>0</v>
      </c>
      <c r="J3801" s="57"/>
      <c r="K3801" s="58">
        <v>11507010</v>
      </c>
      <c r="O3801" s="1133"/>
      <c r="P3801" s="1115"/>
    </row>
    <row r="3802" spans="2:23" ht="15.6" hidden="1" customHeight="1" x14ac:dyDescent="0.2">
      <c r="B3802" s="48" t="s">
        <v>2193</v>
      </c>
      <c r="C3802" s="57"/>
      <c r="I3802" s="58">
        <v>0</v>
      </c>
      <c r="J3802" s="57"/>
      <c r="K3802" s="58">
        <v>0</v>
      </c>
      <c r="M3802" s="1147">
        <f>SUM(D3802:K3802)</f>
        <v>0</v>
      </c>
      <c r="O3802" s="1133"/>
      <c r="P3802" s="1115"/>
    </row>
    <row r="3803" spans="2:23" ht="15.6" customHeight="1" x14ac:dyDescent="0.2">
      <c r="B3803" s="48" t="s">
        <v>7502</v>
      </c>
      <c r="C3803" s="57"/>
      <c r="I3803" s="58">
        <f>-4732800+2684036.35</f>
        <v>-2048763.65</v>
      </c>
      <c r="J3803" s="57"/>
      <c r="K3803" s="58">
        <v>0</v>
      </c>
      <c r="M3803" s="1147">
        <f>SUM(D3803:K3803)</f>
        <v>-2048763.65</v>
      </c>
      <c r="O3803" s="1133"/>
      <c r="P3803" s="1115"/>
    </row>
    <row r="3804" spans="2:23" ht="15.6" customHeight="1" x14ac:dyDescent="0.2">
      <c r="B3804" s="48" t="s">
        <v>8186</v>
      </c>
      <c r="C3804" s="57"/>
      <c r="I3804" s="58">
        <v>4585252.6500000004</v>
      </c>
      <c r="J3804" s="57"/>
      <c r="K3804" s="58"/>
      <c r="M3804" s="1147">
        <f>(K1160+K1161)-7884834</f>
        <v>6471950.7799999975</v>
      </c>
      <c r="O3804" s="1133"/>
      <c r="P3804" s="1115"/>
    </row>
    <row r="3805" spans="2:23" ht="15.6" customHeight="1" x14ac:dyDescent="0.2">
      <c r="B3805" s="48" t="s">
        <v>7501</v>
      </c>
      <c r="C3805" s="57"/>
      <c r="I3805" s="58">
        <v>0</v>
      </c>
      <c r="J3805" s="57"/>
      <c r="K3805" s="58">
        <v>-9708399</v>
      </c>
      <c r="M3805" s="1147">
        <f>SUM(D3805:K3805)</f>
        <v>-9708399</v>
      </c>
      <c r="O3805" s="1133"/>
      <c r="P3805" s="1115"/>
    </row>
    <row r="3806" spans="2:23" ht="15.6" customHeight="1" x14ac:dyDescent="0.25">
      <c r="C3806" s="219"/>
      <c r="I3806" s="58"/>
      <c r="J3806" s="57"/>
      <c r="K3806" s="58"/>
      <c r="O3806" s="1133"/>
      <c r="P3806" s="1115"/>
    </row>
    <row r="3807" spans="2:23" ht="15.6" customHeight="1" thickBot="1" x14ac:dyDescent="0.3">
      <c r="B3807" s="50" t="str">
        <f>"Restated Balances as at "&amp;Parameters!C13</f>
        <v>Restated Balances as at 30 June 2011</v>
      </c>
      <c r="C3807" s="57"/>
      <c r="I3807" s="204">
        <f>SUM(I3799:I3806)</f>
        <v>14670007</v>
      </c>
      <c r="J3807" s="57"/>
      <c r="K3807" s="204">
        <f>SUM(K3799:K3806)</f>
        <v>12487503</v>
      </c>
      <c r="M3807" s="622">
        <f>SUM(M3801:M3806)</f>
        <v>-5285211.8700000029</v>
      </c>
      <c r="N3807" s="1147">
        <f>SUM(K1160,K1161,K1168,K1169)</f>
        <v>14670007.169999996</v>
      </c>
      <c r="O3807" s="1133"/>
      <c r="P3807" s="1115"/>
    </row>
    <row r="3808" spans="2:23" ht="15.6" customHeight="1" thickTop="1" x14ac:dyDescent="0.2">
      <c r="C3808" s="57"/>
      <c r="G3808" s="265"/>
      <c r="I3808" s="2107">
        <f>I3807-'Fin Pos'!L39</f>
        <v>-4239428.870000001</v>
      </c>
      <c r="J3808" s="57"/>
      <c r="K3808" s="265"/>
      <c r="N3808" s="1147">
        <f>N3807-I3807</f>
        <v>0.1699999962002039</v>
      </c>
      <c r="O3808" s="1133"/>
      <c r="P3808" s="1115"/>
    </row>
    <row r="3809" spans="1:23" ht="15.6" hidden="1" customHeight="1" x14ac:dyDescent="0.2">
      <c r="B3809" s="2180" t="s">
        <v>6883</v>
      </c>
      <c r="C3809" s="2046"/>
      <c r="D3809" s="2077"/>
      <c r="E3809" s="2046"/>
      <c r="F3809" s="2077"/>
      <c r="G3809" s="2077"/>
      <c r="H3809" s="2077"/>
      <c r="I3809" s="2169"/>
      <c r="J3809" s="2169"/>
      <c r="K3809" s="2169"/>
      <c r="M3809" s="1133"/>
      <c r="N3809" s="1147"/>
      <c r="O3809" s="1146"/>
      <c r="P3809" s="1115"/>
      <c r="W3809" s="1114" t="s">
        <v>3857</v>
      </c>
    </row>
    <row r="3810" spans="1:23" ht="15.6" hidden="1" customHeight="1" x14ac:dyDescent="0.2">
      <c r="B3810" s="2046"/>
      <c r="C3810" s="2046"/>
      <c r="D3810" s="2077"/>
      <c r="E3810" s="2046"/>
      <c r="F3810" s="2077"/>
      <c r="G3810" s="2077"/>
      <c r="H3810" s="2077"/>
      <c r="I3810" s="2043"/>
      <c r="J3810" s="2043"/>
      <c r="K3810" s="2043"/>
      <c r="M3810" s="1133"/>
      <c r="N3810" s="1147"/>
      <c r="O3810" s="1146"/>
      <c r="P3810" s="1115"/>
    </row>
    <row r="3811" spans="1:23" ht="30.95" hidden="1" customHeight="1" x14ac:dyDescent="0.2">
      <c r="A3811" s="201"/>
      <c r="B3811" s="2879" t="s">
        <v>4421</v>
      </c>
      <c r="C3811" s="2879"/>
      <c r="D3811" s="2879"/>
      <c r="E3811" s="2879"/>
      <c r="F3811" s="2879"/>
      <c r="G3811" s="2879"/>
      <c r="H3811" s="2879"/>
      <c r="I3811" s="2879"/>
      <c r="J3811" s="2879"/>
      <c r="K3811" s="2879"/>
      <c r="L3811" s="201"/>
      <c r="M3811" s="1482"/>
      <c r="N3811" s="1147"/>
      <c r="O3811" s="1146"/>
      <c r="P3811" s="1115"/>
    </row>
    <row r="3812" spans="1:23" ht="15.6" hidden="1" customHeight="1" x14ac:dyDescent="0.2">
      <c r="B3812" s="2046"/>
      <c r="C3812" s="2046"/>
      <c r="D3812" s="2077"/>
      <c r="E3812" s="2046"/>
      <c r="F3812" s="2077"/>
      <c r="G3812" s="2077"/>
      <c r="H3812" s="2077"/>
      <c r="I3812" s="2169"/>
      <c r="J3812" s="2169"/>
      <c r="K3812" s="2169"/>
      <c r="N3812" s="1147"/>
      <c r="O3812" s="1146"/>
      <c r="P3812" s="1115"/>
    </row>
    <row r="3813" spans="1:23" ht="30.95" hidden="1" customHeight="1" x14ac:dyDescent="0.2">
      <c r="A3813" s="201"/>
      <c r="B3813" s="2879" t="s">
        <v>4422</v>
      </c>
      <c r="C3813" s="2879"/>
      <c r="D3813" s="2879"/>
      <c r="E3813" s="2879"/>
      <c r="F3813" s="2879"/>
      <c r="G3813" s="2879"/>
      <c r="H3813" s="2879"/>
      <c r="I3813" s="2879"/>
      <c r="J3813" s="2879"/>
      <c r="K3813" s="2879"/>
      <c r="L3813" s="201"/>
      <c r="M3813" s="1482"/>
      <c r="N3813" s="1147"/>
      <c r="O3813" s="1146"/>
      <c r="P3813" s="1115"/>
    </row>
    <row r="3814" spans="1:23" ht="15.6" hidden="1" customHeight="1" x14ac:dyDescent="0.2">
      <c r="B3814" s="2046"/>
      <c r="C3814" s="2046"/>
      <c r="D3814" s="2077"/>
      <c r="E3814" s="2046"/>
      <c r="F3814" s="2077"/>
      <c r="G3814" s="2077"/>
      <c r="H3814" s="2077"/>
      <c r="I3814" s="2043"/>
      <c r="J3814" s="2043"/>
      <c r="K3814" s="2043"/>
      <c r="P3814" s="1115"/>
    </row>
    <row r="3815" spans="1:23" ht="15.6" hidden="1" customHeight="1" x14ac:dyDescent="0.25">
      <c r="B3815" s="2081" t="s">
        <v>1303</v>
      </c>
      <c r="C3815" s="2046"/>
      <c r="D3815" s="2077"/>
      <c r="E3815" s="2046"/>
      <c r="F3815" s="2077"/>
      <c r="G3815" s="2077"/>
      <c r="H3815" s="2077"/>
      <c r="I3815" s="2043"/>
      <c r="J3815" s="2043"/>
      <c r="K3815" s="2043"/>
      <c r="M3815" s="1133"/>
      <c r="N3815" s="1147"/>
      <c r="O3815" s="1146"/>
      <c r="P3815" s="1115"/>
    </row>
    <row r="3816" spans="1:23" ht="15.6" hidden="1" customHeight="1" x14ac:dyDescent="0.25">
      <c r="B3816" s="2046"/>
      <c r="C3816" s="2046"/>
      <c r="D3816" s="2077"/>
      <c r="E3816" s="2174" t="s">
        <v>4423</v>
      </c>
      <c r="F3816" s="2077"/>
      <c r="G3816" s="2174" t="s">
        <v>10</v>
      </c>
      <c r="H3816" s="2077"/>
      <c r="I3816" s="2174" t="s">
        <v>1022</v>
      </c>
      <c r="J3816" s="2043"/>
      <c r="K3816" s="2174" t="s">
        <v>4424</v>
      </c>
      <c r="M3816" s="1133"/>
      <c r="N3816" s="1147"/>
      <c r="O3816" s="1146"/>
      <c r="P3816" s="1115"/>
    </row>
    <row r="3817" spans="1:23" ht="15.6" hidden="1" customHeight="1" x14ac:dyDescent="0.25">
      <c r="B3817" s="2046"/>
      <c r="C3817" s="2046"/>
      <c r="D3817" s="2077"/>
      <c r="E3817" s="2174" t="s">
        <v>4425</v>
      </c>
      <c r="F3817" s="2077"/>
      <c r="G3817" s="2174" t="s">
        <v>322</v>
      </c>
      <c r="H3817" s="2077"/>
      <c r="I3817" s="2174"/>
      <c r="J3817" s="2043"/>
      <c r="K3817" s="2174"/>
      <c r="M3817" s="1133"/>
      <c r="N3817" s="1147"/>
      <c r="O3817" s="1146"/>
      <c r="P3817" s="1115"/>
    </row>
    <row r="3818" spans="1:23" ht="15.6" hidden="1" customHeight="1" x14ac:dyDescent="0.25">
      <c r="B3818" s="2046"/>
      <c r="C3818" s="2046"/>
      <c r="D3818" s="2077"/>
      <c r="E3818" s="2174" t="s">
        <v>4426</v>
      </c>
      <c r="F3818" s="2077"/>
      <c r="G3818" s="2174" t="s">
        <v>1918</v>
      </c>
      <c r="H3818" s="2077"/>
      <c r="I3818" s="2174" t="s">
        <v>4427</v>
      </c>
      <c r="J3818" s="2043"/>
      <c r="K3818" s="2174" t="s">
        <v>4428</v>
      </c>
      <c r="M3818" s="1133"/>
      <c r="N3818" s="1147"/>
      <c r="O3818" s="1146"/>
      <c r="P3818" s="1115"/>
    </row>
    <row r="3819" spans="1:23" ht="15.6" hidden="1" customHeight="1" x14ac:dyDescent="0.2">
      <c r="B3819" s="2046"/>
      <c r="C3819" s="2046"/>
      <c r="D3819" s="2077"/>
      <c r="E3819" s="2077"/>
      <c r="F3819" s="2077"/>
      <c r="G3819" s="2077"/>
      <c r="H3819" s="2077"/>
      <c r="I3819" s="2077"/>
      <c r="J3819" s="2043"/>
      <c r="K3819" s="2077"/>
      <c r="M3819" s="1133"/>
      <c r="N3819" s="1147"/>
      <c r="O3819" s="1146"/>
      <c r="P3819" s="1115"/>
    </row>
    <row r="3820" spans="1:23" ht="15.6" hidden="1" customHeight="1" x14ac:dyDescent="0.25">
      <c r="B3820" s="2081" t="str">
        <f>"Amount per AFS previously published for "&amp;Parameters!C27</f>
        <v>Amount per AFS previously published for 2010/11</v>
      </c>
      <c r="C3820" s="2046"/>
      <c r="D3820" s="2077"/>
      <c r="E3820" s="2049">
        <v>0</v>
      </c>
      <c r="F3820" s="2077"/>
      <c r="G3820" s="2049">
        <v>0</v>
      </c>
      <c r="H3820" s="2077"/>
      <c r="I3820" s="2049">
        <v>0</v>
      </c>
      <c r="J3820" s="2043"/>
      <c r="K3820" s="2049">
        <v>0</v>
      </c>
      <c r="M3820" s="1133"/>
      <c r="N3820" s="1147"/>
      <c r="O3820" s="1146"/>
      <c r="P3820" s="1115"/>
    </row>
    <row r="3821" spans="1:23" ht="15.6" hidden="1" customHeight="1" x14ac:dyDescent="0.2">
      <c r="B3821" s="2046" t="s">
        <v>4429</v>
      </c>
      <c r="C3821" s="2046"/>
      <c r="D3821" s="2077"/>
      <c r="E3821" s="2043">
        <v>0</v>
      </c>
      <c r="F3821" s="2077"/>
      <c r="G3821" s="2043">
        <v>0</v>
      </c>
      <c r="H3821" s="2077"/>
      <c r="I3821" s="2043">
        <v>0</v>
      </c>
      <c r="J3821" s="2043"/>
      <c r="K3821" s="2043">
        <v>0</v>
      </c>
      <c r="M3821" s="1147">
        <f>SUM(D3821:K3821)</f>
        <v>0</v>
      </c>
      <c r="N3821" s="1147"/>
      <c r="O3821" s="1146"/>
      <c r="P3821" s="1115"/>
    </row>
    <row r="3822" spans="1:23" ht="15.6" hidden="1" customHeight="1" x14ac:dyDescent="0.2">
      <c r="B3822" s="2046" t="s">
        <v>4430</v>
      </c>
      <c r="C3822" s="2046"/>
      <c r="D3822" s="2077"/>
      <c r="E3822" s="2043">
        <v>0</v>
      </c>
      <c r="F3822" s="2077"/>
      <c r="G3822" s="2043">
        <f>-M3770</f>
        <v>0</v>
      </c>
      <c r="H3822" s="2077"/>
      <c r="I3822" s="2043">
        <v>0</v>
      </c>
      <c r="J3822" s="2043"/>
      <c r="K3822" s="2043">
        <v>0</v>
      </c>
      <c r="M3822" s="1147">
        <f>SUM(D3822:K3822)</f>
        <v>0</v>
      </c>
      <c r="N3822" s="1147"/>
      <c r="O3822" s="1146"/>
      <c r="P3822" s="1115"/>
    </row>
    <row r="3823" spans="1:23" ht="15.6" hidden="1" customHeight="1" x14ac:dyDescent="0.2">
      <c r="B3823" s="2046" t="s">
        <v>4431</v>
      </c>
      <c r="C3823" s="2046"/>
      <c r="D3823" s="2077"/>
      <c r="E3823" s="2043">
        <v>0</v>
      </c>
      <c r="F3823" s="2077"/>
      <c r="G3823" s="2043">
        <v>0</v>
      </c>
      <c r="H3823" s="2077"/>
      <c r="I3823" s="2043">
        <v>0</v>
      </c>
      <c r="J3823" s="2043"/>
      <c r="K3823" s="2043">
        <v>0</v>
      </c>
      <c r="M3823" s="1147">
        <f>SUM(D3823:K3823)</f>
        <v>0</v>
      </c>
      <c r="N3823" s="1147"/>
      <c r="O3823" s="1146"/>
      <c r="P3823" s="1115"/>
    </row>
    <row r="3824" spans="1:23" ht="15.6" hidden="1" customHeight="1" x14ac:dyDescent="0.2">
      <c r="B3824" s="2046" t="s">
        <v>4429</v>
      </c>
      <c r="C3824" s="2046"/>
      <c r="D3824" s="2077"/>
      <c r="E3824" s="2043">
        <v>0</v>
      </c>
      <c r="F3824" s="2077"/>
      <c r="G3824" s="2043">
        <v>0</v>
      </c>
      <c r="H3824" s="2077"/>
      <c r="I3824" s="2043">
        <v>0</v>
      </c>
      <c r="J3824" s="2043"/>
      <c r="K3824" s="2043">
        <v>0</v>
      </c>
      <c r="M3824" s="1147">
        <f>SUM(D3824:K3824)</f>
        <v>0</v>
      </c>
      <c r="N3824" s="1147"/>
      <c r="O3824" s="1146"/>
      <c r="P3824" s="1115"/>
    </row>
    <row r="3825" spans="1:23" ht="15.6" hidden="1" customHeight="1" x14ac:dyDescent="0.2">
      <c r="B3825" s="2046"/>
      <c r="C3825" s="2046"/>
      <c r="D3825" s="2077"/>
      <c r="E3825" s="2043"/>
      <c r="F3825" s="2077"/>
      <c r="G3825" s="2043"/>
      <c r="H3825" s="2077"/>
      <c r="I3825" s="2043"/>
      <c r="J3825" s="2043"/>
      <c r="K3825" s="2043"/>
      <c r="M3825" s="1133"/>
      <c r="N3825" s="1147"/>
      <c r="O3825" s="1146"/>
      <c r="P3825" s="1115"/>
    </row>
    <row r="3826" spans="1:23" ht="15.6" hidden="1" customHeight="1" thickBot="1" x14ac:dyDescent="0.3">
      <c r="B3826" s="2081" t="str">
        <f>"Restated Amount currently disclosed for "&amp;Parameters!C27</f>
        <v>Restated Amount currently disclosed for 2010/11</v>
      </c>
      <c r="C3826" s="2046"/>
      <c r="D3826" s="2077"/>
      <c r="E3826" s="2050">
        <f>SUM(E3820:E3825)</f>
        <v>0</v>
      </c>
      <c r="F3826" s="2077"/>
      <c r="G3826" s="2050">
        <f>SUM(G3820:G3825)</f>
        <v>0</v>
      </c>
      <c r="H3826" s="2077"/>
      <c r="I3826" s="2050">
        <f>SUM(I3820:I3825)</f>
        <v>0</v>
      </c>
      <c r="J3826" s="2060"/>
      <c r="K3826" s="2050">
        <f>SUM(K3820:K3825)</f>
        <v>0</v>
      </c>
      <c r="M3826" s="622">
        <f>SUM(M3820:M3825)</f>
        <v>0</v>
      </c>
      <c r="N3826" s="1147"/>
      <c r="O3826" s="1146"/>
      <c r="P3826" s="1115"/>
    </row>
    <row r="3827" spans="1:23" ht="15.6" hidden="1" customHeight="1" thickTop="1" x14ac:dyDescent="0.2">
      <c r="E3827" s="271">
        <f>E3826-'Fin Perform'!K19</f>
        <v>-656777.32000000007</v>
      </c>
      <c r="G3827" s="271">
        <f>G3826-'Fin Perform'!K21</f>
        <v>-226492.75</v>
      </c>
      <c r="I3827" s="271">
        <f>I3826-'Fin Perform'!K37</f>
        <v>-15271156.710000001</v>
      </c>
      <c r="J3827" s="58"/>
      <c r="K3827" s="271">
        <f>K3826-'Fin Perform'!K44</f>
        <v>-19176808.199999999</v>
      </c>
      <c r="M3827" s="1133"/>
      <c r="N3827" s="1147"/>
      <c r="O3827" s="1146"/>
      <c r="P3827" s="1115"/>
    </row>
    <row r="3828" spans="1:23" ht="15.6" hidden="1" customHeight="1" x14ac:dyDescent="0.2">
      <c r="B3828" s="2180" t="s">
        <v>7487</v>
      </c>
      <c r="C3828" s="2046"/>
      <c r="D3828" s="2077"/>
      <c r="E3828" s="2046"/>
      <c r="F3828" s="2077"/>
      <c r="G3828" s="2077"/>
      <c r="H3828" s="2077"/>
      <c r="I3828" s="2169"/>
      <c r="J3828" s="2169"/>
      <c r="K3828" s="2169"/>
      <c r="M3828" s="1133"/>
      <c r="N3828" s="1147"/>
      <c r="O3828" s="1146"/>
      <c r="P3828" s="1115"/>
      <c r="W3828" s="1114" t="s">
        <v>3857</v>
      </c>
    </row>
    <row r="3829" spans="1:23" ht="15.6" hidden="1" customHeight="1" x14ac:dyDescent="0.2">
      <c r="B3829" s="2046"/>
      <c r="C3829" s="2046"/>
      <c r="D3829" s="2077"/>
      <c r="E3829" s="2046"/>
      <c r="F3829" s="2077"/>
      <c r="G3829" s="2077"/>
      <c r="H3829" s="2077"/>
      <c r="I3829" s="2043"/>
      <c r="J3829" s="2043"/>
      <c r="K3829" s="2043"/>
      <c r="M3829" s="1133"/>
      <c r="N3829" s="1147"/>
      <c r="O3829" s="1146"/>
      <c r="P3829" s="1115"/>
    </row>
    <row r="3830" spans="1:23" ht="30.95" hidden="1" customHeight="1" x14ac:dyDescent="0.2">
      <c r="A3830" s="201"/>
      <c r="B3830" s="2879" t="s">
        <v>4432</v>
      </c>
      <c r="C3830" s="2879"/>
      <c r="D3830" s="2879"/>
      <c r="E3830" s="2879"/>
      <c r="F3830" s="2879"/>
      <c r="G3830" s="2879"/>
      <c r="H3830" s="2879"/>
      <c r="I3830" s="2879"/>
      <c r="J3830" s="2879"/>
      <c r="K3830" s="2879"/>
      <c r="L3830" s="201"/>
      <c r="M3830" s="1482"/>
      <c r="N3830" s="1147"/>
      <c r="O3830" s="1146"/>
      <c r="P3830" s="1115"/>
    </row>
    <row r="3831" spans="1:23" ht="15.6" hidden="1" customHeight="1" x14ac:dyDescent="0.2">
      <c r="B3831" s="2046"/>
      <c r="C3831" s="2046"/>
      <c r="D3831" s="2077"/>
      <c r="E3831" s="2046"/>
      <c r="F3831" s="2077"/>
      <c r="G3831" s="2077"/>
      <c r="H3831" s="2077"/>
      <c r="I3831" s="2169"/>
      <c r="J3831" s="2169"/>
      <c r="K3831" s="2169"/>
      <c r="N3831" s="1147"/>
      <c r="O3831" s="1146"/>
      <c r="P3831" s="1115"/>
    </row>
    <row r="3832" spans="1:23" ht="30.95" hidden="1" customHeight="1" x14ac:dyDescent="0.2">
      <c r="A3832" s="201"/>
      <c r="B3832" s="2879" t="s">
        <v>4433</v>
      </c>
      <c r="C3832" s="2879"/>
      <c r="D3832" s="2879"/>
      <c r="E3832" s="2879"/>
      <c r="F3832" s="2879"/>
      <c r="G3832" s="2879"/>
      <c r="H3832" s="2879"/>
      <c r="I3832" s="2879"/>
      <c r="J3832" s="2879"/>
      <c r="K3832" s="2879"/>
      <c r="L3832" s="201"/>
      <c r="M3832" s="1482"/>
      <c r="N3832" s="1147"/>
      <c r="O3832" s="1146"/>
      <c r="P3832" s="1115"/>
    </row>
    <row r="3833" spans="1:23" ht="15.6" hidden="1" customHeight="1" x14ac:dyDescent="0.2">
      <c r="B3833" s="2046"/>
      <c r="C3833" s="2046"/>
      <c r="D3833" s="2077"/>
      <c r="E3833" s="2046"/>
      <c r="F3833" s="2077"/>
      <c r="G3833" s="2077"/>
      <c r="H3833" s="2077"/>
      <c r="I3833" s="2043"/>
      <c r="J3833" s="2043"/>
      <c r="K3833" s="2043"/>
    </row>
    <row r="3834" spans="1:23" ht="15.6" hidden="1" customHeight="1" x14ac:dyDescent="0.25">
      <c r="B3834" s="2081" t="s">
        <v>1303</v>
      </c>
      <c r="C3834" s="2046"/>
      <c r="D3834" s="2077"/>
      <c r="E3834" s="2046"/>
      <c r="F3834" s="2077"/>
      <c r="G3834" s="2077"/>
      <c r="H3834" s="2077"/>
      <c r="I3834" s="2043"/>
      <c r="J3834" s="2043"/>
      <c r="K3834" s="2043"/>
      <c r="M3834" s="1133"/>
      <c r="N3834" s="1147"/>
      <c r="O3834" s="1146"/>
      <c r="P3834" s="1121" t="s">
        <v>998</v>
      </c>
    </row>
    <row r="3835" spans="1:23" ht="15.6" hidden="1" customHeight="1" x14ac:dyDescent="0.25">
      <c r="B3835" s="2046"/>
      <c r="C3835" s="2046"/>
      <c r="D3835" s="2077"/>
      <c r="E3835" s="2174" t="s">
        <v>4434</v>
      </c>
      <c r="F3835" s="2077"/>
      <c r="G3835" s="2174" t="s">
        <v>251</v>
      </c>
      <c r="H3835" s="2077"/>
      <c r="I3835" s="2174" t="s">
        <v>1022</v>
      </c>
      <c r="J3835" s="2043"/>
      <c r="K3835" s="2174" t="s">
        <v>4424</v>
      </c>
      <c r="M3835" s="1133"/>
      <c r="N3835" s="1147"/>
      <c r="O3835" s="1146"/>
      <c r="P3835" s="1117"/>
    </row>
    <row r="3836" spans="1:23" ht="15.6" hidden="1" customHeight="1" x14ac:dyDescent="0.25">
      <c r="B3836" s="2046"/>
      <c r="C3836" s="2046"/>
      <c r="D3836" s="2077"/>
      <c r="E3836" s="2174" t="s">
        <v>709</v>
      </c>
      <c r="F3836" s="2077"/>
      <c r="G3836" s="2174" t="s">
        <v>6</v>
      </c>
      <c r="H3836" s="2077"/>
      <c r="I3836" s="2174"/>
      <c r="J3836" s="2043"/>
      <c r="K3836" s="2174"/>
      <c r="M3836" s="1133"/>
      <c r="N3836" s="1147"/>
      <c r="O3836" s="1146"/>
      <c r="P3836" s="1117"/>
    </row>
    <row r="3837" spans="1:23" ht="15.6" hidden="1" customHeight="1" x14ac:dyDescent="0.25">
      <c r="B3837" s="2046"/>
      <c r="C3837" s="2046"/>
      <c r="D3837" s="2077"/>
      <c r="E3837" s="2174" t="s">
        <v>4435</v>
      </c>
      <c r="F3837" s="2077"/>
      <c r="G3837" s="2174" t="s">
        <v>4436</v>
      </c>
      <c r="H3837" s="2077"/>
      <c r="I3837" s="2174" t="s">
        <v>4427</v>
      </c>
      <c r="J3837" s="2043"/>
      <c r="K3837" s="2174" t="s">
        <v>4428</v>
      </c>
      <c r="M3837" s="1133"/>
      <c r="N3837" s="1147"/>
      <c r="O3837" s="1146"/>
    </row>
    <row r="3838" spans="1:23" ht="15.6" hidden="1" customHeight="1" x14ac:dyDescent="0.2">
      <c r="B3838" s="2046"/>
      <c r="C3838" s="2046"/>
      <c r="D3838" s="2077"/>
      <c r="E3838" s="2077"/>
      <c r="F3838" s="2077"/>
      <c r="G3838" s="2077"/>
      <c r="H3838" s="2077"/>
      <c r="I3838" s="2077"/>
      <c r="J3838" s="2043"/>
      <c r="K3838" s="2077"/>
      <c r="M3838" s="1133"/>
      <c r="N3838" s="1147"/>
      <c r="O3838" s="1146"/>
    </row>
    <row r="3839" spans="1:23" ht="15.6" hidden="1" customHeight="1" x14ac:dyDescent="0.25">
      <c r="B3839" s="2081" t="str">
        <f>"Amount per AFS previously published for "&amp;Parameters!C27</f>
        <v>Amount per AFS previously published for 2010/11</v>
      </c>
      <c r="C3839" s="2046"/>
      <c r="D3839" s="2077"/>
      <c r="E3839" s="2049">
        <v>0</v>
      </c>
      <c r="F3839" s="2077"/>
      <c r="G3839" s="2049">
        <v>0</v>
      </c>
      <c r="H3839" s="2077"/>
      <c r="I3839" s="2049">
        <v>0</v>
      </c>
      <c r="J3839" s="2043"/>
      <c r="K3839" s="2049">
        <v>0</v>
      </c>
      <c r="M3839" s="1133"/>
      <c r="N3839" s="1147"/>
      <c r="O3839" s="1146"/>
      <c r="P3839" s="1115"/>
    </row>
    <row r="3840" spans="1:23" ht="15.6" hidden="1" customHeight="1" x14ac:dyDescent="0.2">
      <c r="B3840" s="2082" t="s">
        <v>4437</v>
      </c>
      <c r="C3840" s="2046"/>
      <c r="D3840" s="2077"/>
      <c r="E3840" s="2043">
        <v>0</v>
      </c>
      <c r="F3840" s="2077"/>
      <c r="G3840" s="2043">
        <v>0</v>
      </c>
      <c r="H3840" s="2077"/>
      <c r="I3840" s="2043">
        <v>0</v>
      </c>
      <c r="J3840" s="2043"/>
      <c r="K3840" s="2043">
        <v>0</v>
      </c>
      <c r="M3840" s="1147">
        <f>SUM(D3840:K3840)</f>
        <v>0</v>
      </c>
      <c r="N3840" s="1147"/>
      <c r="O3840" s="1146"/>
      <c r="P3840" s="1117"/>
    </row>
    <row r="3841" spans="1:23" ht="15.6" hidden="1" customHeight="1" x14ac:dyDescent="0.2">
      <c r="B3841" s="2046" t="s">
        <v>4438</v>
      </c>
      <c r="C3841" s="2046"/>
      <c r="D3841" s="2077"/>
      <c r="E3841" s="2043">
        <v>0</v>
      </c>
      <c r="F3841" s="2077"/>
      <c r="G3841" s="2043">
        <f>-M3460</f>
        <v>0</v>
      </c>
      <c r="H3841" s="2077"/>
      <c r="I3841" s="2043">
        <v>0</v>
      </c>
      <c r="J3841" s="2043"/>
      <c r="K3841" s="2043">
        <v>0</v>
      </c>
      <c r="M3841" s="1147">
        <f>SUM(D3841:K3841)</f>
        <v>0</v>
      </c>
      <c r="N3841" s="1147"/>
      <c r="O3841" s="1146"/>
      <c r="P3841" s="1115"/>
    </row>
    <row r="3842" spans="1:23" ht="15.6" hidden="1" customHeight="1" x14ac:dyDescent="0.2">
      <c r="B3842" s="2046" t="s">
        <v>4431</v>
      </c>
      <c r="C3842" s="2046"/>
      <c r="D3842" s="2077"/>
      <c r="E3842" s="2043">
        <v>0</v>
      </c>
      <c r="F3842" s="2077"/>
      <c r="G3842" s="2043">
        <v>0</v>
      </c>
      <c r="H3842" s="2077"/>
      <c r="I3842" s="2043">
        <f>-M3523</f>
        <v>0</v>
      </c>
      <c r="J3842" s="2043"/>
      <c r="K3842" s="2043">
        <v>0</v>
      </c>
      <c r="M3842" s="1147">
        <f>SUM(D3842:K3842)</f>
        <v>0</v>
      </c>
      <c r="N3842" s="1147"/>
      <c r="O3842" s="1146"/>
      <c r="P3842" s="1115"/>
    </row>
    <row r="3843" spans="1:23" ht="15.6" hidden="1" customHeight="1" x14ac:dyDescent="0.2">
      <c r="B3843" s="2046" t="s">
        <v>4429</v>
      </c>
      <c r="C3843" s="2046"/>
      <c r="D3843" s="2077"/>
      <c r="E3843" s="2043">
        <v>0</v>
      </c>
      <c r="F3843" s="2077"/>
      <c r="G3843" s="2043">
        <v>0</v>
      </c>
      <c r="H3843" s="2077"/>
      <c r="I3843" s="2043">
        <v>0</v>
      </c>
      <c r="J3843" s="2043"/>
      <c r="K3843" s="2043">
        <v>0</v>
      </c>
      <c r="M3843" s="1147">
        <f>SUM(D3843:K3843)</f>
        <v>0</v>
      </c>
      <c r="N3843" s="1147"/>
      <c r="O3843" s="1146"/>
    </row>
    <row r="3844" spans="1:23" ht="15.6" hidden="1" customHeight="1" x14ac:dyDescent="0.2">
      <c r="B3844" s="2046"/>
      <c r="C3844" s="2046"/>
      <c r="D3844" s="2077"/>
      <c r="E3844" s="2043"/>
      <c r="F3844" s="2077"/>
      <c r="G3844" s="2043"/>
      <c r="H3844" s="2077"/>
      <c r="I3844" s="2043"/>
      <c r="J3844" s="2043"/>
      <c r="K3844" s="2043"/>
      <c r="M3844" s="1133"/>
      <c r="N3844" s="1147"/>
      <c r="O3844" s="1146"/>
    </row>
    <row r="3845" spans="1:23" ht="15.6" hidden="1" customHeight="1" thickBot="1" x14ac:dyDescent="0.3">
      <c r="B3845" s="2081" t="str">
        <f>"Restated Amount currently disclosed for "&amp;Parameters!C27</f>
        <v>Restated Amount currently disclosed for 2010/11</v>
      </c>
      <c r="C3845" s="2046"/>
      <c r="D3845" s="2077"/>
      <c r="E3845" s="2050">
        <f>SUM(E3839:E3844)</f>
        <v>0</v>
      </c>
      <c r="F3845" s="2077"/>
      <c r="G3845" s="2050">
        <f>SUM(G3839:G3844)</f>
        <v>0</v>
      </c>
      <c r="H3845" s="2077"/>
      <c r="I3845" s="2050">
        <f>SUM(I3839:I3844)</f>
        <v>0</v>
      </c>
      <c r="J3845" s="2060"/>
      <c r="K3845" s="2050">
        <f>SUM(K3839:K3844)</f>
        <v>0</v>
      </c>
      <c r="M3845" s="622">
        <f>SUM(M3839:M3844)</f>
        <v>0</v>
      </c>
      <c r="N3845" s="1147"/>
      <c r="O3845" s="1146"/>
    </row>
    <row r="3846" spans="1:23" ht="15.6" hidden="1" customHeight="1" thickTop="1" x14ac:dyDescent="0.2">
      <c r="E3846" s="271">
        <f>E3845-'Fin Perform'!K33</f>
        <v>-30691492.049999993</v>
      </c>
      <c r="G3846" s="271">
        <f>G3845-'Fin Perform'!K36</f>
        <v>-21078163.109999999</v>
      </c>
      <c r="I3846" s="271">
        <f>I3845-'Fin Perform'!K37</f>
        <v>-15271156.710000001</v>
      </c>
      <c r="J3846" s="58"/>
      <c r="K3846" s="271">
        <f>K3845-'Fin Perform'!K44</f>
        <v>-19176808.199999999</v>
      </c>
      <c r="M3846" s="1133"/>
      <c r="N3846" s="1147"/>
      <c r="O3846" s="1146"/>
    </row>
    <row r="3847" spans="1:23" ht="15.6" customHeight="1" x14ac:dyDescent="0.2">
      <c r="B3847" s="229" t="s">
        <v>7598</v>
      </c>
      <c r="I3847" s="270"/>
      <c r="J3847" s="270"/>
      <c r="K3847" s="270"/>
      <c r="M3847" s="1133"/>
      <c r="N3847" s="1147"/>
      <c r="O3847" s="1146"/>
      <c r="W3847" s="1114" t="s">
        <v>3857</v>
      </c>
    </row>
    <row r="3848" spans="1:23" ht="15.6" customHeight="1" x14ac:dyDescent="0.2">
      <c r="I3848" s="58"/>
      <c r="J3848" s="58"/>
      <c r="K3848" s="58"/>
      <c r="M3848" s="1133"/>
      <c r="N3848" s="1147"/>
      <c r="O3848" s="1146"/>
    </row>
    <row r="3849" spans="1:23" ht="15.6" hidden="1" customHeight="1" x14ac:dyDescent="0.2">
      <c r="B3849" s="229" t="s">
        <v>4439</v>
      </c>
      <c r="I3849" s="58"/>
      <c r="J3849" s="58"/>
      <c r="K3849" s="58"/>
      <c r="M3849" s="1133"/>
      <c r="N3849" s="1147"/>
      <c r="O3849" s="1146"/>
    </row>
    <row r="3850" spans="1:23" ht="15.6" hidden="1" customHeight="1" x14ac:dyDescent="0.25">
      <c r="B3850" s="50" t="s">
        <v>4440</v>
      </c>
      <c r="C3850" s="50"/>
      <c r="D3850" s="219"/>
      <c r="E3850" s="50"/>
      <c r="F3850" s="219"/>
      <c r="G3850" s="219"/>
      <c r="H3850" s="219"/>
      <c r="I3850" s="224">
        <v>0</v>
      </c>
      <c r="J3850" s="200"/>
      <c r="K3850" s="224">
        <v>0</v>
      </c>
      <c r="M3850" s="1133"/>
      <c r="N3850" s="1147"/>
      <c r="O3850" s="1146"/>
      <c r="P3850" s="48"/>
      <c r="Q3850" s="48"/>
      <c r="R3850" s="48"/>
      <c r="S3850" s="48"/>
      <c r="T3850" s="48"/>
      <c r="U3850" s="48"/>
      <c r="V3850" s="48"/>
      <c r="W3850" s="48"/>
    </row>
    <row r="3851" spans="1:23" ht="15.6" hidden="1" customHeight="1" x14ac:dyDescent="0.25">
      <c r="B3851" s="48" t="s">
        <v>4441</v>
      </c>
      <c r="I3851" s="58">
        <v>0</v>
      </c>
      <c r="J3851" s="200"/>
      <c r="K3851" s="58">
        <v>0</v>
      </c>
      <c r="M3851" s="1133"/>
      <c r="N3851" s="1147"/>
      <c r="O3851" s="1146"/>
      <c r="P3851" s="48"/>
      <c r="Q3851" s="48"/>
      <c r="R3851" s="48"/>
      <c r="S3851" s="48"/>
      <c r="T3851" s="48"/>
      <c r="U3851" s="48"/>
      <c r="V3851" s="48"/>
      <c r="W3851" s="48"/>
    </row>
    <row r="3852" spans="1:23" ht="15.6" hidden="1" customHeight="1" x14ac:dyDescent="0.25">
      <c r="B3852" s="48" t="s">
        <v>4442</v>
      </c>
      <c r="I3852" s="58">
        <v>0</v>
      </c>
      <c r="J3852" s="200"/>
      <c r="K3852" s="58">
        <v>0</v>
      </c>
      <c r="M3852" s="1133"/>
      <c r="N3852" s="1147"/>
      <c r="O3852" s="1146"/>
      <c r="P3852" s="48"/>
      <c r="Q3852" s="48"/>
      <c r="R3852" s="48"/>
      <c r="S3852" s="48"/>
      <c r="T3852" s="48"/>
      <c r="U3852" s="48"/>
      <c r="V3852" s="48"/>
      <c r="W3852" s="48"/>
    </row>
    <row r="3853" spans="1:23" ht="15.6" hidden="1" customHeight="1" x14ac:dyDescent="0.25">
      <c r="B3853" s="48" t="s">
        <v>4443</v>
      </c>
      <c r="I3853" s="58">
        <v>0</v>
      </c>
      <c r="J3853" s="200"/>
      <c r="K3853" s="58">
        <v>0</v>
      </c>
      <c r="M3853" s="1133"/>
      <c r="N3853" s="1147"/>
      <c r="O3853" s="1146"/>
      <c r="P3853" s="48"/>
      <c r="Q3853" s="48"/>
      <c r="R3853" s="48"/>
      <c r="S3853" s="48"/>
      <c r="T3853" s="48"/>
      <c r="U3853" s="48"/>
      <c r="V3853" s="48"/>
      <c r="W3853" s="48"/>
    </row>
    <row r="3854" spans="1:23" ht="15.6" hidden="1" customHeight="1" x14ac:dyDescent="0.25">
      <c r="I3854" s="58"/>
      <c r="J3854" s="200"/>
      <c r="K3854" s="58"/>
      <c r="M3854" s="1133"/>
      <c r="N3854" s="1147"/>
      <c r="O3854" s="1146"/>
      <c r="P3854" s="48"/>
      <c r="Q3854" s="48"/>
      <c r="R3854" s="48"/>
      <c r="S3854" s="48"/>
      <c r="T3854" s="48"/>
      <c r="U3854" s="48"/>
      <c r="V3854" s="48"/>
      <c r="W3854" s="48"/>
    </row>
    <row r="3855" spans="1:23" ht="15.6" hidden="1" customHeight="1" thickBot="1" x14ac:dyDescent="0.3">
      <c r="A3855" s="201"/>
      <c r="B3855" s="275" t="s">
        <v>4444</v>
      </c>
      <c r="C3855" s="275"/>
      <c r="D3855" s="275"/>
      <c r="E3855" s="275"/>
      <c r="F3855" s="275"/>
      <c r="G3855" s="275"/>
      <c r="H3855" s="275"/>
      <c r="I3855" s="204">
        <f>SUM(I3849:I3854)</f>
        <v>0</v>
      </c>
      <c r="J3855" s="251"/>
      <c r="K3855" s="204">
        <f>SUM(K3849:K3854)</f>
        <v>0</v>
      </c>
      <c r="L3855" s="201"/>
      <c r="M3855" s="1133"/>
      <c r="N3855" s="1147"/>
      <c r="O3855" s="1146"/>
      <c r="P3855" s="48"/>
      <c r="Q3855" s="48"/>
      <c r="R3855" s="48"/>
      <c r="S3855" s="48"/>
      <c r="T3855" s="48"/>
      <c r="U3855" s="48"/>
      <c r="V3855" s="48"/>
      <c r="W3855" s="48"/>
    </row>
    <row r="3856" spans="1:23" ht="15.6" hidden="1" customHeight="1" thickTop="1" x14ac:dyDescent="0.25">
      <c r="I3856" s="271">
        <v>0</v>
      </c>
      <c r="J3856" s="200"/>
      <c r="K3856" s="271">
        <v>0</v>
      </c>
      <c r="M3856" s="1133"/>
      <c r="N3856" s="1147"/>
      <c r="O3856" s="1146"/>
      <c r="P3856" s="48"/>
      <c r="Q3856" s="48"/>
      <c r="R3856" s="48"/>
      <c r="S3856" s="48"/>
      <c r="T3856" s="48"/>
      <c r="U3856" s="48"/>
      <c r="V3856" s="48"/>
      <c r="W3856" s="48"/>
    </row>
    <row r="3857" spans="1:23" ht="15.6" customHeight="1" x14ac:dyDescent="0.2">
      <c r="B3857" s="229" t="s">
        <v>4445</v>
      </c>
      <c r="I3857" s="58"/>
      <c r="J3857" s="58"/>
      <c r="K3857" s="58"/>
      <c r="M3857" s="1133"/>
      <c r="N3857" s="1147"/>
      <c r="O3857" s="1146"/>
      <c r="P3857" s="48"/>
      <c r="Q3857" s="48"/>
      <c r="R3857" s="48"/>
      <c r="S3857" s="48"/>
      <c r="T3857" s="48"/>
      <c r="U3857" s="48"/>
      <c r="V3857" s="48"/>
      <c r="W3857" s="48"/>
    </row>
    <row r="3858" spans="1:23" ht="15.6" customHeight="1" x14ac:dyDescent="0.25">
      <c r="B3858" s="50" t="s">
        <v>4440</v>
      </c>
      <c r="C3858" s="50"/>
      <c r="D3858" s="219"/>
      <c r="E3858" s="50"/>
      <c r="F3858" s="219"/>
      <c r="G3858" s="219"/>
      <c r="H3858" s="219"/>
      <c r="I3858" s="224">
        <f>K3862</f>
        <v>534123</v>
      </c>
      <c r="J3858" s="224"/>
      <c r="K3858" s="224">
        <v>0</v>
      </c>
      <c r="M3858" s="1133"/>
      <c r="N3858" s="1147"/>
      <c r="O3858" s="1146"/>
      <c r="P3858" s="48"/>
      <c r="Q3858" s="48"/>
      <c r="R3858" s="48"/>
      <c r="S3858" s="48"/>
      <c r="T3858" s="48"/>
      <c r="U3858" s="48"/>
      <c r="V3858" s="48"/>
      <c r="W3858" s="48"/>
    </row>
    <row r="3859" spans="1:23" ht="15.6" customHeight="1" x14ac:dyDescent="0.25">
      <c r="B3859" s="48" t="s">
        <v>4446</v>
      </c>
      <c r="I3859" s="58">
        <v>0</v>
      </c>
      <c r="J3859" s="200"/>
      <c r="K3859" s="58">
        <v>534123</v>
      </c>
      <c r="M3859" s="1133"/>
      <c r="N3859" s="1147"/>
      <c r="O3859" s="1146"/>
      <c r="P3859" s="48"/>
      <c r="Q3859" s="48"/>
      <c r="R3859" s="48"/>
      <c r="S3859" s="48"/>
      <c r="T3859" s="48"/>
      <c r="U3859" s="48"/>
      <c r="V3859" s="48"/>
      <c r="W3859" s="48"/>
    </row>
    <row r="3860" spans="1:23" ht="15.6" hidden="1" customHeight="1" x14ac:dyDescent="0.25">
      <c r="B3860" s="48" t="s">
        <v>4447</v>
      </c>
      <c r="I3860" s="58">
        <v>0</v>
      </c>
      <c r="J3860" s="200"/>
      <c r="K3860" s="58">
        <v>0</v>
      </c>
      <c r="M3860" s="1133"/>
      <c r="N3860" s="1147"/>
      <c r="O3860" s="1146"/>
      <c r="P3860" s="48"/>
      <c r="Q3860" s="48"/>
      <c r="R3860" s="48"/>
      <c r="S3860" s="48"/>
      <c r="T3860" s="48"/>
      <c r="U3860" s="48"/>
      <c r="V3860" s="48"/>
      <c r="W3860" s="48"/>
    </row>
    <row r="3861" spans="1:23" ht="15.6" customHeight="1" x14ac:dyDescent="0.25">
      <c r="I3861" s="58"/>
      <c r="J3861" s="200"/>
      <c r="K3861" s="58"/>
      <c r="M3861" s="1133"/>
      <c r="N3861" s="1147"/>
      <c r="O3861" s="1146"/>
      <c r="P3861" s="48"/>
      <c r="Q3861" s="48"/>
      <c r="R3861" s="48"/>
      <c r="S3861" s="48"/>
      <c r="T3861" s="48"/>
      <c r="U3861" s="48"/>
      <c r="V3861" s="48"/>
      <c r="W3861" s="48"/>
    </row>
    <row r="3862" spans="1:23" ht="15.6" customHeight="1" thickBot="1" x14ac:dyDescent="0.3">
      <c r="A3862" s="201"/>
      <c r="B3862" s="275" t="s">
        <v>4444</v>
      </c>
      <c r="C3862" s="275"/>
      <c r="D3862" s="275"/>
      <c r="E3862" s="275"/>
      <c r="F3862" s="275"/>
      <c r="G3862" s="275"/>
      <c r="H3862" s="275"/>
      <c r="I3862" s="204">
        <f>SUM(I3857:I3861)</f>
        <v>534123</v>
      </c>
      <c r="K3862" s="204">
        <f>SUM(K3857:K3861)</f>
        <v>534123</v>
      </c>
      <c r="L3862" s="201"/>
      <c r="M3862" s="1133"/>
      <c r="N3862" s="1147"/>
      <c r="O3862" s="1146"/>
      <c r="P3862" s="48"/>
      <c r="Q3862" s="48"/>
      <c r="R3862" s="48"/>
      <c r="S3862" s="48"/>
      <c r="T3862" s="48"/>
      <c r="U3862" s="48"/>
      <c r="V3862" s="48"/>
      <c r="W3862" s="48"/>
    </row>
    <row r="3863" spans="1:23" ht="15.6" customHeight="1" thickTop="1" x14ac:dyDescent="0.25">
      <c r="I3863" s="271">
        <v>0</v>
      </c>
      <c r="J3863" s="200"/>
      <c r="K3863" s="271">
        <v>0</v>
      </c>
      <c r="M3863" s="1133"/>
      <c r="N3863" s="1147"/>
      <c r="O3863" s="1146"/>
      <c r="P3863" s="48"/>
      <c r="Q3863" s="48"/>
      <c r="R3863" s="48"/>
      <c r="S3863" s="48"/>
      <c r="T3863" s="48"/>
      <c r="U3863" s="48"/>
      <c r="V3863" s="48"/>
      <c r="W3863" s="48"/>
    </row>
    <row r="3864" spans="1:23" ht="15.6" customHeight="1" x14ac:dyDescent="0.2">
      <c r="B3864" s="229" t="s">
        <v>4448</v>
      </c>
      <c r="I3864" s="58"/>
      <c r="J3864" s="58"/>
      <c r="K3864" s="58"/>
      <c r="M3864" s="1133"/>
      <c r="N3864" s="1147"/>
      <c r="O3864" s="1146"/>
      <c r="P3864" s="48"/>
      <c r="Q3864" s="48"/>
      <c r="R3864" s="48"/>
      <c r="S3864" s="48"/>
      <c r="T3864" s="48"/>
      <c r="U3864" s="48"/>
      <c r="V3864" s="48"/>
      <c r="W3864" s="48"/>
    </row>
    <row r="3865" spans="1:23" ht="15.6" customHeight="1" x14ac:dyDescent="0.25">
      <c r="B3865" s="50" t="s">
        <v>4440</v>
      </c>
      <c r="C3865" s="50"/>
      <c r="D3865" s="219"/>
      <c r="E3865" s="50"/>
      <c r="F3865" s="219"/>
      <c r="G3865" s="219"/>
      <c r="H3865" s="219"/>
      <c r="I3865" s="224">
        <f>K3868</f>
        <v>511904</v>
      </c>
      <c r="J3865" s="224"/>
      <c r="K3865" s="224">
        <v>0</v>
      </c>
      <c r="M3865" s="1133"/>
      <c r="N3865" s="1147"/>
      <c r="O3865" s="1146"/>
      <c r="P3865" s="48"/>
      <c r="Q3865" s="48"/>
      <c r="R3865" s="48"/>
      <c r="S3865" s="48"/>
      <c r="T3865" s="48"/>
      <c r="U3865" s="48"/>
      <c r="V3865" s="48"/>
      <c r="W3865" s="48"/>
    </row>
    <row r="3866" spans="1:23" ht="15.6" customHeight="1" x14ac:dyDescent="0.2">
      <c r="B3866" s="48" t="s">
        <v>7499</v>
      </c>
      <c r="I3866" s="58">
        <f>'Fin Pos'!J10-K3868</f>
        <v>114926.09999999998</v>
      </c>
      <c r="J3866" s="58"/>
      <c r="K3866" s="58">
        <f>'Fin Pos'!L10</f>
        <v>511904</v>
      </c>
      <c r="M3866" s="1133"/>
      <c r="N3866" s="1147"/>
      <c r="O3866" s="1146"/>
    </row>
    <row r="3867" spans="1:23" ht="15.6" customHeight="1" x14ac:dyDescent="0.2">
      <c r="I3867" s="58"/>
      <c r="J3867" s="58"/>
      <c r="K3867" s="58"/>
      <c r="M3867" s="1133"/>
      <c r="N3867" s="1147"/>
      <c r="O3867" s="1146"/>
    </row>
    <row r="3868" spans="1:23" ht="15.6" customHeight="1" thickBot="1" x14ac:dyDescent="0.3">
      <c r="A3868" s="201"/>
      <c r="B3868" s="275" t="s">
        <v>4444</v>
      </c>
      <c r="C3868" s="275"/>
      <c r="D3868" s="275"/>
      <c r="E3868" s="275"/>
      <c r="F3868" s="275"/>
      <c r="G3868" s="275"/>
      <c r="H3868" s="275"/>
      <c r="I3868" s="204">
        <f>SUM(I3864:I3867)</f>
        <v>626830.1</v>
      </c>
      <c r="K3868" s="204">
        <f>SUM(K3864:K3867)</f>
        <v>511904</v>
      </c>
      <c r="L3868" s="201"/>
      <c r="M3868" s="1133"/>
      <c r="N3868" s="1147"/>
      <c r="O3868" s="1146"/>
    </row>
    <row r="3869" spans="1:23" ht="15.6" customHeight="1" thickTop="1" x14ac:dyDescent="0.25">
      <c r="I3869" s="271">
        <v>0</v>
      </c>
      <c r="J3869" s="200"/>
      <c r="K3869" s="271">
        <v>0</v>
      </c>
      <c r="M3869" s="1133"/>
      <c r="N3869" s="1147"/>
      <c r="O3869" s="1146"/>
    </row>
    <row r="3870" spans="1:23" ht="15.6" customHeight="1" x14ac:dyDescent="0.25">
      <c r="B3870" s="229" t="s">
        <v>7599</v>
      </c>
      <c r="I3870" s="271"/>
      <c r="J3870" s="200"/>
      <c r="K3870" s="271"/>
      <c r="M3870" s="1133"/>
      <c r="N3870" s="1147"/>
      <c r="O3870" s="1146"/>
    </row>
    <row r="3871" spans="1:23" ht="15.6" customHeight="1" x14ac:dyDescent="0.25">
      <c r="I3871" s="271"/>
      <c r="J3871" s="200"/>
      <c r="K3871" s="271"/>
      <c r="M3871" s="1133"/>
      <c r="N3871" s="1147"/>
      <c r="O3871" s="1146"/>
    </row>
    <row r="3872" spans="1:23" ht="15.6" customHeight="1" x14ac:dyDescent="0.25">
      <c r="B3872" s="48" t="s">
        <v>7515</v>
      </c>
      <c r="I3872" s="224">
        <f>K3876</f>
        <v>15563009</v>
      </c>
      <c r="J3872" s="224"/>
      <c r="K3872" s="224">
        <v>0</v>
      </c>
      <c r="M3872" s="1133"/>
      <c r="N3872" s="1147"/>
      <c r="O3872" s="1146"/>
    </row>
    <row r="3873" spans="1:16" ht="15.6" customHeight="1" x14ac:dyDescent="0.25">
      <c r="B3873" s="48" t="s">
        <v>7519</v>
      </c>
      <c r="I3873" s="58">
        <v>0</v>
      </c>
      <c r="J3873" s="200"/>
      <c r="K3873" s="58">
        <v>14205749</v>
      </c>
      <c r="M3873" s="1133"/>
      <c r="N3873" s="1147"/>
      <c r="O3873" s="1146"/>
    </row>
    <row r="3874" spans="1:16" ht="15.6" customHeight="1" x14ac:dyDescent="0.25">
      <c r="B3874" s="48" t="s">
        <v>7516</v>
      </c>
      <c r="I3874" s="58">
        <v>1486936</v>
      </c>
      <c r="J3874" s="200"/>
      <c r="K3874" s="58">
        <v>1357260</v>
      </c>
      <c r="M3874" s="1133"/>
      <c r="N3874" s="1147"/>
      <c r="O3874" s="1146"/>
    </row>
    <row r="3875" spans="1:16" ht="15.6" customHeight="1" x14ac:dyDescent="0.25">
      <c r="I3875" s="58"/>
      <c r="J3875" s="200"/>
      <c r="K3875" s="58"/>
      <c r="M3875" s="1133"/>
      <c r="N3875" s="1147"/>
      <c r="O3875" s="1146"/>
    </row>
    <row r="3876" spans="1:16" ht="15.6" customHeight="1" thickBot="1" x14ac:dyDescent="0.3">
      <c r="B3876" s="48" t="s">
        <v>7517</v>
      </c>
      <c r="I3876" s="204">
        <f>SUM(I3872:I3875)</f>
        <v>17049945</v>
      </c>
      <c r="K3876" s="204">
        <f>SUM(K3872:K3875)</f>
        <v>15563009</v>
      </c>
      <c r="M3876" s="1133"/>
      <c r="N3876" s="1147"/>
      <c r="O3876" s="1146"/>
    </row>
    <row r="3877" spans="1:16" ht="15.6" customHeight="1" thickTop="1" x14ac:dyDescent="0.25">
      <c r="I3877" s="271"/>
      <c r="J3877" s="200"/>
      <c r="K3877" s="271"/>
      <c r="M3877" s="1133"/>
      <c r="N3877" s="1147"/>
      <c r="O3877" s="1146"/>
    </row>
    <row r="3878" spans="1:16" ht="15.6" customHeight="1" x14ac:dyDescent="0.25">
      <c r="B3878" s="229" t="s">
        <v>7685</v>
      </c>
      <c r="I3878" s="271"/>
      <c r="J3878" s="200"/>
      <c r="K3878" s="271"/>
      <c r="M3878" s="1133"/>
      <c r="N3878" s="1147"/>
      <c r="O3878" s="1146"/>
    </row>
    <row r="3879" spans="1:16" ht="15.6" customHeight="1" x14ac:dyDescent="0.25">
      <c r="I3879" s="271"/>
      <c r="J3879" s="200"/>
      <c r="K3879" s="271"/>
      <c r="M3879" s="1133"/>
      <c r="N3879" s="1147"/>
      <c r="O3879" s="1146"/>
    </row>
    <row r="3880" spans="1:16" ht="15.6" customHeight="1" x14ac:dyDescent="0.25">
      <c r="B3880" s="48" t="s">
        <v>7683</v>
      </c>
      <c r="I3880" s="224">
        <f>K3885</f>
        <v>15183263.100000001</v>
      </c>
      <c r="J3880" s="224"/>
      <c r="K3880" s="224">
        <v>6528332</v>
      </c>
      <c r="M3880" s="1133"/>
      <c r="N3880" s="1147"/>
      <c r="O3880" s="1146"/>
    </row>
    <row r="3881" spans="1:16" ht="15.6" customHeight="1" x14ac:dyDescent="0.25">
      <c r="B3881" s="48" t="s">
        <v>7684</v>
      </c>
      <c r="I3881" s="58">
        <v>0</v>
      </c>
      <c r="J3881" s="200"/>
      <c r="K3881" s="58">
        <f>K3885-K3880</f>
        <v>8654931.1000000015</v>
      </c>
      <c r="M3881" s="1133"/>
      <c r="N3881" s="1147"/>
      <c r="O3881" s="1146"/>
    </row>
    <row r="3882" spans="1:16" ht="15.6" customHeight="1" x14ac:dyDescent="0.25">
      <c r="B3882" s="48" t="s">
        <v>7686</v>
      </c>
      <c r="I3882" s="58">
        <v>-2815596</v>
      </c>
      <c r="J3882" s="200"/>
      <c r="K3882" s="58">
        <v>0</v>
      </c>
      <c r="M3882" s="1133"/>
      <c r="N3882" s="1147"/>
      <c r="O3882" s="1146"/>
    </row>
    <row r="3883" spans="1:16" ht="15.6" customHeight="1" x14ac:dyDescent="0.25">
      <c r="B3883" s="48" t="s">
        <v>7687</v>
      </c>
      <c r="I3883" s="58">
        <v>0</v>
      </c>
      <c r="J3883" s="200"/>
      <c r="K3883" s="58">
        <v>0</v>
      </c>
      <c r="M3883" s="1133"/>
      <c r="N3883" s="1147"/>
      <c r="O3883" s="1146"/>
    </row>
    <row r="3884" spans="1:16" ht="15.6" customHeight="1" x14ac:dyDescent="0.25">
      <c r="I3884" s="58"/>
      <c r="J3884" s="200"/>
      <c r="K3884" s="58"/>
      <c r="M3884" s="1133"/>
      <c r="N3884" s="1147"/>
      <c r="O3884" s="1146"/>
    </row>
    <row r="3885" spans="1:16" ht="15.6" customHeight="1" thickBot="1" x14ac:dyDescent="0.3">
      <c r="B3885" s="48" t="s">
        <v>7517</v>
      </c>
      <c r="I3885" s="204">
        <f>SUM(I3880:I3884)</f>
        <v>12367667.100000001</v>
      </c>
      <c r="K3885" s="204">
        <f>'Fin Pos'!L15</f>
        <v>15183263.100000001</v>
      </c>
      <c r="M3885" s="1133">
        <f>'Fin Pos'!J15</f>
        <v>12367667.560000002</v>
      </c>
      <c r="N3885" s="1147">
        <f>'Fin Pos'!L15</f>
        <v>15183263.100000001</v>
      </c>
      <c r="O3885" s="1146"/>
    </row>
    <row r="3886" spans="1:16" ht="15.6" customHeight="1" thickTop="1" x14ac:dyDescent="0.25">
      <c r="I3886" s="224"/>
      <c r="K3886" s="224"/>
      <c r="M3886" s="1274">
        <f>I3885-M3885</f>
        <v>-0.46000000089406967</v>
      </c>
      <c r="N3886" s="1147">
        <f>K3885-N3885</f>
        <v>0</v>
      </c>
      <c r="O3886" s="1146"/>
    </row>
    <row r="3887" spans="1:16" ht="15.6" customHeight="1" x14ac:dyDescent="0.25">
      <c r="A3887" s="50"/>
      <c r="D3887" s="48"/>
      <c r="F3887" s="48"/>
      <c r="H3887" s="1254"/>
      <c r="I3887" s="1263">
        <f>Parameters!C17</f>
        <v>2012</v>
      </c>
      <c r="J3887" s="1254"/>
      <c r="K3887" s="1263">
        <f>Parameters!C19</f>
        <v>2011</v>
      </c>
      <c r="M3887" s="232" t="s">
        <v>803</v>
      </c>
      <c r="N3887" s="1224">
        <f>Parameters!C21</f>
        <v>2010</v>
      </c>
      <c r="O3887" s="1460"/>
    </row>
    <row r="3888" spans="1:16" ht="15.6" customHeight="1" x14ac:dyDescent="0.25">
      <c r="I3888" s="237" t="s">
        <v>255</v>
      </c>
      <c r="J3888" s="238"/>
      <c r="K3888" s="237" t="s">
        <v>255</v>
      </c>
      <c r="L3888" s="210"/>
      <c r="M3888" s="1133"/>
      <c r="N3888" s="1133"/>
      <c r="O3888" s="1146"/>
      <c r="P3888" s="1115"/>
    </row>
    <row r="3889" spans="1:23" ht="15.6" customHeight="1" x14ac:dyDescent="0.25">
      <c r="I3889" s="237"/>
      <c r="J3889" s="238"/>
      <c r="K3889" s="237"/>
      <c r="L3889" s="210"/>
      <c r="M3889" s="1133"/>
      <c r="N3889" s="1133"/>
      <c r="O3889" s="1146"/>
    </row>
    <row r="3890" spans="1:23" ht="15.6" customHeight="1" x14ac:dyDescent="0.25">
      <c r="A3890" s="211">
        <v>38</v>
      </c>
      <c r="B3890" s="50" t="s">
        <v>1542</v>
      </c>
      <c r="C3890" s="50"/>
      <c r="K3890" s="206"/>
      <c r="W3890" s="1114" t="s">
        <v>3520</v>
      </c>
    </row>
    <row r="3891" spans="1:23" ht="15.6" customHeight="1" x14ac:dyDescent="0.25">
      <c r="B3891" s="50"/>
      <c r="C3891" s="50"/>
      <c r="E3891" s="50"/>
    </row>
    <row r="3892" spans="1:23" ht="30.95" hidden="1" customHeight="1" x14ac:dyDescent="0.2">
      <c r="A3892" s="201"/>
      <c r="B3892" s="2900" t="s">
        <v>2489</v>
      </c>
      <c r="C3892" s="2900"/>
      <c r="D3892" s="2900"/>
      <c r="E3892" s="2900"/>
      <c r="F3892" s="2900"/>
      <c r="G3892" s="2900"/>
      <c r="H3892" s="2900"/>
      <c r="I3892" s="2900"/>
      <c r="J3892" s="2900"/>
      <c r="K3892" s="2900"/>
      <c r="L3892" s="201"/>
      <c r="M3892" s="1482"/>
      <c r="N3892" s="1147"/>
      <c r="O3892" s="1133"/>
    </row>
    <row r="3893" spans="1:23" ht="15.6" hidden="1" customHeight="1" x14ac:dyDescent="0.25">
      <c r="I3893" s="237"/>
      <c r="J3893" s="238"/>
      <c r="K3893" s="237"/>
      <c r="L3893" s="210"/>
      <c r="M3893" s="1133"/>
      <c r="N3893" s="1133"/>
      <c r="O3893" s="1146"/>
    </row>
    <row r="3894" spans="1:23" ht="15.6" customHeight="1" x14ac:dyDescent="0.2">
      <c r="B3894" s="671" t="s">
        <v>7600</v>
      </c>
      <c r="C3894" s="672"/>
      <c r="D3894" s="672"/>
      <c r="E3894" s="672"/>
      <c r="F3894" s="672"/>
      <c r="G3894" s="672"/>
      <c r="I3894" s="270"/>
      <c r="J3894" s="270"/>
      <c r="K3894" s="270"/>
      <c r="M3894" s="1217" t="s">
        <v>2369</v>
      </c>
      <c r="N3894" s="1147"/>
      <c r="O3894" s="1146"/>
      <c r="W3894" s="1114" t="s">
        <v>3857</v>
      </c>
    </row>
    <row r="3895" spans="1:23" ht="15.6" customHeight="1" x14ac:dyDescent="0.2">
      <c r="I3895" s="58"/>
      <c r="J3895" s="58"/>
      <c r="K3895" s="58"/>
      <c r="M3895" s="1133"/>
      <c r="N3895" s="1147"/>
      <c r="O3895" s="1146"/>
    </row>
    <row r="3896" spans="1:23" ht="46.5" customHeight="1" x14ac:dyDescent="0.2">
      <c r="B3896" s="2839" t="s">
        <v>7495</v>
      </c>
      <c r="C3896" s="2839"/>
      <c r="D3896" s="2839"/>
      <c r="E3896" s="2839"/>
      <c r="F3896" s="2839"/>
      <c r="G3896" s="2839"/>
      <c r="H3896" s="56"/>
      <c r="I3896" s="2157">
        <f>I3901</f>
        <v>21215435.489999998</v>
      </c>
      <c r="J3896" s="56"/>
      <c r="K3896" s="2157">
        <f>K3901</f>
        <v>21078163.109999999</v>
      </c>
    </row>
    <row r="3897" spans="1:23" ht="15.6" customHeight="1" x14ac:dyDescent="0.25">
      <c r="C3897" s="50"/>
      <c r="E3897" s="50"/>
    </row>
    <row r="3898" spans="1:23" ht="15.6" hidden="1" customHeight="1" x14ac:dyDescent="0.2">
      <c r="B3898" s="48" t="s">
        <v>1544</v>
      </c>
      <c r="I3898" s="58">
        <v>0</v>
      </c>
      <c r="J3898" s="58"/>
      <c r="K3898" s="58">
        <v>0</v>
      </c>
      <c r="M3898" s="1133"/>
      <c r="N3898" s="1133"/>
      <c r="O3898" s="1146"/>
    </row>
    <row r="3899" spans="1:23" ht="15.6" hidden="1" customHeight="1" x14ac:dyDescent="0.2">
      <c r="B3899" s="48" t="s">
        <v>1543</v>
      </c>
      <c r="I3899" s="58">
        <f>-I112</f>
        <v>0</v>
      </c>
      <c r="J3899" s="58"/>
      <c r="K3899" s="58">
        <f>-K112</f>
        <v>0</v>
      </c>
      <c r="M3899" s="1133"/>
      <c r="N3899" s="1133"/>
      <c r="O3899" s="1146"/>
    </row>
    <row r="3900" spans="1:23" ht="15.6" hidden="1" customHeight="1" x14ac:dyDescent="0.2">
      <c r="I3900" s="58"/>
      <c r="J3900" s="58"/>
      <c r="K3900" s="58"/>
      <c r="M3900" s="1133"/>
      <c r="N3900" s="1133"/>
      <c r="O3900" s="1146"/>
    </row>
    <row r="3901" spans="1:23" ht="15.6" customHeight="1" thickBot="1" x14ac:dyDescent="0.3">
      <c r="B3901" s="50" t="s">
        <v>1545</v>
      </c>
      <c r="C3901" s="50"/>
      <c r="I3901" s="222">
        <f>I3903</f>
        <v>21215435.489999998</v>
      </c>
      <c r="K3901" s="222">
        <f>K3903</f>
        <v>21078163.109999999</v>
      </c>
    </row>
    <row r="3902" spans="1:23" ht="15.6" customHeight="1" thickTop="1" x14ac:dyDescent="0.25">
      <c r="I3902" s="271"/>
      <c r="J3902" s="200"/>
      <c r="K3902" s="271"/>
    </row>
    <row r="3903" spans="1:23" ht="15.6" hidden="1" customHeight="1" x14ac:dyDescent="0.2">
      <c r="B3903" s="2046" t="s">
        <v>1546</v>
      </c>
      <c r="C3903" s="2046"/>
      <c r="D3903" s="2077"/>
      <c r="E3903" s="2046"/>
      <c r="F3903" s="2077"/>
      <c r="G3903" s="2077"/>
      <c r="H3903" s="2077"/>
      <c r="I3903" s="2043">
        <f>I3906-I3904</f>
        <v>21215435.489999998</v>
      </c>
      <c r="J3903" s="2043"/>
      <c r="K3903" s="2043">
        <f>K3906-K3904</f>
        <v>21078163.109999999</v>
      </c>
      <c r="M3903" s="1133"/>
      <c r="N3903" s="1133"/>
      <c r="O3903" s="1146"/>
    </row>
    <row r="3904" spans="1:23" ht="15.6" hidden="1" customHeight="1" x14ac:dyDescent="0.2">
      <c r="B3904" s="2046" t="s">
        <v>1547</v>
      </c>
      <c r="C3904" s="2046"/>
      <c r="D3904" s="2077"/>
      <c r="E3904" s="2046"/>
      <c r="F3904" s="2077"/>
      <c r="G3904" s="2077"/>
      <c r="H3904" s="2077"/>
      <c r="I3904" s="2043">
        <f>-I112</f>
        <v>0</v>
      </c>
      <c r="J3904" s="2043"/>
      <c r="K3904" s="2043">
        <f>-K112</f>
        <v>0</v>
      </c>
      <c r="M3904" s="1133"/>
      <c r="N3904" s="1133"/>
      <c r="O3904" s="1146"/>
    </row>
    <row r="3905" spans="1:23" ht="15.6" hidden="1" customHeight="1" x14ac:dyDescent="0.2">
      <c r="B3905" s="2046"/>
      <c r="C3905" s="2046"/>
      <c r="D3905" s="2077"/>
      <c r="E3905" s="2046"/>
      <c r="F3905" s="2077"/>
      <c r="G3905" s="2077"/>
      <c r="H3905" s="2077"/>
      <c r="I3905" s="2043"/>
      <c r="J3905" s="2043"/>
      <c r="K3905" s="2043"/>
      <c r="M3905" s="1133"/>
      <c r="N3905" s="1133"/>
      <c r="O3905" s="1146"/>
    </row>
    <row r="3906" spans="1:23" ht="15.6" hidden="1" customHeight="1" thickBot="1" x14ac:dyDescent="0.3">
      <c r="B3906" s="2081" t="str">
        <f>"Depreciation as per Note "&amp;'AFS Structure'!C64&amp;""</f>
        <v>Depreciation as per Note 41</v>
      </c>
      <c r="C3906" s="2081"/>
      <c r="D3906" s="2077"/>
      <c r="E3906" s="2046"/>
      <c r="F3906" s="2077"/>
      <c r="G3906" s="2077"/>
      <c r="H3906" s="2077"/>
      <c r="I3906" s="2091">
        <f>I2739</f>
        <v>21215435.489999998</v>
      </c>
      <c r="J3906" s="2060"/>
      <c r="K3906" s="2091">
        <f>K2739</f>
        <v>21078163.109999999</v>
      </c>
    </row>
    <row r="3907" spans="1:23" ht="15.6" hidden="1" customHeight="1" thickTop="1" x14ac:dyDescent="0.25">
      <c r="I3907" s="271"/>
      <c r="J3907" s="200"/>
      <c r="K3907" s="271"/>
    </row>
    <row r="3908" spans="1:23" ht="15.6" hidden="1" customHeight="1" x14ac:dyDescent="0.25">
      <c r="I3908" s="200"/>
      <c r="J3908" s="200"/>
      <c r="O3908" s="1146"/>
    </row>
    <row r="3909" spans="1:23" ht="15.6" customHeight="1" x14ac:dyDescent="0.25">
      <c r="A3909" s="211">
        <v>39</v>
      </c>
      <c r="B3909" s="50" t="s">
        <v>650</v>
      </c>
      <c r="C3909" s="50"/>
      <c r="O3909" s="1146"/>
      <c r="W3909" s="1114" t="s">
        <v>3520</v>
      </c>
    </row>
    <row r="3910" spans="1:23" ht="15.6" customHeight="1" x14ac:dyDescent="0.25">
      <c r="A3910" s="211"/>
      <c r="B3910" s="50"/>
      <c r="C3910" s="50"/>
      <c r="O3910" s="1146"/>
    </row>
    <row r="3911" spans="1:23" ht="15.6" customHeight="1" x14ac:dyDescent="0.2">
      <c r="B3911" s="48" t="s">
        <v>977</v>
      </c>
      <c r="I3911" s="58">
        <f>+'Net Assets'!L30</f>
        <v>-17040532.26000002</v>
      </c>
      <c r="J3911" s="58"/>
      <c r="K3911" s="2481">
        <f>'Net Assets'!L13</f>
        <v>-13820525.900000021</v>
      </c>
      <c r="M3911" s="1214" t="s">
        <v>1947</v>
      </c>
      <c r="O3911" s="1146"/>
    </row>
    <row r="3912" spans="1:23" ht="15.6" hidden="1" customHeight="1" x14ac:dyDescent="0.2">
      <c r="B3912" s="48" t="s">
        <v>7646</v>
      </c>
      <c r="K3912" s="206"/>
      <c r="O3912" s="1146"/>
      <c r="P3912" s="1600"/>
    </row>
    <row r="3913" spans="1:23" ht="15.6" customHeight="1" x14ac:dyDescent="0.2">
      <c r="B3913" s="2609" t="s">
        <v>7646</v>
      </c>
      <c r="I3913" s="199">
        <f>'Net Assets'!K27</f>
        <v>0</v>
      </c>
      <c r="K3913" s="206">
        <v>151047251</v>
      </c>
      <c r="O3913" s="1146"/>
      <c r="P3913" s="1600"/>
    </row>
    <row r="3914" spans="1:23" ht="15.6" hidden="1" customHeight="1" x14ac:dyDescent="0.2">
      <c r="B3914" s="2609" t="s">
        <v>4044</v>
      </c>
      <c r="I3914" s="199">
        <f>'Net Assets'!K28</f>
        <v>0</v>
      </c>
      <c r="K3914" s="206"/>
      <c r="O3914" s="1146"/>
      <c r="P3914" s="1600"/>
      <c r="Q3914" s="48"/>
      <c r="R3914" s="48"/>
      <c r="S3914" s="48"/>
      <c r="T3914" s="48"/>
      <c r="U3914" s="48"/>
      <c r="V3914" s="48"/>
      <c r="W3914" s="48"/>
    </row>
    <row r="3915" spans="1:23" ht="15.6" hidden="1" customHeight="1" x14ac:dyDescent="0.2">
      <c r="B3915" s="2609" t="s">
        <v>4045</v>
      </c>
      <c r="I3915" s="199">
        <f>SUM('Net Assets'!K31:K40)</f>
        <v>0</v>
      </c>
      <c r="K3915" s="206"/>
      <c r="O3915" s="1146"/>
      <c r="P3915" s="1600"/>
      <c r="Q3915" s="48"/>
      <c r="R3915" s="48"/>
      <c r="S3915" s="48"/>
      <c r="T3915" s="48"/>
      <c r="U3915" s="48"/>
      <c r="V3915" s="48"/>
      <c r="W3915" s="48"/>
    </row>
    <row r="3916" spans="1:23" ht="15.6" customHeight="1" x14ac:dyDescent="0.2">
      <c r="B3916" s="48" t="s">
        <v>1113</v>
      </c>
      <c r="I3916" s="199">
        <f>+'Fin Perform'!I36</f>
        <v>21215435.489999998</v>
      </c>
      <c r="K3916" s="199">
        <f>+'Fin Perform'!K36</f>
        <v>21078163.109999999</v>
      </c>
      <c r="O3916" s="1146"/>
      <c r="Q3916" s="48"/>
      <c r="R3916" s="48"/>
      <c r="S3916" s="48"/>
      <c r="T3916" s="48"/>
      <c r="U3916" s="48"/>
      <c r="V3916" s="48"/>
      <c r="W3916" s="48"/>
    </row>
    <row r="3917" spans="1:23" ht="15.6" customHeight="1" x14ac:dyDescent="0.2">
      <c r="B3917" s="48" t="s">
        <v>7647</v>
      </c>
      <c r="I3917" s="199">
        <v>0</v>
      </c>
      <c r="K3917" s="199">
        <v>-1780205</v>
      </c>
      <c r="O3917" s="1146"/>
      <c r="Q3917" s="48"/>
      <c r="R3917" s="48"/>
      <c r="S3917" s="48"/>
      <c r="T3917" s="48"/>
      <c r="U3917" s="48"/>
      <c r="V3917" s="48"/>
      <c r="W3917" s="48"/>
    </row>
    <row r="3918" spans="1:23" ht="15.6" customHeight="1" x14ac:dyDescent="0.2">
      <c r="B3918" s="48" t="s">
        <v>7657</v>
      </c>
      <c r="I3918" s="199">
        <v>153995</v>
      </c>
      <c r="K3918" s="199">
        <v>0</v>
      </c>
      <c r="O3918" s="1146"/>
      <c r="Q3918" s="48"/>
      <c r="R3918" s="48"/>
      <c r="S3918" s="48"/>
      <c r="T3918" s="48"/>
      <c r="U3918" s="48"/>
      <c r="V3918" s="48"/>
      <c r="W3918" s="48"/>
    </row>
    <row r="3919" spans="1:23" ht="15.6" customHeight="1" x14ac:dyDescent="0.2">
      <c r="B3919" s="48" t="s">
        <v>7648</v>
      </c>
      <c r="I3919" s="199">
        <v>0</v>
      </c>
      <c r="K3919" s="199">
        <f>-132520601</f>
        <v>-132520601</v>
      </c>
      <c r="M3919" s="1134">
        <f>'PPE Note'!K38</f>
        <v>-131104.14000000001</v>
      </c>
      <c r="N3919" s="1134">
        <f>'PPE Note'!K109</f>
        <v>-740308</v>
      </c>
      <c r="O3919" s="1146"/>
      <c r="Q3919" s="48"/>
      <c r="R3919" s="48"/>
      <c r="S3919" s="48"/>
      <c r="T3919" s="48"/>
      <c r="U3919" s="48"/>
      <c r="V3919" s="48"/>
      <c r="W3919" s="48"/>
    </row>
    <row r="3920" spans="1:23" ht="15.6" customHeight="1" x14ac:dyDescent="0.2">
      <c r="B3920" s="48" t="s">
        <v>7649</v>
      </c>
      <c r="I3920" s="199">
        <v>0</v>
      </c>
      <c r="K3920" s="199">
        <v>-534123</v>
      </c>
      <c r="M3920" s="1134">
        <f>K184</f>
        <v>0</v>
      </c>
      <c r="N3920" s="1134">
        <f>K224</f>
        <v>0</v>
      </c>
      <c r="O3920" s="1146"/>
      <c r="Q3920" s="48"/>
      <c r="R3920" s="48"/>
      <c r="S3920" s="48"/>
      <c r="T3920" s="48"/>
      <c r="U3920" s="48"/>
      <c r="V3920" s="48"/>
      <c r="W3920" s="48"/>
    </row>
    <row r="3921" spans="2:23" ht="15.6" customHeight="1" x14ac:dyDescent="0.2">
      <c r="B3921" s="48" t="s">
        <v>7650</v>
      </c>
      <c r="I3921" s="199">
        <v>-16834</v>
      </c>
      <c r="K3921" s="199">
        <v>-17858147</v>
      </c>
      <c r="M3921" s="1134">
        <f>I363</f>
        <v>0</v>
      </c>
      <c r="N3921" s="1134">
        <f>K363</f>
        <v>0</v>
      </c>
      <c r="O3921" s="1146"/>
      <c r="Q3921" s="48"/>
      <c r="R3921" s="48"/>
      <c r="S3921" s="48"/>
      <c r="T3921" s="48"/>
      <c r="U3921" s="48"/>
      <c r="V3921" s="48"/>
      <c r="W3921" s="48"/>
    </row>
    <row r="3922" spans="2:23" ht="15.6" customHeight="1" x14ac:dyDescent="0.2">
      <c r="B3922" s="48" t="s">
        <v>7651</v>
      </c>
      <c r="I3922" s="199">
        <v>154320</v>
      </c>
      <c r="K3922" s="199">
        <v>-20100</v>
      </c>
      <c r="M3922" s="1134">
        <f>K458</f>
        <v>0</v>
      </c>
      <c r="N3922" s="1134">
        <f>K499</f>
        <v>0</v>
      </c>
      <c r="O3922" s="1146"/>
      <c r="Q3922" s="48"/>
      <c r="R3922" s="48"/>
      <c r="S3922" s="48"/>
      <c r="T3922" s="48"/>
      <c r="U3922" s="48"/>
      <c r="V3922" s="48"/>
      <c r="W3922" s="48"/>
    </row>
    <row r="3923" spans="2:23" ht="15.6" customHeight="1" x14ac:dyDescent="0.2">
      <c r="B3923" s="48" t="s">
        <v>7658</v>
      </c>
      <c r="I3923" s="199">
        <v>131102</v>
      </c>
      <c r="K3923" s="199">
        <f>-'Fin Perform'!K27</f>
        <v>0</v>
      </c>
      <c r="M3923" s="1134">
        <f>I365</f>
        <v>0</v>
      </c>
      <c r="N3923" s="1134">
        <f>K365</f>
        <v>0</v>
      </c>
      <c r="O3923" s="1146"/>
      <c r="Q3923" s="48"/>
      <c r="R3923" s="48"/>
      <c r="S3923" s="48"/>
      <c r="T3923" s="48"/>
      <c r="U3923" s="48"/>
      <c r="V3923" s="48"/>
      <c r="W3923" s="48"/>
    </row>
    <row r="3924" spans="2:23" ht="15.6" hidden="1" customHeight="1" x14ac:dyDescent="0.2">
      <c r="B3924" s="2046" t="s">
        <v>2599</v>
      </c>
      <c r="C3924" s="2046"/>
      <c r="D3924" s="2077"/>
      <c r="E3924" s="2046"/>
      <c r="F3924" s="2077"/>
      <c r="G3924" s="2077"/>
      <c r="H3924" s="2077"/>
      <c r="I3924" s="2060">
        <v>0</v>
      </c>
      <c r="J3924" s="2060"/>
      <c r="K3924" s="199">
        <f>-'PPE Note'!K117</f>
        <v>0</v>
      </c>
      <c r="O3924" s="1146"/>
      <c r="Q3924" s="48"/>
      <c r="R3924" s="48"/>
      <c r="S3924" s="48"/>
      <c r="T3924" s="48"/>
      <c r="U3924" s="48"/>
      <c r="V3924" s="48"/>
      <c r="W3924" s="48"/>
    </row>
    <row r="3925" spans="2:23" ht="15.6" hidden="1" customHeight="1" x14ac:dyDescent="0.2">
      <c r="B3925" s="2046" t="s">
        <v>1114</v>
      </c>
      <c r="C3925" s="2046"/>
      <c r="D3925" s="2077"/>
      <c r="E3925" s="2046"/>
      <c r="F3925" s="2077"/>
      <c r="G3925" s="2077"/>
      <c r="H3925" s="2077"/>
      <c r="I3925" s="2060">
        <f>-'PPE Note'!K56-'PPE Note'!K57</f>
        <v>0</v>
      </c>
      <c r="J3925" s="2060"/>
      <c r="K3925" s="199">
        <f>-'PPE Note'!K127-'PPE Note'!K128</f>
        <v>0</v>
      </c>
      <c r="O3925" s="1146"/>
      <c r="Q3925" s="48"/>
      <c r="R3925" s="48"/>
      <c r="S3925" s="48"/>
      <c r="T3925" s="48"/>
      <c r="U3925" s="48"/>
      <c r="V3925" s="48"/>
      <c r="W3925" s="48"/>
    </row>
    <row r="3926" spans="2:23" ht="15.6" hidden="1" customHeight="1" x14ac:dyDescent="0.2">
      <c r="B3926" s="2046" t="s">
        <v>1117</v>
      </c>
      <c r="C3926" s="2046"/>
      <c r="D3926" s="2077"/>
      <c r="E3926" s="2046"/>
      <c r="F3926" s="2077"/>
      <c r="G3926" s="2077"/>
      <c r="H3926" s="2077"/>
      <c r="I3926" s="2060">
        <f>-K190</f>
        <v>0</v>
      </c>
      <c r="J3926" s="2060"/>
      <c r="K3926" s="199">
        <f>-K230</f>
        <v>0</v>
      </c>
      <c r="O3926" s="1146"/>
      <c r="Q3926" s="48"/>
      <c r="R3926" s="48"/>
      <c r="S3926" s="48"/>
      <c r="T3926" s="48"/>
      <c r="U3926" s="48"/>
      <c r="V3926" s="48"/>
      <c r="W3926" s="48"/>
    </row>
    <row r="3927" spans="2:23" ht="15.6" hidden="1" customHeight="1" x14ac:dyDescent="0.2">
      <c r="B3927" s="2046" t="s">
        <v>1118</v>
      </c>
      <c r="C3927" s="2046"/>
      <c r="D3927" s="2077"/>
      <c r="E3927" s="2046"/>
      <c r="F3927" s="2077"/>
      <c r="G3927" s="2077"/>
      <c r="H3927" s="2077"/>
      <c r="I3927" s="2060">
        <f>-I370</f>
        <v>0</v>
      </c>
      <c r="J3927" s="2060"/>
      <c r="K3927" s="199">
        <f>-K370</f>
        <v>0</v>
      </c>
      <c r="O3927" s="1146"/>
      <c r="Q3927" s="48"/>
      <c r="R3927" s="48"/>
      <c r="S3927" s="48"/>
      <c r="T3927" s="48"/>
      <c r="U3927" s="48"/>
      <c r="V3927" s="48"/>
      <c r="W3927" s="48"/>
    </row>
    <row r="3928" spans="2:23" ht="15.6" hidden="1" customHeight="1" x14ac:dyDescent="0.2">
      <c r="B3928" s="2046" t="s">
        <v>1349</v>
      </c>
      <c r="C3928" s="2046"/>
      <c r="D3928" s="2077"/>
      <c r="E3928" s="2046"/>
      <c r="F3928" s="2077"/>
      <c r="G3928" s="2077"/>
      <c r="H3928" s="2077"/>
      <c r="I3928" s="2060">
        <f>'Notes II'!I1533</f>
        <v>0</v>
      </c>
      <c r="J3928" s="2060"/>
      <c r="K3928" s="199">
        <f>'Notes II'!K1533</f>
        <v>0</v>
      </c>
      <c r="N3928" s="1471"/>
      <c r="Q3928" s="48"/>
      <c r="R3928" s="48"/>
      <c r="S3928" s="48"/>
      <c r="T3928" s="48"/>
      <c r="U3928" s="48"/>
      <c r="V3928" s="48"/>
      <c r="W3928" s="48"/>
    </row>
    <row r="3929" spans="2:23" ht="15.6" hidden="1" customHeight="1" x14ac:dyDescent="0.2">
      <c r="B3929" s="2046" t="s">
        <v>1626</v>
      </c>
      <c r="C3929" s="2046"/>
      <c r="D3929" s="2077"/>
      <c r="E3929" s="2046"/>
      <c r="F3929" s="2077"/>
      <c r="G3929" s="2077"/>
      <c r="H3929" s="2077"/>
      <c r="I3929" s="2078">
        <f>'Notes II'!K1140</f>
        <v>0</v>
      </c>
      <c r="J3929" s="2060"/>
      <c r="K3929" s="206">
        <f>'Notes II'!K1150</f>
        <v>0</v>
      </c>
      <c r="M3929" s="1133"/>
      <c r="N3929" s="1147"/>
      <c r="O3929" s="1146"/>
      <c r="Q3929" s="48"/>
      <c r="R3929" s="48"/>
      <c r="S3929" s="48"/>
      <c r="T3929" s="48"/>
      <c r="U3929" s="48"/>
      <c r="V3929" s="48"/>
      <c r="W3929" s="48"/>
    </row>
    <row r="3930" spans="2:23" ht="15.6" hidden="1" customHeight="1" x14ac:dyDescent="0.2">
      <c r="B3930" s="2046" t="s">
        <v>343</v>
      </c>
      <c r="C3930" s="2046"/>
      <c r="D3930" s="2077"/>
      <c r="E3930" s="2046"/>
      <c r="F3930" s="2077"/>
      <c r="G3930" s="2077"/>
      <c r="H3930" s="2077"/>
      <c r="I3930" s="2060">
        <f>I1126+M1139</f>
        <v>0</v>
      </c>
      <c r="J3930" s="2060"/>
      <c r="K3930" s="199">
        <f>K1126+M1149</f>
        <v>0</v>
      </c>
      <c r="O3930" s="1146"/>
      <c r="Q3930" s="48"/>
      <c r="R3930" s="48"/>
      <c r="S3930" s="48"/>
      <c r="T3930" s="48"/>
      <c r="U3930" s="48"/>
      <c r="V3930" s="48"/>
      <c r="W3930" s="48"/>
    </row>
    <row r="3931" spans="2:23" ht="15.6" customHeight="1" x14ac:dyDescent="0.2">
      <c r="B3931" s="48" t="s">
        <v>342</v>
      </c>
      <c r="I3931" s="206">
        <v>1486936</v>
      </c>
      <c r="K3931" s="206">
        <v>15563009</v>
      </c>
      <c r="O3931" s="1146"/>
      <c r="Q3931" s="48"/>
      <c r="R3931" s="48"/>
      <c r="S3931" s="48"/>
      <c r="T3931" s="48"/>
      <c r="U3931" s="48"/>
      <c r="V3931" s="48"/>
      <c r="W3931" s="48"/>
    </row>
    <row r="3932" spans="2:23" ht="15.6" hidden="1" customHeight="1" x14ac:dyDescent="0.2">
      <c r="B3932" s="2046" t="s">
        <v>1759</v>
      </c>
      <c r="C3932" s="2046"/>
      <c r="D3932" s="2077"/>
      <c r="E3932" s="2046"/>
      <c r="F3932" s="2077"/>
      <c r="G3932" s="2077"/>
      <c r="H3932" s="2077"/>
      <c r="I3932" s="2060">
        <f>'Notes II'!M1140+I1127-I3929</f>
        <v>0</v>
      </c>
      <c r="J3932" s="2060"/>
      <c r="K3932" s="206">
        <f>'Notes II'!M1150+K1127-K3929</f>
        <v>0</v>
      </c>
      <c r="N3932" s="1471"/>
      <c r="Q3932" s="48"/>
      <c r="R3932" s="48"/>
      <c r="S3932" s="48"/>
      <c r="T3932" s="48"/>
      <c r="U3932" s="48"/>
      <c r="V3932" s="48"/>
      <c r="W3932" s="48"/>
    </row>
    <row r="3933" spans="2:23" ht="15.6" hidden="1" customHeight="1" x14ac:dyDescent="0.2">
      <c r="B3933" s="2046" t="s">
        <v>1760</v>
      </c>
      <c r="C3933" s="2046"/>
      <c r="D3933" s="2077"/>
      <c r="E3933" s="2046"/>
      <c r="F3933" s="2077"/>
      <c r="G3933" s="2077"/>
      <c r="H3933" s="2077"/>
      <c r="I3933" s="2078">
        <f>M1711</f>
        <v>0</v>
      </c>
      <c r="J3933" s="2060"/>
      <c r="K3933" s="206">
        <f>M1727</f>
        <v>0</v>
      </c>
      <c r="N3933" s="1471"/>
      <c r="P3933" s="1115"/>
      <c r="Q3933" s="48"/>
      <c r="R3933" s="48"/>
      <c r="S3933" s="48"/>
      <c r="T3933" s="48"/>
      <c r="U3933" s="48"/>
      <c r="V3933" s="48"/>
      <c r="W3933" s="48"/>
    </row>
    <row r="3934" spans="2:23" ht="15.6" hidden="1" customHeight="1" x14ac:dyDescent="0.2">
      <c r="B3934" s="2046" t="s">
        <v>1115</v>
      </c>
      <c r="C3934" s="2046"/>
      <c r="D3934" s="2077"/>
      <c r="E3934" s="2046"/>
      <c r="F3934" s="2077"/>
      <c r="G3934" s="2077"/>
      <c r="H3934" s="2077"/>
      <c r="I3934" s="2060">
        <v>0</v>
      </c>
      <c r="J3934" s="2060"/>
      <c r="K3934" s="199">
        <v>0</v>
      </c>
      <c r="O3934" s="1146"/>
      <c r="P3934" s="1115"/>
      <c r="Q3934" s="48"/>
      <c r="R3934" s="48"/>
      <c r="S3934" s="48"/>
      <c r="T3934" s="48"/>
      <c r="U3934" s="48"/>
      <c r="V3934" s="48"/>
      <c r="W3934" s="48"/>
    </row>
    <row r="3935" spans="2:23" ht="15.6" hidden="1" customHeight="1" x14ac:dyDescent="0.2">
      <c r="B3935" s="48" t="s">
        <v>7652</v>
      </c>
      <c r="I3935" s="199">
        <v>0</v>
      </c>
      <c r="K3935" s="199">
        <v>0</v>
      </c>
      <c r="O3935" s="1146"/>
      <c r="P3935" s="1115"/>
      <c r="Q3935" s="48"/>
      <c r="R3935" s="48"/>
      <c r="S3935" s="48"/>
      <c r="T3935" s="48"/>
      <c r="U3935" s="48"/>
      <c r="V3935" s="48"/>
      <c r="W3935" s="48"/>
    </row>
    <row r="3936" spans="2:23" ht="15.6" hidden="1" customHeight="1" x14ac:dyDescent="0.2">
      <c r="B3936" s="48" t="s">
        <v>7653</v>
      </c>
      <c r="I3936" s="199">
        <v>0</v>
      </c>
      <c r="K3936" s="199">
        <v>0</v>
      </c>
      <c r="O3936" s="1146"/>
      <c r="P3936" s="1115"/>
      <c r="Q3936" s="48"/>
      <c r="R3936" s="48"/>
      <c r="S3936" s="48"/>
      <c r="T3936" s="48"/>
      <c r="U3936" s="48"/>
      <c r="V3936" s="48"/>
      <c r="W3936" s="48"/>
    </row>
    <row r="3937" spans="2:23" ht="15.6" hidden="1" customHeight="1" x14ac:dyDescent="0.2">
      <c r="B3937" s="48" t="s">
        <v>7688</v>
      </c>
      <c r="I3937" s="199">
        <v>0</v>
      </c>
      <c r="K3937" s="199">
        <v>0</v>
      </c>
      <c r="O3937" s="1146"/>
      <c r="P3937" s="1115"/>
      <c r="Q3937" s="48"/>
      <c r="R3937" s="48"/>
      <c r="S3937" s="48"/>
      <c r="T3937" s="48"/>
      <c r="U3937" s="48"/>
      <c r="V3937" s="48"/>
      <c r="W3937" s="48"/>
    </row>
    <row r="3938" spans="2:23" ht="15.6" customHeight="1" x14ac:dyDescent="0.25">
      <c r="B3938" s="50" t="s">
        <v>651</v>
      </c>
      <c r="C3938" s="50"/>
      <c r="I3938" s="272">
        <f>SUM(I3911:I3937)</f>
        <v>6084422.2299999781</v>
      </c>
      <c r="K3938" s="272">
        <f>SUM(K3911:K3937)</f>
        <v>21154721.209999979</v>
      </c>
      <c r="P3938" s="1115"/>
      <c r="Q3938" s="48"/>
      <c r="R3938" s="48"/>
      <c r="S3938" s="48"/>
      <c r="T3938" s="48"/>
      <c r="U3938" s="48"/>
      <c r="V3938" s="48"/>
      <c r="W3938" s="48"/>
    </row>
    <row r="3939" spans="2:23" ht="15.6" customHeight="1" x14ac:dyDescent="0.2">
      <c r="K3939" s="206"/>
      <c r="P3939" s="1115"/>
      <c r="Q3939" s="48"/>
      <c r="R3939" s="48"/>
      <c r="S3939" s="48"/>
      <c r="T3939" s="48"/>
      <c r="U3939" s="48"/>
      <c r="V3939" s="48"/>
      <c r="W3939" s="48"/>
    </row>
    <row r="3940" spans="2:23" ht="15.6" customHeight="1" x14ac:dyDescent="0.2">
      <c r="B3940" s="48" t="s">
        <v>8152</v>
      </c>
      <c r="I3940" s="199">
        <f>-'Notes I'!I22+'Notes I'!K22</f>
        <v>-114926.09999999998</v>
      </c>
      <c r="K3940" s="199">
        <f>-'Notes I'!K22+'Notes I'!N22</f>
        <v>-511904</v>
      </c>
      <c r="P3940" s="1115"/>
      <c r="Q3940" s="48"/>
      <c r="R3940" s="48"/>
      <c r="S3940" s="48"/>
      <c r="T3940" s="48"/>
      <c r="U3940" s="48"/>
      <c r="V3940" s="48"/>
      <c r="W3940" s="48"/>
    </row>
    <row r="3941" spans="2:23" ht="15.6" customHeight="1" x14ac:dyDescent="0.2">
      <c r="B3941" s="48" t="s">
        <v>8151</v>
      </c>
      <c r="I3941" s="206">
        <v>0</v>
      </c>
      <c r="K3941" s="206">
        <f>-'Notes I'!K63+'Notes I'!N63</f>
        <v>-4215670</v>
      </c>
      <c r="L3941" s="59"/>
      <c r="P3941" s="1115"/>
      <c r="Q3941" s="48"/>
      <c r="R3941" s="48"/>
      <c r="S3941" s="48"/>
      <c r="T3941" s="48"/>
      <c r="U3941" s="48"/>
      <c r="V3941" s="48"/>
      <c r="W3941" s="48"/>
    </row>
    <row r="3942" spans="2:23" ht="15.6" customHeight="1" x14ac:dyDescent="0.2">
      <c r="B3942" s="48" t="s">
        <v>7655</v>
      </c>
      <c r="I3942" s="199">
        <f>-'Fin Pos'!Q12</f>
        <v>5024482.2927151695</v>
      </c>
      <c r="K3942" s="206">
        <v>7956893</v>
      </c>
      <c r="P3942" s="1115"/>
      <c r="Q3942" s="48"/>
      <c r="R3942" s="48"/>
      <c r="S3942" s="48"/>
      <c r="T3942" s="48"/>
      <c r="U3942" s="48"/>
      <c r="V3942" s="48"/>
      <c r="W3942" s="48"/>
    </row>
    <row r="3943" spans="2:23" ht="15.6" customHeight="1" x14ac:dyDescent="0.2">
      <c r="B3943" s="48" t="s">
        <v>7654</v>
      </c>
      <c r="I3943" s="199">
        <v>4126220</v>
      </c>
      <c r="K3943" s="206">
        <v>5848561</v>
      </c>
      <c r="P3943" s="1115"/>
      <c r="Q3943" s="48"/>
      <c r="R3943" s="48"/>
      <c r="S3943" s="48"/>
      <c r="T3943" s="48"/>
      <c r="U3943" s="48"/>
      <c r="V3943" s="48"/>
      <c r="W3943" s="48"/>
    </row>
    <row r="3944" spans="2:23" ht="15.6" customHeight="1" x14ac:dyDescent="0.2">
      <c r="B3944" s="48" t="s">
        <v>7656</v>
      </c>
      <c r="I3944" s="199">
        <f>-'Fin Pos'!Q14</f>
        <v>-1216.4199999996927</v>
      </c>
      <c r="K3944" s="206">
        <v>958326</v>
      </c>
      <c r="P3944" s="1115"/>
      <c r="Q3944" s="48"/>
      <c r="R3944" s="48"/>
      <c r="S3944" s="48"/>
      <c r="T3944" s="48"/>
      <c r="U3944" s="48"/>
      <c r="V3944" s="48"/>
      <c r="W3944" s="48"/>
    </row>
    <row r="3945" spans="2:23" ht="15.6" customHeight="1" x14ac:dyDescent="0.2">
      <c r="B3945" s="48" t="s">
        <v>1645</v>
      </c>
      <c r="I3945" s="199">
        <f>-'Fin Pos'!Q15</f>
        <v>2815595.5399999991</v>
      </c>
      <c r="K3945" s="206">
        <v>-11580342</v>
      </c>
      <c r="P3945" s="1115"/>
      <c r="Q3945" s="48"/>
      <c r="R3945" s="48"/>
      <c r="S3945" s="48"/>
      <c r="T3945" s="48"/>
      <c r="U3945" s="48"/>
      <c r="V3945" s="48"/>
      <c r="W3945" s="48"/>
    </row>
    <row r="3946" spans="2:23" ht="15.6" hidden="1" customHeight="1" x14ac:dyDescent="0.2">
      <c r="B3946" s="2046" t="s">
        <v>1646</v>
      </c>
      <c r="C3946" s="2046"/>
      <c r="D3946" s="2077"/>
      <c r="E3946" s="2046"/>
      <c r="F3946" s="2077"/>
      <c r="G3946" s="2077"/>
      <c r="H3946" s="2077"/>
      <c r="I3946" s="2078">
        <f>-'Notes I'!I1013+'Notes I'!K1013</f>
        <v>0</v>
      </c>
      <c r="K3946" s="206">
        <f>-'Notes I'!K1013+'Notes I'!N1013</f>
        <v>0</v>
      </c>
      <c r="P3946" s="1115"/>
      <c r="Q3946" s="48"/>
      <c r="R3946" s="48"/>
      <c r="S3946" s="48"/>
      <c r="T3946" s="48"/>
      <c r="U3946" s="48"/>
      <c r="V3946" s="48"/>
      <c r="W3946" s="48"/>
    </row>
    <row r="3947" spans="2:23" ht="15.6" hidden="1" customHeight="1" x14ac:dyDescent="0.2">
      <c r="B3947" s="2046" t="s">
        <v>3947</v>
      </c>
      <c r="C3947" s="2046"/>
      <c r="D3947" s="2077"/>
      <c r="E3947" s="2046"/>
      <c r="F3947" s="2077"/>
      <c r="G3947" s="2077"/>
      <c r="H3947" s="2077"/>
      <c r="I3947" s="2078">
        <f>-'Notes I'!I1059+'Notes I'!K1059</f>
        <v>0</v>
      </c>
      <c r="K3947" s="206">
        <f>-'Notes I'!K1059+'Notes I'!N1059</f>
        <v>0</v>
      </c>
      <c r="P3947" s="1115"/>
      <c r="Q3947" s="48"/>
      <c r="R3947" s="48"/>
      <c r="S3947" s="48"/>
      <c r="T3947" s="48"/>
      <c r="U3947" s="48"/>
      <c r="V3947" s="48"/>
      <c r="W3947" s="48"/>
    </row>
    <row r="3948" spans="2:23" ht="15.6" customHeight="1" x14ac:dyDescent="0.2">
      <c r="B3948" s="48" t="s">
        <v>1580</v>
      </c>
      <c r="I3948" s="206">
        <f>+'Notes II'!I1085-'Notes II'!K1085</f>
        <v>431.45000000001164</v>
      </c>
      <c r="K3948" s="206">
        <v>22263</v>
      </c>
      <c r="P3948" s="1115"/>
      <c r="Q3948" s="48"/>
      <c r="R3948" s="48"/>
      <c r="S3948" s="48"/>
      <c r="T3948" s="48"/>
      <c r="U3948" s="48"/>
      <c r="V3948" s="48"/>
      <c r="W3948" s="48"/>
    </row>
    <row r="3949" spans="2:23" ht="15.6" customHeight="1" x14ac:dyDescent="0.2">
      <c r="B3949" s="48" t="s">
        <v>4449</v>
      </c>
      <c r="I3949" s="199">
        <f>'Fin Pos'!Q39</f>
        <v>-2840568.5600000154</v>
      </c>
      <c r="K3949" s="206">
        <f>'Notes II'!K1171-'Notes II'!N1171</f>
        <v>2730147.870000001</v>
      </c>
      <c r="P3949" s="1115"/>
    </row>
    <row r="3950" spans="2:23" ht="15.6" customHeight="1" x14ac:dyDescent="0.2">
      <c r="B3950" s="48" t="s">
        <v>344</v>
      </c>
      <c r="I3950" s="206">
        <f>'Notes II'!I1313-'Notes II'!K1313</f>
        <v>-406843.41999999993</v>
      </c>
      <c r="K3950" s="206">
        <f>'Notes II'!K1313-'Notes II'!N1313</f>
        <v>1798610.6999999993</v>
      </c>
      <c r="P3950" s="1115"/>
    </row>
    <row r="3951" spans="2:23" ht="15.6" hidden="1" customHeight="1" x14ac:dyDescent="0.2">
      <c r="B3951" s="2046" t="s">
        <v>2560</v>
      </c>
      <c r="C3951" s="2046"/>
      <c r="D3951" s="2077"/>
      <c r="E3951" s="2046"/>
      <c r="F3951" s="2077"/>
      <c r="G3951" s="2077"/>
      <c r="H3951" s="2077"/>
      <c r="I3951" s="2078">
        <f>'Notes II'!I1332-'Notes II'!K1332</f>
        <v>0</v>
      </c>
      <c r="K3951" s="206">
        <f>'Notes II'!K1332-'Notes II'!N1332</f>
        <v>0</v>
      </c>
      <c r="O3951" s="1134"/>
      <c r="P3951" s="1115"/>
    </row>
    <row r="3952" spans="2:23" ht="15.6" hidden="1" customHeight="1" x14ac:dyDescent="0.2">
      <c r="B3952" s="2046" t="s">
        <v>1548</v>
      </c>
      <c r="C3952" s="2046"/>
      <c r="D3952" s="2077"/>
      <c r="E3952" s="2046"/>
      <c r="F3952" s="2077"/>
      <c r="G3952" s="2077"/>
      <c r="H3952" s="2077"/>
      <c r="I3952" s="2078">
        <f>'Notes II'!I1358-'Notes II'!K1358</f>
        <v>-5.8207660913467407E-11</v>
      </c>
      <c r="K3952" s="206">
        <f>'Notes II'!K1358-'Notes II'!N1358</f>
        <v>0</v>
      </c>
      <c r="L3952" s="59"/>
      <c r="P3952" s="1115"/>
    </row>
    <row r="3953" spans="1:23" ht="15.6" customHeight="1" x14ac:dyDescent="0.2">
      <c r="K3953" s="206"/>
      <c r="L3953" s="59"/>
      <c r="P3953" s="1115"/>
    </row>
    <row r="3954" spans="1:23" ht="15.6" customHeight="1" thickBot="1" x14ac:dyDescent="0.3">
      <c r="B3954" s="50" t="s">
        <v>1116</v>
      </c>
      <c r="C3954" s="50"/>
      <c r="I3954" s="202">
        <f>SUM(I3938:I3953)</f>
        <v>14687597.012715131</v>
      </c>
      <c r="K3954" s="202">
        <f>SUM(K3938:K3953)</f>
        <v>24161606.779999979</v>
      </c>
      <c r="L3954" s="59"/>
      <c r="P3954" s="1115"/>
    </row>
    <row r="3955" spans="1:23" ht="15.6" customHeight="1" thickTop="1" x14ac:dyDescent="0.2">
      <c r="P3955" s="1115"/>
    </row>
    <row r="3956" spans="1:23" ht="15.6" customHeight="1" x14ac:dyDescent="0.2">
      <c r="P3956" s="1115"/>
    </row>
    <row r="3957" spans="1:23" ht="15.6" customHeight="1" x14ac:dyDescent="0.25">
      <c r="A3957" s="277">
        <v>40</v>
      </c>
      <c r="B3957" s="275" t="s">
        <v>1119</v>
      </c>
      <c r="C3957" s="201"/>
      <c r="D3957" s="201"/>
      <c r="E3957" s="201"/>
      <c r="F3957" s="201"/>
      <c r="G3957" s="201"/>
      <c r="H3957" s="201"/>
      <c r="I3957" s="58"/>
      <c r="K3957" s="58"/>
      <c r="L3957" s="201"/>
      <c r="M3957" s="1251" t="s">
        <v>1998</v>
      </c>
      <c r="N3957" s="1147"/>
      <c r="O3957" s="1146"/>
      <c r="P3957" s="1115"/>
      <c r="W3957" s="1114" t="s">
        <v>3520</v>
      </c>
    </row>
    <row r="3958" spans="1:23" ht="15.6" customHeight="1" x14ac:dyDescent="0.2">
      <c r="A3958" s="201"/>
      <c r="B3958" s="201"/>
      <c r="C3958" s="201"/>
      <c r="D3958" s="201"/>
      <c r="E3958" s="201"/>
      <c r="F3958" s="201"/>
      <c r="G3958" s="201"/>
      <c r="H3958" s="201"/>
      <c r="I3958" s="58"/>
      <c r="K3958" s="58"/>
      <c r="L3958" s="201"/>
      <c r="M3958" s="1133"/>
      <c r="N3958" s="1147"/>
      <c r="O3958" s="1146"/>
      <c r="P3958" s="1115"/>
    </row>
    <row r="3959" spans="1:23" ht="46.5" hidden="1" customHeight="1" x14ac:dyDescent="0.2">
      <c r="B3959" s="2840" t="s">
        <v>7503</v>
      </c>
      <c r="C3959" s="2840"/>
      <c r="D3959" s="2840"/>
      <c r="E3959" s="2840"/>
      <c r="F3959" s="2840"/>
      <c r="G3959" s="2840"/>
      <c r="H3959" s="56"/>
      <c r="I3959" s="56"/>
      <c r="J3959" s="56"/>
      <c r="K3959" s="56"/>
      <c r="M3959" s="1482"/>
      <c r="N3959" s="1147"/>
      <c r="O3959" s="1596"/>
      <c r="P3959" s="1115"/>
    </row>
    <row r="3960" spans="1:23" ht="30.95" customHeight="1" x14ac:dyDescent="0.2">
      <c r="B3960" s="2839" t="s">
        <v>2222</v>
      </c>
      <c r="C3960" s="2839"/>
      <c r="D3960" s="2839"/>
      <c r="E3960" s="2839"/>
      <c r="F3960" s="2839"/>
      <c r="G3960" s="2839"/>
      <c r="H3960" s="56"/>
      <c r="I3960" s="56"/>
      <c r="J3960" s="56"/>
      <c r="K3960" s="56"/>
      <c r="M3960" s="1482"/>
      <c r="N3960" s="1147"/>
      <c r="O3960" s="1596"/>
      <c r="P3960" s="1115"/>
    </row>
    <row r="3961" spans="1:23" ht="15.6" customHeight="1" x14ac:dyDescent="0.25">
      <c r="I3961" s="58"/>
      <c r="J3961" s="200"/>
      <c r="K3961" s="58"/>
      <c r="M3961" s="1133"/>
      <c r="N3961" s="1147"/>
      <c r="O3961" s="1146"/>
      <c r="P3961" s="1115"/>
    </row>
    <row r="3962" spans="1:23" ht="46.5" hidden="1" customHeight="1" x14ac:dyDescent="0.2">
      <c r="B3962" s="2840" t="s">
        <v>1550</v>
      </c>
      <c r="C3962" s="2840"/>
      <c r="D3962" s="2840"/>
      <c r="E3962" s="2840"/>
      <c r="F3962" s="2840"/>
      <c r="G3962" s="2840"/>
      <c r="H3962" s="56"/>
      <c r="I3962" s="56"/>
      <c r="J3962" s="56"/>
      <c r="K3962" s="56"/>
      <c r="M3962" s="1482"/>
      <c r="N3962" s="1147"/>
      <c r="O3962" s="1596"/>
      <c r="P3962" s="1115"/>
    </row>
    <row r="3963" spans="1:23" ht="15.6" hidden="1" customHeight="1" x14ac:dyDescent="0.25">
      <c r="I3963" s="200"/>
      <c r="J3963" s="200"/>
      <c r="K3963" s="200"/>
      <c r="L3963" s="210"/>
      <c r="M3963" s="1133"/>
      <c r="N3963" s="1147"/>
      <c r="O3963" s="1596"/>
      <c r="P3963" s="1115"/>
    </row>
    <row r="3964" spans="1:23" ht="15.6" hidden="1" customHeight="1" x14ac:dyDescent="0.25">
      <c r="I3964" s="58"/>
      <c r="J3964" s="200"/>
      <c r="K3964" s="58"/>
      <c r="M3964" s="1133"/>
      <c r="N3964" s="1147"/>
      <c r="O3964" s="1146"/>
      <c r="P3964" s="1115"/>
    </row>
    <row r="3965" spans="1:23" ht="15.6" customHeight="1" x14ac:dyDescent="0.25">
      <c r="A3965" s="277">
        <v>41</v>
      </c>
      <c r="B3965" s="275" t="s">
        <v>1120</v>
      </c>
      <c r="C3965" s="201"/>
      <c r="D3965" s="201"/>
      <c r="E3965" s="201"/>
      <c r="F3965" s="201"/>
      <c r="G3965" s="201"/>
      <c r="H3965" s="201"/>
      <c r="I3965" s="58"/>
      <c r="K3965" s="58"/>
      <c r="L3965" s="201"/>
      <c r="M3965" s="1251" t="s">
        <v>1998</v>
      </c>
      <c r="N3965" s="1147"/>
      <c r="O3965" s="1146"/>
      <c r="P3965" s="1115"/>
      <c r="W3965" s="1114" t="s">
        <v>3520</v>
      </c>
    </row>
    <row r="3966" spans="1:23" ht="15.6" customHeight="1" x14ac:dyDescent="0.2">
      <c r="A3966" s="201"/>
      <c r="B3966" s="201"/>
      <c r="C3966" s="201"/>
      <c r="D3966" s="201"/>
      <c r="E3966" s="201"/>
      <c r="F3966" s="201"/>
      <c r="G3966" s="201"/>
      <c r="H3966" s="201"/>
      <c r="I3966" s="58"/>
      <c r="K3966" s="58"/>
      <c r="L3966" s="201"/>
      <c r="M3966" s="1133"/>
      <c r="N3966" s="1147"/>
      <c r="O3966" s="1146"/>
      <c r="P3966" s="1115"/>
    </row>
    <row r="3967" spans="1:23" ht="30.95" customHeight="1" x14ac:dyDescent="0.2">
      <c r="B3967" s="2839" t="s">
        <v>1679</v>
      </c>
      <c r="C3967" s="2839"/>
      <c r="D3967" s="2839"/>
      <c r="E3967" s="2839"/>
      <c r="F3967" s="2839"/>
      <c r="G3967" s="2839"/>
      <c r="H3967" s="56"/>
      <c r="I3967" s="56"/>
      <c r="J3967" s="56"/>
      <c r="K3967" s="56"/>
      <c r="M3967" s="1482"/>
      <c r="N3967" s="1147"/>
      <c r="O3967" s="1596"/>
      <c r="P3967" s="1115"/>
    </row>
    <row r="3968" spans="1:23" ht="15.6" hidden="1" customHeight="1" x14ac:dyDescent="0.2">
      <c r="B3968" s="2840" t="s">
        <v>1121</v>
      </c>
      <c r="C3968" s="2840"/>
      <c r="D3968" s="2840"/>
      <c r="E3968" s="2840"/>
      <c r="F3968" s="2840"/>
      <c r="G3968" s="2840"/>
      <c r="H3968" s="2077"/>
      <c r="I3968" s="2043"/>
      <c r="J3968" s="2060"/>
      <c r="K3968" s="2043"/>
      <c r="M3968" s="1256" t="s">
        <v>1999</v>
      </c>
      <c r="N3968" s="1147"/>
      <c r="O3968" s="1146"/>
    </row>
    <row r="3969" spans="2:23" ht="15.6" hidden="1" customHeight="1" x14ac:dyDescent="0.2">
      <c r="B3969" s="2094" t="s">
        <v>1122</v>
      </c>
      <c r="C3969" s="2046"/>
      <c r="D3969" s="2077"/>
      <c r="E3969" s="2046"/>
      <c r="F3969" s="2077"/>
      <c r="G3969" s="2077"/>
      <c r="H3969" s="2077"/>
      <c r="I3969" s="2043">
        <v>0</v>
      </c>
      <c r="J3969" s="2043"/>
      <c r="K3969" s="2043">
        <v>0</v>
      </c>
      <c r="L3969" s="59"/>
      <c r="M3969" s="1133"/>
      <c r="N3969" s="1147"/>
      <c r="O3969" s="1146"/>
      <c r="P3969" s="1115"/>
    </row>
    <row r="3970" spans="2:23" ht="15.6" hidden="1" customHeight="1" x14ac:dyDescent="0.2">
      <c r="B3970" s="2094" t="s">
        <v>1123</v>
      </c>
      <c r="C3970" s="2046"/>
      <c r="D3970" s="2077"/>
      <c r="E3970" s="2046"/>
      <c r="F3970" s="2077"/>
      <c r="G3970" s="2077"/>
      <c r="H3970" s="2077"/>
      <c r="I3970" s="2043">
        <f>I3972-I3969</f>
        <v>0</v>
      </c>
      <c r="J3970" s="2043"/>
      <c r="K3970" s="2043">
        <f>K3972-K3969</f>
        <v>0</v>
      </c>
      <c r="L3970" s="59"/>
      <c r="M3970" s="1133"/>
      <c r="N3970" s="1147"/>
      <c r="O3970" s="1146"/>
      <c r="P3970" s="1115"/>
    </row>
    <row r="3971" spans="2:23" ht="15.6" hidden="1" customHeight="1" x14ac:dyDescent="0.2">
      <c r="B3971" s="2046"/>
      <c r="C3971" s="2046"/>
      <c r="D3971" s="2077"/>
      <c r="E3971" s="2046"/>
      <c r="F3971" s="2077"/>
      <c r="G3971" s="2077"/>
      <c r="H3971" s="2077"/>
      <c r="I3971" s="2043"/>
      <c r="J3971" s="2043"/>
      <c r="K3971" s="2043"/>
      <c r="L3971" s="59"/>
      <c r="M3971" s="1133"/>
      <c r="N3971" s="1147"/>
      <c r="O3971" s="1146"/>
      <c r="P3971" s="1115"/>
    </row>
    <row r="3972" spans="2:23" ht="15.6" hidden="1" customHeight="1" thickBot="1" x14ac:dyDescent="0.3">
      <c r="B3972" s="2081"/>
      <c r="C3972" s="2081"/>
      <c r="D3972" s="2077"/>
      <c r="E3972" s="2046"/>
      <c r="F3972" s="2077"/>
      <c r="G3972" s="2077"/>
      <c r="H3972" s="2077"/>
      <c r="I3972" s="2186">
        <v>0</v>
      </c>
      <c r="J3972" s="2060"/>
      <c r="K3972" s="2186">
        <v>0</v>
      </c>
      <c r="L3972" s="59"/>
      <c r="M3972" s="1133"/>
      <c r="N3972" s="1147"/>
      <c r="O3972" s="1146"/>
      <c r="P3972" s="1115"/>
    </row>
    <row r="3973" spans="2:23" ht="15.6" hidden="1" customHeight="1" thickTop="1" x14ac:dyDescent="0.2">
      <c r="B3973" s="2046"/>
      <c r="C3973" s="2046"/>
      <c r="D3973" s="2077"/>
      <c r="E3973" s="2046"/>
      <c r="F3973" s="2077"/>
      <c r="G3973" s="2077"/>
      <c r="H3973" s="2077"/>
      <c r="I3973" s="2060"/>
      <c r="J3973" s="2060"/>
      <c r="K3973" s="2060"/>
      <c r="L3973" s="59"/>
      <c r="M3973" s="1133"/>
      <c r="N3973" s="1147"/>
      <c r="O3973" s="1146"/>
      <c r="P3973" s="1115"/>
    </row>
    <row r="3974" spans="2:23" ht="15.6" hidden="1" customHeight="1" x14ac:dyDescent="0.2">
      <c r="B3974" s="2840" t="s">
        <v>2167</v>
      </c>
      <c r="C3974" s="2840"/>
      <c r="D3974" s="2840"/>
      <c r="E3974" s="2840"/>
      <c r="F3974" s="2840"/>
      <c r="G3974" s="2840"/>
      <c r="H3974" s="2077"/>
      <c r="I3974" s="2043"/>
      <c r="J3974" s="2060"/>
      <c r="K3974" s="2043"/>
      <c r="M3974" s="1598" t="s">
        <v>2168</v>
      </c>
      <c r="N3974" s="1147"/>
      <c r="O3974" s="1133"/>
    </row>
    <row r="3975" spans="2:23" ht="15.6" hidden="1" customHeight="1" x14ac:dyDescent="0.2">
      <c r="B3975" s="2094" t="s">
        <v>1122</v>
      </c>
      <c r="C3975" s="2046"/>
      <c r="D3975" s="2077"/>
      <c r="E3975" s="2046"/>
      <c r="F3975" s="2077"/>
      <c r="G3975" s="2077"/>
      <c r="H3975" s="2077"/>
      <c r="I3975" s="2043">
        <v>0</v>
      </c>
      <c r="J3975" s="2043"/>
      <c r="K3975" s="2043">
        <v>0</v>
      </c>
      <c r="L3975" s="59"/>
      <c r="M3975" s="1133"/>
      <c r="N3975" s="1147"/>
      <c r="O3975" s="1133"/>
    </row>
    <row r="3976" spans="2:23" ht="15.6" hidden="1" customHeight="1" x14ac:dyDescent="0.2">
      <c r="B3976" s="2094" t="s">
        <v>1123</v>
      </c>
      <c r="C3976" s="2046"/>
      <c r="D3976" s="2077"/>
      <c r="E3976" s="2046"/>
      <c r="F3976" s="2077"/>
      <c r="G3976" s="2077"/>
      <c r="H3976" s="2077"/>
      <c r="I3976" s="2043">
        <f>I3978-I3975</f>
        <v>0</v>
      </c>
      <c r="J3976" s="2043"/>
      <c r="K3976" s="2043">
        <f>K3978-K3975</f>
        <v>0</v>
      </c>
      <c r="L3976" s="59"/>
      <c r="M3976" s="1133"/>
      <c r="N3976" s="1147"/>
      <c r="O3976" s="1133"/>
    </row>
    <row r="3977" spans="2:23" ht="15.6" hidden="1" customHeight="1" x14ac:dyDescent="0.2">
      <c r="B3977" s="2046"/>
      <c r="C3977" s="2046"/>
      <c r="D3977" s="2077"/>
      <c r="E3977" s="2046"/>
      <c r="F3977" s="2077"/>
      <c r="G3977" s="2077"/>
      <c r="H3977" s="2077"/>
      <c r="I3977" s="2043"/>
      <c r="J3977" s="2043"/>
      <c r="K3977" s="2043"/>
      <c r="L3977" s="59"/>
      <c r="M3977" s="1133"/>
      <c r="N3977" s="1147"/>
      <c r="O3977" s="1133"/>
    </row>
    <row r="3978" spans="2:23" ht="15.6" hidden="1" customHeight="1" thickBot="1" x14ac:dyDescent="0.3">
      <c r="B3978" s="2081"/>
      <c r="C3978" s="2081"/>
      <c r="D3978" s="2077"/>
      <c r="E3978" s="2046"/>
      <c r="F3978" s="2077"/>
      <c r="G3978" s="2077"/>
      <c r="H3978" s="2077"/>
      <c r="I3978" s="2186">
        <v>0</v>
      </c>
      <c r="J3978" s="2060"/>
      <c r="K3978" s="2186">
        <v>0</v>
      </c>
      <c r="L3978" s="59"/>
      <c r="M3978" s="1133"/>
      <c r="N3978" s="1147"/>
      <c r="O3978" s="1133"/>
    </row>
    <row r="3979" spans="2:23" ht="15.6" hidden="1" customHeight="1" thickTop="1" x14ac:dyDescent="0.2">
      <c r="B3979" s="2046"/>
      <c r="C3979" s="2046"/>
      <c r="D3979" s="2077"/>
      <c r="E3979" s="2046"/>
      <c r="F3979" s="2077"/>
      <c r="G3979" s="2077"/>
      <c r="H3979" s="2077"/>
      <c r="I3979" s="2060"/>
      <c r="J3979" s="2060"/>
      <c r="K3979" s="2060"/>
      <c r="L3979" s="59"/>
      <c r="M3979" s="1133"/>
      <c r="N3979" s="1147"/>
      <c r="O3979" s="1133"/>
    </row>
    <row r="3980" spans="2:23" ht="15.6" hidden="1" customHeight="1" x14ac:dyDescent="0.2">
      <c r="B3980" s="2840" t="s">
        <v>2169</v>
      </c>
      <c r="C3980" s="2840"/>
      <c r="D3980" s="2840"/>
      <c r="E3980" s="2840"/>
      <c r="F3980" s="2840"/>
      <c r="G3980" s="2840"/>
      <c r="H3980" s="2077"/>
      <c r="I3980" s="2043"/>
      <c r="J3980" s="2060"/>
      <c r="K3980" s="2043"/>
      <c r="M3980" s="1598" t="s">
        <v>2168</v>
      </c>
      <c r="N3980" s="1147"/>
      <c r="O3980" s="1133"/>
    </row>
    <row r="3981" spans="2:23" ht="15.6" hidden="1" customHeight="1" x14ac:dyDescent="0.2">
      <c r="B3981" s="2094" t="s">
        <v>1122</v>
      </c>
      <c r="C3981" s="2046"/>
      <c r="D3981" s="2077"/>
      <c r="E3981" s="2046"/>
      <c r="F3981" s="2077"/>
      <c r="G3981" s="2077"/>
      <c r="H3981" s="2077"/>
      <c r="I3981" s="2043">
        <v>0</v>
      </c>
      <c r="J3981" s="2043"/>
      <c r="K3981" s="2043">
        <v>0</v>
      </c>
      <c r="L3981" s="59"/>
      <c r="M3981" s="1133"/>
      <c r="N3981" s="1147"/>
      <c r="O3981" s="1133"/>
      <c r="P3981" s="48"/>
      <c r="Q3981" s="48"/>
      <c r="R3981" s="48"/>
      <c r="S3981" s="48"/>
      <c r="T3981" s="48"/>
      <c r="U3981" s="48"/>
      <c r="V3981" s="48"/>
      <c r="W3981" s="48"/>
    </row>
    <row r="3982" spans="2:23" ht="15.6" hidden="1" customHeight="1" x14ac:dyDescent="0.2">
      <c r="B3982" s="2094" t="s">
        <v>1123</v>
      </c>
      <c r="C3982" s="2046"/>
      <c r="D3982" s="2077"/>
      <c r="E3982" s="2046"/>
      <c r="F3982" s="2077"/>
      <c r="G3982" s="2077"/>
      <c r="H3982" s="2077"/>
      <c r="I3982" s="2043">
        <f>I3984-I3981</f>
        <v>0</v>
      </c>
      <c r="J3982" s="2043"/>
      <c r="K3982" s="2043">
        <f>K3984-K3981</f>
        <v>0</v>
      </c>
      <c r="L3982" s="59"/>
      <c r="M3982" s="1133"/>
      <c r="N3982" s="1147"/>
      <c r="O3982" s="1133"/>
      <c r="P3982" s="48"/>
      <c r="Q3982" s="48"/>
      <c r="R3982" s="48"/>
      <c r="S3982" s="48"/>
      <c r="T3982" s="48"/>
      <c r="U3982" s="48"/>
      <c r="V3982" s="48"/>
      <c r="W3982" s="48"/>
    </row>
    <row r="3983" spans="2:23" ht="15.6" hidden="1" customHeight="1" x14ac:dyDescent="0.2">
      <c r="B3983" s="2046"/>
      <c r="C3983" s="2046"/>
      <c r="D3983" s="2077"/>
      <c r="E3983" s="2046"/>
      <c r="F3983" s="2077"/>
      <c r="G3983" s="2077"/>
      <c r="H3983" s="2077"/>
      <c r="I3983" s="2043"/>
      <c r="J3983" s="2043"/>
      <c r="K3983" s="2043"/>
      <c r="L3983" s="59"/>
      <c r="M3983" s="1133"/>
      <c r="N3983" s="1147"/>
      <c r="O3983" s="1133"/>
      <c r="P3983" s="48"/>
      <c r="Q3983" s="48"/>
      <c r="R3983" s="48"/>
      <c r="S3983" s="48"/>
      <c r="T3983" s="48"/>
      <c r="U3983" s="48"/>
      <c r="V3983" s="48"/>
      <c r="W3983" s="48"/>
    </row>
    <row r="3984" spans="2:23" ht="15.6" hidden="1" customHeight="1" thickBot="1" x14ac:dyDescent="0.3">
      <c r="B3984" s="2081"/>
      <c r="C3984" s="2081"/>
      <c r="D3984" s="2077"/>
      <c r="E3984" s="2046"/>
      <c r="F3984" s="2077"/>
      <c r="G3984" s="2077"/>
      <c r="H3984" s="2077"/>
      <c r="I3984" s="2186">
        <v>0</v>
      </c>
      <c r="J3984" s="2060"/>
      <c r="K3984" s="2186">
        <v>0</v>
      </c>
      <c r="L3984" s="59"/>
      <c r="M3984" s="1133"/>
      <c r="N3984" s="1147"/>
      <c r="O3984" s="1133"/>
      <c r="P3984" s="48"/>
      <c r="Q3984" s="48"/>
      <c r="R3984" s="48"/>
      <c r="S3984" s="48"/>
      <c r="T3984" s="48"/>
      <c r="U3984" s="48"/>
      <c r="V3984" s="48"/>
      <c r="W3984" s="48"/>
    </row>
    <row r="3985" spans="2:23" ht="15.6" hidden="1" customHeight="1" thickTop="1" x14ac:dyDescent="0.2">
      <c r="B3985" s="2046"/>
      <c r="C3985" s="2046"/>
      <c r="D3985" s="2077"/>
      <c r="E3985" s="2046"/>
      <c r="F3985" s="2077"/>
      <c r="G3985" s="2077"/>
      <c r="H3985" s="2077"/>
      <c r="I3985" s="2060"/>
      <c r="J3985" s="2060"/>
      <c r="K3985" s="2060"/>
      <c r="L3985" s="59"/>
      <c r="M3985" s="1133"/>
      <c r="N3985" s="1147"/>
      <c r="O3985" s="1133"/>
      <c r="P3985" s="48"/>
      <c r="Q3985" s="48"/>
      <c r="R3985" s="48"/>
      <c r="S3985" s="48"/>
      <c r="T3985" s="48"/>
      <c r="U3985" s="48"/>
      <c r="V3985" s="48"/>
      <c r="W3985" s="48"/>
    </row>
    <row r="3986" spans="2:23" ht="15.6" hidden="1" customHeight="1" x14ac:dyDescent="0.2">
      <c r="B3986" s="2840" t="s">
        <v>1911</v>
      </c>
      <c r="C3986" s="2840"/>
      <c r="D3986" s="2840"/>
      <c r="E3986" s="2840"/>
      <c r="F3986" s="2840"/>
      <c r="G3986" s="2840"/>
      <c r="H3986" s="2077"/>
      <c r="I3986" s="2043"/>
      <c r="J3986" s="2060"/>
      <c r="K3986" s="2043"/>
      <c r="M3986" s="1598"/>
      <c r="N3986" s="1147"/>
      <c r="O3986" s="1133"/>
      <c r="P3986" s="48"/>
      <c r="Q3986" s="48"/>
      <c r="R3986" s="48"/>
      <c r="S3986" s="48"/>
      <c r="T3986" s="48"/>
      <c r="U3986" s="48"/>
      <c r="V3986" s="48"/>
      <c r="W3986" s="48"/>
    </row>
    <row r="3987" spans="2:23" ht="15.6" hidden="1" customHeight="1" x14ac:dyDescent="0.2">
      <c r="B3987" s="2094" t="s">
        <v>1122</v>
      </c>
      <c r="C3987" s="2046"/>
      <c r="D3987" s="2077"/>
      <c r="E3987" s="2046"/>
      <c r="F3987" s="2077"/>
      <c r="G3987" s="2077"/>
      <c r="H3987" s="2077"/>
      <c r="I3987" s="2043">
        <v>0</v>
      </c>
      <c r="J3987" s="2043"/>
      <c r="K3987" s="2043">
        <v>0</v>
      </c>
      <c r="L3987" s="59"/>
      <c r="M3987" s="1133"/>
      <c r="N3987" s="1147"/>
      <c r="O3987" s="1133"/>
      <c r="P3987" s="48"/>
      <c r="Q3987" s="48"/>
      <c r="R3987" s="48"/>
      <c r="S3987" s="48"/>
      <c r="T3987" s="48"/>
      <c r="U3987" s="48"/>
      <c r="V3987" s="48"/>
      <c r="W3987" s="48"/>
    </row>
    <row r="3988" spans="2:23" ht="15.6" hidden="1" customHeight="1" x14ac:dyDescent="0.2">
      <c r="B3988" s="2094" t="s">
        <v>1123</v>
      </c>
      <c r="C3988" s="2046"/>
      <c r="D3988" s="2077"/>
      <c r="E3988" s="2046"/>
      <c r="F3988" s="2077"/>
      <c r="G3988" s="2077"/>
      <c r="H3988" s="2077"/>
      <c r="I3988" s="2043">
        <f>I3990-I3987</f>
        <v>0</v>
      </c>
      <c r="J3988" s="2043"/>
      <c r="K3988" s="2043">
        <f>K3990-K3987</f>
        <v>0</v>
      </c>
      <c r="L3988" s="59"/>
      <c r="M3988" s="1133"/>
      <c r="N3988" s="1147"/>
      <c r="O3988" s="1133"/>
      <c r="P3988" s="48"/>
      <c r="Q3988" s="48"/>
      <c r="R3988" s="48"/>
      <c r="S3988" s="48"/>
      <c r="T3988" s="48"/>
      <c r="U3988" s="48"/>
      <c r="V3988" s="48"/>
      <c r="W3988" s="48"/>
    </row>
    <row r="3989" spans="2:23" ht="15.6" hidden="1" customHeight="1" x14ac:dyDescent="0.2">
      <c r="B3989" s="2046"/>
      <c r="C3989" s="2046"/>
      <c r="D3989" s="2077"/>
      <c r="E3989" s="2046"/>
      <c r="F3989" s="2077"/>
      <c r="G3989" s="2077"/>
      <c r="H3989" s="2077"/>
      <c r="I3989" s="2043"/>
      <c r="J3989" s="2043"/>
      <c r="K3989" s="2043"/>
      <c r="L3989" s="59"/>
      <c r="M3989" s="1133"/>
      <c r="N3989" s="1147"/>
      <c r="O3989" s="1133"/>
      <c r="P3989" s="48"/>
      <c r="Q3989" s="48"/>
      <c r="R3989" s="48"/>
      <c r="S3989" s="48"/>
      <c r="T3989" s="48"/>
      <c r="U3989" s="48"/>
      <c r="V3989" s="48"/>
      <c r="W3989" s="48"/>
    </row>
    <row r="3990" spans="2:23" ht="15.6" hidden="1" customHeight="1" thickBot="1" x14ac:dyDescent="0.3">
      <c r="B3990" s="2081"/>
      <c r="C3990" s="2081"/>
      <c r="D3990" s="2077"/>
      <c r="E3990" s="2046"/>
      <c r="F3990" s="2077"/>
      <c r="G3990" s="2077"/>
      <c r="H3990" s="2077"/>
      <c r="I3990" s="2186">
        <v>0</v>
      </c>
      <c r="J3990" s="2060"/>
      <c r="K3990" s="2186">
        <v>0</v>
      </c>
      <c r="L3990" s="59"/>
      <c r="M3990" s="1133"/>
      <c r="N3990" s="1147"/>
      <c r="O3990" s="1133"/>
      <c r="P3990" s="48"/>
      <c r="Q3990" s="48"/>
      <c r="R3990" s="48"/>
      <c r="S3990" s="48"/>
      <c r="T3990" s="48"/>
      <c r="U3990" s="48"/>
      <c r="V3990" s="48"/>
      <c r="W3990" s="48"/>
    </row>
    <row r="3991" spans="2:23" ht="15.6" hidden="1" customHeight="1" thickTop="1" x14ac:dyDescent="0.2">
      <c r="B3991" s="2046"/>
      <c r="C3991" s="2046"/>
      <c r="D3991" s="2077"/>
      <c r="E3991" s="2046"/>
      <c r="F3991" s="2077"/>
      <c r="G3991" s="2077"/>
      <c r="H3991" s="2077"/>
      <c r="I3991" s="2060"/>
      <c r="J3991" s="2060"/>
      <c r="K3991" s="2060"/>
      <c r="L3991" s="59"/>
      <c r="M3991" s="1133"/>
      <c r="N3991" s="1147"/>
      <c r="O3991" s="1133"/>
      <c r="P3991" s="48"/>
      <c r="Q3991" s="48"/>
      <c r="R3991" s="48"/>
      <c r="S3991" s="48"/>
      <c r="T3991" s="48"/>
      <c r="U3991" s="48"/>
      <c r="V3991" s="48"/>
      <c r="W3991" s="48"/>
    </row>
    <row r="3992" spans="2:23" ht="15.6" hidden="1" customHeight="1" x14ac:dyDescent="0.2">
      <c r="B3992" s="2840" t="s">
        <v>1124</v>
      </c>
      <c r="C3992" s="2840"/>
      <c r="D3992" s="2840"/>
      <c r="E3992" s="2840"/>
      <c r="F3992" s="2840"/>
      <c r="G3992" s="2840"/>
      <c r="H3992" s="2077"/>
      <c r="I3992" s="2043"/>
      <c r="J3992" s="2060"/>
      <c r="K3992" s="2043"/>
      <c r="M3992" s="1598"/>
      <c r="N3992" s="1147"/>
      <c r="O3992" s="1146"/>
      <c r="P3992" s="48"/>
      <c r="Q3992" s="48"/>
      <c r="R3992" s="48"/>
      <c r="S3992" s="48"/>
      <c r="T3992" s="48"/>
      <c r="U3992" s="48"/>
      <c r="V3992" s="48"/>
      <c r="W3992" s="48"/>
    </row>
    <row r="3993" spans="2:23" ht="15.6" hidden="1" customHeight="1" x14ac:dyDescent="0.2">
      <c r="B3993" s="2094" t="s">
        <v>1122</v>
      </c>
      <c r="C3993" s="2046"/>
      <c r="D3993" s="2077"/>
      <c r="E3993" s="2046"/>
      <c r="F3993" s="2077"/>
      <c r="G3993" s="2077"/>
      <c r="H3993" s="2077"/>
      <c r="I3993" s="2043">
        <v>0</v>
      </c>
      <c r="J3993" s="2043"/>
      <c r="K3993" s="2043">
        <v>0</v>
      </c>
      <c r="L3993" s="59"/>
      <c r="M3993" s="1133"/>
      <c r="N3993" s="1147"/>
      <c r="O3993" s="1146"/>
      <c r="P3993" s="48"/>
      <c r="Q3993" s="48"/>
      <c r="R3993" s="48"/>
      <c r="S3993" s="48"/>
      <c r="T3993" s="48"/>
      <c r="U3993" s="48"/>
      <c r="V3993" s="48"/>
      <c r="W3993" s="48"/>
    </row>
    <row r="3994" spans="2:23" ht="15.6" hidden="1" customHeight="1" x14ac:dyDescent="0.2">
      <c r="B3994" s="2094" t="s">
        <v>1123</v>
      </c>
      <c r="C3994" s="2046"/>
      <c r="D3994" s="2077"/>
      <c r="E3994" s="2046"/>
      <c r="F3994" s="2077"/>
      <c r="G3994" s="2077"/>
      <c r="H3994" s="2077"/>
      <c r="I3994" s="2043">
        <f>I3996-I3993</f>
        <v>0</v>
      </c>
      <c r="J3994" s="2043"/>
      <c r="K3994" s="2043">
        <f>K3996-K3993</f>
        <v>0</v>
      </c>
      <c r="L3994" s="59"/>
      <c r="M3994" s="1133"/>
      <c r="N3994" s="1147"/>
      <c r="O3994" s="1146"/>
      <c r="P3994" s="48"/>
      <c r="Q3994" s="48"/>
      <c r="R3994" s="48"/>
      <c r="S3994" s="48"/>
      <c r="T3994" s="48"/>
      <c r="U3994" s="48"/>
      <c r="V3994" s="48"/>
      <c r="W3994" s="48"/>
    </row>
    <row r="3995" spans="2:23" ht="15.6" hidden="1" customHeight="1" x14ac:dyDescent="0.2">
      <c r="B3995" s="2046"/>
      <c r="C3995" s="2046"/>
      <c r="D3995" s="2077"/>
      <c r="E3995" s="2046"/>
      <c r="F3995" s="2077"/>
      <c r="G3995" s="2077"/>
      <c r="H3995" s="2077"/>
      <c r="I3995" s="2043"/>
      <c r="J3995" s="2043"/>
      <c r="K3995" s="2043"/>
      <c r="L3995" s="59"/>
      <c r="M3995" s="1133"/>
      <c r="N3995" s="1147"/>
      <c r="O3995" s="1146"/>
      <c r="P3995" s="48"/>
      <c r="Q3995" s="48"/>
      <c r="R3995" s="48"/>
      <c r="S3995" s="48"/>
      <c r="T3995" s="48"/>
      <c r="U3995" s="48"/>
      <c r="V3995" s="48"/>
      <c r="W3995" s="48"/>
    </row>
    <row r="3996" spans="2:23" ht="15.6" hidden="1" customHeight="1" thickBot="1" x14ac:dyDescent="0.3">
      <c r="B3996" s="2081"/>
      <c r="C3996" s="2081"/>
      <c r="D3996" s="2077"/>
      <c r="E3996" s="2046"/>
      <c r="F3996" s="2077"/>
      <c r="G3996" s="2077"/>
      <c r="H3996" s="2077"/>
      <c r="I3996" s="2186">
        <v>0</v>
      </c>
      <c r="J3996" s="2060"/>
      <c r="K3996" s="2186">
        <v>0</v>
      </c>
      <c r="L3996" s="59"/>
      <c r="M3996" s="1133"/>
      <c r="N3996" s="1147"/>
      <c r="O3996" s="1146"/>
      <c r="P3996" s="48"/>
      <c r="Q3996" s="48"/>
      <c r="R3996" s="48"/>
      <c r="S3996" s="48"/>
      <c r="T3996" s="48"/>
      <c r="U3996" s="48"/>
      <c r="V3996" s="48"/>
      <c r="W3996" s="48"/>
    </row>
    <row r="3997" spans="2:23" ht="15.6" hidden="1" customHeight="1" thickTop="1" x14ac:dyDescent="0.2">
      <c r="B3997" s="2046"/>
      <c r="C3997" s="2046"/>
      <c r="D3997" s="2077"/>
      <c r="E3997" s="2046"/>
      <c r="F3997" s="2077"/>
      <c r="G3997" s="2077"/>
      <c r="H3997" s="2077"/>
      <c r="I3997" s="2060"/>
      <c r="J3997" s="2060"/>
      <c r="K3997" s="2060"/>
      <c r="L3997" s="59"/>
      <c r="M3997" s="1133"/>
      <c r="N3997" s="1147"/>
      <c r="O3997" s="1146"/>
    </row>
    <row r="3998" spans="2:23" ht="15.6" hidden="1" customHeight="1" x14ac:dyDescent="0.2">
      <c r="B3998" s="2840" t="s">
        <v>1125</v>
      </c>
      <c r="C3998" s="2840"/>
      <c r="D3998" s="2840"/>
      <c r="E3998" s="2840"/>
      <c r="F3998" s="2840"/>
      <c r="G3998" s="2840"/>
      <c r="H3998" s="2077"/>
      <c r="I3998" s="2043"/>
      <c r="J3998" s="2060"/>
      <c r="K3998" s="2043"/>
      <c r="M3998" s="1598"/>
      <c r="N3998" s="1147"/>
      <c r="O3998" s="1146"/>
    </row>
    <row r="3999" spans="2:23" ht="15.6" hidden="1" customHeight="1" x14ac:dyDescent="0.2">
      <c r="B3999" s="2094" t="s">
        <v>1122</v>
      </c>
      <c r="C3999" s="2046"/>
      <c r="D3999" s="2077"/>
      <c r="E3999" s="2046"/>
      <c r="F3999" s="2077"/>
      <c r="G3999" s="2077"/>
      <c r="H3999" s="2077"/>
      <c r="I3999" s="2043">
        <v>0</v>
      </c>
      <c r="J3999" s="2043"/>
      <c r="K3999" s="2043">
        <v>0</v>
      </c>
      <c r="L3999" s="59"/>
      <c r="M3999" s="1133"/>
      <c r="N3999" s="1147"/>
      <c r="O3999" s="1146"/>
    </row>
    <row r="4000" spans="2:23" ht="15.6" hidden="1" customHeight="1" x14ac:dyDescent="0.2">
      <c r="B4000" s="2094" t="s">
        <v>1123</v>
      </c>
      <c r="C4000" s="2046"/>
      <c r="D4000" s="2077"/>
      <c r="E4000" s="2046"/>
      <c r="F4000" s="2077"/>
      <c r="G4000" s="2077"/>
      <c r="H4000" s="2077"/>
      <c r="I4000" s="2043">
        <f>I4002-I3999</f>
        <v>0</v>
      </c>
      <c r="J4000" s="2043"/>
      <c r="K4000" s="2043">
        <f>K4002-K3999</f>
        <v>0</v>
      </c>
      <c r="L4000" s="59"/>
      <c r="M4000" s="1133"/>
      <c r="N4000" s="1147"/>
      <c r="O4000" s="1146"/>
    </row>
    <row r="4001" spans="1:23" ht="15.6" hidden="1" customHeight="1" x14ac:dyDescent="0.2">
      <c r="B4001" s="2046"/>
      <c r="C4001" s="2046"/>
      <c r="D4001" s="2077"/>
      <c r="E4001" s="2046"/>
      <c r="F4001" s="2077"/>
      <c r="G4001" s="2077"/>
      <c r="H4001" s="2077"/>
      <c r="I4001" s="2043"/>
      <c r="J4001" s="2043"/>
      <c r="K4001" s="2043"/>
      <c r="L4001" s="59"/>
      <c r="M4001" s="1133"/>
      <c r="N4001" s="1147"/>
      <c r="O4001" s="1146"/>
    </row>
    <row r="4002" spans="1:23" ht="15.6" hidden="1" customHeight="1" thickBot="1" x14ac:dyDescent="0.3">
      <c r="B4002" s="2081"/>
      <c r="C4002" s="2081"/>
      <c r="D4002" s="2077"/>
      <c r="E4002" s="2046"/>
      <c r="F4002" s="2077"/>
      <c r="G4002" s="2077"/>
      <c r="H4002" s="2077"/>
      <c r="I4002" s="2186">
        <v>0</v>
      </c>
      <c r="J4002" s="2060"/>
      <c r="K4002" s="2186">
        <v>0</v>
      </c>
      <c r="L4002" s="59"/>
      <c r="M4002" s="1133"/>
      <c r="N4002" s="1147"/>
      <c r="O4002" s="1146"/>
    </row>
    <row r="4003" spans="1:23" ht="15.6" hidden="1" customHeight="1" thickTop="1" x14ac:dyDescent="0.2">
      <c r="B4003" s="2046"/>
      <c r="C4003" s="2046"/>
      <c r="D4003" s="2077"/>
      <c r="E4003" s="2046"/>
      <c r="F4003" s="2077"/>
      <c r="G4003" s="2077"/>
      <c r="H4003" s="2077"/>
      <c r="I4003" s="2060"/>
      <c r="J4003" s="2060"/>
      <c r="K4003" s="2060"/>
      <c r="L4003" s="59"/>
      <c r="M4003" s="1133"/>
      <c r="N4003" s="1147"/>
      <c r="O4003" s="1146"/>
    </row>
    <row r="4004" spans="1:23" ht="30.95" hidden="1" customHeight="1" x14ac:dyDescent="0.2">
      <c r="B4004" s="2840" t="s">
        <v>1126</v>
      </c>
      <c r="C4004" s="2840"/>
      <c r="D4004" s="2840"/>
      <c r="E4004" s="2840"/>
      <c r="F4004" s="2840"/>
      <c r="G4004" s="2840"/>
      <c r="H4004" s="2090"/>
      <c r="I4004" s="2090"/>
      <c r="J4004" s="2090"/>
      <c r="K4004" s="2090"/>
      <c r="M4004" s="1482"/>
      <c r="N4004" s="1147"/>
      <c r="O4004" s="1596"/>
    </row>
    <row r="4005" spans="1:23" ht="15.6" hidden="1" customHeight="1" x14ac:dyDescent="0.2">
      <c r="B4005" s="2094" t="s">
        <v>1122</v>
      </c>
      <c r="C4005" s="2046"/>
      <c r="D4005" s="2077"/>
      <c r="E4005" s="2046"/>
      <c r="F4005" s="2077"/>
      <c r="G4005" s="2077"/>
      <c r="H4005" s="2077"/>
      <c r="I4005" s="2043">
        <v>0</v>
      </c>
      <c r="J4005" s="2043"/>
      <c r="K4005" s="2043">
        <v>0</v>
      </c>
      <c r="L4005" s="59"/>
      <c r="M4005" s="1133"/>
      <c r="N4005" s="1147"/>
      <c r="O4005" s="1146"/>
    </row>
    <row r="4006" spans="1:23" ht="15.6" hidden="1" customHeight="1" x14ac:dyDescent="0.2">
      <c r="B4006" s="2094" t="s">
        <v>1123</v>
      </c>
      <c r="C4006" s="2046"/>
      <c r="D4006" s="2077"/>
      <c r="E4006" s="2046"/>
      <c r="F4006" s="2077"/>
      <c r="G4006" s="2077"/>
      <c r="H4006" s="2077"/>
      <c r="I4006" s="2043">
        <f>I4008-I4005</f>
        <v>0</v>
      </c>
      <c r="J4006" s="2043"/>
      <c r="K4006" s="2043">
        <f>K4008-K4005</f>
        <v>0</v>
      </c>
      <c r="L4006" s="59"/>
      <c r="M4006" s="1133"/>
      <c r="N4006" s="1147"/>
      <c r="O4006" s="1146"/>
    </row>
    <row r="4007" spans="1:23" ht="15.6" hidden="1" customHeight="1" x14ac:dyDescent="0.2">
      <c r="B4007" s="2046"/>
      <c r="C4007" s="2046"/>
      <c r="D4007" s="2077"/>
      <c r="E4007" s="2046"/>
      <c r="F4007" s="2077"/>
      <c r="G4007" s="2077"/>
      <c r="H4007" s="2077"/>
      <c r="I4007" s="2043"/>
      <c r="J4007" s="2043"/>
      <c r="K4007" s="2043"/>
      <c r="L4007" s="59"/>
      <c r="M4007" s="1133"/>
      <c r="N4007" s="1147"/>
      <c r="O4007" s="1146"/>
    </row>
    <row r="4008" spans="1:23" ht="15.6" hidden="1" customHeight="1" thickBot="1" x14ac:dyDescent="0.3">
      <c r="B4008" s="2081"/>
      <c r="C4008" s="2081"/>
      <c r="D4008" s="2077"/>
      <c r="E4008" s="2046"/>
      <c r="F4008" s="2077"/>
      <c r="G4008" s="2077"/>
      <c r="H4008" s="2077"/>
      <c r="I4008" s="2186">
        <v>0</v>
      </c>
      <c r="J4008" s="2060"/>
      <c r="K4008" s="2186">
        <v>0</v>
      </c>
      <c r="L4008" s="59"/>
      <c r="M4008" s="1133"/>
      <c r="N4008" s="1147"/>
      <c r="O4008" s="1146"/>
    </row>
    <row r="4009" spans="1:23" ht="15.6" hidden="1" customHeight="1" thickTop="1" x14ac:dyDescent="0.2">
      <c r="L4009" s="59"/>
      <c r="M4009" s="1133"/>
      <c r="N4009" s="1147"/>
      <c r="O4009" s="1146"/>
    </row>
    <row r="4010" spans="1:23" ht="15.6" customHeight="1" x14ac:dyDescent="0.2">
      <c r="L4010" s="59"/>
    </row>
    <row r="4011" spans="1:23" ht="15.6" customHeight="1" x14ac:dyDescent="0.25">
      <c r="A4011" s="211">
        <v>42</v>
      </c>
      <c r="B4011" s="50" t="s">
        <v>188</v>
      </c>
      <c r="C4011" s="50"/>
      <c r="L4011" s="59"/>
      <c r="W4011" s="1114" t="s">
        <v>3520</v>
      </c>
    </row>
    <row r="4012" spans="1:23" ht="15.6" customHeight="1" x14ac:dyDescent="0.2">
      <c r="I4012" s="58"/>
      <c r="J4012" s="58"/>
      <c r="K4012" s="58"/>
      <c r="L4012" s="59"/>
    </row>
    <row r="4013" spans="1:23" ht="15.6" customHeight="1" x14ac:dyDescent="0.2">
      <c r="B4013" s="48" t="s">
        <v>7601</v>
      </c>
      <c r="I4013" s="58">
        <f>'Notes II'!I1425</f>
        <v>13711093.029999997</v>
      </c>
      <c r="J4013" s="58"/>
      <c r="K4013" s="58">
        <f>'Notes II'!K1425</f>
        <v>10373708.619999999</v>
      </c>
      <c r="L4013" s="59"/>
    </row>
    <row r="4014" spans="1:23" ht="15.6" customHeight="1" x14ac:dyDescent="0.2">
      <c r="B4014" s="48" t="s">
        <v>345</v>
      </c>
      <c r="I4014" s="58">
        <f>-I4013</f>
        <v>-13711093.029999997</v>
      </c>
      <c r="J4014" s="58"/>
      <c r="K4014" s="58">
        <f>-K4013</f>
        <v>-10373708.619999999</v>
      </c>
      <c r="L4014" s="59"/>
    </row>
    <row r="4015" spans="1:23" ht="15.6" customHeight="1" x14ac:dyDescent="0.2">
      <c r="I4015" s="212"/>
      <c r="J4015" s="58"/>
      <c r="K4015" s="212"/>
      <c r="L4015" s="59"/>
    </row>
    <row r="4016" spans="1:23" ht="15.6" customHeight="1" x14ac:dyDescent="0.2">
      <c r="B4016" s="48" t="s">
        <v>271</v>
      </c>
      <c r="I4016" s="203">
        <f>SUM(I4013:I4015)</f>
        <v>0</v>
      </c>
      <c r="J4016" s="58"/>
      <c r="K4016" s="203">
        <f>SUM(K4013:K4015)</f>
        <v>0</v>
      </c>
      <c r="L4016" s="59"/>
    </row>
    <row r="4017" spans="1:23" ht="15.6" customHeight="1" x14ac:dyDescent="0.2">
      <c r="I4017" s="58"/>
      <c r="J4017" s="58"/>
      <c r="K4017" s="58"/>
      <c r="L4017" s="59"/>
    </row>
    <row r="4018" spans="1:23" ht="15.6" hidden="1" customHeight="1" x14ac:dyDescent="0.2">
      <c r="B4018" s="2046" t="str">
        <f>"Cash set aside for the Repayment of Long-term Liabilities (See Notes "&amp;'AFS Structure'!C30&amp;" and "&amp;'AFS Structure'!C38&amp;")"</f>
        <v>Cash set aside for the Repayment of Long-term Liabilities (See Notes 7 and 15)</v>
      </c>
      <c r="C4018" s="2046"/>
      <c r="D4018" s="2077"/>
      <c r="E4018" s="2046"/>
      <c r="F4018" s="2077"/>
      <c r="G4018" s="2077"/>
      <c r="H4018" s="2077"/>
      <c r="I4018" s="2043">
        <v>0</v>
      </c>
      <c r="J4018" s="2043"/>
      <c r="K4018" s="2043">
        <v>0</v>
      </c>
      <c r="L4018" s="59"/>
    </row>
    <row r="4019" spans="1:23" ht="15.6" hidden="1" customHeight="1" x14ac:dyDescent="0.2">
      <c r="B4019" s="2046"/>
      <c r="C4019" s="2046"/>
      <c r="D4019" s="2077"/>
      <c r="E4019" s="2046"/>
      <c r="F4019" s="2077"/>
      <c r="G4019" s="2077"/>
      <c r="H4019" s="2077"/>
      <c r="I4019" s="2043"/>
      <c r="J4019" s="2043"/>
      <c r="K4019" s="2043"/>
      <c r="L4019" s="59"/>
    </row>
    <row r="4020" spans="1:23" ht="15.6" hidden="1" customHeight="1" thickBot="1" x14ac:dyDescent="0.3">
      <c r="B4020" s="2081" t="s">
        <v>346</v>
      </c>
      <c r="C4020" s="2081"/>
      <c r="D4020" s="2077"/>
      <c r="E4020" s="2046"/>
      <c r="F4020" s="2077"/>
      <c r="G4020" s="2077"/>
      <c r="H4020" s="2077"/>
      <c r="I4020" s="2050">
        <f>SUM(I4016:I4019)</f>
        <v>0</v>
      </c>
      <c r="J4020" s="2043"/>
      <c r="K4020" s="2050">
        <f>SUM(K4016:K4019)</f>
        <v>0</v>
      </c>
      <c r="L4020" s="59"/>
    </row>
    <row r="4021" spans="1:23" ht="15.6" hidden="1" customHeight="1" thickTop="1" x14ac:dyDescent="0.2">
      <c r="B4021" s="2046"/>
      <c r="C4021" s="2046"/>
      <c r="D4021" s="2077"/>
      <c r="E4021" s="2046"/>
      <c r="F4021" s="2077"/>
      <c r="G4021" s="2077"/>
      <c r="H4021" s="2077"/>
      <c r="I4021" s="2043"/>
      <c r="J4021" s="2043"/>
      <c r="K4021" s="2043"/>
      <c r="L4021" s="59"/>
    </row>
    <row r="4022" spans="1:23" ht="46.5" customHeight="1" x14ac:dyDescent="0.2">
      <c r="B4022" s="2839" t="s">
        <v>1678</v>
      </c>
      <c r="C4022" s="2839"/>
      <c r="D4022" s="2839"/>
      <c r="E4022" s="2839"/>
      <c r="F4022" s="2839"/>
      <c r="G4022" s="2839"/>
      <c r="I4022" s="58"/>
      <c r="J4022" s="58"/>
      <c r="K4022" s="58"/>
      <c r="L4022" s="59"/>
    </row>
    <row r="4023" spans="1:23" ht="15.6" customHeight="1" x14ac:dyDescent="0.2">
      <c r="I4023" s="58"/>
      <c r="J4023" s="58"/>
      <c r="K4023" s="58"/>
      <c r="L4023" s="59"/>
    </row>
    <row r="4024" spans="1:23" ht="15.6" customHeight="1" x14ac:dyDescent="0.2">
      <c r="I4024" s="58"/>
      <c r="J4024" s="58"/>
      <c r="K4024" s="58"/>
    </row>
    <row r="4025" spans="1:23" ht="15.6" customHeight="1" x14ac:dyDescent="0.25">
      <c r="A4025" s="211">
        <v>43</v>
      </c>
      <c r="B4025" s="50" t="s">
        <v>341</v>
      </c>
      <c r="C4025" s="50"/>
      <c r="E4025" s="50"/>
      <c r="I4025" s="58"/>
      <c r="J4025" s="58"/>
      <c r="K4025" s="58"/>
      <c r="W4025" s="1114" t="s">
        <v>3520</v>
      </c>
    </row>
    <row r="4026" spans="1:23" ht="15.6" customHeight="1" x14ac:dyDescent="0.2">
      <c r="I4026" s="58"/>
      <c r="J4026" s="58"/>
      <c r="K4026" s="58"/>
    </row>
    <row r="4027" spans="1:23" ht="15.6" customHeight="1" x14ac:dyDescent="0.2">
      <c r="B4027" s="229" t="s">
        <v>7602</v>
      </c>
      <c r="I4027" s="58"/>
      <c r="J4027" s="58"/>
      <c r="K4027" s="58"/>
      <c r="W4027" s="1114" t="s">
        <v>3857</v>
      </c>
    </row>
    <row r="4028" spans="1:23" ht="15.6" customHeight="1" x14ac:dyDescent="0.2">
      <c r="I4028" s="58"/>
      <c r="J4028" s="58"/>
      <c r="K4028" s="58"/>
    </row>
    <row r="4029" spans="1:23" ht="30.95" hidden="1" customHeight="1" x14ac:dyDescent="0.2">
      <c r="A4029" s="201"/>
      <c r="B4029" s="2879" t="s">
        <v>1141</v>
      </c>
      <c r="C4029" s="2879"/>
      <c r="D4029" s="2879"/>
      <c r="E4029" s="2879"/>
      <c r="F4029" s="2879"/>
      <c r="G4029" s="2879"/>
      <c r="H4029" s="201"/>
      <c r="I4029" s="58"/>
      <c r="K4029" s="58"/>
      <c r="L4029" s="201"/>
      <c r="M4029" s="1133"/>
      <c r="N4029" s="1147"/>
      <c r="O4029" s="1146"/>
      <c r="Q4029" s="48"/>
      <c r="R4029" s="48"/>
      <c r="S4029" s="48"/>
      <c r="T4029" s="48"/>
      <c r="U4029" s="48"/>
      <c r="V4029" s="48"/>
      <c r="W4029" s="48"/>
    </row>
    <row r="4030" spans="1:23" ht="15.6" hidden="1" customHeight="1" x14ac:dyDescent="0.25">
      <c r="I4030" s="200"/>
      <c r="J4030" s="200"/>
      <c r="K4030" s="200"/>
      <c r="L4030" s="210"/>
      <c r="M4030" s="1133"/>
      <c r="N4030" s="1147"/>
      <c r="O4030" s="1596"/>
      <c r="Q4030" s="48"/>
      <c r="R4030" s="48"/>
      <c r="S4030" s="48"/>
      <c r="T4030" s="48"/>
      <c r="U4030" s="48"/>
      <c r="V4030" s="48"/>
      <c r="W4030" s="48"/>
    </row>
    <row r="4031" spans="1:23" ht="15.6" customHeight="1" x14ac:dyDescent="0.2">
      <c r="B4031" s="48" t="s">
        <v>608</v>
      </c>
      <c r="I4031" s="58"/>
      <c r="J4031" s="58"/>
      <c r="K4031" s="58"/>
      <c r="M4031" s="1133"/>
      <c r="N4031" s="1133"/>
      <c r="O4031" s="1146"/>
      <c r="Q4031" s="48"/>
      <c r="R4031" s="48"/>
      <c r="S4031" s="48"/>
      <c r="T4031" s="48"/>
      <c r="U4031" s="48"/>
      <c r="V4031" s="48"/>
      <c r="W4031" s="48"/>
    </row>
    <row r="4032" spans="1:23" ht="15.6" customHeight="1" x14ac:dyDescent="0.2">
      <c r="B4032" s="48" t="s">
        <v>552</v>
      </c>
      <c r="I4032" s="58">
        <f>K4037</f>
        <v>15118443</v>
      </c>
      <c r="J4032" s="58"/>
      <c r="K4032" s="58">
        <v>0</v>
      </c>
      <c r="M4032" s="1133"/>
      <c r="N4032" s="1133"/>
      <c r="O4032" s="1146"/>
      <c r="Q4032" s="48"/>
      <c r="R4032" s="48"/>
      <c r="S4032" s="48"/>
      <c r="T4032" s="48"/>
      <c r="U4032" s="48"/>
      <c r="V4032" s="48"/>
      <c r="W4032" s="48"/>
    </row>
    <row r="4033" spans="2:23" ht="15.6" customHeight="1" x14ac:dyDescent="0.2">
      <c r="B4033" s="48" t="s">
        <v>611</v>
      </c>
      <c r="I4033" s="58">
        <v>43860803</v>
      </c>
      <c r="J4033" s="58"/>
      <c r="K4033" s="58">
        <v>12147439</v>
      </c>
      <c r="M4033" s="1133"/>
      <c r="N4033" s="1133"/>
      <c r="O4033" s="1146"/>
      <c r="Q4033" s="48"/>
      <c r="R4033" s="48"/>
      <c r="S4033" s="48"/>
      <c r="T4033" s="48"/>
      <c r="U4033" s="48"/>
      <c r="V4033" s="48"/>
      <c r="W4033" s="48"/>
    </row>
    <row r="4034" spans="2:23" ht="15.6" customHeight="1" x14ac:dyDescent="0.2">
      <c r="B4034" s="48" t="s">
        <v>553</v>
      </c>
      <c r="I4034" s="58">
        <v>0</v>
      </c>
      <c r="J4034" s="58"/>
      <c r="K4034" s="58">
        <v>2971004</v>
      </c>
      <c r="M4034" s="1133"/>
      <c r="N4034" s="1133"/>
      <c r="O4034" s="1146"/>
      <c r="Q4034" s="48"/>
      <c r="R4034" s="48"/>
      <c r="S4034" s="48"/>
      <c r="T4034" s="48"/>
      <c r="U4034" s="48"/>
      <c r="V4034" s="48"/>
      <c r="W4034" s="48"/>
    </row>
    <row r="4035" spans="2:23" ht="15.6" customHeight="1" x14ac:dyDescent="0.2">
      <c r="B4035" s="48" t="s">
        <v>2207</v>
      </c>
      <c r="I4035" s="58">
        <v>0</v>
      </c>
      <c r="J4035" s="58"/>
      <c r="K4035" s="58">
        <v>0</v>
      </c>
      <c r="M4035" s="1133"/>
      <c r="N4035" s="1133"/>
      <c r="O4035" s="1146"/>
      <c r="Q4035" s="48"/>
      <c r="R4035" s="48"/>
      <c r="S4035" s="48"/>
      <c r="T4035" s="48"/>
      <c r="U4035" s="48"/>
      <c r="V4035" s="48"/>
      <c r="W4035" s="48"/>
    </row>
    <row r="4036" spans="2:23" ht="15.6" customHeight="1" x14ac:dyDescent="0.2">
      <c r="B4036" s="48" t="s">
        <v>2208</v>
      </c>
      <c r="I4036" s="58">
        <v>0</v>
      </c>
      <c r="J4036" s="58"/>
      <c r="K4036" s="58">
        <v>0</v>
      </c>
      <c r="M4036" s="1133"/>
      <c r="N4036" s="1133"/>
      <c r="O4036" s="1146"/>
      <c r="Q4036" s="48"/>
      <c r="R4036" s="48"/>
      <c r="S4036" s="48"/>
      <c r="T4036" s="48"/>
      <c r="U4036" s="48"/>
      <c r="V4036" s="48"/>
      <c r="W4036" s="48"/>
    </row>
    <row r="4037" spans="2:23" ht="15.6" customHeight="1" thickBot="1" x14ac:dyDescent="0.3">
      <c r="B4037" s="48" t="s">
        <v>609</v>
      </c>
      <c r="I4037" s="204">
        <f>SUM(I4032:I4036)</f>
        <v>58979246</v>
      </c>
      <c r="J4037" s="58"/>
      <c r="K4037" s="204">
        <f>SUM(K4032:K4036)</f>
        <v>15118443</v>
      </c>
      <c r="M4037" s="1133"/>
      <c r="N4037" s="1133"/>
      <c r="O4037" s="1146"/>
      <c r="Q4037" s="48"/>
      <c r="R4037" s="48"/>
      <c r="S4037" s="48"/>
      <c r="T4037" s="48"/>
      <c r="U4037" s="48"/>
      <c r="V4037" s="48"/>
      <c r="W4037" s="48"/>
    </row>
    <row r="4038" spans="2:23" ht="15.6" customHeight="1" thickTop="1" x14ac:dyDescent="0.2">
      <c r="I4038" s="58"/>
      <c r="J4038" s="58"/>
      <c r="K4038" s="58"/>
      <c r="M4038" s="1133"/>
      <c r="N4038" s="1133"/>
      <c r="O4038" s="1146"/>
      <c r="Q4038" s="48"/>
      <c r="R4038" s="48"/>
      <c r="S4038" s="48"/>
      <c r="T4038" s="48"/>
      <c r="U4038" s="48"/>
      <c r="V4038" s="48"/>
      <c r="W4038" s="48"/>
    </row>
    <row r="4039" spans="2:23" ht="15.6" customHeight="1" thickBot="1" x14ac:dyDescent="0.3">
      <c r="B4039" s="2910" t="s">
        <v>554</v>
      </c>
      <c r="C4039" s="2912"/>
      <c r="D4039" s="273"/>
      <c r="E4039" s="2910" t="s">
        <v>555</v>
      </c>
      <c r="F4039" s="2911"/>
      <c r="G4039" s="2911"/>
      <c r="H4039" s="2911"/>
      <c r="I4039" s="2911"/>
      <c r="J4039" s="2911"/>
      <c r="K4039" s="2912"/>
      <c r="M4039" s="283" t="e">
        <f>SUM(M4040:M4055)</f>
        <v>#REF!</v>
      </c>
      <c r="N4039" s="283" t="e">
        <f>SUM(N4040:N4055)</f>
        <v>#REF!</v>
      </c>
      <c r="O4039" s="1146"/>
      <c r="Q4039" s="48"/>
      <c r="R4039" s="48"/>
      <c r="S4039" s="48"/>
      <c r="T4039" s="48"/>
      <c r="U4039" s="48"/>
      <c r="V4039" s="48"/>
      <c r="W4039" s="48"/>
    </row>
    <row r="4040" spans="2:23" ht="15.6" customHeight="1" thickTop="1" x14ac:dyDescent="0.2">
      <c r="B4040" s="2883" t="s">
        <v>8202</v>
      </c>
      <c r="C4040" s="2885"/>
      <c r="D4040" s="2153"/>
      <c r="E4040" s="2883" t="s">
        <v>121</v>
      </c>
      <c r="F4040" s="2884"/>
      <c r="G4040" s="2884"/>
      <c r="H4040" s="2884"/>
      <c r="I4040" s="2884"/>
      <c r="J4040" s="2884"/>
      <c r="K4040" s="2885"/>
      <c r="O4040" s="1146"/>
      <c r="Q4040" s="48"/>
      <c r="R4040" s="48"/>
      <c r="S4040" s="48"/>
      <c r="T4040" s="48"/>
      <c r="U4040" s="48"/>
      <c r="V4040" s="48"/>
      <c r="W4040" s="48"/>
    </row>
    <row r="4041" spans="2:23" ht="15.6" hidden="1" customHeight="1" x14ac:dyDescent="0.2">
      <c r="B4041" s="2188" t="str">
        <f>"     - Executive and Council - R"&amp;FIXED(M4041,0,FALSE)&amp;"  ("&amp;Prior&amp;": R"&amp;FIXED(N4041,0,FALSE)&amp;")"</f>
        <v xml:space="preserve">     - Executive and Council - R16 289 804  (2011: R15 424 498)</v>
      </c>
      <c r="C4041" s="2189"/>
      <c r="D4041" s="2187"/>
      <c r="E4041" s="2188"/>
      <c r="F4041" s="2187"/>
      <c r="G4041" s="2187"/>
      <c r="H4041" s="2187"/>
      <c r="I4041" s="2187"/>
      <c r="J4041" s="2187"/>
      <c r="K4041" s="2189"/>
      <c r="M4041" s="1134">
        <f>IF(SUM('APPENDIX D'!J9-'APPENDIX D'!K9)&gt;0,SUM('APPENDIX D'!J9-'APPENDIX D'!K9),0)</f>
        <v>16289803.520000003</v>
      </c>
      <c r="N4041" s="1134">
        <f>IF(SUM('APPENDIX D'!C9-'APPENDIX D'!D9)&gt;0,SUM('APPENDIX D'!C9-'APPENDIX D'!D9),0)</f>
        <v>15424497.680000003</v>
      </c>
      <c r="O4041" s="1146"/>
      <c r="P4041" s="1115"/>
      <c r="Q4041" s="48"/>
      <c r="R4041" s="48"/>
      <c r="S4041" s="48"/>
      <c r="T4041" s="48"/>
      <c r="U4041" s="48"/>
      <c r="V4041" s="48"/>
      <c r="W4041" s="48"/>
    </row>
    <row r="4042" spans="2:23" ht="15.6" hidden="1" customHeight="1" x14ac:dyDescent="0.2">
      <c r="B4042" s="2188" t="str">
        <f>"     - Finance and Administration - R"&amp;FIXED(M4042,0,FALSE)&amp;"  ("&amp;Prior&amp;": R"&amp;FIXED(N4042,0,FALSE)&amp;")"</f>
        <v xml:space="preserve">     - Finance and Administration - R1 764 520  (2011: R0)</v>
      </c>
      <c r="C4042" s="2189"/>
      <c r="D4042" s="2187"/>
      <c r="E4042" s="2188"/>
      <c r="F4042" s="2187"/>
      <c r="G4042" s="2187"/>
      <c r="H4042" s="2187"/>
      <c r="I4042" s="2187"/>
      <c r="J4042" s="2187"/>
      <c r="K4042" s="2189"/>
      <c r="M4042" s="1134">
        <f>IF(SUM('APPENDIX D'!J12-'APPENDIX D'!K12)&gt;0,SUM('APPENDIX D'!J12-'APPENDIX D'!K12),0)</f>
        <v>1764520.0399999991</v>
      </c>
      <c r="N4042" s="1134">
        <f>IF(SUM('APPENDIX D'!C12-'APPENDIX D'!D12)&gt;0,SUM('APPENDIX D'!C12-'APPENDIX D'!D12),0)</f>
        <v>0</v>
      </c>
      <c r="O4042" s="1146"/>
      <c r="Q4042" s="48"/>
      <c r="R4042" s="48"/>
      <c r="S4042" s="48"/>
      <c r="T4042" s="48"/>
      <c r="U4042" s="48"/>
      <c r="V4042" s="48"/>
      <c r="W4042" s="48"/>
    </row>
    <row r="4043" spans="2:23" ht="15.6" hidden="1" customHeight="1" x14ac:dyDescent="0.2">
      <c r="B4043" s="2188" t="str">
        <f>"     - Planning and Development - R"&amp;FIXED(M4043,0,FALSE)&amp;"  ("&amp;Prior&amp;": R"&amp;FIXED(N4043,0,FALSE)&amp;")"</f>
        <v xml:space="preserve">     - Planning and Development - R1 502 526  (2011: R884 119)</v>
      </c>
      <c r="C4043" s="2189"/>
      <c r="D4043" s="2187"/>
      <c r="E4043" s="2188"/>
      <c r="F4043" s="2187"/>
      <c r="G4043" s="2187"/>
      <c r="H4043" s="2187"/>
      <c r="I4043" s="2187"/>
      <c r="J4043" s="2187"/>
      <c r="K4043" s="2189"/>
      <c r="M4043" s="1134">
        <f>IF(SUM('APPENDIX D'!J18-'APPENDIX D'!K18)&gt;0,SUM('APPENDIX D'!J18-'APPENDIX D'!K18),0)</f>
        <v>1502525.76</v>
      </c>
      <c r="N4043" s="1134">
        <f>IF(SUM('APPENDIX D'!C18-'APPENDIX D'!D18)&gt;0,SUM('APPENDIX D'!C18-'APPENDIX D'!D18),0)</f>
        <v>884118.92</v>
      </c>
      <c r="O4043" s="1146"/>
      <c r="Q4043" s="48"/>
      <c r="R4043" s="48"/>
      <c r="S4043" s="48"/>
      <c r="T4043" s="48"/>
      <c r="U4043" s="48"/>
      <c r="V4043" s="48"/>
      <c r="W4043" s="48"/>
    </row>
    <row r="4044" spans="2:23" ht="15.6" hidden="1" customHeight="1" x14ac:dyDescent="0.2">
      <c r="B4044" s="2188"/>
      <c r="C4044" s="2189"/>
      <c r="D4044" s="2187"/>
      <c r="E4044" s="2188"/>
      <c r="F4044" s="2187"/>
      <c r="G4044" s="2187"/>
      <c r="H4044" s="2187"/>
      <c r="I4044" s="2187"/>
      <c r="J4044" s="2187"/>
      <c r="K4044" s="2189"/>
      <c r="M4044" s="1134" t="e">
        <f>IF(SUM('APPENDIX D'!#REF!-'APPENDIX D'!#REF!)&gt;0,SUM('APPENDIX D'!#REF!-'APPENDIX D'!#REF!),0)</f>
        <v>#REF!</v>
      </c>
      <c r="N4044" s="1134" t="e">
        <f>IF(SUM('APPENDIX D'!#REF!-'APPENDIX D'!#REF!)&gt;0,SUM('APPENDIX D'!#REF!-'APPENDIX D'!#REF!),0)</f>
        <v>#REF!</v>
      </c>
      <c r="O4044" s="1146"/>
      <c r="Q4044" s="48"/>
      <c r="R4044" s="48"/>
      <c r="S4044" s="48"/>
      <c r="T4044" s="48"/>
      <c r="U4044" s="48"/>
      <c r="V4044" s="48"/>
      <c r="W4044" s="48"/>
    </row>
    <row r="4045" spans="2:23" ht="15.6" hidden="1" customHeight="1" x14ac:dyDescent="0.2">
      <c r="B4045" s="2188" t="str">
        <f>"     - Community and Social Services - R"&amp;FIXED(M4045,0,FALSE)&amp;"  ("&amp;Prior&amp;": R"&amp;FIXED(N4045,0,FALSE)&amp;")"</f>
        <v xml:space="preserve">     - Community and Social Services - R0  (2011: R0)</v>
      </c>
      <c r="C4045" s="2189"/>
      <c r="D4045" s="2187"/>
      <c r="E4045" s="2188"/>
      <c r="F4045" s="2187"/>
      <c r="G4045" s="2187"/>
      <c r="H4045" s="2187"/>
      <c r="I4045" s="2187"/>
      <c r="J4045" s="2187"/>
      <c r="K4045" s="2189"/>
      <c r="M4045" s="1134">
        <f>IF(SUM('APPENDIX D'!J20-'APPENDIX D'!K20)&gt;0,SUM('APPENDIX D'!J20-'APPENDIX D'!K20),0)</f>
        <v>0</v>
      </c>
      <c r="N4045" s="1134">
        <f>IF(SUM('APPENDIX D'!C20-'APPENDIX D'!D20)&gt;0,SUM('APPENDIX D'!C20-'APPENDIX D'!D20),0)</f>
        <v>0</v>
      </c>
      <c r="O4045" s="1146"/>
    </row>
    <row r="4046" spans="2:23" ht="15.6" hidden="1" customHeight="1" x14ac:dyDescent="0.2">
      <c r="B4046" s="2188" t="str">
        <f>"     - Housing - R"&amp;FIXED(M4046,0,FALSE)&amp;"  ("&amp;Prior&amp;": R"&amp;FIXED(N4046,0,FALSE)&amp;")"</f>
        <v xml:space="preserve">     - Housing - R690 182  (2011: R692 472)</v>
      </c>
      <c r="C4046" s="2189"/>
      <c r="D4046" s="2187"/>
      <c r="E4046" s="2188"/>
      <c r="F4046" s="2187"/>
      <c r="G4046" s="2187"/>
      <c r="H4046" s="2187"/>
      <c r="I4046" s="2187"/>
      <c r="J4046" s="2187"/>
      <c r="K4046" s="2189"/>
      <c r="M4046" s="1134">
        <f>IF(SUM('APPENDIX D'!J25-'APPENDIX D'!K25)&gt;0,SUM('APPENDIX D'!J25-'APPENDIX D'!K25),0)</f>
        <v>690182.2</v>
      </c>
      <c r="N4046" s="1134">
        <f>IF(SUM('APPENDIX D'!C25-'APPENDIX D'!D25)&gt;0,SUM('APPENDIX D'!C25-'APPENDIX D'!D25),0)</f>
        <v>692471.53</v>
      </c>
      <c r="O4046" s="1146"/>
    </row>
    <row r="4047" spans="2:23" ht="15.6" hidden="1" customHeight="1" x14ac:dyDescent="0.2">
      <c r="B4047" s="2188" t="str">
        <f>"     - Public Safety - R"&amp;FIXED(M4047,0,FALSE)&amp;"  ("&amp;Prior&amp;": R"&amp;FIXED(N4047,0,FALSE)&amp;")"</f>
        <v xml:space="preserve">     - Public Safety - R0  (2011: R0)</v>
      </c>
      <c r="C4047" s="2189"/>
      <c r="D4047" s="2187"/>
      <c r="E4047" s="2188"/>
      <c r="F4047" s="2187"/>
      <c r="G4047" s="2187"/>
      <c r="H4047" s="2187"/>
      <c r="I4047" s="2187"/>
      <c r="J4047" s="2187"/>
      <c r="K4047" s="2189"/>
      <c r="M4047" s="1134">
        <f>IF(SUM('APPENDIX D'!J27-'APPENDIX D'!K27)&gt;0,SUM('APPENDIX D'!J27-'APPENDIX D'!K27),0)</f>
        <v>0</v>
      </c>
      <c r="N4047" s="1134">
        <f>IF(SUM('APPENDIX D'!C27-'APPENDIX D'!D27)&gt;0,SUM('APPENDIX D'!C27-'APPENDIX D'!D27),0)</f>
        <v>0</v>
      </c>
      <c r="O4047" s="1146"/>
    </row>
    <row r="4048" spans="2:23" ht="15.6" hidden="1" customHeight="1" x14ac:dyDescent="0.2">
      <c r="B4048" s="2188" t="str">
        <f>"     - Sport and Recreation - R"&amp;FIXED(M4048,0,FALSE)&amp;"  ("&amp;Prior&amp;": R"&amp;FIXED(N4048,0,FALSE)&amp;")"</f>
        <v xml:space="preserve">     - Sport and Recreation - R14 131 457  (2011: R0)</v>
      </c>
      <c r="C4048" s="2189"/>
      <c r="D4048" s="2187"/>
      <c r="E4048" s="2188"/>
      <c r="F4048" s="2187"/>
      <c r="G4048" s="2187"/>
      <c r="H4048" s="2187"/>
      <c r="I4048" s="2187"/>
      <c r="J4048" s="2187"/>
      <c r="K4048" s="2189"/>
      <c r="M4048" s="1134">
        <f>IF(SUM('APPENDIX D'!J31-'APPENDIX D'!K31)&gt;0,SUM('APPENDIX D'!J31-'APPENDIX D'!K31),0)</f>
        <v>14131457.41</v>
      </c>
      <c r="N4048" s="1134">
        <f>IF(SUM('APPENDIX D'!C31-'APPENDIX D'!D31)&gt;0,SUM('APPENDIX D'!C31-'APPENDIX D'!D31),0)</f>
        <v>0</v>
      </c>
      <c r="O4048" s="1146"/>
    </row>
    <row r="4049" spans="1:23" ht="15.6" hidden="1" customHeight="1" x14ac:dyDescent="0.2">
      <c r="B4049" s="2188" t="str">
        <f>"     - Environmental Protection - R"&amp;FIXED(M4049,0,FALSE)&amp;"  ("&amp;Prior&amp;": R"&amp;FIXED(N4049,0,FALSE)&amp;")"</f>
        <v xml:space="preserve">     - Environmental Protection - R0  (2011: R0)</v>
      </c>
      <c r="C4049" s="2189"/>
      <c r="D4049" s="2187"/>
      <c r="E4049" s="2188"/>
      <c r="F4049" s="2187"/>
      <c r="G4049" s="2187"/>
      <c r="H4049" s="2187"/>
      <c r="I4049" s="2187"/>
      <c r="J4049" s="2187"/>
      <c r="K4049" s="2189"/>
      <c r="M4049" s="1134">
        <f>IF(SUM('APPENDIX D'!J33-'APPENDIX D'!K33)&gt;0,SUM('APPENDIX D'!J33-'APPENDIX D'!K33),0)</f>
        <v>0</v>
      </c>
      <c r="N4049" s="1134">
        <f>IF(SUM('APPENDIX D'!C33-'APPENDIX D'!D33)&gt;0,SUM('APPENDIX D'!C33-'APPENDIX D'!D33),0)</f>
        <v>0</v>
      </c>
      <c r="O4049" s="1146"/>
    </row>
    <row r="4050" spans="1:23" ht="15.6" hidden="1" customHeight="1" x14ac:dyDescent="0.2">
      <c r="B4050" s="2188" t="str">
        <f>"     - Waste Management - R"&amp;FIXED(M4050,0,FALSE)&amp;"  ("&amp;Prior&amp;": R"&amp;FIXED(N4050,0,FALSE)&amp;")"</f>
        <v xml:space="preserve">     - Waste Management - R0  (2011: R0)</v>
      </c>
      <c r="C4050" s="2189"/>
      <c r="D4050" s="2187"/>
      <c r="E4050" s="2188"/>
      <c r="F4050" s="2187"/>
      <c r="G4050" s="2187"/>
      <c r="H4050" s="2187"/>
      <c r="I4050" s="2187"/>
      <c r="J4050" s="2187"/>
      <c r="K4050" s="2189"/>
      <c r="M4050" s="1134">
        <f>IF(SUM('APPENDIX D'!J35-'APPENDIX D'!K35)&gt;0,SUM('APPENDIX D'!J35-'APPENDIX D'!K35),0)</f>
        <v>0</v>
      </c>
      <c r="N4050" s="1134">
        <f>IF(SUM('APPENDIX D'!C35-'APPENDIX D'!D35)&gt;0,SUM('APPENDIX D'!C35-'APPENDIX D'!D35),0)</f>
        <v>0</v>
      </c>
      <c r="O4050" s="1146"/>
    </row>
    <row r="4051" spans="1:23" ht="15.6" hidden="1" customHeight="1" x14ac:dyDescent="0.2">
      <c r="B4051" s="2188" t="str">
        <f>"     - Roads and Transport - R"&amp;FIXED(M4051,0,FALSE)&amp;"  ("&amp;Prior&amp;": R"&amp;FIXED(N4051,0,FALSE)&amp;")"</f>
        <v xml:space="preserve">     - Roads and Transport - R0  (2011: R0)</v>
      </c>
      <c r="C4051" s="2189"/>
      <c r="D4051" s="2187"/>
      <c r="E4051" s="2188"/>
      <c r="F4051" s="2187"/>
      <c r="G4051" s="2187"/>
      <c r="H4051" s="2187"/>
      <c r="I4051" s="2187"/>
      <c r="J4051" s="2187"/>
      <c r="K4051" s="2189"/>
      <c r="M4051" s="1134">
        <f>IF(SUM('APPENDIX D'!J38-'APPENDIX D'!K38)&gt;0,SUM('APPENDIX D'!J38-'APPENDIX D'!K38),0)</f>
        <v>0</v>
      </c>
      <c r="N4051" s="1134">
        <f>IF(SUM('APPENDIX D'!C38-'APPENDIX D'!D38)&gt;0,SUM('APPENDIX D'!C38-'APPENDIX D'!D38),0)</f>
        <v>0</v>
      </c>
      <c r="O4051" s="1146"/>
    </row>
    <row r="4052" spans="1:23" ht="15.6" hidden="1" customHeight="1" x14ac:dyDescent="0.2">
      <c r="B4052" s="2188" t="str">
        <f>"     - Water - R"&amp;FIXED(M4052,0,FALSE)&amp;"  ("&amp;Prior&amp;": R"&amp;FIXED(N4052,0,FALSE)&amp;")"</f>
        <v xml:space="preserve">     - Water - R0  (2011: R0)</v>
      </c>
      <c r="C4052" s="2189"/>
      <c r="D4052" s="2187"/>
      <c r="E4052" s="2188"/>
      <c r="F4052" s="2187"/>
      <c r="G4052" s="2187"/>
      <c r="H4052" s="2187"/>
      <c r="I4052" s="2187"/>
      <c r="J4052" s="2187"/>
      <c r="K4052" s="2189"/>
      <c r="M4052" s="1134">
        <f>IF(SUM('APPENDIX D'!J40-'APPENDIX D'!K40)&gt;0,SUM('APPENDIX D'!J40-'APPENDIX D'!K40),0)</f>
        <v>0</v>
      </c>
      <c r="N4052" s="1134">
        <f>IF(SUM('APPENDIX D'!C40-'APPENDIX D'!D40)&gt;0,SUM('APPENDIX D'!C40-'APPENDIX D'!D40),0)</f>
        <v>0</v>
      </c>
      <c r="O4052" s="1146"/>
    </row>
    <row r="4053" spans="1:23" ht="15.6" hidden="1" customHeight="1" x14ac:dyDescent="0.2">
      <c r="B4053" s="2188" t="str">
        <f>"     - Electricity - R"&amp;FIXED(M4053,0,FALSE)&amp;"  ("&amp;Prior&amp;": R"&amp;FIXED(N4053,0,FALSE)&amp;")"</f>
        <v xml:space="preserve">     - Electricity - R0  (2011: R0)</v>
      </c>
      <c r="C4053" s="2189"/>
      <c r="D4053" s="2187"/>
      <c r="E4053" s="2188"/>
      <c r="F4053" s="2187"/>
      <c r="G4053" s="2187"/>
      <c r="H4053" s="2187"/>
      <c r="I4053" s="2187"/>
      <c r="J4053" s="2187"/>
      <c r="K4053" s="2189"/>
      <c r="M4053" s="1134">
        <f>IF(SUM('APPENDIX D'!J42-'APPENDIX D'!K42)&gt;0,SUM('APPENDIX D'!J42-'APPENDIX D'!K42),0)</f>
        <v>0</v>
      </c>
      <c r="N4053" s="1134">
        <f>IF(SUM('APPENDIX D'!C42-'APPENDIX D'!D42)&gt;0,SUM('APPENDIX D'!C42-'APPENDIX D'!D42),0)</f>
        <v>0</v>
      </c>
      <c r="O4053" s="1146"/>
    </row>
    <row r="4054" spans="1:23" ht="15.6" hidden="1" customHeight="1" x14ac:dyDescent="0.2">
      <c r="B4054" s="2188" t="str">
        <f>"     - Other - R"&amp;FIXED(M4054,0,FALSE)&amp;"  ("&amp;Prior&amp;": R"&amp;FIXED(N4054,0,FALSE)&amp;")"</f>
        <v xml:space="preserve">     - Other - R16 578 953  (2011: R21 490 671)</v>
      </c>
      <c r="C4054" s="2189"/>
      <c r="D4054" s="2187"/>
      <c r="E4054" s="2188"/>
      <c r="F4054" s="2187"/>
      <c r="G4054" s="2187"/>
      <c r="H4054" s="2187"/>
      <c r="I4054" s="2187"/>
      <c r="J4054" s="2187"/>
      <c r="K4054" s="2189"/>
      <c r="M4054" s="1134">
        <f>IF(SUM('APPENDIX D'!J44-'APPENDIX D'!K44)&gt;0,SUM('APPENDIX D'!J44-'APPENDIX D'!K44),0)</f>
        <v>16578952.689999998</v>
      </c>
      <c r="N4054" s="1134">
        <f>IF(SUM('APPENDIX D'!C44-'APPENDIX D'!D44)&gt;0,SUM('APPENDIX D'!C44-'APPENDIX D'!D44),0)</f>
        <v>21490671.379999999</v>
      </c>
      <c r="O4054" s="1146"/>
    </row>
    <row r="4055" spans="1:23" ht="15.6" hidden="1" customHeight="1" x14ac:dyDescent="0.2">
      <c r="B4055" s="2913"/>
      <c r="C4055" s="2915"/>
      <c r="D4055" s="2187"/>
      <c r="E4055" s="2913"/>
      <c r="F4055" s="2914"/>
      <c r="G4055" s="2914"/>
      <c r="H4055" s="2914"/>
      <c r="I4055" s="2914"/>
      <c r="J4055" s="2914"/>
      <c r="K4055" s="2915"/>
      <c r="M4055" s="1133"/>
      <c r="N4055" s="1133"/>
      <c r="O4055" s="1146"/>
    </row>
    <row r="4056" spans="1:23" ht="15.6" customHeight="1" x14ac:dyDescent="0.2">
      <c r="I4056" s="58"/>
      <c r="J4056" s="58"/>
      <c r="K4056" s="58"/>
    </row>
    <row r="4057" spans="1:23" ht="15.6" customHeight="1" x14ac:dyDescent="0.25">
      <c r="A4057" s="50"/>
      <c r="B4057" s="229" t="s">
        <v>7603</v>
      </c>
      <c r="I4057" s="58"/>
      <c r="J4057" s="58"/>
      <c r="K4057" s="58"/>
      <c r="W4057" s="1114" t="s">
        <v>3857</v>
      </c>
    </row>
    <row r="4058" spans="1:23" ht="15.6" customHeight="1" x14ac:dyDescent="0.2">
      <c r="I4058" s="58"/>
      <c r="J4058" s="58"/>
      <c r="K4058" s="58"/>
    </row>
    <row r="4059" spans="1:23" ht="30.95" hidden="1" customHeight="1" x14ac:dyDescent="0.2">
      <c r="A4059" s="633"/>
      <c r="B4059" s="2867" t="s">
        <v>1142</v>
      </c>
      <c r="C4059" s="2867"/>
      <c r="D4059" s="2867"/>
      <c r="E4059" s="2867"/>
      <c r="F4059" s="2867"/>
      <c r="G4059" s="2867"/>
      <c r="H4059" s="633"/>
      <c r="I4059" s="630"/>
      <c r="J4059" s="286"/>
      <c r="K4059" s="630"/>
      <c r="L4059" s="633"/>
      <c r="M4059" s="1133"/>
      <c r="N4059" s="1147"/>
      <c r="O4059" s="1146"/>
    </row>
    <row r="4060" spans="1:23" ht="15.6" hidden="1" customHeight="1" x14ac:dyDescent="0.25">
      <c r="A4060" s="625"/>
      <c r="B4060" s="625"/>
      <c r="C4060" s="625"/>
      <c r="D4060" s="626"/>
      <c r="E4060" s="625"/>
      <c r="F4060" s="626"/>
      <c r="G4060" s="626"/>
      <c r="H4060" s="626"/>
      <c r="I4060" s="630"/>
      <c r="J4060" s="627"/>
      <c r="K4060" s="630"/>
      <c r="L4060" s="625"/>
      <c r="M4060" s="1133"/>
      <c r="N4060" s="1147"/>
      <c r="O4060" s="1146"/>
    </row>
    <row r="4061" spans="1:23" ht="15.6" customHeight="1" x14ac:dyDescent="0.2">
      <c r="B4061" s="48" t="s">
        <v>610</v>
      </c>
      <c r="I4061" s="58"/>
      <c r="J4061" s="58"/>
      <c r="K4061" s="58"/>
      <c r="T4061" s="48"/>
      <c r="U4061" s="48"/>
      <c r="V4061" s="48"/>
      <c r="W4061" s="48"/>
    </row>
    <row r="4062" spans="1:23" ht="15.6" customHeight="1" x14ac:dyDescent="0.2">
      <c r="B4062" s="48" t="s">
        <v>552</v>
      </c>
      <c r="I4062" s="58">
        <f>K4067</f>
        <v>2086252</v>
      </c>
      <c r="J4062" s="58"/>
      <c r="K4062" s="58">
        <v>1253110</v>
      </c>
      <c r="N4062" s="1147"/>
      <c r="T4062" s="48"/>
      <c r="U4062" s="48"/>
      <c r="V4062" s="48"/>
      <c r="W4062" s="48"/>
    </row>
    <row r="4063" spans="1:23" ht="15.6" customHeight="1" x14ac:dyDescent="0.2">
      <c r="B4063" s="48" t="s">
        <v>49</v>
      </c>
      <c r="I4063" s="58">
        <v>276929</v>
      </c>
      <c r="J4063" s="58"/>
      <c r="K4063" s="58">
        <v>833142</v>
      </c>
      <c r="N4063" s="1147"/>
      <c r="T4063" s="48"/>
      <c r="U4063" s="48"/>
      <c r="V4063" s="48"/>
      <c r="W4063" s="48"/>
    </row>
    <row r="4064" spans="1:23" ht="15.6" customHeight="1" x14ac:dyDescent="0.2">
      <c r="B4064" s="48" t="s">
        <v>556</v>
      </c>
      <c r="I4064" s="58">
        <v>0</v>
      </c>
      <c r="J4064" s="58"/>
      <c r="K4064" s="58">
        <v>0</v>
      </c>
      <c r="N4064" s="1147"/>
      <c r="T4064" s="48"/>
      <c r="U4064" s="48"/>
      <c r="V4064" s="48"/>
      <c r="W4064" s="48"/>
    </row>
    <row r="4065" spans="1:23" ht="15.6" customHeight="1" x14ac:dyDescent="0.2">
      <c r="B4065" s="48" t="s">
        <v>2207</v>
      </c>
      <c r="I4065" s="58">
        <v>0</v>
      </c>
      <c r="J4065" s="58"/>
      <c r="K4065" s="58">
        <v>0</v>
      </c>
      <c r="N4065" s="1147"/>
      <c r="T4065" s="48"/>
      <c r="U4065" s="48"/>
      <c r="V4065" s="48"/>
      <c r="W4065" s="48"/>
    </row>
    <row r="4066" spans="1:23" ht="15.6" customHeight="1" x14ac:dyDescent="0.2">
      <c r="B4066" s="48" t="s">
        <v>2208</v>
      </c>
      <c r="I4066" s="58">
        <v>0</v>
      </c>
      <c r="J4066" s="58"/>
      <c r="K4066" s="58">
        <v>0</v>
      </c>
      <c r="N4066" s="1147"/>
      <c r="T4066" s="48"/>
      <c r="U4066" s="48"/>
      <c r="V4066" s="48"/>
      <c r="W4066" s="48"/>
    </row>
    <row r="4067" spans="1:23" ht="15.6" customHeight="1" thickBot="1" x14ac:dyDescent="0.3">
      <c r="B4067" s="48" t="s">
        <v>50</v>
      </c>
      <c r="I4067" s="204">
        <f>SUM(I4062:I4066)</f>
        <v>2363181</v>
      </c>
      <c r="J4067" s="58"/>
      <c r="K4067" s="204">
        <f>SUM(K4062:K4066)</f>
        <v>2086252</v>
      </c>
      <c r="N4067" s="1147"/>
      <c r="T4067" s="48"/>
      <c r="U4067" s="48"/>
      <c r="V4067" s="48"/>
      <c r="W4067" s="48"/>
    </row>
    <row r="4068" spans="1:23" ht="15.6" customHeight="1" thickTop="1" x14ac:dyDescent="0.2">
      <c r="I4068" s="58"/>
      <c r="J4068" s="58"/>
      <c r="K4068" s="58"/>
      <c r="T4068" s="48"/>
      <c r="U4068" s="48"/>
      <c r="V4068" s="48"/>
      <c r="W4068" s="48"/>
    </row>
    <row r="4069" spans="1:23" ht="15.6" customHeight="1" thickBot="1" x14ac:dyDescent="0.3">
      <c r="B4069" s="2910" t="s">
        <v>554</v>
      </c>
      <c r="C4069" s="2912"/>
      <c r="D4069" s="273"/>
      <c r="E4069" s="2910" t="s">
        <v>555</v>
      </c>
      <c r="F4069" s="2911"/>
      <c r="G4069" s="2911"/>
      <c r="H4069" s="2911"/>
      <c r="I4069" s="2911"/>
      <c r="J4069" s="2911"/>
      <c r="K4069" s="2912"/>
      <c r="M4069" s="283">
        <f>SUM(M4070:M4076)</f>
        <v>0</v>
      </c>
      <c r="N4069" s="283">
        <f>SUM(N4070:N4076)</f>
        <v>1762985.01</v>
      </c>
      <c r="T4069" s="48"/>
      <c r="U4069" s="48"/>
      <c r="V4069" s="48"/>
      <c r="W4069" s="48"/>
    </row>
    <row r="4070" spans="1:23" ht="15.6" customHeight="1" thickTop="1" x14ac:dyDescent="0.2">
      <c r="B4070" s="2737" t="s">
        <v>8203</v>
      </c>
      <c r="C4070" s="2738"/>
      <c r="D4070" s="2153"/>
      <c r="E4070" s="2883" t="s">
        <v>121</v>
      </c>
      <c r="F4070" s="2884"/>
      <c r="G4070" s="2884"/>
      <c r="H4070" s="2884"/>
      <c r="I4070" s="2884"/>
      <c r="J4070" s="2884"/>
      <c r="K4070" s="2885"/>
      <c r="M4070" s="1134">
        <v>0</v>
      </c>
      <c r="N4070" s="1134">
        <f>49881.17</f>
        <v>49881.17</v>
      </c>
      <c r="T4070" s="48"/>
      <c r="U4070" s="48"/>
      <c r="V4070" s="48"/>
      <c r="W4070" s="48"/>
    </row>
    <row r="4071" spans="1:23" ht="15.6" customHeight="1" x14ac:dyDescent="0.2">
      <c r="B4071" s="2764" t="s">
        <v>8204</v>
      </c>
      <c r="C4071" s="2765"/>
      <c r="D4071" s="2766"/>
      <c r="E4071" s="2883" t="s">
        <v>121</v>
      </c>
      <c r="F4071" s="2884"/>
      <c r="G4071" s="2884"/>
      <c r="H4071" s="2884"/>
      <c r="I4071" s="2884"/>
      <c r="J4071" s="2884"/>
      <c r="K4071" s="2885"/>
      <c r="M4071" s="1134">
        <v>0</v>
      </c>
      <c r="N4071" s="1134">
        <f>1449165.34</f>
        <v>1449165.34</v>
      </c>
      <c r="T4071" s="48"/>
      <c r="U4071" s="48"/>
      <c r="V4071" s="48"/>
      <c r="W4071" s="48"/>
    </row>
    <row r="4072" spans="1:23" ht="15.6" customHeight="1" x14ac:dyDescent="0.2">
      <c r="B4072" s="2764" t="s">
        <v>8205</v>
      </c>
      <c r="C4072" s="2765"/>
      <c r="D4072" s="2766"/>
      <c r="E4072" s="2883" t="s">
        <v>121</v>
      </c>
      <c r="F4072" s="2884"/>
      <c r="G4072" s="2884"/>
      <c r="H4072" s="2884"/>
      <c r="I4072" s="2884"/>
      <c r="J4072" s="2884"/>
      <c r="K4072" s="2885"/>
      <c r="M4072" s="1134">
        <v>0</v>
      </c>
      <c r="N4072" s="1134">
        <f>263938.5</f>
        <v>263938.5</v>
      </c>
      <c r="T4072" s="48"/>
      <c r="U4072" s="48"/>
      <c r="V4072" s="48"/>
      <c r="W4072" s="48"/>
    </row>
    <row r="4073" spans="1:23" ht="15.6" customHeight="1" x14ac:dyDescent="0.2">
      <c r="B4073" s="2764" t="s">
        <v>8207</v>
      </c>
      <c r="C4073" s="2765"/>
      <c r="D4073" s="2766"/>
      <c r="E4073" s="2883" t="s">
        <v>121</v>
      </c>
      <c r="F4073" s="2884"/>
      <c r="G4073" s="2884"/>
      <c r="H4073" s="2884"/>
      <c r="I4073" s="2884"/>
      <c r="J4073" s="2884"/>
      <c r="K4073" s="2885"/>
      <c r="M4073" s="1134">
        <v>0</v>
      </c>
      <c r="N4073" s="1134">
        <v>0</v>
      </c>
      <c r="T4073" s="48"/>
      <c r="U4073" s="48"/>
      <c r="V4073" s="48"/>
      <c r="W4073" s="48"/>
    </row>
    <row r="4074" spans="1:23" ht="15.6" customHeight="1" x14ac:dyDescent="0.2">
      <c r="B4074" s="2764" t="s">
        <v>8206</v>
      </c>
      <c r="C4074" s="2765"/>
      <c r="D4074" s="2766"/>
      <c r="E4074" s="2883" t="s">
        <v>121</v>
      </c>
      <c r="F4074" s="2884"/>
      <c r="G4074" s="2884"/>
      <c r="H4074" s="2884"/>
      <c r="I4074" s="2884"/>
      <c r="J4074" s="2884"/>
      <c r="K4074" s="2885"/>
      <c r="M4074" s="1134">
        <v>0</v>
      </c>
      <c r="N4074" s="1134">
        <v>0</v>
      </c>
      <c r="T4074" s="48"/>
      <c r="U4074" s="48"/>
      <c r="V4074" s="48"/>
      <c r="W4074" s="48"/>
    </row>
    <row r="4075" spans="1:23" ht="15.6" hidden="1" customHeight="1" x14ac:dyDescent="0.2">
      <c r="B4075" s="2188" t="str">
        <f>"Goods paid for, not received - R"&amp;FIXED(M4075,0,FALSE)&amp;"  ("&amp;Prior&amp;":  R"&amp;FIXED(N4075,0,FALSE)&amp;")"</f>
        <v>Goods paid for, not received - R0  (2011:  R0)</v>
      </c>
      <c r="C4075" s="2189"/>
      <c r="D4075" s="2153"/>
      <c r="E4075" s="2913" t="s">
        <v>121</v>
      </c>
      <c r="F4075" s="2914"/>
      <c r="G4075" s="2914"/>
      <c r="H4075" s="2914"/>
      <c r="I4075" s="2914"/>
      <c r="J4075" s="2914"/>
      <c r="K4075" s="2915"/>
      <c r="M4075" s="1134">
        <v>0</v>
      </c>
      <c r="N4075" s="1134">
        <v>0</v>
      </c>
      <c r="T4075" s="48"/>
      <c r="U4075" s="48"/>
      <c r="V4075" s="48"/>
      <c r="W4075" s="48"/>
    </row>
    <row r="4076" spans="1:23" ht="15.6" hidden="1" customHeight="1" x14ac:dyDescent="0.2">
      <c r="B4076" s="2188" t="str">
        <f>"Interest on late payment - Various Creditors - R"&amp;FIXED(M4076,0,FALSE)&amp;"  ("&amp;Prior&amp;":  R"&amp;FIXED(N4076,0,FALSE)&amp;")"</f>
        <v>Interest on late payment - Various Creditors - R0  (2011:  R0)</v>
      </c>
      <c r="C4076" s="2189"/>
      <c r="D4076" s="2153"/>
      <c r="E4076" s="2913" t="s">
        <v>121</v>
      </c>
      <c r="F4076" s="2914"/>
      <c r="G4076" s="2914"/>
      <c r="H4076" s="2914"/>
      <c r="I4076" s="2914"/>
      <c r="J4076" s="2914"/>
      <c r="K4076" s="2915"/>
      <c r="M4076" s="1134">
        <v>0</v>
      </c>
      <c r="N4076" s="1134">
        <v>0</v>
      </c>
      <c r="P4076" s="1110" t="s">
        <v>4450</v>
      </c>
      <c r="Q4076" s="1111" t="s">
        <v>2763</v>
      </c>
      <c r="R4076" s="1110" t="s">
        <v>4451</v>
      </c>
      <c r="S4076" s="1111" t="s">
        <v>2765</v>
      </c>
      <c r="T4076" s="48"/>
      <c r="U4076" s="48"/>
      <c r="V4076" s="48"/>
      <c r="W4076" s="48"/>
    </row>
    <row r="4077" spans="1:23" ht="15.6" customHeight="1" x14ac:dyDescent="0.2">
      <c r="I4077" s="58"/>
      <c r="J4077" s="58"/>
      <c r="K4077" s="58"/>
    </row>
    <row r="4078" spans="1:23" ht="15.6" customHeight="1" x14ac:dyDescent="0.25">
      <c r="A4078" s="50"/>
      <c r="B4078" s="229" t="s">
        <v>7604</v>
      </c>
      <c r="I4078" s="58"/>
      <c r="J4078" s="58"/>
      <c r="K4078" s="58"/>
      <c r="W4078" s="1114" t="s">
        <v>3857</v>
      </c>
    </row>
    <row r="4079" spans="1:23" ht="15.6" customHeight="1" x14ac:dyDescent="0.2">
      <c r="I4079" s="58"/>
      <c r="J4079" s="58"/>
      <c r="K4079" s="58"/>
    </row>
    <row r="4080" spans="1:23" ht="30.95" hidden="1" customHeight="1" x14ac:dyDescent="0.2">
      <c r="A4080" s="201"/>
      <c r="B4080" s="2879" t="s">
        <v>1143</v>
      </c>
      <c r="C4080" s="2879"/>
      <c r="D4080" s="2879"/>
      <c r="E4080" s="2879"/>
      <c r="F4080" s="2879"/>
      <c r="G4080" s="2879"/>
      <c r="H4080" s="201"/>
      <c r="I4080" s="58"/>
      <c r="K4080" s="58"/>
      <c r="L4080" s="201"/>
      <c r="M4080" s="1133"/>
      <c r="N4080" s="1147"/>
      <c r="O4080" s="1146"/>
    </row>
    <row r="4081" spans="2:15" ht="15.6" hidden="1" customHeight="1" x14ac:dyDescent="0.25">
      <c r="I4081" s="58"/>
      <c r="J4081" s="200"/>
      <c r="K4081" s="58"/>
      <c r="M4081" s="1133"/>
      <c r="N4081" s="1147"/>
      <c r="O4081" s="1146"/>
    </row>
    <row r="4082" spans="2:15" ht="15.6" customHeight="1" x14ac:dyDescent="0.2">
      <c r="B4082" s="48" t="s">
        <v>51</v>
      </c>
      <c r="I4082" s="58"/>
      <c r="J4082" s="58"/>
      <c r="K4082" s="58"/>
    </row>
    <row r="4083" spans="2:15" ht="15.6" customHeight="1" x14ac:dyDescent="0.2">
      <c r="B4083" s="48" t="s">
        <v>552</v>
      </c>
      <c r="I4083" s="58">
        <f>K4088</f>
        <v>108703920</v>
      </c>
      <c r="J4083" s="58"/>
      <c r="K4083" s="58">
        <v>63144064</v>
      </c>
    </row>
    <row r="4084" spans="2:15" ht="15.6" customHeight="1" x14ac:dyDescent="0.2">
      <c r="B4084" s="48" t="s">
        <v>52</v>
      </c>
      <c r="I4084" s="58">
        <v>21997094</v>
      </c>
      <c r="J4084" s="58"/>
      <c r="K4084" s="58">
        <v>45559856</v>
      </c>
    </row>
    <row r="4085" spans="2:15" ht="15.6" customHeight="1" x14ac:dyDescent="0.2">
      <c r="B4085" s="48" t="s">
        <v>556</v>
      </c>
      <c r="I4085" s="58">
        <v>0</v>
      </c>
      <c r="J4085" s="58"/>
      <c r="K4085" s="58">
        <v>0</v>
      </c>
    </row>
    <row r="4086" spans="2:15" ht="15.6" customHeight="1" x14ac:dyDescent="0.2">
      <c r="B4086" s="48" t="s">
        <v>2207</v>
      </c>
      <c r="I4086" s="58">
        <v>0</v>
      </c>
      <c r="J4086" s="58"/>
      <c r="K4086" s="58">
        <v>0</v>
      </c>
    </row>
    <row r="4087" spans="2:15" ht="15.6" customHeight="1" x14ac:dyDescent="0.2">
      <c r="B4087" s="48" t="s">
        <v>2208</v>
      </c>
      <c r="I4087" s="58">
        <v>0</v>
      </c>
      <c r="J4087" s="58"/>
      <c r="K4087" s="58">
        <v>0</v>
      </c>
    </row>
    <row r="4088" spans="2:15" ht="15.6" customHeight="1" thickBot="1" x14ac:dyDescent="0.3">
      <c r="B4088" s="48" t="s">
        <v>53</v>
      </c>
      <c r="I4088" s="204">
        <f>SUM(I4083:I4087)</f>
        <v>130701014</v>
      </c>
      <c r="J4088" s="58"/>
      <c r="K4088" s="204">
        <f>SUM(K4083:K4087)</f>
        <v>108703920</v>
      </c>
    </row>
    <row r="4089" spans="2:15" ht="15.6" customHeight="1" thickTop="1" x14ac:dyDescent="0.2">
      <c r="I4089" s="58"/>
      <c r="J4089" s="58"/>
      <c r="K4089" s="58"/>
    </row>
    <row r="4090" spans="2:15" ht="15.6" customHeight="1" thickBot="1" x14ac:dyDescent="0.3">
      <c r="B4090" s="2910" t="s">
        <v>554</v>
      </c>
      <c r="C4090" s="2912"/>
      <c r="D4090" s="273"/>
      <c r="E4090" s="2910" t="s">
        <v>555</v>
      </c>
      <c r="F4090" s="2911"/>
      <c r="G4090" s="2911"/>
      <c r="H4090" s="2911"/>
      <c r="I4090" s="2911"/>
      <c r="J4090" s="2911"/>
      <c r="K4090" s="2912"/>
      <c r="M4090" s="283">
        <f>SUM(M4091:M4096)</f>
        <v>786030.87999999989</v>
      </c>
      <c r="N4090" s="283">
        <f>SUM(N4091:N4096)</f>
        <v>33635523.909999996</v>
      </c>
    </row>
    <row r="4091" spans="2:15" ht="30" customHeight="1" thickTop="1" x14ac:dyDescent="0.2">
      <c r="B4091" s="2929" t="s">
        <v>8208</v>
      </c>
      <c r="C4091" s="2930"/>
      <c r="D4091" s="1612"/>
      <c r="E4091" s="2919" t="s">
        <v>8209</v>
      </c>
      <c r="F4091" s="2920"/>
      <c r="G4091" s="2920"/>
      <c r="H4091" s="2920"/>
      <c r="I4091" s="2920"/>
      <c r="J4091" s="2920"/>
      <c r="K4091" s="2921"/>
      <c r="M4091" s="1147">
        <v>0</v>
      </c>
      <c r="N4091" s="1147">
        <f>16028592.13+2465569.78</f>
        <v>18494161.91</v>
      </c>
    </row>
    <row r="4092" spans="2:15" ht="15.6" customHeight="1" x14ac:dyDescent="0.2">
      <c r="B4092" s="2767" t="s">
        <v>8210</v>
      </c>
      <c r="C4092" s="2768"/>
      <c r="D4092" s="2769"/>
      <c r="E4092" s="2767" t="s">
        <v>121</v>
      </c>
      <c r="F4092" s="2769"/>
      <c r="G4092" s="2769"/>
      <c r="H4092" s="2769"/>
      <c r="I4092" s="2769"/>
      <c r="J4092" s="2769"/>
      <c r="K4092" s="2768"/>
      <c r="N4092" s="1147"/>
    </row>
    <row r="4093" spans="2:15" ht="15.6" customHeight="1" x14ac:dyDescent="0.2">
      <c r="B4093" s="2767" t="s">
        <v>8211</v>
      </c>
      <c r="C4093" s="2768"/>
      <c r="D4093" s="2769"/>
      <c r="E4093" s="2767" t="s">
        <v>121</v>
      </c>
      <c r="F4093" s="2769"/>
      <c r="G4093" s="2769"/>
      <c r="H4093" s="2769"/>
      <c r="I4093" s="2769"/>
      <c r="J4093" s="2769"/>
      <c r="K4093" s="2768"/>
      <c r="N4093" s="1147"/>
    </row>
    <row r="4094" spans="2:15" ht="15.6" customHeight="1" x14ac:dyDescent="0.2">
      <c r="B4094" s="2767" t="s">
        <v>8212</v>
      </c>
      <c r="C4094" s="2768"/>
      <c r="D4094" s="2769"/>
      <c r="E4094" s="2767" t="s">
        <v>121</v>
      </c>
      <c r="F4094" s="2769"/>
      <c r="G4094" s="2769"/>
      <c r="H4094" s="2769"/>
      <c r="I4094" s="2769"/>
      <c r="J4094" s="2769"/>
      <c r="K4094" s="2768"/>
      <c r="N4094" s="1147"/>
    </row>
    <row r="4095" spans="2:15" ht="15.6" customHeight="1" x14ac:dyDescent="0.2">
      <c r="B4095" s="2951" t="s">
        <v>8213</v>
      </c>
      <c r="C4095" s="2952"/>
      <c r="D4095" s="2769"/>
      <c r="E4095" s="2951" t="s">
        <v>121</v>
      </c>
      <c r="F4095" s="2953"/>
      <c r="G4095" s="2953"/>
      <c r="H4095" s="2953"/>
      <c r="I4095" s="2953"/>
      <c r="J4095" s="2953"/>
      <c r="K4095" s="2952"/>
      <c r="M4095" s="1147">
        <v>0</v>
      </c>
      <c r="N4095" s="1147">
        <v>9324636.5899999999</v>
      </c>
    </row>
    <row r="4096" spans="2:15" ht="30.95" hidden="1" customHeight="1" x14ac:dyDescent="0.2">
      <c r="B4096" s="2908" t="str">
        <f>"Expenditure contrary to SCM Processes as described in Note 59.8 - R"&amp;FIXED(M4096,0,FALSE)&amp;" ("&amp;Parameters!C19&amp;": R"&amp;FIXED(N4096,0,FALSE)&amp;")"</f>
        <v>Expenditure contrary to SCM Processes as described in Note 59.8 - R786 031 (2011: R5 816 725)</v>
      </c>
      <c r="C4096" s="2909"/>
      <c r="D4096" s="274"/>
      <c r="E4096" s="2908" t="s">
        <v>4452</v>
      </c>
      <c r="F4096" s="2931"/>
      <c r="G4096" s="2931"/>
      <c r="H4096" s="2931"/>
      <c r="I4096" s="2931"/>
      <c r="J4096" s="2931"/>
      <c r="K4096" s="2909"/>
      <c r="M4096" s="1147">
        <f>M4201</f>
        <v>786030.87999999989</v>
      </c>
      <c r="N4096" s="1147">
        <v>5816725.4100000001</v>
      </c>
    </row>
    <row r="4097" spans="1:23" ht="15.6" customHeight="1" x14ac:dyDescent="0.2">
      <c r="I4097" s="58"/>
      <c r="J4097" s="58"/>
      <c r="K4097" s="58"/>
    </row>
    <row r="4098" spans="1:23" ht="15.6" customHeight="1" x14ac:dyDescent="0.2">
      <c r="I4098" s="58"/>
      <c r="K4098" s="58"/>
    </row>
    <row r="4099" spans="1:23" ht="15.6" customHeight="1" x14ac:dyDescent="0.25">
      <c r="A4099" s="211">
        <v>44</v>
      </c>
      <c r="B4099" s="50" t="s">
        <v>2561</v>
      </c>
      <c r="C4099" s="50"/>
      <c r="I4099" s="58"/>
      <c r="K4099" s="58"/>
      <c r="W4099" s="1114" t="s">
        <v>3520</v>
      </c>
    </row>
    <row r="4100" spans="1:23" ht="15.6" customHeight="1" x14ac:dyDescent="0.2">
      <c r="I4100" s="58"/>
      <c r="K4100" s="58"/>
    </row>
    <row r="4101" spans="1:23" ht="15.6" customHeight="1" x14ac:dyDescent="0.25">
      <c r="B4101" s="229" t="s">
        <v>7605</v>
      </c>
      <c r="C4101" s="50"/>
      <c r="I4101" s="58"/>
      <c r="K4101" s="58"/>
      <c r="O4101" s="1146"/>
      <c r="W4101" s="1114" t="s">
        <v>3857</v>
      </c>
    </row>
    <row r="4102" spans="1:23" ht="15.6" customHeight="1" x14ac:dyDescent="0.2">
      <c r="B4102" s="48" t="s">
        <v>347</v>
      </c>
      <c r="I4102" s="58">
        <f>K4107</f>
        <v>0</v>
      </c>
      <c r="K4102" s="58">
        <v>0</v>
      </c>
      <c r="O4102" s="1146"/>
    </row>
    <row r="4103" spans="1:23" ht="15.6" customHeight="1" x14ac:dyDescent="0.2">
      <c r="B4103" s="48" t="s">
        <v>348</v>
      </c>
      <c r="I4103" s="58">
        <v>88413.66</v>
      </c>
      <c r="K4103" s="58">
        <v>3000</v>
      </c>
      <c r="O4103" s="1146"/>
    </row>
    <row r="4104" spans="1:23" ht="15.6" customHeight="1" x14ac:dyDescent="0.2">
      <c r="B4104" s="48" t="s">
        <v>349</v>
      </c>
      <c r="I4104" s="58">
        <v>-88413.66</v>
      </c>
      <c r="K4104" s="58">
        <v>-3000</v>
      </c>
      <c r="M4104" s="1147">
        <v>-1190435.57</v>
      </c>
      <c r="N4104" s="1147">
        <v>-767322.95</v>
      </c>
      <c r="O4104" s="1146"/>
      <c r="P4104" s="1110" t="s">
        <v>4453</v>
      </c>
      <c r="Q4104" s="1111" t="s">
        <v>2781</v>
      </c>
      <c r="R4104" s="1110" t="s">
        <v>4454</v>
      </c>
      <c r="S4104" s="1111" t="s">
        <v>2790</v>
      </c>
    </row>
    <row r="4105" spans="1:23" ht="15.6" customHeight="1" x14ac:dyDescent="0.2">
      <c r="B4105" s="48" t="s">
        <v>350</v>
      </c>
      <c r="I4105" s="58">
        <v>0</v>
      </c>
      <c r="K4105" s="58">
        <v>0</v>
      </c>
      <c r="O4105" s="1146"/>
    </row>
    <row r="4106" spans="1:23" ht="15.6" customHeight="1" x14ac:dyDescent="0.2">
      <c r="I4106" s="58"/>
      <c r="K4106" s="58"/>
      <c r="O4106" s="1146"/>
    </row>
    <row r="4107" spans="1:23" ht="15.6" customHeight="1" thickBot="1" x14ac:dyDescent="0.3">
      <c r="B4107" s="50" t="s">
        <v>351</v>
      </c>
      <c r="C4107" s="50"/>
      <c r="I4107" s="204">
        <f>SUM(I4102:I4106)</f>
        <v>0</v>
      </c>
      <c r="K4107" s="204">
        <f>SUM(K4102:K4106)</f>
        <v>0</v>
      </c>
      <c r="O4107" s="1146"/>
    </row>
    <row r="4108" spans="1:23" ht="15.6" customHeight="1" thickTop="1" x14ac:dyDescent="0.2">
      <c r="I4108" s="58"/>
      <c r="O4108" s="1146"/>
    </row>
    <row r="4109" spans="1:23" ht="15.6" customHeight="1" x14ac:dyDescent="0.25">
      <c r="B4109" s="229" t="s">
        <v>7606</v>
      </c>
      <c r="C4109" s="50"/>
      <c r="I4109" s="58"/>
      <c r="O4109" s="1146"/>
      <c r="W4109" s="1114" t="s">
        <v>3857</v>
      </c>
    </row>
    <row r="4110" spans="1:23" ht="15.6" customHeight="1" x14ac:dyDescent="0.2">
      <c r="B4110" s="48" t="s">
        <v>347</v>
      </c>
      <c r="I4110" s="58">
        <f>K4116</f>
        <v>593219</v>
      </c>
      <c r="K4110" s="58">
        <v>1364684</v>
      </c>
      <c r="O4110" s="1146"/>
    </row>
    <row r="4111" spans="1:23" ht="15.6" customHeight="1" x14ac:dyDescent="0.2">
      <c r="B4111" s="48" t="s">
        <v>352</v>
      </c>
      <c r="I4111" s="58">
        <f>1550778+46678.21</f>
        <v>1597456.21</v>
      </c>
      <c r="K4111" s="58">
        <v>3186895</v>
      </c>
      <c r="O4111" s="1146"/>
    </row>
    <row r="4112" spans="1:23" ht="15.6" customHeight="1" x14ac:dyDescent="0.2">
      <c r="B4112" s="48" t="s">
        <v>7314</v>
      </c>
      <c r="I4112" s="58">
        <v>0</v>
      </c>
      <c r="K4112" s="58">
        <v>-2614656</v>
      </c>
      <c r="O4112" s="1146"/>
    </row>
    <row r="4113" spans="2:23" ht="15.6" customHeight="1" x14ac:dyDescent="0.2">
      <c r="B4113" s="48" t="s">
        <v>349</v>
      </c>
      <c r="I4113" s="58">
        <v>-775389</v>
      </c>
      <c r="K4113" s="58">
        <v>0</v>
      </c>
      <c r="M4113" s="1147">
        <v>-1800583.08</v>
      </c>
      <c r="N4113" s="1147">
        <v>-1688448.5</v>
      </c>
      <c r="O4113" s="1146"/>
      <c r="P4113" s="1110" t="s">
        <v>4455</v>
      </c>
      <c r="Q4113" s="1111" t="s">
        <v>2781</v>
      </c>
      <c r="R4113" s="1110" t="s">
        <v>4456</v>
      </c>
      <c r="S4113" s="1111" t="s">
        <v>2790</v>
      </c>
    </row>
    <row r="4114" spans="2:23" ht="15.6" customHeight="1" x14ac:dyDescent="0.2">
      <c r="B4114" s="48" t="s">
        <v>350</v>
      </c>
      <c r="I4114" s="58">
        <v>-593219</v>
      </c>
      <c r="K4114" s="58">
        <v>-1343704</v>
      </c>
      <c r="O4114" s="1146"/>
    </row>
    <row r="4115" spans="2:23" ht="15.6" customHeight="1" x14ac:dyDescent="0.2">
      <c r="I4115" s="58"/>
      <c r="K4115" s="58"/>
      <c r="O4115" s="1146"/>
    </row>
    <row r="4116" spans="2:23" ht="15.6" customHeight="1" thickBot="1" x14ac:dyDescent="0.3">
      <c r="B4116" s="50" t="s">
        <v>351</v>
      </c>
      <c r="C4116" s="50"/>
      <c r="I4116" s="204">
        <f>SUM(I4110:I4115)</f>
        <v>822067.21</v>
      </c>
      <c r="K4116" s="204">
        <f>SUM(K4110:K4115)</f>
        <v>593219</v>
      </c>
      <c r="M4116" s="2770">
        <f>I4116-I4113</f>
        <v>1597456.21</v>
      </c>
      <c r="N4116" s="1134">
        <f>I4116-M4116</f>
        <v>-775389</v>
      </c>
      <c r="O4116" s="1146"/>
    </row>
    <row r="4117" spans="2:23" ht="15.6" customHeight="1" thickTop="1" x14ac:dyDescent="0.2">
      <c r="I4117" s="58"/>
      <c r="K4117" s="58"/>
      <c r="O4117" s="1146"/>
    </row>
    <row r="4118" spans="2:23" ht="30.95" hidden="1" customHeight="1" x14ac:dyDescent="0.2">
      <c r="B4118" s="2865" t="s">
        <v>54</v>
      </c>
      <c r="C4118" s="2865"/>
      <c r="D4118" s="2865"/>
      <c r="E4118" s="2865"/>
      <c r="F4118" s="2865"/>
      <c r="G4118" s="2865"/>
      <c r="I4118" s="58"/>
      <c r="K4118" s="58"/>
      <c r="O4118" s="1146"/>
    </row>
    <row r="4119" spans="2:23" ht="15.6" hidden="1" customHeight="1" x14ac:dyDescent="0.2">
      <c r="I4119" s="58"/>
      <c r="K4119" s="58"/>
      <c r="O4119" s="1146"/>
    </row>
    <row r="4120" spans="2:23" ht="15.6" customHeight="1" x14ac:dyDescent="0.25">
      <c r="B4120" s="229" t="s">
        <v>7607</v>
      </c>
      <c r="C4120" s="50"/>
      <c r="I4120" s="58"/>
      <c r="K4120" s="58"/>
      <c r="O4120" s="1146"/>
      <c r="W4120" s="1114" t="s">
        <v>3857</v>
      </c>
    </row>
    <row r="4121" spans="2:23" ht="30.95" customHeight="1" x14ac:dyDescent="0.2">
      <c r="B4121" s="2839" t="str">
        <f>"The net of VAT input payables and VAT output receivables are shown in Note 6.  All VAT returns have been submitted by the due date throughout the year."</f>
        <v>The net of VAT input payables and VAT output receivables are shown in Note 6.  All VAT returns have been submitted by the due date throughout the year.</v>
      </c>
      <c r="C4121" s="2839"/>
      <c r="D4121" s="2839"/>
      <c r="E4121" s="2839"/>
      <c r="F4121" s="2839"/>
      <c r="G4121" s="2839"/>
      <c r="I4121" s="58"/>
      <c r="K4121" s="58"/>
      <c r="O4121" s="1146"/>
    </row>
    <row r="4122" spans="2:23" ht="15.6" customHeight="1" x14ac:dyDescent="0.2">
      <c r="I4122" s="58"/>
      <c r="K4122" s="58"/>
      <c r="O4122" s="1146"/>
    </row>
    <row r="4123" spans="2:23" ht="15.6" customHeight="1" x14ac:dyDescent="0.25">
      <c r="B4123" s="229" t="s">
        <v>7608</v>
      </c>
      <c r="C4123" s="50"/>
      <c r="I4123" s="58"/>
      <c r="K4123" s="58"/>
      <c r="O4123" s="1146"/>
      <c r="W4123" s="1114" t="s">
        <v>3857</v>
      </c>
    </row>
    <row r="4124" spans="2:23" ht="15.6" customHeight="1" x14ac:dyDescent="0.2">
      <c r="B4124" s="48" t="s">
        <v>347</v>
      </c>
      <c r="I4124" s="58">
        <f>K4129</f>
        <v>277842</v>
      </c>
      <c r="K4124" s="58">
        <v>0</v>
      </c>
      <c r="O4124" s="1146"/>
    </row>
    <row r="4125" spans="2:23" ht="15.6" customHeight="1" x14ac:dyDescent="0.2">
      <c r="B4125" s="48" t="s">
        <v>353</v>
      </c>
      <c r="I4125" s="58">
        <f>10980.64+10980.64+365005.65+22459.42+9732.84+459887.46+18133.47+234721.93+234721.93+2089612.32+261726.55</f>
        <v>3717962.8499999996</v>
      </c>
      <c r="K4125" s="58">
        <v>3717963</v>
      </c>
      <c r="O4125" s="1146"/>
    </row>
    <row r="4126" spans="2:23" ht="15.6" customHeight="1" x14ac:dyDescent="0.2">
      <c r="B4126" s="48" t="s">
        <v>349</v>
      </c>
      <c r="I4126" s="58">
        <f>-((218591.59+231448.91+199526.51+249341.33+244084.78+252318.96+286028.25+293999.43+227588.28+235230.3+21963)+(40162.76+41323.28+39790.08+42588.98+43024.64+43514.34+44609.64+43812.06+40517.6+40651.22+38427)+(22575.05+23485.27+22471.07+24975.95+24559.6+24891.59+26800.96+25966.55+26658.83+26794.18+217451.12))+277842</f>
        <v>-3107331.1099999994</v>
      </c>
      <c r="K4126" s="58">
        <v>-3440121</v>
      </c>
      <c r="O4126" s="1146"/>
    </row>
    <row r="4127" spans="2:23" ht="15.6" customHeight="1" x14ac:dyDescent="0.2">
      <c r="B4127" s="48" t="s">
        <v>350</v>
      </c>
      <c r="I4127" s="58">
        <v>-277842</v>
      </c>
      <c r="K4127" s="58">
        <v>0</v>
      </c>
      <c r="O4127" s="1146"/>
    </row>
    <row r="4128" spans="2:23" ht="15.6" customHeight="1" x14ac:dyDescent="0.2">
      <c r="I4128" s="58"/>
      <c r="K4128" s="58"/>
      <c r="O4128" s="1146"/>
    </row>
    <row r="4129" spans="1:23" ht="15.6" customHeight="1" thickBot="1" x14ac:dyDescent="0.3">
      <c r="B4129" s="50" t="s">
        <v>351</v>
      </c>
      <c r="C4129" s="50"/>
      <c r="I4129" s="204">
        <f>SUM(I4124:I4128)</f>
        <v>610631.74000000022</v>
      </c>
      <c r="K4129" s="204">
        <f>SUM(K4124:K4128)</f>
        <v>277842</v>
      </c>
      <c r="N4129" s="1134">
        <f>K4125-277842</f>
        <v>3440121</v>
      </c>
      <c r="O4129" s="1146" t="s">
        <v>7445</v>
      </c>
    </row>
    <row r="4130" spans="1:23" ht="15.6" customHeight="1" thickTop="1" x14ac:dyDescent="0.2">
      <c r="I4130" s="58"/>
      <c r="K4130" s="58"/>
      <c r="O4130" s="1146"/>
    </row>
    <row r="4131" spans="1:23" ht="30.95" customHeight="1" x14ac:dyDescent="0.2">
      <c r="B4131" s="2839" t="s">
        <v>7446</v>
      </c>
      <c r="C4131" s="2839"/>
      <c r="D4131" s="2839"/>
      <c r="E4131" s="2839"/>
      <c r="F4131" s="2839"/>
      <c r="G4131" s="2839"/>
      <c r="I4131" s="58"/>
      <c r="K4131" s="58"/>
      <c r="O4131" s="1146"/>
      <c r="P4131" s="1115"/>
    </row>
    <row r="4132" spans="1:23" ht="15.6" customHeight="1" x14ac:dyDescent="0.2">
      <c r="I4132" s="58"/>
      <c r="K4132" s="58"/>
      <c r="O4132" s="1146"/>
      <c r="P4132" s="1115"/>
    </row>
    <row r="4133" spans="1:23" ht="15.6" customHeight="1" x14ac:dyDescent="0.25">
      <c r="B4133" s="229" t="s">
        <v>7609</v>
      </c>
      <c r="C4133" s="50"/>
      <c r="I4133" s="58"/>
      <c r="K4133" s="58"/>
      <c r="O4133" s="1146"/>
      <c r="P4133" s="1115"/>
      <c r="W4133" s="1114" t="s">
        <v>3857</v>
      </c>
    </row>
    <row r="4134" spans="1:23" ht="15.6" customHeight="1" x14ac:dyDescent="0.2">
      <c r="B4134" s="48" t="s">
        <v>347</v>
      </c>
      <c r="I4134" s="58">
        <f>K4139</f>
        <v>0</v>
      </c>
      <c r="K4134" s="58">
        <v>0</v>
      </c>
      <c r="P4134" s="1115"/>
    </row>
    <row r="4135" spans="1:23" ht="15.6" customHeight="1" x14ac:dyDescent="0.2">
      <c r="B4135" s="48" t="s">
        <v>354</v>
      </c>
      <c r="I4135" s="58">
        <v>4144829</v>
      </c>
      <c r="K4135" s="58">
        <v>5587343</v>
      </c>
      <c r="P4135" s="1115"/>
    </row>
    <row r="4136" spans="1:23" ht="15.6" customHeight="1" x14ac:dyDescent="0.2">
      <c r="B4136" s="48" t="s">
        <v>349</v>
      </c>
      <c r="I4136" s="58">
        <f>-I4135-I4137+O4136</f>
        <v>-3628791.1</v>
      </c>
      <c r="K4136" s="58">
        <f>-K4135-K4137</f>
        <v>-5587343</v>
      </c>
      <c r="N4136" s="1134" t="s">
        <v>7420</v>
      </c>
      <c r="O4136" s="1149">
        <f>465547.34+16544.73+33945.83</f>
        <v>516037.9</v>
      </c>
      <c r="P4136" s="1115"/>
    </row>
    <row r="4137" spans="1:23" ht="15.6" customHeight="1" x14ac:dyDescent="0.2">
      <c r="B4137" s="48" t="s">
        <v>350</v>
      </c>
      <c r="I4137" s="58">
        <v>0</v>
      </c>
      <c r="K4137" s="58">
        <v>0</v>
      </c>
      <c r="P4137" s="1115"/>
    </row>
    <row r="4138" spans="1:23" ht="15.6" customHeight="1" x14ac:dyDescent="0.2">
      <c r="I4138" s="58"/>
      <c r="K4138" s="58"/>
      <c r="P4138" s="1115"/>
    </row>
    <row r="4139" spans="1:23" ht="15.6" customHeight="1" thickBot="1" x14ac:dyDescent="0.3">
      <c r="B4139" s="50" t="s">
        <v>351</v>
      </c>
      <c r="C4139" s="50"/>
      <c r="I4139" s="204">
        <f>SUM(I4134:I4138)</f>
        <v>516037.89999999991</v>
      </c>
      <c r="K4139" s="204">
        <f>SUM(K4134:K4138)</f>
        <v>0</v>
      </c>
      <c r="P4139" s="1124"/>
      <c r="Q4139" s="1125"/>
      <c r="R4139" s="1125"/>
      <c r="S4139" s="1125"/>
      <c r="T4139" s="1125"/>
      <c r="U4139" s="1126"/>
    </row>
    <row r="4140" spans="1:23" ht="15.6" customHeight="1" thickTop="1" x14ac:dyDescent="0.2">
      <c r="I4140" s="58"/>
      <c r="K4140" s="58"/>
      <c r="P4140" s="1124"/>
      <c r="Q4140" s="1125"/>
      <c r="R4140" s="1125"/>
      <c r="S4140" s="1125"/>
      <c r="T4140" s="1125"/>
      <c r="U4140" s="1126"/>
    </row>
    <row r="4141" spans="1:23" ht="46.5" customHeight="1" x14ac:dyDescent="0.2">
      <c r="B4141" s="2839" t="s">
        <v>7444</v>
      </c>
      <c r="C4141" s="2839"/>
      <c r="D4141" s="2839"/>
      <c r="E4141" s="2839"/>
      <c r="F4141" s="2839"/>
      <c r="G4141" s="2839"/>
      <c r="I4141" s="58"/>
      <c r="K4141" s="58"/>
      <c r="P4141" s="1124"/>
      <c r="Q4141" s="1125"/>
      <c r="R4141" s="1125"/>
      <c r="S4141" s="1125"/>
      <c r="T4141" s="1125"/>
      <c r="U4141" s="1126"/>
    </row>
    <row r="4142" spans="1:23" ht="15.6" customHeight="1" x14ac:dyDescent="0.2">
      <c r="I4142" s="58"/>
      <c r="K4142" s="58"/>
      <c r="P4142" s="1124"/>
      <c r="Q4142" s="1125"/>
      <c r="R4142" s="1125"/>
      <c r="S4142" s="1125"/>
      <c r="T4142" s="1125"/>
      <c r="U4142" s="1126"/>
    </row>
    <row r="4143" spans="1:23" ht="15.6" customHeight="1" x14ac:dyDescent="0.25">
      <c r="A4143" s="201"/>
      <c r="B4143" s="292" t="s">
        <v>7610</v>
      </c>
      <c r="C4143" s="275"/>
      <c r="D4143" s="201"/>
      <c r="E4143" s="201"/>
      <c r="F4143" s="201"/>
      <c r="G4143" s="201"/>
      <c r="H4143" s="201"/>
      <c r="I4143" s="58"/>
      <c r="K4143" s="58"/>
      <c r="L4143" s="201"/>
      <c r="M4143" s="1214" t="s">
        <v>4047</v>
      </c>
      <c r="P4143" s="1124"/>
      <c r="Q4143" s="1125"/>
      <c r="R4143" s="1125"/>
      <c r="S4143" s="1125"/>
      <c r="T4143" s="1125"/>
      <c r="U4143" s="1126"/>
      <c r="W4143" s="1114" t="s">
        <v>3857</v>
      </c>
    </row>
    <row r="4144" spans="1:23" ht="30.95" hidden="1" customHeight="1" x14ac:dyDescent="0.2">
      <c r="B4144" s="2839" t="s">
        <v>1144</v>
      </c>
      <c r="C4144" s="2839"/>
      <c r="D4144" s="2839"/>
      <c r="E4144" s="2839"/>
      <c r="F4144" s="2839"/>
      <c r="G4144" s="2839"/>
      <c r="I4144" s="58"/>
      <c r="K4144" s="58"/>
      <c r="O4144" s="1146"/>
      <c r="P4144" s="1124"/>
      <c r="Q4144" s="1125"/>
      <c r="R4144" s="1125"/>
      <c r="S4144" s="1125"/>
      <c r="T4144" s="1125"/>
      <c r="U4144" s="1126"/>
    </row>
    <row r="4145" spans="1:21" ht="15.6" customHeight="1" x14ac:dyDescent="0.2">
      <c r="I4145" s="58"/>
      <c r="K4145" s="58"/>
      <c r="O4145" s="1146"/>
      <c r="P4145" s="1124"/>
      <c r="Q4145" s="1125"/>
      <c r="R4145" s="1125"/>
      <c r="S4145" s="1125"/>
      <c r="T4145" s="1125"/>
      <c r="U4145" s="1126"/>
    </row>
    <row r="4146" spans="1:21" ht="15.6" customHeight="1" x14ac:dyDescent="0.2">
      <c r="B4146" s="2839" t="s">
        <v>583</v>
      </c>
      <c r="C4146" s="2839"/>
      <c r="D4146" s="2839"/>
      <c r="E4146" s="2839"/>
      <c r="F4146" s="2839"/>
      <c r="G4146" s="2839"/>
      <c r="I4146" s="58"/>
      <c r="K4146" s="58"/>
      <c r="P4146" s="1124"/>
      <c r="Q4146" s="1125"/>
      <c r="R4146" s="1125"/>
      <c r="S4146" s="1125"/>
      <c r="T4146" s="1125"/>
      <c r="U4146" s="1126"/>
    </row>
    <row r="4147" spans="1:21" ht="15.6" customHeight="1" x14ac:dyDescent="0.25">
      <c r="A4147" s="201"/>
      <c r="B4147" s="201"/>
      <c r="C4147" s="201"/>
      <c r="D4147" s="970"/>
      <c r="E4147" s="201"/>
      <c r="F4147" s="970"/>
      <c r="G4147" s="970"/>
      <c r="H4147" s="970"/>
      <c r="I4147" s="266" t="s">
        <v>322</v>
      </c>
      <c r="J4147" s="209"/>
      <c r="K4147" s="266" t="s">
        <v>322</v>
      </c>
      <c r="L4147" s="201"/>
      <c r="P4147" s="1124"/>
      <c r="Q4147" s="1125"/>
      <c r="R4147" s="1125"/>
      <c r="S4147" s="1125"/>
      <c r="T4147" s="1125"/>
      <c r="U4147" s="1126"/>
    </row>
    <row r="4148" spans="1:21" ht="15.6" customHeight="1" x14ac:dyDescent="0.25">
      <c r="A4148" s="201"/>
      <c r="B4148" s="276" t="str">
        <f>Parameters!C11</f>
        <v>30 June 2012</v>
      </c>
      <c r="C4148" s="201"/>
      <c r="D4148" s="970"/>
      <c r="E4148" s="201"/>
      <c r="F4148" s="970"/>
      <c r="G4148" s="209" t="s">
        <v>234</v>
      </c>
      <c r="H4148" s="970"/>
      <c r="I4148" s="266" t="s">
        <v>320</v>
      </c>
      <c r="J4148" s="209"/>
      <c r="K4148" s="266" t="s">
        <v>323</v>
      </c>
      <c r="L4148" s="201"/>
      <c r="P4148" s="1124"/>
      <c r="Q4148" s="1125"/>
      <c r="R4148" s="1125"/>
      <c r="S4148" s="1125"/>
      <c r="T4148" s="1125"/>
      <c r="U4148" s="1126"/>
    </row>
    <row r="4149" spans="1:21" ht="15.6" customHeight="1" x14ac:dyDescent="0.25">
      <c r="A4149" s="201"/>
      <c r="B4149" s="276"/>
      <c r="C4149" s="276"/>
      <c r="D4149" s="970"/>
      <c r="E4149" s="201"/>
      <c r="F4149" s="970"/>
      <c r="G4149" s="209"/>
      <c r="H4149" s="970"/>
      <c r="I4149" s="266" t="s">
        <v>321</v>
      </c>
      <c r="J4149" s="209"/>
      <c r="K4149" s="266" t="s">
        <v>321</v>
      </c>
      <c r="L4149" s="201"/>
      <c r="P4149" s="1124"/>
      <c r="Q4149" s="1125"/>
      <c r="R4149" s="1125"/>
      <c r="S4149" s="1125"/>
      <c r="T4149" s="1125"/>
      <c r="U4149" s="1126"/>
    </row>
    <row r="4150" spans="1:21" ht="15.6" customHeight="1" x14ac:dyDescent="0.2">
      <c r="A4150" s="201"/>
      <c r="B4150" s="201" t="s">
        <v>6515</v>
      </c>
      <c r="C4150" s="201"/>
      <c r="D4150" s="201"/>
      <c r="E4150" s="201"/>
      <c r="F4150" s="201"/>
      <c r="G4150" s="199">
        <f>SUM(I4150,K4150)-1</f>
        <v>1913.5</v>
      </c>
      <c r="H4150" s="201"/>
      <c r="I4150" s="58">
        <f>152.3+163.2+161.65</f>
        <v>477.15</v>
      </c>
      <c r="K4150" s="58">
        <f>172.75+171.05+1093.55</f>
        <v>1437.35</v>
      </c>
      <c r="L4150" s="201"/>
      <c r="M4150" s="1133"/>
      <c r="N4150" s="1133"/>
      <c r="O4150" s="1146"/>
      <c r="P4150" s="1124"/>
      <c r="Q4150" s="1125"/>
      <c r="R4150" s="1125"/>
      <c r="S4150" s="1125"/>
      <c r="T4150" s="1125"/>
      <c r="U4150" s="1126"/>
    </row>
    <row r="4151" spans="1:21" ht="15.6" customHeight="1" x14ac:dyDescent="0.2">
      <c r="A4151" s="201"/>
      <c r="B4151" s="201" t="s">
        <v>6516</v>
      </c>
      <c r="C4151" s="201"/>
      <c r="D4151" s="201"/>
      <c r="E4151" s="201"/>
      <c r="F4151" s="201"/>
      <c r="G4151" s="199">
        <f>SUM(I4151,K4151)</f>
        <v>1720.6</v>
      </c>
      <c r="H4151" s="201"/>
      <c r="I4151" s="58">
        <f>102.3+117.4+116.35</f>
        <v>336.04999999999995</v>
      </c>
      <c r="K4151" s="58">
        <f>115.3+114.2+1155.05</f>
        <v>1384.55</v>
      </c>
      <c r="L4151" s="201"/>
      <c r="M4151" s="1133"/>
      <c r="N4151" s="1133"/>
      <c r="O4151" s="1146"/>
      <c r="P4151" s="1124"/>
      <c r="Q4151" s="1125"/>
      <c r="R4151" s="1125"/>
      <c r="S4151" s="1125"/>
      <c r="T4151" s="1125"/>
      <c r="U4151" s="1126"/>
    </row>
    <row r="4152" spans="1:21" ht="15.6" customHeight="1" x14ac:dyDescent="0.2">
      <c r="A4152" s="201"/>
      <c r="B4152" s="201" t="s">
        <v>6517</v>
      </c>
      <c r="C4152" s="201"/>
      <c r="D4152" s="201"/>
      <c r="E4152" s="201"/>
      <c r="F4152" s="201"/>
      <c r="G4152" s="199">
        <f t="shared" ref="G4152:G4155" si="50">SUM(I4152,K4152)</f>
        <v>6637.8499999999995</v>
      </c>
      <c r="H4152" s="201"/>
      <c r="I4152" s="58">
        <f>433.15+843.7+179.35</f>
        <v>1456.1999999999998</v>
      </c>
      <c r="K4152" s="58">
        <f>120.9+69.55+4991.2</f>
        <v>5181.6499999999996</v>
      </c>
      <c r="L4152" s="201"/>
      <c r="M4152" s="1133"/>
      <c r="N4152" s="1133"/>
      <c r="O4152" s="1146"/>
      <c r="P4152" s="1124"/>
      <c r="Q4152" s="1125"/>
      <c r="R4152" s="1125"/>
      <c r="S4152" s="1125"/>
      <c r="T4152" s="1125"/>
      <c r="U4152" s="1126"/>
    </row>
    <row r="4153" spans="1:21" ht="15.6" customHeight="1" x14ac:dyDescent="0.2">
      <c r="A4153" s="201"/>
      <c r="B4153" s="201" t="s">
        <v>6518</v>
      </c>
      <c r="C4153" s="201"/>
      <c r="D4153" s="201"/>
      <c r="E4153" s="201"/>
      <c r="F4153" s="201"/>
      <c r="G4153" s="199">
        <f t="shared" si="50"/>
        <v>3161.1499999999996</v>
      </c>
      <c r="H4153" s="201"/>
      <c r="I4153" s="58">
        <f>171.6+147.95+146.7</f>
        <v>466.24999999999994</v>
      </c>
      <c r="K4153" s="58">
        <f>145.45+114.5+2434.95</f>
        <v>2694.8999999999996</v>
      </c>
      <c r="L4153" s="201"/>
      <c r="M4153" s="1133"/>
      <c r="N4153" s="1133"/>
      <c r="O4153" s="1146"/>
      <c r="P4153" s="1124"/>
      <c r="Q4153" s="1125"/>
      <c r="R4153" s="1125"/>
      <c r="S4153" s="1125"/>
      <c r="T4153" s="1125"/>
      <c r="U4153" s="1126"/>
    </row>
    <row r="4154" spans="1:21" ht="15.6" customHeight="1" x14ac:dyDescent="0.2">
      <c r="A4154" s="201"/>
      <c r="B4154" s="201" t="s">
        <v>6519</v>
      </c>
      <c r="C4154" s="201"/>
      <c r="D4154" s="201"/>
      <c r="E4154" s="201"/>
      <c r="F4154" s="201"/>
      <c r="G4154" s="199">
        <f t="shared" si="50"/>
        <v>8108.2</v>
      </c>
      <c r="H4154" s="201"/>
      <c r="I4154" s="58">
        <f>126.9+149.95+255.15</f>
        <v>532</v>
      </c>
      <c r="K4154" s="58">
        <f>199.7+146.6+7229.9</f>
        <v>7576.2</v>
      </c>
      <c r="L4154" s="201"/>
      <c r="M4154" s="1133"/>
      <c r="N4154" s="1133"/>
      <c r="O4154" s="1146"/>
      <c r="P4154" s="1124"/>
      <c r="Q4154" s="1125"/>
      <c r="R4154" s="1125"/>
      <c r="S4154" s="1125"/>
      <c r="T4154" s="1125"/>
      <c r="U4154" s="1126"/>
    </row>
    <row r="4155" spans="1:21" ht="15.6" customHeight="1" x14ac:dyDescent="0.2">
      <c r="A4155" s="201"/>
      <c r="B4155" s="201" t="s">
        <v>6520</v>
      </c>
      <c r="C4155" s="201"/>
      <c r="D4155" s="201"/>
      <c r="E4155" s="201"/>
      <c r="F4155" s="201"/>
      <c r="G4155" s="199">
        <f t="shared" si="50"/>
        <v>2502.85</v>
      </c>
      <c r="H4155" s="201"/>
      <c r="I4155" s="58">
        <f>141.2+148.7+129.6</f>
        <v>419.5</v>
      </c>
      <c r="K4155" s="58">
        <f>163.95+144.7+1774.7</f>
        <v>2083.35</v>
      </c>
      <c r="L4155" s="201"/>
      <c r="M4155" s="1133"/>
      <c r="N4155" s="1133"/>
      <c r="O4155" s="1146"/>
      <c r="P4155" s="1124"/>
      <c r="Q4155" s="1125"/>
      <c r="R4155" s="1125"/>
      <c r="S4155" s="1125"/>
      <c r="T4155" s="1125"/>
      <c r="U4155" s="1126"/>
    </row>
    <row r="4156" spans="1:21" ht="15.6" customHeight="1" x14ac:dyDescent="0.2">
      <c r="A4156" s="201"/>
      <c r="B4156" s="201"/>
      <c r="C4156" s="201"/>
      <c r="D4156" s="201"/>
      <c r="E4156" s="201"/>
      <c r="F4156" s="201"/>
      <c r="G4156" s="199"/>
      <c r="H4156" s="201"/>
      <c r="I4156" s="58"/>
      <c r="K4156" s="58"/>
      <c r="L4156" s="201"/>
      <c r="M4156" s="1133"/>
      <c r="N4156" s="1133"/>
      <c r="O4156" s="1146"/>
      <c r="P4156" s="1124"/>
      <c r="Q4156" s="1125"/>
      <c r="R4156" s="1125"/>
      <c r="S4156" s="1125"/>
      <c r="T4156" s="1125"/>
      <c r="U4156" s="1126"/>
    </row>
    <row r="4157" spans="1:21" ht="15.6" customHeight="1" x14ac:dyDescent="0.2">
      <c r="A4157" s="201"/>
      <c r="B4157" s="201"/>
      <c r="C4157" s="201"/>
      <c r="D4157" s="201"/>
      <c r="E4157" s="201"/>
      <c r="F4157" s="201"/>
      <c r="G4157" s="199"/>
      <c r="H4157" s="201"/>
      <c r="I4157" s="58"/>
      <c r="K4157" s="58"/>
      <c r="L4157" s="201"/>
      <c r="M4157" s="1133"/>
      <c r="N4157" s="1133"/>
      <c r="O4157" s="1146"/>
      <c r="P4157" s="1124"/>
      <c r="Q4157" s="1125"/>
      <c r="R4157" s="1125"/>
      <c r="S4157" s="1125"/>
      <c r="T4157" s="1125"/>
      <c r="U4157" s="1126"/>
    </row>
    <row r="4158" spans="1:21" ht="15.6" customHeight="1" thickBot="1" x14ac:dyDescent="0.3">
      <c r="A4158" s="201"/>
      <c r="B4158" s="275" t="s">
        <v>652</v>
      </c>
      <c r="C4158" s="275"/>
      <c r="D4158" s="201"/>
      <c r="E4158" s="201"/>
      <c r="F4158" s="201"/>
      <c r="G4158" s="202">
        <f>SUM(G4150:G4157)</f>
        <v>24044.149999999998</v>
      </c>
      <c r="H4158" s="201"/>
      <c r="I4158" s="202">
        <f>SUM(I4150:I4157)</f>
        <v>3687.1499999999996</v>
      </c>
      <c r="K4158" s="202">
        <f>SUM(K4150:K4157)</f>
        <v>20357.999999999996</v>
      </c>
      <c r="L4158" s="201"/>
      <c r="M4158" s="1133"/>
      <c r="N4158" s="1133"/>
      <c r="O4158" s="1146"/>
      <c r="P4158" s="1124"/>
      <c r="Q4158" s="1125"/>
      <c r="R4158" s="1125"/>
      <c r="S4158" s="1125"/>
      <c r="T4158" s="1125"/>
      <c r="U4158" s="1126"/>
    </row>
    <row r="4159" spans="1:21" ht="15.6" customHeight="1" thickTop="1" x14ac:dyDescent="0.2">
      <c r="A4159" s="201"/>
      <c r="B4159" s="201"/>
      <c r="C4159" s="201"/>
      <c r="D4159" s="201"/>
      <c r="E4159" s="201"/>
      <c r="F4159" s="201"/>
      <c r="G4159" s="199"/>
      <c r="H4159" s="201"/>
      <c r="I4159" s="58"/>
      <c r="K4159" s="58"/>
      <c r="L4159" s="201"/>
      <c r="M4159" s="1133"/>
      <c r="N4159" s="1133"/>
      <c r="O4159" s="1146"/>
      <c r="P4159" s="1124"/>
      <c r="Q4159" s="1125"/>
      <c r="R4159" s="1125"/>
      <c r="S4159" s="1125"/>
      <c r="T4159" s="1125"/>
      <c r="U4159" s="1126"/>
    </row>
    <row r="4160" spans="1:21" ht="15.6" customHeight="1" x14ac:dyDescent="0.25">
      <c r="A4160" s="201"/>
      <c r="B4160" s="201"/>
      <c r="C4160" s="201"/>
      <c r="D4160" s="970"/>
      <c r="E4160" s="201"/>
      <c r="F4160" s="970"/>
      <c r="G4160" s="970"/>
      <c r="H4160" s="970"/>
      <c r="I4160" s="266" t="s">
        <v>322</v>
      </c>
      <c r="J4160" s="209"/>
      <c r="K4160" s="266" t="s">
        <v>322</v>
      </c>
      <c r="L4160" s="201"/>
      <c r="M4160" s="1133"/>
      <c r="N4160" s="1133"/>
      <c r="O4160" s="1146"/>
      <c r="P4160" s="1124"/>
      <c r="Q4160" s="1125"/>
      <c r="R4160" s="1125"/>
      <c r="S4160" s="1125"/>
      <c r="T4160" s="1125"/>
      <c r="U4160" s="1126"/>
    </row>
    <row r="4161" spans="1:29" ht="15.6" customHeight="1" x14ac:dyDescent="0.25">
      <c r="A4161" s="201"/>
      <c r="B4161" s="276" t="str">
        <f>Parameters!C13</f>
        <v>30 June 2011</v>
      </c>
      <c r="C4161" s="201"/>
      <c r="D4161" s="970"/>
      <c r="E4161" s="201"/>
      <c r="F4161" s="970"/>
      <c r="G4161" s="209" t="s">
        <v>234</v>
      </c>
      <c r="H4161" s="970"/>
      <c r="I4161" s="266" t="s">
        <v>320</v>
      </c>
      <c r="J4161" s="209"/>
      <c r="K4161" s="266" t="s">
        <v>323</v>
      </c>
      <c r="L4161" s="201"/>
      <c r="M4161" s="1133"/>
      <c r="N4161" s="1133"/>
      <c r="O4161" s="1146"/>
      <c r="P4161" s="1124"/>
      <c r="Q4161" s="1125"/>
      <c r="R4161" s="1125"/>
      <c r="S4161" s="1125"/>
      <c r="T4161" s="1125"/>
      <c r="U4161" s="1126"/>
    </row>
    <row r="4162" spans="1:29" ht="15.6" customHeight="1" x14ac:dyDescent="0.25">
      <c r="A4162" s="201"/>
      <c r="B4162" s="276"/>
      <c r="C4162" s="276"/>
      <c r="D4162" s="970"/>
      <c r="E4162" s="201"/>
      <c r="F4162" s="970"/>
      <c r="G4162" s="209"/>
      <c r="H4162" s="970"/>
      <c r="I4162" s="266" t="s">
        <v>321</v>
      </c>
      <c r="J4162" s="209"/>
      <c r="K4162" s="266" t="s">
        <v>321</v>
      </c>
      <c r="L4162" s="201"/>
      <c r="M4162" s="1133"/>
      <c r="N4162" s="1133"/>
      <c r="O4162" s="1146"/>
      <c r="P4162" s="1124"/>
      <c r="Q4162" s="1125"/>
      <c r="R4162" s="1125"/>
      <c r="S4162" s="1125"/>
      <c r="T4162" s="1125"/>
      <c r="U4162" s="1126"/>
      <c r="Y4162" s="54"/>
    </row>
    <row r="4163" spans="1:29" ht="15.6" customHeight="1" x14ac:dyDescent="0.2">
      <c r="A4163" s="201"/>
      <c r="B4163" s="201" t="s">
        <v>6521</v>
      </c>
      <c r="C4163" s="201"/>
      <c r="D4163" s="201"/>
      <c r="E4163" s="201"/>
      <c r="F4163" s="201"/>
      <c r="G4163" s="199">
        <f>SUM(I4163,K4163)</f>
        <v>22592</v>
      </c>
      <c r="H4163" s="201"/>
      <c r="I4163" s="58">
        <v>2393</v>
      </c>
      <c r="K4163" s="58">
        <v>20199</v>
      </c>
      <c r="L4163" s="201"/>
      <c r="M4163" s="1133"/>
      <c r="N4163" s="1133"/>
      <c r="O4163" s="1146"/>
      <c r="P4163" s="1124"/>
      <c r="Q4163" s="1125"/>
      <c r="R4163" s="1125"/>
      <c r="S4163" s="1125"/>
      <c r="T4163" s="1125"/>
      <c r="U4163" s="1126"/>
      <c r="Y4163" s="54"/>
    </row>
    <row r="4164" spans="1:29" ht="15.6" customHeight="1" x14ac:dyDescent="0.2">
      <c r="A4164" s="201"/>
      <c r="B4164" s="201" t="s">
        <v>6517</v>
      </c>
      <c r="C4164" s="201"/>
      <c r="D4164" s="201"/>
      <c r="E4164" s="201"/>
      <c r="F4164" s="201"/>
      <c r="G4164" s="199">
        <f>SUM(I4164,K4164)</f>
        <v>7333</v>
      </c>
      <c r="H4164" s="201"/>
      <c r="I4164" s="58">
        <v>980</v>
      </c>
      <c r="K4164" s="58">
        <v>6353</v>
      </c>
      <c r="L4164" s="201"/>
      <c r="M4164" s="1133"/>
      <c r="N4164" s="1133"/>
      <c r="O4164" s="1146"/>
      <c r="P4164" s="1115"/>
    </row>
    <row r="4165" spans="1:29" ht="15.6" customHeight="1" x14ac:dyDescent="0.2">
      <c r="A4165" s="201"/>
      <c r="B4165" s="201" t="s">
        <v>6516</v>
      </c>
      <c r="C4165" s="201"/>
      <c r="D4165" s="201"/>
      <c r="E4165" s="201"/>
      <c r="F4165" s="201"/>
      <c r="G4165" s="199">
        <f t="shared" ref="G4165:G4167" si="51">SUM(I4165,K4165)</f>
        <v>878</v>
      </c>
      <c r="H4165" s="201"/>
      <c r="I4165" s="58">
        <v>744</v>
      </c>
      <c r="K4165" s="58">
        <v>134</v>
      </c>
      <c r="L4165" s="201"/>
      <c r="M4165" s="1133"/>
      <c r="N4165" s="1133"/>
      <c r="O4165" s="1146"/>
      <c r="P4165" s="1115"/>
    </row>
    <row r="4166" spans="1:29" ht="15.6" customHeight="1" x14ac:dyDescent="0.2">
      <c r="A4166" s="201"/>
      <c r="B4166" s="201" t="s">
        <v>6519</v>
      </c>
      <c r="C4166" s="201"/>
      <c r="D4166" s="201"/>
      <c r="E4166" s="201"/>
      <c r="F4166" s="201"/>
      <c r="G4166" s="199">
        <f t="shared" si="51"/>
        <v>1815</v>
      </c>
      <c r="H4166" s="201"/>
      <c r="I4166" s="58">
        <v>365</v>
      </c>
      <c r="K4166" s="58">
        <v>1450</v>
      </c>
      <c r="L4166" s="201"/>
      <c r="M4166" s="1133"/>
      <c r="N4166" s="1133"/>
      <c r="O4166" s="1146"/>
      <c r="P4166" s="1115"/>
    </row>
    <row r="4167" spans="1:29" ht="15.6" customHeight="1" x14ac:dyDescent="0.2">
      <c r="A4167" s="201"/>
      <c r="B4167" s="201" t="s">
        <v>6518</v>
      </c>
      <c r="C4167" s="201"/>
      <c r="D4167" s="201"/>
      <c r="E4167" s="201"/>
      <c r="F4167" s="201"/>
      <c r="G4167" s="199">
        <f t="shared" si="51"/>
        <v>11141</v>
      </c>
      <c r="H4167" s="201"/>
      <c r="I4167" s="58">
        <v>496</v>
      </c>
      <c r="K4167" s="58">
        <v>10645</v>
      </c>
      <c r="L4167" s="201"/>
      <c r="M4167" s="1133"/>
      <c r="N4167" s="1133"/>
      <c r="O4167" s="1146"/>
      <c r="P4167" s="1115"/>
    </row>
    <row r="4168" spans="1:29" ht="15.6" customHeight="1" x14ac:dyDescent="0.2">
      <c r="A4168" s="201"/>
      <c r="B4168" s="201"/>
      <c r="C4168" s="201"/>
      <c r="D4168" s="201"/>
      <c r="E4168" s="201"/>
      <c r="F4168" s="201"/>
      <c r="G4168" s="199"/>
      <c r="H4168" s="201"/>
      <c r="I4168" s="58"/>
      <c r="K4168" s="58"/>
      <c r="L4168" s="201"/>
      <c r="M4168" s="1133"/>
      <c r="N4168" s="1133"/>
      <c r="O4168" s="1146"/>
      <c r="P4168" s="1124"/>
      <c r="Q4168" s="1125"/>
      <c r="R4168" s="1125"/>
      <c r="S4168" s="1125"/>
      <c r="T4168" s="1125"/>
      <c r="U4168" s="1126"/>
      <c r="Y4168" s="54"/>
    </row>
    <row r="4169" spans="1:29" ht="15.6" customHeight="1" thickBot="1" x14ac:dyDescent="0.3">
      <c r="A4169" s="201"/>
      <c r="B4169" s="275" t="s">
        <v>652</v>
      </c>
      <c r="C4169" s="275"/>
      <c r="D4169" s="201"/>
      <c r="E4169" s="201"/>
      <c r="F4169" s="201"/>
      <c r="G4169" s="202">
        <f>SUM(G4163:G4168)</f>
        <v>43759</v>
      </c>
      <c r="H4169" s="201"/>
      <c r="I4169" s="202">
        <f>SUM(I4163:I4168)</f>
        <v>4978</v>
      </c>
      <c r="K4169" s="202">
        <f>SUM(K4163:K4168)</f>
        <v>38781</v>
      </c>
      <c r="L4169" s="201"/>
      <c r="M4169" s="1133"/>
      <c r="N4169" s="1133"/>
      <c r="O4169" s="1146"/>
      <c r="P4169" s="1124"/>
      <c r="Q4169" s="1125"/>
      <c r="R4169" s="1125"/>
      <c r="S4169" s="1125"/>
      <c r="T4169" s="1125"/>
      <c r="U4169" s="1126"/>
      <c r="Y4169" s="54"/>
    </row>
    <row r="4170" spans="1:29" ht="15.6" customHeight="1" thickTop="1" x14ac:dyDescent="0.2">
      <c r="A4170" s="201"/>
      <c r="B4170" s="201"/>
      <c r="C4170" s="201"/>
      <c r="D4170" s="201"/>
      <c r="E4170" s="201"/>
      <c r="F4170" s="201"/>
      <c r="G4170" s="201"/>
      <c r="H4170" s="201"/>
      <c r="I4170" s="58"/>
      <c r="K4170" s="58"/>
      <c r="L4170" s="201"/>
      <c r="M4170" s="1133"/>
      <c r="N4170" s="1133"/>
      <c r="O4170" s="1146"/>
      <c r="P4170" s="1124"/>
      <c r="Q4170" s="1125"/>
      <c r="R4170" s="1125"/>
      <c r="S4170" s="1125"/>
      <c r="T4170" s="1125"/>
      <c r="U4170" s="1126"/>
      <c r="Y4170" s="54"/>
    </row>
    <row r="4171" spans="1:29" ht="15.6" customHeight="1" x14ac:dyDescent="0.2">
      <c r="B4171" s="2839" t="s">
        <v>434</v>
      </c>
      <c r="C4171" s="2839"/>
      <c r="D4171" s="2839"/>
      <c r="E4171" s="2839"/>
      <c r="F4171" s="2839"/>
      <c r="G4171" s="2839"/>
      <c r="I4171" s="58"/>
      <c r="K4171" s="58"/>
      <c r="M4171" s="1133"/>
      <c r="N4171" s="1133"/>
      <c r="O4171" s="1146"/>
      <c r="P4171" s="1124"/>
      <c r="Q4171" s="1125"/>
      <c r="R4171" s="1125"/>
      <c r="S4171" s="1125"/>
      <c r="T4171" s="1125"/>
      <c r="U4171" s="1126"/>
      <c r="Y4171" s="54"/>
    </row>
    <row r="4172" spans="1:29" ht="15.6" customHeight="1" x14ac:dyDescent="0.25">
      <c r="A4172" s="201"/>
      <c r="B4172" s="201"/>
      <c r="C4172" s="201"/>
      <c r="D4172" s="201"/>
      <c r="E4172" s="201"/>
      <c r="F4172" s="201"/>
      <c r="G4172" s="201"/>
      <c r="H4172" s="201"/>
      <c r="I4172" s="266" t="s">
        <v>661</v>
      </c>
      <c r="J4172" s="209"/>
      <c r="K4172" s="266"/>
      <c r="L4172" s="201"/>
      <c r="M4172" s="1133"/>
      <c r="N4172" s="1133"/>
      <c r="O4172" s="1146"/>
      <c r="P4172" s="1124"/>
      <c r="Q4172" s="1125"/>
      <c r="R4172" s="1125"/>
      <c r="S4172" s="1125"/>
      <c r="T4172" s="1125"/>
      <c r="U4172" s="1126"/>
      <c r="Y4172" s="54"/>
      <c r="Z4172" s="54"/>
    </row>
    <row r="4173" spans="1:29" ht="15.6" customHeight="1" x14ac:dyDescent="0.25">
      <c r="A4173" s="201"/>
      <c r="B4173" s="276" t="str">
        <f>Parameters!C11</f>
        <v>30 June 2012</v>
      </c>
      <c r="C4173" s="276"/>
      <c r="D4173" s="201"/>
      <c r="E4173" s="201"/>
      <c r="F4173" s="201"/>
      <c r="G4173" s="201"/>
      <c r="H4173" s="201"/>
      <c r="I4173" s="266" t="s">
        <v>662</v>
      </c>
      <c r="J4173" s="209"/>
      <c r="K4173" s="266" t="s">
        <v>663</v>
      </c>
      <c r="L4173" s="201"/>
      <c r="M4173" s="1133"/>
      <c r="N4173" s="1133"/>
      <c r="O4173" s="1146"/>
      <c r="P4173" s="1124"/>
      <c r="Q4173" s="1125"/>
      <c r="R4173" s="1125"/>
      <c r="S4173" s="1125"/>
      <c r="T4173" s="1125"/>
      <c r="U4173" s="1126"/>
      <c r="Y4173" s="54"/>
      <c r="Z4173" s="54"/>
      <c r="AA4173" s="54"/>
    </row>
    <row r="4174" spans="1:29" ht="15.6" customHeight="1" x14ac:dyDescent="0.2">
      <c r="A4174" s="201"/>
      <c r="B4174" s="201" t="s">
        <v>6515</v>
      </c>
      <c r="C4174" s="201"/>
      <c r="D4174" s="201"/>
      <c r="E4174" s="201"/>
      <c r="F4174" s="201"/>
      <c r="G4174" s="201"/>
      <c r="H4174" s="201"/>
      <c r="I4174" s="58">
        <f>172.75+171.05+1093.55</f>
        <v>1437.35</v>
      </c>
      <c r="K4174" s="971" t="s">
        <v>374</v>
      </c>
      <c r="L4174" s="201"/>
      <c r="P4174" s="1124"/>
      <c r="Q4174" s="1125"/>
      <c r="R4174" s="1125"/>
      <c r="S4174" s="1125"/>
      <c r="T4174" s="1125"/>
      <c r="U4174" s="1126"/>
      <c r="Y4174" s="54"/>
      <c r="Z4174" s="54"/>
      <c r="AA4174" s="54"/>
      <c r="AB4174" s="54"/>
      <c r="AC4174" s="54"/>
    </row>
    <row r="4175" spans="1:29" ht="15.6" customHeight="1" x14ac:dyDescent="0.2">
      <c r="A4175" s="201"/>
      <c r="B4175" s="201" t="s">
        <v>6516</v>
      </c>
      <c r="C4175" s="201"/>
      <c r="D4175" s="201"/>
      <c r="E4175" s="201"/>
      <c r="F4175" s="201"/>
      <c r="G4175" s="199"/>
      <c r="H4175" s="201"/>
      <c r="I4175" s="58">
        <f>115.3+114.2+1155.05</f>
        <v>1384.55</v>
      </c>
      <c r="K4175" s="971" t="s">
        <v>374</v>
      </c>
      <c r="L4175" s="201"/>
      <c r="M4175" s="1133"/>
      <c r="N4175" s="1133"/>
      <c r="O4175" s="1146"/>
      <c r="P4175" s="1124"/>
      <c r="Q4175" s="1125"/>
      <c r="R4175" s="1125"/>
      <c r="S4175" s="1125"/>
      <c r="T4175" s="1125"/>
      <c r="U4175" s="1126"/>
      <c r="Y4175" s="54"/>
      <c r="Z4175" s="54"/>
      <c r="AA4175" s="54"/>
      <c r="AB4175" s="54"/>
      <c r="AC4175" s="54"/>
    </row>
    <row r="4176" spans="1:29" ht="15.6" customHeight="1" x14ac:dyDescent="0.2">
      <c r="A4176" s="201"/>
      <c r="B4176" s="201" t="s">
        <v>6517</v>
      </c>
      <c r="C4176" s="201"/>
      <c r="D4176" s="201"/>
      <c r="E4176" s="201"/>
      <c r="F4176" s="201"/>
      <c r="G4176" s="201"/>
      <c r="H4176" s="201"/>
      <c r="I4176" s="58">
        <f>120.9+69.55+4991.2</f>
        <v>5181.6499999999996</v>
      </c>
      <c r="K4176" s="971" t="s">
        <v>374</v>
      </c>
      <c r="L4176" s="201"/>
      <c r="P4176" s="1124"/>
      <c r="Q4176" s="1125"/>
      <c r="R4176" s="1125"/>
      <c r="S4176" s="1125"/>
      <c r="T4176" s="1125"/>
      <c r="U4176" s="1126"/>
      <c r="Y4176" s="54"/>
      <c r="Z4176" s="54"/>
      <c r="AA4176" s="54"/>
      <c r="AB4176" s="54"/>
      <c r="AC4176" s="54"/>
    </row>
    <row r="4177" spans="1:29" ht="15.6" customHeight="1" x14ac:dyDescent="0.2">
      <c r="A4177" s="201"/>
      <c r="B4177" s="201" t="s">
        <v>6518</v>
      </c>
      <c r="C4177" s="201"/>
      <c r="D4177" s="201"/>
      <c r="E4177" s="201"/>
      <c r="F4177" s="201"/>
      <c r="G4177" s="199"/>
      <c r="H4177" s="201"/>
      <c r="I4177" s="58">
        <f>145.45+114.5+2434.95</f>
        <v>2694.8999999999996</v>
      </c>
      <c r="K4177" s="971" t="s">
        <v>374</v>
      </c>
      <c r="L4177" s="201"/>
      <c r="M4177" s="1133"/>
      <c r="N4177" s="1133"/>
      <c r="O4177" s="1146"/>
      <c r="P4177" s="1124"/>
      <c r="Q4177" s="1125"/>
      <c r="R4177" s="1125"/>
      <c r="S4177" s="1125"/>
      <c r="T4177" s="1125"/>
      <c r="U4177" s="1126"/>
      <c r="Y4177" s="54"/>
      <c r="Z4177" s="54"/>
      <c r="AA4177" s="54"/>
      <c r="AB4177" s="54"/>
      <c r="AC4177" s="54"/>
    </row>
    <row r="4178" spans="1:29" ht="15.6" customHeight="1" x14ac:dyDescent="0.2">
      <c r="A4178" s="201"/>
      <c r="B4178" s="201" t="s">
        <v>6519</v>
      </c>
      <c r="C4178" s="201"/>
      <c r="D4178" s="201"/>
      <c r="E4178" s="201"/>
      <c r="F4178" s="201"/>
      <c r="G4178" s="199"/>
      <c r="H4178" s="201"/>
      <c r="I4178" s="58">
        <f>199.7+146.6+7229.9</f>
        <v>7576.2</v>
      </c>
      <c r="K4178" s="971" t="s">
        <v>374</v>
      </c>
      <c r="L4178" s="201"/>
      <c r="M4178" s="1133"/>
      <c r="N4178" s="1133"/>
      <c r="O4178" s="1146"/>
      <c r="P4178" s="1124"/>
      <c r="Q4178" s="1125"/>
      <c r="R4178" s="1125"/>
      <c r="S4178" s="1125"/>
      <c r="T4178" s="1125"/>
      <c r="U4178" s="1126"/>
      <c r="Y4178" s="54"/>
      <c r="Z4178" s="54"/>
      <c r="AA4178" s="54"/>
      <c r="AB4178" s="54"/>
      <c r="AC4178" s="54"/>
    </row>
    <row r="4179" spans="1:29" ht="15.6" customHeight="1" x14ac:dyDescent="0.2">
      <c r="A4179" s="201"/>
      <c r="B4179" s="201" t="s">
        <v>6520</v>
      </c>
      <c r="C4179" s="201"/>
      <c r="D4179" s="201"/>
      <c r="E4179" s="201"/>
      <c r="F4179" s="201"/>
      <c r="G4179" s="199"/>
      <c r="H4179" s="201"/>
      <c r="I4179" s="58">
        <f>163.95+144.7+1774.7</f>
        <v>2083.35</v>
      </c>
      <c r="K4179" s="971" t="s">
        <v>374</v>
      </c>
      <c r="L4179" s="201"/>
      <c r="M4179" s="1133"/>
      <c r="N4179" s="1133"/>
      <c r="O4179" s="1146"/>
      <c r="P4179" s="1124"/>
      <c r="Q4179" s="1125"/>
      <c r="R4179" s="1125"/>
      <c r="S4179" s="1125"/>
      <c r="T4179" s="1125"/>
      <c r="U4179" s="1126"/>
      <c r="Y4179" s="54"/>
      <c r="Z4179" s="54"/>
      <c r="AA4179" s="54"/>
      <c r="AB4179" s="54"/>
      <c r="AC4179" s="54"/>
    </row>
    <row r="4180" spans="1:29" ht="15.6" customHeight="1" x14ac:dyDescent="0.2">
      <c r="A4180" s="201"/>
      <c r="B4180" s="201"/>
      <c r="C4180" s="201"/>
      <c r="D4180" s="201"/>
      <c r="E4180" s="201"/>
      <c r="F4180" s="201"/>
      <c r="G4180" s="201"/>
      <c r="H4180" s="201"/>
      <c r="I4180" s="58"/>
      <c r="K4180" s="58"/>
      <c r="L4180" s="201"/>
      <c r="M4180" s="1133"/>
      <c r="N4180" s="1133"/>
      <c r="O4180" s="1146"/>
      <c r="P4180" s="1124"/>
      <c r="Q4180" s="1125"/>
      <c r="R4180" s="1125"/>
      <c r="S4180" s="1125"/>
      <c r="T4180" s="1125"/>
      <c r="U4180" s="1126"/>
      <c r="Y4180" s="54"/>
      <c r="Z4180" s="54"/>
      <c r="AA4180" s="54"/>
      <c r="AB4180" s="54"/>
      <c r="AC4180" s="54"/>
    </row>
    <row r="4181" spans="1:29" ht="15.6" customHeight="1" x14ac:dyDescent="0.25">
      <c r="A4181" s="201"/>
      <c r="B4181" s="201"/>
      <c r="C4181" s="201"/>
      <c r="D4181" s="201"/>
      <c r="E4181" s="201"/>
      <c r="F4181" s="201"/>
      <c r="G4181" s="201"/>
      <c r="H4181" s="201"/>
      <c r="I4181" s="2469" t="s">
        <v>661</v>
      </c>
      <c r="J4181" s="209"/>
      <c r="K4181" s="266"/>
      <c r="L4181" s="201"/>
      <c r="M4181" s="1133"/>
      <c r="N4181" s="1133"/>
      <c r="O4181" s="1146"/>
      <c r="P4181" s="1124"/>
      <c r="Q4181" s="1125"/>
      <c r="R4181" s="1125"/>
      <c r="S4181" s="1125"/>
      <c r="T4181" s="1125"/>
      <c r="U4181" s="1126"/>
      <c r="Y4181" s="54"/>
      <c r="Z4181" s="54"/>
      <c r="AA4181" s="54"/>
      <c r="AB4181" s="54"/>
      <c r="AC4181" s="54"/>
    </row>
    <row r="4182" spans="1:29" ht="15.6" customHeight="1" x14ac:dyDescent="0.25">
      <c r="A4182" s="201"/>
      <c r="B4182" s="276" t="str">
        <f>Parameters!C13</f>
        <v>30 June 2011</v>
      </c>
      <c r="C4182" s="276"/>
      <c r="D4182" s="201"/>
      <c r="E4182" s="201"/>
      <c r="F4182" s="201"/>
      <c r="G4182" s="201"/>
      <c r="H4182" s="201"/>
      <c r="I4182" s="2469" t="s">
        <v>662</v>
      </c>
      <c r="J4182" s="209"/>
      <c r="K4182" s="266" t="s">
        <v>663</v>
      </c>
      <c r="L4182" s="201"/>
      <c r="M4182" s="1133"/>
      <c r="N4182" s="1133"/>
      <c r="O4182" s="1146"/>
      <c r="P4182" s="1124"/>
      <c r="Q4182" s="1125"/>
      <c r="R4182" s="1125"/>
      <c r="S4182" s="1125"/>
      <c r="T4182" s="1125"/>
      <c r="U4182" s="1126"/>
      <c r="Y4182" s="54"/>
      <c r="Z4182" s="54"/>
      <c r="AA4182" s="54"/>
      <c r="AB4182" s="54"/>
      <c r="AC4182" s="54"/>
    </row>
    <row r="4183" spans="1:29" ht="15.6" customHeight="1" x14ac:dyDescent="0.2">
      <c r="A4183" s="201"/>
      <c r="B4183" s="201" t="s">
        <v>6521</v>
      </c>
      <c r="C4183" s="201"/>
      <c r="D4183" s="201"/>
      <c r="E4183" s="201"/>
      <c r="F4183" s="201"/>
      <c r="G4183" s="201"/>
      <c r="H4183" s="201"/>
      <c r="I4183" s="58">
        <v>20199</v>
      </c>
      <c r="K4183" s="971" t="s">
        <v>374</v>
      </c>
      <c r="L4183" s="201"/>
      <c r="P4183" s="1124"/>
      <c r="Q4183" s="1125"/>
      <c r="R4183" s="1125"/>
      <c r="S4183" s="1125"/>
      <c r="T4183" s="1125"/>
      <c r="U4183" s="1126"/>
      <c r="Y4183" s="54"/>
      <c r="Z4183" s="54"/>
      <c r="AA4183" s="54"/>
      <c r="AB4183" s="54"/>
      <c r="AC4183" s="54"/>
    </row>
    <row r="4184" spans="1:29" ht="15.6" customHeight="1" x14ac:dyDescent="0.2">
      <c r="A4184" s="201"/>
      <c r="B4184" s="201" t="s">
        <v>6517</v>
      </c>
      <c r="C4184" s="201"/>
      <c r="D4184" s="201"/>
      <c r="E4184" s="201"/>
      <c r="F4184" s="201"/>
      <c r="G4184" s="199"/>
      <c r="H4184" s="201"/>
      <c r="I4184" s="58">
        <v>6353</v>
      </c>
      <c r="K4184" s="971" t="s">
        <v>374</v>
      </c>
      <c r="L4184" s="201"/>
      <c r="M4184" s="1133"/>
      <c r="N4184" s="1133"/>
      <c r="O4184" s="1146"/>
      <c r="P4184" s="1124"/>
      <c r="Q4184" s="1125"/>
      <c r="R4184" s="1125"/>
      <c r="S4184" s="1125"/>
      <c r="T4184" s="1125"/>
      <c r="U4184" s="1126"/>
      <c r="Y4184" s="54"/>
      <c r="Z4184" s="54"/>
      <c r="AA4184" s="54"/>
      <c r="AB4184" s="54"/>
      <c r="AC4184" s="54"/>
    </row>
    <row r="4185" spans="1:29" ht="15.6" customHeight="1" x14ac:dyDescent="0.2">
      <c r="A4185" s="201"/>
      <c r="B4185" s="201" t="s">
        <v>6516</v>
      </c>
      <c r="C4185" s="201"/>
      <c r="D4185" s="201"/>
      <c r="E4185" s="201"/>
      <c r="F4185" s="201"/>
      <c r="G4185" s="201"/>
      <c r="H4185" s="201"/>
      <c r="I4185" s="58">
        <v>134</v>
      </c>
      <c r="K4185" s="971" t="s">
        <v>374</v>
      </c>
      <c r="L4185" s="201"/>
      <c r="P4185" s="1124"/>
      <c r="Q4185" s="1125"/>
      <c r="R4185" s="1125"/>
      <c r="S4185" s="1125"/>
      <c r="T4185" s="1125"/>
      <c r="U4185" s="1126"/>
      <c r="Y4185" s="54"/>
      <c r="Z4185" s="54"/>
      <c r="AA4185" s="54"/>
      <c r="AB4185" s="54"/>
      <c r="AC4185" s="54"/>
    </row>
    <row r="4186" spans="1:29" ht="15.6" customHeight="1" x14ac:dyDescent="0.2">
      <c r="A4186" s="201"/>
      <c r="B4186" s="201" t="s">
        <v>6519</v>
      </c>
      <c r="C4186" s="201"/>
      <c r="D4186" s="201"/>
      <c r="E4186" s="201"/>
      <c r="F4186" s="201"/>
      <c r="G4186" s="199"/>
      <c r="H4186" s="201"/>
      <c r="I4186" s="58">
        <v>1450</v>
      </c>
      <c r="K4186" s="971" t="s">
        <v>374</v>
      </c>
      <c r="L4186" s="201"/>
      <c r="M4186" s="1133"/>
      <c r="N4186" s="1133"/>
      <c r="O4186" s="1146"/>
      <c r="P4186" s="1124"/>
      <c r="Q4186" s="1125"/>
      <c r="R4186" s="1125"/>
      <c r="S4186" s="1125"/>
      <c r="T4186" s="1125"/>
      <c r="U4186" s="1126"/>
      <c r="Y4186" s="54"/>
      <c r="Z4186" s="54"/>
      <c r="AA4186" s="54"/>
      <c r="AB4186" s="54"/>
      <c r="AC4186" s="54"/>
    </row>
    <row r="4187" spans="1:29" ht="15.6" customHeight="1" x14ac:dyDescent="0.2">
      <c r="A4187" s="201"/>
      <c r="B4187" s="201" t="s">
        <v>6518</v>
      </c>
      <c r="C4187" s="201"/>
      <c r="D4187" s="201"/>
      <c r="E4187" s="201"/>
      <c r="F4187" s="201"/>
      <c r="G4187" s="199"/>
      <c r="H4187" s="201"/>
      <c r="I4187" s="58">
        <v>10645</v>
      </c>
      <c r="K4187" s="971" t="s">
        <v>374</v>
      </c>
      <c r="L4187" s="201"/>
      <c r="M4187" s="1133"/>
      <c r="N4187" s="1133"/>
      <c r="O4187" s="1146"/>
      <c r="P4187" s="1124"/>
      <c r="Q4187" s="1125"/>
      <c r="R4187" s="1125"/>
      <c r="S4187" s="1125"/>
      <c r="T4187" s="1125"/>
      <c r="U4187" s="1126"/>
      <c r="Y4187" s="54"/>
      <c r="Z4187" s="54"/>
      <c r="AA4187" s="54"/>
      <c r="AB4187" s="54"/>
      <c r="AC4187" s="54"/>
    </row>
    <row r="4188" spans="1:29" ht="15.6" customHeight="1" x14ac:dyDescent="0.2">
      <c r="A4188" s="201"/>
      <c r="B4188" s="201"/>
      <c r="C4188" s="201"/>
      <c r="D4188" s="201"/>
      <c r="E4188" s="201"/>
      <c r="F4188" s="201"/>
      <c r="G4188" s="201"/>
      <c r="H4188" s="201"/>
      <c r="I4188" s="58"/>
      <c r="K4188" s="971"/>
      <c r="L4188" s="201"/>
      <c r="M4188" s="1133"/>
      <c r="N4188" s="1133"/>
      <c r="O4188" s="1146"/>
      <c r="P4188" s="1124"/>
      <c r="Q4188" s="1125"/>
      <c r="R4188" s="1125"/>
      <c r="S4188" s="1125"/>
      <c r="T4188" s="1125"/>
      <c r="U4188" s="1126"/>
      <c r="Y4188" s="54"/>
      <c r="Z4188" s="54"/>
      <c r="AA4188" s="54"/>
      <c r="AB4188" s="54"/>
      <c r="AC4188" s="54"/>
    </row>
    <row r="4189" spans="1:29" ht="15.6" customHeight="1" x14ac:dyDescent="0.25">
      <c r="A4189" s="201"/>
      <c r="B4189" s="292" t="s">
        <v>7611</v>
      </c>
      <c r="C4189" s="275"/>
      <c r="D4189" s="201"/>
      <c r="E4189" s="201"/>
      <c r="F4189" s="201"/>
      <c r="G4189" s="201"/>
      <c r="H4189" s="201"/>
      <c r="I4189" s="58"/>
      <c r="K4189" s="58"/>
      <c r="L4189" s="201"/>
      <c r="M4189" s="1133"/>
      <c r="N4189" s="1133"/>
      <c r="O4189" s="1146"/>
      <c r="P4189" s="1115"/>
      <c r="W4189" s="1114" t="s">
        <v>3857</v>
      </c>
      <c r="Y4189" s="54"/>
      <c r="Z4189" s="54"/>
      <c r="AA4189" s="54"/>
      <c r="AB4189" s="54"/>
      <c r="AC4189" s="54"/>
    </row>
    <row r="4190" spans="1:29" ht="15.6" customHeight="1" x14ac:dyDescent="0.2">
      <c r="A4190" s="201"/>
      <c r="B4190" s="2861" t="s">
        <v>7447</v>
      </c>
      <c r="C4190" s="2861"/>
      <c r="D4190" s="2861"/>
      <c r="E4190" s="2861"/>
      <c r="F4190" s="2861"/>
      <c r="G4190" s="2861"/>
      <c r="H4190" s="2861"/>
      <c r="I4190" s="2861"/>
      <c r="J4190" s="2861"/>
      <c r="K4190" s="2861"/>
      <c r="L4190" s="201"/>
      <c r="P4190" s="1115"/>
      <c r="Y4190" s="54"/>
      <c r="Z4190" s="54"/>
      <c r="AA4190" s="54"/>
      <c r="AB4190" s="54"/>
      <c r="AC4190" s="54"/>
    </row>
    <row r="4191" spans="1:29" ht="15.6" customHeight="1" x14ac:dyDescent="0.2">
      <c r="A4191" s="201"/>
      <c r="B4191" s="201" t="s">
        <v>572</v>
      </c>
      <c r="C4191" s="201"/>
      <c r="D4191" s="201"/>
      <c r="E4191" s="201"/>
      <c r="F4191" s="201"/>
      <c r="G4191" s="201"/>
      <c r="H4191" s="201"/>
      <c r="I4191" s="58"/>
      <c r="K4191" s="58"/>
      <c r="L4191" s="201"/>
      <c r="M4191" s="1133"/>
      <c r="N4191" s="1133"/>
      <c r="O4191" s="1146"/>
      <c r="P4191" s="1115"/>
      <c r="Y4191" s="54"/>
      <c r="Z4191" s="54"/>
      <c r="AA4191" s="54"/>
      <c r="AB4191" s="54"/>
      <c r="AC4191" s="54"/>
    </row>
    <row r="4192" spans="1:29" ht="15.6" customHeight="1" x14ac:dyDescent="0.2">
      <c r="A4192" s="201"/>
      <c r="B4192" s="201"/>
      <c r="C4192" s="201"/>
      <c r="D4192" s="201"/>
      <c r="E4192" s="201"/>
      <c r="F4192" s="201"/>
      <c r="G4192" s="201"/>
      <c r="H4192" s="201"/>
      <c r="I4192" s="58"/>
      <c r="K4192" s="58"/>
      <c r="L4192" s="201"/>
      <c r="P4192" s="1115"/>
      <c r="Y4192" s="54"/>
      <c r="Z4192" s="54"/>
      <c r="AA4192" s="54"/>
      <c r="AB4192" s="54"/>
      <c r="AC4192" s="54"/>
    </row>
    <row r="4193" spans="1:29" ht="15.6" customHeight="1" x14ac:dyDescent="0.25">
      <c r="A4193" s="201"/>
      <c r="B4193" s="292" t="s">
        <v>7612</v>
      </c>
      <c r="C4193" s="275"/>
      <c r="D4193" s="201"/>
      <c r="E4193" s="201"/>
      <c r="F4193" s="201"/>
      <c r="G4193" s="201"/>
      <c r="H4193" s="201"/>
      <c r="I4193" s="58"/>
      <c r="K4193" s="58"/>
      <c r="L4193" s="201"/>
      <c r="P4193" s="1115"/>
      <c r="W4193" s="1114" t="s">
        <v>3857</v>
      </c>
      <c r="Y4193" s="54"/>
      <c r="Z4193" s="54"/>
      <c r="AA4193" s="54"/>
      <c r="AB4193" s="54"/>
      <c r="AC4193" s="54"/>
    </row>
    <row r="4194" spans="1:29" ht="30.95" customHeight="1" x14ac:dyDescent="0.2">
      <c r="B4194" s="2839" t="s">
        <v>1551</v>
      </c>
      <c r="C4194" s="2839"/>
      <c r="D4194" s="2839"/>
      <c r="E4194" s="2839"/>
      <c r="F4194" s="2839"/>
      <c r="G4194" s="2839"/>
      <c r="H4194" s="2839"/>
      <c r="I4194" s="2839"/>
      <c r="J4194" s="2839"/>
      <c r="K4194" s="2839"/>
      <c r="M4194" s="1133"/>
      <c r="N4194" s="1147"/>
      <c r="O4194" s="1146"/>
      <c r="Y4194" s="54"/>
      <c r="Z4194" s="54"/>
      <c r="AA4194" s="54"/>
      <c r="AB4194" s="54"/>
      <c r="AC4194" s="54"/>
    </row>
    <row r="4195" spans="1:29" ht="15.6" customHeight="1" x14ac:dyDescent="0.2">
      <c r="A4195" s="201"/>
      <c r="B4195" s="201"/>
      <c r="C4195" s="201"/>
      <c r="D4195" s="201"/>
      <c r="E4195" s="201"/>
      <c r="F4195" s="201"/>
      <c r="G4195" s="201"/>
      <c r="H4195" s="201"/>
      <c r="I4195" s="58"/>
      <c r="K4195" s="58"/>
      <c r="L4195" s="201"/>
      <c r="M4195" s="1133"/>
      <c r="N4195" s="1147"/>
      <c r="O4195" s="1146"/>
      <c r="Y4195" s="54"/>
      <c r="Z4195" s="54"/>
      <c r="AA4195" s="54"/>
      <c r="AB4195" s="54"/>
      <c r="AC4195" s="54"/>
    </row>
    <row r="4196" spans="1:29" ht="46.5" hidden="1" customHeight="1" x14ac:dyDescent="0.2">
      <c r="B4196" s="2865" t="s">
        <v>1145</v>
      </c>
      <c r="C4196" s="2865"/>
      <c r="D4196" s="2865"/>
      <c r="E4196" s="2865"/>
      <c r="F4196" s="2865"/>
      <c r="G4196" s="2865"/>
      <c r="H4196" s="2865"/>
      <c r="I4196" s="2865"/>
      <c r="J4196" s="2865"/>
      <c r="K4196" s="2865"/>
      <c r="M4196" s="1133"/>
      <c r="N4196" s="1147"/>
      <c r="O4196" s="1146"/>
    </row>
    <row r="4197" spans="1:29" ht="15.6" hidden="1" customHeight="1" x14ac:dyDescent="0.2">
      <c r="I4197" s="58"/>
      <c r="K4197" s="58"/>
      <c r="M4197" s="1133"/>
      <c r="N4197" s="1147"/>
      <c r="O4197" s="1146"/>
    </row>
    <row r="4198" spans="1:29" ht="30.95" hidden="1" customHeight="1" x14ac:dyDescent="0.2">
      <c r="B4198" s="2865" t="s">
        <v>738</v>
      </c>
      <c r="C4198" s="2865"/>
      <c r="D4198" s="2865"/>
      <c r="E4198" s="2865"/>
      <c r="F4198" s="2865"/>
      <c r="G4198" s="2865"/>
      <c r="H4198" s="2865"/>
      <c r="I4198" s="2865"/>
      <c r="J4198" s="2865"/>
      <c r="K4198" s="2865"/>
      <c r="M4198" s="1133"/>
      <c r="N4198" s="1147"/>
      <c r="O4198" s="1146"/>
      <c r="Y4198" s="54"/>
      <c r="Z4198" s="54"/>
      <c r="AA4198" s="54"/>
      <c r="AB4198" s="54"/>
      <c r="AC4198" s="54"/>
    </row>
    <row r="4199" spans="1:29" ht="30.95" customHeight="1" x14ac:dyDescent="0.2">
      <c r="B4199" s="2839" t="s">
        <v>8107</v>
      </c>
      <c r="C4199" s="2839"/>
      <c r="D4199" s="2839"/>
      <c r="E4199" s="2839"/>
      <c r="F4199" s="2839"/>
      <c r="G4199" s="2839"/>
      <c r="H4199" s="2839"/>
      <c r="I4199" s="2839"/>
      <c r="J4199" s="2839"/>
      <c r="K4199" s="2839"/>
      <c r="M4199" s="1133"/>
      <c r="N4199" s="1147"/>
      <c r="O4199" s="1146"/>
      <c r="P4199" s="1113"/>
      <c r="Q4199" s="1114"/>
      <c r="R4199" s="1114"/>
      <c r="S4199" s="1114"/>
      <c r="T4199" s="1114"/>
      <c r="U4199" s="316"/>
      <c r="Y4199" s="54"/>
      <c r="Z4199" s="54"/>
      <c r="AA4199" s="54"/>
      <c r="AB4199" s="54"/>
      <c r="AC4199" s="54"/>
    </row>
    <row r="4200" spans="1:29" ht="15.6" customHeight="1" thickBot="1" x14ac:dyDescent="0.25">
      <c r="A4200" s="201"/>
      <c r="B4200" s="201"/>
      <c r="C4200" s="201"/>
      <c r="D4200" s="201"/>
      <c r="E4200" s="201"/>
      <c r="F4200" s="201"/>
      <c r="G4200" s="201"/>
      <c r="H4200" s="201"/>
      <c r="I4200" s="58"/>
      <c r="K4200" s="58"/>
      <c r="L4200" s="201"/>
      <c r="M4200" s="1133"/>
      <c r="N4200" s="1147"/>
      <c r="O4200" s="1146"/>
      <c r="Y4200" s="54"/>
      <c r="Z4200" s="54"/>
      <c r="AA4200" s="54"/>
      <c r="AB4200" s="54"/>
      <c r="AC4200" s="54"/>
    </row>
    <row r="4201" spans="1:29" ht="15.6" customHeight="1" thickBot="1" x14ac:dyDescent="0.3">
      <c r="B4201" s="293" t="s">
        <v>1146</v>
      </c>
      <c r="C4201" s="294" t="s">
        <v>1147</v>
      </c>
      <c r="D4201" s="2922" t="s">
        <v>1148</v>
      </c>
      <c r="E4201" s="2923"/>
      <c r="F4201" s="2923"/>
      <c r="G4201" s="2924"/>
      <c r="H4201" s="2922" t="s">
        <v>1149</v>
      </c>
      <c r="I4201" s="2923"/>
      <c r="J4201" s="2924"/>
      <c r="K4201" s="295" t="s">
        <v>261</v>
      </c>
      <c r="M4201" s="283">
        <f>SUM(M4202:M4217)</f>
        <v>786030.87999999989</v>
      </c>
      <c r="N4201" s="1147"/>
      <c r="O4201" s="1146"/>
      <c r="Y4201" s="54"/>
      <c r="Z4201" s="54"/>
      <c r="AA4201" s="54"/>
      <c r="AB4201" s="54"/>
      <c r="AC4201" s="54"/>
    </row>
    <row r="4202" spans="1:29" s="54" customFormat="1" ht="15.6" customHeight="1" x14ac:dyDescent="0.2">
      <c r="A4202" s="48"/>
      <c r="B4202" s="2886" t="s">
        <v>8105</v>
      </c>
      <c r="C4202" s="2731" t="s">
        <v>8106</v>
      </c>
      <c r="D4202" s="2916" t="s">
        <v>8110</v>
      </c>
      <c r="E4202" s="2917"/>
      <c r="F4202" s="2917"/>
      <c r="G4202" s="2918"/>
      <c r="H4202" s="2902" t="s">
        <v>8108</v>
      </c>
      <c r="I4202" s="2903"/>
      <c r="J4202" s="2904"/>
      <c r="K4202" s="2732">
        <v>33313.599999999999</v>
      </c>
      <c r="L4202" s="48"/>
      <c r="M4202" s="1611">
        <f>K4202</f>
        <v>33313.599999999999</v>
      </c>
      <c r="N4202" s="1589"/>
      <c r="O4202" s="1609"/>
      <c r="P4202" s="1110"/>
      <c r="Q4202" s="1111"/>
      <c r="R4202" s="1111"/>
      <c r="S4202" s="1111"/>
      <c r="T4202" s="1111"/>
      <c r="U4202" s="1112"/>
      <c r="V4202" s="1133"/>
      <c r="W4202" s="1114"/>
      <c r="X4202" s="48"/>
    </row>
    <row r="4203" spans="1:29" s="54" customFormat="1" ht="7.5" customHeight="1" x14ac:dyDescent="0.2">
      <c r="A4203" s="48"/>
      <c r="B4203" s="2887"/>
      <c r="C4203" s="2733"/>
      <c r="D4203" s="2895"/>
      <c r="E4203" s="2896"/>
      <c r="F4203" s="2896"/>
      <c r="G4203" s="2897"/>
      <c r="H4203" s="2905"/>
      <c r="I4203" s="2906"/>
      <c r="J4203" s="2907"/>
      <c r="K4203" s="2734"/>
      <c r="L4203" s="48"/>
      <c r="M4203" s="1611">
        <f t="shared" ref="M4203:M4204" si="52">K4203</f>
        <v>0</v>
      </c>
      <c r="N4203" s="1589"/>
      <c r="O4203" s="1609"/>
      <c r="P4203" s="1110"/>
      <c r="Q4203" s="1111"/>
      <c r="R4203" s="1111"/>
      <c r="S4203" s="1111"/>
      <c r="T4203" s="1111"/>
      <c r="U4203" s="1112"/>
      <c r="V4203" s="1133"/>
      <c r="W4203" s="1114"/>
      <c r="X4203" s="48"/>
    </row>
    <row r="4204" spans="1:29" s="54" customFormat="1" ht="7.5" customHeight="1" x14ac:dyDescent="0.2">
      <c r="A4204" s="48"/>
      <c r="B4204" s="2887"/>
      <c r="C4204" s="2735"/>
      <c r="D4204" s="2895"/>
      <c r="E4204" s="2896"/>
      <c r="F4204" s="2896"/>
      <c r="G4204" s="2897"/>
      <c r="H4204" s="2905"/>
      <c r="I4204" s="2906"/>
      <c r="J4204" s="2907"/>
      <c r="K4204" s="2736"/>
      <c r="L4204" s="48"/>
      <c r="M4204" s="1611">
        <f t="shared" si="52"/>
        <v>0</v>
      </c>
      <c r="N4204" s="1589"/>
      <c r="O4204" s="1609"/>
      <c r="P4204" s="1110"/>
      <c r="Q4204" s="1111"/>
      <c r="R4204" s="1111"/>
      <c r="S4204" s="1111"/>
      <c r="T4204" s="1111"/>
      <c r="U4204" s="1112"/>
      <c r="V4204" s="1133"/>
      <c r="W4204" s="1114"/>
      <c r="X4204" s="48"/>
    </row>
    <row r="4205" spans="1:29" s="54" customFormat="1" ht="15.6" customHeight="1" thickBot="1" x14ac:dyDescent="0.25">
      <c r="A4205" s="48"/>
      <c r="B4205" s="2888" t="s">
        <v>8109</v>
      </c>
      <c r="C4205" s="2889"/>
      <c r="D4205" s="2889"/>
      <c r="E4205" s="2889"/>
      <c r="F4205" s="2889"/>
      <c r="G4205" s="2889"/>
      <c r="H4205" s="2889"/>
      <c r="I4205" s="2889"/>
      <c r="J4205" s="2889"/>
      <c r="K4205" s="2890"/>
      <c r="L4205" s="48"/>
      <c r="M4205" s="1608"/>
      <c r="N4205" s="1589"/>
      <c r="O4205" s="1609"/>
      <c r="P4205" s="1110"/>
      <c r="Q4205" s="1111"/>
      <c r="R4205" s="1111"/>
      <c r="S4205" s="1111"/>
      <c r="T4205" s="1111"/>
      <c r="U4205" s="1112"/>
      <c r="V4205" s="1133"/>
      <c r="W4205" s="1114"/>
      <c r="X4205" s="48"/>
    </row>
    <row r="4206" spans="1:29" s="54" customFormat="1" ht="15.6" customHeight="1" thickTop="1" x14ac:dyDescent="0.2">
      <c r="A4206" s="48"/>
      <c r="B4206" s="2886" t="s">
        <v>8105</v>
      </c>
      <c r="C4206" s="2731" t="s">
        <v>8111</v>
      </c>
      <c r="D4206" s="2916" t="s">
        <v>8112</v>
      </c>
      <c r="E4206" s="2917"/>
      <c r="F4206" s="2917"/>
      <c r="G4206" s="2918"/>
      <c r="H4206" s="2902" t="s">
        <v>8113</v>
      </c>
      <c r="I4206" s="2903"/>
      <c r="J4206" s="2904"/>
      <c r="K4206" s="2732">
        <v>107781.3</v>
      </c>
      <c r="L4206" s="48"/>
      <c r="M4206" s="1611">
        <f t="shared" ref="M4206:M4208" si="53">K4206</f>
        <v>107781.3</v>
      </c>
      <c r="N4206" s="1589"/>
      <c r="O4206" s="1609"/>
      <c r="P4206" s="1113"/>
      <c r="Q4206" s="1114"/>
      <c r="R4206" s="1114"/>
      <c r="S4206" s="1114"/>
      <c r="T4206" s="1114"/>
      <c r="U4206" s="316"/>
      <c r="V4206" s="1133"/>
      <c r="W4206" s="1114"/>
      <c r="X4206" s="48"/>
    </row>
    <row r="4207" spans="1:29" s="54" customFormat="1" ht="7.5" customHeight="1" x14ac:dyDescent="0.2">
      <c r="A4207" s="48"/>
      <c r="B4207" s="2887"/>
      <c r="C4207" s="2733"/>
      <c r="D4207" s="2895"/>
      <c r="E4207" s="2896"/>
      <c r="F4207" s="2896"/>
      <c r="G4207" s="2897"/>
      <c r="H4207" s="2905"/>
      <c r="I4207" s="2906"/>
      <c r="J4207" s="2907"/>
      <c r="K4207" s="2736"/>
      <c r="L4207" s="48"/>
      <c r="M4207" s="1611">
        <f t="shared" si="53"/>
        <v>0</v>
      </c>
      <c r="N4207" s="1589"/>
      <c r="O4207" s="1609"/>
      <c r="P4207" s="1110"/>
      <c r="Q4207" s="1111"/>
      <c r="R4207" s="1111"/>
      <c r="S4207" s="1111"/>
      <c r="T4207" s="1111"/>
      <c r="U4207" s="1112"/>
      <c r="V4207" s="1133"/>
      <c r="W4207" s="1114"/>
      <c r="X4207" s="48"/>
      <c r="Y4207" s="48"/>
    </row>
    <row r="4208" spans="1:29" s="54" customFormat="1" ht="7.5" customHeight="1" x14ac:dyDescent="0.2">
      <c r="A4208" s="48"/>
      <c r="B4208" s="2887"/>
      <c r="C4208" s="2735"/>
      <c r="D4208" s="2895"/>
      <c r="E4208" s="2896"/>
      <c r="F4208" s="2896"/>
      <c r="G4208" s="2897"/>
      <c r="H4208" s="2905"/>
      <c r="I4208" s="2906"/>
      <c r="J4208" s="2907"/>
      <c r="K4208" s="2736"/>
      <c r="L4208" s="48"/>
      <c r="M4208" s="1611">
        <f t="shared" si="53"/>
        <v>0</v>
      </c>
      <c r="N4208" s="1589"/>
      <c r="O4208" s="1609"/>
      <c r="P4208" s="1110"/>
      <c r="Q4208" s="1111"/>
      <c r="R4208" s="1111"/>
      <c r="S4208" s="1111"/>
      <c r="T4208" s="1111"/>
      <c r="U4208" s="1112"/>
      <c r="V4208" s="1133"/>
      <c r="W4208" s="1114"/>
      <c r="X4208" s="48"/>
      <c r="Y4208" s="48"/>
    </row>
    <row r="4209" spans="1:29" s="54" customFormat="1" ht="15.6" customHeight="1" thickBot="1" x14ac:dyDescent="0.25">
      <c r="A4209" s="48"/>
      <c r="B4209" s="2888" t="s">
        <v>8114</v>
      </c>
      <c r="C4209" s="2889"/>
      <c r="D4209" s="2889"/>
      <c r="E4209" s="2889"/>
      <c r="F4209" s="2889"/>
      <c r="G4209" s="2889"/>
      <c r="H4209" s="2889"/>
      <c r="I4209" s="2889"/>
      <c r="J4209" s="2889"/>
      <c r="K4209" s="2890"/>
      <c r="L4209" s="48"/>
      <c r="M4209" s="1608"/>
      <c r="N4209" s="1589"/>
      <c r="O4209" s="1609"/>
      <c r="P4209" s="1110"/>
      <c r="Q4209" s="1111"/>
      <c r="R4209" s="1111"/>
      <c r="S4209" s="1111"/>
      <c r="T4209" s="1111"/>
      <c r="U4209" s="1112"/>
      <c r="V4209" s="1133"/>
      <c r="W4209" s="1114"/>
      <c r="X4209" s="48"/>
      <c r="Y4209" s="48"/>
    </row>
    <row r="4210" spans="1:29" s="54" customFormat="1" ht="15.6" customHeight="1" thickTop="1" x14ac:dyDescent="0.2">
      <c r="A4210" s="48"/>
      <c r="B4210" s="2886" t="s">
        <v>8105</v>
      </c>
      <c r="C4210" s="2731" t="s">
        <v>8106</v>
      </c>
      <c r="D4210" s="2916" t="s">
        <v>8115</v>
      </c>
      <c r="E4210" s="2917"/>
      <c r="F4210" s="2917"/>
      <c r="G4210" s="2918"/>
      <c r="H4210" s="2902" t="s">
        <v>8116</v>
      </c>
      <c r="I4210" s="2903"/>
      <c r="J4210" s="2904"/>
      <c r="K4210" s="2732">
        <v>336049.56</v>
      </c>
      <c r="L4210" s="48"/>
      <c r="M4210" s="1611">
        <f t="shared" ref="M4210:M4212" si="54">K4210</f>
        <v>336049.56</v>
      </c>
      <c r="N4210" s="1589"/>
      <c r="O4210" s="1609"/>
      <c r="P4210" s="1110"/>
      <c r="Q4210" s="1111"/>
      <c r="R4210" s="1111"/>
      <c r="S4210" s="1111"/>
      <c r="T4210" s="1111"/>
      <c r="U4210" s="1112"/>
      <c r="V4210" s="1133"/>
      <c r="W4210" s="1114"/>
      <c r="X4210" s="48"/>
      <c r="Y4210" s="48"/>
    </row>
    <row r="4211" spans="1:29" s="54" customFormat="1" ht="7.5" customHeight="1" x14ac:dyDescent="0.2">
      <c r="A4211" s="48"/>
      <c r="B4211" s="2887"/>
      <c r="C4211" s="2733"/>
      <c r="D4211" s="2895"/>
      <c r="E4211" s="2896"/>
      <c r="F4211" s="2896"/>
      <c r="G4211" s="2897"/>
      <c r="H4211" s="2905"/>
      <c r="I4211" s="2906"/>
      <c r="J4211" s="2907"/>
      <c r="K4211" s="2734"/>
      <c r="L4211" s="48"/>
      <c r="M4211" s="1611">
        <f t="shared" si="54"/>
        <v>0</v>
      </c>
      <c r="N4211" s="1589"/>
      <c r="O4211" s="1609"/>
      <c r="P4211" s="1110"/>
      <c r="Q4211" s="1111"/>
      <c r="R4211" s="1111"/>
      <c r="S4211" s="1111"/>
      <c r="T4211" s="1111"/>
      <c r="U4211" s="1112"/>
      <c r="V4211" s="1133"/>
      <c r="W4211" s="1114"/>
      <c r="X4211" s="48"/>
      <c r="Y4211" s="48"/>
    </row>
    <row r="4212" spans="1:29" s="54" customFormat="1" ht="7.5" customHeight="1" x14ac:dyDescent="0.2">
      <c r="A4212" s="48"/>
      <c r="B4212" s="2887"/>
      <c r="C4212" s="2735"/>
      <c r="D4212" s="2895"/>
      <c r="E4212" s="2896"/>
      <c r="F4212" s="2896"/>
      <c r="G4212" s="2897"/>
      <c r="H4212" s="2905"/>
      <c r="I4212" s="2906"/>
      <c r="J4212" s="2907"/>
      <c r="K4212" s="2736"/>
      <c r="L4212" s="48"/>
      <c r="M4212" s="1611">
        <f t="shared" si="54"/>
        <v>0</v>
      </c>
      <c r="N4212" s="1589"/>
      <c r="O4212" s="1609"/>
      <c r="P4212" s="1110"/>
      <c r="Q4212" s="1111"/>
      <c r="R4212" s="1111"/>
      <c r="S4212" s="1111"/>
      <c r="T4212" s="1111"/>
      <c r="U4212" s="1112"/>
      <c r="V4212" s="1133"/>
      <c r="W4212" s="1114"/>
      <c r="X4212" s="48"/>
      <c r="Y4212" s="48"/>
    </row>
    <row r="4213" spans="1:29" s="54" customFormat="1" ht="15.6" customHeight="1" thickBot="1" x14ac:dyDescent="0.25">
      <c r="A4213" s="48"/>
      <c r="B4213" s="2888" t="s">
        <v>8117</v>
      </c>
      <c r="C4213" s="2889"/>
      <c r="D4213" s="2889"/>
      <c r="E4213" s="2889"/>
      <c r="F4213" s="2889"/>
      <c r="G4213" s="2889"/>
      <c r="H4213" s="2889"/>
      <c r="I4213" s="2889"/>
      <c r="J4213" s="2889"/>
      <c r="K4213" s="2890"/>
      <c r="L4213" s="48"/>
      <c r="M4213" s="1608"/>
      <c r="N4213" s="1589"/>
      <c r="O4213" s="1609"/>
      <c r="P4213" s="1110"/>
      <c r="Q4213" s="1111"/>
      <c r="R4213" s="1111"/>
      <c r="S4213" s="1111"/>
      <c r="T4213" s="1111"/>
      <c r="U4213" s="1112"/>
      <c r="V4213" s="1133"/>
      <c r="W4213" s="1114"/>
      <c r="X4213" s="48"/>
      <c r="Y4213" s="48"/>
    </row>
    <row r="4214" spans="1:29" s="54" customFormat="1" ht="15.6" customHeight="1" thickTop="1" x14ac:dyDescent="0.2">
      <c r="A4214" s="48"/>
      <c r="B4214" s="2886" t="s">
        <v>8105</v>
      </c>
      <c r="C4214" s="2731" t="s">
        <v>8106</v>
      </c>
      <c r="D4214" s="2916" t="s">
        <v>8118</v>
      </c>
      <c r="E4214" s="2917"/>
      <c r="F4214" s="2917"/>
      <c r="G4214" s="2918"/>
      <c r="H4214" s="2902" t="s">
        <v>8119</v>
      </c>
      <c r="I4214" s="2903"/>
      <c r="J4214" s="2904"/>
      <c r="K4214" s="2732">
        <v>308886.42</v>
      </c>
      <c r="L4214" s="48"/>
      <c r="M4214" s="1611">
        <f t="shared" ref="M4214:M4216" si="55">K4214</f>
        <v>308886.42</v>
      </c>
      <c r="N4214" s="1589"/>
      <c r="O4214" s="1609"/>
      <c r="P4214" s="1110"/>
      <c r="Q4214" s="1111"/>
      <c r="R4214" s="1111"/>
      <c r="S4214" s="1111"/>
      <c r="T4214" s="1111"/>
      <c r="U4214" s="1112"/>
      <c r="V4214" s="1133"/>
      <c r="W4214" s="1114"/>
      <c r="X4214" s="48"/>
      <c r="Y4214" s="48"/>
    </row>
    <row r="4215" spans="1:29" s="54" customFormat="1" ht="15.6" customHeight="1" x14ac:dyDescent="0.2">
      <c r="A4215" s="48"/>
      <c r="B4215" s="2887"/>
      <c r="C4215" s="2733"/>
      <c r="D4215" s="2895"/>
      <c r="E4215" s="2896"/>
      <c r="F4215" s="2896"/>
      <c r="G4215" s="2897"/>
      <c r="H4215" s="2905"/>
      <c r="I4215" s="2906"/>
      <c r="J4215" s="2907"/>
      <c r="K4215" s="2734"/>
      <c r="L4215" s="48"/>
      <c r="M4215" s="1611">
        <f t="shared" si="55"/>
        <v>0</v>
      </c>
      <c r="N4215" s="1589"/>
      <c r="O4215" s="1609"/>
      <c r="P4215" s="1110"/>
      <c r="Q4215" s="1111"/>
      <c r="R4215" s="1111"/>
      <c r="S4215" s="1111"/>
      <c r="T4215" s="1111"/>
      <c r="U4215" s="1112"/>
      <c r="V4215" s="1133"/>
      <c r="W4215" s="1114"/>
      <c r="X4215" s="48"/>
      <c r="Y4215" s="48"/>
    </row>
    <row r="4216" spans="1:29" s="54" customFormat="1" ht="15.6" customHeight="1" x14ac:dyDescent="0.25">
      <c r="A4216" s="48"/>
      <c r="B4216" s="2887"/>
      <c r="C4216" s="2735"/>
      <c r="D4216" s="2895"/>
      <c r="E4216" s="2896"/>
      <c r="F4216" s="2896"/>
      <c r="G4216" s="2897"/>
      <c r="H4216" s="2905"/>
      <c r="I4216" s="2906"/>
      <c r="J4216" s="2907"/>
      <c r="K4216" s="2736"/>
      <c r="L4216" s="48"/>
      <c r="M4216" s="1611">
        <f t="shared" si="55"/>
        <v>0</v>
      </c>
      <c r="N4216" s="1589"/>
      <c r="O4216" s="1609"/>
      <c r="P4216" s="1110"/>
      <c r="Q4216" s="1111"/>
      <c r="R4216" s="1111"/>
      <c r="S4216" s="1111"/>
      <c r="T4216" s="1111"/>
      <c r="U4216" s="1112"/>
      <c r="V4216" s="1133"/>
      <c r="W4216" s="1114"/>
      <c r="X4216" s="48"/>
      <c r="Y4216" s="50"/>
      <c r="Z4216" s="48"/>
    </row>
    <row r="4217" spans="1:29" s="54" customFormat="1" ht="15.6" customHeight="1" thickBot="1" x14ac:dyDescent="0.25">
      <c r="A4217" s="48"/>
      <c r="B4217" s="2888" t="s">
        <v>8120</v>
      </c>
      <c r="C4217" s="2889"/>
      <c r="D4217" s="2889"/>
      <c r="E4217" s="2889"/>
      <c r="F4217" s="2889"/>
      <c r="G4217" s="2889"/>
      <c r="H4217" s="2889"/>
      <c r="I4217" s="2889"/>
      <c r="J4217" s="2889"/>
      <c r="K4217" s="2890"/>
      <c r="L4217" s="48"/>
      <c r="M4217" s="1608"/>
      <c r="N4217" s="1589"/>
      <c r="O4217" s="1609"/>
      <c r="P4217" s="1110"/>
      <c r="Q4217" s="1111"/>
      <c r="R4217" s="1111"/>
      <c r="S4217" s="1111"/>
      <c r="T4217" s="1111"/>
      <c r="U4217" s="1112"/>
      <c r="V4217" s="1133"/>
      <c r="W4217" s="1114"/>
      <c r="X4217" s="48"/>
      <c r="Y4217" s="48"/>
      <c r="Z4217" s="48"/>
      <c r="AA4217" s="48"/>
    </row>
    <row r="4218" spans="1:29" ht="15.6" customHeight="1" thickTop="1" x14ac:dyDescent="0.2">
      <c r="I4218" s="58"/>
      <c r="K4218" s="58"/>
      <c r="M4218" s="1133"/>
      <c r="N4218" s="1147"/>
      <c r="O4218" s="1146"/>
      <c r="P4218" s="1115"/>
      <c r="V4218" s="1608"/>
    </row>
    <row r="4219" spans="1:29" ht="15.6" customHeight="1" x14ac:dyDescent="0.25">
      <c r="A4219" s="50"/>
      <c r="D4219" s="48"/>
      <c r="F4219" s="48"/>
      <c r="H4219" s="1262"/>
      <c r="I4219" s="1263">
        <f>Parameters!C17</f>
        <v>2012</v>
      </c>
      <c r="J4219" s="1262"/>
      <c r="K4219" s="1263">
        <f>Parameters!C19</f>
        <v>2011</v>
      </c>
      <c r="M4219" s="232" t="s">
        <v>803</v>
      </c>
      <c r="N4219" s="1224">
        <f>Parameters!C21</f>
        <v>2010</v>
      </c>
      <c r="O4219" s="1460"/>
    </row>
    <row r="4220" spans="1:29" ht="15.6" customHeight="1" x14ac:dyDescent="0.25">
      <c r="I4220" s="237" t="s">
        <v>255</v>
      </c>
      <c r="J4220" s="238"/>
      <c r="K4220" s="237" t="s">
        <v>255</v>
      </c>
      <c r="L4220" s="210"/>
      <c r="M4220" s="1133"/>
      <c r="N4220" s="1133"/>
      <c r="O4220" s="1146"/>
      <c r="P4220" s="1115"/>
    </row>
    <row r="4221" spans="1:29" ht="15.6" customHeight="1" x14ac:dyDescent="0.25">
      <c r="I4221" s="200"/>
      <c r="J4221" s="200"/>
    </row>
    <row r="4222" spans="1:29" ht="15.6" customHeight="1" x14ac:dyDescent="0.25">
      <c r="A4222" s="201"/>
      <c r="B4222" s="292" t="s">
        <v>7613</v>
      </c>
      <c r="C4222" s="275"/>
      <c r="D4222" s="201"/>
      <c r="E4222" s="201"/>
      <c r="F4222" s="201"/>
      <c r="G4222" s="201"/>
      <c r="H4222" s="201"/>
      <c r="I4222" s="58"/>
      <c r="K4222" s="58"/>
      <c r="L4222" s="201"/>
      <c r="P4222" s="1115"/>
      <c r="W4222" s="1114" t="s">
        <v>3857</v>
      </c>
      <c r="Y4222" s="54"/>
      <c r="Z4222" s="54"/>
      <c r="AA4222" s="54"/>
      <c r="AB4222" s="54"/>
      <c r="AC4222" s="54"/>
    </row>
    <row r="4223" spans="1:29" ht="15.6" customHeight="1" x14ac:dyDescent="0.2">
      <c r="B4223" s="2839" t="s">
        <v>4048</v>
      </c>
      <c r="C4223" s="2839"/>
      <c r="D4223" s="2839"/>
      <c r="E4223" s="2839"/>
      <c r="F4223" s="2839"/>
      <c r="G4223" s="2839"/>
      <c r="H4223" s="2839"/>
      <c r="I4223" s="2839"/>
      <c r="J4223" s="2839"/>
      <c r="K4223" s="2839"/>
      <c r="M4223" s="1133"/>
      <c r="N4223" s="1147"/>
      <c r="O4223" s="1146"/>
      <c r="Y4223" s="54"/>
      <c r="Z4223" s="54"/>
      <c r="AA4223" s="54"/>
      <c r="AB4223" s="54"/>
      <c r="AC4223" s="54"/>
    </row>
    <row r="4224" spans="1:29" ht="15.6" customHeight="1" x14ac:dyDescent="0.2">
      <c r="A4224" s="201"/>
      <c r="B4224" s="201"/>
      <c r="C4224" s="201"/>
      <c r="D4224" s="201"/>
      <c r="E4224" s="201"/>
      <c r="F4224" s="201"/>
      <c r="G4224" s="201"/>
      <c r="H4224" s="201"/>
      <c r="I4224" s="58"/>
      <c r="K4224" s="58"/>
      <c r="L4224" s="201"/>
      <c r="M4224" s="1133"/>
      <c r="N4224" s="1147"/>
      <c r="O4224" s="1146"/>
      <c r="P4224" s="1115"/>
      <c r="V4224" s="1608"/>
    </row>
    <row r="4225" spans="1:23" ht="15.6" customHeight="1" x14ac:dyDescent="0.25">
      <c r="A4225" s="201"/>
      <c r="B4225" s="275" t="s">
        <v>459</v>
      </c>
      <c r="C4225" s="201"/>
      <c r="D4225" s="201"/>
      <c r="E4225" s="201"/>
      <c r="F4225" s="201"/>
      <c r="G4225" s="201"/>
      <c r="H4225" s="201"/>
      <c r="I4225" s="58"/>
      <c r="K4225" s="58"/>
      <c r="L4225" s="201"/>
      <c r="M4225" s="1133"/>
      <c r="N4225" s="1147"/>
      <c r="O4225" s="1146"/>
      <c r="P4225" s="1115"/>
      <c r="V4225" s="1608"/>
    </row>
    <row r="4226" spans="1:23" ht="15.6" customHeight="1" x14ac:dyDescent="0.2">
      <c r="A4226" s="201"/>
      <c r="B4226" s="201" t="s">
        <v>4049</v>
      </c>
      <c r="C4226" s="201"/>
      <c r="D4226" s="201"/>
      <c r="E4226" s="201"/>
      <c r="F4226" s="201"/>
      <c r="G4226" s="201" t="s">
        <v>4055</v>
      </c>
      <c r="H4226" s="201"/>
      <c r="I4226" s="58">
        <v>1834140695.5</v>
      </c>
      <c r="K4226" s="58">
        <v>0</v>
      </c>
      <c r="L4226" s="201"/>
      <c r="M4226" s="1133"/>
      <c r="N4226" s="1147"/>
      <c r="O4226" s="1146"/>
      <c r="P4226" s="1115"/>
      <c r="V4226" s="1608"/>
      <c r="W4226" s="48"/>
    </row>
    <row r="4227" spans="1:23" ht="15.6" customHeight="1" x14ac:dyDescent="0.2">
      <c r="A4227" s="201"/>
      <c r="B4227" s="201" t="s">
        <v>4050</v>
      </c>
      <c r="C4227" s="201"/>
      <c r="D4227" s="201"/>
      <c r="E4227" s="201"/>
      <c r="F4227" s="201"/>
      <c r="G4227" s="201" t="s">
        <v>4055</v>
      </c>
      <c r="H4227" s="201"/>
      <c r="I4227" s="58">
        <v>-1630393374</v>
      </c>
      <c r="K4227" s="58">
        <v>0</v>
      </c>
      <c r="L4227" s="201"/>
      <c r="M4227" s="1133"/>
      <c r="N4227" s="1147"/>
      <c r="O4227" s="1146"/>
      <c r="P4227" s="1115"/>
      <c r="V4227" s="1608"/>
      <c r="W4227" s="48"/>
    </row>
    <row r="4228" spans="1:23" ht="15.6" customHeight="1" x14ac:dyDescent="0.2">
      <c r="A4228" s="201"/>
      <c r="B4228" s="201" t="s">
        <v>4051</v>
      </c>
      <c r="C4228" s="201"/>
      <c r="D4228" s="201"/>
      <c r="E4228" s="201"/>
      <c r="F4228" s="201"/>
      <c r="G4228" s="201" t="s">
        <v>4055</v>
      </c>
      <c r="H4228" s="201"/>
      <c r="I4228" s="203">
        <f>SUM(I4226:I4227)</f>
        <v>203747321.5</v>
      </c>
      <c r="K4228" s="203">
        <f>SUM(K4226:K4227)</f>
        <v>0</v>
      </c>
      <c r="L4228" s="201"/>
      <c r="M4228" s="1133"/>
      <c r="N4228" s="1147"/>
      <c r="O4228" s="1146"/>
      <c r="P4228" s="1115"/>
      <c r="V4228" s="1608"/>
      <c r="W4228" s="48"/>
    </row>
    <row r="4229" spans="1:23" ht="15.6" customHeight="1" x14ac:dyDescent="0.2">
      <c r="A4229" s="201"/>
      <c r="B4229" s="201" t="s">
        <v>4056</v>
      </c>
      <c r="C4229" s="201"/>
      <c r="D4229" s="201"/>
      <c r="E4229" s="996">
        <v>0.05</v>
      </c>
      <c r="F4229" s="201"/>
      <c r="G4229" s="201" t="s">
        <v>4055</v>
      </c>
      <c r="H4229" s="201"/>
      <c r="I4229" s="58">
        <f>-I4226*E4229</f>
        <v>-91707034.775000006</v>
      </c>
      <c r="K4229" s="58">
        <f>-K4226*E4229</f>
        <v>0</v>
      </c>
      <c r="L4229" s="201"/>
      <c r="M4229" s="1133"/>
      <c r="N4229" s="1147"/>
      <c r="O4229" s="1146"/>
      <c r="P4229" s="1115"/>
      <c r="V4229" s="1608"/>
      <c r="W4229" s="48"/>
    </row>
    <row r="4230" spans="1:23" ht="15.6" customHeight="1" thickBot="1" x14ac:dyDescent="0.25">
      <c r="A4230" s="201"/>
      <c r="B4230" s="201" t="s">
        <v>4052</v>
      </c>
      <c r="C4230" s="201"/>
      <c r="D4230" s="201"/>
      <c r="E4230" s="201"/>
      <c r="F4230" s="201"/>
      <c r="G4230" s="201" t="s">
        <v>4055</v>
      </c>
      <c r="H4230" s="201"/>
      <c r="I4230" s="2531">
        <f>+I4228+I4229</f>
        <v>112040286.72499999</v>
      </c>
      <c r="K4230" s="2531">
        <f>+K4228+K4229</f>
        <v>0</v>
      </c>
      <c r="L4230" s="201"/>
      <c r="M4230" s="1133"/>
      <c r="N4230" s="1147"/>
      <c r="O4230" s="1146"/>
      <c r="P4230" s="1115"/>
      <c r="V4230" s="1608"/>
      <c r="W4230" s="48"/>
    </row>
    <row r="4231" spans="1:23" ht="15.6" customHeight="1" thickTop="1" x14ac:dyDescent="0.2">
      <c r="A4231" s="201"/>
      <c r="B4231" s="201"/>
      <c r="C4231" s="201"/>
      <c r="D4231" s="201"/>
      <c r="E4231" s="201"/>
      <c r="F4231" s="201"/>
      <c r="G4231" s="201"/>
      <c r="H4231" s="201"/>
      <c r="I4231" s="58"/>
      <c r="K4231" s="58"/>
      <c r="L4231" s="201"/>
      <c r="M4231" s="1133"/>
      <c r="N4231" s="1147"/>
      <c r="O4231" s="1146"/>
      <c r="P4231" s="1115"/>
      <c r="V4231" s="1608"/>
      <c r="W4231" s="48"/>
    </row>
    <row r="4232" spans="1:23" ht="15.6" customHeight="1" x14ac:dyDescent="0.2">
      <c r="A4232" s="201"/>
      <c r="B4232" s="201" t="s">
        <v>4053</v>
      </c>
      <c r="C4232" s="201"/>
      <c r="D4232" s="201"/>
      <c r="E4232" s="201"/>
      <c r="F4232" s="201"/>
      <c r="G4232" s="201"/>
      <c r="H4232" s="201"/>
      <c r="I4232" s="2532">
        <f>+I4230/I4226</f>
        <v>6.108598266201002E-2</v>
      </c>
      <c r="K4232" s="205">
        <v>0</v>
      </c>
      <c r="L4232" s="201"/>
      <c r="M4232" s="1133"/>
      <c r="N4232" s="1147"/>
      <c r="O4232" s="1146"/>
      <c r="P4232" s="1115"/>
      <c r="V4232" s="1608"/>
      <c r="W4232" s="48"/>
    </row>
    <row r="4233" spans="1:23" ht="15.6" customHeight="1" x14ac:dyDescent="0.2">
      <c r="A4233" s="201"/>
      <c r="B4233" s="201"/>
      <c r="C4233" s="201"/>
      <c r="D4233" s="201"/>
      <c r="E4233" s="201"/>
      <c r="F4233" s="201"/>
      <c r="G4233" s="201"/>
      <c r="H4233" s="201"/>
      <c r="I4233" s="58"/>
      <c r="K4233" s="58"/>
      <c r="L4233" s="201"/>
      <c r="M4233" s="1133"/>
      <c r="N4233" s="1147"/>
      <c r="O4233" s="1146"/>
      <c r="P4233" s="1115"/>
      <c r="V4233" s="1608"/>
      <c r="W4233" s="48"/>
    </row>
    <row r="4234" spans="1:23" ht="15.6" customHeight="1" x14ac:dyDescent="0.2">
      <c r="A4234" s="201"/>
      <c r="B4234" s="201" t="s">
        <v>4054</v>
      </c>
      <c r="C4234" s="201"/>
      <c r="D4234" s="201"/>
      <c r="E4234" s="201"/>
      <c r="F4234" s="201"/>
      <c r="G4234" s="201"/>
      <c r="H4234" s="201"/>
      <c r="I4234" s="58">
        <f>I4263</f>
        <v>0</v>
      </c>
      <c r="K4234" s="58">
        <f>K4263</f>
        <v>0</v>
      </c>
      <c r="L4234" s="201"/>
      <c r="M4234" s="1133"/>
      <c r="N4234" s="1147"/>
      <c r="O4234" s="1146"/>
      <c r="P4234" s="1115"/>
      <c r="V4234" s="1608"/>
      <c r="W4234" s="48"/>
    </row>
    <row r="4235" spans="1:23" ht="15.6" customHeight="1" x14ac:dyDescent="0.2">
      <c r="A4235" s="201"/>
      <c r="B4235" s="201"/>
      <c r="C4235" s="201"/>
      <c r="D4235" s="201"/>
      <c r="E4235" s="201"/>
      <c r="F4235" s="201"/>
      <c r="G4235" s="201"/>
      <c r="H4235" s="201"/>
      <c r="I4235" s="58"/>
      <c r="K4235" s="58"/>
      <c r="L4235" s="201"/>
      <c r="M4235" s="1133"/>
      <c r="N4235" s="1147"/>
      <c r="O4235" s="1146"/>
      <c r="P4235" s="1115"/>
      <c r="V4235" s="1608"/>
      <c r="W4235" s="48"/>
    </row>
    <row r="4236" spans="1:23" ht="15.6" customHeight="1" x14ac:dyDescent="0.2">
      <c r="A4236" s="201"/>
      <c r="B4236" s="279" t="s">
        <v>4057</v>
      </c>
      <c r="C4236" s="201"/>
      <c r="D4236" s="201"/>
      <c r="E4236" s="201"/>
      <c r="F4236" s="201"/>
      <c r="G4236" s="201"/>
      <c r="H4236" s="201"/>
      <c r="I4236" s="58"/>
      <c r="K4236" s="58"/>
      <c r="L4236" s="201"/>
      <c r="M4236" s="1133"/>
      <c r="N4236" s="1147"/>
      <c r="O4236" s="1146"/>
      <c r="P4236" s="1115"/>
      <c r="V4236" s="1608"/>
      <c r="W4236" s="48"/>
    </row>
    <row r="4237" spans="1:23" ht="15.6" customHeight="1" x14ac:dyDescent="0.25">
      <c r="A4237" s="201"/>
      <c r="B4237" s="201"/>
      <c r="C4237" s="201"/>
      <c r="D4237" s="201"/>
      <c r="E4237" s="135" t="s">
        <v>218</v>
      </c>
      <c r="F4237" s="49"/>
      <c r="G4237" s="135" t="s">
        <v>4058</v>
      </c>
      <c r="I4237" s="135" t="s">
        <v>4059</v>
      </c>
      <c r="J4237" s="1261"/>
      <c r="K4237" s="135" t="s">
        <v>286</v>
      </c>
      <c r="L4237" s="201"/>
      <c r="M4237" s="1133"/>
      <c r="N4237" s="1147"/>
      <c r="O4237" s="1146"/>
      <c r="P4237" s="1115"/>
      <c r="V4237" s="1608"/>
      <c r="W4237" s="48"/>
    </row>
    <row r="4238" spans="1:23" ht="15.6" customHeight="1" x14ac:dyDescent="0.25">
      <c r="B4238" s="1268" t="str">
        <f>YearEnd</f>
        <v>30 June 2012</v>
      </c>
      <c r="I4238" s="58"/>
      <c r="J4238" s="58"/>
      <c r="K4238" s="58"/>
      <c r="L4238" s="59"/>
      <c r="M4238" s="1133"/>
      <c r="N4238" s="1133"/>
      <c r="O4238" s="1146"/>
      <c r="W4238" s="48"/>
    </row>
    <row r="4239" spans="1:23" ht="15.6" customHeight="1" x14ac:dyDescent="0.2">
      <c r="A4239" s="201"/>
      <c r="B4239" s="201"/>
      <c r="C4239" s="201"/>
      <c r="D4239" s="201"/>
      <c r="E4239" s="201"/>
      <c r="F4239" s="201"/>
      <c r="G4239" s="201"/>
      <c r="H4239" s="201"/>
      <c r="I4239" s="58"/>
      <c r="K4239" s="58"/>
      <c r="L4239" s="201"/>
      <c r="M4239" s="1133"/>
      <c r="N4239" s="1147"/>
      <c r="O4239" s="1146"/>
      <c r="P4239" s="1115"/>
      <c r="V4239" s="1608"/>
      <c r="W4239" s="48"/>
    </row>
    <row r="4240" spans="1:23" ht="15.6" customHeight="1" x14ac:dyDescent="0.2">
      <c r="A4240" s="201"/>
      <c r="B4240" s="201" t="s">
        <v>4060</v>
      </c>
      <c r="C4240" s="201"/>
      <c r="D4240" s="201"/>
      <c r="E4240" s="996">
        <f>SUM(E4241:E4246)</f>
        <v>1</v>
      </c>
      <c r="F4240" s="201"/>
      <c r="G4240" s="201">
        <f>SUM(G4241:G4246)</f>
        <v>112040286.72499999</v>
      </c>
      <c r="H4240" s="201"/>
      <c r="I4240" s="971" t="s">
        <v>4065</v>
      </c>
      <c r="K4240" s="201">
        <f>SUM(K4241:K4246)</f>
        <v>106436681.41667849</v>
      </c>
      <c r="L4240" s="201"/>
      <c r="M4240" s="1133"/>
      <c r="N4240" s="1147"/>
      <c r="O4240" s="1146"/>
      <c r="P4240" s="1115"/>
      <c r="V4240" s="1608"/>
      <c r="W4240" s="48"/>
    </row>
    <row r="4241" spans="1:23" ht="15.6" customHeight="1" x14ac:dyDescent="0.2">
      <c r="A4241" s="201"/>
      <c r="B4241" s="2537" t="s">
        <v>7387</v>
      </c>
      <c r="C4241" s="2535"/>
      <c r="D4241" s="2535"/>
      <c r="E4241" s="2538">
        <v>0.97430000000000005</v>
      </c>
      <c r="F4241" s="2535"/>
      <c r="G4241" s="2535">
        <f>+E4241*$I$4230</f>
        <v>109160851.3561675</v>
      </c>
      <c r="H4241" s="2535"/>
      <c r="I4241" s="2541">
        <v>0.94499999999999995</v>
      </c>
      <c r="J4241" s="250"/>
      <c r="K4241" s="2542">
        <f t="shared" ref="K4241:K4246" si="56">+G4241*I4241</f>
        <v>103157004.53157827</v>
      </c>
      <c r="L4241" s="201"/>
      <c r="M4241" s="1133"/>
      <c r="N4241" s="1147"/>
      <c r="O4241" s="1146"/>
      <c r="P4241" s="1115"/>
      <c r="V4241" s="1608"/>
      <c r="W4241" s="48"/>
    </row>
    <row r="4242" spans="1:23" ht="15.6" customHeight="1" x14ac:dyDescent="0.2">
      <c r="A4242" s="201"/>
      <c r="B4242" s="2539" t="s">
        <v>7388</v>
      </c>
      <c r="C4242" s="2536"/>
      <c r="D4242" s="2536"/>
      <c r="E4242" s="2540">
        <v>2.5700000000000001E-2</v>
      </c>
      <c r="F4242" s="2536"/>
      <c r="G4242" s="2536">
        <f t="shared" ref="G4242:G4246" si="57">+E4242*$I$4230</f>
        <v>2879435.3688324997</v>
      </c>
      <c r="H4242" s="2536"/>
      <c r="I4242" s="2543">
        <v>1.139</v>
      </c>
      <c r="J4242" s="246"/>
      <c r="K4242" s="2544">
        <f t="shared" si="56"/>
        <v>3279676.8851002171</v>
      </c>
      <c r="L4242" s="201"/>
      <c r="M4242" s="1133"/>
      <c r="N4242" s="1147"/>
      <c r="O4242" s="1146"/>
      <c r="P4242" s="1115"/>
      <c r="V4242" s="1608"/>
      <c r="W4242" s="48"/>
    </row>
    <row r="4243" spans="1:23" ht="15.6" hidden="1" customHeight="1" x14ac:dyDescent="0.2">
      <c r="A4243" s="201"/>
      <c r="B4243" s="2190" t="s">
        <v>4061</v>
      </c>
      <c r="C4243" s="2170"/>
      <c r="D4243" s="2170"/>
      <c r="E4243" s="2163">
        <v>0</v>
      </c>
      <c r="F4243" s="2170"/>
      <c r="G4243" s="201">
        <f t="shared" si="57"/>
        <v>0</v>
      </c>
      <c r="H4243" s="2170"/>
      <c r="I4243" s="2191">
        <v>0.35799999999999998</v>
      </c>
      <c r="J4243" s="2060"/>
      <c r="K4243" s="2192">
        <f t="shared" si="56"/>
        <v>0</v>
      </c>
      <c r="L4243" s="201"/>
      <c r="M4243" s="1133"/>
      <c r="N4243" s="1147"/>
      <c r="O4243" s="1146"/>
      <c r="P4243" s="1115"/>
      <c r="V4243" s="1608"/>
      <c r="W4243" s="48"/>
    </row>
    <row r="4244" spans="1:23" ht="15.6" hidden="1" customHeight="1" x14ac:dyDescent="0.2">
      <c r="A4244" s="201"/>
      <c r="B4244" s="2190" t="s">
        <v>4062</v>
      </c>
      <c r="C4244" s="2170"/>
      <c r="D4244" s="2170"/>
      <c r="E4244" s="2163">
        <v>0</v>
      </c>
      <c r="F4244" s="2170"/>
      <c r="G4244" s="201">
        <f t="shared" si="57"/>
        <v>0</v>
      </c>
      <c r="H4244" s="2170"/>
      <c r="I4244" s="2191">
        <v>9.9352499999999996E-2</v>
      </c>
      <c r="J4244" s="2060"/>
      <c r="K4244" s="2192">
        <f t="shared" si="56"/>
        <v>0</v>
      </c>
      <c r="L4244" s="201"/>
      <c r="M4244" s="1133"/>
      <c r="N4244" s="1147"/>
      <c r="O4244" s="1146"/>
      <c r="P4244" s="1115"/>
      <c r="V4244" s="1608"/>
      <c r="W4244" s="48"/>
    </row>
    <row r="4245" spans="1:23" ht="15.6" hidden="1" customHeight="1" x14ac:dyDescent="0.2">
      <c r="A4245" s="201"/>
      <c r="B4245" s="2190" t="s">
        <v>4063</v>
      </c>
      <c r="C4245" s="2170"/>
      <c r="D4245" s="2170"/>
      <c r="E4245" s="2163">
        <v>0</v>
      </c>
      <c r="F4245" s="2170"/>
      <c r="G4245" s="201">
        <f t="shared" si="57"/>
        <v>0</v>
      </c>
      <c r="H4245" s="2170"/>
      <c r="I4245" s="2191">
        <v>0.35749999999999998</v>
      </c>
      <c r="J4245" s="2060"/>
      <c r="K4245" s="2192">
        <f t="shared" si="56"/>
        <v>0</v>
      </c>
      <c r="L4245" s="201"/>
      <c r="M4245" s="1133"/>
      <c r="N4245" s="1147"/>
      <c r="O4245" s="1146"/>
      <c r="P4245" s="1115"/>
      <c r="V4245" s="1608"/>
      <c r="W4245" s="48"/>
    </row>
    <row r="4246" spans="1:23" ht="15.6" hidden="1" customHeight="1" x14ac:dyDescent="0.2">
      <c r="A4246" s="201"/>
      <c r="B4246" s="2193" t="s">
        <v>4064</v>
      </c>
      <c r="C4246" s="2194"/>
      <c r="D4246" s="2194"/>
      <c r="E4246" s="2195">
        <v>0</v>
      </c>
      <c r="F4246" s="2194"/>
      <c r="G4246" s="2536">
        <f t="shared" si="57"/>
        <v>0</v>
      </c>
      <c r="H4246" s="2194"/>
      <c r="I4246" s="2196">
        <v>0.16725000000000001</v>
      </c>
      <c r="J4246" s="2197"/>
      <c r="K4246" s="2198">
        <f t="shared" si="56"/>
        <v>0</v>
      </c>
      <c r="L4246" s="201"/>
      <c r="M4246" s="1133"/>
      <c r="N4246" s="1147"/>
      <c r="O4246" s="1146"/>
      <c r="P4246" s="1115"/>
      <c r="V4246" s="1608"/>
      <c r="W4246" s="48"/>
    </row>
    <row r="4247" spans="1:23" ht="15.6" customHeight="1" x14ac:dyDescent="0.2">
      <c r="A4247" s="201"/>
      <c r="B4247" s="201"/>
      <c r="C4247" s="201"/>
      <c r="D4247" s="201"/>
      <c r="E4247" s="201"/>
      <c r="F4247" s="201"/>
      <c r="G4247" s="201"/>
      <c r="H4247" s="201"/>
      <c r="I4247" s="58"/>
      <c r="K4247" s="58"/>
      <c r="L4247" s="201"/>
      <c r="M4247" s="1133"/>
      <c r="N4247" s="1147"/>
      <c r="O4247" s="1146"/>
      <c r="P4247" s="1115"/>
      <c r="V4247" s="1608"/>
      <c r="W4247" s="48"/>
    </row>
    <row r="4248" spans="1:23" ht="15.6" customHeight="1" x14ac:dyDescent="0.25">
      <c r="B4248" s="1268" t="str">
        <f>PriorYear</f>
        <v>30 June 2011</v>
      </c>
      <c r="I4248" s="58"/>
      <c r="J4248" s="58"/>
      <c r="K4248" s="58"/>
      <c r="L4248" s="59"/>
      <c r="M4248" s="1133"/>
      <c r="N4248" s="1133"/>
      <c r="O4248" s="1146"/>
      <c r="W4248" s="48"/>
    </row>
    <row r="4249" spans="1:23" ht="15.6" customHeight="1" x14ac:dyDescent="0.2">
      <c r="A4249" s="201"/>
      <c r="B4249" s="201"/>
      <c r="C4249" s="201"/>
      <c r="D4249" s="201"/>
      <c r="E4249" s="201"/>
      <c r="F4249" s="201"/>
      <c r="G4249" s="201"/>
      <c r="H4249" s="201"/>
      <c r="I4249" s="58"/>
      <c r="K4249" s="58"/>
      <c r="L4249" s="201"/>
      <c r="M4249" s="1133"/>
      <c r="N4249" s="1147"/>
      <c r="O4249" s="1146"/>
      <c r="P4249" s="1115"/>
      <c r="V4249" s="1608"/>
      <c r="W4249" s="48"/>
    </row>
    <row r="4250" spans="1:23" ht="15.6" customHeight="1" x14ac:dyDescent="0.2">
      <c r="A4250" s="201"/>
      <c r="B4250" s="201" t="s">
        <v>4060</v>
      </c>
      <c r="C4250" s="201"/>
      <c r="D4250" s="201"/>
      <c r="E4250" s="996">
        <f>SUM(E4251:E4256)</f>
        <v>0</v>
      </c>
      <c r="F4250" s="201"/>
      <c r="G4250" s="201">
        <f>SUM(G4251:G4256)</f>
        <v>0</v>
      </c>
      <c r="H4250" s="201"/>
      <c r="I4250" s="971" t="s">
        <v>4065</v>
      </c>
      <c r="K4250" s="201">
        <f>SUM(K4251:K4256)</f>
        <v>0</v>
      </c>
      <c r="L4250" s="201"/>
      <c r="M4250" s="1133"/>
      <c r="N4250" s="1147"/>
      <c r="O4250" s="1146"/>
      <c r="P4250" s="1115"/>
      <c r="V4250" s="1608"/>
      <c r="W4250" s="48"/>
    </row>
    <row r="4251" spans="1:23" ht="15.6" customHeight="1" x14ac:dyDescent="0.2">
      <c r="A4251" s="201"/>
      <c r="B4251" s="2537" t="s">
        <v>7387</v>
      </c>
      <c r="C4251" s="2535"/>
      <c r="D4251" s="2535"/>
      <c r="E4251" s="2538">
        <v>0</v>
      </c>
      <c r="F4251" s="2535"/>
      <c r="G4251" s="2535">
        <f>+E4251*$I$4230</f>
        <v>0</v>
      </c>
      <c r="H4251" s="2535"/>
      <c r="I4251" s="2541">
        <v>0</v>
      </c>
      <c r="J4251" s="250"/>
      <c r="K4251" s="2542">
        <f t="shared" ref="K4251:K4256" si="58">+G4251*I4251</f>
        <v>0</v>
      </c>
      <c r="L4251" s="201"/>
      <c r="M4251" s="1133"/>
      <c r="N4251" s="1147"/>
      <c r="O4251" s="1146"/>
      <c r="P4251" s="1115"/>
      <c r="V4251" s="1608"/>
      <c r="W4251" s="48"/>
    </row>
    <row r="4252" spans="1:23" ht="15.6" customHeight="1" x14ac:dyDescent="0.2">
      <c r="A4252" s="201"/>
      <c r="B4252" s="2539" t="s">
        <v>7388</v>
      </c>
      <c r="C4252" s="2536"/>
      <c r="D4252" s="2536"/>
      <c r="E4252" s="2540">
        <v>0</v>
      </c>
      <c r="F4252" s="2536"/>
      <c r="G4252" s="2536">
        <f t="shared" ref="G4252:G4256" si="59">+E4252*$I$4230</f>
        <v>0</v>
      </c>
      <c r="H4252" s="2536"/>
      <c r="I4252" s="2543">
        <v>0</v>
      </c>
      <c r="J4252" s="246"/>
      <c r="K4252" s="2544">
        <f t="shared" si="58"/>
        <v>0</v>
      </c>
      <c r="L4252" s="201"/>
      <c r="M4252" s="1133"/>
      <c r="N4252" s="1147"/>
      <c r="O4252" s="1146"/>
      <c r="P4252" s="1115"/>
      <c r="V4252" s="1608"/>
      <c r="W4252" s="48"/>
    </row>
    <row r="4253" spans="1:23" ht="15.6" hidden="1" customHeight="1" x14ac:dyDescent="0.2">
      <c r="A4253" s="201"/>
      <c r="B4253" s="2190" t="s">
        <v>4061</v>
      </c>
      <c r="C4253" s="2170"/>
      <c r="D4253" s="2170"/>
      <c r="E4253" s="2163">
        <v>0</v>
      </c>
      <c r="F4253" s="2170"/>
      <c r="G4253" s="2170">
        <f t="shared" si="59"/>
        <v>0</v>
      </c>
      <c r="H4253" s="2170"/>
      <c r="I4253" s="2191">
        <v>0</v>
      </c>
      <c r="J4253" s="2060"/>
      <c r="K4253" s="2192">
        <f t="shared" si="58"/>
        <v>0</v>
      </c>
      <c r="L4253" s="201"/>
      <c r="M4253" s="1133"/>
      <c r="N4253" s="1147"/>
      <c r="O4253" s="1146"/>
      <c r="P4253" s="1115"/>
      <c r="V4253" s="1608"/>
      <c r="W4253" s="48"/>
    </row>
    <row r="4254" spans="1:23" ht="15.6" hidden="1" customHeight="1" x14ac:dyDescent="0.2">
      <c r="A4254" s="201"/>
      <c r="B4254" s="2190" t="s">
        <v>4062</v>
      </c>
      <c r="C4254" s="2170"/>
      <c r="D4254" s="2170"/>
      <c r="E4254" s="2163">
        <v>0</v>
      </c>
      <c r="F4254" s="2170"/>
      <c r="G4254" s="2170">
        <f t="shared" si="59"/>
        <v>0</v>
      </c>
      <c r="H4254" s="2170"/>
      <c r="I4254" s="2191">
        <v>0</v>
      </c>
      <c r="J4254" s="2060"/>
      <c r="K4254" s="2192">
        <f t="shared" si="58"/>
        <v>0</v>
      </c>
      <c r="L4254" s="201"/>
      <c r="M4254" s="1133"/>
      <c r="N4254" s="1147"/>
      <c r="O4254" s="1146"/>
      <c r="P4254" s="1115"/>
      <c r="V4254" s="1608"/>
      <c r="W4254" s="48"/>
    </row>
    <row r="4255" spans="1:23" ht="15.6" hidden="1" customHeight="1" x14ac:dyDescent="0.2">
      <c r="A4255" s="201"/>
      <c r="B4255" s="2190" t="s">
        <v>4063</v>
      </c>
      <c r="C4255" s="2170"/>
      <c r="D4255" s="2170"/>
      <c r="E4255" s="2163">
        <v>0</v>
      </c>
      <c r="F4255" s="2170"/>
      <c r="G4255" s="2170">
        <f t="shared" si="59"/>
        <v>0</v>
      </c>
      <c r="H4255" s="2170"/>
      <c r="I4255" s="2191">
        <v>0</v>
      </c>
      <c r="J4255" s="2060"/>
      <c r="K4255" s="2192">
        <f t="shared" si="58"/>
        <v>0</v>
      </c>
      <c r="L4255" s="201"/>
      <c r="M4255" s="1133"/>
      <c r="N4255" s="1147"/>
      <c r="O4255" s="1146"/>
      <c r="P4255" s="1115"/>
      <c r="V4255" s="1608"/>
      <c r="W4255" s="48"/>
    </row>
    <row r="4256" spans="1:23" ht="15.6" hidden="1" customHeight="1" x14ac:dyDescent="0.2">
      <c r="A4256" s="201"/>
      <c r="B4256" s="2193" t="s">
        <v>4064</v>
      </c>
      <c r="C4256" s="2194"/>
      <c r="D4256" s="2194"/>
      <c r="E4256" s="2195">
        <v>0</v>
      </c>
      <c r="F4256" s="2194"/>
      <c r="G4256" s="2194">
        <f t="shared" si="59"/>
        <v>0</v>
      </c>
      <c r="H4256" s="2194"/>
      <c r="I4256" s="2196">
        <v>0</v>
      </c>
      <c r="J4256" s="2197"/>
      <c r="K4256" s="2198">
        <f t="shared" si="58"/>
        <v>0</v>
      </c>
      <c r="L4256" s="201"/>
      <c r="M4256" s="1133"/>
      <c r="N4256" s="1147"/>
      <c r="O4256" s="1146"/>
      <c r="P4256" s="1115"/>
      <c r="V4256" s="1608"/>
      <c r="W4256" s="48"/>
    </row>
    <row r="4257" spans="1:23" ht="15.6" customHeight="1" x14ac:dyDescent="0.2">
      <c r="A4257" s="201"/>
      <c r="B4257" s="201"/>
      <c r="C4257" s="201"/>
      <c r="D4257" s="201"/>
      <c r="E4257" s="201"/>
      <c r="F4257" s="201"/>
      <c r="G4257" s="201"/>
      <c r="H4257" s="201"/>
      <c r="I4257" s="58"/>
      <c r="K4257" s="58"/>
      <c r="L4257" s="201"/>
      <c r="M4257" s="1133"/>
      <c r="N4257" s="1147"/>
      <c r="O4257" s="1146"/>
      <c r="P4257" s="1115"/>
      <c r="V4257" s="1608"/>
      <c r="W4257" s="48"/>
    </row>
    <row r="4258" spans="1:23" ht="46.5" customHeight="1" x14ac:dyDescent="0.2">
      <c r="B4258" s="2839" t="s">
        <v>7389</v>
      </c>
      <c r="C4258" s="2839"/>
      <c r="D4258" s="2839"/>
      <c r="E4258" s="2839"/>
      <c r="F4258" s="2839"/>
      <c r="G4258" s="2839"/>
      <c r="H4258" s="2839"/>
      <c r="I4258" s="2839"/>
      <c r="J4258" s="2839"/>
      <c r="K4258" s="2839"/>
      <c r="M4258" s="1133"/>
      <c r="N4258" s="1147"/>
      <c r="O4258" s="1146"/>
    </row>
    <row r="4259" spans="1:23" ht="15.6" customHeight="1" x14ac:dyDescent="0.2">
      <c r="A4259" s="201"/>
      <c r="B4259" s="201"/>
      <c r="C4259" s="201"/>
      <c r="D4259" s="201"/>
      <c r="E4259" s="201"/>
      <c r="F4259" s="201"/>
      <c r="G4259" s="201"/>
      <c r="H4259" s="201"/>
      <c r="I4259" s="58"/>
      <c r="K4259" s="58"/>
      <c r="L4259" s="201"/>
      <c r="M4259" s="1133"/>
      <c r="N4259" s="1147"/>
      <c r="O4259" s="1146"/>
      <c r="P4259" s="1115"/>
      <c r="V4259" s="1608"/>
    </row>
    <row r="4260" spans="1:23" ht="15.6" customHeight="1" x14ac:dyDescent="0.25">
      <c r="A4260" s="201"/>
      <c r="B4260" s="275" t="s">
        <v>474</v>
      </c>
      <c r="C4260" s="201"/>
      <c r="D4260" s="201"/>
      <c r="E4260" s="201"/>
      <c r="F4260" s="201"/>
      <c r="G4260" s="201"/>
      <c r="H4260" s="201"/>
      <c r="I4260" s="58"/>
      <c r="K4260" s="58"/>
      <c r="L4260" s="201"/>
      <c r="M4260" s="1133" t="s">
        <v>7331</v>
      </c>
      <c r="N4260" s="1147"/>
      <c r="O4260" s="1146"/>
      <c r="P4260" s="1115"/>
      <c r="V4260" s="1608"/>
    </row>
    <row r="4261" spans="1:23" ht="15.6" customHeight="1" x14ac:dyDescent="0.2">
      <c r="A4261" s="201"/>
      <c r="B4261" s="201"/>
      <c r="C4261" s="201"/>
      <c r="D4261" s="201"/>
      <c r="E4261" s="201"/>
      <c r="F4261" s="201"/>
      <c r="G4261" s="201"/>
      <c r="H4261" s="201"/>
      <c r="I4261" s="58"/>
      <c r="K4261" s="58"/>
      <c r="L4261" s="201"/>
      <c r="M4261" s="1133"/>
      <c r="N4261" s="1147"/>
      <c r="O4261" s="1146"/>
      <c r="P4261" s="1115"/>
      <c r="V4261" s="1608"/>
    </row>
    <row r="4262" spans="1:23" ht="15.6" customHeight="1" x14ac:dyDescent="0.25">
      <c r="A4262" s="201"/>
      <c r="B4262" s="201"/>
      <c r="C4262" s="201"/>
      <c r="D4262" s="201"/>
      <c r="E4262" s="201"/>
      <c r="F4262" s="201"/>
      <c r="G4262" s="135" t="s">
        <v>4058</v>
      </c>
      <c r="I4262" s="135" t="s">
        <v>4059</v>
      </c>
      <c r="J4262" s="1261"/>
      <c r="K4262" s="135" t="s">
        <v>286</v>
      </c>
      <c r="L4262" s="201"/>
      <c r="M4262" s="1133"/>
      <c r="N4262" s="1147"/>
      <c r="O4262" s="1146"/>
      <c r="P4262" s="1115"/>
      <c r="V4262" s="1608"/>
    </row>
    <row r="4263" spans="1:23" ht="15.6" customHeight="1" x14ac:dyDescent="0.2">
      <c r="A4263" s="201"/>
      <c r="B4263" s="201"/>
      <c r="C4263" s="201"/>
      <c r="D4263" s="201"/>
      <c r="E4263" s="201"/>
      <c r="F4263" s="201"/>
      <c r="G4263" s="201"/>
      <c r="H4263" s="201"/>
      <c r="I4263" s="58"/>
      <c r="K4263" s="58"/>
      <c r="L4263" s="201"/>
      <c r="M4263" s="1133"/>
      <c r="N4263" s="1147"/>
      <c r="O4263" s="1146"/>
      <c r="P4263" s="1115"/>
      <c r="V4263" s="1608"/>
    </row>
    <row r="4264" spans="1:23" ht="15.6" customHeight="1" thickBot="1" x14ac:dyDescent="0.3">
      <c r="A4264" s="201"/>
      <c r="B4264" s="1268" t="str">
        <f>YearEnd</f>
        <v>30 June 2012</v>
      </c>
      <c r="C4264" s="201" t="s">
        <v>4066</v>
      </c>
      <c r="D4264" s="201"/>
      <c r="E4264" s="201"/>
      <c r="F4264" s="201"/>
      <c r="G4264" s="2533">
        <v>0</v>
      </c>
      <c r="H4264" s="201"/>
      <c r="I4264" s="2534">
        <v>0</v>
      </c>
      <c r="K4264" s="243">
        <f>+G4264*I4264</f>
        <v>0</v>
      </c>
      <c r="L4264" s="201"/>
      <c r="M4264" s="1133"/>
      <c r="N4264" s="1147"/>
      <c r="O4264" s="1146"/>
      <c r="P4264" s="1115"/>
      <c r="V4264" s="1608"/>
    </row>
    <row r="4265" spans="1:23" ht="15.6" customHeight="1" thickTop="1" x14ac:dyDescent="0.2">
      <c r="A4265" s="201"/>
      <c r="B4265" s="201"/>
      <c r="C4265" s="201"/>
      <c r="D4265" s="201"/>
      <c r="E4265" s="201"/>
      <c r="F4265" s="201"/>
      <c r="G4265" s="201"/>
      <c r="H4265" s="201"/>
      <c r="I4265" s="58"/>
      <c r="K4265" s="58"/>
      <c r="L4265" s="201"/>
      <c r="M4265" s="1133"/>
      <c r="N4265" s="1147"/>
      <c r="O4265" s="1146"/>
      <c r="P4265" s="1115"/>
      <c r="V4265" s="1608"/>
    </row>
    <row r="4266" spans="1:23" ht="15.6" customHeight="1" thickBot="1" x14ac:dyDescent="0.3">
      <c r="A4266" s="201"/>
      <c r="B4266" s="1268" t="str">
        <f>PriorYear</f>
        <v>30 June 2011</v>
      </c>
      <c r="C4266" s="201" t="s">
        <v>4066</v>
      </c>
      <c r="D4266" s="201"/>
      <c r="E4266" s="201"/>
      <c r="F4266" s="201"/>
      <c r="G4266" s="2533">
        <v>0</v>
      </c>
      <c r="H4266" s="201"/>
      <c r="I4266" s="2534">
        <v>0</v>
      </c>
      <c r="K4266" s="243">
        <f>+G4266*I4266</f>
        <v>0</v>
      </c>
      <c r="L4266" s="201"/>
      <c r="M4266" s="1133"/>
      <c r="N4266" s="1147"/>
      <c r="O4266" s="1146"/>
      <c r="P4266" s="1115"/>
      <c r="V4266" s="1608"/>
    </row>
    <row r="4267" spans="1:23" ht="15.6" customHeight="1" thickTop="1" x14ac:dyDescent="0.2">
      <c r="A4267" s="201"/>
      <c r="B4267" s="201"/>
      <c r="C4267" s="201"/>
      <c r="D4267" s="201"/>
      <c r="E4267" s="201"/>
      <c r="F4267" s="201"/>
      <c r="G4267" s="201"/>
      <c r="H4267" s="201"/>
      <c r="I4267" s="58"/>
      <c r="K4267" s="58"/>
      <c r="L4267" s="201"/>
      <c r="M4267" s="1133"/>
      <c r="N4267" s="1147"/>
      <c r="O4267" s="1146"/>
      <c r="P4267" s="1115"/>
      <c r="V4267" s="1608"/>
    </row>
    <row r="4268" spans="1:23" ht="72" customHeight="1" x14ac:dyDescent="0.2">
      <c r="B4268" s="2839" t="s">
        <v>7386</v>
      </c>
      <c r="C4268" s="2839"/>
      <c r="D4268" s="2839"/>
      <c r="E4268" s="2839"/>
      <c r="F4268" s="2839"/>
      <c r="G4268" s="2839"/>
      <c r="H4268" s="2839"/>
      <c r="I4268" s="2839"/>
      <c r="J4268" s="2839"/>
      <c r="K4268" s="2839"/>
      <c r="M4268" s="1133"/>
      <c r="N4268" s="1147"/>
      <c r="O4268" s="1146"/>
    </row>
    <row r="4269" spans="1:23" ht="15.6" customHeight="1" x14ac:dyDescent="0.2">
      <c r="A4269" s="201"/>
      <c r="B4269" s="201"/>
      <c r="C4269" s="201"/>
      <c r="D4269" s="201"/>
      <c r="E4269" s="201"/>
      <c r="F4269" s="201"/>
      <c r="G4269" s="201"/>
      <c r="H4269" s="201"/>
      <c r="I4269" s="58"/>
      <c r="K4269" s="58"/>
      <c r="L4269" s="201"/>
      <c r="M4269" s="1133"/>
      <c r="N4269" s="1147"/>
      <c r="O4269" s="1146"/>
      <c r="P4269" s="1115"/>
      <c r="V4269" s="1608"/>
    </row>
    <row r="4270" spans="1:23" ht="15.6" customHeight="1" x14ac:dyDescent="0.2">
      <c r="A4270" s="201"/>
      <c r="B4270" s="201"/>
      <c r="C4270" s="201"/>
      <c r="D4270" s="201"/>
      <c r="E4270" s="201"/>
      <c r="F4270" s="201"/>
      <c r="G4270" s="201"/>
      <c r="H4270" s="201"/>
      <c r="I4270" s="58"/>
      <c r="K4270" s="58"/>
      <c r="L4270" s="201"/>
      <c r="M4270" s="1133"/>
      <c r="N4270" s="1147"/>
      <c r="O4270" s="1146"/>
      <c r="P4270" s="1115"/>
      <c r="V4270" s="1608"/>
    </row>
    <row r="4271" spans="1:23" ht="15.6" customHeight="1" x14ac:dyDescent="0.25">
      <c r="A4271" s="277">
        <v>45</v>
      </c>
      <c r="B4271" s="275" t="s">
        <v>1150</v>
      </c>
      <c r="C4271" s="275"/>
      <c r="D4271" s="201"/>
      <c r="E4271" s="201"/>
      <c r="F4271" s="201"/>
      <c r="G4271" s="201"/>
      <c r="H4271" s="201"/>
      <c r="I4271" s="58"/>
      <c r="K4271" s="58"/>
      <c r="L4271" s="201"/>
      <c r="M4271" s="1133"/>
      <c r="N4271" s="1147"/>
      <c r="O4271" s="1146"/>
      <c r="P4271" s="1115"/>
      <c r="V4271" s="1608"/>
      <c r="W4271" s="1610" t="s">
        <v>3520</v>
      </c>
    </row>
    <row r="4272" spans="1:23" ht="15.6" customHeight="1" x14ac:dyDescent="0.2">
      <c r="A4272" s="201"/>
      <c r="B4272" s="201"/>
      <c r="C4272" s="201"/>
      <c r="D4272" s="201"/>
      <c r="E4272" s="201"/>
      <c r="F4272" s="201"/>
      <c r="G4272" s="201"/>
      <c r="H4272" s="201"/>
      <c r="I4272" s="58"/>
      <c r="K4272" s="58"/>
      <c r="L4272" s="201"/>
      <c r="M4272" s="1133"/>
      <c r="N4272" s="1147"/>
      <c r="O4272" s="1146"/>
      <c r="P4272" s="1115"/>
      <c r="V4272" s="1608"/>
      <c r="W4272" s="1610"/>
    </row>
    <row r="4273" spans="1:29" ht="15.6" customHeight="1" x14ac:dyDescent="0.25">
      <c r="B4273" s="229" t="s">
        <v>7614</v>
      </c>
      <c r="C4273" s="50"/>
      <c r="I4273" s="58"/>
      <c r="K4273" s="58"/>
      <c r="M4273" s="1217" t="s">
        <v>2447</v>
      </c>
      <c r="N4273" s="1147"/>
      <c r="O4273" s="1146"/>
      <c r="P4273" s="1115"/>
      <c r="V4273" s="1608"/>
      <c r="W4273" s="1610" t="s">
        <v>3857</v>
      </c>
    </row>
    <row r="4274" spans="1:29" ht="15.6" customHeight="1" x14ac:dyDescent="0.2">
      <c r="A4274" s="201"/>
      <c r="B4274" s="201"/>
      <c r="C4274" s="201"/>
      <c r="D4274" s="201"/>
      <c r="E4274" s="201"/>
      <c r="F4274" s="201"/>
      <c r="G4274" s="201"/>
      <c r="H4274" s="201"/>
      <c r="I4274" s="58"/>
      <c r="K4274" s="58"/>
      <c r="L4274" s="201"/>
      <c r="V4274" s="1608"/>
      <c r="W4274" s="1610"/>
    </row>
    <row r="4275" spans="1:29" ht="15.6" hidden="1" customHeight="1" x14ac:dyDescent="0.2">
      <c r="A4275" s="625"/>
      <c r="B4275" s="2854" t="s">
        <v>1694</v>
      </c>
      <c r="C4275" s="2854"/>
      <c r="D4275" s="2854"/>
      <c r="E4275" s="2854"/>
      <c r="F4275" s="2854"/>
      <c r="G4275" s="2854"/>
      <c r="H4275" s="626"/>
      <c r="I4275" s="630"/>
      <c r="J4275" s="286"/>
      <c r="K4275" s="630"/>
      <c r="L4275" s="625"/>
      <c r="O4275" s="1146"/>
      <c r="V4275" s="1608"/>
      <c r="W4275" s="1610"/>
    </row>
    <row r="4276" spans="1:29" ht="15.6" hidden="1" customHeight="1" x14ac:dyDescent="0.2">
      <c r="A4276" s="625"/>
      <c r="B4276" s="625"/>
      <c r="C4276" s="625"/>
      <c r="D4276" s="626"/>
      <c r="E4276" s="625"/>
      <c r="F4276" s="626"/>
      <c r="G4276" s="626"/>
      <c r="H4276" s="626"/>
      <c r="I4276" s="630"/>
      <c r="J4276" s="286"/>
      <c r="K4276" s="630"/>
      <c r="L4276" s="625"/>
      <c r="O4276" s="1146"/>
      <c r="V4276" s="1608"/>
      <c r="W4276" s="1610"/>
    </row>
    <row r="4277" spans="1:29" ht="15.6" customHeight="1" x14ac:dyDescent="0.2">
      <c r="A4277" s="201"/>
      <c r="B4277" s="201" t="s">
        <v>355</v>
      </c>
      <c r="C4277" s="201"/>
      <c r="D4277" s="201"/>
      <c r="E4277" s="201"/>
      <c r="F4277" s="201"/>
      <c r="G4277" s="201"/>
      <c r="H4277" s="201"/>
      <c r="I4277" s="58"/>
      <c r="K4277" s="58"/>
      <c r="L4277" s="201"/>
      <c r="P4277" s="1115"/>
    </row>
    <row r="4278" spans="1:29" s="50" customFormat="1" ht="15.6" customHeight="1" x14ac:dyDescent="0.25">
      <c r="A4278" s="275"/>
      <c r="B4278" s="276" t="s">
        <v>359</v>
      </c>
      <c r="C4278" s="275"/>
      <c r="D4278" s="275"/>
      <c r="E4278" s="275"/>
      <c r="F4278" s="275"/>
      <c r="G4278" s="275"/>
      <c r="H4278" s="275"/>
      <c r="I4278" s="224">
        <f>SUM(I4279:I4284)</f>
        <v>2333908</v>
      </c>
      <c r="J4278" s="251"/>
      <c r="K4278" s="224">
        <f>SUM(K4279:K4284)</f>
        <v>2346453</v>
      </c>
      <c r="L4278" s="275"/>
      <c r="M4278" s="235"/>
      <c r="N4278" s="619"/>
      <c r="O4278" s="282"/>
      <c r="P4278" s="1115"/>
      <c r="Q4278" s="1111"/>
      <c r="R4278" s="1111"/>
      <c r="S4278" s="1111"/>
      <c r="T4278" s="1111"/>
      <c r="U4278" s="1112"/>
      <c r="V4278" s="1133"/>
      <c r="W4278" s="1114"/>
      <c r="X4278" s="48"/>
      <c r="Y4278" s="48"/>
      <c r="Z4278" s="48"/>
      <c r="AA4278" s="48"/>
      <c r="AB4278" s="48"/>
      <c r="AC4278" s="48"/>
    </row>
    <row r="4279" spans="1:29" ht="15.6" customHeight="1" x14ac:dyDescent="0.2">
      <c r="A4279" s="201"/>
      <c r="B4279" s="279" t="s">
        <v>356</v>
      </c>
      <c r="C4279" s="201"/>
      <c r="D4279" s="201"/>
      <c r="E4279" s="201"/>
      <c r="F4279" s="201"/>
      <c r="G4279" s="201"/>
      <c r="H4279" s="201"/>
      <c r="I4279" s="213">
        <f>1282035+1051873</f>
        <v>2333908</v>
      </c>
      <c r="K4279" s="213">
        <v>2346453</v>
      </c>
      <c r="L4279" s="201"/>
      <c r="P4279" s="1115"/>
    </row>
    <row r="4280" spans="1:29" ht="15.6" hidden="1" customHeight="1" x14ac:dyDescent="0.2">
      <c r="A4280" s="201"/>
      <c r="B4280" s="279" t="s">
        <v>357</v>
      </c>
      <c r="C4280" s="201"/>
      <c r="D4280" s="201"/>
      <c r="E4280" s="201"/>
      <c r="F4280" s="201"/>
      <c r="G4280" s="201"/>
      <c r="H4280" s="201"/>
      <c r="I4280" s="2108">
        <v>0</v>
      </c>
      <c r="K4280" s="214">
        <v>0</v>
      </c>
      <c r="L4280" s="201"/>
    </row>
    <row r="4281" spans="1:29" ht="15.6" hidden="1" customHeight="1" x14ac:dyDescent="0.2">
      <c r="A4281" s="201"/>
      <c r="B4281" s="279" t="s">
        <v>360</v>
      </c>
      <c r="C4281" s="201"/>
      <c r="D4281" s="201"/>
      <c r="E4281" s="201"/>
      <c r="F4281" s="201"/>
      <c r="G4281" s="201"/>
      <c r="H4281" s="201"/>
      <c r="I4281" s="2108">
        <v>0</v>
      </c>
      <c r="K4281" s="214">
        <v>0</v>
      </c>
      <c r="L4281" s="201"/>
      <c r="M4281" s="1133"/>
      <c r="N4281" s="1133"/>
      <c r="O4281" s="1146"/>
      <c r="P4281" s="1115"/>
    </row>
    <row r="4282" spans="1:29" ht="15.6" hidden="1" customHeight="1" x14ac:dyDescent="0.2">
      <c r="A4282" s="201"/>
      <c r="B4282" s="279" t="s">
        <v>358</v>
      </c>
      <c r="C4282" s="201"/>
      <c r="D4282" s="201"/>
      <c r="E4282" s="201"/>
      <c r="F4282" s="201"/>
      <c r="G4282" s="201"/>
      <c r="H4282" s="201"/>
      <c r="I4282" s="2108">
        <v>0</v>
      </c>
      <c r="K4282" s="214">
        <v>0</v>
      </c>
      <c r="L4282" s="201"/>
    </row>
    <row r="4283" spans="1:29" ht="15.6" hidden="1" customHeight="1" x14ac:dyDescent="0.2">
      <c r="A4283" s="201"/>
      <c r="B4283" s="279" t="s">
        <v>324</v>
      </c>
      <c r="C4283" s="201"/>
      <c r="D4283" s="201"/>
      <c r="E4283" s="201"/>
      <c r="F4283" s="201"/>
      <c r="G4283" s="201"/>
      <c r="H4283" s="201"/>
      <c r="I4283" s="2108">
        <v>0</v>
      </c>
      <c r="K4283" s="214">
        <v>0</v>
      </c>
      <c r="L4283" s="201"/>
    </row>
    <row r="4284" spans="1:29" ht="15.6" hidden="1" customHeight="1" x14ac:dyDescent="0.2">
      <c r="A4284" s="201"/>
      <c r="B4284" s="279" t="s">
        <v>325</v>
      </c>
      <c r="C4284" s="201"/>
      <c r="D4284" s="201"/>
      <c r="E4284" s="201"/>
      <c r="F4284" s="201"/>
      <c r="G4284" s="201"/>
      <c r="H4284" s="201"/>
      <c r="I4284" s="2044">
        <v>0</v>
      </c>
      <c r="K4284" s="215">
        <v>0</v>
      </c>
      <c r="L4284" s="201"/>
    </row>
    <row r="4285" spans="1:29" ht="15.6" customHeight="1" x14ac:dyDescent="0.2">
      <c r="A4285" s="201"/>
      <c r="B4285" s="201"/>
      <c r="C4285" s="201"/>
      <c r="D4285" s="201"/>
      <c r="E4285" s="201"/>
      <c r="F4285" s="201"/>
      <c r="G4285" s="201"/>
      <c r="H4285" s="201"/>
      <c r="I4285" s="203"/>
      <c r="K4285" s="203"/>
      <c r="L4285" s="201"/>
    </row>
    <row r="4286" spans="1:29" s="50" customFormat="1" ht="15.6" customHeight="1" x14ac:dyDescent="0.25">
      <c r="A4286" s="275"/>
      <c r="B4286" s="276" t="s">
        <v>1552</v>
      </c>
      <c r="C4286" s="275"/>
      <c r="D4286" s="275"/>
      <c r="E4286" s="275"/>
      <c r="F4286" s="275"/>
      <c r="G4286" s="275"/>
      <c r="H4286" s="275"/>
      <c r="I4286" s="224">
        <f>SUM(I4287:I4292)</f>
        <v>42739744</v>
      </c>
      <c r="J4286" s="251"/>
      <c r="K4286" s="224">
        <f>SUM(K4287:K4292)</f>
        <v>12407994</v>
      </c>
      <c r="L4286" s="275"/>
      <c r="M4286" s="235"/>
      <c r="N4286" s="619"/>
      <c r="O4286" s="282"/>
      <c r="P4286" s="1115"/>
      <c r="Q4286" s="1111"/>
      <c r="R4286" s="1111"/>
      <c r="S4286" s="1111"/>
      <c r="T4286" s="1111"/>
      <c r="U4286" s="1112"/>
      <c r="V4286" s="1133"/>
      <c r="W4286" s="1114"/>
      <c r="X4286" s="48"/>
      <c r="Y4286" s="48"/>
      <c r="Z4286" s="48"/>
      <c r="AA4286" s="48"/>
      <c r="AB4286" s="48"/>
      <c r="AC4286" s="48"/>
    </row>
    <row r="4287" spans="1:29" ht="15.6" customHeight="1" x14ac:dyDescent="0.2">
      <c r="A4287" s="201"/>
      <c r="B4287" s="279" t="s">
        <v>356</v>
      </c>
      <c r="C4287" s="201"/>
      <c r="D4287" s="201"/>
      <c r="E4287" s="201"/>
      <c r="F4287" s="201"/>
      <c r="G4287" s="201"/>
      <c r="H4287" s="201"/>
      <c r="I4287" s="213">
        <f>944200+993700+1051150+5671966+5671966+5671966+6045454+3844472+2196563+2196563+4225872+4225872</f>
        <v>42739744</v>
      </c>
      <c r="K4287" s="213">
        <v>12407994</v>
      </c>
      <c r="L4287" s="201"/>
    </row>
    <row r="4288" spans="1:29" ht="15.6" hidden="1" customHeight="1" x14ac:dyDescent="0.2">
      <c r="A4288" s="201"/>
      <c r="B4288" s="279" t="s">
        <v>357</v>
      </c>
      <c r="C4288" s="201"/>
      <c r="D4288" s="201"/>
      <c r="E4288" s="201"/>
      <c r="F4288" s="201"/>
      <c r="G4288" s="201"/>
      <c r="H4288" s="201"/>
      <c r="I4288" s="2108">
        <v>0</v>
      </c>
      <c r="K4288" s="214">
        <v>0</v>
      </c>
      <c r="L4288" s="201"/>
      <c r="M4288" s="1133"/>
      <c r="N4288" s="1133"/>
      <c r="O4288" s="1146"/>
    </row>
    <row r="4289" spans="1:24" ht="15.6" hidden="1" customHeight="1" x14ac:dyDescent="0.2">
      <c r="A4289" s="201"/>
      <c r="B4289" s="279" t="s">
        <v>360</v>
      </c>
      <c r="C4289" s="201"/>
      <c r="D4289" s="201"/>
      <c r="E4289" s="201"/>
      <c r="F4289" s="201"/>
      <c r="G4289" s="201"/>
      <c r="H4289" s="201"/>
      <c r="I4289" s="2108">
        <v>0</v>
      </c>
      <c r="K4289" s="214">
        <v>0</v>
      </c>
      <c r="L4289" s="201"/>
      <c r="M4289" s="1133"/>
      <c r="N4289" s="1133"/>
      <c r="O4289" s="1146"/>
      <c r="P4289" s="1115"/>
    </row>
    <row r="4290" spans="1:24" ht="15.6" hidden="1" customHeight="1" x14ac:dyDescent="0.2">
      <c r="A4290" s="201"/>
      <c r="B4290" s="279" t="s">
        <v>358</v>
      </c>
      <c r="C4290" s="201"/>
      <c r="D4290" s="201"/>
      <c r="E4290" s="201"/>
      <c r="F4290" s="201"/>
      <c r="G4290" s="201"/>
      <c r="H4290" s="201"/>
      <c r="I4290" s="2108">
        <v>0</v>
      </c>
      <c r="K4290" s="214">
        <v>0</v>
      </c>
      <c r="L4290" s="201"/>
      <c r="M4290" s="1133"/>
      <c r="N4290" s="1133"/>
      <c r="O4290" s="1146"/>
      <c r="P4290" s="1115"/>
    </row>
    <row r="4291" spans="1:24" ht="15.6" hidden="1" customHeight="1" x14ac:dyDescent="0.2">
      <c r="A4291" s="201"/>
      <c r="B4291" s="279" t="s">
        <v>324</v>
      </c>
      <c r="C4291" s="201"/>
      <c r="D4291" s="201"/>
      <c r="E4291" s="201"/>
      <c r="F4291" s="201"/>
      <c r="G4291" s="201"/>
      <c r="H4291" s="201"/>
      <c r="I4291" s="2108">
        <v>0</v>
      </c>
      <c r="K4291" s="214">
        <v>0</v>
      </c>
      <c r="L4291" s="201"/>
      <c r="M4291" s="1133"/>
      <c r="N4291" s="1133"/>
      <c r="O4291" s="1146"/>
      <c r="P4291" s="1115"/>
    </row>
    <row r="4292" spans="1:24" ht="15.6" hidden="1" customHeight="1" x14ac:dyDescent="0.2">
      <c r="A4292" s="201"/>
      <c r="B4292" s="279" t="s">
        <v>325</v>
      </c>
      <c r="C4292" s="201"/>
      <c r="D4292" s="201"/>
      <c r="E4292" s="201"/>
      <c r="F4292" s="201"/>
      <c r="G4292" s="201"/>
      <c r="H4292" s="201"/>
      <c r="I4292" s="2044">
        <v>0</v>
      </c>
      <c r="K4292" s="215">
        <v>0</v>
      </c>
      <c r="L4292" s="201"/>
      <c r="M4292" s="1133"/>
      <c r="N4292" s="1133"/>
      <c r="O4292" s="1146"/>
      <c r="P4292" s="1115"/>
    </row>
    <row r="4293" spans="1:24" ht="15.6" customHeight="1" x14ac:dyDescent="0.2">
      <c r="A4293" s="201"/>
      <c r="B4293" s="201"/>
      <c r="C4293" s="201"/>
      <c r="D4293" s="201"/>
      <c r="E4293" s="201"/>
      <c r="F4293" s="201"/>
      <c r="G4293" s="201"/>
      <c r="H4293" s="201"/>
      <c r="I4293" s="216"/>
      <c r="K4293" s="216"/>
      <c r="L4293" s="201"/>
      <c r="M4293" s="1133"/>
      <c r="N4293" s="1133"/>
      <c r="O4293" s="1146"/>
    </row>
    <row r="4294" spans="1:24" ht="15.6" customHeight="1" thickBot="1" x14ac:dyDescent="0.3">
      <c r="A4294" s="201"/>
      <c r="B4294" s="275" t="s">
        <v>361</v>
      </c>
      <c r="C4294" s="201"/>
      <c r="D4294" s="201"/>
      <c r="E4294" s="201"/>
      <c r="F4294" s="201"/>
      <c r="G4294" s="201"/>
      <c r="H4294" s="201"/>
      <c r="I4294" s="204">
        <f>+I4286+I4278</f>
        <v>45073652</v>
      </c>
      <c r="J4294" s="251"/>
      <c r="K4294" s="204">
        <f>+K4286+K4278</f>
        <v>14754447</v>
      </c>
      <c r="L4294" s="201"/>
      <c r="M4294" s="1133"/>
      <c r="N4294" s="1133"/>
      <c r="O4294" s="1146"/>
    </row>
    <row r="4295" spans="1:24" ht="15.6" customHeight="1" thickTop="1" x14ac:dyDescent="0.2">
      <c r="A4295" s="201"/>
      <c r="B4295" s="201"/>
      <c r="C4295" s="201"/>
      <c r="D4295" s="201"/>
      <c r="E4295" s="201"/>
      <c r="F4295" s="201"/>
      <c r="G4295" s="201"/>
      <c r="H4295" s="201"/>
      <c r="I4295" s="58"/>
      <c r="K4295" s="58"/>
      <c r="L4295" s="201"/>
      <c r="M4295" s="1133"/>
      <c r="N4295" s="1133"/>
      <c r="O4295" s="1146"/>
    </row>
    <row r="4296" spans="1:24" ht="15.6" customHeight="1" x14ac:dyDescent="0.2">
      <c r="A4296" s="201"/>
      <c r="B4296" s="201" t="s">
        <v>179</v>
      </c>
      <c r="C4296" s="201"/>
      <c r="D4296" s="201"/>
      <c r="E4296" s="201"/>
      <c r="F4296" s="201"/>
      <c r="G4296" s="201"/>
      <c r="H4296" s="201"/>
      <c r="I4296" s="58"/>
      <c r="K4296" s="58"/>
      <c r="L4296" s="201"/>
      <c r="M4296" s="1133"/>
      <c r="N4296" s="1133"/>
      <c r="O4296" s="1146"/>
    </row>
    <row r="4297" spans="1:24" ht="15.6" hidden="1" customHeight="1" x14ac:dyDescent="0.2">
      <c r="A4297" s="201"/>
      <c r="B4297" s="201" t="s">
        <v>362</v>
      </c>
      <c r="C4297" s="201"/>
      <c r="D4297" s="201"/>
      <c r="E4297" s="201"/>
      <c r="F4297" s="201"/>
      <c r="G4297" s="201"/>
      <c r="H4297" s="201"/>
      <c r="I4297" s="2043">
        <v>0</v>
      </c>
      <c r="K4297" s="58">
        <v>0</v>
      </c>
      <c r="L4297" s="201"/>
      <c r="M4297" s="1133"/>
      <c r="N4297" s="1133"/>
      <c r="O4297" s="1146"/>
    </row>
    <row r="4298" spans="1:24" ht="15.6" hidden="1" customHeight="1" x14ac:dyDescent="0.2">
      <c r="A4298" s="201"/>
      <c r="B4298" s="201" t="s">
        <v>363</v>
      </c>
      <c r="C4298" s="201"/>
      <c r="D4298" s="201"/>
      <c r="E4298" s="201"/>
      <c r="F4298" s="201"/>
      <c r="G4298" s="201"/>
      <c r="H4298" s="201"/>
      <c r="I4298" s="2043">
        <v>0</v>
      </c>
      <c r="K4298" s="58">
        <v>0</v>
      </c>
      <c r="L4298" s="201"/>
      <c r="M4298" s="1133"/>
      <c r="N4298" s="1133"/>
      <c r="O4298" s="1146"/>
    </row>
    <row r="4299" spans="1:24" ht="15.6" customHeight="1" x14ac:dyDescent="0.2">
      <c r="A4299" s="201"/>
      <c r="B4299" s="201" t="s">
        <v>364</v>
      </c>
      <c r="C4299" s="201"/>
      <c r="D4299" s="201"/>
      <c r="E4299" s="201"/>
      <c r="F4299" s="201"/>
      <c r="G4299" s="201"/>
      <c r="H4299" s="201"/>
      <c r="I4299" s="58">
        <f>I4294</f>
        <v>45073652</v>
      </c>
      <c r="K4299" s="58">
        <f>K4294</f>
        <v>14754447</v>
      </c>
      <c r="L4299" s="201"/>
      <c r="M4299" s="1133"/>
      <c r="N4299" s="1133"/>
      <c r="O4299" s="1146"/>
    </row>
    <row r="4300" spans="1:24" ht="15.6" hidden="1" customHeight="1" x14ac:dyDescent="0.2">
      <c r="A4300" s="201"/>
      <c r="B4300" s="201" t="s">
        <v>326</v>
      </c>
      <c r="C4300" s="201"/>
      <c r="D4300" s="201"/>
      <c r="E4300" s="201"/>
      <c r="F4300" s="201"/>
      <c r="G4300" s="201"/>
      <c r="H4300" s="201"/>
      <c r="I4300" s="2043">
        <v>0</v>
      </c>
      <c r="K4300" s="58">
        <v>0</v>
      </c>
      <c r="L4300" s="201"/>
      <c r="M4300" s="1133"/>
      <c r="N4300" s="1133"/>
      <c r="O4300" s="1146"/>
    </row>
    <row r="4301" spans="1:24" ht="15.6" hidden="1" customHeight="1" x14ac:dyDescent="0.2">
      <c r="A4301" s="201"/>
      <c r="B4301" s="201" t="s">
        <v>551</v>
      </c>
      <c r="C4301" s="201"/>
      <c r="D4301" s="201"/>
      <c r="E4301" s="201"/>
      <c r="F4301" s="201"/>
      <c r="G4301" s="201"/>
      <c r="H4301" s="201"/>
      <c r="I4301" s="2043">
        <v>0</v>
      </c>
      <c r="K4301" s="58">
        <v>0</v>
      </c>
      <c r="L4301" s="201"/>
      <c r="M4301" s="1133"/>
      <c r="N4301" s="1133"/>
      <c r="O4301" s="1146"/>
    </row>
    <row r="4302" spans="1:24" ht="15.6" hidden="1" customHeight="1" x14ac:dyDescent="0.2">
      <c r="A4302" s="201"/>
      <c r="B4302" s="201" t="s">
        <v>327</v>
      </c>
      <c r="C4302" s="201"/>
      <c r="D4302" s="201"/>
      <c r="E4302" s="201"/>
      <c r="F4302" s="201"/>
      <c r="G4302" s="201"/>
      <c r="H4302" s="201"/>
      <c r="I4302" s="2043">
        <v>0</v>
      </c>
      <c r="K4302" s="58">
        <v>0</v>
      </c>
      <c r="L4302" s="201"/>
      <c r="M4302" s="1133"/>
      <c r="N4302" s="1133"/>
      <c r="O4302" s="1146"/>
    </row>
    <row r="4303" spans="1:24" ht="15.6" customHeight="1" x14ac:dyDescent="0.2">
      <c r="A4303" s="201"/>
      <c r="B4303" s="201"/>
      <c r="C4303" s="201"/>
      <c r="D4303" s="201"/>
      <c r="E4303" s="201"/>
      <c r="F4303" s="201"/>
      <c r="G4303" s="201"/>
      <c r="H4303" s="201"/>
      <c r="I4303" s="58"/>
      <c r="K4303" s="58"/>
      <c r="L4303" s="201"/>
      <c r="M4303" s="1133"/>
      <c r="N4303" s="1133"/>
      <c r="O4303" s="1146"/>
      <c r="V4303" s="1608"/>
      <c r="W4303" s="1610"/>
      <c r="X4303" s="54"/>
    </row>
    <row r="4304" spans="1:24" ht="15.6" customHeight="1" thickBot="1" x14ac:dyDescent="0.3">
      <c r="A4304" s="201"/>
      <c r="B4304" s="201"/>
      <c r="C4304" s="201"/>
      <c r="D4304" s="201"/>
      <c r="E4304" s="201"/>
      <c r="F4304" s="201"/>
      <c r="G4304" s="201"/>
      <c r="H4304" s="201"/>
      <c r="I4304" s="204">
        <f>SUM(I4297:I4303)</f>
        <v>45073652</v>
      </c>
      <c r="K4304" s="204">
        <f>SUM(K4297:K4303)</f>
        <v>14754447</v>
      </c>
      <c r="L4304" s="201"/>
      <c r="M4304" s="1133"/>
      <c r="N4304" s="1133"/>
      <c r="O4304" s="1146"/>
      <c r="V4304" s="1608"/>
      <c r="W4304" s="1610"/>
      <c r="X4304" s="54"/>
    </row>
    <row r="4305" spans="1:24" ht="15.6" customHeight="1" thickTop="1" x14ac:dyDescent="0.2">
      <c r="A4305" s="201"/>
      <c r="B4305" s="201"/>
      <c r="C4305" s="201"/>
      <c r="D4305" s="201"/>
      <c r="E4305" s="201"/>
      <c r="F4305" s="201"/>
      <c r="G4305" s="201"/>
      <c r="H4305" s="201"/>
      <c r="I4305" s="265">
        <f>I4304-I4294</f>
        <v>0</v>
      </c>
      <c r="K4305" s="265">
        <f>K4304-K4294</f>
        <v>0</v>
      </c>
      <c r="L4305" s="201"/>
      <c r="V4305" s="1608"/>
      <c r="W4305" s="1610"/>
      <c r="X4305" s="54"/>
    </row>
    <row r="4306" spans="1:24" ht="30.95" hidden="1" customHeight="1" x14ac:dyDescent="0.2">
      <c r="A4306" s="781"/>
      <c r="B4306" s="2899" t="s">
        <v>1151</v>
      </c>
      <c r="C4306" s="2899"/>
      <c r="D4306" s="2899"/>
      <c r="E4306" s="2899"/>
      <c r="F4306" s="2899"/>
      <c r="G4306" s="2899"/>
      <c r="H4306" s="781"/>
      <c r="I4306" s="779"/>
      <c r="J4306" s="775"/>
      <c r="K4306" s="779"/>
      <c r="L4306" s="781"/>
      <c r="M4306" s="1213" t="s">
        <v>1152</v>
      </c>
      <c r="N4306" s="1147"/>
      <c r="O4306" s="1146"/>
    </row>
    <row r="4307" spans="1:24" ht="15.6" hidden="1" customHeight="1" x14ac:dyDescent="0.2">
      <c r="A4307" s="781"/>
      <c r="B4307" s="781"/>
      <c r="C4307" s="781"/>
      <c r="D4307" s="781"/>
      <c r="E4307" s="781"/>
      <c r="F4307" s="781"/>
      <c r="G4307" s="781"/>
      <c r="H4307" s="781"/>
      <c r="I4307" s="779"/>
      <c r="J4307" s="775"/>
      <c r="K4307" s="779"/>
      <c r="L4307" s="781"/>
      <c r="M4307" s="1133"/>
      <c r="N4307" s="1147"/>
      <c r="O4307" s="1146"/>
    </row>
    <row r="4308" spans="1:24" ht="15.6" hidden="1" customHeight="1" thickBot="1" x14ac:dyDescent="0.3">
      <c r="A4308" s="767"/>
      <c r="B4308" s="767" t="s">
        <v>1153</v>
      </c>
      <c r="C4308" s="774"/>
      <c r="D4308" s="769"/>
      <c r="E4308" s="767"/>
      <c r="F4308" s="769"/>
      <c r="G4308" s="769"/>
      <c r="H4308" s="769"/>
      <c r="I4308" s="1627">
        <v>98300</v>
      </c>
      <c r="J4308" s="779"/>
      <c r="K4308" s="1627">
        <v>19250</v>
      </c>
      <c r="L4308" s="767"/>
      <c r="M4308" s="1133"/>
      <c r="N4308" s="1147"/>
      <c r="O4308" s="1596"/>
    </row>
    <row r="4309" spans="1:24" ht="15.6" hidden="1" customHeight="1" thickTop="1" x14ac:dyDescent="0.2">
      <c r="A4309" s="767"/>
      <c r="B4309" s="767"/>
      <c r="C4309" s="767"/>
      <c r="D4309" s="769"/>
      <c r="E4309" s="767"/>
      <c r="F4309" s="769"/>
      <c r="G4309" s="769"/>
      <c r="H4309" s="769"/>
      <c r="I4309" s="1540"/>
      <c r="J4309" s="1543"/>
      <c r="K4309" s="1540"/>
      <c r="L4309" s="767"/>
      <c r="M4309" s="1133"/>
      <c r="N4309" s="1147"/>
      <c r="O4309" s="1596"/>
    </row>
    <row r="4310" spans="1:24" ht="15.6" customHeight="1" x14ac:dyDescent="0.25">
      <c r="B4310" s="229" t="s">
        <v>7615</v>
      </c>
      <c r="C4310" s="50"/>
      <c r="I4310" s="58"/>
      <c r="K4310" s="58"/>
      <c r="M4310" s="1133"/>
      <c r="N4310" s="1147"/>
      <c r="O4310" s="1146"/>
      <c r="W4310" s="1610" t="s">
        <v>3857</v>
      </c>
      <c r="X4310" s="54"/>
    </row>
    <row r="4311" spans="1:24" ht="15.6" customHeight="1" x14ac:dyDescent="0.2">
      <c r="A4311" s="201"/>
      <c r="B4311" s="201"/>
      <c r="C4311" s="201"/>
      <c r="D4311" s="201"/>
      <c r="E4311" s="201"/>
      <c r="F4311" s="201"/>
      <c r="G4311" s="201"/>
      <c r="H4311" s="201"/>
      <c r="I4311" s="58"/>
      <c r="K4311" s="58"/>
      <c r="L4311" s="201"/>
      <c r="M4311" s="1133"/>
      <c r="N4311" s="1147"/>
      <c r="O4311" s="1146"/>
      <c r="X4311" s="54"/>
    </row>
    <row r="4312" spans="1:24" ht="15.6" customHeight="1" x14ac:dyDescent="0.2">
      <c r="A4312" s="201"/>
      <c r="B4312" s="2861" t="s">
        <v>7325</v>
      </c>
      <c r="C4312" s="2861"/>
      <c r="D4312" s="2861"/>
      <c r="E4312" s="2861"/>
      <c r="F4312" s="2861"/>
      <c r="G4312" s="2861"/>
      <c r="H4312" s="2861"/>
      <c r="I4312" s="2861"/>
      <c r="J4312" s="2861"/>
      <c r="K4312" s="2861"/>
      <c r="L4312" s="201"/>
      <c r="M4312" s="1213" t="s">
        <v>1152</v>
      </c>
      <c r="N4312" s="1147"/>
      <c r="O4312" s="1146"/>
      <c r="X4312" s="54"/>
    </row>
    <row r="4313" spans="1:24" ht="15.6" hidden="1" customHeight="1" x14ac:dyDescent="0.2">
      <c r="A4313" s="201"/>
      <c r="B4313" s="2861" t="str">
        <f>"Non-cancellable Operating Lease Commitments are disclosed in Note "&amp;'AFS Structure'!C48&amp;"."</f>
        <v>Non-cancellable Operating Lease Commitments are disclosed in Note 25.</v>
      </c>
      <c r="C4313" s="2861"/>
      <c r="D4313" s="2861"/>
      <c r="E4313" s="2861"/>
      <c r="F4313" s="2861"/>
      <c r="G4313" s="2861"/>
      <c r="H4313" s="2861"/>
      <c r="I4313" s="2861"/>
      <c r="J4313" s="2861"/>
      <c r="K4313" s="2861"/>
      <c r="L4313" s="201"/>
      <c r="M4313" s="1213" t="s">
        <v>1152</v>
      </c>
      <c r="N4313" s="1147"/>
      <c r="O4313" s="1133"/>
    </row>
    <row r="4314" spans="1:24" ht="15.6" customHeight="1" x14ac:dyDescent="0.2">
      <c r="A4314" s="201"/>
      <c r="B4314" s="201"/>
      <c r="C4314" s="201"/>
      <c r="D4314" s="201"/>
      <c r="E4314" s="201"/>
      <c r="F4314" s="201"/>
      <c r="G4314" s="201"/>
      <c r="H4314" s="201"/>
      <c r="I4314" s="58"/>
      <c r="K4314" s="58"/>
      <c r="L4314" s="201"/>
      <c r="M4314" s="1133"/>
      <c r="N4314" s="1147"/>
      <c r="O4314" s="1146"/>
      <c r="X4314" s="54"/>
    </row>
    <row r="4315" spans="1:24" ht="15.6" hidden="1" customHeight="1" x14ac:dyDescent="0.25">
      <c r="B4315" s="229" t="s">
        <v>7616</v>
      </c>
      <c r="C4315" s="50"/>
      <c r="I4315" s="58"/>
      <c r="K4315" s="58"/>
      <c r="M4315" s="1133"/>
      <c r="N4315" s="1147"/>
      <c r="O4315" s="1146"/>
      <c r="V4315" s="234"/>
      <c r="W4315" s="1114" t="s">
        <v>3857</v>
      </c>
      <c r="X4315" s="54"/>
    </row>
    <row r="4316" spans="1:24" ht="15.6" hidden="1" customHeight="1" x14ac:dyDescent="0.2">
      <c r="A4316" s="201"/>
      <c r="B4316" s="201"/>
      <c r="C4316" s="201"/>
      <c r="D4316" s="201"/>
      <c r="E4316" s="201"/>
      <c r="F4316" s="201"/>
      <c r="G4316" s="201"/>
      <c r="H4316" s="201"/>
      <c r="I4316" s="58"/>
      <c r="K4316" s="58"/>
      <c r="L4316" s="201"/>
      <c r="M4316" s="1133"/>
      <c r="N4316" s="1147"/>
      <c r="O4316" s="1146"/>
      <c r="X4316" s="54"/>
    </row>
    <row r="4317" spans="1:24" ht="30.95" hidden="1" customHeight="1" x14ac:dyDescent="0.2">
      <c r="B4317" s="2865" t="s">
        <v>2600</v>
      </c>
      <c r="C4317" s="2865"/>
      <c r="D4317" s="2865"/>
      <c r="E4317" s="2865"/>
      <c r="F4317" s="2865"/>
      <c r="G4317" s="2865"/>
      <c r="H4317" s="2865"/>
      <c r="I4317" s="2865"/>
      <c r="J4317" s="2865"/>
      <c r="K4317" s="2865"/>
      <c r="M4317" s="1244" t="s">
        <v>2000</v>
      </c>
      <c r="N4317" s="1147"/>
      <c r="O4317" s="1146"/>
      <c r="X4317" s="54"/>
    </row>
    <row r="4318" spans="1:24" ht="15.6" hidden="1" customHeight="1" x14ac:dyDescent="0.2">
      <c r="A4318" s="201"/>
      <c r="B4318" s="201"/>
      <c r="C4318" s="201"/>
      <c r="D4318" s="201"/>
      <c r="E4318" s="201"/>
      <c r="F4318" s="201"/>
      <c r="G4318" s="201"/>
      <c r="H4318" s="201"/>
      <c r="I4318" s="58"/>
      <c r="K4318" s="58"/>
      <c r="L4318" s="201"/>
      <c r="M4318" s="1133"/>
      <c r="N4318" s="1147"/>
      <c r="O4318" s="1146"/>
      <c r="X4318" s="54"/>
    </row>
    <row r="4319" spans="1:24" ht="30.95" hidden="1" customHeight="1" x14ac:dyDescent="0.2">
      <c r="B4319" s="2865" t="s">
        <v>2601</v>
      </c>
      <c r="C4319" s="2865"/>
      <c r="D4319" s="2865"/>
      <c r="E4319" s="2865"/>
      <c r="F4319" s="2865"/>
      <c r="G4319" s="2865"/>
      <c r="H4319" s="2865"/>
      <c r="I4319" s="2865"/>
      <c r="J4319" s="2865"/>
      <c r="K4319" s="2865"/>
      <c r="M4319" s="1244" t="s">
        <v>2000</v>
      </c>
      <c r="N4319" s="1147"/>
      <c r="O4319" s="1146"/>
      <c r="X4319" s="54"/>
    </row>
    <row r="4320" spans="1:24" ht="15.6" hidden="1" customHeight="1" x14ac:dyDescent="0.2">
      <c r="A4320" s="201"/>
      <c r="B4320" s="201"/>
      <c r="C4320" s="201"/>
      <c r="D4320" s="201"/>
      <c r="E4320" s="201"/>
      <c r="F4320" s="201"/>
      <c r="G4320" s="201"/>
      <c r="H4320" s="201"/>
      <c r="I4320" s="58"/>
      <c r="K4320" s="58"/>
      <c r="L4320" s="201"/>
      <c r="M4320" s="1133"/>
      <c r="N4320" s="1147"/>
      <c r="O4320" s="1146"/>
      <c r="X4320" s="54"/>
    </row>
    <row r="4321" spans="1:24" ht="30.95" hidden="1" customHeight="1" x14ac:dyDescent="0.2">
      <c r="B4321" s="2865" t="s">
        <v>1372</v>
      </c>
      <c r="C4321" s="2865"/>
      <c r="D4321" s="2865"/>
      <c r="E4321" s="2865"/>
      <c r="F4321" s="2865"/>
      <c r="G4321" s="2865"/>
      <c r="H4321" s="2865"/>
      <c r="I4321" s="2865"/>
      <c r="J4321" s="2865"/>
      <c r="K4321" s="2865"/>
      <c r="M4321" s="1244" t="s">
        <v>2000</v>
      </c>
      <c r="N4321" s="1147"/>
      <c r="O4321" s="1146"/>
      <c r="X4321" s="54"/>
    </row>
    <row r="4322" spans="1:24" ht="15.6" hidden="1" customHeight="1" x14ac:dyDescent="0.2">
      <c r="A4322" s="201"/>
      <c r="B4322" s="201"/>
      <c r="C4322" s="201"/>
      <c r="D4322" s="201"/>
      <c r="E4322" s="201"/>
      <c r="F4322" s="201"/>
      <c r="G4322" s="201"/>
      <c r="H4322" s="201"/>
      <c r="I4322" s="58"/>
      <c r="K4322" s="58"/>
      <c r="L4322" s="201"/>
      <c r="M4322" s="1133"/>
      <c r="N4322" s="1147"/>
      <c r="O4322" s="1146"/>
    </row>
    <row r="4323" spans="1:24" ht="30.95" hidden="1" customHeight="1" x14ac:dyDescent="0.2">
      <c r="B4323" s="2865" t="s">
        <v>1373</v>
      </c>
      <c r="C4323" s="2865"/>
      <c r="D4323" s="2865"/>
      <c r="E4323" s="2865"/>
      <c r="F4323" s="2865"/>
      <c r="G4323" s="2865"/>
      <c r="H4323" s="2865"/>
      <c r="I4323" s="2865"/>
      <c r="J4323" s="2865"/>
      <c r="K4323" s="2865"/>
      <c r="M4323" s="1244" t="s">
        <v>2000</v>
      </c>
      <c r="N4323" s="1147"/>
      <c r="O4323" s="1146"/>
      <c r="X4323" s="54"/>
    </row>
    <row r="4324" spans="1:24" ht="15.6" hidden="1" customHeight="1" x14ac:dyDescent="0.2">
      <c r="A4324" s="201"/>
      <c r="B4324" s="201"/>
      <c r="C4324" s="201"/>
      <c r="D4324" s="201"/>
      <c r="E4324" s="201"/>
      <c r="F4324" s="201"/>
      <c r="G4324" s="201"/>
      <c r="H4324" s="201"/>
      <c r="I4324" s="58"/>
      <c r="K4324" s="58"/>
      <c r="L4324" s="201"/>
      <c r="M4324" s="1133"/>
      <c r="N4324" s="1147"/>
      <c r="O4324" s="1146"/>
    </row>
    <row r="4325" spans="1:24" ht="30.95" hidden="1" customHeight="1" x14ac:dyDescent="0.2">
      <c r="B4325" s="2865" t="s">
        <v>1154</v>
      </c>
      <c r="C4325" s="2865"/>
      <c r="D4325" s="2865"/>
      <c r="E4325" s="2865"/>
      <c r="F4325" s="2865"/>
      <c r="G4325" s="2865"/>
      <c r="H4325" s="2865"/>
      <c r="I4325" s="2865"/>
      <c r="J4325" s="2865"/>
      <c r="K4325" s="2865"/>
      <c r="M4325" s="1244" t="s">
        <v>2000</v>
      </c>
      <c r="N4325" s="1147"/>
      <c r="O4325" s="1146"/>
      <c r="X4325" s="54"/>
    </row>
    <row r="4326" spans="1:24" ht="15.6" hidden="1" customHeight="1" x14ac:dyDescent="0.2">
      <c r="A4326" s="201"/>
      <c r="B4326" s="201"/>
      <c r="C4326" s="201"/>
      <c r="D4326" s="201"/>
      <c r="E4326" s="201"/>
      <c r="F4326" s="201"/>
      <c r="G4326" s="201"/>
      <c r="H4326" s="201"/>
      <c r="I4326" s="58"/>
      <c r="K4326" s="58"/>
      <c r="L4326" s="201"/>
      <c r="M4326" s="1133"/>
      <c r="N4326" s="1147"/>
      <c r="O4326" s="1146"/>
    </row>
    <row r="4327" spans="1:24" ht="15.6" hidden="1" customHeight="1" x14ac:dyDescent="0.25">
      <c r="D4327" s="48"/>
      <c r="F4327" s="48"/>
      <c r="G4327" s="48"/>
      <c r="H4327" s="48"/>
      <c r="I4327" s="58"/>
      <c r="J4327" s="200"/>
      <c r="K4327" s="58"/>
      <c r="M4327" s="1133"/>
      <c r="N4327" s="1147"/>
      <c r="O4327" s="1146"/>
    </row>
    <row r="4328" spans="1:24" ht="15.6" customHeight="1" x14ac:dyDescent="0.25">
      <c r="A4328" s="277">
        <v>46</v>
      </c>
      <c r="B4328" s="275" t="s">
        <v>495</v>
      </c>
      <c r="C4328" s="201"/>
      <c r="D4328" s="201"/>
      <c r="E4328" s="201"/>
      <c r="F4328" s="201"/>
      <c r="G4328" s="201"/>
      <c r="H4328" s="201"/>
      <c r="I4328" s="58"/>
      <c r="K4328" s="58"/>
      <c r="L4328" s="201"/>
      <c r="M4328" s="231"/>
      <c r="N4328" s="231"/>
      <c r="O4328" s="284"/>
      <c r="V4328" s="48"/>
      <c r="W4328" s="1128" t="s">
        <v>3520</v>
      </c>
      <c r="X4328" s="54"/>
    </row>
    <row r="4329" spans="1:24" ht="15.6" customHeight="1" x14ac:dyDescent="0.25">
      <c r="A4329" s="201"/>
      <c r="B4329" s="201"/>
      <c r="C4329" s="201"/>
      <c r="D4329" s="201"/>
      <c r="E4329" s="201"/>
      <c r="F4329" s="201"/>
      <c r="G4329" s="201"/>
      <c r="H4329" s="201"/>
      <c r="I4329" s="58"/>
      <c r="K4329" s="58"/>
      <c r="L4329" s="201"/>
      <c r="M4329" s="231"/>
      <c r="N4329" s="231"/>
      <c r="O4329" s="284"/>
      <c r="V4329" s="48"/>
      <c r="W4329" s="1128"/>
      <c r="X4329" s="54"/>
    </row>
    <row r="4330" spans="1:24" s="1674" customFormat="1" ht="15.6" customHeight="1" x14ac:dyDescent="0.25">
      <c r="B4330" s="1686" t="s">
        <v>7617</v>
      </c>
      <c r="C4330" s="1677"/>
      <c r="D4330" s="1678"/>
      <c r="F4330" s="1678"/>
      <c r="G4330" s="1678"/>
      <c r="H4330" s="1678"/>
      <c r="I4330" s="58"/>
      <c r="J4330" s="1679"/>
      <c r="K4330" s="58"/>
      <c r="M4330" s="1687" t="s">
        <v>4068</v>
      </c>
      <c r="N4330" s="1669"/>
      <c r="O4330" s="1685"/>
      <c r="P4330" s="1671"/>
      <c r="Q4330" s="1672"/>
      <c r="R4330" s="1672"/>
      <c r="S4330" s="1672"/>
      <c r="T4330" s="1672"/>
      <c r="U4330" s="1673"/>
      <c r="W4330" s="1675" t="s">
        <v>3857</v>
      </c>
    </row>
    <row r="4331" spans="1:24" s="1674" customFormat="1" ht="15.6" hidden="1" customHeight="1" x14ac:dyDescent="0.25">
      <c r="A4331" s="1688"/>
      <c r="B4331" s="2947" t="s">
        <v>4069</v>
      </c>
      <c r="C4331" s="2948"/>
      <c r="D4331" s="2948"/>
      <c r="E4331" s="2948"/>
      <c r="F4331" s="2948"/>
      <c r="G4331" s="2948"/>
      <c r="H4331" s="2948"/>
      <c r="I4331" s="2948"/>
      <c r="J4331" s="2948"/>
      <c r="K4331" s="2948"/>
      <c r="L4331" s="1689"/>
      <c r="M4331" s="1690"/>
      <c r="N4331" s="1690"/>
      <c r="O4331" s="1690"/>
      <c r="P4331" s="1691"/>
      <c r="Q4331" s="1692"/>
      <c r="R4331" s="1691"/>
      <c r="S4331" s="1692"/>
      <c r="T4331" s="1693"/>
      <c r="U4331" s="1694"/>
      <c r="W4331" s="1675"/>
    </row>
    <row r="4332" spans="1:24" s="1674" customFormat="1" ht="15.6" customHeight="1" x14ac:dyDescent="0.25">
      <c r="D4332" s="1678"/>
      <c r="F4332" s="1678"/>
      <c r="G4332" s="1678"/>
      <c r="H4332" s="1678"/>
      <c r="I4332" s="58"/>
      <c r="J4332" s="1682"/>
      <c r="K4332" s="58"/>
      <c r="M4332" s="1690"/>
      <c r="N4332" s="1669"/>
      <c r="O4332" s="1685"/>
      <c r="P4332" s="1695"/>
      <c r="Q4332" s="1672"/>
      <c r="R4332" s="1672"/>
      <c r="S4332" s="1672"/>
      <c r="T4332" s="1672"/>
      <c r="U4332" s="1673"/>
      <c r="W4332" s="1675"/>
    </row>
    <row r="4333" spans="1:24" s="1674" customFormat="1" ht="15.6" customHeight="1" x14ac:dyDescent="0.25">
      <c r="B4333" s="1677" t="s">
        <v>1155</v>
      </c>
      <c r="D4333" s="1678"/>
      <c r="F4333" s="1678"/>
      <c r="G4333" s="1678"/>
      <c r="H4333" s="1678"/>
      <c r="I4333" s="58"/>
      <c r="J4333" s="1682"/>
      <c r="K4333" s="58"/>
      <c r="M4333" s="1690"/>
      <c r="N4333" s="1669"/>
      <c r="O4333" s="1685"/>
      <c r="P4333" s="1695"/>
      <c r="Q4333" s="1672"/>
      <c r="R4333" s="1672"/>
      <c r="S4333" s="1672"/>
      <c r="T4333" s="1672"/>
      <c r="U4333" s="1673"/>
      <c r="W4333" s="1675"/>
    </row>
    <row r="4334" spans="1:24" s="1674" customFormat="1" ht="30.95" customHeight="1" x14ac:dyDescent="0.25">
      <c r="A4334" s="1684"/>
      <c r="B4334" s="2949" t="s">
        <v>2454</v>
      </c>
      <c r="C4334" s="2949"/>
      <c r="D4334" s="2949"/>
      <c r="E4334" s="2949"/>
      <c r="F4334" s="2949"/>
      <c r="G4334" s="2949"/>
      <c r="H4334" s="1684"/>
      <c r="I4334" s="58"/>
      <c r="J4334" s="1679"/>
      <c r="K4334" s="58"/>
      <c r="L4334" s="1684"/>
      <c r="M4334" s="1669"/>
      <c r="N4334" s="1669"/>
      <c r="O4334" s="1685"/>
      <c r="P4334" s="1671"/>
      <c r="Q4334" s="1672"/>
      <c r="R4334" s="1672"/>
      <c r="S4334" s="1672"/>
      <c r="T4334" s="1672"/>
      <c r="U4334" s="1673"/>
      <c r="W4334" s="1675"/>
    </row>
    <row r="4335" spans="1:24" s="1674" customFormat="1" ht="15.6" customHeight="1" x14ac:dyDescent="0.25">
      <c r="D4335" s="1678"/>
      <c r="F4335" s="1678"/>
      <c r="G4335" s="1678"/>
      <c r="H4335" s="1678"/>
      <c r="I4335" s="58"/>
      <c r="J4335" s="1682"/>
      <c r="K4335" s="58"/>
      <c r="M4335" s="1669"/>
      <c r="N4335" s="1669"/>
      <c r="O4335" s="1685"/>
      <c r="P4335" s="1671"/>
      <c r="Q4335" s="1672"/>
      <c r="R4335" s="1672"/>
      <c r="S4335" s="1672"/>
      <c r="T4335" s="1672"/>
      <c r="U4335" s="1673"/>
      <c r="W4335" s="1675"/>
    </row>
    <row r="4336" spans="1:24" s="1674" customFormat="1" ht="15.6" customHeight="1" x14ac:dyDescent="0.25">
      <c r="B4336" s="2950" t="s">
        <v>496</v>
      </c>
      <c r="C4336" s="2950"/>
      <c r="D4336" s="1678"/>
      <c r="E4336" s="2950" t="s">
        <v>497</v>
      </c>
      <c r="F4336" s="2950"/>
      <c r="G4336" s="2950"/>
      <c r="H4336" s="1678"/>
      <c r="I4336" s="58"/>
      <c r="J4336" s="1682"/>
      <c r="K4336" s="58"/>
      <c r="M4336" s="1669"/>
      <c r="N4336" s="1669"/>
      <c r="O4336" s="1685"/>
      <c r="P4336" s="1671"/>
      <c r="Q4336" s="1672"/>
      <c r="R4336" s="1672"/>
      <c r="S4336" s="1672"/>
      <c r="T4336" s="1672"/>
      <c r="U4336" s="1673"/>
      <c r="W4336" s="1675"/>
    </row>
    <row r="4337" spans="2:24" s="1674" customFormat="1" ht="15.6" customHeight="1" x14ac:dyDescent="0.25">
      <c r="D4337" s="1678"/>
      <c r="F4337" s="1678"/>
      <c r="G4337" s="1678"/>
      <c r="H4337" s="1678"/>
      <c r="I4337" s="58"/>
      <c r="J4337" s="1682"/>
      <c r="K4337" s="58"/>
      <c r="M4337" s="1669"/>
      <c r="N4337" s="1669"/>
      <c r="O4337" s="1685"/>
      <c r="P4337" s="1671"/>
      <c r="Q4337" s="1672"/>
      <c r="R4337" s="1672"/>
      <c r="S4337" s="1672"/>
      <c r="T4337" s="1672"/>
      <c r="U4337" s="1673"/>
      <c r="W4337" s="1675"/>
    </row>
    <row r="4338" spans="2:24" s="1674" customFormat="1" ht="15.6" customHeight="1" x14ac:dyDescent="0.25">
      <c r="B4338" s="1677" t="s">
        <v>1450</v>
      </c>
      <c r="D4338" s="1678"/>
      <c r="F4338" s="1678"/>
      <c r="G4338" s="1678"/>
      <c r="H4338" s="1678"/>
      <c r="I4338" s="58"/>
      <c r="J4338" s="1682"/>
      <c r="K4338" s="58"/>
      <c r="M4338" s="1669"/>
      <c r="N4338" s="1669"/>
      <c r="O4338" s="1685"/>
      <c r="P4338" s="1671"/>
      <c r="Q4338" s="1672"/>
      <c r="R4338" s="1672"/>
      <c r="S4338" s="1672"/>
      <c r="T4338" s="1672"/>
      <c r="U4338" s="1673"/>
      <c r="W4338" s="1675"/>
    </row>
    <row r="4339" spans="2:24" s="1674" customFormat="1" ht="15.6" hidden="1" customHeight="1" x14ac:dyDescent="0.25">
      <c r="B4339" s="1674" t="s">
        <v>165</v>
      </c>
      <c r="D4339" s="1678"/>
      <c r="E4339" s="1674" t="s">
        <v>2367</v>
      </c>
      <c r="F4339" s="1678"/>
      <c r="G4339" s="1678"/>
      <c r="H4339" s="1678"/>
      <c r="I4339" s="58">
        <f>'Notes II'!I746+'Notes II'!I747</f>
        <v>0</v>
      </c>
      <c r="J4339" s="1682"/>
      <c r="K4339" s="58">
        <f>'Notes II'!K746+'Notes II'!K747</f>
        <v>0</v>
      </c>
      <c r="M4339" s="1669"/>
      <c r="N4339" s="1669"/>
      <c r="O4339" s="1685"/>
      <c r="P4339" s="1671"/>
      <c r="Q4339" s="1672"/>
      <c r="R4339" s="1672"/>
      <c r="S4339" s="1672"/>
      <c r="T4339" s="1672"/>
      <c r="U4339" s="1673"/>
      <c r="W4339" s="1675"/>
    </row>
    <row r="4340" spans="2:24" s="1674" customFormat="1" ht="15.6" customHeight="1" x14ac:dyDescent="0.25">
      <c r="B4340" s="1674" t="s">
        <v>7326</v>
      </c>
      <c r="D4340" s="1678"/>
      <c r="E4340" s="1674" t="s">
        <v>2367</v>
      </c>
      <c r="F4340" s="1678"/>
      <c r="G4340" s="1678"/>
      <c r="H4340" s="1678"/>
      <c r="I4340" s="58">
        <f>'Notes II'!I751+'Notes II'!I753</f>
        <v>112659.79999999999</v>
      </c>
      <c r="J4340" s="1682"/>
      <c r="K4340" s="58">
        <f>'Notes II'!K751+'Notes II'!K753</f>
        <v>95825.5</v>
      </c>
      <c r="M4340" s="1690"/>
      <c r="N4340" s="1669"/>
      <c r="O4340" s="1685"/>
      <c r="P4340" s="1671"/>
      <c r="Q4340" s="1672"/>
      <c r="R4340" s="1672"/>
      <c r="S4340" s="1672"/>
      <c r="T4340" s="1672"/>
      <c r="U4340" s="1673"/>
      <c r="W4340" s="1675"/>
      <c r="X4340" s="1677"/>
    </row>
    <row r="4341" spans="2:24" s="1674" customFormat="1" ht="15.6" hidden="1" customHeight="1" x14ac:dyDescent="0.25">
      <c r="B4341" s="1674" t="s">
        <v>290</v>
      </c>
      <c r="D4341" s="1678"/>
      <c r="E4341" s="1674" t="s">
        <v>2367</v>
      </c>
      <c r="F4341" s="1678"/>
      <c r="G4341" s="1678"/>
      <c r="H4341" s="1678"/>
      <c r="I4341" s="58">
        <f>'Notes II'!I755+'Notes II'!I756</f>
        <v>0</v>
      </c>
      <c r="J4341" s="1682"/>
      <c r="K4341" s="58">
        <f>'Notes II'!K755+'Notes II'!K756</f>
        <v>0</v>
      </c>
      <c r="M4341" s="1669"/>
      <c r="N4341" s="1669"/>
      <c r="O4341" s="1685"/>
      <c r="P4341" s="1671"/>
      <c r="Q4341" s="1672"/>
      <c r="R4341" s="1672"/>
      <c r="S4341" s="1672"/>
      <c r="T4341" s="1672"/>
      <c r="U4341" s="1673"/>
      <c r="W4341" s="1675"/>
    </row>
    <row r="4342" spans="2:24" s="1674" customFormat="1" ht="15.6" customHeight="1" x14ac:dyDescent="0.25">
      <c r="D4342" s="1678"/>
      <c r="F4342" s="1678"/>
      <c r="G4342" s="1678"/>
      <c r="H4342" s="1678"/>
      <c r="I4342" s="58"/>
      <c r="J4342" s="1682"/>
      <c r="K4342" s="58"/>
      <c r="M4342" s="1669"/>
      <c r="N4342" s="1696"/>
      <c r="O4342" s="1670"/>
      <c r="P4342" s="1671"/>
      <c r="Q4342" s="1672"/>
      <c r="R4342" s="1672"/>
      <c r="S4342" s="1672"/>
      <c r="T4342" s="1672"/>
      <c r="U4342" s="1673"/>
      <c r="W4342" s="1675"/>
    </row>
    <row r="4343" spans="2:24" s="1674" customFormat="1" ht="15.6" hidden="1" customHeight="1" x14ac:dyDescent="0.25">
      <c r="B4343" s="1677" t="s">
        <v>783</v>
      </c>
      <c r="D4343" s="1678"/>
      <c r="F4343" s="1678"/>
      <c r="G4343" s="1678"/>
      <c r="H4343" s="1678"/>
      <c r="I4343" s="58"/>
      <c r="J4343" s="1682"/>
      <c r="K4343" s="58"/>
      <c r="M4343" s="1690"/>
      <c r="N4343" s="1669"/>
      <c r="O4343" s="1685"/>
      <c r="P4343" s="1671"/>
      <c r="Q4343" s="1672"/>
      <c r="R4343" s="1672"/>
      <c r="S4343" s="1672"/>
      <c r="T4343" s="1672"/>
      <c r="U4343" s="1673"/>
      <c r="W4343" s="1675"/>
    </row>
    <row r="4344" spans="2:24" s="1674" customFormat="1" ht="15.6" hidden="1" customHeight="1" x14ac:dyDescent="0.25">
      <c r="B4344" s="1674" t="s">
        <v>1414</v>
      </c>
      <c r="D4344" s="1678"/>
      <c r="E4344" s="1674" t="s">
        <v>2367</v>
      </c>
      <c r="F4344" s="1678"/>
      <c r="G4344" s="1678"/>
      <c r="H4344" s="1678"/>
      <c r="I4344" s="58">
        <f>'Notes II'!K884-'Notes II'!K890</f>
        <v>0</v>
      </c>
      <c r="J4344" s="1682"/>
      <c r="K4344" s="58">
        <f>'Notes II'!K901-'Notes II'!K907</f>
        <v>0</v>
      </c>
      <c r="M4344" s="1690"/>
      <c r="N4344" s="1669"/>
      <c r="O4344" s="1685"/>
      <c r="P4344" s="1695"/>
      <c r="Q4344" s="1672"/>
      <c r="R4344" s="1672"/>
      <c r="S4344" s="1672"/>
      <c r="T4344" s="1672"/>
      <c r="U4344" s="1673"/>
      <c r="W4344" s="1675"/>
    </row>
    <row r="4345" spans="2:24" s="1674" customFormat="1" ht="15.6" hidden="1" customHeight="1" x14ac:dyDescent="0.25">
      <c r="B4345" s="1674" t="s">
        <v>1519</v>
      </c>
      <c r="D4345" s="1678"/>
      <c r="E4345" s="1674" t="s">
        <v>2367</v>
      </c>
      <c r="F4345" s="1678"/>
      <c r="G4345" s="1678"/>
      <c r="H4345" s="1678"/>
      <c r="I4345" s="58">
        <f>'Notes II'!K885-'Notes II'!K891</f>
        <v>0</v>
      </c>
      <c r="J4345" s="1682"/>
      <c r="K4345" s="58">
        <f>'Notes II'!K902-'Notes II'!K908</f>
        <v>0</v>
      </c>
      <c r="M4345" s="1690"/>
      <c r="N4345" s="1669"/>
      <c r="O4345" s="1685"/>
      <c r="P4345" s="1695"/>
      <c r="Q4345" s="1672"/>
      <c r="R4345" s="1672"/>
      <c r="S4345" s="1672"/>
      <c r="T4345" s="1672"/>
      <c r="U4345" s="1673"/>
      <c r="W4345" s="1675"/>
    </row>
    <row r="4346" spans="2:24" s="1674" customFormat="1" ht="15.6" hidden="1" customHeight="1" x14ac:dyDescent="0.25">
      <c r="B4346" s="1674" t="s">
        <v>3601</v>
      </c>
      <c r="D4346" s="1678"/>
      <c r="E4346" s="1674" t="s">
        <v>2367</v>
      </c>
      <c r="F4346" s="1678"/>
      <c r="G4346" s="1678"/>
      <c r="H4346" s="1678"/>
      <c r="I4346" s="58">
        <f>'Notes II'!K886-'Notes II'!K892</f>
        <v>0</v>
      </c>
      <c r="J4346" s="1682"/>
      <c r="K4346" s="58">
        <f>'Notes II'!K903-'Notes II'!K909</f>
        <v>0</v>
      </c>
      <c r="M4346" s="1690"/>
      <c r="N4346" s="1669"/>
      <c r="O4346" s="1685"/>
      <c r="P4346" s="1695"/>
      <c r="Q4346" s="1672"/>
      <c r="R4346" s="1672"/>
      <c r="S4346" s="1672"/>
      <c r="T4346" s="1672"/>
      <c r="U4346" s="1673"/>
      <c r="W4346" s="1675"/>
    </row>
    <row r="4347" spans="2:24" s="1674" customFormat="1" ht="15.6" hidden="1" customHeight="1" x14ac:dyDescent="0.25">
      <c r="D4347" s="1678"/>
      <c r="F4347" s="1678"/>
      <c r="G4347" s="1678"/>
      <c r="H4347" s="1678"/>
      <c r="I4347" s="58"/>
      <c r="J4347" s="1682"/>
      <c r="K4347" s="58"/>
      <c r="M4347" s="1690"/>
      <c r="N4347" s="1669"/>
      <c r="O4347" s="1685"/>
      <c r="P4347" s="1695"/>
      <c r="Q4347" s="1672"/>
      <c r="R4347" s="1672"/>
      <c r="S4347" s="1672"/>
      <c r="T4347" s="1672"/>
      <c r="U4347" s="1673"/>
      <c r="W4347" s="1675"/>
    </row>
    <row r="4348" spans="2:24" s="1674" customFormat="1" ht="15.6" hidden="1" customHeight="1" x14ac:dyDescent="0.25">
      <c r="B4348" s="1677" t="s">
        <v>399</v>
      </c>
      <c r="D4348" s="1678"/>
      <c r="F4348" s="1678"/>
      <c r="G4348" s="1678"/>
      <c r="H4348" s="1678"/>
      <c r="I4348" s="58"/>
      <c r="J4348" s="1682"/>
      <c r="K4348" s="58"/>
      <c r="M4348" s="1669"/>
      <c r="N4348" s="1669"/>
      <c r="O4348" s="1685"/>
      <c r="P4348" s="1695"/>
      <c r="Q4348" s="1672"/>
      <c r="R4348" s="1672"/>
      <c r="S4348" s="1672"/>
      <c r="T4348" s="1672"/>
      <c r="U4348" s="1673"/>
      <c r="W4348" s="1675"/>
    </row>
    <row r="4349" spans="2:24" s="1674" customFormat="1" ht="15.6" hidden="1" customHeight="1" x14ac:dyDescent="0.25">
      <c r="B4349" s="1674" t="s">
        <v>1720</v>
      </c>
      <c r="D4349" s="1678"/>
      <c r="E4349" s="1674" t="s">
        <v>2367</v>
      </c>
      <c r="F4349" s="1678"/>
      <c r="G4349" s="1678"/>
      <c r="H4349" s="1678"/>
      <c r="I4349" s="58">
        <f>'Notes II'!K966-'Notes II'!K975</f>
        <v>0</v>
      </c>
      <c r="J4349" s="1682"/>
      <c r="K4349" s="58">
        <f>'Notes II'!K990-'Notes II'!K999</f>
        <v>0</v>
      </c>
      <c r="M4349" s="1669"/>
      <c r="N4349" s="1669"/>
      <c r="O4349" s="1685"/>
      <c r="P4349" s="1695"/>
      <c r="Q4349" s="1672"/>
      <c r="R4349" s="1672"/>
      <c r="S4349" s="1672"/>
      <c r="T4349" s="1672"/>
      <c r="U4349" s="1673"/>
      <c r="W4349" s="1675"/>
      <c r="X4349" s="1677"/>
    </row>
    <row r="4350" spans="2:24" s="1674" customFormat="1" ht="15.6" hidden="1" customHeight="1" x14ac:dyDescent="0.25">
      <c r="B4350" s="1674" t="s">
        <v>1719</v>
      </c>
      <c r="D4350" s="1678"/>
      <c r="E4350" s="1674" t="s">
        <v>2367</v>
      </c>
      <c r="F4350" s="1678"/>
      <c r="G4350" s="1678"/>
      <c r="H4350" s="1678"/>
      <c r="I4350" s="58">
        <f>'Notes II'!K967-'Notes II'!K976</f>
        <v>0</v>
      </c>
      <c r="J4350" s="1682"/>
      <c r="K4350" s="58">
        <f>'Notes II'!K991-'Notes II'!K1000</f>
        <v>0</v>
      </c>
      <c r="M4350" s="1669"/>
      <c r="N4350" s="1669"/>
      <c r="O4350" s="1685"/>
      <c r="P4350" s="1695"/>
      <c r="Q4350" s="1672"/>
      <c r="R4350" s="1672"/>
      <c r="S4350" s="1672"/>
      <c r="T4350" s="1672"/>
      <c r="U4350" s="1673"/>
      <c r="W4350" s="1675"/>
    </row>
    <row r="4351" spans="2:24" s="1674" customFormat="1" ht="15.6" hidden="1" customHeight="1" x14ac:dyDescent="0.25">
      <c r="B4351" s="1674" t="s">
        <v>1721</v>
      </c>
      <c r="D4351" s="1678"/>
      <c r="E4351" s="1674" t="s">
        <v>2367</v>
      </c>
      <c r="F4351" s="1678"/>
      <c r="G4351" s="1678"/>
      <c r="H4351" s="1678"/>
      <c r="I4351" s="58">
        <f>'Notes II'!K968-'Notes II'!K977</f>
        <v>0</v>
      </c>
      <c r="J4351" s="1682"/>
      <c r="K4351" s="58">
        <f>'Notes II'!K992-'Notes II'!K1001</f>
        <v>0</v>
      </c>
      <c r="M4351" s="1669"/>
      <c r="N4351" s="1669"/>
      <c r="O4351" s="1685"/>
      <c r="P4351" s="1671"/>
      <c r="Q4351" s="1672"/>
      <c r="R4351" s="1672"/>
      <c r="S4351" s="1672"/>
      <c r="T4351" s="1672"/>
      <c r="U4351" s="1673"/>
      <c r="W4351" s="1675"/>
    </row>
    <row r="4352" spans="2:24" s="1674" customFormat="1" ht="15.6" hidden="1" customHeight="1" x14ac:dyDescent="0.25">
      <c r="B4352" s="1674" t="s">
        <v>1722</v>
      </c>
      <c r="D4352" s="1678"/>
      <c r="E4352" s="1674" t="s">
        <v>2367</v>
      </c>
      <c r="F4352" s="1678"/>
      <c r="G4352" s="1678"/>
      <c r="H4352" s="1678"/>
      <c r="I4352" s="58">
        <f>'Notes II'!K969-'Notes II'!K978</f>
        <v>0</v>
      </c>
      <c r="J4352" s="1682"/>
      <c r="K4352" s="58">
        <f>'Notes II'!K993-'Notes II'!K1002</f>
        <v>0</v>
      </c>
      <c r="M4352" s="1669"/>
      <c r="N4352" s="1669"/>
      <c r="O4352" s="1685"/>
      <c r="P4352" s="1671"/>
      <c r="Q4352" s="1672"/>
      <c r="R4352" s="1672"/>
      <c r="S4352" s="1672"/>
      <c r="T4352" s="1672"/>
      <c r="U4352" s="1673"/>
      <c r="W4352" s="1675"/>
    </row>
    <row r="4353" spans="1:29" s="1674" customFormat="1" ht="15.6" hidden="1" customHeight="1" x14ac:dyDescent="0.25">
      <c r="B4353" s="1674" t="s">
        <v>1723</v>
      </c>
      <c r="D4353" s="1678"/>
      <c r="E4353" s="1674" t="s">
        <v>2367</v>
      </c>
      <c r="F4353" s="1678"/>
      <c r="G4353" s="1678"/>
      <c r="H4353" s="1678"/>
      <c r="I4353" s="58">
        <f>'Notes II'!K970-'Notes II'!K979</f>
        <v>0</v>
      </c>
      <c r="J4353" s="1682"/>
      <c r="K4353" s="58">
        <f>'Notes II'!K994-'Notes II'!K1003</f>
        <v>0</v>
      </c>
      <c r="M4353" s="1669"/>
      <c r="N4353" s="1669"/>
      <c r="O4353" s="1685"/>
      <c r="P4353" s="1671"/>
      <c r="Q4353" s="1672"/>
      <c r="R4353" s="1672"/>
      <c r="S4353" s="1672"/>
      <c r="T4353" s="1672"/>
      <c r="U4353" s="1673"/>
      <c r="W4353" s="1675"/>
    </row>
    <row r="4354" spans="1:29" s="1671" customFormat="1" ht="15.6" hidden="1" customHeight="1" x14ac:dyDescent="0.25">
      <c r="A4354" s="1674"/>
      <c r="B4354" s="1674" t="s">
        <v>1724</v>
      </c>
      <c r="C4354" s="1674"/>
      <c r="D4354" s="1678"/>
      <c r="E4354" s="1674" t="s">
        <v>2367</v>
      </c>
      <c r="F4354" s="1678"/>
      <c r="G4354" s="1678"/>
      <c r="H4354" s="1678"/>
      <c r="I4354" s="58">
        <f>'Notes II'!K971-'Notes II'!K980</f>
        <v>0</v>
      </c>
      <c r="J4354" s="1682"/>
      <c r="K4354" s="58">
        <f>'Notes II'!K995-'Notes II'!K1004</f>
        <v>0</v>
      </c>
      <c r="L4354" s="1674"/>
      <c r="M4354" s="1669"/>
      <c r="N4354" s="1669"/>
      <c r="O4354" s="1685"/>
      <c r="Q4354" s="1672"/>
      <c r="R4354" s="1672"/>
      <c r="S4354" s="1672"/>
      <c r="T4354" s="1672"/>
      <c r="U4354" s="1673"/>
      <c r="V4354" s="1674"/>
      <c r="W4354" s="1675"/>
      <c r="X4354" s="1674"/>
      <c r="Y4354" s="1674"/>
      <c r="Z4354" s="1674"/>
      <c r="AA4354" s="1674"/>
      <c r="AB4354" s="1674"/>
      <c r="AC4354" s="1674"/>
    </row>
    <row r="4355" spans="1:29" s="1671" customFormat="1" ht="15.6" hidden="1" customHeight="1" x14ac:dyDescent="0.25">
      <c r="A4355" s="1674"/>
      <c r="B4355" s="1674"/>
      <c r="C4355" s="1674"/>
      <c r="D4355" s="1678"/>
      <c r="E4355" s="1674"/>
      <c r="F4355" s="1678"/>
      <c r="G4355" s="1678"/>
      <c r="H4355" s="1678"/>
      <c r="I4355" s="58"/>
      <c r="J4355" s="1682"/>
      <c r="K4355" s="58"/>
      <c r="L4355" s="1674"/>
      <c r="M4355" s="1669"/>
      <c r="N4355" s="1669"/>
      <c r="O4355" s="1685"/>
      <c r="Q4355" s="1672"/>
      <c r="R4355" s="1672"/>
      <c r="S4355" s="1672"/>
      <c r="T4355" s="1672"/>
      <c r="U4355" s="1673"/>
      <c r="V4355" s="1674"/>
      <c r="W4355" s="1675"/>
      <c r="X4355" s="1674"/>
      <c r="Y4355" s="1674"/>
      <c r="Z4355" s="1674"/>
      <c r="AA4355" s="1674"/>
      <c r="AB4355" s="1674"/>
      <c r="AC4355" s="1674"/>
    </row>
    <row r="4356" spans="1:29" s="1671" customFormat="1" ht="15.6" customHeight="1" x14ac:dyDescent="0.25">
      <c r="A4356" s="1674"/>
      <c r="B4356" s="1677" t="s">
        <v>3969</v>
      </c>
      <c r="C4356" s="1674"/>
      <c r="D4356" s="1678"/>
      <c r="E4356" s="1674"/>
      <c r="F4356" s="1678"/>
      <c r="G4356" s="1678"/>
      <c r="H4356" s="1678"/>
      <c r="I4356" s="58"/>
      <c r="J4356" s="1682"/>
      <c r="K4356" s="58"/>
      <c r="L4356" s="1674"/>
      <c r="M4356" s="1669"/>
      <c r="N4356" s="1669"/>
      <c r="O4356" s="1685"/>
      <c r="Q4356" s="1672"/>
      <c r="R4356" s="1672"/>
      <c r="S4356" s="1672"/>
      <c r="T4356" s="1672"/>
      <c r="U4356" s="1673"/>
      <c r="V4356" s="1674"/>
      <c r="W4356" s="1675"/>
      <c r="X4356" s="1674"/>
      <c r="Y4356" s="1674"/>
      <c r="Z4356" s="1674"/>
      <c r="AA4356" s="1674"/>
      <c r="AB4356" s="1674"/>
      <c r="AC4356" s="1674"/>
    </row>
    <row r="4357" spans="1:29" s="1671" customFormat="1" ht="15.6" customHeight="1" x14ac:dyDescent="0.25">
      <c r="A4357" s="1674"/>
      <c r="B4357" s="1674" t="s">
        <v>229</v>
      </c>
      <c r="C4357" s="1674"/>
      <c r="D4357" s="1678"/>
      <c r="E4357" s="1674" t="s">
        <v>2367</v>
      </c>
      <c r="F4357" s="1678"/>
      <c r="G4357" s="1678"/>
      <c r="H4357" s="1678"/>
      <c r="I4357" s="58">
        <f>'Notes I'!K101</f>
        <v>270396.0199999999</v>
      </c>
      <c r="J4357" s="1682"/>
      <c r="K4357" s="58">
        <f>'Notes I'!K118</f>
        <v>247850.23000000004</v>
      </c>
      <c r="L4357" s="1674"/>
      <c r="M4357" s="1669"/>
      <c r="N4357" s="1669"/>
      <c r="O4357" s="1685"/>
      <c r="Q4357" s="1672"/>
      <c r="R4357" s="1672"/>
      <c r="S4357" s="1672"/>
      <c r="T4357" s="1672"/>
      <c r="U4357" s="1673"/>
      <c r="V4357" s="1674"/>
      <c r="W4357" s="1675"/>
      <c r="X4357" s="1674"/>
      <c r="Y4357" s="1674"/>
      <c r="Z4357" s="1674"/>
      <c r="AA4357" s="1674"/>
      <c r="AB4357" s="1674"/>
      <c r="AC4357" s="1674"/>
    </row>
    <row r="4358" spans="1:29" s="1671" customFormat="1" ht="15.6" customHeight="1" x14ac:dyDescent="0.25">
      <c r="A4358" s="1674"/>
      <c r="B4358" s="1674" t="s">
        <v>166</v>
      </c>
      <c r="C4358" s="1674"/>
      <c r="D4358" s="1678"/>
      <c r="E4358" s="1674" t="s">
        <v>2367</v>
      </c>
      <c r="F4358" s="1678"/>
      <c r="G4358" s="1678"/>
      <c r="H4358" s="1678"/>
      <c r="I4358" s="58">
        <f>'Notes I'!K102</f>
        <v>65620</v>
      </c>
      <c r="J4358" s="1682"/>
      <c r="K4358" s="58">
        <f>'Notes I'!K119</f>
        <v>160752</v>
      </c>
      <c r="L4358" s="1674"/>
      <c r="M4358" s="1669"/>
      <c r="N4358" s="1669"/>
      <c r="O4358" s="1685"/>
      <c r="Q4358" s="1672"/>
      <c r="R4358" s="1672"/>
      <c r="S4358" s="1672"/>
      <c r="T4358" s="1672"/>
      <c r="U4358" s="1673"/>
      <c r="V4358" s="1674"/>
      <c r="W4358" s="1675"/>
      <c r="X4358" s="1674"/>
      <c r="Y4358" s="1674"/>
      <c r="Z4358" s="1674"/>
      <c r="AA4358" s="1674"/>
      <c r="AB4358" s="1674"/>
      <c r="AC4358" s="1674"/>
    </row>
    <row r="4359" spans="1:29" s="1671" customFormat="1" ht="15.6" customHeight="1" x14ac:dyDescent="0.25">
      <c r="A4359" s="1674"/>
      <c r="B4359" s="1674" t="s">
        <v>500</v>
      </c>
      <c r="C4359" s="1674"/>
      <c r="D4359" s="1678"/>
      <c r="E4359" s="1674" t="s">
        <v>2367</v>
      </c>
      <c r="F4359" s="1678"/>
      <c r="G4359" s="1678"/>
      <c r="H4359" s="1678"/>
      <c r="I4359" s="58">
        <f>'Notes I'!K103</f>
        <v>158423</v>
      </c>
      <c r="J4359" s="1682"/>
      <c r="K4359" s="58">
        <f>'Notes I'!K120</f>
        <v>205668.73414613027</v>
      </c>
      <c r="L4359" s="1674"/>
      <c r="M4359" s="1669"/>
      <c r="N4359" s="1669"/>
      <c r="O4359" s="1685"/>
      <c r="Q4359" s="1672"/>
      <c r="R4359" s="1672"/>
      <c r="S4359" s="1672"/>
      <c r="T4359" s="1672"/>
      <c r="U4359" s="1673"/>
      <c r="V4359" s="1674"/>
      <c r="W4359" s="1675"/>
      <c r="X4359" s="1674"/>
      <c r="Y4359" s="1674"/>
      <c r="Z4359" s="1674"/>
      <c r="AA4359" s="1674"/>
      <c r="AB4359" s="1674"/>
      <c r="AC4359" s="1674"/>
    </row>
    <row r="4360" spans="1:29" s="1671" customFormat="1" ht="15.6" customHeight="1" x14ac:dyDescent="0.25">
      <c r="A4360" s="1674"/>
      <c r="B4360" s="1674" t="s">
        <v>236</v>
      </c>
      <c r="C4360" s="1674"/>
      <c r="D4360" s="1678"/>
      <c r="E4360" s="1674" t="s">
        <v>2367</v>
      </c>
      <c r="F4360" s="1678"/>
      <c r="G4360" s="1678"/>
      <c r="H4360" s="1678"/>
      <c r="I4360" s="58">
        <f>'Notes I'!K104</f>
        <v>346944</v>
      </c>
      <c r="J4360" s="1682"/>
      <c r="K4360" s="58">
        <f>'Notes I'!K121</f>
        <v>386387.61856904067</v>
      </c>
      <c r="L4360" s="1674"/>
      <c r="M4360" s="1669"/>
      <c r="N4360" s="1669"/>
      <c r="O4360" s="1685"/>
      <c r="Q4360" s="1672"/>
      <c r="R4360" s="1672"/>
      <c r="S4360" s="1672"/>
      <c r="T4360" s="1672"/>
      <c r="U4360" s="1673"/>
      <c r="V4360" s="1674"/>
      <c r="W4360" s="1675"/>
      <c r="X4360" s="1674"/>
      <c r="Y4360" s="1674"/>
      <c r="Z4360" s="1674"/>
      <c r="AA4360" s="1674"/>
      <c r="AB4360" s="1674"/>
      <c r="AC4360" s="1674"/>
    </row>
    <row r="4361" spans="1:29" s="1671" customFormat="1" ht="15.6" customHeight="1" x14ac:dyDescent="0.25">
      <c r="A4361" s="1674"/>
      <c r="B4361" s="1674" t="s">
        <v>4228</v>
      </c>
      <c r="C4361" s="1674"/>
      <c r="D4361" s="1678"/>
      <c r="E4361" s="1674" t="s">
        <v>2367</v>
      </c>
      <c r="F4361" s="1678"/>
      <c r="G4361" s="1678"/>
      <c r="H4361" s="1678"/>
      <c r="I4361" s="58">
        <f>'Notes I'!K105</f>
        <v>21084</v>
      </c>
      <c r="J4361" s="1682"/>
      <c r="K4361" s="58">
        <f>'Notes I'!K122</f>
        <v>4886290.7299999977</v>
      </c>
      <c r="L4361" s="1674"/>
      <c r="M4361" s="1669"/>
      <c r="N4361" s="1669"/>
      <c r="O4361" s="1685"/>
      <c r="Q4361" s="1672"/>
      <c r="R4361" s="1672"/>
      <c r="S4361" s="1672"/>
      <c r="T4361" s="1672"/>
      <c r="U4361" s="1673"/>
      <c r="V4361" s="1674"/>
      <c r="W4361" s="1675"/>
      <c r="X4361" s="1674"/>
      <c r="Y4361" s="1674"/>
      <c r="Z4361" s="1674"/>
      <c r="AA4361" s="1674"/>
      <c r="AB4361" s="1674"/>
      <c r="AC4361" s="1674"/>
    </row>
    <row r="4362" spans="1:29" s="1671" customFormat="1" ht="15.6" customHeight="1" x14ac:dyDescent="0.25">
      <c r="A4362" s="1674"/>
      <c r="B4362" s="1674"/>
      <c r="C4362" s="1674"/>
      <c r="D4362" s="1678"/>
      <c r="E4362" s="1674"/>
      <c r="F4362" s="1678"/>
      <c r="G4362" s="1678"/>
      <c r="H4362" s="1678"/>
      <c r="I4362" s="58"/>
      <c r="J4362" s="1682"/>
      <c r="K4362" s="58"/>
      <c r="L4362" s="1674"/>
      <c r="M4362" s="1669"/>
      <c r="N4362" s="1669"/>
      <c r="O4362" s="1685"/>
      <c r="Q4362" s="1672"/>
      <c r="R4362" s="1672"/>
      <c r="S4362" s="1672"/>
      <c r="T4362" s="1672"/>
      <c r="U4362" s="1673"/>
      <c r="V4362" s="1674"/>
      <c r="W4362" s="1675"/>
      <c r="X4362" s="1674"/>
      <c r="Y4362" s="1674"/>
      <c r="Z4362" s="1674"/>
      <c r="AA4362" s="1674"/>
      <c r="AB4362" s="1674"/>
      <c r="AC4362" s="1674"/>
    </row>
    <row r="4363" spans="1:29" s="1671" customFormat="1" ht="15.6" customHeight="1" x14ac:dyDescent="0.25">
      <c r="A4363" s="1674"/>
      <c r="B4363" s="1677" t="s">
        <v>3970</v>
      </c>
      <c r="C4363" s="1674"/>
      <c r="D4363" s="1678"/>
      <c r="E4363" s="1674"/>
      <c r="F4363" s="1678"/>
      <c r="G4363" s="1678"/>
      <c r="H4363" s="1678"/>
      <c r="I4363" s="58"/>
      <c r="J4363" s="1682"/>
      <c r="K4363" s="58"/>
      <c r="L4363" s="1674"/>
      <c r="M4363" s="1669"/>
      <c r="N4363" s="1669"/>
      <c r="O4363" s="1685"/>
      <c r="Q4363" s="1672"/>
      <c r="R4363" s="1672"/>
      <c r="S4363" s="1672"/>
      <c r="T4363" s="1672"/>
      <c r="U4363" s="1673"/>
      <c r="V4363" s="1674"/>
      <c r="W4363" s="1675"/>
      <c r="X4363" s="1674"/>
      <c r="Y4363" s="1674"/>
      <c r="Z4363" s="1674"/>
      <c r="AA4363" s="1674"/>
      <c r="AB4363" s="1674"/>
      <c r="AC4363" s="1674"/>
    </row>
    <row r="4364" spans="1:29" s="1671" customFormat="1" ht="15.6" customHeight="1" x14ac:dyDescent="0.25">
      <c r="A4364" s="1674"/>
      <c r="B4364" s="1674" t="s">
        <v>2259</v>
      </c>
      <c r="C4364" s="1674"/>
      <c r="D4364" s="1678"/>
      <c r="E4364" s="1674" t="s">
        <v>2367</v>
      </c>
      <c r="F4364" s="1678"/>
      <c r="G4364" s="1678"/>
      <c r="H4364" s="1678"/>
      <c r="I4364" s="58">
        <f>'Notes I'!K430</f>
        <v>360.42999999970198</v>
      </c>
      <c r="J4364" s="1682"/>
      <c r="K4364" s="58">
        <f>'Notes I'!K451</f>
        <v>4126580.5</v>
      </c>
      <c r="L4364" s="1674"/>
      <c r="M4364" s="1669"/>
      <c r="N4364" s="1669"/>
      <c r="O4364" s="1685"/>
      <c r="Q4364" s="1672"/>
      <c r="R4364" s="1672"/>
      <c r="S4364" s="1672"/>
      <c r="T4364" s="1672"/>
      <c r="U4364" s="1673"/>
      <c r="V4364" s="1674"/>
      <c r="W4364" s="1675"/>
      <c r="X4364" s="1674"/>
      <c r="Y4364" s="1674"/>
      <c r="Z4364" s="1674"/>
      <c r="AA4364" s="1674"/>
      <c r="AB4364" s="1674"/>
      <c r="AC4364" s="1674"/>
    </row>
    <row r="4365" spans="1:29" s="1671" customFormat="1" ht="15.6" hidden="1" customHeight="1" x14ac:dyDescent="0.25">
      <c r="A4365" s="1674"/>
      <c r="B4365" s="1674" t="s">
        <v>332</v>
      </c>
      <c r="C4365" s="1674"/>
      <c r="D4365" s="1678"/>
      <c r="E4365" s="1674" t="s">
        <v>2367</v>
      </c>
      <c r="F4365" s="1678"/>
      <c r="G4365" s="1678"/>
      <c r="H4365" s="1678"/>
      <c r="I4365" s="58">
        <f>'Notes I'!K431</f>
        <v>0</v>
      </c>
      <c r="J4365" s="1682"/>
      <c r="K4365" s="58">
        <f>'Notes I'!K452</f>
        <v>0</v>
      </c>
      <c r="L4365" s="1674"/>
      <c r="M4365" s="1669"/>
      <c r="N4365" s="1669"/>
      <c r="O4365" s="1685"/>
      <c r="Q4365" s="1672"/>
      <c r="R4365" s="1672"/>
      <c r="S4365" s="1672"/>
      <c r="T4365" s="1672"/>
      <c r="U4365" s="1673"/>
      <c r="V4365" s="1674"/>
      <c r="W4365" s="1675"/>
      <c r="X4365" s="1674"/>
      <c r="Y4365" s="1674"/>
      <c r="Z4365" s="1674"/>
      <c r="AA4365" s="1674"/>
      <c r="AB4365" s="1674"/>
      <c r="AC4365" s="1674"/>
    </row>
    <row r="4366" spans="1:29" s="1671" customFormat="1" ht="15.6" hidden="1" customHeight="1" x14ac:dyDescent="0.25">
      <c r="A4366" s="1674"/>
      <c r="B4366" s="1674" t="s">
        <v>334</v>
      </c>
      <c r="C4366" s="1674"/>
      <c r="D4366" s="1678"/>
      <c r="E4366" s="1674" t="s">
        <v>2367</v>
      </c>
      <c r="F4366" s="1678"/>
      <c r="G4366" s="1678"/>
      <c r="H4366" s="1678"/>
      <c r="I4366" s="58">
        <f>'Notes I'!K432</f>
        <v>0</v>
      </c>
      <c r="J4366" s="1682"/>
      <c r="K4366" s="58">
        <f>'Notes I'!K453</f>
        <v>0</v>
      </c>
      <c r="L4366" s="1674"/>
      <c r="M4366" s="1669"/>
      <c r="N4366" s="1669"/>
      <c r="O4366" s="1685"/>
      <c r="Q4366" s="1672"/>
      <c r="R4366" s="1672"/>
      <c r="S4366" s="1672"/>
      <c r="T4366" s="1672"/>
      <c r="U4366" s="1673"/>
      <c r="V4366" s="1674"/>
      <c r="W4366" s="1675"/>
      <c r="X4366" s="1674"/>
      <c r="Y4366" s="1674"/>
      <c r="Z4366" s="1674"/>
      <c r="AA4366" s="1674"/>
      <c r="AB4366" s="1674"/>
      <c r="AC4366" s="1674"/>
    </row>
    <row r="4367" spans="1:29" s="1671" customFormat="1" ht="15.6" hidden="1" customHeight="1" x14ac:dyDescent="0.25">
      <c r="A4367" s="1674"/>
      <c r="B4367" s="1674" t="s">
        <v>333</v>
      </c>
      <c r="C4367" s="1674"/>
      <c r="D4367" s="1678"/>
      <c r="E4367" s="1674" t="s">
        <v>2367</v>
      </c>
      <c r="F4367" s="1678"/>
      <c r="G4367" s="1678"/>
      <c r="H4367" s="1678"/>
      <c r="I4367" s="58">
        <f>'Notes I'!K433</f>
        <v>0</v>
      </c>
      <c r="J4367" s="1682"/>
      <c r="K4367" s="58">
        <f>'Notes I'!K454</f>
        <v>0</v>
      </c>
      <c r="L4367" s="1674"/>
      <c r="M4367" s="1669"/>
      <c r="N4367" s="1669"/>
      <c r="O4367" s="1685"/>
      <c r="Q4367" s="1672"/>
      <c r="R4367" s="1672"/>
      <c r="S4367" s="1672"/>
      <c r="T4367" s="1672"/>
      <c r="U4367" s="1673"/>
      <c r="V4367" s="1674"/>
      <c r="W4367" s="1675"/>
      <c r="X4367" s="1674"/>
      <c r="Y4367" s="1674"/>
      <c r="Z4367" s="1674"/>
      <c r="AA4367" s="1674"/>
      <c r="AB4367" s="1674"/>
      <c r="AC4367" s="1674"/>
    </row>
    <row r="4368" spans="1:29" s="1671" customFormat="1" ht="15.6" hidden="1" customHeight="1" x14ac:dyDescent="0.25">
      <c r="A4368" s="1674"/>
      <c r="B4368" s="1674" t="s">
        <v>660</v>
      </c>
      <c r="C4368" s="1674"/>
      <c r="D4368" s="1678"/>
      <c r="E4368" s="1674" t="s">
        <v>2367</v>
      </c>
      <c r="F4368" s="1678"/>
      <c r="G4368" s="1678"/>
      <c r="H4368" s="1678"/>
      <c r="I4368" s="58">
        <f>'Notes I'!K434</f>
        <v>0</v>
      </c>
      <c r="J4368" s="1682"/>
      <c r="K4368" s="58">
        <f>'Notes I'!K455</f>
        <v>0</v>
      </c>
      <c r="L4368" s="1674"/>
      <c r="M4368" s="1669"/>
      <c r="N4368" s="1669"/>
      <c r="O4368" s="1685"/>
      <c r="Q4368" s="1672"/>
      <c r="R4368" s="1672"/>
      <c r="S4368" s="1672"/>
      <c r="T4368" s="1672"/>
      <c r="U4368" s="1673"/>
      <c r="V4368" s="1674"/>
      <c r="W4368" s="1675"/>
      <c r="X4368" s="1674"/>
      <c r="Y4368" s="1674"/>
      <c r="Z4368" s="1674"/>
      <c r="AA4368" s="1674"/>
      <c r="AB4368" s="1674"/>
      <c r="AC4368" s="1674"/>
    </row>
    <row r="4369" spans="1:29" s="1671" customFormat="1" ht="15.6" hidden="1" customHeight="1" x14ac:dyDescent="0.25">
      <c r="A4369" s="1674"/>
      <c r="B4369" s="1674" t="s">
        <v>665</v>
      </c>
      <c r="C4369" s="1674"/>
      <c r="D4369" s="1678"/>
      <c r="E4369" s="1674" t="s">
        <v>2367</v>
      </c>
      <c r="F4369" s="1678"/>
      <c r="G4369" s="1678"/>
      <c r="H4369" s="1678"/>
      <c r="I4369" s="58">
        <f>'Notes I'!K435</f>
        <v>0</v>
      </c>
      <c r="J4369" s="1682"/>
      <c r="K4369" s="58">
        <f>'Notes I'!K456</f>
        <v>0</v>
      </c>
      <c r="L4369" s="1674"/>
      <c r="M4369" s="1669"/>
      <c r="N4369" s="1669"/>
      <c r="O4369" s="1685"/>
      <c r="Q4369" s="1672"/>
      <c r="R4369" s="1672"/>
      <c r="S4369" s="1672"/>
      <c r="T4369" s="1672"/>
      <c r="U4369" s="1673"/>
      <c r="V4369" s="1674"/>
      <c r="W4369" s="1675"/>
      <c r="X4369" s="1674"/>
      <c r="Y4369" s="1674"/>
      <c r="Z4369" s="1674"/>
      <c r="AA4369" s="1674"/>
      <c r="AB4369" s="1674"/>
      <c r="AC4369" s="1674"/>
    </row>
    <row r="4370" spans="1:29" s="1671" customFormat="1" ht="15.6" hidden="1" customHeight="1" x14ac:dyDescent="0.25">
      <c r="A4370" s="1674"/>
      <c r="B4370" s="1674" t="s">
        <v>1758</v>
      </c>
      <c r="C4370" s="1674"/>
      <c r="D4370" s="1678"/>
      <c r="E4370" s="1674" t="s">
        <v>2367</v>
      </c>
      <c r="F4370" s="1678"/>
      <c r="G4370" s="1678"/>
      <c r="H4370" s="1678"/>
      <c r="I4370" s="2043">
        <f>'Notes I'!K436</f>
        <v>0</v>
      </c>
      <c r="J4370" s="1682"/>
      <c r="K4370" s="2043">
        <f>'Notes I'!K457</f>
        <v>0</v>
      </c>
      <c r="L4370" s="1674"/>
      <c r="M4370" s="1669"/>
      <c r="N4370" s="1669"/>
      <c r="O4370" s="1685"/>
      <c r="Q4370" s="1672"/>
      <c r="R4370" s="1672"/>
      <c r="S4370" s="1672"/>
      <c r="T4370" s="1672"/>
      <c r="U4370" s="1673"/>
      <c r="V4370" s="1674"/>
      <c r="W4370" s="1675"/>
      <c r="X4370" s="1674"/>
      <c r="Y4370" s="1674"/>
      <c r="Z4370" s="1674"/>
      <c r="AA4370" s="1674"/>
      <c r="AB4370" s="1674"/>
      <c r="AC4370" s="1674"/>
    </row>
    <row r="4371" spans="1:29" s="1671" customFormat="1" ht="15.6" hidden="1" customHeight="1" x14ac:dyDescent="0.25">
      <c r="A4371" s="1674"/>
      <c r="B4371" s="1674" t="s">
        <v>3521</v>
      </c>
      <c r="C4371" s="1674"/>
      <c r="D4371" s="1678"/>
      <c r="E4371" s="1674" t="s">
        <v>2367</v>
      </c>
      <c r="F4371" s="1678"/>
      <c r="G4371" s="1678"/>
      <c r="H4371" s="1678"/>
      <c r="I4371" s="2043">
        <f>'Notes I'!K437</f>
        <v>0</v>
      </c>
      <c r="J4371" s="1682"/>
      <c r="K4371" s="2043">
        <f>'Notes I'!K458</f>
        <v>0</v>
      </c>
      <c r="L4371" s="1674"/>
      <c r="M4371" s="1669"/>
      <c r="N4371" s="1669"/>
      <c r="O4371" s="1685"/>
      <c r="Q4371" s="1672"/>
      <c r="R4371" s="1672"/>
      <c r="S4371" s="1672"/>
      <c r="T4371" s="1672"/>
      <c r="U4371" s="1673"/>
      <c r="V4371" s="1674"/>
      <c r="W4371" s="1675"/>
      <c r="X4371" s="1674"/>
      <c r="Y4371" s="1674"/>
      <c r="Z4371" s="1674"/>
      <c r="AA4371" s="1674"/>
      <c r="AB4371" s="1674"/>
      <c r="AC4371" s="1674"/>
    </row>
    <row r="4372" spans="1:29" s="1671" customFormat="1" ht="15.6" hidden="1" customHeight="1" x14ac:dyDescent="0.25">
      <c r="A4372" s="1674"/>
      <c r="B4372" s="1674" t="s">
        <v>1417</v>
      </c>
      <c r="C4372" s="1674"/>
      <c r="D4372" s="1678"/>
      <c r="E4372" s="1674" t="s">
        <v>2367</v>
      </c>
      <c r="F4372" s="1678"/>
      <c r="G4372" s="1678"/>
      <c r="H4372" s="1678"/>
      <c r="I4372" s="2043">
        <f>'Notes I'!K438</f>
        <v>0</v>
      </c>
      <c r="J4372" s="1682"/>
      <c r="K4372" s="2043">
        <f>'Notes I'!K459</f>
        <v>0</v>
      </c>
      <c r="L4372" s="1674"/>
      <c r="M4372" s="1669"/>
      <c r="N4372" s="1669"/>
      <c r="O4372" s="1685"/>
      <c r="Q4372" s="1672"/>
      <c r="R4372" s="1672"/>
      <c r="S4372" s="1672"/>
      <c r="T4372" s="1672"/>
      <c r="U4372" s="1673"/>
      <c r="V4372" s="1674"/>
      <c r="W4372" s="1675"/>
      <c r="X4372" s="1674"/>
      <c r="Y4372" s="1674"/>
      <c r="Z4372" s="1674"/>
      <c r="AA4372" s="1674"/>
      <c r="AB4372" s="1674"/>
      <c r="AC4372" s="1674"/>
    </row>
    <row r="4373" spans="1:29" s="1671" customFormat="1" ht="15.6" hidden="1" customHeight="1" x14ac:dyDescent="0.25">
      <c r="A4373" s="1674"/>
      <c r="B4373" s="1674" t="s">
        <v>706</v>
      </c>
      <c r="C4373" s="1674"/>
      <c r="D4373" s="1678"/>
      <c r="E4373" s="1674" t="s">
        <v>2367</v>
      </c>
      <c r="F4373" s="1678"/>
      <c r="G4373" s="1678"/>
      <c r="H4373" s="1678"/>
      <c r="I4373" s="2043">
        <f>'Notes I'!K439</f>
        <v>0</v>
      </c>
      <c r="J4373" s="1682"/>
      <c r="K4373" s="2043">
        <f>'Notes I'!K460</f>
        <v>0</v>
      </c>
      <c r="L4373" s="1674"/>
      <c r="M4373" s="1669"/>
      <c r="N4373" s="1669"/>
      <c r="O4373" s="1685"/>
      <c r="Q4373" s="1672"/>
      <c r="R4373" s="1672"/>
      <c r="S4373" s="1672"/>
      <c r="T4373" s="1672"/>
      <c r="U4373" s="1673"/>
      <c r="V4373" s="1674"/>
      <c r="W4373" s="1675"/>
      <c r="X4373" s="1674"/>
      <c r="Y4373" s="1674"/>
      <c r="Z4373" s="1674"/>
      <c r="AA4373" s="1674"/>
      <c r="AB4373" s="1674"/>
      <c r="AC4373" s="1674"/>
    </row>
    <row r="4374" spans="1:29" s="1671" customFormat="1" ht="15.6" hidden="1" customHeight="1" x14ac:dyDescent="0.25">
      <c r="A4374" s="1674"/>
      <c r="B4374" s="1674" t="s">
        <v>296</v>
      </c>
      <c r="C4374" s="1674"/>
      <c r="D4374" s="1678"/>
      <c r="E4374" s="1674" t="s">
        <v>2367</v>
      </c>
      <c r="F4374" s="1678"/>
      <c r="G4374" s="1678"/>
      <c r="H4374" s="1678"/>
      <c r="I4374" s="2043">
        <f>'Notes I'!K440</f>
        <v>0</v>
      </c>
      <c r="J4374" s="1682"/>
      <c r="K4374" s="2043">
        <f>'Notes I'!K461</f>
        <v>0</v>
      </c>
      <c r="L4374" s="1674"/>
      <c r="M4374" s="1669"/>
      <c r="N4374" s="1669"/>
      <c r="O4374" s="1685"/>
      <c r="Q4374" s="1672"/>
      <c r="R4374" s="1672"/>
      <c r="S4374" s="1672"/>
      <c r="T4374" s="1672"/>
      <c r="U4374" s="1673"/>
      <c r="V4374" s="1674"/>
      <c r="W4374" s="1675"/>
      <c r="X4374" s="1674"/>
      <c r="Y4374" s="1674"/>
      <c r="Z4374" s="1674"/>
      <c r="AA4374" s="1674"/>
      <c r="AB4374" s="1674"/>
      <c r="AC4374" s="1674"/>
    </row>
    <row r="4375" spans="1:29" s="1671" customFormat="1" ht="15.6" hidden="1" customHeight="1" x14ac:dyDescent="0.25">
      <c r="A4375" s="1674"/>
      <c r="B4375" s="1674" t="s">
        <v>297</v>
      </c>
      <c r="C4375" s="1674"/>
      <c r="D4375" s="1678"/>
      <c r="E4375" s="1674" t="s">
        <v>2367</v>
      </c>
      <c r="F4375" s="1678"/>
      <c r="G4375" s="1678"/>
      <c r="H4375" s="1678"/>
      <c r="I4375" s="2043">
        <f>'Notes I'!K441</f>
        <v>0</v>
      </c>
      <c r="J4375" s="1682"/>
      <c r="K4375" s="2043">
        <f>'Notes I'!K462</f>
        <v>0</v>
      </c>
      <c r="L4375" s="1674"/>
      <c r="M4375" s="1669"/>
      <c r="N4375" s="1669"/>
      <c r="O4375" s="1685"/>
      <c r="Q4375" s="1672"/>
      <c r="R4375" s="1672"/>
      <c r="S4375" s="1672"/>
      <c r="T4375" s="1672"/>
      <c r="U4375" s="1673"/>
      <c r="V4375" s="1674"/>
      <c r="W4375" s="1675"/>
      <c r="X4375" s="1674"/>
      <c r="Y4375" s="1674"/>
      <c r="Z4375" s="1674"/>
      <c r="AA4375" s="1674"/>
      <c r="AB4375" s="1674"/>
      <c r="AC4375" s="1674"/>
    </row>
    <row r="4376" spans="1:29" s="1671" customFormat="1" ht="15.6" hidden="1" customHeight="1" x14ac:dyDescent="0.25">
      <c r="A4376" s="1674"/>
      <c r="B4376" s="1674" t="s">
        <v>298</v>
      </c>
      <c r="C4376" s="1674"/>
      <c r="D4376" s="1678"/>
      <c r="E4376" s="1674" t="s">
        <v>2367</v>
      </c>
      <c r="F4376" s="1678"/>
      <c r="G4376" s="1678"/>
      <c r="H4376" s="1678"/>
      <c r="I4376" s="2043">
        <f>'Notes I'!K442</f>
        <v>0</v>
      </c>
      <c r="J4376" s="1682"/>
      <c r="K4376" s="2043">
        <f>'Notes I'!K463</f>
        <v>0</v>
      </c>
      <c r="L4376" s="1674"/>
      <c r="M4376" s="1669"/>
      <c r="N4376" s="1669"/>
      <c r="O4376" s="1685"/>
      <c r="Q4376" s="1672"/>
      <c r="R4376" s="1672"/>
      <c r="S4376" s="1672"/>
      <c r="T4376" s="1672"/>
      <c r="U4376" s="1673"/>
      <c r="V4376" s="1674"/>
      <c r="W4376" s="1675"/>
      <c r="X4376" s="1674"/>
      <c r="Y4376" s="1674"/>
      <c r="Z4376" s="1674"/>
      <c r="AA4376" s="1674"/>
      <c r="AB4376" s="1674"/>
      <c r="AC4376" s="1674"/>
    </row>
    <row r="4377" spans="1:29" s="1671" customFormat="1" ht="15.6" customHeight="1" x14ac:dyDescent="0.25">
      <c r="A4377" s="1674"/>
      <c r="B4377" s="1674"/>
      <c r="C4377" s="1674"/>
      <c r="D4377" s="1678"/>
      <c r="E4377" s="1674"/>
      <c r="F4377" s="1678"/>
      <c r="G4377" s="1678"/>
      <c r="H4377" s="1678"/>
      <c r="I4377" s="58"/>
      <c r="J4377" s="1682"/>
      <c r="K4377" s="58"/>
      <c r="L4377" s="1674"/>
      <c r="M4377" s="1669"/>
      <c r="N4377" s="1669"/>
      <c r="O4377" s="1685"/>
      <c r="Q4377" s="1672"/>
      <c r="R4377" s="1672"/>
      <c r="S4377" s="1672"/>
      <c r="T4377" s="1672"/>
      <c r="U4377" s="1673"/>
      <c r="V4377" s="1674"/>
      <c r="W4377" s="1675"/>
      <c r="X4377" s="1674"/>
      <c r="Y4377" s="1674"/>
      <c r="Z4377" s="1674"/>
      <c r="AA4377" s="1674"/>
      <c r="AB4377" s="1674"/>
      <c r="AC4377" s="1674"/>
    </row>
    <row r="4378" spans="1:29" s="1671" customFormat="1" ht="15.6" customHeight="1" x14ac:dyDescent="0.25">
      <c r="A4378" s="1674"/>
      <c r="B4378" s="1677" t="s">
        <v>4217</v>
      </c>
      <c r="C4378" s="1674"/>
      <c r="D4378" s="1678"/>
      <c r="E4378" s="1674"/>
      <c r="F4378" s="1678"/>
      <c r="G4378" s="1678"/>
      <c r="H4378" s="1678"/>
      <c r="I4378" s="58"/>
      <c r="J4378" s="1682"/>
      <c r="K4378" s="58"/>
      <c r="L4378" s="1674"/>
      <c r="M4378" s="1669"/>
      <c r="N4378" s="1669"/>
      <c r="O4378" s="1685"/>
      <c r="Q4378" s="1672"/>
      <c r="R4378" s="1672"/>
      <c r="S4378" s="1672"/>
      <c r="T4378" s="1672"/>
      <c r="U4378" s="1673"/>
      <c r="V4378" s="1674"/>
      <c r="W4378" s="1675"/>
      <c r="X4378" s="1674"/>
      <c r="Y4378" s="1674"/>
      <c r="Z4378" s="1674"/>
      <c r="AA4378" s="1674"/>
      <c r="AB4378" s="1674"/>
      <c r="AC4378" s="1674"/>
    </row>
    <row r="4379" spans="1:29" s="1671" customFormat="1" ht="15.6" customHeight="1" x14ac:dyDescent="0.25">
      <c r="A4379" s="1674"/>
      <c r="B4379" s="1674" t="s">
        <v>580</v>
      </c>
      <c r="C4379" s="1674"/>
      <c r="D4379" s="1678"/>
      <c r="E4379" s="1674" t="s">
        <v>2368</v>
      </c>
      <c r="F4379" s="1678"/>
      <c r="G4379" s="1678"/>
      <c r="H4379" s="1678"/>
      <c r="I4379" s="58">
        <f>'Notes I'!I904</f>
        <v>271206.52999999688</v>
      </c>
      <c r="J4379" s="1682"/>
      <c r="K4379" s="58">
        <f>'Notes I'!K904</f>
        <v>299229.11</v>
      </c>
      <c r="L4379" s="1674"/>
      <c r="M4379" s="1669"/>
      <c r="N4379" s="1669"/>
      <c r="O4379" s="1685"/>
      <c r="Q4379" s="1672"/>
      <c r="R4379" s="1672"/>
      <c r="S4379" s="1672"/>
      <c r="T4379" s="1672"/>
      <c r="U4379" s="1673"/>
      <c r="V4379" s="1674"/>
      <c r="W4379" s="1675"/>
      <c r="X4379" s="1674"/>
      <c r="Y4379" s="1674"/>
      <c r="Z4379" s="1674"/>
      <c r="AA4379" s="1674"/>
      <c r="AB4379" s="1674"/>
      <c r="AC4379" s="1674"/>
    </row>
    <row r="4380" spans="1:29" s="1671" customFormat="1" ht="15.6" hidden="1" customHeight="1" x14ac:dyDescent="0.25">
      <c r="A4380" s="1674"/>
      <c r="B4380" s="1674" t="s">
        <v>581</v>
      </c>
      <c r="C4380" s="1674"/>
      <c r="D4380" s="1678"/>
      <c r="E4380" s="1674" t="s">
        <v>2367</v>
      </c>
      <c r="F4380" s="1678"/>
      <c r="G4380" s="1678"/>
      <c r="H4380" s="1678"/>
      <c r="I4380" s="58">
        <f>'Notes I'!I905</f>
        <v>0</v>
      </c>
      <c r="J4380" s="1682"/>
      <c r="K4380" s="58">
        <f>'Notes I'!K905</f>
        <v>0</v>
      </c>
      <c r="L4380" s="1674"/>
      <c r="M4380" s="1669"/>
      <c r="N4380" s="1669"/>
      <c r="O4380" s="1685"/>
      <c r="Q4380" s="1672"/>
      <c r="R4380" s="1672"/>
      <c r="S4380" s="1672"/>
      <c r="T4380" s="1672"/>
      <c r="U4380" s="1673"/>
      <c r="V4380" s="1674"/>
      <c r="W4380" s="1675"/>
      <c r="X4380" s="1674"/>
      <c r="Y4380" s="1674"/>
      <c r="Z4380" s="1674"/>
      <c r="AA4380" s="1674"/>
      <c r="AB4380" s="1674"/>
      <c r="AC4380" s="1674"/>
    </row>
    <row r="4381" spans="1:29" s="1671" customFormat="1" ht="15.6" hidden="1" customHeight="1" x14ac:dyDescent="0.25">
      <c r="A4381" s="1674"/>
      <c r="B4381" s="1674" t="s">
        <v>455</v>
      </c>
      <c r="C4381" s="1674"/>
      <c r="D4381" s="1678"/>
      <c r="E4381" s="1674" t="s">
        <v>2367</v>
      </c>
      <c r="F4381" s="1678"/>
      <c r="G4381" s="1678"/>
      <c r="H4381" s="1678"/>
      <c r="I4381" s="58">
        <f>'Notes I'!I906</f>
        <v>0</v>
      </c>
      <c r="J4381" s="1682"/>
      <c r="K4381" s="58">
        <f>'Notes I'!K906</f>
        <v>0</v>
      </c>
      <c r="L4381" s="1674"/>
      <c r="M4381" s="1669"/>
      <c r="N4381" s="1669"/>
      <c r="O4381" s="1685"/>
      <c r="Q4381" s="1672"/>
      <c r="R4381" s="1672"/>
      <c r="S4381" s="1672"/>
      <c r="T4381" s="1672"/>
      <c r="U4381" s="1673"/>
      <c r="V4381" s="1674"/>
      <c r="W4381" s="1675"/>
      <c r="X4381" s="1674"/>
      <c r="Y4381" s="1674"/>
      <c r="Z4381" s="1674"/>
      <c r="AA4381" s="1674"/>
      <c r="AB4381" s="1674"/>
      <c r="AC4381" s="1674"/>
    </row>
    <row r="4382" spans="1:29" s="1671" customFormat="1" ht="15.6" customHeight="1" x14ac:dyDescent="0.25">
      <c r="A4382" s="1674"/>
      <c r="B4382" s="259" t="s">
        <v>501</v>
      </c>
      <c r="C4382" s="1674"/>
      <c r="D4382" s="1678"/>
      <c r="E4382" s="1674" t="s">
        <v>2368</v>
      </c>
      <c r="F4382" s="1678"/>
      <c r="G4382" s="1678"/>
      <c r="H4382" s="1678"/>
      <c r="I4382" s="58">
        <f>'Notes I'!I938</f>
        <v>16209</v>
      </c>
      <c r="J4382" s="1682"/>
      <c r="K4382" s="58">
        <f>'Notes I'!K938</f>
        <v>212465</v>
      </c>
      <c r="L4382" s="1674"/>
      <c r="M4382" s="1669"/>
      <c r="N4382" s="1669"/>
      <c r="O4382" s="1685"/>
      <c r="Q4382" s="1672"/>
      <c r="R4382" s="1672"/>
      <c r="S4382" s="1672"/>
      <c r="T4382" s="1672"/>
      <c r="U4382" s="1673"/>
      <c r="V4382" s="1674"/>
      <c r="W4382" s="1675"/>
      <c r="X4382" s="1674"/>
      <c r="Y4382" s="1674"/>
      <c r="Z4382" s="1674"/>
      <c r="AA4382" s="1674"/>
      <c r="AB4382" s="1674"/>
      <c r="AC4382" s="1674"/>
    </row>
    <row r="4383" spans="1:29" s="1671" customFormat="1" ht="15.6" customHeight="1" x14ac:dyDescent="0.25">
      <c r="A4383" s="1674"/>
      <c r="B4383" s="259" t="s">
        <v>335</v>
      </c>
      <c r="C4383" s="1674"/>
      <c r="D4383" s="1678"/>
      <c r="E4383" s="1674" t="s">
        <v>2368</v>
      </c>
      <c r="F4383" s="1678"/>
      <c r="G4383" s="1678"/>
      <c r="H4383" s="1678"/>
      <c r="I4383" s="58">
        <f>'Notes I'!I987</f>
        <v>1179.9000000000001</v>
      </c>
      <c r="J4383" s="1682"/>
      <c r="K4383" s="58">
        <f>'Notes I'!K987</f>
        <v>1179.9000000000001</v>
      </c>
      <c r="L4383" s="1674"/>
      <c r="M4383" s="1669"/>
      <c r="N4383" s="1669"/>
      <c r="O4383" s="1685"/>
      <c r="Q4383" s="1672"/>
      <c r="R4383" s="1672"/>
      <c r="S4383" s="1672"/>
      <c r="T4383" s="1672"/>
      <c r="U4383" s="1673"/>
      <c r="V4383" s="1674"/>
      <c r="W4383" s="1675"/>
      <c r="X4383" s="1674"/>
      <c r="Y4383" s="1674"/>
      <c r="Z4383" s="1674"/>
      <c r="AA4383" s="1674"/>
      <c r="AB4383" s="1674"/>
      <c r="AC4383" s="1674"/>
    </row>
    <row r="4384" spans="1:29" s="1671" customFormat="1" ht="15.6" hidden="1" customHeight="1" x14ac:dyDescent="0.25">
      <c r="A4384" s="1674"/>
      <c r="B4384" s="259" t="s">
        <v>336</v>
      </c>
      <c r="C4384" s="1674"/>
      <c r="D4384" s="1678"/>
      <c r="E4384" s="1674" t="s">
        <v>2368</v>
      </c>
      <c r="F4384" s="1678"/>
      <c r="G4384" s="1678"/>
      <c r="H4384" s="1678"/>
      <c r="I4384" s="58">
        <f>'Notes I'!I988</f>
        <v>0</v>
      </c>
      <c r="J4384" s="1682"/>
      <c r="K4384" s="58">
        <f>'Notes I'!K988</f>
        <v>0</v>
      </c>
      <c r="L4384" s="1674"/>
      <c r="M4384" s="1669"/>
      <c r="N4384" s="1669"/>
      <c r="O4384" s="1685"/>
      <c r="Q4384" s="1672"/>
      <c r="R4384" s="1672"/>
      <c r="S4384" s="1672"/>
      <c r="T4384" s="1672"/>
      <c r="U4384" s="1673"/>
      <c r="V4384" s="1674"/>
      <c r="W4384" s="1675"/>
      <c r="X4384" s="1674"/>
      <c r="Y4384" s="1674"/>
      <c r="Z4384" s="1674"/>
      <c r="AA4384" s="1674"/>
      <c r="AB4384" s="1674"/>
      <c r="AC4384" s="1674"/>
    </row>
    <row r="4385" spans="1:29" s="1671" customFormat="1" ht="15.6" customHeight="1" x14ac:dyDescent="0.25">
      <c r="A4385" s="1674"/>
      <c r="B4385" s="1674"/>
      <c r="C4385" s="1674"/>
      <c r="D4385" s="1678"/>
      <c r="E4385" s="1674"/>
      <c r="F4385" s="1678"/>
      <c r="G4385" s="1678"/>
      <c r="H4385" s="1678"/>
      <c r="I4385" s="58"/>
      <c r="J4385" s="1682"/>
      <c r="K4385" s="58"/>
      <c r="L4385" s="1674"/>
      <c r="M4385" s="1669"/>
      <c r="N4385" s="1669"/>
      <c r="O4385" s="1685"/>
      <c r="Q4385" s="1672"/>
      <c r="R4385" s="1672"/>
      <c r="S4385" s="1672"/>
      <c r="T4385" s="1672"/>
      <c r="U4385" s="1673"/>
      <c r="V4385" s="1674"/>
      <c r="W4385" s="1675"/>
      <c r="X4385" s="1674"/>
      <c r="Y4385" s="1674"/>
      <c r="Z4385" s="1674"/>
      <c r="AA4385" s="1674"/>
      <c r="AB4385" s="1674"/>
      <c r="AC4385" s="1674"/>
    </row>
    <row r="4386" spans="1:29" s="1671" customFormat="1" ht="15.6" hidden="1" customHeight="1" x14ac:dyDescent="0.25">
      <c r="A4386" s="1674"/>
      <c r="B4386" s="2199" t="s">
        <v>442</v>
      </c>
      <c r="C4386" s="1716"/>
      <c r="D4386" s="2200"/>
      <c r="E4386" s="1716"/>
      <c r="F4386" s="2200"/>
      <c r="G4386" s="2200"/>
      <c r="H4386" s="2200"/>
      <c r="I4386" s="2043"/>
      <c r="J4386" s="2201"/>
      <c r="K4386" s="2043"/>
      <c r="L4386" s="1674"/>
      <c r="M4386" s="1669"/>
      <c r="N4386" s="1669"/>
      <c r="O4386" s="1685"/>
      <c r="Q4386" s="1672"/>
      <c r="R4386" s="1672"/>
      <c r="S4386" s="1672"/>
      <c r="T4386" s="1672"/>
      <c r="U4386" s="1673"/>
      <c r="V4386" s="1674"/>
      <c r="W4386" s="1675"/>
      <c r="X4386" s="1674"/>
      <c r="Y4386" s="1674"/>
      <c r="Z4386" s="1674"/>
      <c r="AA4386" s="1674"/>
      <c r="AB4386" s="1674"/>
      <c r="AC4386" s="1674"/>
    </row>
    <row r="4387" spans="1:29" s="1671" customFormat="1" ht="15.6" hidden="1" customHeight="1" x14ac:dyDescent="0.25">
      <c r="A4387" s="1674"/>
      <c r="B4387" s="1716" t="s">
        <v>1414</v>
      </c>
      <c r="C4387" s="1716"/>
      <c r="D4387" s="2200"/>
      <c r="E4387" s="1716" t="s">
        <v>2367</v>
      </c>
      <c r="F4387" s="2200"/>
      <c r="G4387" s="2200"/>
      <c r="H4387" s="2200"/>
      <c r="I4387" s="2043">
        <f>'Notes II'!K890</f>
        <v>0</v>
      </c>
      <c r="J4387" s="2201"/>
      <c r="K4387" s="2043">
        <f>'Notes II'!K907</f>
        <v>0</v>
      </c>
      <c r="L4387" s="1674"/>
      <c r="M4387" s="1690"/>
      <c r="N4387" s="1669"/>
      <c r="O4387" s="1685"/>
      <c r="Q4387" s="1672"/>
      <c r="R4387" s="1672"/>
      <c r="S4387" s="1672"/>
      <c r="T4387" s="1672"/>
      <c r="U4387" s="1673"/>
      <c r="V4387" s="1674"/>
      <c r="W4387" s="1675"/>
      <c r="X4387" s="1674"/>
      <c r="Y4387" s="1674"/>
      <c r="Z4387" s="1674"/>
      <c r="AA4387" s="1674"/>
      <c r="AB4387" s="1674"/>
      <c r="AC4387" s="1674"/>
    </row>
    <row r="4388" spans="1:29" s="1671" customFormat="1" ht="15.6" hidden="1" customHeight="1" x14ac:dyDescent="0.25">
      <c r="A4388" s="1674"/>
      <c r="B4388" s="1716" t="s">
        <v>1519</v>
      </c>
      <c r="C4388" s="1716"/>
      <c r="D4388" s="2200"/>
      <c r="E4388" s="1716" t="s">
        <v>2367</v>
      </c>
      <c r="F4388" s="2200"/>
      <c r="G4388" s="2200"/>
      <c r="H4388" s="2200"/>
      <c r="I4388" s="2043">
        <f>'Notes II'!K891</f>
        <v>0</v>
      </c>
      <c r="J4388" s="2201"/>
      <c r="K4388" s="2043">
        <f>'Notes II'!K908</f>
        <v>0</v>
      </c>
      <c r="L4388" s="1674"/>
      <c r="M4388" s="1690"/>
      <c r="N4388" s="1669"/>
      <c r="O4388" s="1685"/>
      <c r="Q4388" s="1672"/>
      <c r="R4388" s="1672"/>
      <c r="S4388" s="1672"/>
      <c r="T4388" s="1672"/>
      <c r="U4388" s="1673"/>
      <c r="V4388" s="1674"/>
      <c r="W4388" s="1675"/>
      <c r="X4388" s="1674"/>
      <c r="Y4388" s="1674"/>
      <c r="Z4388" s="1674"/>
      <c r="AA4388" s="1674"/>
      <c r="AB4388" s="1674"/>
      <c r="AC4388" s="1674"/>
    </row>
    <row r="4389" spans="1:29" s="1671" customFormat="1" ht="15.6" hidden="1" customHeight="1" x14ac:dyDescent="0.25">
      <c r="A4389" s="1674"/>
      <c r="B4389" s="1716" t="s">
        <v>3601</v>
      </c>
      <c r="C4389" s="1716"/>
      <c r="D4389" s="2200"/>
      <c r="E4389" s="1716" t="s">
        <v>2367</v>
      </c>
      <c r="F4389" s="2200"/>
      <c r="G4389" s="2200"/>
      <c r="H4389" s="2200"/>
      <c r="I4389" s="2043">
        <f>'Notes II'!K892</f>
        <v>0</v>
      </c>
      <c r="J4389" s="2201"/>
      <c r="K4389" s="2043">
        <f>'Notes II'!K909</f>
        <v>0</v>
      </c>
      <c r="L4389" s="1674"/>
      <c r="M4389" s="1690"/>
      <c r="N4389" s="1669"/>
      <c r="O4389" s="1685"/>
      <c r="Q4389" s="1672"/>
      <c r="R4389" s="1672"/>
      <c r="S4389" s="1672"/>
      <c r="T4389" s="1672"/>
      <c r="U4389" s="1673"/>
      <c r="V4389" s="1674"/>
      <c r="W4389" s="1675"/>
      <c r="X4389" s="1674"/>
      <c r="Y4389" s="1674"/>
      <c r="Z4389" s="1674"/>
      <c r="AA4389" s="1674"/>
      <c r="AB4389" s="1674"/>
      <c r="AC4389" s="1674"/>
    </row>
    <row r="4390" spans="1:29" s="1671" customFormat="1" ht="15.6" hidden="1" customHeight="1" x14ac:dyDescent="0.25">
      <c r="A4390" s="1674"/>
      <c r="B4390" s="1716" t="s">
        <v>1720</v>
      </c>
      <c r="C4390" s="1716"/>
      <c r="D4390" s="2200"/>
      <c r="E4390" s="1716" t="s">
        <v>2367</v>
      </c>
      <c r="F4390" s="2200"/>
      <c r="G4390" s="2200"/>
      <c r="H4390" s="2200"/>
      <c r="I4390" s="2043">
        <f>'Notes II'!K975</f>
        <v>0</v>
      </c>
      <c r="J4390" s="2201"/>
      <c r="K4390" s="2043">
        <f>'Notes II'!K999</f>
        <v>0</v>
      </c>
      <c r="L4390" s="1674"/>
      <c r="M4390" s="1669"/>
      <c r="N4390" s="1669"/>
      <c r="O4390" s="1685"/>
      <c r="Q4390" s="1672"/>
      <c r="R4390" s="1672"/>
      <c r="S4390" s="1672"/>
      <c r="T4390" s="1672"/>
      <c r="U4390" s="1673"/>
      <c r="V4390" s="1674"/>
      <c r="W4390" s="1675"/>
      <c r="X4390" s="1674"/>
      <c r="Y4390" s="1674"/>
      <c r="Z4390" s="1674"/>
      <c r="AA4390" s="1674"/>
      <c r="AB4390" s="1674"/>
      <c r="AC4390" s="1674"/>
    </row>
    <row r="4391" spans="1:29" s="1671" customFormat="1" ht="15.6" hidden="1" customHeight="1" x14ac:dyDescent="0.25">
      <c r="A4391" s="1674"/>
      <c r="B4391" s="1716" t="s">
        <v>1719</v>
      </c>
      <c r="C4391" s="1716"/>
      <c r="D4391" s="2200"/>
      <c r="E4391" s="1716" t="s">
        <v>2367</v>
      </c>
      <c r="F4391" s="2200"/>
      <c r="G4391" s="2200"/>
      <c r="H4391" s="2200"/>
      <c r="I4391" s="2043">
        <f>'Notes II'!K976</f>
        <v>0</v>
      </c>
      <c r="J4391" s="2201"/>
      <c r="K4391" s="2043">
        <f>'Notes II'!K1000</f>
        <v>0</v>
      </c>
      <c r="L4391" s="1674"/>
      <c r="M4391" s="1669"/>
      <c r="N4391" s="1669"/>
      <c r="O4391" s="1685"/>
      <c r="Q4391" s="1672"/>
      <c r="R4391" s="1672"/>
      <c r="S4391" s="1672"/>
      <c r="T4391" s="1672"/>
      <c r="U4391" s="1673"/>
      <c r="V4391" s="1674"/>
      <c r="W4391" s="1675"/>
      <c r="X4391" s="1674"/>
      <c r="Y4391" s="1674"/>
      <c r="Z4391" s="1674"/>
      <c r="AA4391" s="1674"/>
      <c r="AB4391" s="1674"/>
      <c r="AC4391" s="1674"/>
    </row>
    <row r="4392" spans="1:29" s="1671" customFormat="1" ht="15.6" hidden="1" customHeight="1" x14ac:dyDescent="0.25">
      <c r="A4392" s="1674"/>
      <c r="B4392" s="1716" t="s">
        <v>1721</v>
      </c>
      <c r="C4392" s="1716"/>
      <c r="D4392" s="2200"/>
      <c r="E4392" s="1716" t="s">
        <v>2367</v>
      </c>
      <c r="F4392" s="2200"/>
      <c r="G4392" s="2200"/>
      <c r="H4392" s="2200"/>
      <c r="I4392" s="2043">
        <f>'Notes II'!K977</f>
        <v>0</v>
      </c>
      <c r="J4392" s="2201"/>
      <c r="K4392" s="2043">
        <f>'Notes II'!K1001</f>
        <v>0</v>
      </c>
      <c r="L4392" s="1674"/>
      <c r="M4392" s="1669"/>
      <c r="N4392" s="1669"/>
      <c r="O4392" s="1685"/>
      <c r="Q4392" s="1672"/>
      <c r="R4392" s="1672"/>
      <c r="S4392" s="1672"/>
      <c r="T4392" s="1672"/>
      <c r="U4392" s="1673"/>
      <c r="V4392" s="1674"/>
      <c r="W4392" s="1675"/>
      <c r="X4392" s="1674"/>
      <c r="Y4392" s="1674"/>
      <c r="Z4392" s="1674"/>
      <c r="AA4392" s="1674"/>
      <c r="AB4392" s="1674"/>
      <c r="AC4392" s="1674"/>
    </row>
    <row r="4393" spans="1:29" s="1671" customFormat="1" ht="15.6" hidden="1" customHeight="1" x14ac:dyDescent="0.25">
      <c r="A4393" s="1674"/>
      <c r="B4393" s="1716" t="s">
        <v>1722</v>
      </c>
      <c r="C4393" s="1716"/>
      <c r="D4393" s="2200"/>
      <c r="E4393" s="1716" t="s">
        <v>2367</v>
      </c>
      <c r="F4393" s="2200"/>
      <c r="G4393" s="2200"/>
      <c r="H4393" s="2200"/>
      <c r="I4393" s="2043">
        <f>'Notes II'!K978</f>
        <v>0</v>
      </c>
      <c r="J4393" s="2201"/>
      <c r="K4393" s="2043">
        <f>'Notes II'!K1002</f>
        <v>0</v>
      </c>
      <c r="L4393" s="1674"/>
      <c r="M4393" s="1669"/>
      <c r="N4393" s="1669"/>
      <c r="O4393" s="1685"/>
      <c r="Q4393" s="1672"/>
      <c r="R4393" s="1672"/>
      <c r="S4393" s="1672"/>
      <c r="T4393" s="1672"/>
      <c r="U4393" s="1673"/>
      <c r="V4393" s="1674"/>
      <c r="W4393" s="1675"/>
      <c r="X4393" s="1674"/>
      <c r="Y4393" s="1674"/>
      <c r="Z4393" s="1674"/>
      <c r="AA4393" s="1674"/>
      <c r="AB4393" s="1674"/>
      <c r="AC4393" s="1674"/>
    </row>
    <row r="4394" spans="1:29" s="1671" customFormat="1" ht="15.6" hidden="1" customHeight="1" x14ac:dyDescent="0.25">
      <c r="A4394" s="1674"/>
      <c r="B4394" s="1716" t="s">
        <v>1723</v>
      </c>
      <c r="C4394" s="1716"/>
      <c r="D4394" s="2200"/>
      <c r="E4394" s="1716" t="s">
        <v>2367</v>
      </c>
      <c r="F4394" s="2200"/>
      <c r="G4394" s="2200"/>
      <c r="H4394" s="2200"/>
      <c r="I4394" s="2043">
        <f>'Notes II'!K979</f>
        <v>0</v>
      </c>
      <c r="J4394" s="2201"/>
      <c r="K4394" s="2043">
        <f>'Notes II'!K1003</f>
        <v>0</v>
      </c>
      <c r="L4394" s="1674"/>
      <c r="M4394" s="1669"/>
      <c r="N4394" s="1669"/>
      <c r="O4394" s="1685"/>
      <c r="Q4394" s="1672"/>
      <c r="R4394" s="1672"/>
      <c r="S4394" s="1672"/>
      <c r="T4394" s="1672"/>
      <c r="U4394" s="1673"/>
      <c r="V4394" s="1674"/>
      <c r="W4394" s="1675"/>
      <c r="X4394" s="1674"/>
      <c r="Y4394" s="1674"/>
      <c r="Z4394" s="1674"/>
      <c r="AA4394" s="1674"/>
      <c r="AB4394" s="1674"/>
      <c r="AC4394" s="1674"/>
    </row>
    <row r="4395" spans="1:29" s="1671" customFormat="1" ht="15.6" hidden="1" customHeight="1" x14ac:dyDescent="0.25">
      <c r="A4395" s="1674"/>
      <c r="B4395" s="1716" t="s">
        <v>1724</v>
      </c>
      <c r="C4395" s="1716"/>
      <c r="D4395" s="2200"/>
      <c r="E4395" s="1716" t="s">
        <v>2367</v>
      </c>
      <c r="F4395" s="2200"/>
      <c r="G4395" s="2200"/>
      <c r="H4395" s="2200"/>
      <c r="I4395" s="2043">
        <f>'Notes II'!K980</f>
        <v>0</v>
      </c>
      <c r="J4395" s="2201"/>
      <c r="K4395" s="2043">
        <f>'Notes II'!K1004</f>
        <v>0</v>
      </c>
      <c r="L4395" s="1674"/>
      <c r="M4395" s="1669"/>
      <c r="N4395" s="1669"/>
      <c r="O4395" s="1685"/>
      <c r="Q4395" s="1672"/>
      <c r="R4395" s="1672"/>
      <c r="S4395" s="1672"/>
      <c r="T4395" s="1672"/>
      <c r="U4395" s="1673"/>
      <c r="V4395" s="1674"/>
      <c r="W4395" s="1675"/>
      <c r="X4395" s="1674"/>
      <c r="Y4395" s="1674"/>
      <c r="Z4395" s="1674"/>
      <c r="AA4395" s="1674"/>
      <c r="AB4395" s="1674"/>
      <c r="AC4395" s="1674"/>
    </row>
    <row r="4396" spans="1:29" s="1671" customFormat="1" ht="15.6" hidden="1" customHeight="1" x14ac:dyDescent="0.25">
      <c r="A4396" s="1674"/>
      <c r="B4396" s="1674"/>
      <c r="C4396" s="1674"/>
      <c r="D4396" s="1678"/>
      <c r="E4396" s="1674"/>
      <c r="F4396" s="1678"/>
      <c r="G4396" s="1678"/>
      <c r="H4396" s="1678"/>
      <c r="I4396" s="244">
        <f>SUM(I4338:I4395)</f>
        <v>1264082.6799999964</v>
      </c>
      <c r="J4396" s="1682"/>
      <c r="K4396" s="244">
        <f>SUM(K4338:K4395)</f>
        <v>10622229.322715169</v>
      </c>
      <c r="L4396" s="1674"/>
      <c r="M4396" s="1669"/>
      <c r="N4396" s="1669"/>
      <c r="O4396" s="1685"/>
      <c r="Q4396" s="1672"/>
      <c r="R4396" s="1672"/>
      <c r="S4396" s="1672"/>
      <c r="T4396" s="1672"/>
      <c r="U4396" s="1673"/>
      <c r="V4396" s="1674"/>
      <c r="W4396" s="1675"/>
      <c r="X4396" s="1674"/>
      <c r="Y4396" s="1674"/>
      <c r="Z4396" s="1674"/>
      <c r="AA4396" s="1674"/>
      <c r="AB4396" s="1674"/>
      <c r="AC4396" s="1674"/>
    </row>
    <row r="4397" spans="1:29" s="1671" customFormat="1" ht="15.6" hidden="1" customHeight="1" x14ac:dyDescent="0.25">
      <c r="A4397" s="1674"/>
      <c r="B4397" s="1674"/>
      <c r="C4397" s="1674"/>
      <c r="D4397" s="1678"/>
      <c r="E4397" s="1674"/>
      <c r="F4397" s="1678"/>
      <c r="G4397" s="1678"/>
      <c r="H4397" s="1678"/>
      <c r="I4397" s="58"/>
      <c r="J4397" s="1682"/>
      <c r="K4397" s="58"/>
      <c r="L4397" s="1674"/>
      <c r="M4397" s="1669"/>
      <c r="N4397" s="1669"/>
      <c r="O4397" s="1685"/>
      <c r="Q4397" s="1672"/>
      <c r="R4397" s="1672"/>
      <c r="S4397" s="1672"/>
      <c r="T4397" s="1672"/>
      <c r="U4397" s="1673"/>
      <c r="V4397" s="1674"/>
      <c r="W4397" s="1675"/>
      <c r="X4397" s="1674"/>
      <c r="Y4397" s="1674"/>
      <c r="Z4397" s="1674"/>
      <c r="AA4397" s="1674"/>
      <c r="AB4397" s="1674"/>
      <c r="AC4397" s="1674"/>
    </row>
    <row r="4398" spans="1:29" s="1671" customFormat="1" ht="15.6" customHeight="1" x14ac:dyDescent="0.25">
      <c r="A4398" s="1674"/>
      <c r="B4398" s="1677" t="s">
        <v>503</v>
      </c>
      <c r="C4398" s="1674"/>
      <c r="D4398" s="1678"/>
      <c r="E4398" s="1674"/>
      <c r="F4398" s="1678"/>
      <c r="G4398" s="1678"/>
      <c r="H4398" s="1678"/>
      <c r="I4398" s="58"/>
      <c r="J4398" s="1682"/>
      <c r="K4398" s="58"/>
      <c r="L4398" s="1674"/>
      <c r="M4398" s="1669"/>
      <c r="N4398" s="1669"/>
      <c r="O4398" s="1685"/>
      <c r="Q4398" s="1672"/>
      <c r="R4398" s="1672"/>
      <c r="S4398" s="1672"/>
      <c r="T4398" s="1672"/>
      <c r="U4398" s="1673"/>
      <c r="V4398" s="1674"/>
      <c r="W4398" s="1675"/>
      <c r="X4398" s="1674"/>
      <c r="Y4398" s="1674"/>
      <c r="Z4398" s="1674"/>
      <c r="AA4398" s="1674"/>
      <c r="AB4398" s="1674"/>
      <c r="AC4398" s="1674"/>
    </row>
    <row r="4399" spans="1:29" s="1671" customFormat="1" ht="15.6" customHeight="1" x14ac:dyDescent="0.25">
      <c r="A4399" s="1674"/>
      <c r="B4399" s="1674"/>
      <c r="C4399" s="1674"/>
      <c r="D4399" s="1678"/>
      <c r="E4399" s="1674"/>
      <c r="F4399" s="1678"/>
      <c r="G4399" s="1678"/>
      <c r="H4399" s="1678"/>
      <c r="I4399" s="58"/>
      <c r="J4399" s="1682"/>
      <c r="K4399" s="58"/>
      <c r="L4399" s="1674"/>
      <c r="M4399" s="1669"/>
      <c r="N4399" s="1669"/>
      <c r="O4399" s="1685"/>
      <c r="Q4399" s="1672"/>
      <c r="R4399" s="1672"/>
      <c r="S4399" s="1672"/>
      <c r="T4399" s="1672"/>
      <c r="U4399" s="1673"/>
      <c r="V4399" s="1674"/>
      <c r="W4399" s="1675"/>
      <c r="X4399" s="1674"/>
      <c r="Y4399" s="1674"/>
      <c r="Z4399" s="1674"/>
      <c r="AA4399" s="1674"/>
      <c r="AB4399" s="1674"/>
      <c r="AC4399" s="1674"/>
    </row>
    <row r="4400" spans="1:29" s="1671" customFormat="1" ht="15.6" hidden="1" customHeight="1" x14ac:dyDescent="0.25">
      <c r="A4400" s="1674"/>
      <c r="B4400" s="2199" t="s">
        <v>1161</v>
      </c>
      <c r="C4400" s="1716"/>
      <c r="D4400" s="2200"/>
      <c r="E4400" s="1716"/>
      <c r="F4400" s="2200"/>
      <c r="G4400" s="2200"/>
      <c r="H4400" s="2200"/>
      <c r="I4400" s="2043"/>
      <c r="J4400" s="2201"/>
      <c r="K4400" s="2043"/>
      <c r="L4400" s="1674"/>
      <c r="M4400" s="1690"/>
      <c r="N4400" s="1669"/>
      <c r="O4400" s="1685"/>
      <c r="Q4400" s="1672"/>
      <c r="R4400" s="1672"/>
      <c r="S4400" s="1672"/>
      <c r="T4400" s="1672"/>
      <c r="U4400" s="1673"/>
      <c r="V4400" s="1674"/>
      <c r="W4400" s="1675"/>
      <c r="X4400" s="1674"/>
      <c r="Y4400" s="1674"/>
      <c r="Z4400" s="1674"/>
      <c r="AA4400" s="1674"/>
      <c r="AB4400" s="1674"/>
      <c r="AC4400" s="1674"/>
    </row>
    <row r="4401" spans="1:29" s="1671" customFormat="1" ht="15.6" hidden="1" customHeight="1" x14ac:dyDescent="0.25">
      <c r="A4401" s="1674"/>
      <c r="B4401" s="1716" t="s">
        <v>1157</v>
      </c>
      <c r="C4401" s="1716"/>
      <c r="D4401" s="2200"/>
      <c r="E4401" s="1716" t="s">
        <v>1158</v>
      </c>
      <c r="F4401" s="2200"/>
      <c r="G4401" s="2200"/>
      <c r="H4401" s="2200"/>
      <c r="I4401" s="2043">
        <v>0</v>
      </c>
      <c r="J4401" s="2201"/>
      <c r="K4401" s="2043">
        <v>0</v>
      </c>
      <c r="L4401" s="1674"/>
      <c r="M4401" s="1690"/>
      <c r="N4401" s="1669"/>
      <c r="O4401" s="1685"/>
      <c r="Q4401" s="1672"/>
      <c r="R4401" s="1672"/>
      <c r="S4401" s="1672"/>
      <c r="T4401" s="1672"/>
      <c r="U4401" s="1673"/>
      <c r="V4401" s="1674"/>
      <c r="W4401" s="1675"/>
      <c r="X4401" s="1674"/>
      <c r="Y4401" s="1674"/>
      <c r="Z4401" s="1674"/>
      <c r="AA4401" s="1674"/>
      <c r="AB4401" s="1674"/>
      <c r="AC4401" s="1674"/>
    </row>
    <row r="4402" spans="1:29" s="1672" customFormat="1" ht="15.6" hidden="1" customHeight="1" x14ac:dyDescent="0.25">
      <c r="A4402" s="1674"/>
      <c r="B4402" s="1716" t="s">
        <v>1159</v>
      </c>
      <c r="C4402" s="1716"/>
      <c r="D4402" s="2200"/>
      <c r="E4402" s="1716" t="s">
        <v>1160</v>
      </c>
      <c r="F4402" s="2200"/>
      <c r="G4402" s="2200"/>
      <c r="H4402" s="2200"/>
      <c r="I4402" s="2043">
        <v>0</v>
      </c>
      <c r="J4402" s="2201"/>
      <c r="K4402" s="2043">
        <v>0</v>
      </c>
      <c r="L4402" s="1674"/>
      <c r="M4402" s="1690"/>
      <c r="N4402" s="1669"/>
      <c r="O4402" s="1685"/>
      <c r="P4402" s="1671"/>
      <c r="U4402" s="1673"/>
      <c r="V4402" s="1674"/>
      <c r="W4402" s="1675"/>
      <c r="X4402" s="1674"/>
      <c r="Y4402" s="1674"/>
      <c r="Z4402" s="1674"/>
      <c r="AA4402" s="1674"/>
      <c r="AB4402" s="1674"/>
      <c r="AC4402" s="1674"/>
    </row>
    <row r="4403" spans="1:29" s="1672" customFormat="1" ht="15.6" hidden="1" customHeight="1" x14ac:dyDescent="0.25">
      <c r="A4403" s="1674"/>
      <c r="B4403" s="1716"/>
      <c r="C4403" s="1716"/>
      <c r="D4403" s="2200"/>
      <c r="E4403" s="1716"/>
      <c r="F4403" s="2200"/>
      <c r="G4403" s="2200"/>
      <c r="H4403" s="2200"/>
      <c r="I4403" s="2043"/>
      <c r="J4403" s="2201"/>
      <c r="K4403" s="2043"/>
      <c r="L4403" s="1674"/>
      <c r="M4403" s="1690"/>
      <c r="N4403" s="1669"/>
      <c r="O4403" s="1685"/>
      <c r="P4403" s="1671"/>
      <c r="U4403" s="1673"/>
      <c r="V4403" s="1674"/>
      <c r="W4403" s="1675"/>
      <c r="X4403" s="1674"/>
      <c r="Y4403" s="1674"/>
      <c r="Z4403" s="1674"/>
      <c r="AA4403" s="1674"/>
      <c r="AB4403" s="1674"/>
      <c r="AC4403" s="1674"/>
    </row>
    <row r="4404" spans="1:29" s="1672" customFormat="1" ht="15.6" hidden="1" customHeight="1" thickBot="1" x14ac:dyDescent="0.3">
      <c r="A4404" s="1674"/>
      <c r="B4404" s="1716"/>
      <c r="C4404" s="1716"/>
      <c r="D4404" s="2200"/>
      <c r="E4404" s="1716"/>
      <c r="F4404" s="2200"/>
      <c r="G4404" s="2200"/>
      <c r="H4404" s="2200"/>
      <c r="I4404" s="2202">
        <f>SUM(I4400:I4403)</f>
        <v>0</v>
      </c>
      <c r="J4404" s="2201"/>
      <c r="K4404" s="2202">
        <f>SUM(K4400:K4403)</f>
        <v>0</v>
      </c>
      <c r="L4404" s="1674"/>
      <c r="M4404" s="1690"/>
      <c r="N4404" s="1669"/>
      <c r="O4404" s="1685"/>
      <c r="P4404" s="1671"/>
      <c r="U4404" s="1673"/>
      <c r="V4404" s="1674"/>
      <c r="W4404" s="1675"/>
      <c r="X4404" s="1674"/>
      <c r="Y4404" s="1674"/>
      <c r="Z4404" s="1674"/>
      <c r="AA4404" s="1674"/>
      <c r="AB4404" s="1674"/>
      <c r="AC4404" s="1674"/>
    </row>
    <row r="4405" spans="1:29" s="1672" customFormat="1" ht="15.6" hidden="1" customHeight="1" thickTop="1" x14ac:dyDescent="0.25">
      <c r="A4405" s="1674"/>
      <c r="B4405" s="1716"/>
      <c r="C4405" s="1716"/>
      <c r="D4405" s="2200"/>
      <c r="E4405" s="1716"/>
      <c r="F4405" s="2200"/>
      <c r="G4405" s="2200"/>
      <c r="H4405" s="2200"/>
      <c r="I4405" s="2043"/>
      <c r="J4405" s="2201"/>
      <c r="K4405" s="2043"/>
      <c r="L4405" s="1674"/>
      <c r="M4405" s="1690"/>
      <c r="N4405" s="1669"/>
      <c r="O4405" s="1685"/>
      <c r="P4405" s="1671"/>
      <c r="U4405" s="1673"/>
      <c r="V4405" s="1674"/>
      <c r="W4405" s="1675"/>
      <c r="X4405" s="1674"/>
      <c r="Y4405" s="1674"/>
      <c r="Z4405" s="1674"/>
      <c r="AA4405" s="1674"/>
      <c r="AB4405" s="1674"/>
      <c r="AC4405" s="1674"/>
    </row>
    <row r="4406" spans="1:29" s="1672" customFormat="1" ht="15.6" customHeight="1" x14ac:dyDescent="0.25">
      <c r="A4406" s="1674"/>
      <c r="B4406" s="1677" t="s">
        <v>2372</v>
      </c>
      <c r="C4406" s="1674"/>
      <c r="D4406" s="1678"/>
      <c r="E4406" s="1674"/>
      <c r="F4406" s="1678"/>
      <c r="G4406" s="1678"/>
      <c r="H4406" s="1678"/>
      <c r="I4406" s="58"/>
      <c r="J4406" s="1682"/>
      <c r="K4406" s="58"/>
      <c r="L4406" s="1674"/>
      <c r="M4406" s="1669"/>
      <c r="N4406" s="1669"/>
      <c r="O4406" s="1685"/>
      <c r="P4406" s="1671"/>
      <c r="U4406" s="1673"/>
      <c r="V4406" s="1674"/>
      <c r="W4406" s="1675"/>
      <c r="X4406" s="1674"/>
      <c r="Y4406" s="1674"/>
      <c r="Z4406" s="1674"/>
      <c r="AA4406" s="1674"/>
      <c r="AB4406" s="1674"/>
      <c r="AC4406" s="1674"/>
    </row>
    <row r="4407" spans="1:29" s="1672" customFormat="1" ht="15.6" hidden="1" customHeight="1" x14ac:dyDescent="0.25">
      <c r="A4407" s="1674"/>
      <c r="B4407" s="1674" t="s">
        <v>1450</v>
      </c>
      <c r="C4407" s="1674"/>
      <c r="D4407" s="1678"/>
      <c r="E4407" s="1674" t="s">
        <v>165</v>
      </c>
      <c r="F4407" s="1678"/>
      <c r="G4407" s="1678"/>
      <c r="H4407" s="1678"/>
      <c r="I4407" s="58">
        <f>I4339</f>
        <v>0</v>
      </c>
      <c r="J4407" s="1682"/>
      <c r="K4407" s="58">
        <f>K4339</f>
        <v>0</v>
      </c>
      <c r="L4407" s="1674"/>
      <c r="M4407" s="1669"/>
      <c r="N4407" s="1669"/>
      <c r="O4407" s="1685"/>
      <c r="P4407" s="1671"/>
      <c r="U4407" s="1673"/>
      <c r="V4407" s="1674"/>
      <c r="W4407" s="1675"/>
      <c r="X4407" s="1674"/>
      <c r="Y4407" s="1674"/>
      <c r="Z4407" s="1674"/>
      <c r="AA4407" s="1674"/>
      <c r="AB4407" s="1674"/>
      <c r="AC4407" s="1674"/>
    </row>
    <row r="4408" spans="1:29" s="1672" customFormat="1" ht="15.6" customHeight="1" x14ac:dyDescent="0.25">
      <c r="A4408" s="1674"/>
      <c r="B4408" s="1674" t="s">
        <v>1450</v>
      </c>
      <c r="C4408" s="1674"/>
      <c r="D4408" s="1678"/>
      <c r="E4408" s="1674" t="s">
        <v>7327</v>
      </c>
      <c r="F4408" s="1678"/>
      <c r="G4408" s="1678"/>
      <c r="H4408" s="1678"/>
      <c r="I4408" s="58">
        <f>I4340</f>
        <v>112659.79999999999</v>
      </c>
      <c r="J4408" s="1682"/>
      <c r="K4408" s="58">
        <f>K4340</f>
        <v>95825.5</v>
      </c>
      <c r="L4408" s="1674"/>
      <c r="M4408" s="1669"/>
      <c r="N4408" s="1669"/>
      <c r="O4408" s="1685"/>
      <c r="P4408" s="1671"/>
      <c r="U4408" s="1673"/>
      <c r="V4408" s="1674"/>
      <c r="W4408" s="1675"/>
      <c r="X4408" s="1674"/>
      <c r="Y4408" s="1674"/>
      <c r="Z4408" s="1674"/>
      <c r="AA4408" s="1674"/>
      <c r="AB4408" s="1674"/>
      <c r="AC4408" s="1674"/>
    </row>
    <row r="4409" spans="1:29" s="1672" customFormat="1" ht="15.6" customHeight="1" x14ac:dyDescent="0.25">
      <c r="A4409" s="1674"/>
      <c r="B4409" s="1674" t="s">
        <v>1450</v>
      </c>
      <c r="C4409" s="1674"/>
      <c r="D4409" s="1678"/>
      <c r="E4409" s="1674" t="s">
        <v>290</v>
      </c>
      <c r="F4409" s="1678"/>
      <c r="G4409" s="1678"/>
      <c r="H4409" s="1678"/>
      <c r="I4409" s="58">
        <f>I4341</f>
        <v>0</v>
      </c>
      <c r="J4409" s="1682"/>
      <c r="K4409" s="58">
        <f>K4341</f>
        <v>0</v>
      </c>
      <c r="L4409" s="1674"/>
      <c r="M4409" s="1669"/>
      <c r="N4409" s="1669"/>
      <c r="O4409" s="1685"/>
      <c r="P4409" s="1671"/>
      <c r="U4409" s="1673"/>
      <c r="V4409" s="1674"/>
      <c r="W4409" s="1675"/>
      <c r="X4409" s="1674"/>
      <c r="Y4409" s="1674"/>
      <c r="Z4409" s="1674"/>
      <c r="AA4409" s="1674"/>
      <c r="AB4409" s="1674"/>
      <c r="AC4409" s="1674"/>
    </row>
    <row r="4410" spans="1:29" s="1672" customFormat="1" ht="15.6" customHeight="1" x14ac:dyDescent="0.25">
      <c r="A4410" s="1674"/>
      <c r="B4410" s="1674"/>
      <c r="C4410" s="1674"/>
      <c r="D4410" s="1678"/>
      <c r="E4410" s="1674"/>
      <c r="F4410" s="1678"/>
      <c r="G4410" s="1678"/>
      <c r="H4410" s="1678"/>
      <c r="I4410" s="58"/>
      <c r="J4410" s="1682"/>
      <c r="K4410" s="58"/>
      <c r="L4410" s="1674"/>
      <c r="M4410" s="1669"/>
      <c r="N4410" s="1669"/>
      <c r="O4410" s="1685"/>
      <c r="P4410" s="1671"/>
      <c r="U4410" s="1673"/>
      <c r="V4410" s="1674"/>
      <c r="W4410" s="1675"/>
      <c r="X4410" s="1674"/>
      <c r="Y4410" s="1674"/>
      <c r="Z4410" s="1674"/>
      <c r="AA4410" s="1674"/>
      <c r="AB4410" s="1674"/>
      <c r="AC4410" s="1674"/>
    </row>
    <row r="4411" spans="1:29" s="1672" customFormat="1" ht="15.6" hidden="1" customHeight="1" x14ac:dyDescent="0.25">
      <c r="A4411" s="1674"/>
      <c r="B4411" s="1674" t="s">
        <v>783</v>
      </c>
      <c r="C4411" s="1674"/>
      <c r="D4411" s="1678"/>
      <c r="E4411" s="1674" t="s">
        <v>1414</v>
      </c>
      <c r="F4411" s="1678"/>
      <c r="G4411" s="1678"/>
      <c r="H4411" s="1678"/>
      <c r="I4411" s="58">
        <f>I4344</f>
        <v>0</v>
      </c>
      <c r="J4411" s="1682"/>
      <c r="K4411" s="58">
        <f>K4344</f>
        <v>0</v>
      </c>
      <c r="L4411" s="1674"/>
      <c r="M4411" s="1669"/>
      <c r="N4411" s="1669"/>
      <c r="O4411" s="1685"/>
      <c r="P4411" s="1695"/>
      <c r="U4411" s="1673"/>
      <c r="V4411" s="1674"/>
      <c r="W4411" s="1675"/>
      <c r="X4411" s="1674"/>
      <c r="Y4411" s="1674"/>
      <c r="Z4411" s="1674"/>
      <c r="AA4411" s="1674"/>
      <c r="AB4411" s="1674"/>
      <c r="AC4411" s="1674"/>
    </row>
    <row r="4412" spans="1:29" s="1672" customFormat="1" ht="15.6" hidden="1" customHeight="1" x14ac:dyDescent="0.25">
      <c r="A4412" s="1674"/>
      <c r="B4412" s="1674" t="s">
        <v>783</v>
      </c>
      <c r="C4412" s="1674"/>
      <c r="D4412" s="1678"/>
      <c r="E4412" s="1674" t="s">
        <v>1519</v>
      </c>
      <c r="F4412" s="1678"/>
      <c r="G4412" s="1678"/>
      <c r="H4412" s="1678"/>
      <c r="I4412" s="58">
        <f>I4345</f>
        <v>0</v>
      </c>
      <c r="J4412" s="1682"/>
      <c r="K4412" s="58">
        <f>K4345</f>
        <v>0</v>
      </c>
      <c r="L4412" s="1674"/>
      <c r="M4412" s="1669"/>
      <c r="N4412" s="1669"/>
      <c r="O4412" s="1685"/>
      <c r="P4412" s="1695"/>
      <c r="U4412" s="1673"/>
      <c r="V4412" s="1674"/>
      <c r="W4412" s="1675"/>
      <c r="X4412" s="1674"/>
      <c r="Y4412" s="1674"/>
      <c r="Z4412" s="1674"/>
      <c r="AA4412" s="1674"/>
      <c r="AB4412" s="1674"/>
      <c r="AC4412" s="1674"/>
    </row>
    <row r="4413" spans="1:29" s="1672" customFormat="1" ht="15.6" hidden="1" customHeight="1" x14ac:dyDescent="0.25">
      <c r="A4413" s="1674"/>
      <c r="B4413" s="1674" t="s">
        <v>783</v>
      </c>
      <c r="C4413" s="1674"/>
      <c r="D4413" s="1678"/>
      <c r="E4413" s="1674" t="s">
        <v>3601</v>
      </c>
      <c r="F4413" s="1678"/>
      <c r="G4413" s="1678"/>
      <c r="H4413" s="1678"/>
      <c r="I4413" s="58">
        <f>I4346</f>
        <v>0</v>
      </c>
      <c r="J4413" s="1682"/>
      <c r="K4413" s="58">
        <f>K4346</f>
        <v>0</v>
      </c>
      <c r="L4413" s="1674"/>
      <c r="M4413" s="1669"/>
      <c r="N4413" s="1669"/>
      <c r="O4413" s="1685"/>
      <c r="P4413" s="1695"/>
      <c r="U4413" s="1673"/>
      <c r="V4413" s="1674"/>
      <c r="W4413" s="1675"/>
      <c r="X4413" s="1674"/>
      <c r="Y4413" s="1674"/>
      <c r="Z4413" s="1674"/>
      <c r="AA4413" s="1674"/>
      <c r="AB4413" s="1674"/>
      <c r="AC4413" s="1674"/>
    </row>
    <row r="4414" spans="1:29" s="1672" customFormat="1" ht="15.6" hidden="1" customHeight="1" x14ac:dyDescent="0.25">
      <c r="A4414" s="1674"/>
      <c r="B4414" s="1674"/>
      <c r="C4414" s="1674"/>
      <c r="D4414" s="1678"/>
      <c r="E4414" s="1674"/>
      <c r="F4414" s="1678"/>
      <c r="G4414" s="1678"/>
      <c r="H4414" s="1678"/>
      <c r="I4414" s="58"/>
      <c r="J4414" s="1682"/>
      <c r="K4414" s="58"/>
      <c r="L4414" s="1674"/>
      <c r="M4414" s="1669"/>
      <c r="N4414" s="1669"/>
      <c r="O4414" s="1685"/>
      <c r="P4414" s="1695"/>
      <c r="U4414" s="1673"/>
      <c r="V4414" s="1674"/>
      <c r="W4414" s="1675"/>
      <c r="X4414" s="1674"/>
      <c r="Y4414" s="1674"/>
      <c r="Z4414" s="1674"/>
      <c r="AA4414" s="1674"/>
      <c r="AB4414" s="1674"/>
      <c r="AC4414" s="1674"/>
    </row>
    <row r="4415" spans="1:29" s="1672" customFormat="1" ht="15.6" hidden="1" customHeight="1" x14ac:dyDescent="0.25">
      <c r="A4415" s="1674"/>
      <c r="B4415" s="1674" t="s">
        <v>399</v>
      </c>
      <c r="C4415" s="1674"/>
      <c r="D4415" s="1678"/>
      <c r="E4415" s="1674" t="s">
        <v>1720</v>
      </c>
      <c r="F4415" s="1678"/>
      <c r="G4415" s="1678"/>
      <c r="H4415" s="1678"/>
      <c r="I4415" s="58">
        <f t="shared" ref="I4415:I4420" si="60">I4349</f>
        <v>0</v>
      </c>
      <c r="J4415" s="1682"/>
      <c r="K4415" s="58">
        <f t="shared" ref="K4415:K4420" si="61">K4349</f>
        <v>0</v>
      </c>
      <c r="L4415" s="1674"/>
      <c r="M4415" s="1669"/>
      <c r="N4415" s="1669"/>
      <c r="O4415" s="1685"/>
      <c r="P4415" s="1695"/>
      <c r="U4415" s="1673"/>
      <c r="V4415" s="1674"/>
      <c r="W4415" s="1675"/>
      <c r="X4415" s="1674"/>
      <c r="Y4415" s="1674"/>
      <c r="Z4415" s="1674"/>
      <c r="AA4415" s="1674"/>
      <c r="AB4415" s="1674"/>
      <c r="AC4415" s="1674"/>
    </row>
    <row r="4416" spans="1:29" s="1672" customFormat="1" ht="15.6" hidden="1" customHeight="1" x14ac:dyDescent="0.25">
      <c r="A4416" s="1674"/>
      <c r="B4416" s="1674" t="s">
        <v>399</v>
      </c>
      <c r="C4416" s="1674"/>
      <c r="D4416" s="1678"/>
      <c r="E4416" s="1674" t="s">
        <v>1719</v>
      </c>
      <c r="F4416" s="1678"/>
      <c r="G4416" s="1678"/>
      <c r="H4416" s="1678"/>
      <c r="I4416" s="58">
        <f t="shared" si="60"/>
        <v>0</v>
      </c>
      <c r="J4416" s="1682"/>
      <c r="K4416" s="58">
        <f t="shared" si="61"/>
        <v>0</v>
      </c>
      <c r="L4416" s="1674"/>
      <c r="M4416" s="1669"/>
      <c r="N4416" s="1669"/>
      <c r="O4416" s="1685"/>
      <c r="P4416" s="1695"/>
      <c r="U4416" s="1673"/>
      <c r="V4416" s="1674"/>
      <c r="W4416" s="1675"/>
      <c r="X4416" s="1674"/>
      <c r="Y4416" s="1674"/>
      <c r="Z4416" s="1674"/>
      <c r="AA4416" s="1674"/>
      <c r="AB4416" s="1674"/>
      <c r="AC4416" s="1674"/>
    </row>
    <row r="4417" spans="1:29" s="1672" customFormat="1" ht="15.6" hidden="1" customHeight="1" x14ac:dyDescent="0.25">
      <c r="A4417" s="1674"/>
      <c r="B4417" s="1674" t="s">
        <v>399</v>
      </c>
      <c r="C4417" s="1674"/>
      <c r="D4417" s="1678"/>
      <c r="E4417" s="1674" t="s">
        <v>1721</v>
      </c>
      <c r="F4417" s="1678"/>
      <c r="G4417" s="1678"/>
      <c r="H4417" s="1678"/>
      <c r="I4417" s="58">
        <f t="shared" si="60"/>
        <v>0</v>
      </c>
      <c r="J4417" s="1682"/>
      <c r="K4417" s="58">
        <f t="shared" si="61"/>
        <v>0</v>
      </c>
      <c r="L4417" s="1674"/>
      <c r="M4417" s="1669"/>
      <c r="N4417" s="1669"/>
      <c r="O4417" s="1685"/>
      <c r="P4417" s="1695"/>
      <c r="U4417" s="1673"/>
      <c r="V4417" s="1674"/>
      <c r="W4417" s="1675"/>
      <c r="X4417" s="1674"/>
      <c r="Y4417" s="1674"/>
      <c r="Z4417" s="1674"/>
      <c r="AA4417" s="1674"/>
      <c r="AB4417" s="1674"/>
      <c r="AC4417" s="1674"/>
    </row>
    <row r="4418" spans="1:29" s="1672" customFormat="1" ht="15.6" hidden="1" customHeight="1" x14ac:dyDescent="0.25">
      <c r="A4418" s="1674"/>
      <c r="B4418" s="1674" t="s">
        <v>399</v>
      </c>
      <c r="C4418" s="1674"/>
      <c r="D4418" s="1678"/>
      <c r="E4418" s="1674" t="s">
        <v>1722</v>
      </c>
      <c r="F4418" s="1678"/>
      <c r="G4418" s="1678"/>
      <c r="H4418" s="1678"/>
      <c r="I4418" s="58">
        <f t="shared" si="60"/>
        <v>0</v>
      </c>
      <c r="J4418" s="1682"/>
      <c r="K4418" s="58">
        <f t="shared" si="61"/>
        <v>0</v>
      </c>
      <c r="L4418" s="1674"/>
      <c r="M4418" s="1669"/>
      <c r="N4418" s="1669"/>
      <c r="O4418" s="1685"/>
      <c r="P4418" s="1695"/>
      <c r="U4418" s="1673"/>
      <c r="V4418" s="1674"/>
      <c r="W4418" s="1675"/>
      <c r="X4418" s="1674"/>
      <c r="Y4418" s="1674"/>
      <c r="Z4418" s="1674"/>
      <c r="AA4418" s="1674"/>
      <c r="AB4418" s="1674"/>
      <c r="AC4418" s="1674"/>
    </row>
    <row r="4419" spans="1:29" s="1672" customFormat="1" ht="15.6" hidden="1" customHeight="1" x14ac:dyDescent="0.25">
      <c r="A4419" s="1674"/>
      <c r="B4419" s="1674" t="s">
        <v>399</v>
      </c>
      <c r="C4419" s="1674"/>
      <c r="D4419" s="1678"/>
      <c r="E4419" s="1674" t="s">
        <v>1723</v>
      </c>
      <c r="F4419" s="1678"/>
      <c r="G4419" s="1678"/>
      <c r="H4419" s="1678"/>
      <c r="I4419" s="58">
        <f t="shared" si="60"/>
        <v>0</v>
      </c>
      <c r="J4419" s="1682"/>
      <c r="K4419" s="58">
        <f t="shared" si="61"/>
        <v>0</v>
      </c>
      <c r="L4419" s="1674"/>
      <c r="M4419" s="1669"/>
      <c r="N4419" s="1669"/>
      <c r="O4419" s="1685"/>
      <c r="P4419" s="1695"/>
      <c r="U4419" s="1673"/>
      <c r="V4419" s="1674"/>
      <c r="W4419" s="1675"/>
      <c r="X4419" s="1674"/>
      <c r="Y4419" s="1674"/>
      <c r="Z4419" s="1674"/>
      <c r="AA4419" s="1674"/>
      <c r="AB4419" s="1674"/>
      <c r="AC4419" s="1674"/>
    </row>
    <row r="4420" spans="1:29" s="1672" customFormat="1" ht="15.6" hidden="1" customHeight="1" x14ac:dyDescent="0.25">
      <c r="A4420" s="1674"/>
      <c r="B4420" s="1674" t="s">
        <v>399</v>
      </c>
      <c r="C4420" s="1674"/>
      <c r="D4420" s="1678"/>
      <c r="E4420" s="1674" t="s">
        <v>1724</v>
      </c>
      <c r="F4420" s="1678"/>
      <c r="G4420" s="1678"/>
      <c r="H4420" s="1678"/>
      <c r="I4420" s="58">
        <f t="shared" si="60"/>
        <v>0</v>
      </c>
      <c r="J4420" s="1682"/>
      <c r="K4420" s="58">
        <f t="shared" si="61"/>
        <v>0</v>
      </c>
      <c r="L4420" s="1674"/>
      <c r="M4420" s="1669"/>
      <c r="N4420" s="1669"/>
      <c r="O4420" s="1685"/>
      <c r="P4420" s="1695"/>
      <c r="U4420" s="1673"/>
      <c r="V4420" s="1674"/>
      <c r="W4420" s="1675"/>
      <c r="X4420" s="1674"/>
      <c r="Y4420" s="1674"/>
      <c r="Z4420" s="1674"/>
      <c r="AA4420" s="1674"/>
      <c r="AB4420" s="1674"/>
      <c r="AC4420" s="1674"/>
    </row>
    <row r="4421" spans="1:29" s="1672" customFormat="1" ht="15.6" hidden="1" customHeight="1" x14ac:dyDescent="0.25">
      <c r="A4421" s="1674"/>
      <c r="B4421" s="1674"/>
      <c r="C4421" s="1674"/>
      <c r="D4421" s="1678"/>
      <c r="E4421" s="1674"/>
      <c r="F4421" s="1678"/>
      <c r="G4421" s="1678"/>
      <c r="H4421" s="1678"/>
      <c r="I4421" s="58"/>
      <c r="J4421" s="1682"/>
      <c r="K4421" s="58"/>
      <c r="L4421" s="1674"/>
      <c r="M4421" s="1669"/>
      <c r="N4421" s="1669"/>
      <c r="O4421" s="1685"/>
      <c r="P4421" s="1695"/>
      <c r="U4421" s="1673"/>
      <c r="V4421" s="1674"/>
      <c r="W4421" s="1675"/>
      <c r="X4421" s="1674"/>
      <c r="Y4421" s="1674"/>
      <c r="Z4421" s="1674"/>
      <c r="AA4421" s="1674"/>
      <c r="AB4421" s="1674"/>
      <c r="AC4421" s="1674"/>
    </row>
    <row r="4422" spans="1:29" s="1672" customFormat="1" ht="15.6" customHeight="1" x14ac:dyDescent="0.25">
      <c r="A4422" s="1674"/>
      <c r="B4422" s="1674" t="s">
        <v>3969</v>
      </c>
      <c r="C4422" s="1674"/>
      <c r="D4422" s="1678"/>
      <c r="E4422" s="1674" t="s">
        <v>229</v>
      </c>
      <c r="F4422" s="1678"/>
      <c r="G4422" s="1678"/>
      <c r="H4422" s="1678"/>
      <c r="I4422" s="58">
        <f>I4357</f>
        <v>270396.0199999999</v>
      </c>
      <c r="J4422" s="1682"/>
      <c r="K4422" s="58">
        <f>K4357</f>
        <v>247850.23000000004</v>
      </c>
      <c r="L4422" s="1674"/>
      <c r="M4422" s="1669"/>
      <c r="N4422" s="1669"/>
      <c r="O4422" s="1685"/>
      <c r="P4422" s="1695"/>
      <c r="U4422" s="1673"/>
      <c r="V4422" s="1674"/>
      <c r="W4422" s="1675"/>
      <c r="X4422" s="1674"/>
      <c r="Y4422" s="1674"/>
      <c r="Z4422" s="1674"/>
      <c r="AA4422" s="1674"/>
      <c r="AB4422" s="1674"/>
      <c r="AC4422" s="1674"/>
    </row>
    <row r="4423" spans="1:29" s="1672" customFormat="1" ht="15.6" customHeight="1" x14ac:dyDescent="0.25">
      <c r="A4423" s="1674"/>
      <c r="B4423" s="1674" t="s">
        <v>3969</v>
      </c>
      <c r="C4423" s="1674"/>
      <c r="D4423" s="1678"/>
      <c r="E4423" s="1674" t="s">
        <v>166</v>
      </c>
      <c r="F4423" s="1678"/>
      <c r="G4423" s="1678"/>
      <c r="H4423" s="1678"/>
      <c r="I4423" s="58">
        <f>I4358</f>
        <v>65620</v>
      </c>
      <c r="J4423" s="1682"/>
      <c r="K4423" s="58">
        <f>K4358</f>
        <v>160752</v>
      </c>
      <c r="L4423" s="1674"/>
      <c r="M4423" s="1669"/>
      <c r="N4423" s="1669"/>
      <c r="O4423" s="1685"/>
      <c r="P4423" s="1695"/>
      <c r="U4423" s="1673"/>
      <c r="V4423" s="1674"/>
      <c r="W4423" s="1675"/>
      <c r="X4423" s="1674"/>
      <c r="Y4423" s="1674"/>
      <c r="Z4423" s="1674"/>
      <c r="AA4423" s="1674"/>
      <c r="AB4423" s="1674"/>
      <c r="AC4423" s="1674"/>
    </row>
    <row r="4424" spans="1:29" s="1672" customFormat="1" ht="15.6" customHeight="1" x14ac:dyDescent="0.25">
      <c r="A4424" s="1674"/>
      <c r="B4424" s="1674" t="s">
        <v>3969</v>
      </c>
      <c r="C4424" s="1674"/>
      <c r="D4424" s="1678"/>
      <c r="E4424" s="1674" t="s">
        <v>500</v>
      </c>
      <c r="F4424" s="1678"/>
      <c r="G4424" s="1678"/>
      <c r="H4424" s="1678"/>
      <c r="I4424" s="58">
        <f>I4359</f>
        <v>158423</v>
      </c>
      <c r="J4424" s="1682"/>
      <c r="K4424" s="58">
        <f>K4359</f>
        <v>205668.73414613027</v>
      </c>
      <c r="L4424" s="1674"/>
      <c r="M4424" s="1669"/>
      <c r="N4424" s="1669"/>
      <c r="O4424" s="1685"/>
      <c r="P4424" s="1695"/>
      <c r="U4424" s="1673"/>
      <c r="V4424" s="1674"/>
      <c r="W4424" s="1675"/>
      <c r="X4424" s="1674"/>
      <c r="Y4424" s="1674"/>
      <c r="Z4424" s="1674"/>
      <c r="AA4424" s="1674"/>
      <c r="AB4424" s="1674"/>
      <c r="AC4424" s="1674"/>
    </row>
    <row r="4425" spans="1:29" s="1672" customFormat="1" ht="15.6" customHeight="1" x14ac:dyDescent="0.25">
      <c r="A4425" s="1674"/>
      <c r="B4425" s="1674" t="s">
        <v>3969</v>
      </c>
      <c r="C4425" s="1674"/>
      <c r="D4425" s="1678"/>
      <c r="E4425" s="1674" t="s">
        <v>236</v>
      </c>
      <c r="F4425" s="1678"/>
      <c r="G4425" s="1678"/>
      <c r="H4425" s="1678"/>
      <c r="I4425" s="58">
        <f>I4360</f>
        <v>346944</v>
      </c>
      <c r="J4425" s="1682"/>
      <c r="K4425" s="58">
        <f>K4360</f>
        <v>386387.61856904067</v>
      </c>
      <c r="L4425" s="1674"/>
      <c r="M4425" s="1669"/>
      <c r="N4425" s="1669"/>
      <c r="O4425" s="1685"/>
      <c r="P4425" s="1695"/>
      <c r="U4425" s="1673"/>
      <c r="V4425" s="1674"/>
      <c r="W4425" s="1675"/>
      <c r="X4425" s="1674"/>
      <c r="Y4425" s="1674"/>
      <c r="Z4425" s="1674"/>
      <c r="AA4425" s="1674"/>
      <c r="AB4425" s="1674"/>
      <c r="AC4425" s="1674"/>
    </row>
    <row r="4426" spans="1:29" s="1672" customFormat="1" ht="15.6" customHeight="1" x14ac:dyDescent="0.25">
      <c r="A4426" s="1674"/>
      <c r="B4426" s="1674" t="s">
        <v>665</v>
      </c>
      <c r="C4426" s="1674"/>
      <c r="D4426" s="1678"/>
      <c r="E4426" s="1674" t="s">
        <v>665</v>
      </c>
      <c r="F4426" s="1678"/>
      <c r="G4426" s="1678"/>
      <c r="H4426" s="1678"/>
      <c r="I4426" s="58">
        <v>348161</v>
      </c>
      <c r="J4426" s="1682"/>
      <c r="K4426" s="58">
        <f>I4426</f>
        <v>348161</v>
      </c>
      <c r="L4426" s="1674"/>
      <c r="M4426" s="1669"/>
      <c r="N4426" s="1669"/>
      <c r="O4426" s="1685"/>
      <c r="P4426" s="1695"/>
      <c r="U4426" s="1673"/>
      <c r="V4426" s="1674"/>
      <c r="W4426" s="1675"/>
      <c r="X4426" s="1674"/>
      <c r="Y4426" s="1674"/>
      <c r="Z4426" s="1674"/>
      <c r="AA4426" s="1674"/>
      <c r="AB4426" s="1674"/>
      <c r="AC4426" s="1674"/>
    </row>
    <row r="4427" spans="1:29" s="1672" customFormat="1" ht="15.6" customHeight="1" x14ac:dyDescent="0.25">
      <c r="A4427" s="1674"/>
      <c r="B4427" s="1674" t="s">
        <v>3969</v>
      </c>
      <c r="C4427" s="1674"/>
      <c r="D4427" s="1678"/>
      <c r="E4427" s="1674" t="s">
        <v>402</v>
      </c>
      <c r="F4427" s="1678"/>
      <c r="G4427" s="1678"/>
      <c r="H4427" s="1678"/>
      <c r="I4427" s="58">
        <f>I4361</f>
        <v>21084</v>
      </c>
      <c r="J4427" s="1682"/>
      <c r="K4427" s="58">
        <f>K4361</f>
        <v>4886290.7299999977</v>
      </c>
      <c r="L4427" s="1674"/>
      <c r="M4427" s="1669"/>
      <c r="N4427" s="1669"/>
      <c r="O4427" s="1685"/>
      <c r="P4427" s="1695"/>
      <c r="U4427" s="1673"/>
      <c r="V4427" s="1674"/>
      <c r="W4427" s="1675"/>
      <c r="X4427" s="1674"/>
      <c r="Y4427" s="1674"/>
      <c r="Z4427" s="1674"/>
      <c r="AA4427" s="1674"/>
      <c r="AB4427" s="1674"/>
      <c r="AC4427" s="1674"/>
    </row>
    <row r="4428" spans="1:29" s="1672" customFormat="1" ht="15.6" customHeight="1" x14ac:dyDescent="0.25">
      <c r="A4428" s="1674"/>
      <c r="B4428" s="1674"/>
      <c r="C4428" s="1674"/>
      <c r="D4428" s="1678"/>
      <c r="E4428" s="1674"/>
      <c r="F4428" s="1678"/>
      <c r="G4428" s="1678"/>
      <c r="H4428" s="1678"/>
      <c r="I4428" s="58"/>
      <c r="J4428" s="1682"/>
      <c r="K4428" s="58"/>
      <c r="L4428" s="1674"/>
      <c r="M4428" s="1669"/>
      <c r="N4428" s="1669"/>
      <c r="O4428" s="1685"/>
      <c r="P4428" s="1695"/>
      <c r="U4428" s="1673"/>
      <c r="V4428" s="1674"/>
      <c r="W4428" s="1675"/>
      <c r="X4428" s="1674"/>
      <c r="Y4428" s="1674"/>
      <c r="Z4428" s="1674"/>
      <c r="AA4428" s="1674"/>
      <c r="AB4428" s="1674"/>
      <c r="AC4428" s="1674"/>
    </row>
    <row r="4429" spans="1:29" s="1672" customFormat="1" ht="15.6" customHeight="1" x14ac:dyDescent="0.25">
      <c r="A4429" s="1674"/>
      <c r="B4429" s="1674" t="s">
        <v>3970</v>
      </c>
      <c r="C4429" s="1674"/>
      <c r="D4429" s="1678"/>
      <c r="E4429" s="1674" t="s">
        <v>2259</v>
      </c>
      <c r="F4429" s="1678"/>
      <c r="G4429" s="1678"/>
      <c r="H4429" s="1678"/>
      <c r="I4429" s="58">
        <f t="shared" ref="I4429:I4441" si="62">I4364</f>
        <v>360.42999999970198</v>
      </c>
      <c r="J4429" s="1682"/>
      <c r="K4429" s="58">
        <f t="shared" ref="K4429:K4441" si="63">K4364</f>
        <v>4126580.5</v>
      </c>
      <c r="L4429" s="1674"/>
      <c r="M4429" s="1669"/>
      <c r="N4429" s="1669"/>
      <c r="O4429" s="1685"/>
      <c r="P4429" s="1695"/>
      <c r="U4429" s="1673"/>
      <c r="V4429" s="1674"/>
      <c r="W4429" s="1675"/>
      <c r="X4429" s="1674"/>
      <c r="Y4429" s="1674"/>
      <c r="Z4429" s="1674"/>
      <c r="AA4429" s="1674"/>
      <c r="AB4429" s="1674"/>
      <c r="AC4429" s="1674"/>
    </row>
    <row r="4430" spans="1:29" s="1672" customFormat="1" ht="15.6" hidden="1" customHeight="1" x14ac:dyDescent="0.25">
      <c r="A4430" s="1674"/>
      <c r="B4430" s="1674" t="s">
        <v>3970</v>
      </c>
      <c r="C4430" s="1674"/>
      <c r="D4430" s="1678"/>
      <c r="E4430" s="1674" t="s">
        <v>332</v>
      </c>
      <c r="F4430" s="1678"/>
      <c r="G4430" s="1678"/>
      <c r="H4430" s="1678"/>
      <c r="I4430" s="2043">
        <f t="shared" si="62"/>
        <v>0</v>
      </c>
      <c r="J4430" s="1682"/>
      <c r="K4430" s="2043">
        <f t="shared" si="63"/>
        <v>0</v>
      </c>
      <c r="L4430" s="1674"/>
      <c r="M4430" s="1669"/>
      <c r="N4430" s="1669"/>
      <c r="O4430" s="1685"/>
      <c r="P4430" s="1695"/>
      <c r="U4430" s="1673"/>
      <c r="V4430" s="1674"/>
      <c r="W4430" s="1675"/>
      <c r="X4430" s="1674"/>
      <c r="Y4430" s="1674"/>
      <c r="Z4430" s="1674"/>
      <c r="AA4430" s="1674"/>
      <c r="AB4430" s="1674"/>
      <c r="AC4430" s="1674"/>
    </row>
    <row r="4431" spans="1:29" s="1672" customFormat="1" ht="15.6" hidden="1" customHeight="1" x14ac:dyDescent="0.25">
      <c r="A4431" s="1674"/>
      <c r="B4431" s="1674" t="s">
        <v>3970</v>
      </c>
      <c r="C4431" s="1674"/>
      <c r="D4431" s="1678"/>
      <c r="E4431" s="1674" t="s">
        <v>334</v>
      </c>
      <c r="F4431" s="1678"/>
      <c r="G4431" s="1678"/>
      <c r="H4431" s="1678"/>
      <c r="I4431" s="2043">
        <f t="shared" si="62"/>
        <v>0</v>
      </c>
      <c r="J4431" s="1682"/>
      <c r="K4431" s="2043">
        <f t="shared" si="63"/>
        <v>0</v>
      </c>
      <c r="L4431" s="1674"/>
      <c r="M4431" s="1669"/>
      <c r="N4431" s="1669"/>
      <c r="O4431" s="1685"/>
      <c r="P4431" s="1695"/>
      <c r="U4431" s="1673"/>
      <c r="V4431" s="1674"/>
      <c r="W4431" s="1675"/>
      <c r="X4431" s="1674"/>
      <c r="Y4431" s="1674"/>
      <c r="Z4431" s="1674"/>
      <c r="AA4431" s="1674"/>
      <c r="AB4431" s="1674"/>
      <c r="AC4431" s="1674"/>
    </row>
    <row r="4432" spans="1:29" s="1672" customFormat="1" ht="15.6" hidden="1" customHeight="1" x14ac:dyDescent="0.25">
      <c r="A4432" s="1674"/>
      <c r="B4432" s="1674" t="s">
        <v>3970</v>
      </c>
      <c r="C4432" s="1674"/>
      <c r="D4432" s="1678"/>
      <c r="E4432" s="1674" t="s">
        <v>333</v>
      </c>
      <c r="F4432" s="1678"/>
      <c r="G4432" s="1678"/>
      <c r="H4432" s="1678"/>
      <c r="I4432" s="2043">
        <f t="shared" si="62"/>
        <v>0</v>
      </c>
      <c r="J4432" s="1682"/>
      <c r="K4432" s="2043">
        <f t="shared" si="63"/>
        <v>0</v>
      </c>
      <c r="L4432" s="1674"/>
      <c r="M4432" s="1669"/>
      <c r="N4432" s="1669"/>
      <c r="O4432" s="1685"/>
      <c r="P4432" s="1695"/>
      <c r="U4432" s="1673"/>
      <c r="V4432" s="1674"/>
      <c r="W4432" s="1675"/>
      <c r="X4432" s="1674"/>
      <c r="Y4432" s="1674"/>
      <c r="Z4432" s="1674"/>
      <c r="AA4432" s="1674"/>
      <c r="AB4432" s="1674"/>
      <c r="AC4432" s="1674"/>
    </row>
    <row r="4433" spans="1:29" s="1672" customFormat="1" ht="15.6" hidden="1" customHeight="1" x14ac:dyDescent="0.25">
      <c r="A4433" s="1674"/>
      <c r="B4433" s="1674" t="s">
        <v>3970</v>
      </c>
      <c r="C4433" s="1674"/>
      <c r="D4433" s="1678"/>
      <c r="E4433" s="1674" t="s">
        <v>660</v>
      </c>
      <c r="F4433" s="1678"/>
      <c r="G4433" s="1678"/>
      <c r="H4433" s="1678"/>
      <c r="I4433" s="2043">
        <f t="shared" si="62"/>
        <v>0</v>
      </c>
      <c r="J4433" s="1682"/>
      <c r="K4433" s="2043">
        <f t="shared" si="63"/>
        <v>0</v>
      </c>
      <c r="L4433" s="1674"/>
      <c r="M4433" s="1669"/>
      <c r="N4433" s="1669"/>
      <c r="O4433" s="1685"/>
      <c r="P4433" s="1695"/>
      <c r="U4433" s="1673"/>
      <c r="V4433" s="1674"/>
      <c r="W4433" s="1675"/>
      <c r="X4433" s="1674"/>
      <c r="Y4433" s="1674"/>
      <c r="Z4433" s="1674"/>
      <c r="AA4433" s="1674"/>
      <c r="AB4433" s="1674"/>
      <c r="AC4433" s="1674"/>
    </row>
    <row r="4434" spans="1:29" s="1672" customFormat="1" ht="15.6" hidden="1" customHeight="1" x14ac:dyDescent="0.25">
      <c r="A4434" s="1674"/>
      <c r="B4434" s="1674" t="s">
        <v>3970</v>
      </c>
      <c r="C4434" s="1674"/>
      <c r="D4434" s="1678"/>
      <c r="E4434" s="1674" t="s">
        <v>665</v>
      </c>
      <c r="F4434" s="1678"/>
      <c r="G4434" s="1678"/>
      <c r="H4434" s="1678"/>
      <c r="I4434" s="2043">
        <f t="shared" si="62"/>
        <v>0</v>
      </c>
      <c r="J4434" s="1682"/>
      <c r="K4434" s="2043">
        <f t="shared" si="63"/>
        <v>0</v>
      </c>
      <c r="L4434" s="1674"/>
      <c r="M4434" s="1669"/>
      <c r="N4434" s="1669"/>
      <c r="O4434" s="1685"/>
      <c r="P4434" s="1695"/>
      <c r="U4434" s="1673"/>
      <c r="V4434" s="1674"/>
      <c r="W4434" s="1675"/>
      <c r="X4434" s="1674"/>
      <c r="Y4434" s="1674"/>
      <c r="Z4434" s="1674"/>
      <c r="AA4434" s="1674"/>
      <c r="AB4434" s="1674"/>
      <c r="AC4434" s="1674"/>
    </row>
    <row r="4435" spans="1:29" s="1672" customFormat="1" ht="15.6" hidden="1" customHeight="1" x14ac:dyDescent="0.25">
      <c r="A4435" s="1674"/>
      <c r="B4435" s="1674" t="s">
        <v>3970</v>
      </c>
      <c r="C4435" s="1674"/>
      <c r="D4435" s="1678"/>
      <c r="E4435" s="1674" t="s">
        <v>1758</v>
      </c>
      <c r="F4435" s="1678"/>
      <c r="G4435" s="1678"/>
      <c r="H4435" s="1678"/>
      <c r="I4435" s="2043">
        <f t="shared" si="62"/>
        <v>0</v>
      </c>
      <c r="J4435" s="1682"/>
      <c r="K4435" s="2043">
        <f t="shared" si="63"/>
        <v>0</v>
      </c>
      <c r="L4435" s="1674"/>
      <c r="M4435" s="1669"/>
      <c r="N4435" s="1669"/>
      <c r="O4435" s="1685"/>
      <c r="P4435" s="1695"/>
      <c r="U4435" s="1673"/>
      <c r="V4435" s="1674"/>
      <c r="W4435" s="1675"/>
      <c r="X4435" s="1674"/>
      <c r="Y4435" s="1674"/>
      <c r="Z4435" s="1674"/>
      <c r="AA4435" s="1674"/>
      <c r="AB4435" s="1674"/>
      <c r="AC4435" s="1674"/>
    </row>
    <row r="4436" spans="1:29" s="1672" customFormat="1" ht="15.6" hidden="1" customHeight="1" x14ac:dyDescent="0.25">
      <c r="A4436" s="1674"/>
      <c r="B4436" s="1674" t="s">
        <v>3970</v>
      </c>
      <c r="C4436" s="1674"/>
      <c r="D4436" s="1678"/>
      <c r="E4436" s="1674" t="s">
        <v>3521</v>
      </c>
      <c r="F4436" s="1678"/>
      <c r="G4436" s="1678"/>
      <c r="H4436" s="1678"/>
      <c r="I4436" s="2043">
        <f t="shared" si="62"/>
        <v>0</v>
      </c>
      <c r="J4436" s="1682"/>
      <c r="K4436" s="2043">
        <f t="shared" si="63"/>
        <v>0</v>
      </c>
      <c r="L4436" s="1674"/>
      <c r="M4436" s="1669"/>
      <c r="N4436" s="1669"/>
      <c r="O4436" s="1685"/>
      <c r="P4436" s="1695"/>
      <c r="U4436" s="1673"/>
      <c r="V4436" s="1674"/>
      <c r="W4436" s="1675"/>
      <c r="X4436" s="1674"/>
      <c r="Y4436" s="1674"/>
      <c r="Z4436" s="1674"/>
      <c r="AA4436" s="1674"/>
      <c r="AB4436" s="1674"/>
      <c r="AC4436" s="1674"/>
    </row>
    <row r="4437" spans="1:29" s="1672" customFormat="1" ht="15.6" hidden="1" customHeight="1" x14ac:dyDescent="0.25">
      <c r="A4437" s="1674"/>
      <c r="B4437" s="1674" t="s">
        <v>3970</v>
      </c>
      <c r="C4437" s="1674"/>
      <c r="D4437" s="1678"/>
      <c r="E4437" s="1674" t="s">
        <v>1417</v>
      </c>
      <c r="F4437" s="1678"/>
      <c r="G4437" s="1678"/>
      <c r="H4437" s="1678"/>
      <c r="I4437" s="2043">
        <f t="shared" si="62"/>
        <v>0</v>
      </c>
      <c r="J4437" s="1682"/>
      <c r="K4437" s="2043">
        <f t="shared" si="63"/>
        <v>0</v>
      </c>
      <c r="L4437" s="1674"/>
      <c r="M4437" s="1669"/>
      <c r="N4437" s="1669"/>
      <c r="O4437" s="1685"/>
      <c r="P4437" s="1695"/>
      <c r="U4437" s="1673"/>
      <c r="V4437" s="1674"/>
      <c r="W4437" s="1675"/>
      <c r="X4437" s="1674"/>
      <c r="Y4437" s="1674"/>
      <c r="Z4437" s="1674"/>
      <c r="AA4437" s="1674"/>
      <c r="AB4437" s="1674"/>
      <c r="AC4437" s="1674"/>
    </row>
    <row r="4438" spans="1:29" s="1672" customFormat="1" ht="15.6" hidden="1" customHeight="1" x14ac:dyDescent="0.25">
      <c r="A4438" s="1674"/>
      <c r="B4438" s="1674" t="s">
        <v>3970</v>
      </c>
      <c r="C4438" s="1674"/>
      <c r="D4438" s="1678"/>
      <c r="E4438" s="1674" t="s">
        <v>706</v>
      </c>
      <c r="F4438" s="1678"/>
      <c r="G4438" s="1678"/>
      <c r="H4438" s="1678"/>
      <c r="I4438" s="2043">
        <f t="shared" si="62"/>
        <v>0</v>
      </c>
      <c r="J4438" s="1682"/>
      <c r="K4438" s="2043">
        <f t="shared" si="63"/>
        <v>0</v>
      </c>
      <c r="L4438" s="1674"/>
      <c r="M4438" s="1669"/>
      <c r="N4438" s="1669"/>
      <c r="O4438" s="1685"/>
      <c r="P4438" s="1695"/>
      <c r="U4438" s="1673"/>
      <c r="V4438" s="1674"/>
      <c r="W4438" s="1675"/>
      <c r="X4438" s="1674"/>
      <c r="Y4438" s="1674"/>
      <c r="Z4438" s="1674"/>
      <c r="AA4438" s="1674"/>
      <c r="AB4438" s="1674"/>
      <c r="AC4438" s="1674"/>
    </row>
    <row r="4439" spans="1:29" s="1672" customFormat="1" ht="15.6" hidden="1" customHeight="1" x14ac:dyDescent="0.25">
      <c r="A4439" s="1674"/>
      <c r="B4439" s="1674" t="s">
        <v>3970</v>
      </c>
      <c r="C4439" s="1674"/>
      <c r="D4439" s="1678"/>
      <c r="E4439" s="1674" t="s">
        <v>296</v>
      </c>
      <c r="F4439" s="1678"/>
      <c r="G4439" s="1678"/>
      <c r="H4439" s="1678"/>
      <c r="I4439" s="2043">
        <f t="shared" si="62"/>
        <v>0</v>
      </c>
      <c r="J4439" s="1682"/>
      <c r="K4439" s="2043">
        <f t="shared" si="63"/>
        <v>0</v>
      </c>
      <c r="L4439" s="1674"/>
      <c r="M4439" s="1669"/>
      <c r="N4439" s="1669"/>
      <c r="O4439" s="1685"/>
      <c r="P4439" s="1695"/>
      <c r="U4439" s="1673"/>
      <c r="V4439" s="1674"/>
      <c r="W4439" s="1675"/>
      <c r="X4439" s="1674"/>
      <c r="Y4439" s="1674"/>
      <c r="Z4439" s="1674"/>
      <c r="AA4439" s="1674"/>
      <c r="AB4439" s="1674"/>
      <c r="AC4439" s="1674"/>
    </row>
    <row r="4440" spans="1:29" s="1672" customFormat="1" ht="15.6" hidden="1" customHeight="1" x14ac:dyDescent="0.25">
      <c r="A4440" s="1674"/>
      <c r="B4440" s="1674" t="s">
        <v>3970</v>
      </c>
      <c r="C4440" s="1674"/>
      <c r="D4440" s="1678"/>
      <c r="E4440" s="1674" t="s">
        <v>297</v>
      </c>
      <c r="F4440" s="1678"/>
      <c r="G4440" s="1678"/>
      <c r="H4440" s="1678"/>
      <c r="I4440" s="2043">
        <f t="shared" si="62"/>
        <v>0</v>
      </c>
      <c r="J4440" s="1682"/>
      <c r="K4440" s="2043">
        <f t="shared" si="63"/>
        <v>0</v>
      </c>
      <c r="L4440" s="1674"/>
      <c r="M4440" s="1669"/>
      <c r="N4440" s="1669"/>
      <c r="O4440" s="1685"/>
      <c r="P4440" s="1695"/>
      <c r="U4440" s="1673"/>
      <c r="V4440" s="1674"/>
      <c r="W4440" s="1675"/>
      <c r="X4440" s="1674"/>
      <c r="Y4440" s="1674"/>
      <c r="Z4440" s="1674"/>
      <c r="AA4440" s="1674"/>
      <c r="AB4440" s="1674"/>
      <c r="AC4440" s="1674"/>
    </row>
    <row r="4441" spans="1:29" s="1672" customFormat="1" ht="15.6" hidden="1" customHeight="1" x14ac:dyDescent="0.25">
      <c r="A4441" s="1674"/>
      <c r="B4441" s="1674" t="s">
        <v>3970</v>
      </c>
      <c r="C4441" s="1674"/>
      <c r="D4441" s="1678"/>
      <c r="E4441" s="1674" t="s">
        <v>298</v>
      </c>
      <c r="F4441" s="1678"/>
      <c r="G4441" s="1678"/>
      <c r="H4441" s="1678"/>
      <c r="I4441" s="2043">
        <f t="shared" si="62"/>
        <v>0</v>
      </c>
      <c r="J4441" s="1682"/>
      <c r="K4441" s="2043">
        <f t="shared" si="63"/>
        <v>0</v>
      </c>
      <c r="L4441" s="1674"/>
      <c r="M4441" s="1669"/>
      <c r="N4441" s="1669"/>
      <c r="O4441" s="1685"/>
      <c r="P4441" s="1695"/>
      <c r="U4441" s="1673"/>
      <c r="V4441" s="1674"/>
      <c r="W4441" s="1675"/>
      <c r="X4441" s="1674"/>
      <c r="Y4441" s="1674"/>
      <c r="Z4441" s="1674"/>
      <c r="AA4441" s="1674"/>
      <c r="AB4441" s="1674"/>
      <c r="AC4441" s="1674"/>
    </row>
    <row r="4442" spans="1:29" s="1672" customFormat="1" ht="15.6" hidden="1" customHeight="1" x14ac:dyDescent="0.25">
      <c r="A4442" s="1674"/>
      <c r="B4442" s="1674"/>
      <c r="C4442" s="1674"/>
      <c r="D4442" s="1678"/>
      <c r="E4442" s="1674"/>
      <c r="F4442" s="1678"/>
      <c r="G4442" s="1678"/>
      <c r="H4442" s="1678"/>
      <c r="I4442" s="58"/>
      <c r="J4442" s="1682"/>
      <c r="K4442" s="58"/>
      <c r="L4442" s="1674"/>
      <c r="M4442" s="1669"/>
      <c r="N4442" s="1669"/>
      <c r="O4442" s="1685"/>
      <c r="P4442" s="1695"/>
      <c r="U4442" s="1673"/>
      <c r="V4442" s="1674"/>
      <c r="W4442" s="1675"/>
      <c r="X4442" s="1674"/>
      <c r="Y4442" s="1674"/>
      <c r="Z4442" s="1674"/>
      <c r="AA4442" s="1674"/>
      <c r="AB4442" s="1674"/>
      <c r="AC4442" s="1674"/>
    </row>
    <row r="4443" spans="1:29" s="1672" customFormat="1" ht="15.6" hidden="1" customHeight="1" x14ac:dyDescent="0.25">
      <c r="A4443" s="1674"/>
      <c r="B4443" s="1674" t="s">
        <v>442</v>
      </c>
      <c r="C4443" s="1674"/>
      <c r="D4443" s="1678"/>
      <c r="E4443" s="1674" t="s">
        <v>1414</v>
      </c>
      <c r="F4443" s="1678"/>
      <c r="G4443" s="1678"/>
      <c r="H4443" s="1678"/>
      <c r="I4443" s="58">
        <f t="shared" ref="I4443:I4451" si="64">I4387</f>
        <v>0</v>
      </c>
      <c r="J4443" s="1682"/>
      <c r="K4443" s="58">
        <f t="shared" ref="K4443:K4451" si="65">K4387</f>
        <v>0</v>
      </c>
      <c r="L4443" s="1674"/>
      <c r="M4443" s="1669"/>
      <c r="N4443" s="1669"/>
      <c r="O4443" s="1685"/>
      <c r="P4443" s="1695"/>
      <c r="U4443" s="1673"/>
      <c r="V4443" s="1674"/>
      <c r="W4443" s="1675"/>
      <c r="X4443" s="1674"/>
      <c r="Y4443" s="1674"/>
      <c r="Z4443" s="1674"/>
      <c r="AA4443" s="1674"/>
      <c r="AB4443" s="1674"/>
      <c r="AC4443" s="1674"/>
    </row>
    <row r="4444" spans="1:29" s="1672" customFormat="1" ht="15.6" hidden="1" customHeight="1" x14ac:dyDescent="0.25">
      <c r="A4444" s="1674"/>
      <c r="B4444" s="1674" t="s">
        <v>442</v>
      </c>
      <c r="C4444" s="1674"/>
      <c r="D4444" s="1678"/>
      <c r="E4444" s="1674" t="s">
        <v>1519</v>
      </c>
      <c r="F4444" s="1678"/>
      <c r="G4444" s="1678"/>
      <c r="H4444" s="1678"/>
      <c r="I4444" s="58">
        <f t="shared" si="64"/>
        <v>0</v>
      </c>
      <c r="J4444" s="1682"/>
      <c r="K4444" s="58">
        <f t="shared" si="65"/>
        <v>0</v>
      </c>
      <c r="L4444" s="1674"/>
      <c r="M4444" s="1669"/>
      <c r="N4444" s="1669"/>
      <c r="O4444" s="1685"/>
      <c r="P4444" s="1695"/>
      <c r="U4444" s="1673"/>
      <c r="V4444" s="1674"/>
      <c r="W4444" s="1675"/>
      <c r="X4444" s="1674"/>
      <c r="Y4444" s="1674"/>
      <c r="Z4444" s="1674"/>
      <c r="AA4444" s="1674"/>
      <c r="AB4444" s="1674"/>
      <c r="AC4444" s="1674"/>
    </row>
    <row r="4445" spans="1:29" s="1672" customFormat="1" ht="15.6" hidden="1" customHeight="1" x14ac:dyDescent="0.25">
      <c r="A4445" s="1674"/>
      <c r="B4445" s="1674" t="s">
        <v>442</v>
      </c>
      <c r="C4445" s="1674"/>
      <c r="D4445" s="1678"/>
      <c r="E4445" s="1674" t="s">
        <v>3601</v>
      </c>
      <c r="F4445" s="1678"/>
      <c r="G4445" s="1678"/>
      <c r="H4445" s="1678"/>
      <c r="I4445" s="58">
        <f t="shared" si="64"/>
        <v>0</v>
      </c>
      <c r="J4445" s="1682"/>
      <c r="K4445" s="58">
        <f t="shared" si="65"/>
        <v>0</v>
      </c>
      <c r="L4445" s="1674"/>
      <c r="M4445" s="1669"/>
      <c r="N4445" s="1669"/>
      <c r="O4445" s="1685"/>
      <c r="P4445" s="1695"/>
      <c r="U4445" s="1673"/>
      <c r="V4445" s="1674"/>
      <c r="W4445" s="1675"/>
      <c r="X4445" s="1674"/>
      <c r="Y4445" s="1674"/>
      <c r="Z4445" s="1674"/>
      <c r="AA4445" s="1674"/>
      <c r="AB4445" s="1674"/>
      <c r="AC4445" s="1674"/>
    </row>
    <row r="4446" spans="1:29" s="1672" customFormat="1" ht="15.6" hidden="1" customHeight="1" x14ac:dyDescent="0.25">
      <c r="A4446" s="1674"/>
      <c r="B4446" s="1674" t="s">
        <v>442</v>
      </c>
      <c r="C4446" s="1674"/>
      <c r="D4446" s="1678"/>
      <c r="E4446" s="1674" t="s">
        <v>1720</v>
      </c>
      <c r="F4446" s="1678"/>
      <c r="G4446" s="1678"/>
      <c r="H4446" s="1678"/>
      <c r="I4446" s="58">
        <f t="shared" si="64"/>
        <v>0</v>
      </c>
      <c r="J4446" s="1682"/>
      <c r="K4446" s="58">
        <f t="shared" si="65"/>
        <v>0</v>
      </c>
      <c r="L4446" s="1674"/>
      <c r="M4446" s="1669"/>
      <c r="N4446" s="1669"/>
      <c r="O4446" s="1685"/>
      <c r="P4446" s="1695"/>
      <c r="U4446" s="1673"/>
      <c r="V4446" s="1674"/>
      <c r="W4446" s="1675"/>
      <c r="X4446" s="1674"/>
      <c r="Y4446" s="1674"/>
      <c r="Z4446" s="1674"/>
      <c r="AA4446" s="1674"/>
      <c r="AB4446" s="1674"/>
      <c r="AC4446" s="1674"/>
    </row>
    <row r="4447" spans="1:29" s="1672" customFormat="1" ht="15.6" hidden="1" customHeight="1" x14ac:dyDescent="0.25">
      <c r="A4447" s="1674"/>
      <c r="B4447" s="1674" t="s">
        <v>442</v>
      </c>
      <c r="C4447" s="1674"/>
      <c r="D4447" s="1678"/>
      <c r="E4447" s="1674" t="s">
        <v>1719</v>
      </c>
      <c r="F4447" s="1678"/>
      <c r="G4447" s="1678"/>
      <c r="H4447" s="1678"/>
      <c r="I4447" s="58">
        <f t="shared" si="64"/>
        <v>0</v>
      </c>
      <c r="J4447" s="1682"/>
      <c r="K4447" s="58">
        <f t="shared" si="65"/>
        <v>0</v>
      </c>
      <c r="L4447" s="1674"/>
      <c r="M4447" s="1669"/>
      <c r="N4447" s="1669"/>
      <c r="O4447" s="1685"/>
      <c r="P4447" s="1695"/>
      <c r="U4447" s="1673"/>
      <c r="V4447" s="1674"/>
      <c r="W4447" s="1675"/>
      <c r="X4447" s="1674"/>
      <c r="Y4447" s="1674"/>
      <c r="Z4447" s="1674"/>
      <c r="AA4447" s="1674"/>
      <c r="AB4447" s="1674"/>
      <c r="AC4447" s="1674"/>
    </row>
    <row r="4448" spans="1:29" s="1672" customFormat="1" ht="15.6" hidden="1" customHeight="1" x14ac:dyDescent="0.25">
      <c r="A4448" s="1674"/>
      <c r="B4448" s="1674" t="s">
        <v>442</v>
      </c>
      <c r="C4448" s="1674"/>
      <c r="D4448" s="1678"/>
      <c r="E4448" s="1674" t="s">
        <v>1721</v>
      </c>
      <c r="F4448" s="1678"/>
      <c r="G4448" s="1678"/>
      <c r="H4448" s="1678"/>
      <c r="I4448" s="58">
        <f t="shared" si="64"/>
        <v>0</v>
      </c>
      <c r="J4448" s="1682"/>
      <c r="K4448" s="58">
        <f t="shared" si="65"/>
        <v>0</v>
      </c>
      <c r="L4448" s="1674"/>
      <c r="M4448" s="1669"/>
      <c r="N4448" s="1669"/>
      <c r="O4448" s="1685"/>
      <c r="P4448" s="1695"/>
      <c r="U4448" s="1673"/>
      <c r="V4448" s="1674"/>
      <c r="W4448" s="1675"/>
      <c r="X4448" s="1674"/>
      <c r="Y4448" s="1674"/>
      <c r="Z4448" s="1674"/>
      <c r="AA4448" s="1674"/>
      <c r="AB4448" s="1674"/>
      <c r="AC4448" s="1674"/>
    </row>
    <row r="4449" spans="1:29" s="1672" customFormat="1" ht="15.6" hidden="1" customHeight="1" x14ac:dyDescent="0.25">
      <c r="A4449" s="1674"/>
      <c r="B4449" s="1674" t="s">
        <v>442</v>
      </c>
      <c r="C4449" s="1674"/>
      <c r="D4449" s="1678"/>
      <c r="E4449" s="1674" t="s">
        <v>1722</v>
      </c>
      <c r="F4449" s="1678"/>
      <c r="G4449" s="1678"/>
      <c r="H4449" s="1678"/>
      <c r="I4449" s="58">
        <f t="shared" si="64"/>
        <v>0</v>
      </c>
      <c r="J4449" s="1682"/>
      <c r="K4449" s="58">
        <f t="shared" si="65"/>
        <v>0</v>
      </c>
      <c r="L4449" s="1674"/>
      <c r="M4449" s="1669"/>
      <c r="N4449" s="1669"/>
      <c r="O4449" s="1685"/>
      <c r="P4449" s="1695"/>
      <c r="U4449" s="1673"/>
      <c r="V4449" s="1674"/>
      <c r="W4449" s="1675"/>
      <c r="X4449" s="1674"/>
      <c r="Y4449" s="1674"/>
      <c r="Z4449" s="1674"/>
      <c r="AA4449" s="1674"/>
      <c r="AB4449" s="1674"/>
      <c r="AC4449" s="1674"/>
    </row>
    <row r="4450" spans="1:29" s="1672" customFormat="1" ht="15.6" hidden="1" customHeight="1" x14ac:dyDescent="0.25">
      <c r="A4450" s="1674"/>
      <c r="B4450" s="1674" t="s">
        <v>442</v>
      </c>
      <c r="C4450" s="1674"/>
      <c r="D4450" s="1678"/>
      <c r="E4450" s="1674" t="s">
        <v>1723</v>
      </c>
      <c r="F4450" s="1678"/>
      <c r="G4450" s="1678"/>
      <c r="H4450" s="1678"/>
      <c r="I4450" s="58">
        <f t="shared" si="64"/>
        <v>0</v>
      </c>
      <c r="J4450" s="1682"/>
      <c r="K4450" s="58">
        <f t="shared" si="65"/>
        <v>0</v>
      </c>
      <c r="L4450" s="1674"/>
      <c r="M4450" s="1669"/>
      <c r="N4450" s="1669"/>
      <c r="O4450" s="1685"/>
      <c r="P4450" s="1695"/>
      <c r="U4450" s="1673"/>
      <c r="V4450" s="1674"/>
      <c r="W4450" s="1675"/>
      <c r="X4450" s="1674"/>
      <c r="Y4450" s="1674"/>
      <c r="Z4450" s="1674"/>
      <c r="AA4450" s="1674"/>
      <c r="AB4450" s="1674"/>
      <c r="AC4450" s="1674"/>
    </row>
    <row r="4451" spans="1:29" s="1672" customFormat="1" ht="15.6" hidden="1" customHeight="1" x14ac:dyDescent="0.25">
      <c r="A4451" s="1674"/>
      <c r="B4451" s="1674" t="s">
        <v>442</v>
      </c>
      <c r="C4451" s="1674"/>
      <c r="D4451" s="1678"/>
      <c r="E4451" s="1674" t="s">
        <v>1724</v>
      </c>
      <c r="F4451" s="1678"/>
      <c r="G4451" s="1678"/>
      <c r="H4451" s="1678"/>
      <c r="I4451" s="58">
        <f t="shared" si="64"/>
        <v>0</v>
      </c>
      <c r="J4451" s="1682"/>
      <c r="K4451" s="58">
        <f t="shared" si="65"/>
        <v>0</v>
      </c>
      <c r="L4451" s="1674"/>
      <c r="M4451" s="1669"/>
      <c r="N4451" s="1669"/>
      <c r="O4451" s="1685"/>
      <c r="P4451" s="1695"/>
      <c r="U4451" s="1673"/>
      <c r="V4451" s="1674"/>
      <c r="W4451" s="1675"/>
      <c r="X4451" s="1674"/>
      <c r="Y4451" s="1674"/>
      <c r="Z4451" s="1674"/>
      <c r="AA4451" s="1674"/>
      <c r="AB4451" s="1674"/>
      <c r="AC4451" s="1674"/>
    </row>
    <row r="4452" spans="1:29" s="1672" customFormat="1" ht="15.6" hidden="1" customHeight="1" x14ac:dyDescent="0.25">
      <c r="A4452" s="1674"/>
      <c r="B4452" s="1674"/>
      <c r="C4452" s="1674"/>
      <c r="D4452" s="1678"/>
      <c r="E4452" s="1674"/>
      <c r="F4452" s="1678"/>
      <c r="G4452" s="1678"/>
      <c r="H4452" s="1678"/>
      <c r="I4452" s="58"/>
      <c r="J4452" s="1682"/>
      <c r="K4452" s="58"/>
      <c r="L4452" s="1674"/>
      <c r="M4452" s="1669"/>
      <c r="N4452" s="1669"/>
      <c r="O4452" s="1685"/>
      <c r="P4452" s="1695"/>
      <c r="U4452" s="1673"/>
      <c r="V4452" s="1674"/>
      <c r="W4452" s="1675"/>
      <c r="X4452" s="1674"/>
      <c r="Y4452" s="1674"/>
      <c r="Z4452" s="1674"/>
      <c r="AA4452" s="1674"/>
      <c r="AB4452" s="1674"/>
      <c r="AC4452" s="1674"/>
    </row>
    <row r="4453" spans="1:29" s="1672" customFormat="1" ht="15.6" hidden="1" customHeight="1" x14ac:dyDescent="0.25">
      <c r="A4453" s="1674"/>
      <c r="B4453" s="1674" t="s">
        <v>4217</v>
      </c>
      <c r="C4453" s="1674"/>
      <c r="D4453" s="1678"/>
      <c r="E4453" s="1674" t="s">
        <v>581</v>
      </c>
      <c r="F4453" s="1678"/>
      <c r="G4453" s="1678"/>
      <c r="H4453" s="1678"/>
      <c r="I4453" s="58">
        <f>I4380</f>
        <v>0</v>
      </c>
      <c r="J4453" s="1682"/>
      <c r="K4453" s="58">
        <f>K4380</f>
        <v>0</v>
      </c>
      <c r="L4453" s="1674"/>
      <c r="M4453" s="1669"/>
      <c r="N4453" s="1669"/>
      <c r="O4453" s="1685"/>
      <c r="P4453" s="1695"/>
      <c r="U4453" s="1673"/>
      <c r="V4453" s="1674"/>
      <c r="W4453" s="1675"/>
      <c r="X4453" s="1674"/>
      <c r="Y4453" s="1674"/>
      <c r="Z4453" s="1674"/>
      <c r="AA4453" s="1674"/>
      <c r="AB4453" s="1674"/>
      <c r="AC4453" s="1674"/>
    </row>
    <row r="4454" spans="1:29" s="1672" customFormat="1" ht="15.6" hidden="1" customHeight="1" x14ac:dyDescent="0.25">
      <c r="A4454" s="1674"/>
      <c r="B4454" s="1674" t="s">
        <v>4217</v>
      </c>
      <c r="C4454" s="1674"/>
      <c r="D4454" s="1678"/>
      <c r="E4454" s="1674" t="s">
        <v>455</v>
      </c>
      <c r="F4454" s="1678"/>
      <c r="G4454" s="1678"/>
      <c r="H4454" s="1678"/>
      <c r="I4454" s="58">
        <f>I4381</f>
        <v>0</v>
      </c>
      <c r="J4454" s="1682"/>
      <c r="K4454" s="58">
        <f>K4381</f>
        <v>0</v>
      </c>
      <c r="L4454" s="1674"/>
      <c r="M4454" s="1669"/>
      <c r="N4454" s="1669"/>
      <c r="O4454" s="1685"/>
      <c r="P4454" s="1695"/>
      <c r="U4454" s="1673"/>
      <c r="V4454" s="1674"/>
      <c r="W4454" s="1675"/>
      <c r="X4454" s="1674"/>
      <c r="Y4454" s="1674"/>
      <c r="Z4454" s="1674"/>
      <c r="AA4454" s="1674"/>
      <c r="AB4454" s="1674"/>
      <c r="AC4454" s="1674"/>
    </row>
    <row r="4455" spans="1:29" s="1672" customFormat="1" ht="15.6" customHeight="1" x14ac:dyDescent="0.25">
      <c r="A4455" s="1674"/>
      <c r="B4455" s="1674"/>
      <c r="C4455" s="1674"/>
      <c r="D4455" s="1678"/>
      <c r="E4455" s="1674"/>
      <c r="F4455" s="1678"/>
      <c r="G4455" s="1678"/>
      <c r="H4455" s="1678"/>
      <c r="I4455" s="58"/>
      <c r="J4455" s="1682"/>
      <c r="K4455" s="58"/>
      <c r="L4455" s="1674"/>
      <c r="M4455" s="1669"/>
      <c r="N4455" s="1669"/>
      <c r="O4455" s="1685"/>
      <c r="P4455" s="1695"/>
      <c r="U4455" s="1673"/>
      <c r="V4455" s="1674"/>
      <c r="W4455" s="1675"/>
      <c r="X4455" s="1674"/>
      <c r="Y4455" s="1674"/>
      <c r="Z4455" s="1674"/>
      <c r="AA4455" s="1674"/>
      <c r="AB4455" s="1674"/>
      <c r="AC4455" s="1674"/>
    </row>
    <row r="4456" spans="1:29" s="1672" customFormat="1" ht="15.6" customHeight="1" thickBot="1" x14ac:dyDescent="0.3">
      <c r="A4456" s="1674"/>
      <c r="B4456" s="1674"/>
      <c r="C4456" s="1674"/>
      <c r="D4456" s="1678"/>
      <c r="E4456" s="1674"/>
      <c r="F4456" s="1678"/>
      <c r="G4456" s="1678"/>
      <c r="H4456" s="1678"/>
      <c r="I4456" s="1697">
        <f>SUM(I4406:I4455)</f>
        <v>1323648.2499999995</v>
      </c>
      <c r="J4456" s="1682"/>
      <c r="K4456" s="1697">
        <f>SUM(K4406:K4455)</f>
        <v>10457516.312715169</v>
      </c>
      <c r="L4456" s="1674"/>
      <c r="M4456" s="1669"/>
      <c r="N4456" s="1669"/>
      <c r="O4456" s="1685"/>
      <c r="P4456" s="1695"/>
      <c r="U4456" s="1673"/>
      <c r="V4456" s="1674"/>
      <c r="W4456" s="1675"/>
      <c r="X4456" s="1674"/>
      <c r="Y4456" s="1674"/>
      <c r="Z4456" s="1674"/>
      <c r="AA4456" s="1674"/>
      <c r="AB4456" s="1674"/>
      <c r="AC4456" s="1674"/>
    </row>
    <row r="4457" spans="1:29" s="1672" customFormat="1" ht="15.6" customHeight="1" thickTop="1" x14ac:dyDescent="0.25">
      <c r="A4457" s="1674"/>
      <c r="B4457" s="1674"/>
      <c r="C4457" s="1674"/>
      <c r="D4457" s="1678"/>
      <c r="E4457" s="1674"/>
      <c r="F4457" s="1678"/>
      <c r="G4457" s="1678"/>
      <c r="H4457" s="1678"/>
      <c r="I4457" s="58"/>
      <c r="J4457" s="1682"/>
      <c r="K4457" s="58"/>
      <c r="L4457" s="1674"/>
      <c r="M4457" s="1669"/>
      <c r="N4457" s="1669"/>
      <c r="O4457" s="1685"/>
      <c r="P4457" s="1695"/>
      <c r="U4457" s="1673"/>
      <c r="V4457" s="1674"/>
      <c r="W4457" s="1675"/>
      <c r="X4457" s="1674"/>
      <c r="Y4457" s="1674"/>
      <c r="Z4457" s="1674"/>
      <c r="AA4457" s="1674"/>
      <c r="AB4457" s="1674"/>
      <c r="AC4457" s="1674"/>
    </row>
    <row r="4458" spans="1:29" s="1672" customFormat="1" ht="15.6" customHeight="1" x14ac:dyDescent="0.25">
      <c r="A4458" s="1674"/>
      <c r="B4458" s="1677" t="s">
        <v>2373</v>
      </c>
      <c r="C4458" s="1674"/>
      <c r="D4458" s="1678"/>
      <c r="E4458" s="1674"/>
      <c r="F4458" s="1678"/>
      <c r="G4458" s="1678"/>
      <c r="H4458" s="1678"/>
      <c r="I4458" s="58"/>
      <c r="J4458" s="1682"/>
      <c r="K4458" s="58"/>
      <c r="L4458" s="1674"/>
      <c r="M4458" s="1669"/>
      <c r="N4458" s="1669"/>
      <c r="O4458" s="1685"/>
      <c r="P4458" s="1695"/>
      <c r="U4458" s="1673"/>
      <c r="V4458" s="1674"/>
      <c r="W4458" s="1675"/>
      <c r="X4458" s="1674"/>
      <c r="Y4458" s="1674"/>
      <c r="Z4458" s="1674"/>
      <c r="AA4458" s="1674"/>
      <c r="AB4458" s="1674"/>
      <c r="AC4458" s="1674"/>
    </row>
    <row r="4459" spans="1:29" s="1672" customFormat="1" ht="15.6" customHeight="1" x14ac:dyDescent="0.25">
      <c r="A4459" s="1674"/>
      <c r="B4459" s="1674" t="s">
        <v>4217</v>
      </c>
      <c r="C4459" s="1674"/>
      <c r="D4459" s="1678"/>
      <c r="E4459" s="1674" t="s">
        <v>580</v>
      </c>
      <c r="F4459" s="1678"/>
      <c r="G4459" s="1678"/>
      <c r="H4459" s="1678"/>
      <c r="I4459" s="58">
        <f>I4379</f>
        <v>271206.52999999688</v>
      </c>
      <c r="J4459" s="1682"/>
      <c r="K4459" s="58">
        <f>K4379</f>
        <v>299229.11</v>
      </c>
      <c r="L4459" s="1674"/>
      <c r="M4459" s="1669"/>
      <c r="N4459" s="1669"/>
      <c r="O4459" s="1685"/>
      <c r="P4459" s="1695"/>
      <c r="U4459" s="1673"/>
      <c r="V4459" s="1674"/>
      <c r="W4459" s="1675"/>
      <c r="X4459" s="1674"/>
      <c r="Y4459" s="1674"/>
      <c r="Z4459" s="1674"/>
      <c r="AA4459" s="1674"/>
      <c r="AB4459" s="1674"/>
      <c r="AC4459" s="1674"/>
    </row>
    <row r="4460" spans="1:29" s="1672" customFormat="1" ht="15.6" customHeight="1" x14ac:dyDescent="0.25">
      <c r="A4460" s="1674"/>
      <c r="B4460" s="1674" t="s">
        <v>4217</v>
      </c>
      <c r="C4460" s="1674"/>
      <c r="D4460" s="1678"/>
      <c r="E4460" s="259" t="s">
        <v>501</v>
      </c>
      <c r="F4460" s="1678"/>
      <c r="G4460" s="1678"/>
      <c r="H4460" s="1678"/>
      <c r="I4460" s="58">
        <f>I4382</f>
        <v>16209</v>
      </c>
      <c r="J4460" s="1682"/>
      <c r="K4460" s="58">
        <f>K4382</f>
        <v>212465</v>
      </c>
      <c r="L4460" s="1674"/>
      <c r="M4460" s="1669"/>
      <c r="N4460" s="1669"/>
      <c r="O4460" s="1685"/>
      <c r="P4460" s="1695"/>
      <c r="U4460" s="1673"/>
      <c r="V4460" s="1674"/>
      <c r="W4460" s="1675"/>
      <c r="X4460" s="1674"/>
      <c r="Y4460" s="1674"/>
      <c r="Z4460" s="1674"/>
      <c r="AA4460" s="1674"/>
      <c r="AB4460" s="1674"/>
      <c r="AC4460" s="1674"/>
    </row>
    <row r="4461" spans="1:29" s="1672" customFormat="1" ht="15.6" customHeight="1" x14ac:dyDescent="0.25">
      <c r="A4461" s="1674"/>
      <c r="B4461" s="1674" t="s">
        <v>4217</v>
      </c>
      <c r="C4461" s="1674"/>
      <c r="D4461" s="1678"/>
      <c r="E4461" s="259" t="s">
        <v>335</v>
      </c>
      <c r="F4461" s="1678"/>
      <c r="G4461" s="1678"/>
      <c r="H4461" s="1678"/>
      <c r="I4461" s="58">
        <f>I4383</f>
        <v>1179.9000000000001</v>
      </c>
      <c r="J4461" s="1682"/>
      <c r="K4461" s="58">
        <f>K4383</f>
        <v>1179.9000000000001</v>
      </c>
      <c r="L4461" s="1674"/>
      <c r="M4461" s="1669"/>
      <c r="N4461" s="1669"/>
      <c r="O4461" s="1685"/>
      <c r="P4461" s="1695"/>
      <c r="U4461" s="1673"/>
      <c r="V4461" s="1674"/>
      <c r="W4461" s="1675"/>
      <c r="X4461" s="1674"/>
      <c r="Y4461" s="1674"/>
      <c r="Z4461" s="1674"/>
      <c r="AA4461" s="1674"/>
      <c r="AB4461" s="1674"/>
      <c r="AC4461" s="1674"/>
    </row>
    <row r="4462" spans="1:29" s="1672" customFormat="1" ht="15.6" hidden="1" customHeight="1" x14ac:dyDescent="0.25">
      <c r="A4462" s="1674"/>
      <c r="B4462" s="1674" t="s">
        <v>4217</v>
      </c>
      <c r="C4462" s="1674"/>
      <c r="D4462" s="1678"/>
      <c r="E4462" s="259" t="s">
        <v>336</v>
      </c>
      <c r="F4462" s="1678"/>
      <c r="G4462" s="1678"/>
      <c r="H4462" s="1678"/>
      <c r="I4462" s="58">
        <f>I4384</f>
        <v>0</v>
      </c>
      <c r="J4462" s="1682"/>
      <c r="K4462" s="58">
        <f>K4384</f>
        <v>0</v>
      </c>
      <c r="L4462" s="1674"/>
      <c r="M4462" s="1669"/>
      <c r="N4462" s="1669"/>
      <c r="O4462" s="1685"/>
      <c r="P4462" s="1695"/>
      <c r="U4462" s="1673"/>
      <c r="V4462" s="1674"/>
      <c r="W4462" s="1675"/>
      <c r="X4462" s="1674"/>
      <c r="Y4462" s="1674"/>
      <c r="Z4462" s="1674"/>
      <c r="AA4462" s="1674"/>
      <c r="AB4462" s="1674"/>
      <c r="AC4462" s="1674"/>
    </row>
    <row r="4463" spans="1:29" s="1672" customFormat="1" ht="15.6" customHeight="1" x14ac:dyDescent="0.25">
      <c r="A4463" s="1674"/>
      <c r="B4463" s="1674"/>
      <c r="C4463" s="1674"/>
      <c r="D4463" s="1678"/>
      <c r="E4463" s="1674"/>
      <c r="F4463" s="1678"/>
      <c r="G4463" s="1678"/>
      <c r="H4463" s="1678"/>
      <c r="I4463" s="58"/>
      <c r="J4463" s="1682"/>
      <c r="K4463" s="58"/>
      <c r="L4463" s="1674"/>
      <c r="M4463" s="1669"/>
      <c r="N4463" s="1669"/>
      <c r="O4463" s="1685"/>
      <c r="P4463" s="1695"/>
      <c r="U4463" s="1673"/>
      <c r="V4463" s="1674"/>
      <c r="W4463" s="1675"/>
      <c r="X4463" s="1674"/>
      <c r="Y4463" s="1674"/>
      <c r="Z4463" s="1674"/>
      <c r="AA4463" s="1674"/>
      <c r="AB4463" s="1674"/>
      <c r="AC4463" s="1674"/>
    </row>
    <row r="4464" spans="1:29" s="1672" customFormat="1" ht="15.6" customHeight="1" thickBot="1" x14ac:dyDescent="0.3">
      <c r="A4464" s="1674"/>
      <c r="B4464" s="1674"/>
      <c r="C4464" s="1674"/>
      <c r="D4464" s="1678"/>
      <c r="E4464" s="1674"/>
      <c r="F4464" s="1678"/>
      <c r="G4464" s="1678"/>
      <c r="H4464" s="1678"/>
      <c r="I4464" s="1697">
        <f>SUM(I4458:I4463)</f>
        <v>288595.42999999691</v>
      </c>
      <c r="J4464" s="1682"/>
      <c r="K4464" s="1697">
        <f>SUM(K4458:K4463)</f>
        <v>512874.01</v>
      </c>
      <c r="L4464" s="1674"/>
      <c r="M4464" s="1669"/>
      <c r="N4464" s="1669"/>
      <c r="O4464" s="1685"/>
      <c r="P4464" s="1695"/>
      <c r="U4464" s="1673"/>
      <c r="V4464" s="1674"/>
      <c r="W4464" s="1675"/>
      <c r="X4464" s="1674"/>
      <c r="Y4464" s="1674"/>
      <c r="Z4464" s="1674"/>
      <c r="AA4464" s="1674"/>
      <c r="AB4464" s="1674"/>
      <c r="AC4464" s="1674"/>
    </row>
    <row r="4465" spans="1:29" s="1672" customFormat="1" ht="15.6" customHeight="1" thickTop="1" x14ac:dyDescent="0.25">
      <c r="A4465" s="1674"/>
      <c r="B4465" s="1674"/>
      <c r="C4465" s="1674"/>
      <c r="D4465" s="1678"/>
      <c r="E4465" s="1674"/>
      <c r="F4465" s="1678"/>
      <c r="G4465" s="1678"/>
      <c r="H4465" s="1678"/>
      <c r="I4465" s="58"/>
      <c r="J4465" s="1682"/>
      <c r="K4465" s="58"/>
      <c r="L4465" s="1674"/>
      <c r="M4465" s="1669"/>
      <c r="N4465" s="1669"/>
      <c r="O4465" s="1685"/>
      <c r="P4465" s="1695"/>
      <c r="U4465" s="1673"/>
      <c r="V4465" s="1674"/>
      <c r="W4465" s="1675"/>
      <c r="X4465" s="1674"/>
      <c r="Y4465" s="1674"/>
      <c r="Z4465" s="1674"/>
      <c r="AA4465" s="1674"/>
      <c r="AB4465" s="1674"/>
      <c r="AC4465" s="1674"/>
    </row>
    <row r="4466" spans="1:29" s="1672" customFormat="1" ht="15.6" customHeight="1" thickBot="1" x14ac:dyDescent="0.3">
      <c r="A4466" s="1674"/>
      <c r="B4466" s="1677" t="s">
        <v>505</v>
      </c>
      <c r="C4466" s="1677"/>
      <c r="D4466" s="1678"/>
      <c r="E4466" s="1674"/>
      <c r="F4466" s="1678"/>
      <c r="G4466" s="1678"/>
      <c r="H4466" s="1678"/>
      <c r="I4466" s="1698">
        <f>SUM(I4404,I4456,I4464)</f>
        <v>1612243.6799999964</v>
      </c>
      <c r="J4466" s="1679"/>
      <c r="K4466" s="1698">
        <f>SUM(K4404,K4456,K4464)</f>
        <v>10970390.322715169</v>
      </c>
      <c r="L4466" s="1674"/>
      <c r="M4466" s="1669"/>
      <c r="N4466" s="1669"/>
      <c r="O4466" s="1685"/>
      <c r="P4466" s="1695"/>
      <c r="U4466" s="1673"/>
      <c r="V4466" s="1674"/>
      <c r="W4466" s="1675"/>
      <c r="X4466" s="1674"/>
      <c r="Y4466" s="1674"/>
      <c r="Z4466" s="1674"/>
      <c r="AA4466" s="1674"/>
      <c r="AB4466" s="1674"/>
      <c r="AC4466" s="1674"/>
    </row>
    <row r="4467" spans="1:29" s="1672" customFormat="1" ht="15.6" customHeight="1" thickTop="1" x14ac:dyDescent="0.25">
      <c r="A4467" s="1674"/>
      <c r="B4467" s="1674"/>
      <c r="C4467" s="1674"/>
      <c r="D4467" s="1678"/>
      <c r="E4467" s="1674"/>
      <c r="F4467" s="1678"/>
      <c r="G4467" s="1678"/>
      <c r="H4467" s="1678"/>
      <c r="I4467" s="58">
        <f>I4466-I4396</f>
        <v>348161</v>
      </c>
      <c r="J4467" s="1682"/>
      <c r="K4467" s="58">
        <f>K4466-K4396</f>
        <v>348161</v>
      </c>
      <c r="L4467" s="1674"/>
      <c r="M4467" s="1669"/>
      <c r="N4467" s="1669"/>
      <c r="O4467" s="1685"/>
      <c r="P4467" s="1695"/>
      <c r="U4467" s="1673"/>
      <c r="V4467" s="1674"/>
      <c r="W4467" s="1675"/>
      <c r="X4467" s="1674"/>
      <c r="Y4467" s="1674"/>
      <c r="Z4467" s="1674"/>
      <c r="AA4467" s="1674"/>
      <c r="AB4467" s="1674"/>
      <c r="AC4467" s="1674"/>
    </row>
    <row r="4468" spans="1:29" s="1672" customFormat="1" ht="15.6" customHeight="1" x14ac:dyDescent="0.25">
      <c r="A4468" s="1674"/>
      <c r="B4468" s="1677" t="s">
        <v>1162</v>
      </c>
      <c r="C4468" s="1674"/>
      <c r="D4468" s="1678"/>
      <c r="E4468" s="1674"/>
      <c r="F4468" s="1678"/>
      <c r="G4468" s="1678"/>
      <c r="H4468" s="1678"/>
      <c r="I4468" s="58"/>
      <c r="J4468" s="1682"/>
      <c r="K4468" s="58"/>
      <c r="L4468" s="1674"/>
      <c r="M4468" s="1690"/>
      <c r="N4468" s="1669"/>
      <c r="O4468" s="1685"/>
      <c r="P4468" s="1695"/>
      <c r="U4468" s="1673"/>
      <c r="V4468" s="1674"/>
      <c r="W4468" s="1675"/>
      <c r="X4468" s="1674"/>
      <c r="Y4468" s="1674"/>
      <c r="Z4468" s="1674"/>
      <c r="AA4468" s="1674"/>
      <c r="AB4468" s="1674"/>
      <c r="AC4468" s="1674"/>
    </row>
    <row r="4469" spans="1:29" s="1672" customFormat="1" ht="15.6" customHeight="1" x14ac:dyDescent="0.25">
      <c r="A4469" s="1684"/>
      <c r="B4469" s="2949" t="s">
        <v>2455</v>
      </c>
      <c r="C4469" s="2949"/>
      <c r="D4469" s="2949"/>
      <c r="E4469" s="2949"/>
      <c r="F4469" s="2949"/>
      <c r="G4469" s="2949"/>
      <c r="H4469" s="1684"/>
      <c r="I4469" s="58"/>
      <c r="J4469" s="1679"/>
      <c r="K4469" s="58"/>
      <c r="L4469" s="1684"/>
      <c r="M4469" s="1690"/>
      <c r="N4469" s="1669"/>
      <c r="O4469" s="1685"/>
      <c r="P4469" s="1695"/>
      <c r="U4469" s="1673"/>
      <c r="V4469" s="1674"/>
      <c r="W4469" s="1675"/>
      <c r="X4469" s="1674"/>
      <c r="Y4469" s="1674"/>
      <c r="Z4469" s="1674"/>
      <c r="AA4469" s="1674"/>
      <c r="AB4469" s="1674"/>
      <c r="AC4469" s="1674"/>
    </row>
    <row r="4470" spans="1:29" s="1672" customFormat="1" ht="15.6" customHeight="1" x14ac:dyDescent="0.25">
      <c r="A4470" s="1674"/>
      <c r="B4470" s="1674"/>
      <c r="C4470" s="1674"/>
      <c r="D4470" s="1678"/>
      <c r="E4470" s="1674"/>
      <c r="F4470" s="1678"/>
      <c r="G4470" s="1678"/>
      <c r="H4470" s="1678"/>
      <c r="I4470" s="58"/>
      <c r="J4470" s="1682"/>
      <c r="K4470" s="58"/>
      <c r="L4470" s="1674"/>
      <c r="M4470" s="1690"/>
      <c r="N4470" s="1669"/>
      <c r="O4470" s="1685"/>
      <c r="P4470" s="1695"/>
      <c r="U4470" s="1673"/>
      <c r="V4470" s="1674"/>
      <c r="W4470" s="1675"/>
      <c r="X4470" s="1674"/>
      <c r="Y4470" s="1674"/>
      <c r="Z4470" s="1674"/>
      <c r="AA4470" s="1674"/>
      <c r="AB4470" s="1674"/>
      <c r="AC4470" s="1674"/>
    </row>
    <row r="4471" spans="1:29" s="1672" customFormat="1" ht="15.6" customHeight="1" x14ac:dyDescent="0.25">
      <c r="A4471" s="1674"/>
      <c r="B4471" s="2950" t="s">
        <v>1163</v>
      </c>
      <c r="C4471" s="2950"/>
      <c r="D4471" s="1678"/>
      <c r="E4471" s="2950" t="s">
        <v>497</v>
      </c>
      <c r="F4471" s="2950"/>
      <c r="G4471" s="2950"/>
      <c r="H4471" s="1678"/>
      <c r="I4471" s="58"/>
      <c r="J4471" s="1682"/>
      <c r="K4471" s="58"/>
      <c r="L4471" s="1674"/>
      <c r="M4471" s="1690"/>
      <c r="N4471" s="1669"/>
      <c r="O4471" s="1685"/>
      <c r="P4471" s="1695"/>
      <c r="U4471" s="1673"/>
      <c r="V4471" s="1674"/>
      <c r="W4471" s="1675"/>
      <c r="X4471" s="1674"/>
      <c r="Y4471" s="1674"/>
      <c r="Z4471" s="1674"/>
      <c r="AA4471" s="1674"/>
      <c r="AB4471" s="1674"/>
      <c r="AC4471" s="1674"/>
    </row>
    <row r="4472" spans="1:29" s="1672" customFormat="1" ht="15.6" customHeight="1" x14ac:dyDescent="0.25">
      <c r="A4472" s="1674"/>
      <c r="B4472" s="1674"/>
      <c r="C4472" s="1674"/>
      <c r="D4472" s="1678"/>
      <c r="E4472" s="1674"/>
      <c r="F4472" s="1678"/>
      <c r="G4472" s="1678"/>
      <c r="H4472" s="1678"/>
      <c r="I4472" s="58"/>
      <c r="J4472" s="1682"/>
      <c r="K4472" s="58"/>
      <c r="L4472" s="1674"/>
      <c r="M4472" s="1690"/>
      <c r="N4472" s="1669"/>
      <c r="O4472" s="1685"/>
      <c r="P4472" s="1695"/>
      <c r="U4472" s="1673"/>
      <c r="V4472" s="1674"/>
      <c r="W4472" s="1675"/>
      <c r="X4472" s="1674"/>
      <c r="Y4472" s="1674"/>
      <c r="Z4472" s="1674"/>
      <c r="AA4472" s="1674"/>
      <c r="AB4472" s="1674"/>
      <c r="AC4472" s="1674"/>
    </row>
    <row r="4473" spans="1:29" s="1672" customFormat="1" ht="15.6" customHeight="1" x14ac:dyDescent="0.25">
      <c r="A4473" s="1674"/>
      <c r="B4473" s="1677" t="s">
        <v>390</v>
      </c>
      <c r="C4473" s="1674"/>
      <c r="D4473" s="1678"/>
      <c r="E4473" s="1674"/>
      <c r="F4473" s="1678"/>
      <c r="G4473" s="1678"/>
      <c r="H4473" s="1678"/>
      <c r="I4473" s="58"/>
      <c r="J4473" s="1682"/>
      <c r="K4473" s="58"/>
      <c r="L4473" s="1674"/>
      <c r="M4473" s="1690"/>
      <c r="N4473" s="1669"/>
      <c r="O4473" s="1685"/>
      <c r="P4473" s="1695"/>
      <c r="U4473" s="1673"/>
      <c r="V4473" s="1674"/>
      <c r="W4473" s="1675"/>
      <c r="X4473" s="1674"/>
      <c r="Y4473" s="1674"/>
      <c r="Z4473" s="1674"/>
      <c r="AA4473" s="1674"/>
      <c r="AB4473" s="1674"/>
      <c r="AC4473" s="1674"/>
    </row>
    <row r="4474" spans="1:29" s="1672" customFormat="1" ht="15.6" hidden="1" customHeight="1" x14ac:dyDescent="0.25">
      <c r="A4474" s="1674"/>
      <c r="B4474" s="1674" t="s">
        <v>206</v>
      </c>
      <c r="C4474" s="1674"/>
      <c r="D4474" s="1678"/>
      <c r="E4474" s="1674" t="s">
        <v>2367</v>
      </c>
      <c r="F4474" s="1678"/>
      <c r="G4474" s="1678"/>
      <c r="H4474" s="1678"/>
      <c r="I4474" s="58">
        <f>'Notes II'!I1418-'Notes II'!I1428</f>
        <v>0</v>
      </c>
      <c r="J4474" s="1682"/>
      <c r="K4474" s="58">
        <f>'Notes II'!K1418-'Notes II'!K1428</f>
        <v>0</v>
      </c>
      <c r="L4474" s="1674"/>
      <c r="M4474" s="1690"/>
      <c r="N4474" s="1669"/>
      <c r="O4474" s="1685"/>
      <c r="P4474" s="1695"/>
      <c r="U4474" s="1673"/>
      <c r="V4474" s="1674"/>
      <c r="W4474" s="1675"/>
      <c r="X4474" s="1674"/>
      <c r="Y4474" s="1674"/>
      <c r="Z4474" s="1674"/>
      <c r="AA4474" s="1674"/>
      <c r="AB4474" s="1674"/>
      <c r="AC4474" s="1674"/>
    </row>
    <row r="4475" spans="1:29" s="1672" customFormat="1" ht="15.6" hidden="1" customHeight="1" x14ac:dyDescent="0.25">
      <c r="A4475" s="1674"/>
      <c r="B4475" s="1674" t="s">
        <v>275</v>
      </c>
      <c r="C4475" s="1674"/>
      <c r="D4475" s="1678"/>
      <c r="E4475" s="1674" t="s">
        <v>2367</v>
      </c>
      <c r="F4475" s="1678"/>
      <c r="G4475" s="1678"/>
      <c r="H4475" s="1678"/>
      <c r="I4475" s="58">
        <f>'Notes II'!I1419-'Notes II'!I1429</f>
        <v>0</v>
      </c>
      <c r="J4475" s="1682"/>
      <c r="K4475" s="58">
        <f>'Notes II'!K1419-'Notes II'!K1429</f>
        <v>0</v>
      </c>
      <c r="L4475" s="1674"/>
      <c r="M4475" s="1690"/>
      <c r="N4475" s="1669"/>
      <c r="O4475" s="1685"/>
      <c r="P4475" s="1695"/>
      <c r="U4475" s="1673"/>
      <c r="V4475" s="1674"/>
      <c r="W4475" s="1675"/>
      <c r="X4475" s="1674"/>
      <c r="Y4475" s="1674"/>
      <c r="Z4475" s="1674"/>
      <c r="AA4475" s="1674"/>
      <c r="AB4475" s="1674"/>
      <c r="AC4475" s="1674"/>
    </row>
    <row r="4476" spans="1:29" s="1672" customFormat="1" ht="15.6" customHeight="1" x14ac:dyDescent="0.25">
      <c r="A4476" s="1674"/>
      <c r="B4476" s="1674" t="s">
        <v>1486</v>
      </c>
      <c r="C4476" s="1674"/>
      <c r="D4476" s="1678"/>
      <c r="E4476" s="1674" t="s">
        <v>2367</v>
      </c>
      <c r="F4476" s="1678"/>
      <c r="G4476" s="1678"/>
      <c r="H4476" s="1678"/>
      <c r="I4476" s="58">
        <f>'Notes II'!I1420-'Notes II'!I1430</f>
        <v>337109.16999999993</v>
      </c>
      <c r="J4476" s="1682"/>
      <c r="K4476" s="58">
        <f>'Notes II'!K1420-'Notes II'!K1430</f>
        <v>650325.60999999987</v>
      </c>
      <c r="L4476" s="1674"/>
      <c r="M4476" s="1690"/>
      <c r="N4476" s="1669"/>
      <c r="O4476" s="1685"/>
      <c r="P4476" s="1695"/>
      <c r="U4476" s="1673"/>
      <c r="V4476" s="1674"/>
      <c r="W4476" s="1675"/>
      <c r="X4476" s="1674"/>
      <c r="Y4476" s="1674"/>
      <c r="Z4476" s="1674"/>
      <c r="AA4476" s="1674"/>
      <c r="AB4476" s="1674"/>
      <c r="AC4476" s="1674"/>
    </row>
    <row r="4477" spans="1:29" s="1672" customFormat="1" ht="15.6" customHeight="1" x14ac:dyDescent="0.25">
      <c r="A4477" s="1674"/>
      <c r="B4477" s="1674" t="s">
        <v>653</v>
      </c>
      <c r="C4477" s="1674"/>
      <c r="D4477" s="1678"/>
      <c r="E4477" s="1674" t="s">
        <v>2367</v>
      </c>
      <c r="F4477" s="1678"/>
      <c r="G4477" s="1678"/>
      <c r="H4477" s="1678"/>
      <c r="I4477" s="58">
        <f>'Notes II'!I1421-'Notes II'!I1431</f>
        <v>1227782.6599999999</v>
      </c>
      <c r="J4477" s="1682"/>
      <c r="K4477" s="58">
        <f>'Notes II'!K1421-'Notes II'!K1431</f>
        <v>1425012.73</v>
      </c>
      <c r="L4477" s="1674"/>
      <c r="M4477" s="1690"/>
      <c r="N4477" s="1669"/>
      <c r="O4477" s="1685"/>
      <c r="P4477" s="1695"/>
      <c r="U4477" s="1673"/>
      <c r="V4477" s="1674"/>
      <c r="W4477" s="1675"/>
      <c r="X4477" s="1674"/>
      <c r="Y4477" s="1674"/>
      <c r="Z4477" s="1674"/>
      <c r="AA4477" s="1674"/>
      <c r="AB4477" s="1674"/>
      <c r="AC4477" s="1674"/>
    </row>
    <row r="4478" spans="1:29" s="1672" customFormat="1" ht="15.6" customHeight="1" x14ac:dyDescent="0.25">
      <c r="A4478" s="1674"/>
      <c r="B4478" s="1674" t="s">
        <v>577</v>
      </c>
      <c r="C4478" s="1674"/>
      <c r="D4478" s="1678"/>
      <c r="E4478" s="1674" t="s">
        <v>2367</v>
      </c>
      <c r="F4478" s="1678"/>
      <c r="G4478" s="1678"/>
      <c r="H4478" s="1678"/>
      <c r="I4478" s="58">
        <f>'Notes II'!I1422-'Notes II'!I1432</f>
        <v>1214261.78</v>
      </c>
      <c r="J4478" s="1682"/>
      <c r="K4478" s="58">
        <f>'Notes II'!K1422-'Notes II'!K1432</f>
        <v>1337754.6399999999</v>
      </c>
      <c r="L4478" s="1674"/>
      <c r="M4478" s="1690"/>
      <c r="N4478" s="1669"/>
      <c r="O4478" s="1685"/>
      <c r="P4478" s="1695"/>
      <c r="U4478" s="1673"/>
      <c r="V4478" s="1674"/>
      <c r="W4478" s="1675"/>
      <c r="X4478" s="1674"/>
      <c r="Y4478" s="1674"/>
      <c r="Z4478" s="1674"/>
      <c r="AA4478" s="1674"/>
      <c r="AB4478" s="1674"/>
      <c r="AC4478" s="1674"/>
    </row>
    <row r="4479" spans="1:29" s="1672" customFormat="1" ht="15.6" customHeight="1" x14ac:dyDescent="0.25">
      <c r="A4479" s="1674"/>
      <c r="B4479" s="1674"/>
      <c r="C4479" s="1674"/>
      <c r="D4479" s="1678"/>
      <c r="E4479" s="1674"/>
      <c r="F4479" s="1678"/>
      <c r="G4479" s="1678"/>
      <c r="H4479" s="1678"/>
      <c r="I4479" s="58"/>
      <c r="J4479" s="1682"/>
      <c r="K4479" s="58"/>
      <c r="L4479" s="1674"/>
      <c r="M4479" s="1690"/>
      <c r="N4479" s="1669"/>
      <c r="O4479" s="1685"/>
      <c r="P4479" s="1695"/>
      <c r="U4479" s="1673"/>
      <c r="V4479" s="1674"/>
      <c r="W4479" s="1675"/>
      <c r="X4479" s="1674"/>
      <c r="Y4479" s="1674"/>
      <c r="Z4479" s="1674"/>
      <c r="AA4479" s="1674"/>
      <c r="AB4479" s="1674"/>
      <c r="AC4479" s="1674"/>
    </row>
    <row r="4480" spans="1:29" s="1672" customFormat="1" ht="15.6" customHeight="1" x14ac:dyDescent="0.25">
      <c r="A4480" s="1674"/>
      <c r="B4480" s="1677" t="s">
        <v>1873</v>
      </c>
      <c r="C4480" s="1674"/>
      <c r="D4480" s="1678"/>
      <c r="E4480" s="1674"/>
      <c r="F4480" s="1678"/>
      <c r="G4480" s="1678"/>
      <c r="H4480" s="1678"/>
      <c r="I4480" s="58"/>
      <c r="J4480" s="1682"/>
      <c r="K4480" s="58"/>
      <c r="L4480" s="1674"/>
      <c r="M4480" s="1690"/>
      <c r="N4480" s="1669"/>
      <c r="O4480" s="1685"/>
      <c r="P4480" s="1695"/>
      <c r="U4480" s="1673"/>
      <c r="V4480" s="1674"/>
      <c r="W4480" s="1675"/>
      <c r="X4480" s="1674"/>
      <c r="Y4480" s="1674"/>
      <c r="Z4480" s="1674"/>
      <c r="AA4480" s="1674"/>
      <c r="AB4480" s="1674"/>
      <c r="AC4480" s="1674"/>
    </row>
    <row r="4481" spans="1:29" s="1672" customFormat="1" ht="15.6" customHeight="1" x14ac:dyDescent="0.25">
      <c r="A4481" s="1674"/>
      <c r="B4481" s="1674" t="s">
        <v>59</v>
      </c>
      <c r="C4481" s="1674"/>
      <c r="D4481" s="1678"/>
      <c r="E4481" s="1674" t="s">
        <v>2367</v>
      </c>
      <c r="F4481" s="1678"/>
      <c r="G4481" s="1678"/>
      <c r="H4481" s="1678"/>
      <c r="I4481" s="58">
        <f>'Notes II'!I1160</f>
        <v>8502473.3199999854</v>
      </c>
      <c r="J4481" s="1682"/>
      <c r="K4481" s="58">
        <f>'Notes II'!K1160</f>
        <v>14117074.239999998</v>
      </c>
      <c r="L4481" s="1674"/>
      <c r="M4481" s="1690"/>
      <c r="N4481" s="1669"/>
      <c r="O4481" s="1685"/>
      <c r="P4481" s="1695"/>
      <c r="U4481" s="1673"/>
      <c r="V4481" s="1674"/>
      <c r="W4481" s="1675"/>
      <c r="X4481" s="1674"/>
      <c r="Y4481" s="1674"/>
      <c r="Z4481" s="1674"/>
      <c r="AA4481" s="1674"/>
      <c r="AB4481" s="1674"/>
      <c r="AC4481" s="1674"/>
    </row>
    <row r="4482" spans="1:29" s="1672" customFormat="1" ht="15.6" customHeight="1" x14ac:dyDescent="0.25">
      <c r="A4482" s="1674"/>
      <c r="B4482" s="1674" t="s">
        <v>658</v>
      </c>
      <c r="C4482" s="1674"/>
      <c r="D4482" s="1678"/>
      <c r="E4482" s="1674" t="s">
        <v>2368</v>
      </c>
      <c r="F4482" s="1678"/>
      <c r="G4482" s="1678"/>
      <c r="H4482" s="1678"/>
      <c r="I4482" s="58">
        <f>'Notes II'!I1161</f>
        <v>586245.13000000012</v>
      </c>
      <c r="J4482" s="1682"/>
      <c r="K4482" s="58">
        <f>'Notes II'!K1161</f>
        <v>239710.54</v>
      </c>
      <c r="L4482" s="1674"/>
      <c r="M4482" s="1690"/>
      <c r="N4482" s="1669"/>
      <c r="O4482" s="1685"/>
      <c r="P4482" s="1695"/>
      <c r="U4482" s="1673"/>
      <c r="V4482" s="1674"/>
      <c r="W4482" s="1675"/>
      <c r="X4482" s="1674"/>
      <c r="Y4482" s="1674"/>
      <c r="Z4482" s="1674"/>
      <c r="AA4482" s="1674"/>
      <c r="AB4482" s="1674"/>
      <c r="AC4482" s="1674"/>
    </row>
    <row r="4483" spans="1:29" s="1672" customFormat="1" ht="15.6" hidden="1" customHeight="1" x14ac:dyDescent="0.25">
      <c r="A4483" s="1674"/>
      <c r="B4483" s="1674" t="s">
        <v>1416</v>
      </c>
      <c r="C4483" s="1674"/>
      <c r="D4483" s="1678"/>
      <c r="E4483" s="1674" t="s">
        <v>2367</v>
      </c>
      <c r="F4483" s="1678"/>
      <c r="G4483" s="1678"/>
      <c r="H4483" s="1678"/>
      <c r="I4483" s="58">
        <f>'Notes II'!I1162</f>
        <v>0</v>
      </c>
      <c r="J4483" s="1682"/>
      <c r="K4483" s="58">
        <f>'Notes II'!K1162</f>
        <v>0</v>
      </c>
      <c r="L4483" s="1674"/>
      <c r="M4483" s="1690"/>
      <c r="N4483" s="1669"/>
      <c r="O4483" s="1685"/>
      <c r="P4483" s="1695"/>
      <c r="U4483" s="1673"/>
      <c r="V4483" s="1674"/>
      <c r="W4483" s="1675"/>
      <c r="X4483" s="1674"/>
      <c r="Y4483" s="1674"/>
      <c r="Z4483" s="1674"/>
      <c r="AA4483" s="1674"/>
      <c r="AB4483" s="1674"/>
      <c r="AC4483" s="1674"/>
    </row>
    <row r="4484" spans="1:29" s="1672" customFormat="1" ht="15.6" hidden="1" customHeight="1" x14ac:dyDescent="0.25">
      <c r="A4484" s="1674"/>
      <c r="B4484" s="1674" t="s">
        <v>659</v>
      </c>
      <c r="C4484" s="1674"/>
      <c r="D4484" s="1678"/>
      <c r="E4484" s="1674" t="s">
        <v>2367</v>
      </c>
      <c r="F4484" s="1678"/>
      <c r="G4484" s="1678"/>
      <c r="H4484" s="1678"/>
      <c r="I4484" s="58">
        <f>'Notes II'!I1163</f>
        <v>0</v>
      </c>
      <c r="J4484" s="1682"/>
      <c r="K4484" s="58">
        <f>'Notes II'!K1163</f>
        <v>0</v>
      </c>
      <c r="L4484" s="1674"/>
      <c r="M4484" s="1690"/>
      <c r="N4484" s="1669"/>
      <c r="O4484" s="1685"/>
      <c r="P4484" s="1695"/>
      <c r="U4484" s="1673"/>
      <c r="V4484" s="1674"/>
      <c r="W4484" s="1675"/>
      <c r="X4484" s="1674"/>
      <c r="Y4484" s="1674"/>
      <c r="Z4484" s="1674"/>
      <c r="AA4484" s="1674"/>
      <c r="AB4484" s="1674"/>
      <c r="AC4484" s="1674"/>
    </row>
    <row r="4485" spans="1:29" s="1672" customFormat="1" ht="15.6" customHeight="1" x14ac:dyDescent="0.25">
      <c r="A4485" s="1674"/>
      <c r="B4485" s="1674" t="s">
        <v>660</v>
      </c>
      <c r="C4485" s="1674"/>
      <c r="D4485" s="1678"/>
      <c r="E4485" s="1674" t="s">
        <v>2367</v>
      </c>
      <c r="F4485" s="1678"/>
      <c r="G4485" s="1678"/>
      <c r="H4485" s="1678"/>
      <c r="I4485" s="58">
        <f>'Notes II'!I1168</f>
        <v>1041707.1500000001</v>
      </c>
      <c r="J4485" s="1682"/>
      <c r="K4485" s="58">
        <f>'Notes II'!K1168</f>
        <v>236574.36</v>
      </c>
      <c r="L4485" s="1674"/>
      <c r="M4485" s="1690"/>
      <c r="N4485" s="1669"/>
      <c r="O4485" s="1685"/>
      <c r="P4485" s="1695"/>
      <c r="U4485" s="1673"/>
      <c r="V4485" s="1674"/>
      <c r="W4485" s="1675"/>
      <c r="X4485" s="1674"/>
      <c r="Y4485" s="1674"/>
      <c r="Z4485" s="1674"/>
      <c r="AA4485" s="1674"/>
      <c r="AB4485" s="1674"/>
      <c r="AC4485" s="1674"/>
    </row>
    <row r="4486" spans="1:29" s="1672" customFormat="1" ht="15.6" customHeight="1" x14ac:dyDescent="0.25">
      <c r="A4486" s="1674"/>
      <c r="B4486" s="1674" t="s">
        <v>393</v>
      </c>
      <c r="C4486" s="1674"/>
      <c r="D4486" s="1678"/>
      <c r="E4486" s="1674" t="s">
        <v>2368</v>
      </c>
      <c r="F4486" s="1678"/>
      <c r="G4486" s="1678"/>
      <c r="H4486" s="1678"/>
      <c r="I4486" s="58">
        <f>I4543</f>
        <v>164402.49</v>
      </c>
      <c r="J4486" s="1682"/>
      <c r="K4486" s="58">
        <f>K4543</f>
        <v>163971.03999999998</v>
      </c>
      <c r="L4486" s="1674"/>
      <c r="M4486" s="1690"/>
      <c r="N4486" s="1669"/>
      <c r="O4486" s="1685"/>
      <c r="P4486" s="1695"/>
      <c r="U4486" s="1673"/>
      <c r="V4486" s="1674"/>
      <c r="W4486" s="1675"/>
      <c r="X4486" s="1674"/>
      <c r="Y4486" s="1674"/>
      <c r="Z4486" s="1674"/>
      <c r="AA4486" s="1674"/>
      <c r="AB4486" s="1674"/>
      <c r="AC4486" s="1674"/>
    </row>
    <row r="4487" spans="1:29" s="1672" customFormat="1" ht="15.6" customHeight="1" x14ac:dyDescent="0.25">
      <c r="A4487" s="1674"/>
      <c r="B4487" s="1674" t="s">
        <v>60</v>
      </c>
      <c r="C4487" s="1674"/>
      <c r="D4487" s="1678"/>
      <c r="E4487" s="1674" t="s">
        <v>2367</v>
      </c>
      <c r="F4487" s="1678"/>
      <c r="G4487" s="1678"/>
      <c r="H4487" s="1678"/>
      <c r="I4487" s="58">
        <f>'Notes II'!I1169</f>
        <v>100570.93</v>
      </c>
      <c r="J4487" s="1682"/>
      <c r="K4487" s="58">
        <f>'Notes II'!K1169</f>
        <v>76648.03</v>
      </c>
      <c r="L4487" s="1674"/>
      <c r="M4487" s="1690"/>
      <c r="N4487" s="1669"/>
      <c r="O4487" s="1685"/>
      <c r="P4487" s="1695"/>
      <c r="U4487" s="1673"/>
      <c r="V4487" s="1674"/>
      <c r="W4487" s="1675"/>
      <c r="X4487" s="1674"/>
      <c r="Y4487" s="1674"/>
      <c r="Z4487" s="1674"/>
      <c r="AA4487" s="1674"/>
      <c r="AB4487" s="1674"/>
      <c r="AC4487" s="1674"/>
    </row>
    <row r="4488" spans="1:29" s="1672" customFormat="1" ht="15.6" customHeight="1" x14ac:dyDescent="0.25">
      <c r="A4488" s="1674"/>
      <c r="B4488" s="1674"/>
      <c r="C4488" s="1674"/>
      <c r="D4488" s="1678"/>
      <c r="E4488" s="1674"/>
      <c r="F4488" s="1678"/>
      <c r="G4488" s="1678"/>
      <c r="H4488" s="1678"/>
      <c r="I4488" s="58"/>
      <c r="J4488" s="1682"/>
      <c r="K4488" s="58"/>
      <c r="L4488" s="1674"/>
      <c r="M4488" s="1690"/>
      <c r="N4488" s="1669"/>
      <c r="O4488" s="1685"/>
      <c r="P4488" s="1671"/>
      <c r="U4488" s="1673"/>
      <c r="V4488" s="1674"/>
      <c r="W4488" s="1675"/>
      <c r="X4488" s="1674"/>
      <c r="Y4488" s="1674"/>
      <c r="Z4488" s="1674"/>
      <c r="AA4488" s="1674"/>
      <c r="AB4488" s="1674"/>
      <c r="AC4488" s="1674"/>
    </row>
    <row r="4489" spans="1:29" s="1672" customFormat="1" ht="15.6" hidden="1" customHeight="1" x14ac:dyDescent="0.25">
      <c r="A4489" s="1674"/>
      <c r="B4489" s="1677" t="s">
        <v>333</v>
      </c>
      <c r="C4489" s="1674"/>
      <c r="D4489" s="1678"/>
      <c r="E4489" s="1674"/>
      <c r="F4489" s="1678"/>
      <c r="G4489" s="1678"/>
      <c r="H4489" s="1678"/>
      <c r="I4489" s="58"/>
      <c r="J4489" s="1682"/>
      <c r="K4489" s="58"/>
      <c r="L4489" s="1674"/>
      <c r="M4489" s="1690"/>
      <c r="N4489" s="1669"/>
      <c r="O4489" s="1685"/>
      <c r="P4489" s="1695"/>
      <c r="U4489" s="1673"/>
      <c r="V4489" s="1674"/>
      <c r="W4489" s="1675"/>
      <c r="X4489" s="1674"/>
      <c r="Y4489" s="1674"/>
      <c r="Z4489" s="1674"/>
      <c r="AA4489" s="1674"/>
      <c r="AB4489" s="1674"/>
      <c r="AC4489" s="1674"/>
    </row>
    <row r="4490" spans="1:29" s="1672" customFormat="1" ht="15.6" hidden="1" customHeight="1" x14ac:dyDescent="0.25">
      <c r="A4490" s="1674"/>
      <c r="B4490" s="1674" t="s">
        <v>576</v>
      </c>
      <c r="C4490" s="1674"/>
      <c r="D4490" s="1678"/>
      <c r="E4490" s="1674" t="s">
        <v>2367</v>
      </c>
      <c r="F4490" s="1678"/>
      <c r="G4490" s="1678"/>
      <c r="H4490" s="1678"/>
      <c r="I4490" s="58">
        <f>'Notes II'!I1341</f>
        <v>0</v>
      </c>
      <c r="J4490" s="1682"/>
      <c r="K4490" s="58">
        <f>'Notes II'!K1341</f>
        <v>0</v>
      </c>
      <c r="L4490" s="1674"/>
      <c r="M4490" s="1690"/>
      <c r="N4490" s="1669"/>
      <c r="O4490" s="1685"/>
      <c r="P4490" s="1695"/>
      <c r="U4490" s="1673"/>
      <c r="V4490" s="1674"/>
      <c r="W4490" s="1675"/>
      <c r="X4490" s="1674"/>
      <c r="Y4490" s="1674"/>
      <c r="Z4490" s="1674"/>
      <c r="AA4490" s="1674"/>
      <c r="AB4490" s="1674"/>
      <c r="AC4490" s="1674"/>
    </row>
    <row r="4491" spans="1:29" s="1672" customFormat="1" ht="15.6" hidden="1" customHeight="1" x14ac:dyDescent="0.25">
      <c r="A4491" s="1674"/>
      <c r="B4491" s="1674" t="s">
        <v>577</v>
      </c>
      <c r="C4491" s="1674"/>
      <c r="D4491" s="1678"/>
      <c r="E4491" s="1674" t="s">
        <v>2367</v>
      </c>
      <c r="F4491" s="1678"/>
      <c r="G4491" s="1678"/>
      <c r="H4491" s="1678"/>
      <c r="I4491" s="58">
        <f>'Notes II'!I1342</f>
        <v>0</v>
      </c>
      <c r="J4491" s="1682"/>
      <c r="K4491" s="58">
        <f>'Notes II'!K1342</f>
        <v>0</v>
      </c>
      <c r="L4491" s="1674"/>
      <c r="M4491" s="1690"/>
      <c r="N4491" s="1669"/>
      <c r="O4491" s="1685"/>
      <c r="P4491" s="1695"/>
      <c r="U4491" s="1673"/>
      <c r="V4491" s="1674"/>
      <c r="W4491" s="1675"/>
      <c r="X4491" s="1674"/>
      <c r="Y4491" s="1674"/>
      <c r="Z4491" s="1674"/>
      <c r="AA4491" s="1674"/>
      <c r="AB4491" s="1674"/>
      <c r="AC4491" s="1674"/>
    </row>
    <row r="4492" spans="1:29" s="1672" customFormat="1" ht="15.6" hidden="1" customHeight="1" x14ac:dyDescent="0.25">
      <c r="A4492" s="1674"/>
      <c r="B4492" s="1674"/>
      <c r="C4492" s="1674"/>
      <c r="D4492" s="1678"/>
      <c r="E4492" s="1674"/>
      <c r="F4492" s="1678"/>
      <c r="G4492" s="1678"/>
      <c r="H4492" s="1678"/>
      <c r="I4492" s="58"/>
      <c r="J4492" s="1682"/>
      <c r="K4492" s="58"/>
      <c r="L4492" s="1674"/>
      <c r="M4492" s="1690"/>
      <c r="N4492" s="1669"/>
      <c r="O4492" s="1685"/>
      <c r="P4492" s="1695"/>
      <c r="U4492" s="1673"/>
      <c r="V4492" s="1674"/>
      <c r="W4492" s="1675"/>
      <c r="X4492" s="1674"/>
      <c r="Y4492" s="1674"/>
      <c r="Z4492" s="1674"/>
      <c r="AA4492" s="1674"/>
      <c r="AB4492" s="1674"/>
      <c r="AC4492" s="1674"/>
    </row>
    <row r="4493" spans="1:29" s="1672" customFormat="1" ht="15.6" customHeight="1" x14ac:dyDescent="0.25">
      <c r="A4493" s="1674"/>
      <c r="B4493" s="1677" t="s">
        <v>395</v>
      </c>
      <c r="C4493" s="1674"/>
      <c r="D4493" s="1678"/>
      <c r="E4493" s="1674"/>
      <c r="F4493" s="1678"/>
      <c r="G4493" s="1678"/>
      <c r="H4493" s="1678"/>
      <c r="I4493" s="58"/>
      <c r="J4493" s="1682"/>
      <c r="K4493" s="58"/>
      <c r="L4493" s="1674"/>
      <c r="M4493" s="1690"/>
      <c r="N4493" s="1669"/>
      <c r="O4493" s="1685"/>
      <c r="P4493" s="1695"/>
      <c r="U4493" s="1673"/>
      <c r="V4493" s="1674"/>
      <c r="W4493" s="1675"/>
      <c r="X4493" s="1674"/>
      <c r="Y4493" s="1674"/>
      <c r="Z4493" s="1674"/>
      <c r="AA4493" s="1674"/>
      <c r="AB4493" s="1674"/>
      <c r="AC4493" s="1674"/>
    </row>
    <row r="4494" spans="1:29" s="1672" customFormat="1" ht="15.6" customHeight="1" x14ac:dyDescent="0.25">
      <c r="A4494" s="1674"/>
      <c r="B4494" s="1674" t="s">
        <v>395</v>
      </c>
      <c r="C4494" s="1674"/>
      <c r="D4494" s="1678"/>
      <c r="E4494" s="1674" t="s">
        <v>2368</v>
      </c>
      <c r="F4494" s="1678"/>
      <c r="G4494" s="1678"/>
      <c r="H4494" s="1678"/>
      <c r="I4494" s="58">
        <f>-'Notes I'!I895</f>
        <v>3915357</v>
      </c>
      <c r="J4494" s="1682"/>
      <c r="K4494" s="58">
        <f>-'Notes I'!K895</f>
        <v>2065666.0399999998</v>
      </c>
      <c r="L4494" s="1674"/>
      <c r="M4494" s="1690"/>
      <c r="N4494" s="1669"/>
      <c r="O4494" s="1685"/>
      <c r="P4494" s="1695"/>
      <c r="U4494" s="1673"/>
      <c r="V4494" s="1674"/>
      <c r="W4494" s="1675"/>
      <c r="X4494" s="1674"/>
      <c r="Y4494" s="1674"/>
      <c r="Z4494" s="1674"/>
      <c r="AA4494" s="1674"/>
      <c r="AB4494" s="1674"/>
      <c r="AC4494" s="1674"/>
    </row>
    <row r="4495" spans="1:29" s="1672" customFormat="1" ht="15.6" customHeight="1" x14ac:dyDescent="0.25">
      <c r="A4495" s="1674"/>
      <c r="B4495" s="1674"/>
      <c r="C4495" s="1674"/>
      <c r="D4495" s="1678"/>
      <c r="E4495" s="1674"/>
      <c r="F4495" s="1678"/>
      <c r="G4495" s="1678"/>
      <c r="H4495" s="1678"/>
      <c r="I4495" s="58"/>
      <c r="J4495" s="1682"/>
      <c r="K4495" s="58"/>
      <c r="L4495" s="1674"/>
      <c r="M4495" s="1690"/>
      <c r="N4495" s="1669"/>
      <c r="O4495" s="1685"/>
      <c r="P4495" s="1695"/>
      <c r="U4495" s="1673"/>
      <c r="V4495" s="1674"/>
      <c r="W4495" s="1675"/>
      <c r="X4495" s="1674"/>
      <c r="Y4495" s="1674"/>
      <c r="Z4495" s="1674"/>
      <c r="AA4495" s="1674"/>
      <c r="AB4495" s="1674"/>
      <c r="AC4495" s="1674"/>
    </row>
    <row r="4496" spans="1:29" s="1672" customFormat="1" ht="15.6" customHeight="1" x14ac:dyDescent="0.25">
      <c r="A4496" s="1674"/>
      <c r="B4496" s="1677" t="s">
        <v>396</v>
      </c>
      <c r="C4496" s="1674"/>
      <c r="D4496" s="1678"/>
      <c r="E4496" s="1674"/>
      <c r="F4496" s="1678"/>
      <c r="G4496" s="1678"/>
      <c r="H4496" s="1678"/>
      <c r="I4496" s="58"/>
      <c r="J4496" s="1682"/>
      <c r="K4496" s="58"/>
      <c r="L4496" s="1674"/>
      <c r="M4496" s="1690"/>
      <c r="N4496" s="1669"/>
      <c r="O4496" s="1685"/>
      <c r="P4496" s="1695"/>
      <c r="U4496" s="1673"/>
      <c r="V4496" s="1674"/>
      <c r="W4496" s="1675"/>
      <c r="X4496" s="1674"/>
      <c r="Y4496" s="1674"/>
      <c r="Z4496" s="1674"/>
      <c r="AA4496" s="1674"/>
      <c r="AB4496" s="1674"/>
      <c r="AC4496" s="1674"/>
    </row>
    <row r="4497" spans="1:29" s="1672" customFormat="1" ht="15.6" hidden="1" customHeight="1" x14ac:dyDescent="0.25">
      <c r="A4497" s="1674"/>
      <c r="B4497" s="1674" t="s">
        <v>206</v>
      </c>
      <c r="C4497" s="1674"/>
      <c r="D4497" s="1678"/>
      <c r="E4497" s="1674" t="s">
        <v>2367</v>
      </c>
      <c r="F4497" s="1678"/>
      <c r="G4497" s="1678"/>
      <c r="H4497" s="1678"/>
      <c r="I4497" s="58">
        <f>'Notes II'!I1428</f>
        <v>0</v>
      </c>
      <c r="J4497" s="1682"/>
      <c r="K4497" s="58">
        <f>'Notes II'!K1428</f>
        <v>0</v>
      </c>
      <c r="L4497" s="1674"/>
      <c r="M4497" s="1690"/>
      <c r="N4497" s="1669"/>
      <c r="O4497" s="1685"/>
      <c r="P4497" s="1695"/>
      <c r="U4497" s="1673"/>
      <c r="V4497" s="1674"/>
      <c r="W4497" s="1675"/>
      <c r="X4497" s="1674"/>
      <c r="Y4497" s="1674"/>
      <c r="Z4497" s="1674"/>
      <c r="AA4497" s="1674"/>
      <c r="AB4497" s="1674"/>
      <c r="AC4497" s="1674"/>
    </row>
    <row r="4498" spans="1:29" s="1672" customFormat="1" ht="15.6" hidden="1" customHeight="1" x14ac:dyDescent="0.25">
      <c r="A4498" s="1674"/>
      <c r="B4498" s="1674" t="s">
        <v>275</v>
      </c>
      <c r="C4498" s="1674"/>
      <c r="D4498" s="1678"/>
      <c r="E4498" s="1674" t="s">
        <v>2367</v>
      </c>
      <c r="F4498" s="1678"/>
      <c r="G4498" s="1678"/>
      <c r="H4498" s="1678"/>
      <c r="I4498" s="58">
        <f>'Notes II'!I1429</f>
        <v>0</v>
      </c>
      <c r="J4498" s="1682"/>
      <c r="K4498" s="58">
        <f>'Notes II'!K1429</f>
        <v>0</v>
      </c>
      <c r="L4498" s="1674"/>
      <c r="M4498" s="1690"/>
      <c r="N4498" s="1669"/>
      <c r="O4498" s="1685"/>
      <c r="P4498" s="1695"/>
      <c r="U4498" s="1673"/>
      <c r="V4498" s="1674"/>
      <c r="W4498" s="1675"/>
      <c r="X4498" s="1674"/>
      <c r="Y4498" s="1674"/>
      <c r="Z4498" s="1674"/>
      <c r="AA4498" s="1674"/>
      <c r="AB4498" s="1674"/>
      <c r="AC4498" s="1674"/>
    </row>
    <row r="4499" spans="1:29" s="1672" customFormat="1" ht="15.6" customHeight="1" x14ac:dyDescent="0.25">
      <c r="A4499" s="1674"/>
      <c r="B4499" s="1674" t="s">
        <v>1486</v>
      </c>
      <c r="C4499" s="1674"/>
      <c r="D4499" s="1678"/>
      <c r="E4499" s="1674" t="s">
        <v>2367</v>
      </c>
      <c r="F4499" s="1678"/>
      <c r="G4499" s="1678"/>
      <c r="H4499" s="1678"/>
      <c r="I4499" s="58">
        <f>'Notes II'!I1430</f>
        <v>313217</v>
      </c>
      <c r="J4499" s="1682"/>
      <c r="K4499" s="58">
        <f>'Notes II'!K1430</f>
        <v>458273</v>
      </c>
      <c r="L4499" s="1674"/>
      <c r="M4499" s="1690"/>
      <c r="N4499" s="1669"/>
      <c r="O4499" s="1685"/>
      <c r="P4499" s="1695"/>
      <c r="U4499" s="1673"/>
      <c r="V4499" s="1674"/>
      <c r="W4499" s="1675"/>
      <c r="X4499" s="1674"/>
      <c r="Y4499" s="1674"/>
      <c r="Z4499" s="1674"/>
      <c r="AA4499" s="1674"/>
      <c r="AB4499" s="1674"/>
      <c r="AC4499" s="1674"/>
    </row>
    <row r="4500" spans="1:29" s="1672" customFormat="1" ht="15.6" customHeight="1" x14ac:dyDescent="0.25">
      <c r="A4500" s="1674"/>
      <c r="B4500" s="1674" t="s">
        <v>653</v>
      </c>
      <c r="C4500" s="1674"/>
      <c r="D4500" s="1678"/>
      <c r="E4500" s="1674" t="s">
        <v>2367</v>
      </c>
      <c r="F4500" s="1678"/>
      <c r="G4500" s="1678"/>
      <c r="H4500" s="1678"/>
      <c r="I4500" s="58">
        <f>'Notes II'!I1431</f>
        <v>183927</v>
      </c>
      <c r="J4500" s="1682"/>
      <c r="K4500" s="58">
        <f>'Notes II'!K1431</f>
        <v>303438</v>
      </c>
      <c r="L4500" s="1674"/>
      <c r="M4500" s="1690"/>
      <c r="N4500" s="1669"/>
      <c r="O4500" s="1685"/>
      <c r="P4500" s="1695"/>
      <c r="U4500" s="1673"/>
      <c r="V4500" s="1674"/>
      <c r="W4500" s="1675"/>
      <c r="X4500" s="1674"/>
      <c r="Y4500" s="1674"/>
      <c r="Z4500" s="1674"/>
      <c r="AA4500" s="1674"/>
      <c r="AB4500" s="1674"/>
      <c r="AC4500" s="1674"/>
    </row>
    <row r="4501" spans="1:29" s="1672" customFormat="1" ht="15.6" hidden="1" customHeight="1" x14ac:dyDescent="0.25">
      <c r="A4501" s="1674"/>
      <c r="B4501" s="1716" t="s">
        <v>577</v>
      </c>
      <c r="C4501" s="1716"/>
      <c r="D4501" s="2200"/>
      <c r="E4501" s="1716" t="s">
        <v>2367</v>
      </c>
      <c r="F4501" s="2200"/>
      <c r="G4501" s="2200"/>
      <c r="H4501" s="2200"/>
      <c r="I4501" s="2043">
        <f>'Notes II'!I1432</f>
        <v>0</v>
      </c>
      <c r="J4501" s="2201"/>
      <c r="K4501" s="2043">
        <f>'Notes II'!K1432</f>
        <v>0</v>
      </c>
      <c r="L4501" s="1674"/>
      <c r="M4501" s="1690"/>
      <c r="N4501" s="1669"/>
      <c r="O4501" s="1685"/>
      <c r="P4501" s="1695"/>
      <c r="U4501" s="1673"/>
      <c r="V4501" s="1674"/>
      <c r="W4501" s="1675"/>
      <c r="X4501" s="1674"/>
      <c r="Y4501" s="1674"/>
      <c r="Z4501" s="1674"/>
      <c r="AA4501" s="1674"/>
      <c r="AB4501" s="1674"/>
      <c r="AC4501" s="1674"/>
    </row>
    <row r="4502" spans="1:29" s="1672" customFormat="1" ht="15.6" customHeight="1" x14ac:dyDescent="0.25">
      <c r="A4502" s="1674"/>
      <c r="B4502" s="1674"/>
      <c r="C4502" s="1674"/>
      <c r="D4502" s="1678"/>
      <c r="E4502" s="1674"/>
      <c r="F4502" s="1678"/>
      <c r="G4502" s="1678"/>
      <c r="H4502" s="1678"/>
      <c r="I4502" s="244">
        <f>SUM(I4473:I4501)</f>
        <v>17587053.629999988</v>
      </c>
      <c r="J4502" s="1682"/>
      <c r="K4502" s="244">
        <f>SUM(K4473:K4501)</f>
        <v>21074448.229999997</v>
      </c>
      <c r="L4502" s="1674"/>
      <c r="M4502" s="1690"/>
      <c r="N4502" s="1669"/>
      <c r="O4502" s="1685"/>
      <c r="P4502" s="1695"/>
      <c r="U4502" s="1673"/>
      <c r="V4502" s="1674"/>
      <c r="W4502" s="1675"/>
      <c r="X4502" s="1674"/>
      <c r="Y4502" s="1674"/>
      <c r="Z4502" s="1674"/>
      <c r="AA4502" s="1674"/>
      <c r="AB4502" s="1674"/>
      <c r="AC4502" s="1674"/>
    </row>
    <row r="4503" spans="1:29" s="1672" customFormat="1" ht="15.6" hidden="1" customHeight="1" x14ac:dyDescent="0.25">
      <c r="A4503" s="1674"/>
      <c r="B4503" s="1674"/>
      <c r="C4503" s="1674"/>
      <c r="D4503" s="1678"/>
      <c r="E4503" s="1674"/>
      <c r="F4503" s="1678"/>
      <c r="G4503" s="1678"/>
      <c r="H4503" s="1678"/>
      <c r="I4503" s="58"/>
      <c r="J4503" s="1682"/>
      <c r="K4503" s="58"/>
      <c r="L4503" s="1674"/>
      <c r="M4503" s="1690"/>
      <c r="N4503" s="1669"/>
      <c r="O4503" s="1685"/>
      <c r="P4503" s="1695"/>
      <c r="U4503" s="1673"/>
      <c r="V4503" s="1674"/>
      <c r="W4503" s="1675"/>
      <c r="X4503" s="1674"/>
      <c r="Y4503" s="1674"/>
      <c r="Z4503" s="1674"/>
      <c r="AA4503" s="1674"/>
      <c r="AB4503" s="1674"/>
      <c r="AC4503" s="1674"/>
    </row>
    <row r="4504" spans="1:29" s="1672" customFormat="1" ht="15.6" customHeight="1" x14ac:dyDescent="0.25">
      <c r="A4504" s="1674"/>
      <c r="B4504" s="1677" t="s">
        <v>1165</v>
      </c>
      <c r="C4504" s="1674"/>
      <c r="D4504" s="1678"/>
      <c r="E4504" s="1674"/>
      <c r="F4504" s="1678"/>
      <c r="G4504" s="1678"/>
      <c r="H4504" s="1678"/>
      <c r="I4504" s="58"/>
      <c r="J4504" s="1682"/>
      <c r="K4504" s="58"/>
      <c r="L4504" s="1674"/>
      <c r="M4504" s="1690"/>
      <c r="N4504" s="1669"/>
      <c r="O4504" s="1685"/>
      <c r="P4504" s="1695"/>
      <c r="U4504" s="1673"/>
      <c r="V4504" s="1674"/>
      <c r="W4504" s="1675"/>
      <c r="X4504" s="1674"/>
      <c r="Y4504" s="1674"/>
      <c r="Z4504" s="1674"/>
      <c r="AA4504" s="1674"/>
      <c r="AB4504" s="1674"/>
      <c r="AC4504" s="1674"/>
    </row>
    <row r="4505" spans="1:29" s="1672" customFormat="1" ht="15.6" customHeight="1" x14ac:dyDescent="0.25">
      <c r="A4505" s="1674"/>
      <c r="B4505" s="1674"/>
      <c r="C4505" s="1674"/>
      <c r="D4505" s="1678"/>
      <c r="E4505" s="1674"/>
      <c r="F4505" s="1678"/>
      <c r="G4505" s="1678"/>
      <c r="H4505" s="1678"/>
      <c r="I4505" s="58"/>
      <c r="J4505" s="1682"/>
      <c r="K4505" s="58"/>
      <c r="L4505" s="1674"/>
      <c r="M4505" s="1690"/>
      <c r="N4505" s="1669"/>
      <c r="O4505" s="1685"/>
      <c r="P4505" s="1695"/>
      <c r="U4505" s="1673"/>
      <c r="V4505" s="1674"/>
      <c r="W4505" s="1675"/>
      <c r="X4505" s="1674"/>
      <c r="Y4505" s="1674"/>
      <c r="Z4505" s="1674"/>
      <c r="AA4505" s="1674"/>
      <c r="AB4505" s="1674"/>
      <c r="AC4505" s="1674"/>
    </row>
    <row r="4506" spans="1:29" s="1672" customFormat="1" ht="15.6" hidden="1" customHeight="1" x14ac:dyDescent="0.25">
      <c r="A4506" s="1674"/>
      <c r="B4506" s="2199" t="s">
        <v>1161</v>
      </c>
      <c r="C4506" s="1716"/>
      <c r="D4506" s="2200"/>
      <c r="E4506" s="1716"/>
      <c r="F4506" s="2200"/>
      <c r="G4506" s="2200"/>
      <c r="H4506" s="2200"/>
      <c r="I4506" s="2043"/>
      <c r="J4506" s="2201"/>
      <c r="K4506" s="2043"/>
      <c r="L4506" s="1674"/>
      <c r="M4506" s="1690"/>
      <c r="N4506" s="1669"/>
      <c r="O4506" s="1685"/>
      <c r="P4506" s="1695"/>
      <c r="U4506" s="1673"/>
      <c r="V4506" s="1674"/>
      <c r="W4506" s="1675"/>
      <c r="X4506" s="1674"/>
      <c r="Y4506" s="1674"/>
      <c r="Z4506" s="1674"/>
      <c r="AA4506" s="1674"/>
      <c r="AB4506" s="1674"/>
      <c r="AC4506" s="1674"/>
    </row>
    <row r="4507" spans="1:29" s="1672" customFormat="1" ht="15.6" hidden="1" customHeight="1" x14ac:dyDescent="0.25">
      <c r="A4507" s="1674"/>
      <c r="B4507" s="1716" t="s">
        <v>1157</v>
      </c>
      <c r="C4507" s="1716"/>
      <c r="D4507" s="2200"/>
      <c r="E4507" s="1716" t="s">
        <v>1158</v>
      </c>
      <c r="F4507" s="2200"/>
      <c r="G4507" s="2200"/>
      <c r="H4507" s="2200"/>
      <c r="I4507" s="2043">
        <v>0</v>
      </c>
      <c r="J4507" s="2201"/>
      <c r="K4507" s="2043">
        <v>0</v>
      </c>
      <c r="L4507" s="1674"/>
      <c r="M4507" s="1690"/>
      <c r="N4507" s="1669"/>
      <c r="O4507" s="1685"/>
      <c r="P4507" s="1695"/>
      <c r="U4507" s="1673"/>
      <c r="V4507" s="1674"/>
      <c r="W4507" s="1675"/>
      <c r="X4507" s="1674"/>
      <c r="Y4507" s="1674"/>
      <c r="Z4507" s="1674"/>
      <c r="AA4507" s="1674"/>
      <c r="AB4507" s="1674"/>
      <c r="AC4507" s="1674"/>
    </row>
    <row r="4508" spans="1:29" s="1672" customFormat="1" ht="15.6" hidden="1" customHeight="1" x14ac:dyDescent="0.25">
      <c r="A4508" s="1674"/>
      <c r="B4508" s="1716" t="s">
        <v>1159</v>
      </c>
      <c r="C4508" s="1716"/>
      <c r="D4508" s="2200"/>
      <c r="E4508" s="1716" t="s">
        <v>1160</v>
      </c>
      <c r="F4508" s="2200"/>
      <c r="G4508" s="2200"/>
      <c r="H4508" s="2200"/>
      <c r="I4508" s="2043">
        <v>0</v>
      </c>
      <c r="J4508" s="2201"/>
      <c r="K4508" s="2043">
        <v>0</v>
      </c>
      <c r="L4508" s="1674"/>
      <c r="M4508" s="1690"/>
      <c r="N4508" s="1669"/>
      <c r="O4508" s="1685"/>
      <c r="P4508" s="1695"/>
      <c r="U4508" s="1673"/>
      <c r="V4508" s="1674"/>
      <c r="W4508" s="1675"/>
      <c r="X4508" s="1674"/>
      <c r="Y4508" s="1674"/>
      <c r="Z4508" s="1674"/>
      <c r="AA4508" s="1674"/>
      <c r="AB4508" s="1674"/>
      <c r="AC4508" s="1674"/>
    </row>
    <row r="4509" spans="1:29" s="1672" customFormat="1" ht="15.6" hidden="1" customHeight="1" x14ac:dyDescent="0.25">
      <c r="A4509" s="1674"/>
      <c r="B4509" s="1716"/>
      <c r="C4509" s="1716"/>
      <c r="D4509" s="2200"/>
      <c r="E4509" s="1716"/>
      <c r="F4509" s="2200"/>
      <c r="G4509" s="2200"/>
      <c r="H4509" s="2200"/>
      <c r="I4509" s="2043"/>
      <c r="J4509" s="2201"/>
      <c r="K4509" s="2043"/>
      <c r="L4509" s="1674"/>
      <c r="M4509" s="1690"/>
      <c r="N4509" s="1669"/>
      <c r="O4509" s="1685"/>
      <c r="P4509" s="1695"/>
      <c r="U4509" s="1673"/>
      <c r="V4509" s="1674"/>
      <c r="W4509" s="1675"/>
      <c r="X4509" s="1674"/>
      <c r="Y4509" s="1674"/>
      <c r="Z4509" s="1674"/>
      <c r="AA4509" s="1674"/>
      <c r="AB4509" s="1674"/>
      <c r="AC4509" s="1674"/>
    </row>
    <row r="4510" spans="1:29" s="1672" customFormat="1" ht="15.6" hidden="1" customHeight="1" thickBot="1" x14ac:dyDescent="0.3">
      <c r="A4510" s="1674"/>
      <c r="B4510" s="1716"/>
      <c r="C4510" s="1716"/>
      <c r="D4510" s="2200"/>
      <c r="E4510" s="1716"/>
      <c r="F4510" s="2200"/>
      <c r="G4510" s="2200"/>
      <c r="H4510" s="2200"/>
      <c r="I4510" s="2202">
        <f>SUM(I4506:I4509)</f>
        <v>0</v>
      </c>
      <c r="J4510" s="2201"/>
      <c r="K4510" s="2202">
        <f>SUM(K4506:K4509)</f>
        <v>0</v>
      </c>
      <c r="L4510" s="1674"/>
      <c r="M4510" s="1690"/>
      <c r="N4510" s="1669"/>
      <c r="O4510" s="1685"/>
      <c r="P4510" s="1695"/>
      <c r="U4510" s="1673"/>
      <c r="V4510" s="1674"/>
      <c r="W4510" s="1675"/>
      <c r="X4510" s="1674"/>
      <c r="Y4510" s="1674"/>
      <c r="Z4510" s="1674"/>
      <c r="AA4510" s="1674"/>
      <c r="AB4510" s="1674"/>
      <c r="AC4510" s="1674"/>
    </row>
    <row r="4511" spans="1:29" s="1672" customFormat="1" ht="15.6" hidden="1" customHeight="1" thickTop="1" x14ac:dyDescent="0.25">
      <c r="A4511" s="1674"/>
      <c r="B4511" s="1716"/>
      <c r="C4511" s="1716"/>
      <c r="D4511" s="2200"/>
      <c r="E4511" s="1716"/>
      <c r="F4511" s="2200"/>
      <c r="G4511" s="2200"/>
      <c r="H4511" s="2200"/>
      <c r="I4511" s="2043"/>
      <c r="J4511" s="2201"/>
      <c r="K4511" s="2043"/>
      <c r="L4511" s="1674"/>
      <c r="M4511" s="1690"/>
      <c r="N4511" s="1669"/>
      <c r="O4511" s="1685"/>
      <c r="P4511" s="1695"/>
      <c r="U4511" s="1673"/>
      <c r="V4511" s="1674"/>
      <c r="W4511" s="1675"/>
      <c r="X4511" s="1674"/>
      <c r="Y4511" s="1674"/>
      <c r="Z4511" s="1674"/>
      <c r="AA4511" s="1674"/>
      <c r="AB4511" s="1674"/>
      <c r="AC4511" s="1674"/>
    </row>
    <row r="4512" spans="1:29" s="1672" customFormat="1" ht="15.6" hidden="1" customHeight="1" x14ac:dyDescent="0.25">
      <c r="A4512" s="1674"/>
      <c r="B4512" s="2199" t="s">
        <v>1166</v>
      </c>
      <c r="C4512" s="1716"/>
      <c r="D4512" s="2200"/>
      <c r="E4512" s="1716"/>
      <c r="F4512" s="2200"/>
      <c r="G4512" s="2200"/>
      <c r="H4512" s="2200"/>
      <c r="I4512" s="2043"/>
      <c r="J4512" s="2201"/>
      <c r="K4512" s="2043"/>
      <c r="L4512" s="1674"/>
      <c r="M4512" s="1690"/>
      <c r="N4512" s="1669"/>
      <c r="O4512" s="1685"/>
      <c r="P4512" s="1695"/>
      <c r="U4512" s="1673"/>
      <c r="V4512" s="1674"/>
      <c r="W4512" s="1675"/>
      <c r="X4512" s="1674"/>
      <c r="Y4512" s="1674"/>
      <c r="Z4512" s="1674"/>
      <c r="AA4512" s="1674"/>
      <c r="AB4512" s="1674"/>
      <c r="AC4512" s="1674"/>
    </row>
    <row r="4513" spans="1:29" s="1672" customFormat="1" ht="15.6" hidden="1" customHeight="1" x14ac:dyDescent="0.25">
      <c r="A4513" s="1674"/>
      <c r="B4513" s="1716" t="s">
        <v>1157</v>
      </c>
      <c r="C4513" s="1716"/>
      <c r="D4513" s="2200"/>
      <c r="E4513" s="1716" t="s">
        <v>1158</v>
      </c>
      <c r="F4513" s="2200"/>
      <c r="G4513" s="2200"/>
      <c r="H4513" s="2200"/>
      <c r="I4513" s="2043">
        <v>0</v>
      </c>
      <c r="J4513" s="2201"/>
      <c r="K4513" s="2043">
        <v>0</v>
      </c>
      <c r="L4513" s="1674"/>
      <c r="M4513" s="1690"/>
      <c r="N4513" s="1669"/>
      <c r="O4513" s="1685"/>
      <c r="P4513" s="1695"/>
      <c r="U4513" s="1673"/>
      <c r="V4513" s="1674"/>
      <c r="W4513" s="1675"/>
      <c r="X4513" s="1674"/>
      <c r="Y4513" s="1674"/>
      <c r="Z4513" s="1674"/>
      <c r="AA4513" s="1674"/>
      <c r="AB4513" s="1674"/>
      <c r="AC4513" s="1674"/>
    </row>
    <row r="4514" spans="1:29" s="1672" customFormat="1" ht="15.6" hidden="1" customHeight="1" x14ac:dyDescent="0.25">
      <c r="A4514" s="1674"/>
      <c r="B4514" s="1716" t="s">
        <v>1159</v>
      </c>
      <c r="C4514" s="1716"/>
      <c r="D4514" s="2200"/>
      <c r="E4514" s="1716" t="s">
        <v>1160</v>
      </c>
      <c r="F4514" s="2200"/>
      <c r="G4514" s="2200"/>
      <c r="H4514" s="2200"/>
      <c r="I4514" s="2043">
        <v>0</v>
      </c>
      <c r="J4514" s="2201"/>
      <c r="K4514" s="2043">
        <v>0</v>
      </c>
      <c r="L4514" s="1674"/>
      <c r="M4514" s="1690"/>
      <c r="N4514" s="1669"/>
      <c r="O4514" s="1685"/>
      <c r="P4514" s="1695"/>
      <c r="U4514" s="1673"/>
      <c r="V4514" s="1674"/>
      <c r="W4514" s="1675"/>
      <c r="X4514" s="1674"/>
      <c r="Y4514" s="1674"/>
      <c r="Z4514" s="1674"/>
      <c r="AA4514" s="1674"/>
      <c r="AB4514" s="1674"/>
      <c r="AC4514" s="1674"/>
    </row>
    <row r="4515" spans="1:29" s="1672" customFormat="1" ht="15.6" hidden="1" customHeight="1" x14ac:dyDescent="0.25">
      <c r="A4515" s="1674"/>
      <c r="B4515" s="1716"/>
      <c r="C4515" s="1716"/>
      <c r="D4515" s="2200"/>
      <c r="E4515" s="1716"/>
      <c r="F4515" s="2200"/>
      <c r="G4515" s="2200"/>
      <c r="H4515" s="2200"/>
      <c r="I4515" s="2043"/>
      <c r="J4515" s="2201"/>
      <c r="K4515" s="2043"/>
      <c r="L4515" s="1674"/>
      <c r="M4515" s="1690"/>
      <c r="N4515" s="1669"/>
      <c r="O4515" s="1685"/>
      <c r="P4515" s="1695"/>
      <c r="U4515" s="1673"/>
      <c r="V4515" s="1674"/>
      <c r="W4515" s="1675"/>
      <c r="X4515" s="1674"/>
      <c r="Y4515" s="1674"/>
      <c r="Z4515" s="1674"/>
      <c r="AA4515" s="1674"/>
      <c r="AB4515" s="1674"/>
      <c r="AC4515" s="1674"/>
    </row>
    <row r="4516" spans="1:29" s="1672" customFormat="1" ht="15.6" hidden="1" customHeight="1" thickBot="1" x14ac:dyDescent="0.3">
      <c r="A4516" s="1674"/>
      <c r="B4516" s="1716"/>
      <c r="C4516" s="1716"/>
      <c r="D4516" s="2200"/>
      <c r="E4516" s="1716"/>
      <c r="F4516" s="2200"/>
      <c r="G4516" s="2200"/>
      <c r="H4516" s="2200"/>
      <c r="I4516" s="2202">
        <f>SUM(I4512:I4515)</f>
        <v>0</v>
      </c>
      <c r="J4516" s="2201"/>
      <c r="K4516" s="2202">
        <f>SUM(K4512:K4515)</f>
        <v>0</v>
      </c>
      <c r="L4516" s="1674"/>
      <c r="M4516" s="1690"/>
      <c r="N4516" s="1669"/>
      <c r="O4516" s="1685"/>
      <c r="P4516" s="1695"/>
      <c r="U4516" s="1673"/>
      <c r="V4516" s="1674"/>
      <c r="W4516" s="1675"/>
      <c r="X4516" s="1674"/>
      <c r="Y4516" s="1674"/>
      <c r="Z4516" s="1674"/>
      <c r="AA4516" s="1674"/>
      <c r="AB4516" s="1674"/>
      <c r="AC4516" s="1674"/>
    </row>
    <row r="4517" spans="1:29" s="1672" customFormat="1" ht="15.6" hidden="1" customHeight="1" x14ac:dyDescent="0.25">
      <c r="A4517" s="1674"/>
      <c r="B4517" s="1716"/>
      <c r="C4517" s="1716"/>
      <c r="D4517" s="2200"/>
      <c r="E4517" s="1716"/>
      <c r="F4517" s="2200"/>
      <c r="G4517" s="2200"/>
      <c r="H4517" s="2200"/>
      <c r="I4517" s="2043"/>
      <c r="J4517" s="2201"/>
      <c r="K4517" s="2043"/>
      <c r="L4517" s="1674"/>
      <c r="M4517" s="1690"/>
      <c r="N4517" s="1669"/>
      <c r="O4517" s="1685"/>
      <c r="P4517" s="1695"/>
      <c r="U4517" s="1673"/>
      <c r="V4517" s="1674"/>
      <c r="W4517" s="1675"/>
      <c r="X4517" s="1674"/>
      <c r="Y4517" s="1674"/>
      <c r="Z4517" s="1674"/>
      <c r="AA4517" s="1674"/>
      <c r="AB4517" s="1674"/>
      <c r="AC4517" s="1674"/>
    </row>
    <row r="4518" spans="1:29" s="1672" customFormat="1" ht="15.6" customHeight="1" x14ac:dyDescent="0.25">
      <c r="A4518" s="1674"/>
      <c r="B4518" s="1677" t="s">
        <v>1555</v>
      </c>
      <c r="C4518" s="1674"/>
      <c r="D4518" s="1678"/>
      <c r="E4518" s="1674"/>
      <c r="F4518" s="1678"/>
      <c r="G4518" s="1678"/>
      <c r="H4518" s="1678"/>
      <c r="I4518" s="58"/>
      <c r="J4518" s="1682"/>
      <c r="K4518" s="58"/>
      <c r="L4518" s="1674"/>
      <c r="M4518" s="1687" t="s">
        <v>2448</v>
      </c>
      <c r="N4518" s="1669"/>
      <c r="O4518" s="1685"/>
      <c r="P4518" s="1695"/>
      <c r="U4518" s="1673"/>
      <c r="V4518" s="1674"/>
      <c r="W4518" s="1675"/>
      <c r="X4518" s="1674"/>
      <c r="Y4518" s="1674"/>
      <c r="Z4518" s="1674"/>
      <c r="AA4518" s="1674"/>
      <c r="AB4518" s="1674"/>
      <c r="AC4518" s="1674"/>
    </row>
    <row r="4519" spans="1:29" s="1672" customFormat="1" ht="15.6" hidden="1" customHeight="1" x14ac:dyDescent="0.25">
      <c r="A4519" s="1674"/>
      <c r="B4519" s="1674" t="s">
        <v>390</v>
      </c>
      <c r="C4519" s="1674"/>
      <c r="D4519" s="1678"/>
      <c r="E4519" s="1674" t="s">
        <v>206</v>
      </c>
      <c r="F4519" s="1678"/>
      <c r="G4519" s="1678"/>
      <c r="H4519" s="1678"/>
      <c r="I4519" s="58">
        <f>I4474</f>
        <v>0</v>
      </c>
      <c r="J4519" s="1682"/>
      <c r="K4519" s="58">
        <f>K4474</f>
        <v>0</v>
      </c>
      <c r="L4519" s="1674"/>
      <c r="M4519" s="1690"/>
      <c r="N4519" s="1669"/>
      <c r="O4519" s="1685"/>
      <c r="P4519" s="1695"/>
      <c r="U4519" s="1673"/>
      <c r="V4519" s="1674"/>
      <c r="W4519" s="1675"/>
      <c r="X4519" s="1674"/>
      <c r="Y4519" s="1674"/>
      <c r="Z4519" s="1674"/>
      <c r="AA4519" s="1674"/>
      <c r="AB4519" s="1674"/>
      <c r="AC4519" s="1674"/>
    </row>
    <row r="4520" spans="1:29" s="1672" customFormat="1" ht="15.6" hidden="1" customHeight="1" x14ac:dyDescent="0.25">
      <c r="A4520" s="1674"/>
      <c r="B4520" s="1674" t="s">
        <v>390</v>
      </c>
      <c r="C4520" s="1674"/>
      <c r="D4520" s="1678"/>
      <c r="E4520" s="1674" t="s">
        <v>275</v>
      </c>
      <c r="F4520" s="1678"/>
      <c r="G4520" s="1678"/>
      <c r="H4520" s="1678"/>
      <c r="I4520" s="58">
        <f>I4475</f>
        <v>0</v>
      </c>
      <c r="J4520" s="1682"/>
      <c r="K4520" s="58">
        <f>K4475</f>
        <v>0</v>
      </c>
      <c r="L4520" s="1674"/>
      <c r="M4520" s="1690"/>
      <c r="N4520" s="1669"/>
      <c r="O4520" s="1685"/>
      <c r="P4520" s="1695"/>
      <c r="U4520" s="1673"/>
      <c r="V4520" s="1674"/>
      <c r="W4520" s="1675"/>
      <c r="X4520" s="1674"/>
      <c r="Y4520" s="1674"/>
      <c r="Z4520" s="1674"/>
      <c r="AA4520" s="1674"/>
      <c r="AB4520" s="1674"/>
      <c r="AC4520" s="1674"/>
    </row>
    <row r="4521" spans="1:29" s="1672" customFormat="1" ht="15.6" customHeight="1" x14ac:dyDescent="0.25">
      <c r="A4521" s="1674"/>
      <c r="B4521" s="1674" t="s">
        <v>390</v>
      </c>
      <c r="C4521" s="1674"/>
      <c r="D4521" s="1678"/>
      <c r="E4521" s="1674" t="s">
        <v>1486</v>
      </c>
      <c r="F4521" s="1678"/>
      <c r="G4521" s="1678"/>
      <c r="H4521" s="1678"/>
      <c r="I4521" s="58">
        <f>I4476</f>
        <v>337109.16999999993</v>
      </c>
      <c r="J4521" s="1682"/>
      <c r="K4521" s="58">
        <f>K4476</f>
        <v>650325.60999999987</v>
      </c>
      <c r="L4521" s="1674"/>
      <c r="M4521" s="1690"/>
      <c r="N4521" s="1669"/>
      <c r="O4521" s="1685"/>
      <c r="P4521" s="1695"/>
      <c r="U4521" s="1673"/>
      <c r="V4521" s="1674"/>
      <c r="W4521" s="1675"/>
      <c r="X4521" s="1674"/>
      <c r="Y4521" s="1674"/>
      <c r="Z4521" s="1674"/>
      <c r="AA4521" s="1674"/>
      <c r="AB4521" s="1674"/>
      <c r="AC4521" s="1674"/>
    </row>
    <row r="4522" spans="1:29" s="1672" customFormat="1" ht="15.6" customHeight="1" x14ac:dyDescent="0.25">
      <c r="A4522" s="1674"/>
      <c r="B4522" s="1674" t="s">
        <v>390</v>
      </c>
      <c r="C4522" s="1674"/>
      <c r="D4522" s="1678"/>
      <c r="E4522" s="1674" t="s">
        <v>653</v>
      </c>
      <c r="F4522" s="1678"/>
      <c r="G4522" s="1678"/>
      <c r="H4522" s="1678"/>
      <c r="I4522" s="58">
        <f>I4477</f>
        <v>1227782.6599999999</v>
      </c>
      <c r="J4522" s="1682"/>
      <c r="K4522" s="58">
        <f>K4477</f>
        <v>1425012.73</v>
      </c>
      <c r="L4522" s="1674"/>
      <c r="M4522" s="1690"/>
      <c r="N4522" s="1669"/>
      <c r="O4522" s="1685"/>
      <c r="P4522" s="1695"/>
      <c r="U4522" s="1673"/>
      <c r="V4522" s="1674"/>
      <c r="W4522" s="1675"/>
      <c r="X4522" s="1674"/>
      <c r="Y4522" s="1674"/>
      <c r="Z4522" s="1674"/>
      <c r="AA4522" s="1674"/>
      <c r="AB4522" s="1674"/>
      <c r="AC4522" s="1674"/>
    </row>
    <row r="4523" spans="1:29" s="1672" customFormat="1" ht="15.6" customHeight="1" x14ac:dyDescent="0.25">
      <c r="A4523" s="1674"/>
      <c r="B4523" s="1674" t="s">
        <v>390</v>
      </c>
      <c r="C4523" s="1674"/>
      <c r="D4523" s="1678"/>
      <c r="E4523" s="1674" t="s">
        <v>577</v>
      </c>
      <c r="F4523" s="1678"/>
      <c r="G4523" s="1678"/>
      <c r="H4523" s="1678"/>
      <c r="I4523" s="58">
        <f>I4478</f>
        <v>1214261.78</v>
      </c>
      <c r="J4523" s="1682"/>
      <c r="K4523" s="58">
        <f>K4478</f>
        <v>1337754.6399999999</v>
      </c>
      <c r="L4523" s="1674"/>
      <c r="M4523" s="1690"/>
      <c r="N4523" s="1669"/>
      <c r="O4523" s="1685"/>
      <c r="P4523" s="1695"/>
      <c r="U4523" s="1673"/>
      <c r="V4523" s="1674"/>
      <c r="W4523" s="1675"/>
      <c r="X4523" s="1674"/>
      <c r="Y4523" s="1674"/>
      <c r="Z4523" s="1674"/>
      <c r="AA4523" s="1674"/>
      <c r="AB4523" s="1674"/>
      <c r="AC4523" s="1674"/>
    </row>
    <row r="4524" spans="1:29" s="1672" customFormat="1" ht="15.6" customHeight="1" x14ac:dyDescent="0.25">
      <c r="A4524" s="1674"/>
      <c r="B4524" s="1674"/>
      <c r="C4524" s="1674"/>
      <c r="D4524" s="1678"/>
      <c r="E4524" s="1674"/>
      <c r="F4524" s="1678"/>
      <c r="G4524" s="1678"/>
      <c r="H4524" s="1678"/>
      <c r="I4524" s="58"/>
      <c r="J4524" s="1682"/>
      <c r="K4524" s="58"/>
      <c r="L4524" s="1674"/>
      <c r="M4524" s="1690"/>
      <c r="N4524" s="1669"/>
      <c r="O4524" s="1685"/>
      <c r="P4524" s="1695"/>
      <c r="U4524" s="1673"/>
      <c r="V4524" s="1674"/>
      <c r="W4524" s="1675"/>
      <c r="X4524" s="1674"/>
      <c r="Y4524" s="1674"/>
      <c r="Z4524" s="1674"/>
      <c r="AA4524" s="1674"/>
      <c r="AB4524" s="1674"/>
      <c r="AC4524" s="1674"/>
    </row>
    <row r="4525" spans="1:29" s="1672" customFormat="1" ht="15.6" customHeight="1" x14ac:dyDescent="0.25">
      <c r="A4525" s="1674"/>
      <c r="B4525" s="1674" t="s">
        <v>1873</v>
      </c>
      <c r="C4525" s="1674"/>
      <c r="D4525" s="1678"/>
      <c r="E4525" s="1674" t="s">
        <v>59</v>
      </c>
      <c r="F4525" s="1678"/>
      <c r="G4525" s="1678"/>
      <c r="H4525" s="1678"/>
      <c r="I4525" s="58">
        <f>I4481</f>
        <v>8502473.3199999854</v>
      </c>
      <c r="J4525" s="1682"/>
      <c r="K4525" s="58">
        <f>K4481</f>
        <v>14117074.239999998</v>
      </c>
      <c r="L4525" s="1674"/>
      <c r="M4525" s="1690"/>
      <c r="N4525" s="1669"/>
      <c r="O4525" s="1685"/>
      <c r="P4525" s="1695"/>
      <c r="U4525" s="1673"/>
      <c r="V4525" s="1674"/>
      <c r="W4525" s="1675"/>
      <c r="X4525" s="1674"/>
      <c r="Y4525" s="1674"/>
      <c r="Z4525" s="1674"/>
      <c r="AA4525" s="1674"/>
      <c r="AB4525" s="1674"/>
      <c r="AC4525" s="1674"/>
    </row>
    <row r="4526" spans="1:29" s="1672" customFormat="1" ht="15.6" hidden="1" customHeight="1" x14ac:dyDescent="0.25">
      <c r="A4526" s="1674"/>
      <c r="B4526" s="1674" t="s">
        <v>1873</v>
      </c>
      <c r="C4526" s="1674"/>
      <c r="D4526" s="1678"/>
      <c r="E4526" s="1674" t="s">
        <v>659</v>
      </c>
      <c r="F4526" s="1678"/>
      <c r="G4526" s="1678"/>
      <c r="H4526" s="1678"/>
      <c r="I4526" s="58">
        <f>I4484</f>
        <v>0</v>
      </c>
      <c r="J4526" s="1682"/>
      <c r="K4526" s="58">
        <f>K4484</f>
        <v>0</v>
      </c>
      <c r="L4526" s="1674"/>
      <c r="M4526" s="1690"/>
      <c r="N4526" s="1669"/>
      <c r="O4526" s="1685"/>
      <c r="P4526" s="1695"/>
      <c r="U4526" s="1673"/>
      <c r="V4526" s="1674"/>
      <c r="W4526" s="1675"/>
      <c r="X4526" s="1674"/>
      <c r="Y4526" s="1674"/>
      <c r="Z4526" s="1674"/>
      <c r="AA4526" s="1674"/>
      <c r="AB4526" s="1674"/>
      <c r="AC4526" s="1674"/>
    </row>
    <row r="4527" spans="1:29" s="1672" customFormat="1" ht="15.6" customHeight="1" x14ac:dyDescent="0.25">
      <c r="A4527" s="1674"/>
      <c r="B4527" s="1674" t="s">
        <v>1873</v>
      </c>
      <c r="C4527" s="1674"/>
      <c r="D4527" s="1678"/>
      <c r="E4527" s="1674" t="s">
        <v>660</v>
      </c>
      <c r="F4527" s="1678"/>
      <c r="G4527" s="1678"/>
      <c r="H4527" s="1678"/>
      <c r="I4527" s="58">
        <f>I4485</f>
        <v>1041707.1500000001</v>
      </c>
      <c r="J4527" s="1682"/>
      <c r="K4527" s="58">
        <f>K4485</f>
        <v>236574.36</v>
      </c>
      <c r="L4527" s="1674"/>
      <c r="M4527" s="1690"/>
      <c r="N4527" s="1669"/>
      <c r="O4527" s="1685"/>
      <c r="P4527" s="1695"/>
      <c r="U4527" s="1673"/>
      <c r="V4527" s="1674"/>
      <c r="W4527" s="1675"/>
      <c r="X4527" s="1674"/>
      <c r="Y4527" s="1674"/>
      <c r="Z4527" s="1674"/>
      <c r="AA4527" s="1674"/>
      <c r="AB4527" s="1674"/>
      <c r="AC4527" s="1674"/>
    </row>
    <row r="4528" spans="1:29" s="1672" customFormat="1" ht="15.6" customHeight="1" x14ac:dyDescent="0.25">
      <c r="A4528" s="1674"/>
      <c r="B4528" s="1674" t="s">
        <v>1873</v>
      </c>
      <c r="C4528" s="1674"/>
      <c r="D4528" s="1678"/>
      <c r="E4528" s="1674" t="s">
        <v>60</v>
      </c>
      <c r="F4528" s="1678"/>
      <c r="G4528" s="1678"/>
      <c r="H4528" s="1678"/>
      <c r="I4528" s="58">
        <f>I4487</f>
        <v>100570.93</v>
      </c>
      <c r="J4528" s="1682"/>
      <c r="K4528" s="58">
        <f>K4487</f>
        <v>76648.03</v>
      </c>
      <c r="L4528" s="1674"/>
      <c r="M4528" s="1690"/>
      <c r="N4528" s="1669"/>
      <c r="O4528" s="1685"/>
      <c r="P4528" s="1695"/>
      <c r="U4528" s="1673"/>
      <c r="V4528" s="1674"/>
      <c r="W4528" s="1675"/>
      <c r="X4528" s="1674"/>
      <c r="Y4528" s="1674"/>
      <c r="Z4528" s="1674"/>
      <c r="AA4528" s="1674"/>
      <c r="AB4528" s="1674"/>
      <c r="AC4528" s="1674"/>
    </row>
    <row r="4529" spans="1:29" s="1672" customFormat="1" ht="15.6" customHeight="1" x14ac:dyDescent="0.25">
      <c r="A4529" s="1674"/>
      <c r="B4529" s="1674"/>
      <c r="C4529" s="1674"/>
      <c r="D4529" s="1678"/>
      <c r="E4529" s="1674"/>
      <c r="F4529" s="1678"/>
      <c r="G4529" s="1678"/>
      <c r="H4529" s="1678"/>
      <c r="I4529" s="58"/>
      <c r="J4529" s="1682"/>
      <c r="K4529" s="58"/>
      <c r="L4529" s="1674"/>
      <c r="M4529" s="1690"/>
      <c r="N4529" s="1669"/>
      <c r="O4529" s="1685"/>
      <c r="P4529" s="1695"/>
      <c r="U4529" s="1673"/>
      <c r="V4529" s="1674"/>
      <c r="W4529" s="1675"/>
      <c r="X4529" s="1674"/>
      <c r="Y4529" s="1674"/>
      <c r="Z4529" s="1674"/>
      <c r="AA4529" s="1674"/>
      <c r="AB4529" s="1674"/>
      <c r="AC4529" s="1674"/>
    </row>
    <row r="4530" spans="1:29" s="1672" customFormat="1" ht="15.6" hidden="1" customHeight="1" x14ac:dyDescent="0.25">
      <c r="A4530" s="1674"/>
      <c r="B4530" s="1674" t="s">
        <v>333</v>
      </c>
      <c r="C4530" s="1674"/>
      <c r="D4530" s="1678"/>
      <c r="E4530" s="1674" t="s">
        <v>576</v>
      </c>
      <c r="F4530" s="1678"/>
      <c r="G4530" s="1678"/>
      <c r="H4530" s="1678"/>
      <c r="I4530" s="58">
        <f>I4490</f>
        <v>0</v>
      </c>
      <c r="J4530" s="1682"/>
      <c r="K4530" s="58">
        <f>K4490</f>
        <v>0</v>
      </c>
      <c r="L4530" s="1674"/>
      <c r="M4530" s="1690"/>
      <c r="N4530" s="1669"/>
      <c r="O4530" s="1685"/>
      <c r="P4530" s="1695"/>
      <c r="U4530" s="1673"/>
      <c r="V4530" s="1674"/>
      <c r="W4530" s="1675"/>
      <c r="X4530" s="1674"/>
      <c r="Y4530" s="1674"/>
      <c r="Z4530" s="1674"/>
      <c r="AA4530" s="1674"/>
      <c r="AB4530" s="1674"/>
      <c r="AC4530" s="1674"/>
    </row>
    <row r="4531" spans="1:29" s="1672" customFormat="1" ht="15.6" hidden="1" customHeight="1" x14ac:dyDescent="0.25">
      <c r="A4531" s="1674"/>
      <c r="B4531" s="1674" t="s">
        <v>333</v>
      </c>
      <c r="C4531" s="1674"/>
      <c r="D4531" s="1678"/>
      <c r="E4531" s="1674" t="s">
        <v>577</v>
      </c>
      <c r="F4531" s="1678"/>
      <c r="G4531" s="1678"/>
      <c r="H4531" s="1678"/>
      <c r="I4531" s="58">
        <f>I4491</f>
        <v>0</v>
      </c>
      <c r="J4531" s="1682"/>
      <c r="K4531" s="58">
        <f>K4491</f>
        <v>0</v>
      </c>
      <c r="L4531" s="1674"/>
      <c r="M4531" s="1690"/>
      <c r="N4531" s="1669"/>
      <c r="O4531" s="1685"/>
      <c r="P4531" s="1695"/>
      <c r="U4531" s="1673"/>
      <c r="V4531" s="1674"/>
      <c r="W4531" s="1675"/>
      <c r="X4531" s="1674"/>
      <c r="Y4531" s="1674"/>
      <c r="Z4531" s="1674"/>
      <c r="AA4531" s="1674"/>
      <c r="AB4531" s="1674"/>
      <c r="AC4531" s="1674"/>
    </row>
    <row r="4532" spans="1:29" s="1672" customFormat="1" ht="15.6" hidden="1" customHeight="1" x14ac:dyDescent="0.25">
      <c r="A4532" s="1674"/>
      <c r="B4532" s="1674"/>
      <c r="C4532" s="1674"/>
      <c r="D4532" s="1678"/>
      <c r="E4532" s="1674"/>
      <c r="F4532" s="1678"/>
      <c r="G4532" s="1678"/>
      <c r="H4532" s="1678"/>
      <c r="I4532" s="58"/>
      <c r="J4532" s="1682"/>
      <c r="K4532" s="58"/>
      <c r="L4532" s="1674"/>
      <c r="M4532" s="1690"/>
      <c r="N4532" s="1669"/>
      <c r="O4532" s="1685"/>
      <c r="P4532" s="1695"/>
      <c r="U4532" s="1673"/>
      <c r="V4532" s="1674"/>
      <c r="W4532" s="1675"/>
      <c r="X4532" s="1674"/>
      <c r="Y4532" s="1674"/>
      <c r="Z4532" s="1674"/>
      <c r="AA4532" s="1674"/>
      <c r="AB4532" s="1674"/>
      <c r="AC4532" s="1674"/>
    </row>
    <row r="4533" spans="1:29" s="1672" customFormat="1" ht="15.6" hidden="1" customHeight="1" x14ac:dyDescent="0.25">
      <c r="A4533" s="1674"/>
      <c r="B4533" s="1674" t="s">
        <v>396</v>
      </c>
      <c r="C4533" s="1674"/>
      <c r="D4533" s="1678"/>
      <c r="E4533" s="1674" t="s">
        <v>206</v>
      </c>
      <c r="F4533" s="1678"/>
      <c r="G4533" s="1678"/>
      <c r="H4533" s="1678"/>
      <c r="I4533" s="58">
        <f>I4497</f>
        <v>0</v>
      </c>
      <c r="J4533" s="1682"/>
      <c r="K4533" s="58">
        <f>K4497</f>
        <v>0</v>
      </c>
      <c r="L4533" s="1674"/>
      <c r="M4533" s="1690"/>
      <c r="N4533" s="1669"/>
      <c r="O4533" s="1685"/>
      <c r="P4533" s="1695"/>
      <c r="U4533" s="1673"/>
      <c r="V4533" s="1674"/>
      <c r="W4533" s="1675"/>
      <c r="X4533" s="1674"/>
      <c r="Y4533" s="1674"/>
      <c r="Z4533" s="1674"/>
      <c r="AA4533" s="1674"/>
      <c r="AB4533" s="1674"/>
      <c r="AC4533" s="1674"/>
    </row>
    <row r="4534" spans="1:29" s="1672" customFormat="1" ht="15.6" hidden="1" customHeight="1" x14ac:dyDescent="0.25">
      <c r="A4534" s="1674"/>
      <c r="B4534" s="1674" t="s">
        <v>396</v>
      </c>
      <c r="C4534" s="1674"/>
      <c r="D4534" s="1678"/>
      <c r="E4534" s="1674" t="s">
        <v>275</v>
      </c>
      <c r="F4534" s="1678"/>
      <c r="G4534" s="1678"/>
      <c r="H4534" s="1678"/>
      <c r="I4534" s="58">
        <f>I4498</f>
        <v>0</v>
      </c>
      <c r="J4534" s="1682"/>
      <c r="K4534" s="58">
        <f>K4498</f>
        <v>0</v>
      </c>
      <c r="L4534" s="1674"/>
      <c r="M4534" s="1690"/>
      <c r="N4534" s="1669"/>
      <c r="O4534" s="1685"/>
      <c r="P4534" s="1695"/>
      <c r="U4534" s="1673"/>
      <c r="V4534" s="1674"/>
      <c r="W4534" s="1675"/>
      <c r="X4534" s="1674"/>
      <c r="Y4534" s="1674"/>
      <c r="Z4534" s="1674"/>
      <c r="AA4534" s="1674"/>
      <c r="AB4534" s="1674"/>
      <c r="AC4534" s="1674"/>
    </row>
    <row r="4535" spans="1:29" s="1672" customFormat="1" ht="15.6" customHeight="1" x14ac:dyDescent="0.25">
      <c r="A4535" s="1674"/>
      <c r="B4535" s="1674" t="s">
        <v>396</v>
      </c>
      <c r="C4535" s="1674"/>
      <c r="D4535" s="1678"/>
      <c r="E4535" s="1674" t="s">
        <v>1486</v>
      </c>
      <c r="F4535" s="1678"/>
      <c r="G4535" s="1678"/>
      <c r="H4535" s="1678"/>
      <c r="I4535" s="58">
        <f>I4499</f>
        <v>313217</v>
      </c>
      <c r="J4535" s="1682"/>
      <c r="K4535" s="58">
        <f>K4499</f>
        <v>458273</v>
      </c>
      <c r="L4535" s="1674"/>
      <c r="M4535" s="1690"/>
      <c r="N4535" s="1669"/>
      <c r="O4535" s="1685"/>
      <c r="P4535" s="1695"/>
      <c r="U4535" s="1673"/>
      <c r="V4535" s="1674"/>
      <c r="W4535" s="1675"/>
      <c r="X4535" s="1674"/>
      <c r="Y4535" s="1674"/>
      <c r="Z4535" s="1674"/>
      <c r="AA4535" s="1674"/>
      <c r="AB4535" s="1674"/>
      <c r="AC4535" s="1674"/>
    </row>
    <row r="4536" spans="1:29" s="1672" customFormat="1" ht="15.6" customHeight="1" x14ac:dyDescent="0.25">
      <c r="A4536" s="1674"/>
      <c r="B4536" s="1674" t="s">
        <v>396</v>
      </c>
      <c r="C4536" s="1674"/>
      <c r="D4536" s="1678"/>
      <c r="E4536" s="1674" t="s">
        <v>653</v>
      </c>
      <c r="F4536" s="1678"/>
      <c r="G4536" s="1678"/>
      <c r="H4536" s="1678"/>
      <c r="I4536" s="58">
        <f>I4500</f>
        <v>183927</v>
      </c>
      <c r="J4536" s="1682"/>
      <c r="K4536" s="58">
        <f>K4500</f>
        <v>303438</v>
      </c>
      <c r="L4536" s="1674"/>
      <c r="M4536" s="1690"/>
      <c r="N4536" s="1669"/>
      <c r="O4536" s="1685"/>
      <c r="P4536" s="1695"/>
      <c r="U4536" s="1673"/>
      <c r="V4536" s="1674"/>
      <c r="W4536" s="1675"/>
      <c r="X4536" s="1674"/>
      <c r="Y4536" s="1674"/>
      <c r="Z4536" s="1674"/>
      <c r="AA4536" s="1674"/>
      <c r="AB4536" s="1674"/>
      <c r="AC4536" s="1674"/>
    </row>
    <row r="4537" spans="1:29" s="1672" customFormat="1" ht="15.6" hidden="1" customHeight="1" x14ac:dyDescent="0.25">
      <c r="A4537" s="1674"/>
      <c r="B4537" s="1716" t="s">
        <v>396</v>
      </c>
      <c r="C4537" s="1716"/>
      <c r="D4537" s="2200"/>
      <c r="E4537" s="1716" t="s">
        <v>577</v>
      </c>
      <c r="F4537" s="2200"/>
      <c r="G4537" s="2200"/>
      <c r="H4537" s="2200"/>
      <c r="I4537" s="2043">
        <f>I4501</f>
        <v>0</v>
      </c>
      <c r="J4537" s="2201"/>
      <c r="K4537" s="2043">
        <f>K4501</f>
        <v>0</v>
      </c>
      <c r="L4537" s="1674"/>
      <c r="M4537" s="1690"/>
      <c r="N4537" s="1669"/>
      <c r="O4537" s="1685"/>
      <c r="P4537" s="1695"/>
      <c r="U4537" s="1673"/>
      <c r="V4537" s="1674"/>
      <c r="W4537" s="1675"/>
      <c r="X4537" s="1674"/>
      <c r="Y4537" s="1674"/>
      <c r="Z4537" s="1674"/>
      <c r="AA4537" s="1674"/>
      <c r="AB4537" s="1674"/>
      <c r="AC4537" s="1674"/>
    </row>
    <row r="4538" spans="1:29" s="1674" customFormat="1" ht="15.6" customHeight="1" x14ac:dyDescent="0.25">
      <c r="D4538" s="1678"/>
      <c r="F4538" s="1678"/>
      <c r="G4538" s="1678"/>
      <c r="H4538" s="1678"/>
      <c r="I4538" s="58"/>
      <c r="J4538" s="1682"/>
      <c r="K4538" s="58"/>
      <c r="M4538" s="1690"/>
      <c r="N4538" s="1669"/>
      <c r="O4538" s="1685"/>
      <c r="P4538" s="1695"/>
      <c r="Q4538" s="1672"/>
      <c r="R4538" s="1672"/>
      <c r="S4538" s="1672"/>
      <c r="T4538" s="1672"/>
      <c r="U4538" s="1673"/>
      <c r="W4538" s="1675"/>
    </row>
    <row r="4539" spans="1:29" s="1674" customFormat="1" ht="15.6" customHeight="1" thickBot="1" x14ac:dyDescent="0.3">
      <c r="D4539" s="1678"/>
      <c r="F4539" s="1678"/>
      <c r="G4539" s="1678"/>
      <c r="H4539" s="1678"/>
      <c r="I4539" s="1697">
        <f>SUM(I4518:I4538)</f>
        <v>12921049.009999985</v>
      </c>
      <c r="J4539" s="1682"/>
      <c r="K4539" s="1697">
        <f>SUM(K4518:K4538)</f>
        <v>18605100.609999999</v>
      </c>
      <c r="M4539" s="1690"/>
      <c r="N4539" s="1669"/>
      <c r="O4539" s="1685"/>
      <c r="P4539" s="1695"/>
      <c r="Q4539" s="1672"/>
      <c r="R4539" s="1672"/>
      <c r="S4539" s="1672"/>
      <c r="T4539" s="1672"/>
      <c r="U4539" s="1673"/>
      <c r="W4539" s="1675"/>
    </row>
    <row r="4540" spans="1:29" s="1674" customFormat="1" ht="15.6" customHeight="1" thickTop="1" x14ac:dyDescent="0.25">
      <c r="D4540" s="1678"/>
      <c r="F4540" s="1678"/>
      <c r="G4540" s="1678"/>
      <c r="H4540" s="1678"/>
      <c r="I4540" s="58"/>
      <c r="J4540" s="1682"/>
      <c r="K4540" s="58"/>
      <c r="M4540" s="1690"/>
      <c r="N4540" s="1669"/>
      <c r="O4540" s="1685"/>
      <c r="P4540" s="1695"/>
      <c r="Q4540" s="1672"/>
      <c r="R4540" s="1672"/>
      <c r="S4540" s="1672"/>
      <c r="T4540" s="1672"/>
      <c r="U4540" s="1673"/>
      <c r="W4540" s="1675"/>
    </row>
    <row r="4541" spans="1:29" s="1674" customFormat="1" ht="15.6" customHeight="1" x14ac:dyDescent="0.25">
      <c r="B4541" s="1677" t="s">
        <v>2374</v>
      </c>
      <c r="D4541" s="1678"/>
      <c r="F4541" s="1678"/>
      <c r="G4541" s="1678"/>
      <c r="H4541" s="1678"/>
      <c r="I4541" s="58"/>
      <c r="J4541" s="1682"/>
      <c r="K4541" s="58"/>
      <c r="M4541" s="1669"/>
      <c r="N4541" s="1669"/>
      <c r="O4541" s="1685"/>
      <c r="P4541" s="1695"/>
      <c r="Q4541" s="1672"/>
      <c r="R4541" s="1672"/>
      <c r="S4541" s="1672"/>
      <c r="T4541" s="1672"/>
      <c r="U4541" s="1673"/>
      <c r="W4541" s="1675"/>
    </row>
    <row r="4542" spans="1:29" s="1674" customFormat="1" ht="15.6" customHeight="1" x14ac:dyDescent="0.25">
      <c r="B4542" s="1674" t="s">
        <v>1873</v>
      </c>
      <c r="D4542" s="1678"/>
      <c r="E4542" s="1674" t="s">
        <v>658</v>
      </c>
      <c r="F4542" s="1678"/>
      <c r="G4542" s="1678"/>
      <c r="H4542" s="1678"/>
      <c r="I4542" s="58">
        <f>I4482</f>
        <v>586245.13000000012</v>
      </c>
      <c r="J4542" s="1682"/>
      <c r="K4542" s="58">
        <f>K4482</f>
        <v>239710.54</v>
      </c>
      <c r="M4542" s="1690"/>
      <c r="N4542" s="1669"/>
      <c r="O4542" s="1685"/>
      <c r="P4542" s="1695"/>
      <c r="Q4542" s="1672"/>
      <c r="R4542" s="1672"/>
      <c r="S4542" s="1672"/>
      <c r="T4542" s="1672"/>
      <c r="U4542" s="1673"/>
      <c r="W4542" s="1675"/>
    </row>
    <row r="4543" spans="1:29" s="1674" customFormat="1" ht="15.6" customHeight="1" x14ac:dyDescent="0.25">
      <c r="B4543" s="1674" t="s">
        <v>393</v>
      </c>
      <c r="D4543" s="1678"/>
      <c r="E4543" s="1674" t="s">
        <v>8196</v>
      </c>
      <c r="F4543" s="1678"/>
      <c r="G4543" s="1678"/>
      <c r="H4543" s="1678"/>
      <c r="I4543" s="58">
        <f>'Fin Pos'!J37</f>
        <v>164402.49</v>
      </c>
      <c r="J4543" s="1682"/>
      <c r="K4543" s="58">
        <f>'Fin Pos'!L37</f>
        <v>163971.03999999998</v>
      </c>
      <c r="M4543" s="1690"/>
      <c r="N4543" s="1669"/>
      <c r="O4543" s="1685"/>
      <c r="P4543" s="1695"/>
      <c r="Q4543" s="1672"/>
      <c r="R4543" s="1672"/>
      <c r="S4543" s="1672"/>
      <c r="T4543" s="1672"/>
      <c r="U4543" s="1673"/>
      <c r="W4543" s="1675"/>
    </row>
    <row r="4544" spans="1:29" s="1674" customFormat="1" ht="15.6" customHeight="1" x14ac:dyDescent="0.25">
      <c r="B4544" s="1674" t="s">
        <v>395</v>
      </c>
      <c r="D4544" s="1678"/>
      <c r="E4544" s="1674" t="s">
        <v>395</v>
      </c>
      <c r="F4544" s="1678"/>
      <c r="G4544" s="1678"/>
      <c r="H4544" s="1678"/>
      <c r="I4544" s="58">
        <f>I4494</f>
        <v>3915357</v>
      </c>
      <c r="J4544" s="1682"/>
      <c r="K4544" s="58">
        <f>K4494</f>
        <v>2065666.0399999998</v>
      </c>
      <c r="M4544" s="1690"/>
      <c r="N4544" s="1669"/>
      <c r="O4544" s="1685"/>
      <c r="P4544" s="1695"/>
      <c r="Q4544" s="1672"/>
      <c r="R4544" s="1672"/>
      <c r="S4544" s="1672"/>
      <c r="T4544" s="1672"/>
      <c r="U4544" s="1673"/>
      <c r="W4544" s="1675"/>
    </row>
    <row r="4545" spans="1:29" s="1674" customFormat="1" ht="15.6" customHeight="1" x14ac:dyDescent="0.25">
      <c r="D4545" s="1678"/>
      <c r="F4545" s="1678"/>
      <c r="G4545" s="1678"/>
      <c r="H4545" s="1678"/>
      <c r="I4545" s="58"/>
      <c r="J4545" s="1682"/>
      <c r="K4545" s="58"/>
      <c r="M4545" s="1690"/>
      <c r="N4545" s="1669"/>
      <c r="O4545" s="1685"/>
      <c r="P4545" s="1695"/>
      <c r="Q4545" s="1672"/>
      <c r="R4545" s="1672"/>
      <c r="S4545" s="1672"/>
      <c r="T4545" s="1672"/>
      <c r="U4545" s="1673"/>
      <c r="W4545" s="1675"/>
    </row>
    <row r="4546" spans="1:29" s="1674" customFormat="1" ht="15.6" customHeight="1" thickBot="1" x14ac:dyDescent="0.3">
      <c r="D4546" s="1678"/>
      <c r="F4546" s="1678"/>
      <c r="G4546" s="1678"/>
      <c r="H4546" s="1678"/>
      <c r="I4546" s="1697">
        <f>SUM(I4541:I4545)</f>
        <v>4666004.62</v>
      </c>
      <c r="J4546" s="1682"/>
      <c r="K4546" s="1697">
        <f>SUM(K4541:K4545)</f>
        <v>2469347.6199999996</v>
      </c>
      <c r="M4546" s="1690"/>
      <c r="N4546" s="1669"/>
      <c r="O4546" s="1685"/>
      <c r="P4546" s="1695"/>
      <c r="Q4546" s="1672"/>
      <c r="R4546" s="1672"/>
      <c r="S4546" s="1672"/>
      <c r="T4546" s="1672"/>
      <c r="U4546" s="1673"/>
      <c r="W4546" s="1675"/>
    </row>
    <row r="4547" spans="1:29" s="1674" customFormat="1" ht="15.6" customHeight="1" thickTop="1" x14ac:dyDescent="0.25">
      <c r="D4547" s="1678"/>
      <c r="F4547" s="1678"/>
      <c r="G4547" s="1678"/>
      <c r="H4547" s="1678"/>
      <c r="I4547" s="58"/>
      <c r="J4547" s="1682"/>
      <c r="K4547" s="58"/>
      <c r="M4547" s="1690"/>
      <c r="N4547" s="1669"/>
      <c r="O4547" s="1685"/>
      <c r="P4547" s="1695"/>
      <c r="Q4547" s="1672"/>
      <c r="R4547" s="1672"/>
      <c r="S4547" s="1672"/>
      <c r="T4547" s="1672"/>
      <c r="U4547" s="1673"/>
      <c r="W4547" s="1675"/>
    </row>
    <row r="4548" spans="1:29" s="1674" customFormat="1" ht="15.6" customHeight="1" thickBot="1" x14ac:dyDescent="0.3">
      <c r="B4548" s="1677" t="s">
        <v>1167</v>
      </c>
      <c r="C4548" s="1677"/>
      <c r="D4548" s="1678"/>
      <c r="F4548" s="1678"/>
      <c r="G4548" s="1678"/>
      <c r="H4548" s="1678"/>
      <c r="I4548" s="1698">
        <f>SUM(I4510,I4516,I4539,I4546)</f>
        <v>17587053.629999984</v>
      </c>
      <c r="J4548" s="1679"/>
      <c r="K4548" s="1698">
        <f>SUM(K4510,K4516,K4539,K4546)</f>
        <v>21074448.23</v>
      </c>
      <c r="M4548" s="1690"/>
      <c r="N4548" s="1669"/>
      <c r="O4548" s="1685"/>
      <c r="P4548" s="1695"/>
      <c r="Q4548" s="1672"/>
      <c r="R4548" s="1672"/>
      <c r="S4548" s="1672"/>
      <c r="T4548" s="1672"/>
      <c r="U4548" s="1673"/>
      <c r="W4548" s="1675"/>
    </row>
    <row r="4549" spans="1:29" s="1674" customFormat="1" ht="15.6" customHeight="1" thickTop="1" x14ac:dyDescent="0.25">
      <c r="D4549" s="1678"/>
      <c r="F4549" s="1678"/>
      <c r="G4549" s="1678"/>
      <c r="H4549" s="1678"/>
      <c r="I4549" s="265">
        <f>I4548-I4502</f>
        <v>0</v>
      </c>
      <c r="J4549" s="1699"/>
      <c r="K4549" s="265">
        <f>K4548-K4502</f>
        <v>0</v>
      </c>
      <c r="M4549" s="1690"/>
      <c r="N4549" s="1669"/>
      <c r="O4549" s="1685"/>
      <c r="P4549" s="1695"/>
      <c r="Q4549" s="1672"/>
      <c r="R4549" s="1672"/>
      <c r="S4549" s="1672"/>
      <c r="T4549" s="1672"/>
      <c r="U4549" s="1673"/>
      <c r="W4549" s="1675"/>
    </row>
    <row r="4550" spans="1:29" s="1674" customFormat="1" ht="15.6" customHeight="1" x14ac:dyDescent="0.25">
      <c r="B4550" s="1686" t="s">
        <v>7618</v>
      </c>
      <c r="C4550" s="1677"/>
      <c r="D4550" s="1678"/>
      <c r="F4550" s="1678"/>
      <c r="G4550" s="1678"/>
      <c r="H4550" s="1678"/>
      <c r="I4550" s="58"/>
      <c r="J4550" s="1679"/>
      <c r="K4550" s="58"/>
      <c r="M4550" s="1690"/>
      <c r="N4550" s="1669"/>
      <c r="O4550" s="1685"/>
      <c r="P4550" s="1695"/>
      <c r="Q4550" s="1672"/>
      <c r="R4550" s="1672"/>
      <c r="S4550" s="1672"/>
      <c r="T4550" s="1672"/>
      <c r="U4550" s="1673"/>
      <c r="W4550" s="1675" t="s">
        <v>3857</v>
      </c>
    </row>
    <row r="4551" spans="1:29" s="1674" customFormat="1" ht="15.6" customHeight="1" x14ac:dyDescent="0.25">
      <c r="D4551" s="1678"/>
      <c r="F4551" s="1678"/>
      <c r="G4551" s="1678"/>
      <c r="H4551" s="1678"/>
      <c r="I4551" s="58"/>
      <c r="J4551" s="1682"/>
      <c r="K4551" s="58"/>
      <c r="M4551" s="1690"/>
      <c r="N4551" s="1669"/>
      <c r="O4551" s="1685"/>
      <c r="P4551" s="1695"/>
      <c r="Q4551" s="1672"/>
      <c r="R4551" s="1672"/>
      <c r="S4551" s="1672"/>
      <c r="T4551" s="1672"/>
      <c r="U4551" s="1673"/>
      <c r="W4551" s="1675"/>
    </row>
    <row r="4552" spans="1:29" s="1672" customFormat="1" ht="30.95" customHeight="1" x14ac:dyDescent="0.25">
      <c r="A4552" s="1684"/>
      <c r="B4552" s="2949" t="s">
        <v>2375</v>
      </c>
      <c r="C4552" s="2949"/>
      <c r="D4552" s="2949"/>
      <c r="E4552" s="2949"/>
      <c r="F4552" s="2949"/>
      <c r="G4552" s="2949"/>
      <c r="H4552" s="2949"/>
      <c r="I4552" s="2949"/>
      <c r="J4552" s="2949"/>
      <c r="K4552" s="2949"/>
      <c r="L4552" s="1684"/>
      <c r="M4552" s="1700" t="s">
        <v>4070</v>
      </c>
      <c r="N4552" s="1669"/>
      <c r="O4552" s="1685"/>
      <c r="P4552" s="1695"/>
      <c r="U4552" s="1673"/>
      <c r="V4552" s="1674"/>
      <c r="W4552" s="1675"/>
      <c r="X4552" s="1674"/>
      <c r="Y4552" s="1674"/>
      <c r="Z4552" s="1674"/>
      <c r="AA4552" s="1674"/>
      <c r="AB4552" s="1674"/>
      <c r="AC4552" s="1674"/>
    </row>
    <row r="4553" spans="1:29" s="1672" customFormat="1" ht="15.6" customHeight="1" x14ac:dyDescent="0.25">
      <c r="A4553" s="1674"/>
      <c r="B4553" s="1674"/>
      <c r="C4553" s="1674"/>
      <c r="D4553" s="1678"/>
      <c r="E4553" s="1674"/>
      <c r="F4553" s="1678"/>
      <c r="G4553" s="1678"/>
      <c r="H4553" s="1678"/>
      <c r="I4553" s="58"/>
      <c r="J4553" s="1682"/>
      <c r="K4553" s="58"/>
      <c r="L4553" s="1674"/>
      <c r="M4553" s="1690"/>
      <c r="N4553" s="1669"/>
      <c r="O4553" s="1685"/>
      <c r="P4553" s="1695"/>
      <c r="U4553" s="1673"/>
      <c r="V4553" s="1674"/>
      <c r="W4553" s="1675"/>
      <c r="X4553" s="1674"/>
      <c r="Y4553" s="1674"/>
      <c r="Z4553" s="1674"/>
      <c r="AA4553" s="1674"/>
      <c r="AB4553" s="1674"/>
      <c r="AC4553" s="1674"/>
    </row>
    <row r="4554" spans="1:29" s="1672" customFormat="1" ht="15.6" customHeight="1" x14ac:dyDescent="0.25">
      <c r="A4554" s="1674"/>
      <c r="B4554" s="1701" t="s">
        <v>2376</v>
      </c>
      <c r="C4554" s="1677"/>
      <c r="D4554" s="1678"/>
      <c r="E4554" s="1674"/>
      <c r="F4554" s="1678"/>
      <c r="G4554" s="1678"/>
      <c r="H4554" s="1678"/>
      <c r="I4554" s="58"/>
      <c r="J4554" s="1679"/>
      <c r="K4554" s="58"/>
      <c r="L4554" s="1674"/>
      <c r="M4554" s="1690"/>
      <c r="N4554" s="1669"/>
      <c r="O4554" s="1685"/>
      <c r="P4554" s="1695"/>
      <c r="U4554" s="1673"/>
      <c r="V4554" s="1674"/>
      <c r="W4554" s="1675"/>
      <c r="X4554" s="1674"/>
      <c r="Y4554" s="1674"/>
      <c r="Z4554" s="1674"/>
      <c r="AA4554" s="1674"/>
      <c r="AB4554" s="1674"/>
      <c r="AC4554" s="1674"/>
    </row>
    <row r="4555" spans="1:29" s="1672" customFormat="1" ht="15.6" customHeight="1" x14ac:dyDescent="0.25">
      <c r="A4555" s="1684"/>
      <c r="B4555" s="2949" t="s">
        <v>2377</v>
      </c>
      <c r="C4555" s="2949"/>
      <c r="D4555" s="2949"/>
      <c r="E4555" s="2949"/>
      <c r="F4555" s="2949"/>
      <c r="G4555" s="2949"/>
      <c r="H4555" s="2949"/>
      <c r="I4555" s="2949"/>
      <c r="J4555" s="2949"/>
      <c r="K4555" s="2949"/>
      <c r="L4555" s="1684"/>
      <c r="M4555" s="1702"/>
      <c r="N4555" s="1669"/>
      <c r="O4555" s="1685"/>
      <c r="P4555" s="1695"/>
      <c r="U4555" s="1673"/>
      <c r="V4555" s="1674"/>
      <c r="W4555" s="1675"/>
      <c r="X4555" s="1674"/>
      <c r="Y4555" s="1674"/>
      <c r="Z4555" s="1674"/>
      <c r="AA4555" s="1674"/>
      <c r="AB4555" s="1674"/>
      <c r="AC4555" s="1674"/>
    </row>
    <row r="4556" spans="1:29" s="1672" customFormat="1" ht="15.6" customHeight="1" x14ac:dyDescent="0.25">
      <c r="A4556" s="1674"/>
      <c r="B4556" s="1674"/>
      <c r="C4556" s="1674"/>
      <c r="D4556" s="1678"/>
      <c r="E4556" s="1674"/>
      <c r="F4556" s="1678"/>
      <c r="G4556" s="1678"/>
      <c r="H4556" s="1678"/>
      <c r="I4556" s="58"/>
      <c r="J4556" s="1682"/>
      <c r="K4556" s="58"/>
      <c r="L4556" s="1674"/>
      <c r="M4556" s="1690"/>
      <c r="N4556" s="1669"/>
      <c r="O4556" s="1685"/>
      <c r="P4556" s="1695"/>
      <c r="U4556" s="1673"/>
      <c r="V4556" s="1674"/>
      <c r="W4556" s="1675"/>
      <c r="X4556" s="1674"/>
      <c r="Y4556" s="1674"/>
      <c r="Z4556" s="1674"/>
      <c r="AA4556" s="1674"/>
      <c r="AB4556" s="1674"/>
      <c r="AC4556" s="1674"/>
    </row>
    <row r="4557" spans="1:29" s="1672" customFormat="1" ht="15.6" customHeight="1" x14ac:dyDescent="0.25">
      <c r="A4557" s="1674"/>
      <c r="B4557" s="1701" t="s">
        <v>2378</v>
      </c>
      <c r="C4557" s="1677"/>
      <c r="D4557" s="1678"/>
      <c r="E4557" s="1674"/>
      <c r="F4557" s="1678"/>
      <c r="G4557" s="1678"/>
      <c r="H4557" s="1678"/>
      <c r="I4557" s="58"/>
      <c r="J4557" s="1679"/>
      <c r="K4557" s="58"/>
      <c r="L4557" s="1674"/>
      <c r="M4557" s="1690"/>
      <c r="N4557" s="1669"/>
      <c r="O4557" s="1685"/>
      <c r="P4557" s="1695"/>
      <c r="U4557" s="1673"/>
      <c r="V4557" s="1674"/>
      <c r="W4557" s="1675"/>
      <c r="X4557" s="1674"/>
      <c r="Y4557" s="1674"/>
      <c r="Z4557" s="1674"/>
      <c r="AA4557" s="1674"/>
      <c r="AB4557" s="1674"/>
      <c r="AC4557" s="1674"/>
    </row>
    <row r="4558" spans="1:29" s="1672" customFormat="1" ht="30.95" customHeight="1" x14ac:dyDescent="0.25">
      <c r="A4558" s="1684"/>
      <c r="B4558" s="2949" t="s">
        <v>2379</v>
      </c>
      <c r="C4558" s="2949"/>
      <c r="D4558" s="2949"/>
      <c r="E4558" s="2949"/>
      <c r="F4558" s="2949"/>
      <c r="G4558" s="2949"/>
      <c r="H4558" s="2949"/>
      <c r="I4558" s="2949"/>
      <c r="J4558" s="2949"/>
      <c r="K4558" s="2949"/>
      <c r="L4558" s="1684"/>
      <c r="M4558" s="1702"/>
      <c r="N4558" s="1669"/>
      <c r="O4558" s="1685"/>
      <c r="P4558" s="1695"/>
      <c r="U4558" s="1673"/>
      <c r="V4558" s="1674"/>
      <c r="W4558" s="1675"/>
      <c r="X4558" s="1674"/>
      <c r="Y4558" s="1674"/>
      <c r="Z4558" s="1674"/>
      <c r="AA4558" s="1674"/>
      <c r="AB4558" s="1674"/>
      <c r="AC4558" s="1674"/>
    </row>
    <row r="4559" spans="1:29" s="1672" customFormat="1" ht="15.6" customHeight="1" x14ac:dyDescent="0.25">
      <c r="A4559" s="1674"/>
      <c r="B4559" s="1674"/>
      <c r="C4559" s="1674"/>
      <c r="D4559" s="1678"/>
      <c r="E4559" s="1674"/>
      <c r="F4559" s="1678"/>
      <c r="G4559" s="1678"/>
      <c r="H4559" s="1678"/>
      <c r="I4559" s="58"/>
      <c r="J4559" s="1682"/>
      <c r="K4559" s="58"/>
      <c r="L4559" s="1674"/>
      <c r="M4559" s="1690"/>
      <c r="N4559" s="1669"/>
      <c r="O4559" s="1685"/>
      <c r="P4559" s="1695"/>
      <c r="U4559" s="1673"/>
      <c r="V4559" s="1674"/>
      <c r="W4559" s="1675"/>
      <c r="X4559" s="1674"/>
      <c r="Y4559" s="1674"/>
      <c r="Z4559" s="1674"/>
      <c r="AA4559" s="1674"/>
      <c r="AB4559" s="1674"/>
      <c r="AC4559" s="1674"/>
    </row>
    <row r="4560" spans="1:29" s="1672" customFormat="1" ht="15.6" customHeight="1" x14ac:dyDescent="0.25">
      <c r="A4560" s="1674"/>
      <c r="B4560" s="1701" t="s">
        <v>2380</v>
      </c>
      <c r="C4560" s="1677"/>
      <c r="D4560" s="1678"/>
      <c r="E4560" s="1674"/>
      <c r="F4560" s="1678"/>
      <c r="G4560" s="1678"/>
      <c r="H4560" s="1678"/>
      <c r="I4560" s="58"/>
      <c r="J4560" s="1679"/>
      <c r="K4560" s="58"/>
      <c r="L4560" s="1674"/>
      <c r="M4560" s="1690"/>
      <c r="N4560" s="1669"/>
      <c r="O4560" s="1685"/>
      <c r="P4560" s="1695"/>
      <c r="U4560" s="1673"/>
      <c r="V4560" s="1674"/>
      <c r="W4560" s="1675"/>
      <c r="X4560" s="1674"/>
      <c r="Y4560" s="1674"/>
      <c r="Z4560" s="1674"/>
      <c r="AA4560" s="1674"/>
      <c r="AB4560" s="1674"/>
      <c r="AC4560" s="1674"/>
    </row>
    <row r="4561" spans="1:29" s="1672" customFormat="1" ht="62.1" customHeight="1" x14ac:dyDescent="0.25">
      <c r="A4561" s="1684"/>
      <c r="B4561" s="2949" t="s">
        <v>2381</v>
      </c>
      <c r="C4561" s="2949"/>
      <c r="D4561" s="2949"/>
      <c r="E4561" s="2949"/>
      <c r="F4561" s="2949"/>
      <c r="G4561" s="2949"/>
      <c r="H4561" s="2949"/>
      <c r="I4561" s="2949"/>
      <c r="J4561" s="2949"/>
      <c r="K4561" s="2949"/>
      <c r="L4561" s="1684"/>
      <c r="M4561" s="1702"/>
      <c r="N4561" s="1669"/>
      <c r="O4561" s="1685"/>
      <c r="P4561" s="1695"/>
      <c r="U4561" s="1673"/>
      <c r="V4561" s="1674"/>
      <c r="W4561" s="1675"/>
      <c r="X4561" s="1674"/>
      <c r="Y4561" s="1674"/>
      <c r="Z4561" s="1674"/>
      <c r="AA4561" s="1674"/>
      <c r="AB4561" s="1674"/>
      <c r="AC4561" s="1674"/>
    </row>
    <row r="4562" spans="1:29" s="1672" customFormat="1" ht="15.6" customHeight="1" x14ac:dyDescent="0.25">
      <c r="A4562" s="1674"/>
      <c r="B4562" s="1674"/>
      <c r="C4562" s="1674"/>
      <c r="D4562" s="1678"/>
      <c r="E4562" s="1674"/>
      <c r="F4562" s="1678"/>
      <c r="G4562" s="1678"/>
      <c r="H4562" s="1678"/>
      <c r="I4562" s="58"/>
      <c r="J4562" s="1682"/>
      <c r="K4562" s="58"/>
      <c r="L4562" s="1674"/>
      <c r="M4562" s="1690"/>
      <c r="N4562" s="1669"/>
      <c r="O4562" s="1685"/>
      <c r="P4562" s="1695"/>
      <c r="U4562" s="1673"/>
      <c r="V4562" s="1674"/>
      <c r="W4562" s="1675"/>
      <c r="X4562" s="1674"/>
      <c r="Y4562" s="1674"/>
      <c r="Z4562" s="1674"/>
      <c r="AA4562" s="1674"/>
      <c r="AB4562" s="1674"/>
      <c r="AC4562" s="1674"/>
    </row>
    <row r="4563" spans="1:29" s="1672" customFormat="1" ht="15.6" customHeight="1" x14ac:dyDescent="0.25">
      <c r="A4563" s="1674"/>
      <c r="B4563" s="1701" t="s">
        <v>2382</v>
      </c>
      <c r="C4563" s="1677"/>
      <c r="D4563" s="1678"/>
      <c r="E4563" s="1674"/>
      <c r="F4563" s="1678"/>
      <c r="G4563" s="1678"/>
      <c r="H4563" s="1678"/>
      <c r="I4563" s="58"/>
      <c r="J4563" s="1679"/>
      <c r="K4563" s="58"/>
      <c r="L4563" s="1674"/>
      <c r="M4563" s="1690"/>
      <c r="N4563" s="1669"/>
      <c r="O4563" s="1685"/>
      <c r="P4563" s="1695"/>
      <c r="U4563" s="1673"/>
      <c r="V4563" s="1674"/>
      <c r="W4563" s="1675"/>
      <c r="X4563" s="1674"/>
      <c r="Y4563" s="1674"/>
      <c r="Z4563" s="1674"/>
      <c r="AA4563" s="1674"/>
      <c r="AB4563" s="1674"/>
      <c r="AC4563" s="1674"/>
    </row>
    <row r="4564" spans="1:29" s="1672" customFormat="1" ht="15.6" customHeight="1" x14ac:dyDescent="0.25">
      <c r="A4564" s="1684"/>
      <c r="B4564" s="2949" t="s">
        <v>2456</v>
      </c>
      <c r="C4564" s="2949"/>
      <c r="D4564" s="2949"/>
      <c r="E4564" s="2949"/>
      <c r="F4564" s="2949"/>
      <c r="G4564" s="2949"/>
      <c r="H4564" s="2949"/>
      <c r="I4564" s="2949"/>
      <c r="J4564" s="2949"/>
      <c r="K4564" s="2949"/>
      <c r="L4564" s="1684"/>
      <c r="M4564" s="1703"/>
      <c r="N4564" s="1669"/>
      <c r="O4564" s="1685"/>
      <c r="P4564" s="1695"/>
      <c r="U4564" s="1673"/>
      <c r="V4564" s="1674"/>
      <c r="W4564" s="1675"/>
      <c r="X4564" s="1674"/>
      <c r="Y4564" s="1674"/>
      <c r="Z4564" s="1674"/>
      <c r="AA4564" s="1674"/>
      <c r="AB4564" s="1674"/>
      <c r="AC4564" s="1674"/>
    </row>
    <row r="4565" spans="1:29" s="1672" customFormat="1" ht="15.6" customHeight="1" x14ac:dyDescent="0.25">
      <c r="A4565" s="1674"/>
      <c r="B4565" s="1674"/>
      <c r="C4565" s="1674"/>
      <c r="D4565" s="1678"/>
      <c r="E4565" s="1674"/>
      <c r="F4565" s="1678"/>
      <c r="G4565" s="1678"/>
      <c r="H4565" s="1678"/>
      <c r="I4565" s="58"/>
      <c r="J4565" s="1682"/>
      <c r="K4565" s="58"/>
      <c r="L4565" s="1674"/>
      <c r="M4565" s="1690"/>
      <c r="N4565" s="1669"/>
      <c r="O4565" s="1685"/>
      <c r="P4565" s="1695"/>
      <c r="U4565" s="1673"/>
      <c r="V4565" s="1674"/>
      <c r="W4565" s="1675"/>
      <c r="X4565" s="1674"/>
      <c r="Y4565" s="1674"/>
      <c r="Z4565" s="1674"/>
      <c r="AA4565" s="1674"/>
      <c r="AB4565" s="1674"/>
      <c r="AC4565" s="1674"/>
    </row>
    <row r="4566" spans="1:29" s="1672" customFormat="1" ht="62.1" customHeight="1" x14ac:dyDescent="0.25">
      <c r="A4566" s="1684"/>
      <c r="B4566" s="2949" t="s">
        <v>2385</v>
      </c>
      <c r="C4566" s="2949"/>
      <c r="D4566" s="2949"/>
      <c r="E4566" s="2949"/>
      <c r="F4566" s="2949"/>
      <c r="G4566" s="2949"/>
      <c r="H4566" s="2949"/>
      <c r="I4566" s="2949"/>
      <c r="J4566" s="2949"/>
      <c r="K4566" s="2949"/>
      <c r="L4566" s="1684"/>
      <c r="M4566" s="1704" t="s">
        <v>4071</v>
      </c>
      <c r="N4566" s="1669"/>
      <c r="O4566" s="1685"/>
      <c r="P4566" s="1695"/>
      <c r="U4566" s="1673"/>
      <c r="V4566" s="1674"/>
      <c r="W4566" s="1675"/>
      <c r="X4566" s="1674"/>
      <c r="Y4566" s="1674"/>
      <c r="Z4566" s="1674"/>
      <c r="AA4566" s="1674"/>
      <c r="AB4566" s="1674"/>
      <c r="AC4566" s="1674"/>
    </row>
    <row r="4567" spans="1:29" s="1672" customFormat="1" ht="15.6" customHeight="1" x14ac:dyDescent="0.25">
      <c r="A4567" s="1674"/>
      <c r="B4567" s="1674"/>
      <c r="C4567" s="1674"/>
      <c r="D4567" s="1678"/>
      <c r="E4567" s="1674"/>
      <c r="F4567" s="1678"/>
      <c r="G4567" s="1678"/>
      <c r="H4567" s="1678"/>
      <c r="I4567" s="58"/>
      <c r="J4567" s="1682"/>
      <c r="K4567" s="58"/>
      <c r="L4567" s="1674"/>
      <c r="M4567" s="1690"/>
      <c r="N4567" s="1669"/>
      <c r="O4567" s="1685"/>
      <c r="P4567" s="1695"/>
      <c r="U4567" s="1673"/>
      <c r="V4567" s="1674"/>
      <c r="W4567" s="1675"/>
      <c r="X4567" s="1674"/>
      <c r="Y4567" s="1674"/>
      <c r="Z4567" s="1674"/>
      <c r="AA4567" s="1674"/>
      <c r="AB4567" s="1674"/>
      <c r="AC4567" s="1674"/>
    </row>
    <row r="4568" spans="1:29" s="1672" customFormat="1" ht="15.6" customHeight="1" x14ac:dyDescent="0.25">
      <c r="A4568" s="1674"/>
      <c r="B4568" s="1701" t="s">
        <v>2383</v>
      </c>
      <c r="C4568" s="1677"/>
      <c r="D4568" s="1678"/>
      <c r="E4568" s="1674"/>
      <c r="F4568" s="1678"/>
      <c r="G4568" s="1678"/>
      <c r="H4568" s="1678"/>
      <c r="I4568" s="58"/>
      <c r="J4568" s="1679"/>
      <c r="K4568" s="58"/>
      <c r="L4568" s="1674"/>
      <c r="M4568" s="1690"/>
      <c r="N4568" s="1669"/>
      <c r="O4568" s="1685"/>
      <c r="P4568" s="1695"/>
      <c r="U4568" s="1673"/>
      <c r="V4568" s="1674"/>
      <c r="W4568" s="1675"/>
      <c r="X4568" s="1674"/>
      <c r="Y4568" s="1674"/>
      <c r="Z4568" s="1674"/>
      <c r="AA4568" s="1674"/>
      <c r="AB4568" s="1674"/>
      <c r="AC4568" s="1674"/>
    </row>
    <row r="4569" spans="1:29" s="1672" customFormat="1" ht="46.5" customHeight="1" x14ac:dyDescent="0.25">
      <c r="A4569" s="1684"/>
      <c r="B4569" s="2949" t="s">
        <v>2384</v>
      </c>
      <c r="C4569" s="2949"/>
      <c r="D4569" s="2949"/>
      <c r="E4569" s="2949"/>
      <c r="F4569" s="2949"/>
      <c r="G4569" s="2949"/>
      <c r="H4569" s="2949"/>
      <c r="I4569" s="2949"/>
      <c r="J4569" s="2949"/>
      <c r="K4569" s="2949"/>
      <c r="L4569" s="1684"/>
      <c r="M4569" s="1702"/>
      <c r="N4569" s="1669"/>
      <c r="O4569" s="1685"/>
      <c r="P4569" s="1695"/>
      <c r="U4569" s="1673"/>
      <c r="V4569" s="1674"/>
      <c r="W4569" s="1675"/>
      <c r="X4569" s="1674"/>
      <c r="Y4569" s="1674"/>
      <c r="Z4569" s="1674"/>
      <c r="AA4569" s="1674"/>
      <c r="AB4569" s="1674"/>
      <c r="AC4569" s="1674"/>
    </row>
    <row r="4570" spans="1:29" s="1672" customFormat="1" ht="15.6" customHeight="1" x14ac:dyDescent="0.25">
      <c r="A4570" s="1674"/>
      <c r="B4570" s="1674"/>
      <c r="C4570" s="1674"/>
      <c r="D4570" s="1678"/>
      <c r="E4570" s="1674"/>
      <c r="F4570" s="1678"/>
      <c r="G4570" s="1678"/>
      <c r="H4570" s="1678"/>
      <c r="I4570" s="58"/>
      <c r="J4570" s="1682"/>
      <c r="K4570" s="58"/>
      <c r="L4570" s="1674"/>
      <c r="M4570" s="1690"/>
      <c r="N4570" s="1669"/>
      <c r="O4570" s="1685"/>
      <c r="P4570" s="1695"/>
      <c r="U4570" s="1673"/>
      <c r="V4570" s="1674"/>
      <c r="W4570" s="1675"/>
      <c r="X4570" s="1674"/>
      <c r="Y4570" s="1674"/>
      <c r="Z4570" s="1674"/>
      <c r="AA4570" s="1674"/>
      <c r="AB4570" s="1674"/>
      <c r="AC4570" s="1674"/>
    </row>
    <row r="4571" spans="1:29" s="1672" customFormat="1" ht="15.6" customHeight="1" x14ac:dyDescent="0.25">
      <c r="A4571" s="1674"/>
      <c r="B4571" s="1701" t="s">
        <v>390</v>
      </c>
      <c r="C4571" s="1677"/>
      <c r="D4571" s="1678"/>
      <c r="E4571" s="1674"/>
      <c r="F4571" s="1678"/>
      <c r="G4571" s="1678"/>
      <c r="H4571" s="1678"/>
      <c r="I4571" s="58"/>
      <c r="J4571" s="1679"/>
      <c r="K4571" s="58"/>
      <c r="L4571" s="1674"/>
      <c r="M4571" s="1690"/>
      <c r="N4571" s="1669"/>
      <c r="O4571" s="1685"/>
      <c r="P4571" s="1695"/>
      <c r="U4571" s="1673"/>
      <c r="V4571" s="1674"/>
      <c r="W4571" s="1675"/>
      <c r="X4571" s="1674"/>
      <c r="Y4571" s="1674"/>
      <c r="Z4571" s="1674"/>
      <c r="AA4571" s="1674"/>
      <c r="AB4571" s="1674"/>
      <c r="AC4571" s="1674"/>
    </row>
    <row r="4572" spans="1:29" s="1672" customFormat="1" ht="30.95" customHeight="1" x14ac:dyDescent="0.25">
      <c r="A4572" s="1684"/>
      <c r="B4572" s="2949" t="s">
        <v>2386</v>
      </c>
      <c r="C4572" s="2949"/>
      <c r="D4572" s="2949"/>
      <c r="E4572" s="2949"/>
      <c r="F4572" s="2949"/>
      <c r="G4572" s="2949"/>
      <c r="H4572" s="2949"/>
      <c r="I4572" s="2949"/>
      <c r="J4572" s="2949"/>
      <c r="K4572" s="2949"/>
      <c r="L4572" s="1684"/>
      <c r="M4572" s="1702"/>
      <c r="N4572" s="1669"/>
      <c r="O4572" s="1685"/>
      <c r="P4572" s="1695"/>
      <c r="U4572" s="1673"/>
      <c r="V4572" s="1674"/>
      <c r="W4572" s="1675"/>
      <c r="X4572" s="1674"/>
      <c r="Y4572" s="1674"/>
      <c r="Z4572" s="1674"/>
      <c r="AA4572" s="1674"/>
      <c r="AB4572" s="1674"/>
      <c r="AC4572" s="1674"/>
    </row>
    <row r="4573" spans="1:29" s="1672" customFormat="1" ht="15.6" customHeight="1" x14ac:dyDescent="0.25">
      <c r="A4573" s="1674"/>
      <c r="B4573" s="1674"/>
      <c r="C4573" s="1674"/>
      <c r="D4573" s="1678"/>
      <c r="E4573" s="1674"/>
      <c r="F4573" s="1678"/>
      <c r="G4573" s="1678"/>
      <c r="H4573" s="1678"/>
      <c r="I4573" s="58"/>
      <c r="J4573" s="1682"/>
      <c r="K4573" s="58"/>
      <c r="L4573" s="1674"/>
      <c r="M4573" s="1690"/>
      <c r="N4573" s="1669"/>
      <c r="O4573" s="1685"/>
      <c r="P4573" s="1695"/>
      <c r="U4573" s="1673"/>
      <c r="V4573" s="1674"/>
      <c r="W4573" s="1675"/>
      <c r="X4573" s="1674"/>
      <c r="Y4573" s="1674"/>
      <c r="Z4573" s="1674"/>
      <c r="AA4573" s="1674"/>
      <c r="AB4573" s="1674"/>
      <c r="AC4573" s="1674"/>
    </row>
    <row r="4574" spans="1:29" s="1672" customFormat="1" ht="30.95" customHeight="1" x14ac:dyDescent="0.25">
      <c r="A4574" s="1684"/>
      <c r="B4574" s="2949" t="s">
        <v>2388</v>
      </c>
      <c r="C4574" s="2949"/>
      <c r="D4574" s="2949"/>
      <c r="E4574" s="2949"/>
      <c r="F4574" s="2949"/>
      <c r="G4574" s="2949"/>
      <c r="H4574" s="2949"/>
      <c r="I4574" s="2949"/>
      <c r="J4574" s="2949"/>
      <c r="K4574" s="2949"/>
      <c r="L4574" s="1684"/>
      <c r="M4574" s="1702"/>
      <c r="N4574" s="1669"/>
      <c r="O4574" s="1685"/>
      <c r="P4574" s="1695"/>
      <c r="U4574" s="1673"/>
      <c r="V4574" s="1674"/>
      <c r="W4574" s="1675"/>
      <c r="X4574" s="1674"/>
      <c r="Y4574" s="1674"/>
      <c r="Z4574" s="1674"/>
      <c r="AA4574" s="1674"/>
      <c r="AB4574" s="1674"/>
      <c r="AC4574" s="1674"/>
    </row>
    <row r="4575" spans="1:29" s="1672" customFormat="1" ht="15.6" customHeight="1" x14ac:dyDescent="0.25">
      <c r="A4575" s="1674"/>
      <c r="B4575" s="1674"/>
      <c r="C4575" s="1674"/>
      <c r="D4575" s="1678"/>
      <c r="E4575" s="1674"/>
      <c r="F4575" s="1678"/>
      <c r="G4575" s="1678"/>
      <c r="H4575" s="1678"/>
      <c r="I4575" s="58"/>
      <c r="J4575" s="1682"/>
      <c r="K4575" s="58"/>
      <c r="L4575" s="1674"/>
      <c r="M4575" s="1690"/>
      <c r="N4575" s="1669"/>
      <c r="O4575" s="1685"/>
      <c r="P4575" s="1695"/>
      <c r="U4575" s="1673"/>
      <c r="V4575" s="1674"/>
      <c r="W4575" s="1675"/>
      <c r="X4575" s="1674"/>
      <c r="Y4575" s="1674"/>
      <c r="Z4575" s="1674"/>
      <c r="AA4575" s="1674"/>
      <c r="AB4575" s="1674"/>
      <c r="AC4575" s="1674"/>
    </row>
    <row r="4576" spans="1:29" s="1672" customFormat="1" ht="30.95" customHeight="1" x14ac:dyDescent="0.25">
      <c r="A4576" s="1684"/>
      <c r="B4576" s="2949" t="s">
        <v>2387</v>
      </c>
      <c r="C4576" s="2949"/>
      <c r="D4576" s="2949"/>
      <c r="E4576" s="2949"/>
      <c r="F4576" s="2949"/>
      <c r="G4576" s="2949"/>
      <c r="H4576" s="2949"/>
      <c r="I4576" s="2949"/>
      <c r="J4576" s="2949"/>
      <c r="K4576" s="2949"/>
      <c r="L4576" s="1684"/>
      <c r="M4576" s="1700" t="s">
        <v>4071</v>
      </c>
      <c r="N4576" s="1669"/>
      <c r="O4576" s="1685"/>
      <c r="P4576" s="1695"/>
      <c r="U4576" s="1673"/>
      <c r="V4576" s="1674"/>
      <c r="W4576" s="1675"/>
      <c r="X4576" s="1674"/>
      <c r="Y4576" s="1674"/>
      <c r="Z4576" s="1674"/>
      <c r="AA4576" s="1674"/>
      <c r="AB4576" s="1674"/>
      <c r="AC4576" s="1674"/>
    </row>
    <row r="4577" spans="1:29" s="1672" customFormat="1" ht="30.95" hidden="1" customHeight="1" x14ac:dyDescent="0.25">
      <c r="A4577" s="1684"/>
      <c r="B4577" s="2955" t="s">
        <v>1556</v>
      </c>
      <c r="C4577" s="2955"/>
      <c r="D4577" s="2955"/>
      <c r="E4577" s="2955"/>
      <c r="F4577" s="2955"/>
      <c r="G4577" s="2955"/>
      <c r="H4577" s="2955"/>
      <c r="I4577" s="2955"/>
      <c r="J4577" s="2955"/>
      <c r="K4577" s="2955"/>
      <c r="L4577" s="1684"/>
      <c r="M4577" s="1702"/>
      <c r="N4577" s="1669"/>
      <c r="O4577" s="1685"/>
      <c r="P4577" s="1695"/>
      <c r="U4577" s="1673"/>
      <c r="V4577" s="1674"/>
      <c r="W4577" s="1675"/>
      <c r="X4577" s="1674"/>
      <c r="Y4577" s="1674"/>
      <c r="Z4577" s="1674"/>
      <c r="AA4577" s="1674"/>
      <c r="AB4577" s="1674"/>
      <c r="AC4577" s="1674"/>
    </row>
    <row r="4578" spans="1:29" s="1672" customFormat="1" ht="15.6" customHeight="1" x14ac:dyDescent="0.25">
      <c r="A4578" s="1715"/>
      <c r="B4578" s="1677"/>
      <c r="C4578" s="1677"/>
      <c r="D4578" s="1678"/>
      <c r="E4578" s="1679"/>
      <c r="F4578" s="1679"/>
      <c r="G4578" s="1679"/>
      <c r="H4578" s="1679"/>
      <c r="I4578" s="1679"/>
      <c r="J4578" s="1679"/>
      <c r="K4578" s="1679"/>
      <c r="L4578" s="1674"/>
      <c r="M4578" s="1690"/>
      <c r="N4578" s="1669"/>
      <c r="O4578" s="1685"/>
      <c r="P4578" s="1695"/>
      <c r="U4578" s="1673"/>
      <c r="V4578" s="1674"/>
      <c r="W4578" s="1675"/>
      <c r="X4578" s="1674"/>
      <c r="Y4578" s="1674"/>
      <c r="Z4578" s="1674"/>
      <c r="AA4578" s="1674"/>
      <c r="AB4578" s="1674"/>
      <c r="AC4578" s="1674"/>
    </row>
    <row r="4579" spans="1:29" s="1672" customFormat="1" ht="15.6" customHeight="1" x14ac:dyDescent="0.25">
      <c r="A4579" s="1674"/>
      <c r="B4579" s="1677"/>
      <c r="C4579" s="1677"/>
      <c r="D4579" s="2468"/>
      <c r="E4579" s="2956" t="str">
        <f>Parameters!C11</f>
        <v>30 June 2012</v>
      </c>
      <c r="F4579" s="2957"/>
      <c r="G4579" s="2957"/>
      <c r="H4579" s="2468"/>
      <c r="I4579" s="2956" t="str">
        <f>Parameters!C13</f>
        <v>30 June 2011</v>
      </c>
      <c r="J4579" s="2957"/>
      <c r="K4579" s="2957"/>
      <c r="L4579" s="1674"/>
      <c r="M4579" s="1690"/>
      <c r="N4579" s="1669"/>
      <c r="O4579" s="1685"/>
      <c r="P4579" s="1695"/>
      <c r="U4579" s="1673"/>
      <c r="V4579" s="1674"/>
      <c r="W4579" s="1675"/>
      <c r="X4579" s="1674"/>
      <c r="Y4579" s="1674"/>
      <c r="Z4579" s="1674"/>
      <c r="AA4579" s="1674"/>
      <c r="AB4579" s="1674"/>
      <c r="AC4579" s="1674"/>
    </row>
    <row r="4580" spans="1:29" s="1672" customFormat="1" ht="15.6" customHeight="1" x14ac:dyDescent="0.25">
      <c r="A4580" s="1674"/>
      <c r="B4580" s="1677"/>
      <c r="C4580" s="1677"/>
      <c r="D4580" s="2468"/>
      <c r="E4580" s="2468" t="s">
        <v>285</v>
      </c>
      <c r="F4580" s="2468"/>
      <c r="G4580" s="2468" t="s">
        <v>1168</v>
      </c>
      <c r="H4580" s="2468"/>
      <c r="I4580" s="2468" t="s">
        <v>285</v>
      </c>
      <c r="J4580" s="2468"/>
      <c r="K4580" s="2468" t="s">
        <v>1168</v>
      </c>
      <c r="L4580" s="1674"/>
      <c r="M4580" s="1690"/>
      <c r="N4580" s="1669"/>
      <c r="O4580" s="1685"/>
      <c r="P4580" s="1695"/>
      <c r="U4580" s="1673"/>
      <c r="V4580" s="1674"/>
      <c r="W4580" s="1675"/>
      <c r="X4580" s="1674"/>
      <c r="Y4580" s="1674"/>
      <c r="Z4580" s="1674"/>
      <c r="AA4580" s="1674"/>
      <c r="AB4580" s="1674"/>
      <c r="AC4580" s="1674"/>
    </row>
    <row r="4581" spans="1:29" s="1672" customFormat="1" ht="15.6" customHeight="1" x14ac:dyDescent="0.25">
      <c r="A4581" s="1674"/>
      <c r="B4581" s="1713"/>
      <c r="C4581" s="1677"/>
      <c r="D4581" s="2468"/>
      <c r="E4581" s="2468" t="s">
        <v>261</v>
      </c>
      <c r="F4581" s="2468"/>
      <c r="G4581" s="2468" t="s">
        <v>286</v>
      </c>
      <c r="H4581" s="2468"/>
      <c r="I4581" s="2468" t="s">
        <v>261</v>
      </c>
      <c r="J4581" s="2468"/>
      <c r="K4581" s="2468" t="s">
        <v>286</v>
      </c>
      <c r="L4581" s="1674"/>
      <c r="M4581" s="1690"/>
      <c r="N4581" s="1669"/>
      <c r="O4581" s="1685"/>
      <c r="P4581" s="1695"/>
      <c r="U4581" s="1673"/>
      <c r="V4581" s="1674"/>
      <c r="W4581" s="1675"/>
      <c r="X4581" s="1674"/>
      <c r="Y4581" s="1674"/>
      <c r="Z4581" s="1674"/>
      <c r="AA4581" s="1674"/>
      <c r="AB4581" s="1674"/>
      <c r="AC4581" s="1674"/>
    </row>
    <row r="4582" spans="1:29" s="1672" customFormat="1" ht="15.6" customHeight="1" x14ac:dyDescent="0.25">
      <c r="A4582" s="1674"/>
      <c r="B4582" s="1714"/>
      <c r="C4582" s="1677"/>
      <c r="D4582" s="1679"/>
      <c r="E4582" s="2468" t="s">
        <v>255</v>
      </c>
      <c r="F4582" s="1679"/>
      <c r="G4582" s="2468" t="s">
        <v>255</v>
      </c>
      <c r="H4582" s="1679"/>
      <c r="I4582" s="2468" t="s">
        <v>255</v>
      </c>
      <c r="J4582" s="1679"/>
      <c r="K4582" s="2468" t="s">
        <v>255</v>
      </c>
      <c r="L4582" s="1674"/>
      <c r="M4582" s="1690"/>
      <c r="N4582" s="1669"/>
      <c r="O4582" s="1685"/>
      <c r="P4582" s="1695"/>
      <c r="U4582" s="1673"/>
      <c r="V4582" s="1674"/>
      <c r="W4582" s="1675"/>
      <c r="X4582" s="1674"/>
      <c r="Y4582" s="1674"/>
      <c r="Z4582" s="1674"/>
      <c r="AA4582" s="1674"/>
      <c r="AB4582" s="1674"/>
      <c r="AC4582" s="1674"/>
    </row>
    <row r="4583" spans="1:29" s="1672" customFormat="1" ht="15.6" customHeight="1" x14ac:dyDescent="0.25">
      <c r="A4583" s="1715"/>
      <c r="B4583" s="1677"/>
      <c r="C4583" s="1677"/>
      <c r="D4583" s="1678"/>
      <c r="E4583" s="1679"/>
      <c r="F4583" s="1679"/>
      <c r="G4583" s="1679"/>
      <c r="H4583" s="1679"/>
      <c r="I4583" s="1679"/>
      <c r="J4583" s="1679"/>
      <c r="K4583" s="1679"/>
      <c r="L4583" s="1674"/>
      <c r="M4583" s="1690"/>
      <c r="N4583" s="1669"/>
      <c r="O4583" s="1685"/>
      <c r="P4583" s="1695"/>
      <c r="U4583" s="1673"/>
      <c r="V4583" s="1674"/>
      <c r="W4583" s="1675"/>
      <c r="X4583" s="1674"/>
      <c r="Y4583" s="1674"/>
      <c r="Z4583" s="1674"/>
      <c r="AA4583" s="1674"/>
      <c r="AB4583" s="1674"/>
      <c r="AC4583" s="1674"/>
    </row>
    <row r="4584" spans="1:29" s="1672" customFormat="1" ht="15.6" customHeight="1" x14ac:dyDescent="0.25">
      <c r="A4584" s="1674"/>
      <c r="B4584" s="1677" t="s">
        <v>1169</v>
      </c>
      <c r="C4584" s="1674"/>
      <c r="D4584" s="1678"/>
      <c r="E4584" s="1674"/>
      <c r="F4584" s="1678"/>
      <c r="G4584" s="1678"/>
      <c r="H4584" s="1678"/>
      <c r="I4584" s="58"/>
      <c r="J4584" s="1682"/>
      <c r="K4584" s="58"/>
      <c r="L4584" s="1674"/>
      <c r="M4584" s="1687" t="s">
        <v>4068</v>
      </c>
      <c r="N4584" s="1669"/>
      <c r="O4584" s="1685"/>
      <c r="P4584" s="1695"/>
      <c r="U4584" s="1673"/>
      <c r="V4584" s="1674"/>
      <c r="W4584" s="1675"/>
      <c r="X4584" s="1674"/>
      <c r="Y4584" s="1674"/>
      <c r="Z4584" s="1674"/>
      <c r="AA4584" s="1674"/>
      <c r="AB4584" s="1674"/>
      <c r="AC4584" s="1674"/>
    </row>
    <row r="4585" spans="1:29" s="1672" customFormat="1" ht="15.6" customHeight="1" x14ac:dyDescent="0.25">
      <c r="A4585" s="1674"/>
      <c r="B4585" s="1677" t="s">
        <v>4072</v>
      </c>
      <c r="C4585" s="1674"/>
      <c r="D4585" s="1678"/>
      <c r="E4585" s="2470">
        <f>SUM(E4586:E4595)</f>
        <v>1323648.2499999998</v>
      </c>
      <c r="F4585" s="1678"/>
      <c r="G4585" s="2470">
        <f>SUM(G4586:G4595)</f>
        <v>1323648.2499999998</v>
      </c>
      <c r="H4585" s="1678"/>
      <c r="I4585" s="2470">
        <f>SUM(I4586:I4595)</f>
        <v>10457516.312715169</v>
      </c>
      <c r="J4585" s="1682"/>
      <c r="K4585" s="2470">
        <f>SUM(K4586:K4595)</f>
        <v>10457516.312715169</v>
      </c>
      <c r="L4585" s="1674"/>
      <c r="M4585" s="1687" t="s">
        <v>4068</v>
      </c>
      <c r="N4585" s="1669"/>
      <c r="O4585" s="1685"/>
      <c r="P4585" s="1695"/>
      <c r="U4585" s="1673"/>
      <c r="V4585" s="1674"/>
      <c r="W4585" s="1675"/>
      <c r="X4585" s="1674"/>
      <c r="Y4585" s="1674"/>
      <c r="Z4585" s="1674"/>
      <c r="AA4585" s="1674"/>
      <c r="AB4585" s="1674"/>
      <c r="AC4585" s="1674"/>
    </row>
    <row r="4586" spans="1:29" s="1672" customFormat="1" ht="15.6" hidden="1" customHeight="1" x14ac:dyDescent="0.25">
      <c r="A4586" s="1674"/>
      <c r="B4586" s="1674" t="s">
        <v>165</v>
      </c>
      <c r="C4586" s="1674"/>
      <c r="D4586" s="1678"/>
      <c r="E4586" s="2471">
        <f>I4407</f>
        <v>0</v>
      </c>
      <c r="F4586" s="1678"/>
      <c r="G4586" s="2471">
        <f>'Notes II'!I764</f>
        <v>0</v>
      </c>
      <c r="H4586" s="1678"/>
      <c r="I4586" s="2471">
        <f>K4407</f>
        <v>0</v>
      </c>
      <c r="J4586" s="1682"/>
      <c r="K4586" s="2471">
        <f>'Notes II'!K764</f>
        <v>0</v>
      </c>
      <c r="L4586" s="1674"/>
      <c r="M4586" s="1690"/>
      <c r="N4586" s="1669"/>
      <c r="O4586" s="1685"/>
      <c r="P4586" s="1695"/>
      <c r="U4586" s="1673"/>
      <c r="V4586" s="1674"/>
      <c r="W4586" s="1675"/>
      <c r="X4586" s="1674"/>
      <c r="Y4586" s="1674"/>
      <c r="Z4586" s="1674"/>
      <c r="AA4586" s="1674"/>
      <c r="AB4586" s="1674"/>
      <c r="AC4586" s="1674"/>
    </row>
    <row r="4587" spans="1:29" s="1672" customFormat="1" ht="15.6" customHeight="1" x14ac:dyDescent="0.25">
      <c r="A4587" s="1674"/>
      <c r="B4587" s="1674" t="s">
        <v>7328</v>
      </c>
      <c r="C4587" s="1674"/>
      <c r="D4587" s="1678"/>
      <c r="E4587" s="2471">
        <f>I4408</f>
        <v>112659.79999999999</v>
      </c>
      <c r="F4587" s="1678"/>
      <c r="G4587" s="2471">
        <f t="shared" ref="G4587:G4595" si="66">E4587</f>
        <v>112659.79999999999</v>
      </c>
      <c r="H4587" s="1678"/>
      <c r="I4587" s="2471">
        <f>K4408</f>
        <v>95825.5</v>
      </c>
      <c r="J4587" s="1682"/>
      <c r="K4587" s="2471">
        <f t="shared" ref="K4587:K4595" si="67">I4587</f>
        <v>95825.5</v>
      </c>
      <c r="L4587" s="1674"/>
      <c r="M4587" s="1690"/>
      <c r="N4587" s="1669"/>
      <c r="O4587" s="1685"/>
      <c r="P4587" s="1695"/>
      <c r="U4587" s="1673"/>
      <c r="V4587" s="1674"/>
      <c r="W4587" s="1675"/>
      <c r="X4587" s="1674"/>
      <c r="Y4587" s="1674"/>
      <c r="Z4587" s="1674"/>
      <c r="AA4587" s="1674"/>
      <c r="AB4587" s="1674"/>
      <c r="AC4587" s="1674"/>
    </row>
    <row r="4588" spans="1:29" s="1672" customFormat="1" ht="15.6" hidden="1" customHeight="1" x14ac:dyDescent="0.25">
      <c r="A4588" s="1674"/>
      <c r="B4588" s="1674" t="s">
        <v>290</v>
      </c>
      <c r="C4588" s="1674"/>
      <c r="D4588" s="1678"/>
      <c r="E4588" s="2471">
        <f>I4409</f>
        <v>0</v>
      </c>
      <c r="F4588" s="1678"/>
      <c r="G4588" s="2471">
        <f t="shared" si="66"/>
        <v>0</v>
      </c>
      <c r="H4588" s="1678"/>
      <c r="I4588" s="2471">
        <f>K4409</f>
        <v>0</v>
      </c>
      <c r="J4588" s="1682"/>
      <c r="K4588" s="2471">
        <f t="shared" si="67"/>
        <v>0</v>
      </c>
      <c r="L4588" s="1674"/>
      <c r="M4588" s="1690"/>
      <c r="N4588" s="1669"/>
      <c r="O4588" s="1685"/>
      <c r="P4588" s="1695"/>
      <c r="U4588" s="1673"/>
      <c r="V4588" s="1674"/>
      <c r="W4588" s="1675"/>
      <c r="X4588" s="1674"/>
      <c r="Y4588" s="1674"/>
      <c r="Z4588" s="1674"/>
      <c r="AA4588" s="1674"/>
      <c r="AB4588" s="1674"/>
      <c r="AC4588" s="1674"/>
    </row>
    <row r="4589" spans="1:29" s="1672" customFormat="1" ht="15.6" hidden="1" customHeight="1" x14ac:dyDescent="0.25">
      <c r="A4589" s="1674"/>
      <c r="B4589" s="1674" t="s">
        <v>581</v>
      </c>
      <c r="C4589" s="1674"/>
      <c r="D4589" s="1678"/>
      <c r="E4589" s="2471">
        <f>I4453</f>
        <v>0</v>
      </c>
      <c r="F4589" s="1678"/>
      <c r="G4589" s="2471">
        <f t="shared" si="66"/>
        <v>0</v>
      </c>
      <c r="H4589" s="1678"/>
      <c r="I4589" s="2471">
        <f>K4453</f>
        <v>0</v>
      </c>
      <c r="J4589" s="1682"/>
      <c r="K4589" s="2471">
        <f t="shared" si="67"/>
        <v>0</v>
      </c>
      <c r="L4589" s="1674"/>
      <c r="M4589" s="1690"/>
      <c r="N4589" s="1669"/>
      <c r="O4589" s="1685"/>
      <c r="P4589" s="1695"/>
      <c r="U4589" s="1673"/>
      <c r="V4589" s="1674"/>
      <c r="W4589" s="1675"/>
      <c r="X4589" s="1674"/>
      <c r="Y4589" s="1674"/>
      <c r="Z4589" s="1674"/>
      <c r="AA4589" s="1674"/>
      <c r="AB4589" s="1674"/>
      <c r="AC4589" s="1674"/>
    </row>
    <row r="4590" spans="1:29" s="1672" customFormat="1" ht="15.6" hidden="1" customHeight="1" x14ac:dyDescent="0.25">
      <c r="A4590" s="1674"/>
      <c r="B4590" s="1674" t="s">
        <v>455</v>
      </c>
      <c r="C4590" s="1674"/>
      <c r="D4590" s="1678"/>
      <c r="E4590" s="2471">
        <f>I4454</f>
        <v>0</v>
      </c>
      <c r="F4590" s="1678"/>
      <c r="G4590" s="2471">
        <f t="shared" si="66"/>
        <v>0</v>
      </c>
      <c r="H4590" s="1678"/>
      <c r="I4590" s="2471">
        <f>K4454</f>
        <v>0</v>
      </c>
      <c r="J4590" s="1682"/>
      <c r="K4590" s="2471">
        <f t="shared" si="67"/>
        <v>0</v>
      </c>
      <c r="L4590" s="1674"/>
      <c r="M4590" s="1690"/>
      <c r="N4590" s="1669"/>
      <c r="O4590" s="1685"/>
      <c r="P4590" s="1695"/>
      <c r="U4590" s="1673"/>
      <c r="V4590" s="1674"/>
      <c r="W4590" s="1675"/>
      <c r="X4590" s="1674"/>
      <c r="Y4590" s="1674"/>
      <c r="Z4590" s="1674"/>
      <c r="AA4590" s="1674"/>
      <c r="AB4590" s="1674"/>
      <c r="AC4590" s="1674"/>
    </row>
    <row r="4591" spans="1:29" s="1672" customFormat="1" ht="15.6" hidden="1" customHeight="1" x14ac:dyDescent="0.25">
      <c r="A4591" s="1674"/>
      <c r="B4591" s="1674" t="s">
        <v>783</v>
      </c>
      <c r="C4591" s="1674"/>
      <c r="D4591" s="1678"/>
      <c r="E4591" s="2471">
        <f>SUM(I4411:I4412)</f>
        <v>0</v>
      </c>
      <c r="F4591" s="1678"/>
      <c r="G4591" s="2471">
        <f t="shared" si="66"/>
        <v>0</v>
      </c>
      <c r="H4591" s="1678"/>
      <c r="I4591" s="2471">
        <f>SUM(K4411:K4412)</f>
        <v>0</v>
      </c>
      <c r="J4591" s="1682"/>
      <c r="K4591" s="2471">
        <f t="shared" si="67"/>
        <v>0</v>
      </c>
      <c r="L4591" s="1674"/>
      <c r="M4591" s="1690"/>
      <c r="N4591" s="1669"/>
      <c r="O4591" s="1685"/>
      <c r="P4591" s="1695"/>
      <c r="U4591" s="1673"/>
      <c r="V4591" s="1674"/>
      <c r="W4591" s="1675"/>
      <c r="X4591" s="1674"/>
      <c r="Y4591" s="1674"/>
      <c r="Z4591" s="1674"/>
      <c r="AA4591" s="1674"/>
      <c r="AB4591" s="1674"/>
      <c r="AC4591" s="1674"/>
    </row>
    <row r="4592" spans="1:29" s="1672" customFormat="1" ht="15.6" hidden="1" customHeight="1" x14ac:dyDescent="0.25">
      <c r="A4592" s="1674"/>
      <c r="B4592" s="1674" t="s">
        <v>399</v>
      </c>
      <c r="C4592" s="1674"/>
      <c r="D4592" s="1678"/>
      <c r="E4592" s="2471">
        <f>SUM(I4415:I4420)</f>
        <v>0</v>
      </c>
      <c r="F4592" s="1678"/>
      <c r="G4592" s="2471">
        <f t="shared" si="66"/>
        <v>0</v>
      </c>
      <c r="H4592" s="1678"/>
      <c r="I4592" s="2471">
        <f>SUM(K4415:K4420)</f>
        <v>0</v>
      </c>
      <c r="J4592" s="1682"/>
      <c r="K4592" s="2471">
        <f t="shared" si="67"/>
        <v>0</v>
      </c>
      <c r="L4592" s="1674"/>
      <c r="M4592" s="1690"/>
      <c r="N4592" s="1669"/>
      <c r="O4592" s="1685"/>
      <c r="P4592" s="1695"/>
      <c r="U4592" s="1673"/>
      <c r="V4592" s="1674"/>
      <c r="W4592" s="1675"/>
      <c r="X4592" s="1674"/>
      <c r="Y4592" s="1674"/>
      <c r="Z4592" s="1674"/>
      <c r="AA4592" s="1674"/>
      <c r="AB4592" s="1674"/>
      <c r="AC4592" s="1674"/>
    </row>
    <row r="4593" spans="1:29" s="1672" customFormat="1" ht="15.6" customHeight="1" x14ac:dyDescent="0.25">
      <c r="A4593" s="1674"/>
      <c r="B4593" s="1674" t="s">
        <v>2370</v>
      </c>
      <c r="C4593" s="1674"/>
      <c r="D4593" s="1678"/>
      <c r="E4593" s="2471">
        <f>SUM(I4422:I4427)</f>
        <v>1210628.02</v>
      </c>
      <c r="F4593" s="1678"/>
      <c r="G4593" s="2471">
        <f t="shared" si="66"/>
        <v>1210628.02</v>
      </c>
      <c r="H4593" s="1678"/>
      <c r="I4593" s="2471">
        <f>SUM(K4422:K4427)</f>
        <v>6235110.312715169</v>
      </c>
      <c r="J4593" s="1682"/>
      <c r="K4593" s="2471">
        <f t="shared" si="67"/>
        <v>6235110.312715169</v>
      </c>
      <c r="L4593" s="1674"/>
      <c r="M4593" s="1690"/>
      <c r="N4593" s="1669"/>
      <c r="O4593" s="1685"/>
      <c r="P4593" s="1695"/>
      <c r="U4593" s="1673"/>
      <c r="V4593" s="1674"/>
      <c r="W4593" s="1675"/>
      <c r="X4593" s="1674"/>
      <c r="Y4593" s="1674"/>
      <c r="Z4593" s="1674"/>
      <c r="AA4593" s="1674"/>
      <c r="AB4593" s="1674"/>
      <c r="AC4593" s="1674"/>
    </row>
    <row r="4594" spans="1:29" s="1672" customFormat="1" ht="15.6" customHeight="1" x14ac:dyDescent="0.25">
      <c r="A4594" s="1674"/>
      <c r="B4594" s="1674" t="s">
        <v>2371</v>
      </c>
      <c r="C4594" s="1674"/>
      <c r="D4594" s="1678"/>
      <c r="E4594" s="2471">
        <f>SUM(I4429:I4441)</f>
        <v>360.42999999970198</v>
      </c>
      <c r="F4594" s="1678"/>
      <c r="G4594" s="2471">
        <f t="shared" si="66"/>
        <v>360.42999999970198</v>
      </c>
      <c r="H4594" s="1678"/>
      <c r="I4594" s="2471">
        <f>SUM(K4429:K4441)</f>
        <v>4126580.5</v>
      </c>
      <c r="J4594" s="1682"/>
      <c r="K4594" s="2471">
        <f t="shared" si="67"/>
        <v>4126580.5</v>
      </c>
      <c r="L4594" s="1674"/>
      <c r="M4594" s="1690"/>
      <c r="N4594" s="1669"/>
      <c r="O4594" s="1685"/>
      <c r="P4594" s="1695"/>
      <c r="U4594" s="1673"/>
      <c r="V4594" s="1674"/>
      <c r="W4594" s="1675"/>
      <c r="X4594" s="1674"/>
      <c r="Y4594" s="1674"/>
      <c r="Z4594" s="1674"/>
      <c r="AA4594" s="1674"/>
      <c r="AB4594" s="1674"/>
      <c r="AC4594" s="1674"/>
    </row>
    <row r="4595" spans="1:29" s="1672" customFormat="1" ht="15.6" hidden="1" customHeight="1" x14ac:dyDescent="0.25">
      <c r="A4595" s="1674"/>
      <c r="B4595" s="1674" t="s">
        <v>442</v>
      </c>
      <c r="C4595" s="1674"/>
      <c r="D4595" s="1678"/>
      <c r="E4595" s="2471">
        <f>SUM(I4443:I4451)</f>
        <v>0</v>
      </c>
      <c r="F4595" s="1678"/>
      <c r="G4595" s="2472">
        <f t="shared" si="66"/>
        <v>0</v>
      </c>
      <c r="H4595" s="1678"/>
      <c r="I4595" s="2471">
        <f>SUM(K4443:K4451)</f>
        <v>0</v>
      </c>
      <c r="J4595" s="1682"/>
      <c r="K4595" s="2472">
        <f t="shared" si="67"/>
        <v>0</v>
      </c>
      <c r="L4595" s="1674"/>
      <c r="M4595" s="1690"/>
      <c r="N4595" s="1669"/>
      <c r="O4595" s="1685"/>
      <c r="P4595" s="1695"/>
      <c r="U4595" s="1673"/>
      <c r="V4595" s="1674"/>
      <c r="W4595" s="1675"/>
      <c r="X4595" s="1674"/>
      <c r="Y4595" s="1674"/>
      <c r="Z4595" s="1674"/>
      <c r="AA4595" s="1674"/>
      <c r="AB4595" s="1674"/>
      <c r="AC4595" s="1674"/>
    </row>
    <row r="4596" spans="1:29" s="1672" customFormat="1" ht="15.6" customHeight="1" x14ac:dyDescent="0.25">
      <c r="A4596" s="1674"/>
      <c r="B4596" s="1674"/>
      <c r="C4596" s="1674"/>
      <c r="D4596" s="1678"/>
      <c r="E4596" s="2473"/>
      <c r="F4596" s="1678"/>
      <c r="G4596" s="2473"/>
      <c r="H4596" s="1678"/>
      <c r="I4596" s="2473"/>
      <c r="J4596" s="1682"/>
      <c r="K4596" s="2473"/>
      <c r="L4596" s="1674"/>
      <c r="M4596" s="1690"/>
      <c r="N4596" s="1669"/>
      <c r="O4596" s="1685"/>
      <c r="P4596" s="1695"/>
      <c r="U4596" s="1673"/>
      <c r="V4596" s="1674"/>
      <c r="W4596" s="1675"/>
      <c r="X4596" s="1674"/>
      <c r="Y4596" s="1674"/>
      <c r="Z4596" s="1674"/>
      <c r="AA4596" s="1674"/>
      <c r="AB4596" s="1674"/>
      <c r="AC4596" s="1674"/>
    </row>
    <row r="4597" spans="1:29" s="1672" customFormat="1" ht="15.6" customHeight="1" x14ac:dyDescent="0.25">
      <c r="A4597" s="1674"/>
      <c r="B4597" s="1677" t="s">
        <v>4073</v>
      </c>
      <c r="C4597" s="1674"/>
      <c r="D4597" s="1678"/>
      <c r="E4597" s="2470">
        <f>SUM(E4598:E4599)</f>
        <v>288595.42999999691</v>
      </c>
      <c r="F4597" s="1678"/>
      <c r="G4597" s="2470">
        <f>SUM(G4598:G4599)</f>
        <v>288595.42999999691</v>
      </c>
      <c r="H4597" s="1678"/>
      <c r="I4597" s="2470">
        <f>SUM(I4598:I4599)</f>
        <v>512874.01</v>
      </c>
      <c r="J4597" s="1682"/>
      <c r="K4597" s="2470">
        <f>SUM(K4598:K4599)</f>
        <v>512874.01</v>
      </c>
      <c r="L4597" s="1674"/>
      <c r="M4597" s="1687" t="s">
        <v>4074</v>
      </c>
      <c r="N4597" s="1669"/>
      <c r="O4597" s="1685"/>
      <c r="P4597" s="1695"/>
      <c r="U4597" s="1673"/>
      <c r="V4597" s="1674"/>
      <c r="W4597" s="1675"/>
      <c r="X4597" s="1674"/>
      <c r="Y4597" s="1674"/>
      <c r="Z4597" s="1674"/>
      <c r="AA4597" s="1674"/>
      <c r="AB4597" s="1674"/>
      <c r="AC4597" s="1674"/>
    </row>
    <row r="4598" spans="1:29" s="1672" customFormat="1" ht="15.6" customHeight="1" x14ac:dyDescent="0.25">
      <c r="A4598" s="1674"/>
      <c r="B4598" s="1674" t="s">
        <v>580</v>
      </c>
      <c r="C4598" s="1674"/>
      <c r="D4598" s="1678"/>
      <c r="E4598" s="2471">
        <f>I4459</f>
        <v>271206.52999999688</v>
      </c>
      <c r="F4598" s="1678"/>
      <c r="G4598" s="2471">
        <f>E4598</f>
        <v>271206.52999999688</v>
      </c>
      <c r="H4598" s="1678"/>
      <c r="I4598" s="2471">
        <f>K4459</f>
        <v>299229.11</v>
      </c>
      <c r="J4598" s="1682"/>
      <c r="K4598" s="2471">
        <f>I4598</f>
        <v>299229.11</v>
      </c>
      <c r="L4598" s="1674"/>
      <c r="M4598" s="1690"/>
      <c r="N4598" s="1669"/>
      <c r="O4598" s="1685"/>
      <c r="P4598" s="1695"/>
      <c r="U4598" s="1673"/>
      <c r="V4598" s="1674"/>
      <c r="W4598" s="1675"/>
      <c r="X4598" s="1674"/>
      <c r="Y4598" s="1674"/>
      <c r="Z4598" s="1674"/>
      <c r="AA4598" s="1674"/>
      <c r="AB4598" s="1674"/>
      <c r="AC4598" s="1674"/>
    </row>
    <row r="4599" spans="1:29" s="1672" customFormat="1" ht="15.6" customHeight="1" x14ac:dyDescent="0.25">
      <c r="A4599" s="1674"/>
      <c r="B4599" s="1674" t="s">
        <v>403</v>
      </c>
      <c r="C4599" s="1674"/>
      <c r="D4599" s="1678"/>
      <c r="E4599" s="2472">
        <f>SUM(I4460:I4462)</f>
        <v>17388.900000000001</v>
      </c>
      <c r="F4599" s="1678"/>
      <c r="G4599" s="2472">
        <f>E4599</f>
        <v>17388.900000000001</v>
      </c>
      <c r="H4599" s="1678"/>
      <c r="I4599" s="2472">
        <f>SUM(K4460:K4462)</f>
        <v>213644.9</v>
      </c>
      <c r="J4599" s="1682"/>
      <c r="K4599" s="2472">
        <f>I4599</f>
        <v>213644.9</v>
      </c>
      <c r="L4599" s="1674"/>
      <c r="M4599" s="1690"/>
      <c r="N4599" s="1669"/>
      <c r="O4599" s="1685"/>
      <c r="P4599" s="1695"/>
      <c r="U4599" s="1673"/>
      <c r="V4599" s="1674"/>
      <c r="W4599" s="1675"/>
      <c r="X4599" s="1674"/>
      <c r="Y4599" s="1674"/>
      <c r="Z4599" s="1674"/>
      <c r="AA4599" s="1674"/>
      <c r="AB4599" s="1674"/>
      <c r="AC4599" s="1674"/>
    </row>
    <row r="4600" spans="1:29" s="1672" customFormat="1" ht="15.6" customHeight="1" x14ac:dyDescent="0.25">
      <c r="A4600" s="1674"/>
      <c r="B4600" s="1674"/>
      <c r="C4600" s="1674"/>
      <c r="D4600" s="1678"/>
      <c r="E4600" s="2473"/>
      <c r="F4600" s="1678"/>
      <c r="G4600" s="2473"/>
      <c r="H4600" s="1678"/>
      <c r="I4600" s="2473"/>
      <c r="J4600" s="1682"/>
      <c r="K4600" s="2473"/>
      <c r="L4600" s="1674"/>
      <c r="M4600" s="1690"/>
      <c r="N4600" s="1669"/>
      <c r="O4600" s="1685"/>
      <c r="P4600" s="1695"/>
      <c r="U4600" s="1673"/>
      <c r="V4600" s="1674"/>
      <c r="W4600" s="1675"/>
      <c r="X4600" s="1674"/>
      <c r="Y4600" s="1674"/>
      <c r="Z4600" s="1674"/>
      <c r="AA4600" s="1674"/>
      <c r="AB4600" s="1674"/>
      <c r="AC4600" s="1674"/>
    </row>
    <row r="4601" spans="1:29" s="1672" customFormat="1" ht="15.6" customHeight="1" thickBot="1" x14ac:dyDescent="0.3">
      <c r="A4601" s="1674"/>
      <c r="B4601" s="1677" t="s">
        <v>505</v>
      </c>
      <c r="C4601" s="1674"/>
      <c r="D4601" s="1678"/>
      <c r="E4601" s="1697">
        <f>SUM(E4585,E4597)</f>
        <v>1612243.6799999967</v>
      </c>
      <c r="F4601" s="1682"/>
      <c r="G4601" s="1697">
        <f>SUM(G4585,G4597)</f>
        <v>1612243.6799999967</v>
      </c>
      <c r="H4601" s="1678"/>
      <c r="I4601" s="1697">
        <f>SUM(I4585,I4597)</f>
        <v>10970390.322715169</v>
      </c>
      <c r="J4601" s="1682"/>
      <c r="K4601" s="1697">
        <f>SUM(K4585,K4597)</f>
        <v>10970390.322715169</v>
      </c>
      <c r="L4601" s="1674"/>
      <c r="M4601" s="1690"/>
      <c r="N4601" s="1669"/>
      <c r="O4601" s="1685"/>
      <c r="P4601" s="1695"/>
      <c r="U4601" s="1673"/>
      <c r="V4601" s="1674"/>
      <c r="W4601" s="1675"/>
      <c r="X4601" s="1674"/>
      <c r="Y4601" s="1674"/>
      <c r="Z4601" s="1674"/>
      <c r="AA4601" s="1674"/>
      <c r="AB4601" s="1674"/>
      <c r="AC4601" s="1674"/>
    </row>
    <row r="4602" spans="1:29" s="1672" customFormat="1" ht="15.6" customHeight="1" thickTop="1" x14ac:dyDescent="0.25">
      <c r="A4602" s="1674"/>
      <c r="B4602" s="1674"/>
      <c r="C4602" s="1674"/>
      <c r="D4602" s="1678"/>
      <c r="E4602" s="265">
        <f>E4601-I4466</f>
        <v>0</v>
      </c>
      <c r="F4602" s="1678"/>
      <c r="G4602" s="1678"/>
      <c r="H4602" s="1678"/>
      <c r="I4602" s="265">
        <f>I4601-K4466</f>
        <v>0</v>
      </c>
      <c r="J4602" s="1682"/>
      <c r="K4602" s="58"/>
      <c r="L4602" s="1674"/>
      <c r="M4602" s="1690"/>
      <c r="N4602" s="1669"/>
      <c r="O4602" s="1685"/>
      <c r="P4602" s="1695"/>
      <c r="U4602" s="1673"/>
      <c r="V4602" s="1674"/>
      <c r="W4602" s="1675"/>
      <c r="X4602" s="1674"/>
      <c r="Y4602" s="1674"/>
      <c r="Z4602" s="1674"/>
      <c r="AA4602" s="1674"/>
      <c r="AB4602" s="1674"/>
      <c r="AC4602" s="1674"/>
    </row>
    <row r="4603" spans="1:29" s="1672" customFormat="1" ht="15.6" customHeight="1" x14ac:dyDescent="0.25">
      <c r="A4603" s="1674"/>
      <c r="B4603" s="1677" t="s">
        <v>1170</v>
      </c>
      <c r="C4603" s="1674"/>
      <c r="D4603" s="1678"/>
      <c r="E4603" s="1674"/>
      <c r="F4603" s="1678"/>
      <c r="G4603" s="1678"/>
      <c r="H4603" s="1678"/>
      <c r="I4603" s="58"/>
      <c r="J4603" s="1682"/>
      <c r="K4603" s="58"/>
      <c r="L4603" s="1674"/>
      <c r="M4603" s="1690"/>
      <c r="N4603" s="1669"/>
      <c r="O4603" s="1685"/>
      <c r="P4603" s="1695"/>
      <c r="U4603" s="1673"/>
      <c r="V4603" s="1674"/>
      <c r="W4603" s="1675"/>
      <c r="X4603" s="1674"/>
      <c r="Y4603" s="1674"/>
      <c r="Z4603" s="1674"/>
      <c r="AA4603" s="1674"/>
      <c r="AB4603" s="1674"/>
      <c r="AC4603" s="1674"/>
    </row>
    <row r="4604" spans="1:29" s="1672" customFormat="1" ht="15.6" hidden="1" customHeight="1" x14ac:dyDescent="0.25">
      <c r="A4604" s="1674"/>
      <c r="B4604" s="1677" t="s">
        <v>1171</v>
      </c>
      <c r="C4604" s="1674"/>
      <c r="D4604" s="1678"/>
      <c r="E4604" s="2470">
        <f>SUM(E4605:E4606)</f>
        <v>0</v>
      </c>
      <c r="F4604" s="1678"/>
      <c r="G4604" s="2470">
        <f>SUM(G4605:G4606)</f>
        <v>0</v>
      </c>
      <c r="H4604" s="1678"/>
      <c r="I4604" s="2470">
        <f>SUM(I4605:I4606)</f>
        <v>0</v>
      </c>
      <c r="J4604" s="1682"/>
      <c r="K4604" s="2470">
        <f>SUM(K4605:K4606)</f>
        <v>0</v>
      </c>
      <c r="L4604" s="1674"/>
      <c r="M4604" s="1687" t="s">
        <v>4074</v>
      </c>
      <c r="N4604" s="1669"/>
      <c r="O4604" s="1685"/>
      <c r="P4604" s="1695"/>
      <c r="U4604" s="1673"/>
      <c r="V4604" s="1674"/>
      <c r="W4604" s="1675"/>
      <c r="X4604" s="1674"/>
      <c r="Y4604" s="1674"/>
      <c r="Z4604" s="1674"/>
      <c r="AA4604" s="1674"/>
      <c r="AB4604" s="1674"/>
      <c r="AC4604" s="1674"/>
    </row>
    <row r="4605" spans="1:29" s="1672" customFormat="1" ht="15.6" hidden="1" customHeight="1" x14ac:dyDescent="0.25">
      <c r="A4605" s="1674"/>
      <c r="B4605" s="1674" t="s">
        <v>1172</v>
      </c>
      <c r="C4605" s="1674"/>
      <c r="D4605" s="1678"/>
      <c r="E4605" s="2471">
        <v>0</v>
      </c>
      <c r="F4605" s="1678"/>
      <c r="G4605" s="2471">
        <f>E4605</f>
        <v>0</v>
      </c>
      <c r="H4605" s="1678"/>
      <c r="I4605" s="2471">
        <v>0</v>
      </c>
      <c r="J4605" s="1682"/>
      <c r="K4605" s="2471">
        <f>I4605</f>
        <v>0</v>
      </c>
      <c r="L4605" s="1674"/>
      <c r="M4605" s="1690"/>
      <c r="N4605" s="1669"/>
      <c r="O4605" s="1685"/>
      <c r="P4605" s="1695"/>
      <c r="U4605" s="1673"/>
      <c r="V4605" s="1674"/>
      <c r="W4605" s="1675"/>
      <c r="X4605" s="1674"/>
      <c r="Y4605" s="1674"/>
      <c r="Z4605" s="1674"/>
      <c r="AA4605" s="1674"/>
      <c r="AB4605" s="1674"/>
      <c r="AC4605" s="1674"/>
    </row>
    <row r="4606" spans="1:29" s="1672" customFormat="1" ht="15.6" hidden="1" customHeight="1" x14ac:dyDescent="0.25">
      <c r="A4606" s="1674"/>
      <c r="B4606" s="1674" t="s">
        <v>1173</v>
      </c>
      <c r="C4606" s="1674"/>
      <c r="D4606" s="1678"/>
      <c r="E4606" s="2471">
        <v>0</v>
      </c>
      <c r="F4606" s="1678"/>
      <c r="G4606" s="2472">
        <f>E4606</f>
        <v>0</v>
      </c>
      <c r="H4606" s="1678"/>
      <c r="I4606" s="2471">
        <v>0</v>
      </c>
      <c r="J4606" s="1682"/>
      <c r="K4606" s="2472">
        <f>I4606</f>
        <v>0</v>
      </c>
      <c r="L4606" s="1674"/>
      <c r="M4606" s="1690"/>
      <c r="N4606" s="1669"/>
      <c r="O4606" s="1685"/>
      <c r="P4606" s="1695"/>
      <c r="U4606" s="1673"/>
      <c r="V4606" s="1674"/>
      <c r="W4606" s="1675"/>
      <c r="X4606" s="1674"/>
      <c r="Y4606" s="1674"/>
      <c r="Z4606" s="1674"/>
      <c r="AA4606" s="1674"/>
      <c r="AB4606" s="1674"/>
      <c r="AC4606" s="1674"/>
    </row>
    <row r="4607" spans="1:29" s="1672" customFormat="1" ht="15.6" hidden="1" customHeight="1" x14ac:dyDescent="0.25">
      <c r="A4607" s="1674"/>
      <c r="B4607" s="1674"/>
      <c r="C4607" s="1674"/>
      <c r="D4607" s="1678"/>
      <c r="E4607" s="2473"/>
      <c r="F4607" s="1678"/>
      <c r="G4607" s="2473"/>
      <c r="H4607" s="1678"/>
      <c r="I4607" s="2473"/>
      <c r="J4607" s="1682"/>
      <c r="K4607" s="2473"/>
      <c r="L4607" s="1674"/>
      <c r="M4607" s="1690"/>
      <c r="N4607" s="1669"/>
      <c r="O4607" s="1685"/>
      <c r="P4607" s="1695"/>
      <c r="U4607" s="1673"/>
      <c r="V4607" s="1674"/>
      <c r="W4607" s="1675"/>
      <c r="X4607" s="1674"/>
      <c r="Y4607" s="1674"/>
      <c r="Z4607" s="1674"/>
      <c r="AA4607" s="1674"/>
      <c r="AB4607" s="1674"/>
      <c r="AC4607" s="1674"/>
    </row>
    <row r="4608" spans="1:29" s="1672" customFormat="1" ht="15.6" customHeight="1" x14ac:dyDescent="0.25">
      <c r="A4608" s="1674"/>
      <c r="B4608" s="1677" t="s">
        <v>4072</v>
      </c>
      <c r="C4608" s="1674"/>
      <c r="D4608" s="1678"/>
      <c r="E4608" s="1679">
        <f>SUM(E4609:E4617)</f>
        <v>12921049.009999985</v>
      </c>
      <c r="F4608" s="1678"/>
      <c r="G4608" s="1679">
        <f>SUM(G4609:G4617)</f>
        <v>12921049.009999985</v>
      </c>
      <c r="H4608" s="1678"/>
      <c r="I4608" s="1679">
        <f>SUM(I4609:I4617)</f>
        <v>18605100.609999996</v>
      </c>
      <c r="J4608" s="1682"/>
      <c r="K4608" s="1679">
        <f>SUM(K4609:K4617)</f>
        <v>18605100.609999996</v>
      </c>
      <c r="L4608" s="1674"/>
      <c r="M4608" s="1687" t="s">
        <v>4074</v>
      </c>
      <c r="N4608" s="1669"/>
      <c r="O4608" s="1685"/>
      <c r="P4608" s="1695"/>
      <c r="U4608" s="1673"/>
      <c r="V4608" s="1674"/>
      <c r="W4608" s="1675"/>
      <c r="X4608" s="1674"/>
      <c r="Y4608" s="1674"/>
      <c r="Z4608" s="1674"/>
      <c r="AA4608" s="1674"/>
      <c r="AB4608" s="1674"/>
      <c r="AC4608" s="1674"/>
    </row>
    <row r="4609" spans="1:29" s="1672" customFormat="1" ht="15.6" hidden="1" customHeight="1" x14ac:dyDescent="0.25">
      <c r="A4609" s="1674"/>
      <c r="B4609" s="1674" t="s">
        <v>1174</v>
      </c>
      <c r="C4609" s="1674"/>
      <c r="D4609" s="1678"/>
      <c r="E4609" s="2474">
        <f>I4519</f>
        <v>0</v>
      </c>
      <c r="F4609" s="1678"/>
      <c r="G4609" s="2474">
        <f>E4609</f>
        <v>0</v>
      </c>
      <c r="H4609" s="1678"/>
      <c r="I4609" s="2474">
        <f>K4519</f>
        <v>0</v>
      </c>
      <c r="J4609" s="1682"/>
      <c r="K4609" s="2474">
        <f>I4609</f>
        <v>0</v>
      </c>
      <c r="L4609" s="1674"/>
      <c r="M4609" s="1690"/>
      <c r="N4609" s="1669"/>
      <c r="O4609" s="1685"/>
      <c r="P4609" s="1695"/>
      <c r="U4609" s="1673"/>
      <c r="V4609" s="1674"/>
      <c r="W4609" s="1675"/>
      <c r="X4609" s="1674"/>
      <c r="Y4609" s="1674"/>
      <c r="Z4609" s="1674"/>
      <c r="AA4609" s="1674"/>
      <c r="AB4609" s="1674"/>
      <c r="AC4609" s="1674"/>
    </row>
    <row r="4610" spans="1:29" s="1672" customFormat="1" ht="15.6" hidden="1" customHeight="1" x14ac:dyDescent="0.25">
      <c r="A4610" s="1674"/>
      <c r="B4610" s="1674" t="s">
        <v>275</v>
      </c>
      <c r="C4610" s="1674"/>
      <c r="D4610" s="1678"/>
      <c r="E4610" s="2471">
        <f>I4520</f>
        <v>0</v>
      </c>
      <c r="F4610" s="1678"/>
      <c r="G4610" s="2471">
        <f>E4610</f>
        <v>0</v>
      </c>
      <c r="H4610" s="1678"/>
      <c r="I4610" s="2471">
        <f>K4520</f>
        <v>0</v>
      </c>
      <c r="J4610" s="1682"/>
      <c r="K4610" s="2471">
        <f>I4610</f>
        <v>0</v>
      </c>
      <c r="L4610" s="1674"/>
      <c r="M4610" s="1690"/>
      <c r="N4610" s="1669"/>
      <c r="O4610" s="1685"/>
      <c r="P4610" s="1695"/>
      <c r="U4610" s="1673"/>
      <c r="V4610" s="1674"/>
      <c r="W4610" s="1675"/>
      <c r="X4610" s="1674"/>
      <c r="Y4610" s="1674"/>
      <c r="Z4610" s="1674"/>
      <c r="AA4610" s="1674"/>
      <c r="AB4610" s="1674"/>
      <c r="AC4610" s="1674"/>
    </row>
    <row r="4611" spans="1:29" s="1672" customFormat="1" ht="15.6" customHeight="1" x14ac:dyDescent="0.25">
      <c r="A4611" s="1674"/>
      <c r="B4611" s="1674" t="s">
        <v>1486</v>
      </c>
      <c r="C4611" s="1674"/>
      <c r="D4611" s="1678"/>
      <c r="E4611" s="2474">
        <f>I4521</f>
        <v>337109.16999999993</v>
      </c>
      <c r="F4611" s="1678"/>
      <c r="G4611" s="2474">
        <f>E4611</f>
        <v>337109.16999999993</v>
      </c>
      <c r="H4611" s="1678"/>
      <c r="I4611" s="2474">
        <f>K4521</f>
        <v>650325.60999999987</v>
      </c>
      <c r="J4611" s="1682"/>
      <c r="K4611" s="2474">
        <f>I4611</f>
        <v>650325.60999999987</v>
      </c>
      <c r="L4611" s="1674"/>
      <c r="M4611" s="1690"/>
      <c r="N4611" s="1669"/>
      <c r="O4611" s="1685"/>
      <c r="P4611" s="1695"/>
      <c r="U4611" s="1673"/>
      <c r="V4611" s="1674"/>
      <c r="W4611" s="1675"/>
      <c r="X4611" s="1674"/>
      <c r="Y4611" s="1674"/>
      <c r="Z4611" s="1674"/>
      <c r="AA4611" s="1674"/>
      <c r="AB4611" s="1674"/>
      <c r="AC4611" s="1674"/>
    </row>
    <row r="4612" spans="1:29" s="1672" customFormat="1" ht="15.6" customHeight="1" x14ac:dyDescent="0.25">
      <c r="A4612" s="1674"/>
      <c r="B4612" s="1674" t="s">
        <v>653</v>
      </c>
      <c r="C4612" s="1674"/>
      <c r="D4612" s="1678"/>
      <c r="E4612" s="2471">
        <f>I4522</f>
        <v>1227782.6599999999</v>
      </c>
      <c r="F4612" s="1678"/>
      <c r="G4612" s="2471">
        <f>E4612</f>
        <v>1227782.6599999999</v>
      </c>
      <c r="H4612" s="1678"/>
      <c r="I4612" s="2471">
        <f>K4522</f>
        <v>1425012.73</v>
      </c>
      <c r="J4612" s="1682"/>
      <c r="K4612" s="2471">
        <f>I4612</f>
        <v>1425012.73</v>
      </c>
      <c r="L4612" s="1674"/>
      <c r="M4612" s="1690"/>
      <c r="N4612" s="1669"/>
      <c r="O4612" s="1685"/>
      <c r="P4612" s="1695"/>
      <c r="U4612" s="1673"/>
      <c r="V4612" s="1674"/>
      <c r="W4612" s="1675"/>
      <c r="X4612" s="1674"/>
      <c r="Y4612" s="1674"/>
      <c r="Z4612" s="1674"/>
      <c r="AA4612" s="1674"/>
      <c r="AB4612" s="1674"/>
      <c r="AC4612" s="1674"/>
    </row>
    <row r="4613" spans="1:29" s="1672" customFormat="1" ht="15.6" customHeight="1" x14ac:dyDescent="0.25">
      <c r="A4613" s="1674"/>
      <c r="B4613" s="1674" t="s">
        <v>577</v>
      </c>
      <c r="C4613" s="1674"/>
      <c r="D4613" s="1678"/>
      <c r="E4613" s="2471">
        <f>I4523</f>
        <v>1214261.78</v>
      </c>
      <c r="F4613" s="1678"/>
      <c r="G4613" s="2471">
        <f>E4613</f>
        <v>1214261.78</v>
      </c>
      <c r="H4613" s="1678"/>
      <c r="I4613" s="2471">
        <f>K4523</f>
        <v>1337754.6399999999</v>
      </c>
      <c r="J4613" s="1682"/>
      <c r="K4613" s="2471">
        <f>I4613</f>
        <v>1337754.6399999999</v>
      </c>
      <c r="L4613" s="1674"/>
      <c r="M4613" s="1690"/>
      <c r="N4613" s="1669"/>
      <c r="O4613" s="1685"/>
      <c r="P4613" s="1695"/>
      <c r="U4613" s="1673"/>
      <c r="V4613" s="1674"/>
      <c r="W4613" s="1675"/>
      <c r="X4613" s="1674"/>
      <c r="Y4613" s="1674"/>
      <c r="Z4613" s="1674"/>
      <c r="AA4613" s="1674"/>
      <c r="AB4613" s="1674"/>
      <c r="AC4613" s="1674"/>
    </row>
    <row r="4614" spans="1:29" s="1672" customFormat="1" ht="15.6" customHeight="1" x14ac:dyDescent="0.25">
      <c r="A4614" s="1674"/>
      <c r="B4614" s="1674" t="s">
        <v>1175</v>
      </c>
      <c r="C4614" s="1674"/>
      <c r="D4614" s="1678"/>
      <c r="E4614" s="2471"/>
      <c r="F4614" s="1678"/>
      <c r="G4614" s="2471"/>
      <c r="H4614" s="1678"/>
      <c r="I4614" s="2471"/>
      <c r="J4614" s="1682"/>
      <c r="K4614" s="2471"/>
      <c r="L4614" s="1674"/>
      <c r="M4614" s="1690"/>
      <c r="N4614" s="1669"/>
      <c r="O4614" s="1685"/>
      <c r="P4614" s="1695"/>
      <c r="U4614" s="1673"/>
      <c r="V4614" s="1674"/>
      <c r="W4614" s="1675"/>
      <c r="X4614" s="1674"/>
      <c r="Y4614" s="1674"/>
      <c r="Z4614" s="1674"/>
      <c r="AA4614" s="1674"/>
      <c r="AB4614" s="1674"/>
      <c r="AC4614" s="1674"/>
    </row>
    <row r="4615" spans="1:29" s="1672" customFormat="1" ht="15.6" customHeight="1" x14ac:dyDescent="0.25">
      <c r="A4615" s="1674"/>
      <c r="B4615" s="1674" t="s">
        <v>1176</v>
      </c>
      <c r="C4615" s="1674"/>
      <c r="D4615" s="1678"/>
      <c r="E4615" s="2471">
        <f>SUM(I4525:I4528)</f>
        <v>9644751.3999999855</v>
      </c>
      <c r="F4615" s="1678"/>
      <c r="G4615" s="2471">
        <f>E4615</f>
        <v>9644751.3999999855</v>
      </c>
      <c r="H4615" s="1678"/>
      <c r="I4615" s="2471">
        <f>SUM(K4525:K4528)</f>
        <v>14430296.629999997</v>
      </c>
      <c r="J4615" s="1682"/>
      <c r="K4615" s="2471">
        <f>I4615</f>
        <v>14430296.629999997</v>
      </c>
      <c r="L4615" s="1674"/>
      <c r="M4615" s="1690"/>
      <c r="N4615" s="1669"/>
      <c r="O4615" s="1685"/>
      <c r="P4615" s="1695"/>
      <c r="U4615" s="1673"/>
      <c r="V4615" s="1674"/>
      <c r="W4615" s="1675"/>
      <c r="X4615" s="1674"/>
      <c r="Y4615" s="1674"/>
      <c r="Z4615" s="1674"/>
      <c r="AA4615" s="1674"/>
      <c r="AB4615" s="1674"/>
      <c r="AC4615" s="1674"/>
    </row>
    <row r="4616" spans="1:29" s="1672" customFormat="1" ht="15.6" customHeight="1" x14ac:dyDescent="0.25">
      <c r="A4616" s="1674"/>
      <c r="B4616" s="1674" t="s">
        <v>1177</v>
      </c>
      <c r="C4616" s="1674"/>
      <c r="D4616" s="1678"/>
      <c r="E4616" s="2471">
        <f>SUM(I4530:I4531)</f>
        <v>0</v>
      </c>
      <c r="F4616" s="1678"/>
      <c r="G4616" s="2471">
        <f>E4616</f>
        <v>0</v>
      </c>
      <c r="H4616" s="1678"/>
      <c r="I4616" s="2471">
        <f>SUM(K4530:K4531)</f>
        <v>0</v>
      </c>
      <c r="J4616" s="1682"/>
      <c r="K4616" s="2471">
        <f>I4616</f>
        <v>0</v>
      </c>
      <c r="L4616" s="1674"/>
      <c r="M4616" s="1690"/>
      <c r="N4616" s="1669"/>
      <c r="O4616" s="1685"/>
      <c r="P4616" s="1695"/>
      <c r="U4616" s="1673"/>
      <c r="V4616" s="1674"/>
      <c r="W4616" s="1675"/>
      <c r="X4616" s="1674"/>
      <c r="Y4616" s="1674"/>
      <c r="Z4616" s="1674"/>
      <c r="AA4616" s="1674"/>
      <c r="AB4616" s="1674"/>
      <c r="AC4616" s="1674"/>
    </row>
    <row r="4617" spans="1:29" s="1672" customFormat="1" ht="15.6" customHeight="1" x14ac:dyDescent="0.25">
      <c r="A4617" s="1674"/>
      <c r="B4617" s="1674" t="s">
        <v>1178</v>
      </c>
      <c r="C4617" s="1674"/>
      <c r="D4617" s="1678"/>
      <c r="E4617" s="2472">
        <f>SUM(I4533:I4537)</f>
        <v>497144</v>
      </c>
      <c r="F4617" s="1678"/>
      <c r="G4617" s="2472">
        <f>E4617</f>
        <v>497144</v>
      </c>
      <c r="H4617" s="1678"/>
      <c r="I4617" s="2472">
        <f>SUM(K4533:K4537)</f>
        <v>761711</v>
      </c>
      <c r="J4617" s="1682"/>
      <c r="K4617" s="2472">
        <f>I4617</f>
        <v>761711</v>
      </c>
      <c r="L4617" s="1674"/>
      <c r="M4617" s="1690"/>
      <c r="N4617" s="1669"/>
      <c r="O4617" s="1685"/>
      <c r="P4617" s="1695"/>
      <c r="U4617" s="1673"/>
      <c r="V4617" s="1674"/>
      <c r="W4617" s="1675"/>
      <c r="X4617" s="1674"/>
      <c r="Y4617" s="1674"/>
      <c r="Z4617" s="1674"/>
      <c r="AA4617" s="1674"/>
      <c r="AB4617" s="1674"/>
      <c r="AC4617" s="1674"/>
    </row>
    <row r="4618" spans="1:29" s="1672" customFormat="1" ht="15.6" customHeight="1" x14ac:dyDescent="0.25">
      <c r="A4618" s="1674"/>
      <c r="B4618" s="1674"/>
      <c r="C4618" s="1674"/>
      <c r="D4618" s="1678"/>
      <c r="E4618" s="2473"/>
      <c r="F4618" s="1678"/>
      <c r="G4618" s="2473"/>
      <c r="H4618" s="1678"/>
      <c r="I4618" s="2473"/>
      <c r="J4618" s="1682"/>
      <c r="K4618" s="2473"/>
      <c r="L4618" s="1674"/>
      <c r="M4618" s="1690"/>
      <c r="N4618" s="1669"/>
      <c r="O4618" s="1685"/>
      <c r="P4618" s="1695"/>
      <c r="U4618" s="1673"/>
      <c r="V4618" s="1674"/>
      <c r="W4618" s="1675"/>
      <c r="X4618" s="1674"/>
      <c r="Y4618" s="1674"/>
      <c r="Z4618" s="1674"/>
      <c r="AA4618" s="1674"/>
      <c r="AB4618" s="1674"/>
      <c r="AC4618" s="1674"/>
    </row>
    <row r="4619" spans="1:29" s="1672" customFormat="1" ht="15.6" customHeight="1" x14ac:dyDescent="0.25">
      <c r="A4619" s="1674"/>
      <c r="B4619" s="1677" t="s">
        <v>4073</v>
      </c>
      <c r="C4619" s="1674"/>
      <c r="D4619" s="1678"/>
      <c r="E4619" s="2470">
        <f>SUM(E4620:E4622)</f>
        <v>4666004.62</v>
      </c>
      <c r="F4619" s="1678"/>
      <c r="G4619" s="2470">
        <f>SUM(G4620:G4622)</f>
        <v>4666004.62</v>
      </c>
      <c r="H4619" s="1678"/>
      <c r="I4619" s="2470">
        <f>SUM(I4620:I4622)</f>
        <v>2469347.6199999996</v>
      </c>
      <c r="J4619" s="1682"/>
      <c r="K4619" s="2470">
        <f>SUM(K4620:K4622)</f>
        <v>2469347.6199999996</v>
      </c>
      <c r="L4619" s="1674"/>
      <c r="M4619" s="1690"/>
      <c r="N4619" s="1669"/>
      <c r="O4619" s="1685"/>
      <c r="P4619" s="1695"/>
      <c r="U4619" s="1673"/>
      <c r="V4619" s="1674"/>
      <c r="W4619" s="1675"/>
      <c r="X4619" s="1674"/>
      <c r="Y4619" s="1674"/>
      <c r="Z4619" s="1674"/>
      <c r="AA4619" s="1674"/>
      <c r="AB4619" s="1674"/>
      <c r="AC4619" s="1674"/>
    </row>
    <row r="4620" spans="1:29" s="1672" customFormat="1" ht="15.6" customHeight="1" x14ac:dyDescent="0.25">
      <c r="A4620" s="1674"/>
      <c r="B4620" s="1674" t="s">
        <v>2461</v>
      </c>
      <c r="C4620" s="1674"/>
      <c r="D4620" s="1678"/>
      <c r="E4620" s="2471">
        <f>I4542</f>
        <v>586245.13000000012</v>
      </c>
      <c r="F4620" s="1678"/>
      <c r="G4620" s="2471">
        <f>E4620</f>
        <v>586245.13000000012</v>
      </c>
      <c r="H4620" s="1678"/>
      <c r="I4620" s="2471">
        <f>K4542</f>
        <v>239710.54</v>
      </c>
      <c r="J4620" s="1682"/>
      <c r="K4620" s="2471">
        <f>I4620</f>
        <v>239710.54</v>
      </c>
      <c r="L4620" s="1674"/>
      <c r="M4620" s="1690"/>
      <c r="N4620" s="1669"/>
      <c r="O4620" s="1685"/>
      <c r="P4620" s="1695"/>
      <c r="U4620" s="1673"/>
      <c r="V4620" s="1674"/>
      <c r="W4620" s="1675"/>
      <c r="X4620" s="1674"/>
      <c r="Y4620" s="1674"/>
      <c r="Z4620" s="1674"/>
      <c r="AA4620" s="1674"/>
      <c r="AB4620" s="1674"/>
      <c r="AC4620" s="1674"/>
    </row>
    <row r="4621" spans="1:29" s="1672" customFormat="1" ht="15.6" customHeight="1" x14ac:dyDescent="0.25">
      <c r="A4621" s="1674"/>
      <c r="B4621" s="1674" t="s">
        <v>393</v>
      </c>
      <c r="C4621" s="1674"/>
      <c r="D4621" s="1678"/>
      <c r="E4621" s="2471">
        <f>I4543</f>
        <v>164402.49</v>
      </c>
      <c r="F4621" s="1678"/>
      <c r="G4621" s="2471">
        <f>E4621</f>
        <v>164402.49</v>
      </c>
      <c r="H4621" s="1678"/>
      <c r="I4621" s="2471">
        <f>K4543</f>
        <v>163971.03999999998</v>
      </c>
      <c r="J4621" s="1682"/>
      <c r="K4621" s="2471">
        <f>I4621</f>
        <v>163971.03999999998</v>
      </c>
      <c r="L4621" s="1674"/>
      <c r="M4621" s="1690"/>
      <c r="N4621" s="1669"/>
      <c r="O4621" s="1685"/>
      <c r="P4621" s="1695"/>
      <c r="U4621" s="1673"/>
      <c r="V4621" s="1674"/>
      <c r="W4621" s="1675"/>
      <c r="X4621" s="1674"/>
      <c r="Y4621" s="1674"/>
      <c r="Z4621" s="1674"/>
      <c r="AA4621" s="1674"/>
      <c r="AB4621" s="1674"/>
      <c r="AC4621" s="1674"/>
    </row>
    <row r="4622" spans="1:29" s="1672" customFormat="1" ht="15.6" customHeight="1" x14ac:dyDescent="0.25">
      <c r="A4622" s="1674"/>
      <c r="B4622" s="1674" t="s">
        <v>395</v>
      </c>
      <c r="C4622" s="1674"/>
      <c r="D4622" s="1678"/>
      <c r="E4622" s="2472">
        <f>I4544</f>
        <v>3915357</v>
      </c>
      <c r="F4622" s="1678"/>
      <c r="G4622" s="2472">
        <f>E4622</f>
        <v>3915357</v>
      </c>
      <c r="H4622" s="1678"/>
      <c r="I4622" s="2472">
        <f>K4544</f>
        <v>2065666.0399999998</v>
      </c>
      <c r="J4622" s="1682"/>
      <c r="K4622" s="2472">
        <f>I4622</f>
        <v>2065666.0399999998</v>
      </c>
      <c r="L4622" s="1674"/>
      <c r="M4622" s="1690"/>
      <c r="N4622" s="1669"/>
      <c r="O4622" s="1685"/>
      <c r="P4622" s="1695"/>
      <c r="U4622" s="1673"/>
      <c r="V4622" s="1674"/>
      <c r="W4622" s="1675"/>
      <c r="X4622" s="1674"/>
      <c r="Y4622" s="1674"/>
      <c r="Z4622" s="1674"/>
      <c r="AA4622" s="1674"/>
      <c r="AB4622" s="1674"/>
      <c r="AC4622" s="1674"/>
    </row>
    <row r="4623" spans="1:29" s="1672" customFormat="1" ht="15.6" customHeight="1" x14ac:dyDescent="0.25">
      <c r="A4623" s="1674"/>
      <c r="B4623" s="1674"/>
      <c r="C4623" s="1674"/>
      <c r="D4623" s="1678"/>
      <c r="E4623" s="2473"/>
      <c r="F4623" s="1678"/>
      <c r="G4623" s="2473"/>
      <c r="H4623" s="1678"/>
      <c r="I4623" s="2473"/>
      <c r="J4623" s="1682"/>
      <c r="K4623" s="2473"/>
      <c r="L4623" s="1674"/>
      <c r="M4623" s="1690"/>
      <c r="N4623" s="1669"/>
      <c r="O4623" s="1685"/>
      <c r="P4623" s="1695"/>
      <c r="U4623" s="1673"/>
      <c r="V4623" s="1674"/>
      <c r="W4623" s="1675"/>
      <c r="X4623" s="1674"/>
      <c r="Y4623" s="1674"/>
      <c r="Z4623" s="1674"/>
      <c r="AA4623" s="1674"/>
      <c r="AB4623" s="1674"/>
      <c r="AC4623" s="1674"/>
    </row>
    <row r="4624" spans="1:29" s="1672" customFormat="1" ht="15.6" customHeight="1" thickBot="1" x14ac:dyDescent="0.3">
      <c r="A4624" s="1674"/>
      <c r="B4624" s="1677" t="s">
        <v>1167</v>
      </c>
      <c r="C4624" s="1674"/>
      <c r="D4624" s="1678"/>
      <c r="E4624" s="1697">
        <f>SUM(E4604,E4608,E4619)</f>
        <v>17587053.629999984</v>
      </c>
      <c r="F4624" s="1682"/>
      <c r="G4624" s="1697">
        <f>SUM(G4604,G4608,G4619)</f>
        <v>17587053.629999984</v>
      </c>
      <c r="H4624" s="1678"/>
      <c r="I4624" s="1697">
        <f>SUM(I4604,I4608,I4619)</f>
        <v>21074448.229999997</v>
      </c>
      <c r="J4624" s="1682"/>
      <c r="K4624" s="1697">
        <f>SUM(K4604,K4608,K4619)</f>
        <v>21074448.229999997</v>
      </c>
      <c r="L4624" s="1674"/>
      <c r="M4624" s="1690"/>
      <c r="N4624" s="1669"/>
      <c r="O4624" s="1685"/>
      <c r="P4624" s="1695"/>
      <c r="U4624" s="1673"/>
      <c r="V4624" s="1674"/>
      <c r="W4624" s="1675"/>
      <c r="X4624" s="1674"/>
      <c r="Y4624" s="1674"/>
      <c r="Z4624" s="1674"/>
      <c r="AA4624" s="1674"/>
      <c r="AB4624" s="1674"/>
      <c r="AC4624" s="1674"/>
    </row>
    <row r="4625" spans="1:29" s="1672" customFormat="1" ht="15.6" customHeight="1" thickTop="1" x14ac:dyDescent="0.25">
      <c r="A4625" s="1674"/>
      <c r="B4625" s="1674"/>
      <c r="C4625" s="1674"/>
      <c r="D4625" s="1678"/>
      <c r="E4625" s="265">
        <f>E4624-I4548</f>
        <v>0</v>
      </c>
      <c r="F4625" s="1678"/>
      <c r="G4625" s="1678"/>
      <c r="H4625" s="1678"/>
      <c r="I4625" s="265">
        <f>I4624-K4548</f>
        <v>0</v>
      </c>
      <c r="J4625" s="1699"/>
      <c r="K4625" s="265"/>
      <c r="L4625" s="1674"/>
      <c r="M4625" s="1690"/>
      <c r="N4625" s="1669"/>
      <c r="O4625" s="1685"/>
      <c r="P4625" s="1695"/>
      <c r="U4625" s="1673"/>
      <c r="V4625" s="1674"/>
      <c r="W4625" s="1675"/>
      <c r="X4625" s="1674"/>
      <c r="Y4625" s="1674"/>
      <c r="Z4625" s="1674"/>
      <c r="AA4625" s="1674"/>
      <c r="AB4625" s="1674"/>
      <c r="AC4625" s="1674"/>
    </row>
    <row r="4626" spans="1:29" s="1672" customFormat="1" ht="15.6" customHeight="1" thickBot="1" x14ac:dyDescent="0.3">
      <c r="A4626" s="1674"/>
      <c r="B4626" s="1677" t="s">
        <v>1179</v>
      </c>
      <c r="C4626" s="1674"/>
      <c r="D4626" s="1678"/>
      <c r="E4626" s="1697">
        <f>SUM(E4601-E4624)</f>
        <v>-15974809.949999988</v>
      </c>
      <c r="F4626" s="1682"/>
      <c r="G4626" s="1697">
        <f>SUM(G4601-G4624)</f>
        <v>-15974809.949999988</v>
      </c>
      <c r="H4626" s="1678"/>
      <c r="I4626" s="1697">
        <f>SUM(I4601-I4624)</f>
        <v>-10104057.907284828</v>
      </c>
      <c r="J4626" s="1682"/>
      <c r="K4626" s="1697">
        <f>SUM(K4601-K4624)</f>
        <v>-10104057.907284828</v>
      </c>
      <c r="L4626" s="1674"/>
      <c r="M4626" s="1690"/>
      <c r="N4626" s="1669"/>
      <c r="O4626" s="1685"/>
      <c r="P4626" s="1695"/>
      <c r="U4626" s="1673"/>
      <c r="V4626" s="1674"/>
      <c r="W4626" s="1675"/>
      <c r="X4626" s="1674"/>
      <c r="Y4626" s="1674"/>
      <c r="Z4626" s="1674"/>
      <c r="AA4626" s="1674"/>
      <c r="AB4626" s="1674"/>
      <c r="AC4626" s="1674"/>
    </row>
    <row r="4627" spans="1:29" s="1672" customFormat="1" ht="15.6" customHeight="1" thickTop="1" x14ac:dyDescent="0.25">
      <c r="A4627" s="1674"/>
      <c r="B4627" s="1674"/>
      <c r="C4627" s="1674"/>
      <c r="D4627" s="1678"/>
      <c r="E4627" s="1674"/>
      <c r="F4627" s="1678"/>
      <c r="G4627" s="1678"/>
      <c r="H4627" s="1678"/>
      <c r="I4627" s="265"/>
      <c r="J4627" s="1699"/>
      <c r="K4627" s="265"/>
      <c r="L4627" s="1674"/>
      <c r="M4627" s="1690"/>
      <c r="N4627" s="1669"/>
      <c r="O4627" s="1685"/>
      <c r="P4627" s="1695"/>
      <c r="U4627" s="1673"/>
      <c r="V4627" s="1674"/>
      <c r="W4627" s="1675"/>
      <c r="X4627" s="1674"/>
      <c r="Y4627" s="1674"/>
      <c r="Z4627" s="1674"/>
      <c r="AA4627" s="1674"/>
      <c r="AB4627" s="1674"/>
      <c r="AC4627" s="1674"/>
    </row>
    <row r="4628" spans="1:29" s="1672" customFormat="1" ht="15.6" customHeight="1" thickBot="1" x14ac:dyDescent="0.3">
      <c r="A4628" s="1674"/>
      <c r="B4628" s="1677" t="s">
        <v>1180</v>
      </c>
      <c r="C4628" s="1674"/>
      <c r="D4628" s="1678"/>
      <c r="E4628" s="1674"/>
      <c r="F4628" s="1678"/>
      <c r="G4628" s="1698">
        <f>G4626-E4626</f>
        <v>0</v>
      </c>
      <c r="H4628" s="1678"/>
      <c r="I4628" s="265"/>
      <c r="J4628" s="1699"/>
      <c r="K4628" s="1698">
        <f>K4626-I4626</f>
        <v>0</v>
      </c>
      <c r="L4628" s="1674"/>
      <c r="M4628" s="1690"/>
      <c r="N4628" s="1669"/>
      <c r="O4628" s="1685"/>
      <c r="P4628" s="1695"/>
      <c r="U4628" s="1673"/>
      <c r="V4628" s="1674"/>
      <c r="W4628" s="1675"/>
      <c r="X4628" s="1674"/>
      <c r="Y4628" s="1674"/>
      <c r="Z4628" s="1674"/>
      <c r="AA4628" s="1674"/>
      <c r="AB4628" s="1674"/>
      <c r="AC4628" s="1674"/>
    </row>
    <row r="4629" spans="1:29" s="1672" customFormat="1" ht="15.6" customHeight="1" thickTop="1" x14ac:dyDescent="0.25">
      <c r="A4629" s="1674"/>
      <c r="B4629" s="1674"/>
      <c r="C4629" s="1674"/>
      <c r="D4629" s="1678"/>
      <c r="E4629" s="1674"/>
      <c r="F4629" s="1678"/>
      <c r="G4629" s="1678"/>
      <c r="H4629" s="1678"/>
      <c r="I4629" s="265"/>
      <c r="J4629" s="1699"/>
      <c r="K4629" s="265"/>
      <c r="L4629" s="1674"/>
      <c r="M4629" s="1690"/>
      <c r="N4629" s="1669"/>
      <c r="O4629" s="1685"/>
      <c r="P4629" s="1695"/>
      <c r="U4629" s="1673"/>
      <c r="V4629" s="1674"/>
      <c r="W4629" s="1675"/>
      <c r="X4629" s="1674"/>
      <c r="Y4629" s="1674"/>
      <c r="Z4629" s="1674"/>
      <c r="AA4629" s="1674"/>
      <c r="AB4629" s="1674"/>
      <c r="AC4629" s="1674"/>
    </row>
    <row r="4630" spans="1:29" s="1672" customFormat="1" ht="15.6" customHeight="1" x14ac:dyDescent="0.25">
      <c r="A4630" s="1674"/>
      <c r="B4630" s="2958" t="s">
        <v>7413</v>
      </c>
      <c r="C4630" s="2958"/>
      <c r="D4630" s="2958"/>
      <c r="E4630" s="2958"/>
      <c r="F4630" s="2958"/>
      <c r="G4630" s="2958"/>
      <c r="H4630" s="2958"/>
      <c r="I4630" s="2958"/>
      <c r="J4630" s="2958"/>
      <c r="K4630" s="2958"/>
      <c r="L4630" s="1674"/>
      <c r="M4630" s="1700" t="s">
        <v>4075</v>
      </c>
      <c r="N4630" s="1669"/>
      <c r="O4630" s="1685"/>
      <c r="P4630" s="1695"/>
      <c r="U4630" s="1673"/>
      <c r="V4630" s="1674"/>
      <c r="W4630" s="1675"/>
      <c r="X4630" s="1674"/>
      <c r="Y4630" s="1674"/>
      <c r="Z4630" s="1674"/>
      <c r="AA4630" s="1674"/>
      <c r="AB4630" s="1674"/>
      <c r="AC4630" s="1674"/>
    </row>
    <row r="4631" spans="1:29" s="1672" customFormat="1" ht="15.6" hidden="1" customHeight="1" x14ac:dyDescent="0.25">
      <c r="A4631" s="1674"/>
      <c r="B4631" s="2959" t="s">
        <v>2389</v>
      </c>
      <c r="C4631" s="2959"/>
      <c r="D4631" s="2959"/>
      <c r="E4631" s="2959"/>
      <c r="F4631" s="2959"/>
      <c r="G4631" s="2959"/>
      <c r="H4631" s="2959"/>
      <c r="I4631" s="2959"/>
      <c r="J4631" s="2959"/>
      <c r="K4631" s="2959"/>
      <c r="L4631" s="1674"/>
      <c r="M4631" s="1700" t="s">
        <v>4075</v>
      </c>
      <c r="N4631" s="1669"/>
      <c r="O4631" s="1685"/>
      <c r="P4631" s="1695"/>
      <c r="U4631" s="1673"/>
      <c r="V4631" s="1674"/>
      <c r="W4631" s="1675"/>
      <c r="X4631" s="1674"/>
      <c r="Y4631" s="1674"/>
      <c r="Z4631" s="1674"/>
      <c r="AA4631" s="1674"/>
      <c r="AB4631" s="1674"/>
      <c r="AC4631" s="1674"/>
    </row>
    <row r="4632" spans="1:29" s="1674" customFormat="1" ht="15.6" customHeight="1" x14ac:dyDescent="0.25">
      <c r="A4632" s="1684"/>
      <c r="B4632" s="1684"/>
      <c r="C4632" s="1684"/>
      <c r="D4632" s="1684"/>
      <c r="E4632" s="1684"/>
      <c r="F4632" s="1684"/>
      <c r="G4632" s="1684"/>
      <c r="H4632" s="1684"/>
      <c r="I4632" s="58"/>
      <c r="J4632" s="1679"/>
      <c r="K4632" s="58"/>
      <c r="L4632" s="1684"/>
      <c r="M4632" s="1690"/>
      <c r="N4632" s="1669"/>
      <c r="O4632" s="1685"/>
      <c r="P4632" s="1695"/>
      <c r="Q4632" s="1672"/>
      <c r="R4632" s="1672"/>
      <c r="S4632" s="1672"/>
      <c r="T4632" s="1672"/>
      <c r="U4632" s="1673"/>
      <c r="W4632" s="1675"/>
    </row>
    <row r="4633" spans="1:29" s="1674" customFormat="1" ht="15.6" customHeight="1" x14ac:dyDescent="0.25">
      <c r="B4633" s="1701" t="s">
        <v>1181</v>
      </c>
      <c r="C4633" s="1677"/>
      <c r="D4633" s="1678"/>
      <c r="F4633" s="1678"/>
      <c r="G4633" s="1678"/>
      <c r="H4633" s="1678"/>
      <c r="I4633" s="58"/>
      <c r="J4633" s="1679"/>
      <c r="K4633" s="58"/>
      <c r="M4633" s="1700" t="s">
        <v>4076</v>
      </c>
      <c r="N4633" s="1669"/>
      <c r="O4633" s="1685"/>
      <c r="P4633" s="1695"/>
      <c r="Q4633" s="1672"/>
      <c r="R4633" s="1672"/>
      <c r="S4633" s="1672"/>
      <c r="T4633" s="1672"/>
      <c r="U4633" s="1673"/>
      <c r="W4633" s="1675"/>
    </row>
    <row r="4634" spans="1:29" s="1674" customFormat="1" ht="15.6" customHeight="1" x14ac:dyDescent="0.25">
      <c r="A4634" s="1684"/>
      <c r="B4634" s="1684"/>
      <c r="C4634" s="1684"/>
      <c r="D4634" s="1684"/>
      <c r="E4634" s="1684"/>
      <c r="F4634" s="1684"/>
      <c r="G4634" s="1684"/>
      <c r="H4634" s="1684"/>
      <c r="I4634" s="58"/>
      <c r="J4634" s="1679"/>
      <c r="K4634" s="58"/>
      <c r="L4634" s="1684"/>
      <c r="M4634" s="1690"/>
      <c r="N4634" s="1669"/>
      <c r="O4634" s="1685"/>
      <c r="P4634" s="1695"/>
      <c r="Q4634" s="1672"/>
      <c r="R4634" s="1672"/>
      <c r="S4634" s="1672"/>
      <c r="T4634" s="1672"/>
      <c r="U4634" s="1673"/>
      <c r="W4634" s="1675"/>
    </row>
    <row r="4635" spans="1:29" s="1674" customFormat="1" ht="46.5" customHeight="1" x14ac:dyDescent="0.25">
      <c r="A4635" s="1684"/>
      <c r="B4635" s="2949" t="s">
        <v>4077</v>
      </c>
      <c r="C4635" s="2949"/>
      <c r="D4635" s="2949"/>
      <c r="E4635" s="2949"/>
      <c r="F4635" s="2949"/>
      <c r="G4635" s="2949"/>
      <c r="H4635" s="2949"/>
      <c r="I4635" s="2949"/>
      <c r="J4635" s="2949"/>
      <c r="K4635" s="2949"/>
      <c r="L4635" s="1684"/>
      <c r="M4635" s="1702"/>
      <c r="N4635" s="1669"/>
      <c r="O4635" s="1685"/>
      <c r="P4635" s="1695"/>
      <c r="Q4635" s="1672"/>
      <c r="R4635" s="1672"/>
      <c r="S4635" s="1672"/>
      <c r="T4635" s="1672"/>
      <c r="U4635" s="1673"/>
      <c r="W4635" s="1675"/>
    </row>
    <row r="4636" spans="1:29" s="1674" customFormat="1" ht="15.6" customHeight="1" x14ac:dyDescent="0.25">
      <c r="D4636" s="1678"/>
      <c r="F4636" s="1678"/>
      <c r="G4636" s="1678"/>
      <c r="H4636" s="1678"/>
      <c r="I4636" s="58"/>
      <c r="J4636" s="1682"/>
      <c r="K4636" s="58"/>
      <c r="M4636" s="1690"/>
      <c r="N4636" s="1669"/>
      <c r="O4636" s="1685"/>
      <c r="P4636" s="1695"/>
      <c r="Q4636" s="1672"/>
      <c r="R4636" s="1672"/>
      <c r="S4636" s="1672"/>
      <c r="T4636" s="1672"/>
      <c r="U4636" s="1673"/>
      <c r="W4636" s="1675"/>
    </row>
    <row r="4637" spans="1:29" s="1674" customFormat="1" ht="15.6" customHeight="1" x14ac:dyDescent="0.25">
      <c r="A4637" s="1684"/>
      <c r="B4637" s="2949" t="s">
        <v>2390</v>
      </c>
      <c r="C4637" s="2949"/>
      <c r="D4637" s="2949"/>
      <c r="E4637" s="2949"/>
      <c r="F4637" s="2949"/>
      <c r="G4637" s="2949"/>
      <c r="H4637" s="2949"/>
      <c r="I4637" s="2949"/>
      <c r="J4637" s="2949"/>
      <c r="K4637" s="2949"/>
      <c r="L4637" s="1684"/>
      <c r="M4637" s="1711"/>
      <c r="N4637" s="1669"/>
      <c r="O4637" s="1685"/>
      <c r="P4637" s="1695"/>
      <c r="Q4637" s="1672"/>
      <c r="R4637" s="1672"/>
      <c r="S4637" s="1672"/>
      <c r="T4637" s="1672"/>
      <c r="U4637" s="1673"/>
      <c r="W4637" s="1675"/>
    </row>
    <row r="4638" spans="1:29" s="1674" customFormat="1" ht="15.6" customHeight="1" x14ac:dyDescent="0.25">
      <c r="A4638" s="1684"/>
      <c r="B4638" s="2949" t="s">
        <v>2391</v>
      </c>
      <c r="C4638" s="2949"/>
      <c r="D4638" s="2949"/>
      <c r="E4638" s="2949"/>
      <c r="F4638" s="2949"/>
      <c r="G4638" s="2949"/>
      <c r="H4638" s="2949"/>
      <c r="I4638" s="2949"/>
      <c r="J4638" s="2949"/>
      <c r="K4638" s="2949"/>
      <c r="L4638" s="1684"/>
      <c r="M4638" s="1702"/>
      <c r="N4638" s="1669"/>
      <c r="O4638" s="1685"/>
      <c r="P4638" s="1695"/>
      <c r="Q4638" s="1672"/>
      <c r="R4638" s="1672"/>
      <c r="S4638" s="1672"/>
      <c r="T4638" s="1672"/>
      <c r="U4638" s="1673"/>
      <c r="W4638" s="1675"/>
    </row>
    <row r="4639" spans="1:29" s="1674" customFormat="1" ht="15.6" customHeight="1" x14ac:dyDescent="0.25">
      <c r="D4639" s="1678"/>
      <c r="F4639" s="1678"/>
      <c r="G4639" s="1678"/>
      <c r="H4639" s="1678"/>
      <c r="I4639" s="58"/>
      <c r="J4639" s="1682"/>
      <c r="K4639" s="58"/>
      <c r="M4639" s="1690"/>
      <c r="N4639" s="1669"/>
      <c r="O4639" s="1685"/>
      <c r="P4639" s="1695"/>
      <c r="Q4639" s="1672"/>
      <c r="R4639" s="1672"/>
      <c r="S4639" s="1672"/>
      <c r="T4639" s="1672"/>
      <c r="U4639" s="1673"/>
      <c r="W4639" s="1675"/>
    </row>
    <row r="4640" spans="1:29" s="1674" customFormat="1" ht="15.6" customHeight="1" x14ac:dyDescent="0.25">
      <c r="A4640" s="1684"/>
      <c r="B4640" s="2949" t="s">
        <v>2392</v>
      </c>
      <c r="C4640" s="2949"/>
      <c r="D4640" s="2949"/>
      <c r="E4640" s="2949"/>
      <c r="F4640" s="2949"/>
      <c r="G4640" s="2949"/>
      <c r="H4640" s="2949"/>
      <c r="I4640" s="2949"/>
      <c r="J4640" s="2949"/>
      <c r="K4640" s="2949"/>
      <c r="L4640" s="1684"/>
      <c r="M4640" s="1702"/>
      <c r="N4640" s="1669"/>
      <c r="O4640" s="1685"/>
      <c r="P4640" s="1695"/>
      <c r="Q4640" s="1672"/>
      <c r="R4640" s="1672"/>
      <c r="S4640" s="1672"/>
      <c r="T4640" s="1672"/>
      <c r="U4640" s="1673"/>
      <c r="W4640" s="1675"/>
    </row>
    <row r="4641" spans="1:29" s="1674" customFormat="1" ht="62.1" customHeight="1" x14ac:dyDescent="0.25">
      <c r="A4641" s="1684"/>
      <c r="B4641" s="2949" t="s">
        <v>2393</v>
      </c>
      <c r="C4641" s="2949"/>
      <c r="D4641" s="2949"/>
      <c r="E4641" s="2949"/>
      <c r="F4641" s="2949"/>
      <c r="G4641" s="2949"/>
      <c r="H4641" s="2949"/>
      <c r="I4641" s="2949"/>
      <c r="J4641" s="2949"/>
      <c r="K4641" s="2949"/>
      <c r="L4641" s="1684"/>
      <c r="M4641" s="1702"/>
      <c r="N4641" s="1669"/>
      <c r="O4641" s="1685"/>
      <c r="P4641" s="1695"/>
      <c r="Q4641" s="1672"/>
      <c r="R4641" s="1672"/>
      <c r="S4641" s="1672"/>
      <c r="T4641" s="1672"/>
      <c r="U4641" s="1673"/>
      <c r="W4641" s="1675"/>
    </row>
    <row r="4642" spans="1:29" s="1674" customFormat="1" ht="15.6" customHeight="1" x14ac:dyDescent="0.25">
      <c r="D4642" s="1678"/>
      <c r="F4642" s="1678"/>
      <c r="G4642" s="1678"/>
      <c r="H4642" s="1678"/>
      <c r="I4642" s="58"/>
      <c r="J4642" s="1682"/>
      <c r="K4642" s="58"/>
      <c r="M4642" s="1690"/>
      <c r="N4642" s="1669"/>
      <c r="O4642" s="1685"/>
      <c r="P4642" s="1695"/>
      <c r="Q4642" s="1672"/>
      <c r="R4642" s="1672"/>
      <c r="S4642" s="1672"/>
      <c r="T4642" s="1672"/>
      <c r="U4642" s="1673"/>
      <c r="W4642" s="1675"/>
    </row>
    <row r="4643" spans="1:29" s="1674" customFormat="1" ht="15.6" customHeight="1" x14ac:dyDescent="0.25">
      <c r="A4643" s="1684"/>
      <c r="B4643" s="2949" t="s">
        <v>2394</v>
      </c>
      <c r="C4643" s="2949"/>
      <c r="D4643" s="2949"/>
      <c r="E4643" s="2949"/>
      <c r="F4643" s="2949"/>
      <c r="G4643" s="2949"/>
      <c r="H4643" s="2949"/>
      <c r="I4643" s="2949"/>
      <c r="J4643" s="2949"/>
      <c r="K4643" s="2949"/>
      <c r="L4643" s="1684"/>
      <c r="M4643" s="1702"/>
      <c r="N4643" s="1669"/>
      <c r="O4643" s="1685"/>
      <c r="P4643" s="1695"/>
      <c r="Q4643" s="1672"/>
      <c r="R4643" s="1672"/>
      <c r="S4643" s="1672"/>
      <c r="T4643" s="1672"/>
      <c r="U4643" s="1673"/>
      <c r="W4643" s="1675"/>
    </row>
    <row r="4644" spans="1:29" s="1674" customFormat="1" ht="61.5" customHeight="1" x14ac:dyDescent="0.25">
      <c r="A4644" s="1684"/>
      <c r="B4644" s="2949" t="s">
        <v>2395</v>
      </c>
      <c r="C4644" s="2949"/>
      <c r="D4644" s="2949"/>
      <c r="E4644" s="2949"/>
      <c r="F4644" s="2949"/>
      <c r="G4644" s="2949"/>
      <c r="H4644" s="2949"/>
      <c r="I4644" s="2949"/>
      <c r="J4644" s="2949"/>
      <c r="K4644" s="2949"/>
      <c r="L4644" s="1684"/>
      <c r="M4644" s="1702"/>
      <c r="N4644" s="1669"/>
      <c r="O4644" s="1685"/>
      <c r="P4644" s="1695"/>
      <c r="Q4644" s="1672"/>
      <c r="R4644" s="1672"/>
      <c r="S4644" s="1672"/>
      <c r="T4644" s="1672"/>
      <c r="U4644" s="1673"/>
      <c r="W4644" s="1675"/>
    </row>
    <row r="4645" spans="1:29" s="1674" customFormat="1" ht="15.6" hidden="1" customHeight="1" x14ac:dyDescent="0.25">
      <c r="A4645" s="1688"/>
      <c r="B4645" s="2947" t="s">
        <v>4078</v>
      </c>
      <c r="C4645" s="2948"/>
      <c r="D4645" s="2948"/>
      <c r="E4645" s="2948"/>
      <c r="F4645" s="2948"/>
      <c r="G4645" s="2948"/>
      <c r="H4645" s="2948"/>
      <c r="I4645" s="2948"/>
      <c r="J4645" s="2948"/>
      <c r="K4645" s="2948"/>
      <c r="L4645" s="1689"/>
      <c r="M4645" s="1690"/>
      <c r="N4645" s="1690"/>
      <c r="O4645" s="1690"/>
      <c r="P4645" s="1691"/>
      <c r="Q4645" s="1692"/>
      <c r="R4645" s="1691"/>
      <c r="S4645" s="1692"/>
      <c r="T4645" s="1693"/>
      <c r="U4645" s="1694"/>
      <c r="W4645" s="1675"/>
    </row>
    <row r="4646" spans="1:29" s="1674" customFormat="1" ht="15.6" customHeight="1" x14ac:dyDescent="0.25">
      <c r="D4646" s="1678"/>
      <c r="F4646" s="1678"/>
      <c r="G4646" s="1678"/>
      <c r="H4646" s="1678"/>
      <c r="I4646" s="58"/>
      <c r="J4646" s="1682"/>
      <c r="K4646" s="58"/>
      <c r="M4646" s="1690"/>
      <c r="N4646" s="1669"/>
      <c r="O4646" s="1685"/>
      <c r="P4646" s="1695"/>
      <c r="Q4646" s="1672"/>
      <c r="R4646" s="1672"/>
      <c r="S4646" s="1672"/>
      <c r="T4646" s="1672"/>
      <c r="U4646" s="1673"/>
      <c r="W4646" s="1675"/>
    </row>
    <row r="4647" spans="1:29" s="1674" customFormat="1" ht="15.6" customHeight="1" x14ac:dyDescent="0.25">
      <c r="B4647" s="1712" t="str">
        <f>Parameters!C11</f>
        <v>30 June 2012</v>
      </c>
      <c r="D4647" s="1678"/>
      <c r="F4647" s="1678"/>
      <c r="G4647" s="1678"/>
      <c r="H4647" s="1678"/>
      <c r="I4647" s="58"/>
      <c r="J4647" s="1682"/>
      <c r="K4647" s="58"/>
      <c r="M4647" s="1690"/>
      <c r="N4647" s="1669"/>
      <c r="O4647" s="1685"/>
      <c r="P4647" s="1695"/>
      <c r="Q4647" s="1672"/>
      <c r="R4647" s="1672"/>
      <c r="S4647" s="1672"/>
      <c r="T4647" s="1672"/>
      <c r="U4647" s="1673"/>
      <c r="W4647" s="1675"/>
    </row>
    <row r="4648" spans="1:29" s="1672" customFormat="1" ht="15.6" customHeight="1" x14ac:dyDescent="0.25">
      <c r="A4648" s="1674"/>
      <c r="B4648" s="1713"/>
      <c r="C4648" s="1677"/>
      <c r="D4648" s="1681"/>
      <c r="E4648" s="1681" t="s">
        <v>2396</v>
      </c>
      <c r="F4648" s="1681"/>
      <c r="G4648" s="1681" t="s">
        <v>2397</v>
      </c>
      <c r="H4648" s="1681"/>
      <c r="I4648" s="1681" t="s">
        <v>2398</v>
      </c>
      <c r="J4648" s="1681"/>
      <c r="K4648" s="1681" t="s">
        <v>234</v>
      </c>
      <c r="L4648" s="1674"/>
      <c r="M4648" s="1690"/>
      <c r="N4648" s="1669"/>
      <c r="O4648" s="1685"/>
      <c r="P4648" s="1695"/>
      <c r="U4648" s="1673"/>
      <c r="V4648" s="1674"/>
      <c r="W4648" s="1675"/>
      <c r="X4648" s="1674"/>
      <c r="Y4648" s="1674"/>
      <c r="Z4648" s="1674"/>
      <c r="AA4648" s="1674"/>
      <c r="AB4648" s="1674"/>
      <c r="AC4648" s="1674"/>
    </row>
    <row r="4649" spans="1:29" s="1672" customFormat="1" ht="15.6" customHeight="1" x14ac:dyDescent="0.25">
      <c r="A4649" s="1674"/>
      <c r="B4649" s="1714"/>
      <c r="C4649" s="1677"/>
      <c r="D4649" s="1679"/>
      <c r="E4649" s="1681" t="s">
        <v>255</v>
      </c>
      <c r="F4649" s="1679"/>
      <c r="G4649" s="1681" t="s">
        <v>255</v>
      </c>
      <c r="H4649" s="1679"/>
      <c r="I4649" s="1681" t="s">
        <v>255</v>
      </c>
      <c r="J4649" s="1679"/>
      <c r="K4649" s="1681" t="s">
        <v>255</v>
      </c>
      <c r="L4649" s="1674"/>
      <c r="M4649" s="1690"/>
      <c r="N4649" s="1669"/>
      <c r="O4649" s="1685"/>
      <c r="P4649" s="1695"/>
      <c r="U4649" s="1673"/>
      <c r="V4649" s="1674"/>
      <c r="W4649" s="1675"/>
      <c r="X4649" s="1674"/>
      <c r="Y4649" s="1674"/>
      <c r="Z4649" s="1674"/>
      <c r="AA4649" s="1674"/>
      <c r="AB4649" s="1674"/>
      <c r="AC4649" s="1674"/>
    </row>
    <row r="4650" spans="1:29" s="1672" customFormat="1" ht="15.6" customHeight="1" x14ac:dyDescent="0.25">
      <c r="A4650" s="1715"/>
      <c r="B4650" s="1677"/>
      <c r="C4650" s="1677"/>
      <c r="D4650" s="1678"/>
      <c r="E4650" s="1679"/>
      <c r="F4650" s="1679"/>
      <c r="G4650" s="1679"/>
      <c r="H4650" s="1679"/>
      <c r="I4650" s="1679"/>
      <c r="J4650" s="1679"/>
      <c r="K4650" s="1679"/>
      <c r="L4650" s="1674"/>
      <c r="M4650" s="1690"/>
      <c r="N4650" s="1669"/>
      <c r="O4650" s="1685"/>
      <c r="P4650" s="1695"/>
      <c r="U4650" s="1673"/>
      <c r="V4650" s="1674"/>
      <c r="W4650" s="1675"/>
      <c r="X4650" s="1674"/>
      <c r="Y4650" s="1674"/>
      <c r="Z4650" s="1674"/>
      <c r="AA4650" s="1674"/>
      <c r="AB4650" s="1674"/>
      <c r="AC4650" s="1674"/>
    </row>
    <row r="4651" spans="1:29" s="1672" customFormat="1" ht="15.6" customHeight="1" x14ac:dyDescent="0.25">
      <c r="A4651" s="1674"/>
      <c r="B4651" s="1677" t="s">
        <v>1169</v>
      </c>
      <c r="C4651" s="1674"/>
      <c r="D4651" s="1678"/>
      <c r="E4651" s="1674"/>
      <c r="F4651" s="1678"/>
      <c r="G4651" s="1678"/>
      <c r="H4651" s="1678"/>
      <c r="I4651" s="58"/>
      <c r="J4651" s="1682"/>
      <c r="K4651" s="58"/>
      <c r="L4651" s="1674"/>
      <c r="M4651" s="1690"/>
      <c r="N4651" s="1669"/>
      <c r="O4651" s="1685"/>
      <c r="P4651" s="1695"/>
      <c r="U4651" s="1673"/>
      <c r="V4651" s="1674"/>
      <c r="W4651" s="1675"/>
      <c r="X4651" s="1674"/>
      <c r="Y4651" s="1674"/>
      <c r="Z4651" s="1674"/>
      <c r="AA4651" s="1674"/>
      <c r="AB4651" s="1674"/>
      <c r="AC4651" s="1674"/>
    </row>
    <row r="4652" spans="1:29" s="1672" customFormat="1" ht="15.6" customHeight="1" x14ac:dyDescent="0.25">
      <c r="A4652" s="1674"/>
      <c r="B4652" s="1677" t="s">
        <v>2451</v>
      </c>
      <c r="C4652" s="1674"/>
      <c r="D4652" s="1678"/>
      <c r="E4652" s="1679"/>
      <c r="F4652" s="1678"/>
      <c r="G4652" s="1679"/>
      <c r="H4652" s="1678"/>
      <c r="I4652" s="1679"/>
      <c r="J4652" s="1682"/>
      <c r="K4652" s="1679"/>
      <c r="L4652" s="1674"/>
      <c r="M4652" s="1690"/>
      <c r="N4652" s="1669"/>
      <c r="O4652" s="1685"/>
      <c r="P4652" s="1695"/>
      <c r="U4652" s="1673"/>
      <c r="V4652" s="1674"/>
      <c r="W4652" s="1675"/>
      <c r="X4652" s="1674"/>
      <c r="Y4652" s="1674"/>
      <c r="Z4652" s="1674"/>
      <c r="AA4652" s="1674"/>
      <c r="AB4652" s="1674"/>
      <c r="AC4652" s="1674"/>
    </row>
    <row r="4653" spans="1:29" s="1672" customFormat="1" ht="15.6" hidden="1" customHeight="1" x14ac:dyDescent="0.25">
      <c r="A4653" s="1674"/>
      <c r="B4653" s="1674" t="s">
        <v>165</v>
      </c>
      <c r="C4653" s="1674"/>
      <c r="D4653" s="1678"/>
      <c r="E4653" s="1679">
        <f>G4586</f>
        <v>0</v>
      </c>
      <c r="F4653" s="1678"/>
      <c r="G4653" s="1679">
        <v>0</v>
      </c>
      <c r="H4653" s="1678"/>
      <c r="I4653" s="1679">
        <v>0</v>
      </c>
      <c r="J4653" s="1682"/>
      <c r="K4653" s="1679">
        <f t="shared" ref="K4653:K4659" si="68">SUM(E4653,G4653,I4653)</f>
        <v>0</v>
      </c>
      <c r="L4653" s="1674"/>
      <c r="M4653" s="1690"/>
      <c r="N4653" s="1669"/>
      <c r="O4653" s="1685"/>
      <c r="P4653" s="1695"/>
      <c r="U4653" s="1673"/>
      <c r="V4653" s="1674"/>
      <c r="W4653" s="1675"/>
      <c r="X4653" s="1674"/>
      <c r="Y4653" s="1674"/>
      <c r="Z4653" s="1674"/>
      <c r="AA4653" s="1674"/>
      <c r="AB4653" s="1674"/>
      <c r="AC4653" s="1674"/>
    </row>
    <row r="4654" spans="1:29" s="1672" customFormat="1" ht="15.6" customHeight="1" x14ac:dyDescent="0.25">
      <c r="A4654" s="1674"/>
      <c r="B4654" s="1674" t="s">
        <v>7328</v>
      </c>
      <c r="C4654" s="1674"/>
      <c r="D4654" s="1678"/>
      <c r="E4654" s="1679">
        <v>0</v>
      </c>
      <c r="F4654" s="1678"/>
      <c r="G4654" s="1679">
        <f>G4587</f>
        <v>112659.79999999999</v>
      </c>
      <c r="H4654" s="1678"/>
      <c r="I4654" s="1679">
        <v>0</v>
      </c>
      <c r="J4654" s="1682"/>
      <c r="K4654" s="1679">
        <f t="shared" si="68"/>
        <v>112659.79999999999</v>
      </c>
      <c r="L4654" s="1674"/>
      <c r="M4654" s="1690"/>
      <c r="N4654" s="1669"/>
      <c r="O4654" s="1685"/>
      <c r="P4654" s="1695"/>
      <c r="U4654" s="1673"/>
      <c r="V4654" s="1674"/>
      <c r="W4654" s="1675"/>
      <c r="X4654" s="1674"/>
      <c r="Y4654" s="1674"/>
      <c r="Z4654" s="1674"/>
      <c r="AA4654" s="1674"/>
      <c r="AB4654" s="1674"/>
      <c r="AC4654" s="1674"/>
    </row>
    <row r="4655" spans="1:29" s="1672" customFormat="1" ht="15.6" hidden="1" customHeight="1" x14ac:dyDescent="0.25">
      <c r="A4655" s="1674"/>
      <c r="B4655" s="1674" t="s">
        <v>290</v>
      </c>
      <c r="C4655" s="1674"/>
      <c r="D4655" s="1678"/>
      <c r="E4655" s="1679">
        <v>0</v>
      </c>
      <c r="F4655" s="1678"/>
      <c r="G4655" s="1679">
        <f>G4588</f>
        <v>0</v>
      </c>
      <c r="H4655" s="1678"/>
      <c r="I4655" s="1679">
        <v>0</v>
      </c>
      <c r="J4655" s="1682"/>
      <c r="K4655" s="1679">
        <f t="shared" si="68"/>
        <v>0</v>
      </c>
      <c r="L4655" s="1674"/>
      <c r="M4655" s="1690"/>
      <c r="N4655" s="1669"/>
      <c r="O4655" s="1685"/>
      <c r="P4655" s="1695"/>
      <c r="U4655" s="1673"/>
      <c r="V4655" s="1674"/>
      <c r="W4655" s="1675"/>
      <c r="X4655" s="1674"/>
      <c r="Y4655" s="1674"/>
      <c r="Z4655" s="1674"/>
      <c r="AA4655" s="1674"/>
      <c r="AB4655" s="1674"/>
      <c r="AC4655" s="1674"/>
    </row>
    <row r="4656" spans="1:29" s="1672" customFormat="1" ht="15.6" hidden="1" customHeight="1" x14ac:dyDescent="0.25">
      <c r="A4656" s="1674"/>
      <c r="B4656" s="1674" t="s">
        <v>581</v>
      </c>
      <c r="C4656" s="1674"/>
      <c r="D4656" s="1678"/>
      <c r="E4656" s="1679">
        <v>0</v>
      </c>
      <c r="F4656" s="1678"/>
      <c r="G4656" s="1679">
        <f>G4589</f>
        <v>0</v>
      </c>
      <c r="H4656" s="1678"/>
      <c r="I4656" s="1679">
        <v>0</v>
      </c>
      <c r="J4656" s="1682"/>
      <c r="K4656" s="1679">
        <f t="shared" si="68"/>
        <v>0</v>
      </c>
      <c r="L4656" s="1674"/>
      <c r="M4656" s="1690"/>
      <c r="N4656" s="1669"/>
      <c r="O4656" s="1685"/>
      <c r="P4656" s="1695"/>
      <c r="U4656" s="1673"/>
      <c r="V4656" s="1674"/>
      <c r="W4656" s="1675"/>
      <c r="X4656" s="1674"/>
      <c r="Y4656" s="1674"/>
      <c r="Z4656" s="1674"/>
      <c r="AA4656" s="1674"/>
      <c r="AB4656" s="1674"/>
      <c r="AC4656" s="1674"/>
    </row>
    <row r="4657" spans="1:29" s="1672" customFormat="1" ht="15.6" customHeight="1" x14ac:dyDescent="0.25">
      <c r="A4657" s="1674"/>
      <c r="B4657" s="1674" t="s">
        <v>580</v>
      </c>
      <c r="C4657" s="1674"/>
      <c r="D4657" s="1678"/>
      <c r="E4657" s="1679">
        <v>0</v>
      </c>
      <c r="F4657" s="1678"/>
      <c r="G4657" s="1679">
        <f>G4598</f>
        <v>271206.52999999688</v>
      </c>
      <c r="H4657" s="1678"/>
      <c r="I4657" s="1679">
        <v>0</v>
      </c>
      <c r="J4657" s="1682"/>
      <c r="K4657" s="1679">
        <f t="shared" si="68"/>
        <v>271206.52999999688</v>
      </c>
      <c r="L4657" s="1674"/>
      <c r="M4657" s="1690"/>
      <c r="N4657" s="1669"/>
      <c r="O4657" s="1685"/>
      <c r="P4657" s="1695"/>
      <c r="U4657" s="1673"/>
      <c r="V4657" s="1674"/>
      <c r="W4657" s="1675"/>
      <c r="X4657" s="1674"/>
      <c r="Y4657" s="1674"/>
      <c r="Z4657" s="1674"/>
      <c r="AA4657" s="1674"/>
      <c r="AB4657" s="1674"/>
      <c r="AC4657" s="1674"/>
    </row>
    <row r="4658" spans="1:29" s="1672" customFormat="1" ht="15.6" hidden="1" customHeight="1" x14ac:dyDescent="0.25">
      <c r="A4658" s="1674"/>
      <c r="B4658" s="1674" t="s">
        <v>455</v>
      </c>
      <c r="C4658" s="1674"/>
      <c r="D4658" s="1678"/>
      <c r="E4658" s="1679">
        <v>0</v>
      </c>
      <c r="F4658" s="1678"/>
      <c r="G4658" s="1679">
        <f>G4590</f>
        <v>0</v>
      </c>
      <c r="H4658" s="1678"/>
      <c r="I4658" s="1679">
        <v>0</v>
      </c>
      <c r="J4658" s="1682"/>
      <c r="K4658" s="1679">
        <f t="shared" si="68"/>
        <v>0</v>
      </c>
      <c r="L4658" s="1674"/>
      <c r="M4658" s="1690"/>
      <c r="N4658" s="1669"/>
      <c r="O4658" s="1685"/>
      <c r="P4658" s="1695"/>
      <c r="U4658" s="1673"/>
      <c r="V4658" s="1674"/>
      <c r="W4658" s="1675"/>
      <c r="X4658" s="1674"/>
      <c r="Y4658" s="1674"/>
      <c r="Z4658" s="1674"/>
      <c r="AA4658" s="1674"/>
      <c r="AB4658" s="1674"/>
      <c r="AC4658" s="1674"/>
    </row>
    <row r="4659" spans="1:29" s="1672" customFormat="1" ht="15.6" customHeight="1" x14ac:dyDescent="0.25">
      <c r="A4659" s="1674"/>
      <c r="B4659" s="1674" t="s">
        <v>403</v>
      </c>
      <c r="C4659" s="1674"/>
      <c r="D4659" s="1678"/>
      <c r="E4659" s="1679">
        <v>0</v>
      </c>
      <c r="F4659" s="1678"/>
      <c r="G4659" s="1679">
        <f>G4599</f>
        <v>17388.900000000001</v>
      </c>
      <c r="H4659" s="1678"/>
      <c r="I4659" s="1679">
        <v>0</v>
      </c>
      <c r="J4659" s="1682"/>
      <c r="K4659" s="1679">
        <f t="shared" si="68"/>
        <v>17388.900000000001</v>
      </c>
      <c r="L4659" s="1674"/>
      <c r="M4659" s="1690"/>
      <c r="N4659" s="1669"/>
      <c r="O4659" s="1685"/>
      <c r="P4659" s="1695"/>
      <c r="U4659" s="1673"/>
      <c r="V4659" s="1674"/>
      <c r="W4659" s="1675"/>
      <c r="X4659" s="1674"/>
      <c r="Y4659" s="1674"/>
      <c r="Z4659" s="1674"/>
      <c r="AA4659" s="1674"/>
      <c r="AB4659" s="1674"/>
      <c r="AC4659" s="1674"/>
    </row>
    <row r="4660" spans="1:29" s="1672" customFormat="1" ht="15.6" customHeight="1" x14ac:dyDescent="0.25">
      <c r="A4660" s="1674"/>
      <c r="B4660" s="1674"/>
      <c r="C4660" s="1674"/>
      <c r="D4660" s="1678"/>
      <c r="E4660" s="1674"/>
      <c r="F4660" s="1678"/>
      <c r="G4660" s="1674"/>
      <c r="H4660" s="1678"/>
      <c r="I4660" s="1674"/>
      <c r="J4660" s="1682"/>
      <c r="K4660" s="1674"/>
      <c r="L4660" s="1674"/>
      <c r="M4660" s="1690"/>
      <c r="N4660" s="1669"/>
      <c r="O4660" s="1685"/>
      <c r="P4660" s="1695"/>
      <c r="U4660" s="1673"/>
      <c r="V4660" s="1674"/>
      <c r="W4660" s="1675"/>
      <c r="X4660" s="1674"/>
      <c r="Y4660" s="1674"/>
      <c r="Z4660" s="1674"/>
      <c r="AA4660" s="1674"/>
      <c r="AB4660" s="1674"/>
      <c r="AC4660" s="1674"/>
    </row>
    <row r="4661" spans="1:29" s="1672" customFormat="1" ht="15.6" customHeight="1" thickBot="1" x14ac:dyDescent="0.3">
      <c r="A4661" s="1674"/>
      <c r="B4661" s="1677" t="s">
        <v>505</v>
      </c>
      <c r="C4661" s="1674"/>
      <c r="D4661" s="1678"/>
      <c r="E4661" s="1697">
        <f>SUM(E4652:E4660)</f>
        <v>0</v>
      </c>
      <c r="F4661" s="1682"/>
      <c r="G4661" s="1697">
        <f>SUM(G4652:G4660)</f>
        <v>401255.2299999969</v>
      </c>
      <c r="H4661" s="1678"/>
      <c r="I4661" s="1697">
        <f>SUM(I4652:I4660)</f>
        <v>0</v>
      </c>
      <c r="J4661" s="1682"/>
      <c r="K4661" s="1697">
        <f>SUM(K4652:K4660)</f>
        <v>401255.2299999969</v>
      </c>
      <c r="L4661" s="1674"/>
      <c r="M4661" s="1690"/>
      <c r="N4661" s="1669"/>
      <c r="O4661" s="1685"/>
      <c r="P4661" s="1717" t="s">
        <v>998</v>
      </c>
      <c r="U4661" s="1673"/>
      <c r="V4661" s="1674"/>
      <c r="W4661" s="1675"/>
      <c r="X4661" s="1674"/>
      <c r="Y4661" s="1674"/>
      <c r="Z4661" s="1674"/>
      <c r="AA4661" s="1674"/>
      <c r="AB4661" s="1674"/>
      <c r="AC4661" s="1674"/>
    </row>
    <row r="4662" spans="1:29" s="1672" customFormat="1" ht="15.6" customHeight="1" thickTop="1" x14ac:dyDescent="0.25">
      <c r="A4662" s="1674"/>
      <c r="B4662" s="1674"/>
      <c r="C4662" s="1674"/>
      <c r="D4662" s="1678"/>
      <c r="E4662" s="265"/>
      <c r="F4662" s="1678"/>
      <c r="G4662" s="1678"/>
      <c r="H4662" s="1678"/>
      <c r="I4662" s="265"/>
      <c r="J4662" s="1682"/>
      <c r="K4662" s="265"/>
      <c r="L4662" s="1674"/>
      <c r="M4662" s="1690"/>
      <c r="N4662" s="1669"/>
      <c r="O4662" s="1685"/>
      <c r="P4662" s="1695"/>
      <c r="U4662" s="1673"/>
      <c r="V4662" s="1674"/>
      <c r="W4662" s="1675"/>
      <c r="X4662" s="1674"/>
      <c r="Y4662" s="1674"/>
      <c r="Z4662" s="1674"/>
      <c r="AA4662" s="1674"/>
      <c r="AB4662" s="1674"/>
      <c r="AC4662" s="1674"/>
    </row>
    <row r="4663" spans="1:29" s="1672" customFormat="1" ht="15.6" customHeight="1" x14ac:dyDescent="0.25">
      <c r="A4663" s="1674"/>
      <c r="B4663" s="1677" t="s">
        <v>1170</v>
      </c>
      <c r="C4663" s="1674"/>
      <c r="D4663" s="1678"/>
      <c r="E4663" s="1674"/>
      <c r="F4663" s="1678"/>
      <c r="G4663" s="1678"/>
      <c r="H4663" s="1678"/>
      <c r="I4663" s="58"/>
      <c r="J4663" s="1682"/>
      <c r="K4663" s="58"/>
      <c r="L4663" s="1674"/>
      <c r="M4663" s="1690"/>
      <c r="N4663" s="1669"/>
      <c r="O4663" s="1685"/>
      <c r="P4663" s="1695"/>
      <c r="U4663" s="1673"/>
      <c r="V4663" s="1674"/>
      <c r="W4663" s="1675"/>
      <c r="X4663" s="1674"/>
      <c r="Y4663" s="1674"/>
      <c r="Z4663" s="1674"/>
      <c r="AA4663" s="1674"/>
      <c r="AB4663" s="1674"/>
      <c r="AC4663" s="1674"/>
    </row>
    <row r="4664" spans="1:29" s="1674" customFormat="1" ht="15.6" customHeight="1" x14ac:dyDescent="0.25">
      <c r="B4664" s="1677" t="s">
        <v>2451</v>
      </c>
      <c r="D4664" s="1678"/>
      <c r="E4664" s="1679"/>
      <c r="F4664" s="1678"/>
      <c r="G4664" s="1679"/>
      <c r="H4664" s="1678"/>
      <c r="I4664" s="1679"/>
      <c r="J4664" s="1682"/>
      <c r="K4664" s="1679"/>
      <c r="M4664" s="1690"/>
      <c r="N4664" s="1669"/>
      <c r="O4664" s="1685"/>
      <c r="P4664" s="1695"/>
      <c r="Q4664" s="1672"/>
      <c r="R4664" s="1672"/>
      <c r="S4664" s="1672"/>
      <c r="T4664" s="1672"/>
      <c r="U4664" s="1673"/>
      <c r="W4664" s="1675"/>
    </row>
    <row r="4665" spans="1:29" s="1674" customFormat="1" ht="15.6" hidden="1" customHeight="1" x14ac:dyDescent="0.25">
      <c r="B4665" s="1674" t="s">
        <v>1174</v>
      </c>
      <c r="D4665" s="1678"/>
      <c r="E4665" s="1679">
        <v>0</v>
      </c>
      <c r="F4665" s="1678"/>
      <c r="G4665" s="1679">
        <f>G4609</f>
        <v>0</v>
      </c>
      <c r="H4665" s="1678"/>
      <c r="I4665" s="1679">
        <v>0</v>
      </c>
      <c r="J4665" s="1682"/>
      <c r="K4665" s="1679">
        <f t="shared" ref="K4665:K4671" si="69">SUM(E4665,G4665,I4665)</f>
        <v>0</v>
      </c>
      <c r="M4665" s="1690"/>
      <c r="N4665" s="1669"/>
      <c r="O4665" s="1685"/>
      <c r="P4665" s="1695"/>
      <c r="Q4665" s="1672"/>
      <c r="R4665" s="1672"/>
      <c r="S4665" s="1672"/>
      <c r="T4665" s="1672"/>
      <c r="U4665" s="1673"/>
      <c r="W4665" s="1675"/>
    </row>
    <row r="4666" spans="1:29" s="1674" customFormat="1" ht="15.6" hidden="1" customHeight="1" x14ac:dyDescent="0.25">
      <c r="B4666" s="1674" t="s">
        <v>275</v>
      </c>
      <c r="D4666" s="1678"/>
      <c r="E4666" s="1679">
        <v>0</v>
      </c>
      <c r="F4666" s="1678"/>
      <c r="G4666" s="1679">
        <f>G4610</f>
        <v>0</v>
      </c>
      <c r="H4666" s="1678"/>
      <c r="I4666" s="1679">
        <v>0</v>
      </c>
      <c r="J4666" s="1682"/>
      <c r="K4666" s="1679">
        <f t="shared" si="69"/>
        <v>0</v>
      </c>
      <c r="M4666" s="1690"/>
      <c r="N4666" s="1669"/>
      <c r="O4666" s="1685"/>
      <c r="P4666" s="1695"/>
      <c r="Q4666" s="1672"/>
      <c r="R4666" s="1672"/>
      <c r="S4666" s="1672"/>
      <c r="T4666" s="1672"/>
      <c r="U4666" s="1673"/>
      <c r="W4666" s="1675"/>
    </row>
    <row r="4667" spans="1:29" s="1674" customFormat="1" ht="15.6" customHeight="1" x14ac:dyDescent="0.25">
      <c r="B4667" s="1674" t="s">
        <v>1486</v>
      </c>
      <c r="D4667" s="1678"/>
      <c r="E4667" s="1679">
        <v>0</v>
      </c>
      <c r="F4667" s="1678"/>
      <c r="G4667" s="1679">
        <f>G4611</f>
        <v>337109.16999999993</v>
      </c>
      <c r="H4667" s="1678"/>
      <c r="I4667" s="1679">
        <v>0</v>
      </c>
      <c r="J4667" s="1682"/>
      <c r="K4667" s="1679">
        <f t="shared" si="69"/>
        <v>337109.16999999993</v>
      </c>
      <c r="M4667" s="1690"/>
      <c r="N4667" s="1669"/>
      <c r="O4667" s="1685"/>
      <c r="P4667" s="1695"/>
      <c r="Q4667" s="1672"/>
      <c r="R4667" s="1672"/>
      <c r="S4667" s="1672"/>
      <c r="T4667" s="1672"/>
      <c r="U4667" s="1673"/>
      <c r="W4667" s="1675"/>
    </row>
    <row r="4668" spans="1:29" s="1674" customFormat="1" ht="15.6" customHeight="1" x14ac:dyDescent="0.25">
      <c r="B4668" s="1674" t="s">
        <v>653</v>
      </c>
      <c r="D4668" s="1678"/>
      <c r="E4668" s="1679">
        <v>0</v>
      </c>
      <c r="F4668" s="1678"/>
      <c r="G4668" s="1679">
        <f>G4612</f>
        <v>1227782.6599999999</v>
      </c>
      <c r="H4668" s="1678"/>
      <c r="I4668" s="1679">
        <v>0</v>
      </c>
      <c r="J4668" s="1682"/>
      <c r="K4668" s="1679">
        <f t="shared" si="69"/>
        <v>1227782.6599999999</v>
      </c>
      <c r="M4668" s="1690"/>
      <c r="N4668" s="1669"/>
      <c r="O4668" s="1685"/>
      <c r="P4668" s="1695"/>
      <c r="Q4668" s="1672"/>
      <c r="R4668" s="1672"/>
      <c r="S4668" s="1672"/>
      <c r="T4668" s="1672"/>
      <c r="U4668" s="1673"/>
      <c r="W4668" s="1675"/>
    </row>
    <row r="4669" spans="1:29" s="1674" customFormat="1" ht="15.6" customHeight="1" x14ac:dyDescent="0.25">
      <c r="B4669" s="1674" t="s">
        <v>577</v>
      </c>
      <c r="D4669" s="1678"/>
      <c r="E4669" s="1679">
        <v>0</v>
      </c>
      <c r="F4669" s="1678"/>
      <c r="G4669" s="1679">
        <f>G4613</f>
        <v>1214261.78</v>
      </c>
      <c r="H4669" s="1678"/>
      <c r="I4669" s="1679">
        <v>0</v>
      </c>
      <c r="J4669" s="1682"/>
      <c r="K4669" s="1679">
        <f t="shared" si="69"/>
        <v>1214261.78</v>
      </c>
      <c r="M4669" s="1690"/>
      <c r="N4669" s="1669"/>
      <c r="O4669" s="1685"/>
      <c r="P4669" s="1695"/>
      <c r="Q4669" s="1672"/>
      <c r="R4669" s="1672"/>
      <c r="S4669" s="1672"/>
      <c r="T4669" s="1672"/>
      <c r="U4669" s="1673"/>
      <c r="W4669" s="1675"/>
    </row>
    <row r="4670" spans="1:29" s="1674" customFormat="1" ht="15.6" hidden="1" customHeight="1" x14ac:dyDescent="0.25">
      <c r="B4670" s="1674" t="s">
        <v>2461</v>
      </c>
      <c r="D4670" s="1678"/>
      <c r="E4670" s="1679">
        <v>0</v>
      </c>
      <c r="F4670" s="1678"/>
      <c r="G4670" s="1679">
        <f>G4620</f>
        <v>586245.13000000012</v>
      </c>
      <c r="H4670" s="1678"/>
      <c r="I4670" s="1679">
        <v>0</v>
      </c>
      <c r="J4670" s="1682"/>
      <c r="K4670" s="1679">
        <f t="shared" si="69"/>
        <v>586245.13000000012</v>
      </c>
      <c r="M4670" s="1690"/>
      <c r="N4670" s="1669"/>
      <c r="O4670" s="1685"/>
      <c r="P4670" s="1695"/>
      <c r="Q4670" s="1672"/>
      <c r="R4670" s="1672"/>
      <c r="S4670" s="1672"/>
      <c r="T4670" s="1672"/>
      <c r="U4670" s="1673"/>
      <c r="W4670" s="1675"/>
    </row>
    <row r="4671" spans="1:29" s="1674" customFormat="1" ht="15.6" customHeight="1" x14ac:dyDescent="0.25">
      <c r="B4671" s="1674" t="s">
        <v>395</v>
      </c>
      <c r="D4671" s="1678"/>
      <c r="E4671" s="1679">
        <v>0</v>
      </c>
      <c r="F4671" s="1678"/>
      <c r="G4671" s="1679">
        <f>G4622</f>
        <v>3915357</v>
      </c>
      <c r="H4671" s="1678"/>
      <c r="I4671" s="1679">
        <v>0</v>
      </c>
      <c r="J4671" s="1682"/>
      <c r="K4671" s="1679">
        <f t="shared" si="69"/>
        <v>3915357</v>
      </c>
      <c r="M4671" s="1690"/>
      <c r="N4671" s="1669"/>
      <c r="O4671" s="1685"/>
      <c r="P4671" s="1695"/>
      <c r="Q4671" s="1672"/>
      <c r="R4671" s="1672"/>
      <c r="S4671" s="1672"/>
      <c r="T4671" s="1672"/>
      <c r="U4671" s="1673"/>
      <c r="W4671" s="1675"/>
    </row>
    <row r="4672" spans="1:29" s="1674" customFormat="1" ht="15.6" customHeight="1" x14ac:dyDescent="0.25">
      <c r="D4672" s="1678"/>
      <c r="F4672" s="1678"/>
      <c r="H4672" s="1678"/>
      <c r="I4672" s="1679"/>
      <c r="J4672" s="1682"/>
      <c r="M4672" s="1690"/>
      <c r="N4672" s="1669"/>
      <c r="O4672" s="1685"/>
      <c r="P4672" s="1695"/>
      <c r="Q4672" s="1672"/>
      <c r="R4672" s="1672"/>
      <c r="S4672" s="1672"/>
      <c r="T4672" s="1672"/>
      <c r="U4672" s="1673"/>
      <c r="W4672" s="1675"/>
    </row>
    <row r="4673" spans="1:23" s="1674" customFormat="1" ht="15.6" customHeight="1" thickBot="1" x14ac:dyDescent="0.3">
      <c r="B4673" s="1677" t="s">
        <v>1167</v>
      </c>
      <c r="D4673" s="1678"/>
      <c r="E4673" s="1697">
        <f>SUM(E4664:E4672)</f>
        <v>0</v>
      </c>
      <c r="F4673" s="1682"/>
      <c r="G4673" s="1697">
        <f>SUM(G4664:G4672)</f>
        <v>7280755.7400000002</v>
      </c>
      <c r="H4673" s="1678"/>
      <c r="I4673" s="1697">
        <f>SUM(I4664:I4672)</f>
        <v>0</v>
      </c>
      <c r="J4673" s="1682"/>
      <c r="K4673" s="1697">
        <f>SUM(K4664:K4672)</f>
        <v>7280755.7400000002</v>
      </c>
      <c r="M4673" s="1690"/>
      <c r="N4673" s="1669"/>
      <c r="O4673" s="1685"/>
      <c r="P4673" s="1695"/>
      <c r="Q4673" s="1672"/>
      <c r="R4673" s="1672"/>
      <c r="S4673" s="1672"/>
      <c r="T4673" s="1672"/>
      <c r="U4673" s="1673"/>
      <c r="W4673" s="1675"/>
    </row>
    <row r="4674" spans="1:23" s="1674" customFormat="1" ht="15.6" customHeight="1" thickTop="1" x14ac:dyDescent="0.25">
      <c r="D4674" s="1678"/>
      <c r="E4674" s="265"/>
      <c r="F4674" s="1678"/>
      <c r="G4674" s="1678"/>
      <c r="H4674" s="1678"/>
      <c r="I4674" s="265"/>
      <c r="J4674" s="1699"/>
      <c r="K4674" s="265"/>
      <c r="M4674" s="1690"/>
      <c r="N4674" s="1669"/>
      <c r="O4674" s="1685"/>
      <c r="P4674" s="1718"/>
      <c r="Q4674" s="1676"/>
      <c r="R4674" s="1676"/>
      <c r="S4674" s="1676"/>
      <c r="T4674" s="1676"/>
      <c r="U4674" s="1719"/>
      <c r="W4674" s="1675"/>
    </row>
    <row r="4675" spans="1:23" s="1674" customFormat="1" ht="15.6" customHeight="1" thickBot="1" x14ac:dyDescent="0.3">
      <c r="B4675" s="1677" t="s">
        <v>1179</v>
      </c>
      <c r="D4675" s="1678"/>
      <c r="E4675" s="1697">
        <f>SUM(E4661-E4673)</f>
        <v>0</v>
      </c>
      <c r="F4675" s="1682"/>
      <c r="G4675" s="1697">
        <f>SUM(G4661-G4673)</f>
        <v>-6879500.5100000035</v>
      </c>
      <c r="H4675" s="1678"/>
      <c r="I4675" s="1697">
        <f>SUM(I4661-I4673)</f>
        <v>0</v>
      </c>
      <c r="J4675" s="1682"/>
      <c r="K4675" s="1697">
        <f>SUM(K4661-K4673)</f>
        <v>-6879500.5100000035</v>
      </c>
      <c r="M4675" s="1690"/>
      <c r="N4675" s="1669"/>
      <c r="O4675" s="1685"/>
      <c r="P4675" s="1695"/>
      <c r="Q4675" s="1672"/>
      <c r="R4675" s="1672"/>
      <c r="S4675" s="1672"/>
      <c r="T4675" s="1672"/>
      <c r="U4675" s="1673"/>
      <c r="W4675" s="1675"/>
    </row>
    <row r="4676" spans="1:23" s="1674" customFormat="1" ht="15.6" customHeight="1" thickTop="1" x14ac:dyDescent="0.25">
      <c r="D4676" s="1678"/>
      <c r="F4676" s="1678"/>
      <c r="G4676" s="1678"/>
      <c r="H4676" s="1678"/>
      <c r="I4676" s="265"/>
      <c r="J4676" s="1699"/>
      <c r="K4676" s="265"/>
      <c r="M4676" s="1690"/>
      <c r="N4676" s="1669"/>
      <c r="O4676" s="1685"/>
      <c r="P4676" s="1695"/>
      <c r="Q4676" s="1672"/>
      <c r="R4676" s="1672"/>
      <c r="S4676" s="1672"/>
      <c r="T4676" s="1672"/>
      <c r="U4676" s="1673"/>
      <c r="W4676" s="1675"/>
    </row>
    <row r="4677" spans="1:23" s="1674" customFormat="1" ht="15.6" customHeight="1" x14ac:dyDescent="0.25">
      <c r="B4677" s="1712" t="str">
        <f>Parameters!C13</f>
        <v>30 June 2011</v>
      </c>
      <c r="D4677" s="1678"/>
      <c r="F4677" s="1678"/>
      <c r="G4677" s="1678"/>
      <c r="H4677" s="1678"/>
      <c r="I4677" s="58"/>
      <c r="J4677" s="1682"/>
      <c r="K4677" s="58"/>
      <c r="M4677" s="1690"/>
      <c r="N4677" s="1669"/>
      <c r="O4677" s="1685"/>
      <c r="P4677" s="1695"/>
      <c r="Q4677" s="1672"/>
      <c r="R4677" s="1672"/>
      <c r="S4677" s="1672"/>
      <c r="T4677" s="1672"/>
      <c r="U4677" s="1673"/>
      <c r="W4677" s="1675"/>
    </row>
    <row r="4678" spans="1:23" s="1674" customFormat="1" ht="15.6" customHeight="1" x14ac:dyDescent="0.25">
      <c r="B4678" s="1713"/>
      <c r="C4678" s="1677"/>
      <c r="D4678" s="1681"/>
      <c r="E4678" s="1681" t="s">
        <v>2396</v>
      </c>
      <c r="F4678" s="1681"/>
      <c r="G4678" s="1681" t="s">
        <v>2397</v>
      </c>
      <c r="H4678" s="1681"/>
      <c r="I4678" s="1681" t="s">
        <v>2398</v>
      </c>
      <c r="J4678" s="1681"/>
      <c r="K4678" s="1681" t="s">
        <v>234</v>
      </c>
      <c r="M4678" s="1690"/>
      <c r="N4678" s="1669"/>
      <c r="O4678" s="1685"/>
      <c r="P4678" s="1695"/>
      <c r="Q4678" s="1672"/>
      <c r="R4678" s="1672"/>
      <c r="S4678" s="1672"/>
      <c r="T4678" s="1672"/>
      <c r="U4678" s="1673"/>
      <c r="W4678" s="1675"/>
    </row>
    <row r="4679" spans="1:23" s="1674" customFormat="1" ht="15.6" customHeight="1" x14ac:dyDescent="0.25">
      <c r="B4679" s="1714"/>
      <c r="C4679" s="1677"/>
      <c r="D4679" s="1679"/>
      <c r="E4679" s="1681" t="s">
        <v>255</v>
      </c>
      <c r="F4679" s="1679"/>
      <c r="G4679" s="1681" t="s">
        <v>255</v>
      </c>
      <c r="H4679" s="1679"/>
      <c r="I4679" s="1681" t="s">
        <v>255</v>
      </c>
      <c r="J4679" s="1679"/>
      <c r="K4679" s="1681" t="s">
        <v>255</v>
      </c>
      <c r="M4679" s="1690"/>
      <c r="N4679" s="1669"/>
      <c r="O4679" s="1685"/>
      <c r="P4679" s="1695"/>
      <c r="Q4679" s="1672"/>
      <c r="R4679" s="1672"/>
      <c r="S4679" s="1672"/>
      <c r="T4679" s="1672"/>
      <c r="U4679" s="1673"/>
      <c r="W4679" s="1675"/>
    </row>
    <row r="4680" spans="1:23" s="1674" customFormat="1" ht="15.6" customHeight="1" x14ac:dyDescent="0.25">
      <c r="A4680" s="1715"/>
      <c r="B4680" s="1677"/>
      <c r="C4680" s="1677"/>
      <c r="D4680" s="1678"/>
      <c r="E4680" s="1679"/>
      <c r="F4680" s="1679"/>
      <c r="G4680" s="1679"/>
      <c r="H4680" s="1679"/>
      <c r="I4680" s="1679"/>
      <c r="J4680" s="1679"/>
      <c r="K4680" s="1679"/>
      <c r="M4680" s="1690"/>
      <c r="N4680" s="1669"/>
      <c r="O4680" s="1685"/>
      <c r="P4680" s="1695"/>
      <c r="Q4680" s="1672"/>
      <c r="R4680" s="1672"/>
      <c r="S4680" s="1672"/>
      <c r="T4680" s="1672"/>
      <c r="U4680" s="1673"/>
      <c r="W4680" s="1675"/>
    </row>
    <row r="4681" spans="1:23" s="1674" customFormat="1" ht="15.6" customHeight="1" x14ac:dyDescent="0.25">
      <c r="B4681" s="1677" t="s">
        <v>1169</v>
      </c>
      <c r="D4681" s="1678"/>
      <c r="F4681" s="1678"/>
      <c r="G4681" s="1678"/>
      <c r="H4681" s="1678"/>
      <c r="I4681" s="58"/>
      <c r="J4681" s="1682"/>
      <c r="K4681" s="58"/>
      <c r="M4681" s="1690"/>
      <c r="N4681" s="1669"/>
      <c r="O4681" s="1685"/>
      <c r="P4681" s="1671"/>
      <c r="Q4681" s="1672"/>
      <c r="R4681" s="1672"/>
      <c r="S4681" s="1672"/>
      <c r="T4681" s="1672"/>
      <c r="U4681" s="1673"/>
      <c r="W4681" s="1675"/>
    </row>
    <row r="4682" spans="1:23" s="1674" customFormat="1" ht="15.6" customHeight="1" x14ac:dyDescent="0.25">
      <c r="B4682" s="1677" t="s">
        <v>2451</v>
      </c>
      <c r="D4682" s="1678"/>
      <c r="E4682" s="1679"/>
      <c r="F4682" s="1678"/>
      <c r="G4682" s="1679"/>
      <c r="H4682" s="1678"/>
      <c r="I4682" s="1679"/>
      <c r="J4682" s="1682"/>
      <c r="K4682" s="1679"/>
      <c r="M4682" s="1690"/>
      <c r="N4682" s="1669"/>
      <c r="O4682" s="1685"/>
      <c r="P4682" s="1671"/>
      <c r="Q4682" s="1672"/>
      <c r="R4682" s="1672"/>
      <c r="S4682" s="1672"/>
      <c r="T4682" s="1672"/>
      <c r="U4682" s="1673"/>
      <c r="W4682" s="1675"/>
    </row>
    <row r="4683" spans="1:23" s="1674" customFormat="1" ht="15.6" hidden="1" customHeight="1" x14ac:dyDescent="0.25">
      <c r="B4683" s="1674" t="s">
        <v>165</v>
      </c>
      <c r="D4683" s="1678"/>
      <c r="E4683" s="1679">
        <f>K4586</f>
        <v>0</v>
      </c>
      <c r="F4683" s="1678"/>
      <c r="G4683" s="1679">
        <v>0</v>
      </c>
      <c r="H4683" s="1678"/>
      <c r="I4683" s="1679">
        <f>O4586</f>
        <v>0</v>
      </c>
      <c r="J4683" s="1682"/>
      <c r="K4683" s="1679">
        <f t="shared" ref="K4683:K4689" si="70">SUM(E4683,G4683,I4683)</f>
        <v>0</v>
      </c>
      <c r="M4683" s="1690"/>
      <c r="N4683" s="1669"/>
      <c r="O4683" s="1685"/>
      <c r="P4683" s="1695"/>
      <c r="Q4683" s="1672"/>
      <c r="R4683" s="1672"/>
      <c r="S4683" s="1672"/>
      <c r="T4683" s="1672"/>
      <c r="U4683" s="1673"/>
      <c r="W4683" s="1675"/>
    </row>
    <row r="4684" spans="1:23" s="1674" customFormat="1" ht="15.6" customHeight="1" x14ac:dyDescent="0.25">
      <c r="B4684" s="1674" t="s">
        <v>7328</v>
      </c>
      <c r="D4684" s="1678"/>
      <c r="E4684" s="1679">
        <v>0</v>
      </c>
      <c r="F4684" s="1678"/>
      <c r="G4684" s="1679">
        <f>K4587</f>
        <v>95825.5</v>
      </c>
      <c r="H4684" s="1678"/>
      <c r="I4684" s="1679">
        <v>0</v>
      </c>
      <c r="J4684" s="1682"/>
      <c r="K4684" s="1679">
        <f t="shared" si="70"/>
        <v>95825.5</v>
      </c>
      <c r="M4684" s="1690"/>
      <c r="N4684" s="1669"/>
      <c r="O4684" s="1685"/>
      <c r="P4684" s="1695"/>
      <c r="Q4684" s="1672"/>
      <c r="R4684" s="1672"/>
      <c r="S4684" s="1672"/>
      <c r="T4684" s="1672"/>
      <c r="U4684" s="1673"/>
      <c r="W4684" s="1675"/>
    </row>
    <row r="4685" spans="1:23" s="1674" customFormat="1" ht="15.6" hidden="1" customHeight="1" x14ac:dyDescent="0.25">
      <c r="B4685" s="1674" t="s">
        <v>290</v>
      </c>
      <c r="D4685" s="1678"/>
      <c r="E4685" s="1679">
        <v>0</v>
      </c>
      <c r="F4685" s="1678"/>
      <c r="G4685" s="1679">
        <f>K4588</f>
        <v>0</v>
      </c>
      <c r="H4685" s="1678"/>
      <c r="I4685" s="1679">
        <v>0</v>
      </c>
      <c r="J4685" s="1682"/>
      <c r="K4685" s="1679">
        <f t="shared" si="70"/>
        <v>0</v>
      </c>
      <c r="M4685" s="1690"/>
      <c r="N4685" s="1669"/>
      <c r="O4685" s="1685"/>
      <c r="P4685" s="1695"/>
      <c r="Q4685" s="1672"/>
      <c r="R4685" s="1672"/>
      <c r="S4685" s="1672"/>
      <c r="T4685" s="1672"/>
      <c r="U4685" s="1673"/>
      <c r="W4685" s="1675"/>
    </row>
    <row r="4686" spans="1:23" s="1674" customFormat="1" ht="15.6" hidden="1" customHeight="1" x14ac:dyDescent="0.25">
      <c r="B4686" s="1674" t="s">
        <v>581</v>
      </c>
      <c r="D4686" s="1678"/>
      <c r="E4686" s="1679">
        <v>0</v>
      </c>
      <c r="F4686" s="1678"/>
      <c r="G4686" s="1679">
        <f>K4589</f>
        <v>0</v>
      </c>
      <c r="H4686" s="1678"/>
      <c r="I4686" s="1679">
        <v>0</v>
      </c>
      <c r="J4686" s="1682"/>
      <c r="K4686" s="1679">
        <f t="shared" si="70"/>
        <v>0</v>
      </c>
      <c r="M4686" s="1690"/>
      <c r="N4686" s="1669"/>
      <c r="O4686" s="1685"/>
      <c r="P4686" s="1695"/>
      <c r="Q4686" s="1672"/>
      <c r="R4686" s="1672"/>
      <c r="S4686" s="1672"/>
      <c r="T4686" s="1672"/>
      <c r="U4686" s="1673"/>
      <c r="W4686" s="1675"/>
    </row>
    <row r="4687" spans="1:23" s="1674" customFormat="1" ht="15.6" customHeight="1" x14ac:dyDescent="0.25">
      <c r="B4687" s="1674" t="s">
        <v>580</v>
      </c>
      <c r="D4687" s="1678"/>
      <c r="E4687" s="1679">
        <v>0</v>
      </c>
      <c r="F4687" s="1678"/>
      <c r="G4687" s="1679">
        <f>K4598</f>
        <v>299229.11</v>
      </c>
      <c r="H4687" s="1678"/>
      <c r="I4687" s="1679">
        <v>0</v>
      </c>
      <c r="J4687" s="1682"/>
      <c r="K4687" s="1679">
        <f t="shared" si="70"/>
        <v>299229.11</v>
      </c>
      <c r="M4687" s="1690"/>
      <c r="N4687" s="1669"/>
      <c r="O4687" s="1685"/>
      <c r="P4687" s="1695"/>
      <c r="Q4687" s="1672"/>
      <c r="R4687" s="1672"/>
      <c r="S4687" s="1672"/>
      <c r="T4687" s="1672"/>
      <c r="U4687" s="1673"/>
      <c r="W4687" s="1675"/>
    </row>
    <row r="4688" spans="1:23" s="1674" customFormat="1" ht="15.6" hidden="1" customHeight="1" x14ac:dyDescent="0.25">
      <c r="B4688" s="1674" t="s">
        <v>455</v>
      </c>
      <c r="D4688" s="1678"/>
      <c r="E4688" s="1679">
        <v>0</v>
      </c>
      <c r="F4688" s="1678"/>
      <c r="G4688" s="1679">
        <f>K4590</f>
        <v>0</v>
      </c>
      <c r="H4688" s="1678"/>
      <c r="I4688" s="1679">
        <v>0</v>
      </c>
      <c r="J4688" s="1682"/>
      <c r="K4688" s="1679">
        <f t="shared" si="70"/>
        <v>0</v>
      </c>
      <c r="M4688" s="1690"/>
      <c r="N4688" s="1669"/>
      <c r="O4688" s="1685"/>
      <c r="P4688" s="1695"/>
      <c r="Q4688" s="1672"/>
      <c r="R4688" s="1672"/>
      <c r="S4688" s="1672"/>
      <c r="T4688" s="1672"/>
      <c r="U4688" s="1673"/>
      <c r="W4688" s="1675"/>
    </row>
    <row r="4689" spans="2:26" s="1674" customFormat="1" ht="15.6" customHeight="1" x14ac:dyDescent="0.25">
      <c r="B4689" s="1674" t="s">
        <v>403</v>
      </c>
      <c r="D4689" s="1678"/>
      <c r="E4689" s="1679">
        <v>0</v>
      </c>
      <c r="F4689" s="1678"/>
      <c r="G4689" s="1679">
        <f>K4599</f>
        <v>213644.9</v>
      </c>
      <c r="H4689" s="1678"/>
      <c r="I4689" s="1679">
        <v>0</v>
      </c>
      <c r="J4689" s="1682"/>
      <c r="K4689" s="1679">
        <f t="shared" si="70"/>
        <v>213644.9</v>
      </c>
      <c r="M4689" s="1690"/>
      <c r="N4689" s="1669"/>
      <c r="O4689" s="1685"/>
      <c r="P4689" s="1695"/>
      <c r="Q4689" s="1672"/>
      <c r="R4689" s="1672"/>
      <c r="S4689" s="1672"/>
      <c r="T4689" s="1672"/>
      <c r="U4689" s="1673"/>
      <c r="W4689" s="1675"/>
    </row>
    <row r="4690" spans="2:26" s="1674" customFormat="1" ht="15.6" customHeight="1" x14ac:dyDescent="0.25">
      <c r="D4690" s="1678"/>
      <c r="F4690" s="1678"/>
      <c r="H4690" s="1678"/>
      <c r="J4690" s="1682"/>
      <c r="M4690" s="1690"/>
      <c r="N4690" s="1669"/>
      <c r="O4690" s="1685"/>
      <c r="P4690" s="1695"/>
      <c r="Q4690" s="1672"/>
      <c r="R4690" s="1672"/>
      <c r="S4690" s="1672"/>
      <c r="T4690" s="1672"/>
      <c r="U4690" s="1673"/>
      <c r="W4690" s="1675"/>
    </row>
    <row r="4691" spans="2:26" s="1674" customFormat="1" ht="15.6" customHeight="1" thickBot="1" x14ac:dyDescent="0.3">
      <c r="B4691" s="1677" t="s">
        <v>505</v>
      </c>
      <c r="D4691" s="1678"/>
      <c r="E4691" s="1697">
        <f>SUM(E4682:E4690)</f>
        <v>0</v>
      </c>
      <c r="F4691" s="1682"/>
      <c r="G4691" s="1697">
        <f>SUM(G4682:G4690)</f>
        <v>608699.51</v>
      </c>
      <c r="H4691" s="1678"/>
      <c r="I4691" s="1697">
        <f>SUM(I4682:I4690)</f>
        <v>0</v>
      </c>
      <c r="J4691" s="1682"/>
      <c r="K4691" s="1697">
        <f>SUM(K4682:K4690)</f>
        <v>608699.51</v>
      </c>
      <c r="M4691" s="1690"/>
      <c r="N4691" s="1669"/>
      <c r="O4691" s="1685"/>
      <c r="P4691" s="1695"/>
      <c r="Q4691" s="1672"/>
      <c r="R4691" s="1672"/>
      <c r="S4691" s="1672"/>
      <c r="T4691" s="1672"/>
      <c r="U4691" s="1673"/>
      <c r="W4691" s="1675"/>
    </row>
    <row r="4692" spans="2:26" s="1674" customFormat="1" ht="15.6" customHeight="1" thickTop="1" x14ac:dyDescent="0.25">
      <c r="D4692" s="1678"/>
      <c r="E4692" s="265"/>
      <c r="F4692" s="1678"/>
      <c r="G4692" s="1678"/>
      <c r="H4692" s="1678"/>
      <c r="I4692" s="265"/>
      <c r="J4692" s="1682"/>
      <c r="K4692" s="265"/>
      <c r="M4692" s="1690"/>
      <c r="N4692" s="1669"/>
      <c r="O4692" s="1685"/>
      <c r="P4692" s="1695"/>
      <c r="Q4692" s="1672"/>
      <c r="R4692" s="1672"/>
      <c r="S4692" s="1672"/>
      <c r="T4692" s="1672"/>
      <c r="U4692" s="1673"/>
      <c r="W4692" s="1675"/>
    </row>
    <row r="4693" spans="2:26" s="1674" customFormat="1" ht="15.6" customHeight="1" x14ac:dyDescent="0.25">
      <c r="B4693" s="1677" t="s">
        <v>1170</v>
      </c>
      <c r="D4693" s="1678"/>
      <c r="F4693" s="1678"/>
      <c r="G4693" s="1678"/>
      <c r="H4693" s="1678"/>
      <c r="I4693" s="58"/>
      <c r="J4693" s="1682"/>
      <c r="K4693" s="58"/>
      <c r="M4693" s="1690"/>
      <c r="N4693" s="1669"/>
      <c r="O4693" s="1685"/>
      <c r="P4693" s="1695"/>
      <c r="Q4693" s="1672"/>
      <c r="R4693" s="1672"/>
      <c r="S4693" s="1672"/>
      <c r="T4693" s="1672"/>
      <c r="U4693" s="1673"/>
      <c r="W4693" s="1675"/>
    </row>
    <row r="4694" spans="2:26" s="1674" customFormat="1" ht="15.6" customHeight="1" x14ac:dyDescent="0.25">
      <c r="B4694" s="1677" t="s">
        <v>2451</v>
      </c>
      <c r="D4694" s="1678"/>
      <c r="E4694" s="1679"/>
      <c r="F4694" s="1678"/>
      <c r="G4694" s="1679"/>
      <c r="H4694" s="1678"/>
      <c r="I4694" s="1679"/>
      <c r="J4694" s="1682"/>
      <c r="K4694" s="1679"/>
      <c r="M4694" s="1690"/>
      <c r="N4694" s="1669"/>
      <c r="O4694" s="1685"/>
      <c r="P4694" s="1695"/>
      <c r="Q4694" s="1672"/>
      <c r="R4694" s="1672"/>
      <c r="S4694" s="1672"/>
      <c r="T4694" s="1672"/>
      <c r="U4694" s="1673"/>
      <c r="W4694" s="1675"/>
      <c r="Y4694" s="1677"/>
    </row>
    <row r="4695" spans="2:26" s="1674" customFormat="1" ht="15.6" hidden="1" customHeight="1" x14ac:dyDescent="0.25">
      <c r="B4695" s="1674" t="s">
        <v>1174</v>
      </c>
      <c r="D4695" s="1678"/>
      <c r="E4695" s="1679">
        <v>0</v>
      </c>
      <c r="F4695" s="1678"/>
      <c r="G4695" s="1679">
        <f>K4609</f>
        <v>0</v>
      </c>
      <c r="H4695" s="1678"/>
      <c r="I4695" s="1679">
        <v>0</v>
      </c>
      <c r="J4695" s="1682"/>
      <c r="K4695" s="1679">
        <f t="shared" ref="K4695:K4701" si="71">SUM(E4695,G4695,I4695)</f>
        <v>0</v>
      </c>
      <c r="M4695" s="1690"/>
      <c r="N4695" s="1669"/>
      <c r="O4695" s="1685"/>
      <c r="P4695" s="1695"/>
      <c r="Q4695" s="1672"/>
      <c r="R4695" s="1672"/>
      <c r="S4695" s="1672"/>
      <c r="T4695" s="1672"/>
      <c r="U4695" s="1673"/>
      <c r="W4695" s="1675"/>
    </row>
    <row r="4696" spans="2:26" s="1674" customFormat="1" ht="15.6" hidden="1" customHeight="1" x14ac:dyDescent="0.25">
      <c r="B4696" s="1674" t="s">
        <v>275</v>
      </c>
      <c r="D4696" s="1678"/>
      <c r="E4696" s="1679">
        <v>0</v>
      </c>
      <c r="F4696" s="1678"/>
      <c r="G4696" s="1679">
        <f>K4610</f>
        <v>0</v>
      </c>
      <c r="H4696" s="1678"/>
      <c r="I4696" s="1679">
        <v>0</v>
      </c>
      <c r="J4696" s="1682"/>
      <c r="K4696" s="1679">
        <f t="shared" si="71"/>
        <v>0</v>
      </c>
      <c r="M4696" s="1690"/>
      <c r="N4696" s="1669"/>
      <c r="O4696" s="1685"/>
      <c r="P4696" s="1695"/>
      <c r="Q4696" s="1672"/>
      <c r="R4696" s="1672"/>
      <c r="S4696" s="1672"/>
      <c r="T4696" s="1672"/>
      <c r="U4696" s="1673"/>
      <c r="W4696" s="1675"/>
    </row>
    <row r="4697" spans="2:26" s="1674" customFormat="1" ht="15.6" customHeight="1" x14ac:dyDescent="0.25">
      <c r="B4697" s="1674" t="s">
        <v>1486</v>
      </c>
      <c r="D4697" s="1678"/>
      <c r="E4697" s="1679">
        <v>0</v>
      </c>
      <c r="F4697" s="1678"/>
      <c r="G4697" s="1679">
        <f>K4611</f>
        <v>650325.60999999987</v>
      </c>
      <c r="H4697" s="1678"/>
      <c r="I4697" s="1679">
        <v>0</v>
      </c>
      <c r="J4697" s="1682"/>
      <c r="K4697" s="1679">
        <f t="shared" si="71"/>
        <v>650325.60999999987</v>
      </c>
      <c r="M4697" s="1690"/>
      <c r="N4697" s="1669"/>
      <c r="O4697" s="1685"/>
      <c r="P4697" s="1695"/>
      <c r="Q4697" s="1672"/>
      <c r="R4697" s="1672"/>
      <c r="S4697" s="1672"/>
      <c r="T4697" s="1672"/>
      <c r="U4697" s="1673"/>
      <c r="W4697" s="1675"/>
    </row>
    <row r="4698" spans="2:26" s="1674" customFormat="1" ht="15.6" customHeight="1" x14ac:dyDescent="0.25">
      <c r="B4698" s="1674" t="s">
        <v>653</v>
      </c>
      <c r="D4698" s="1678"/>
      <c r="E4698" s="1679">
        <v>0</v>
      </c>
      <c r="F4698" s="1678"/>
      <c r="G4698" s="1679">
        <f>K4612</f>
        <v>1425012.73</v>
      </c>
      <c r="H4698" s="1678"/>
      <c r="I4698" s="1679">
        <v>0</v>
      </c>
      <c r="J4698" s="1682"/>
      <c r="K4698" s="1679">
        <f t="shared" si="71"/>
        <v>1425012.73</v>
      </c>
      <c r="M4698" s="1690"/>
      <c r="N4698" s="1669"/>
      <c r="O4698" s="1685"/>
      <c r="P4698" s="1695"/>
      <c r="Q4698" s="1672"/>
      <c r="R4698" s="1672"/>
      <c r="S4698" s="1672"/>
      <c r="T4698" s="1672"/>
      <c r="U4698" s="1673"/>
      <c r="W4698" s="1675"/>
    </row>
    <row r="4699" spans="2:26" s="1674" customFormat="1" ht="15.6" customHeight="1" x14ac:dyDescent="0.25">
      <c r="B4699" s="1674" t="s">
        <v>577</v>
      </c>
      <c r="D4699" s="1678"/>
      <c r="E4699" s="1679">
        <v>0</v>
      </c>
      <c r="F4699" s="1678"/>
      <c r="G4699" s="1679">
        <f>K4613</f>
        <v>1337754.6399999999</v>
      </c>
      <c r="H4699" s="1678"/>
      <c r="I4699" s="1679">
        <v>0</v>
      </c>
      <c r="J4699" s="1682"/>
      <c r="K4699" s="1679">
        <f t="shared" si="71"/>
        <v>1337754.6399999999</v>
      </c>
      <c r="M4699" s="1690"/>
      <c r="N4699" s="1669"/>
      <c r="O4699" s="1685"/>
      <c r="P4699" s="1695"/>
      <c r="Q4699" s="1672"/>
      <c r="R4699" s="1672"/>
      <c r="S4699" s="1672"/>
      <c r="T4699" s="1672"/>
      <c r="U4699" s="1673"/>
      <c r="W4699" s="1675"/>
    </row>
    <row r="4700" spans="2:26" s="1674" customFormat="1" ht="15.6" customHeight="1" x14ac:dyDescent="0.25">
      <c r="B4700" s="1674" t="s">
        <v>2461</v>
      </c>
      <c r="D4700" s="1678"/>
      <c r="E4700" s="1679">
        <v>0</v>
      </c>
      <c r="F4700" s="1678"/>
      <c r="G4700" s="1679">
        <f>K4620</f>
        <v>239710.54</v>
      </c>
      <c r="H4700" s="1678"/>
      <c r="I4700" s="1679">
        <v>0</v>
      </c>
      <c r="J4700" s="1682"/>
      <c r="K4700" s="1679">
        <f t="shared" si="71"/>
        <v>239710.54</v>
      </c>
      <c r="M4700" s="1690"/>
      <c r="N4700" s="1669"/>
      <c r="O4700" s="1685"/>
      <c r="P4700" s="1695"/>
      <c r="Q4700" s="1672"/>
      <c r="R4700" s="1672"/>
      <c r="S4700" s="1672"/>
      <c r="T4700" s="1672"/>
      <c r="U4700" s="1673"/>
      <c r="W4700" s="1675"/>
    </row>
    <row r="4701" spans="2:26" s="1674" customFormat="1" ht="15.6" customHeight="1" x14ac:dyDescent="0.25">
      <c r="B4701" s="1674" t="s">
        <v>395</v>
      </c>
      <c r="D4701" s="1678"/>
      <c r="E4701" s="1679">
        <v>0</v>
      </c>
      <c r="F4701" s="1678"/>
      <c r="G4701" s="1679">
        <f>K4622</f>
        <v>2065666.0399999998</v>
      </c>
      <c r="H4701" s="1678"/>
      <c r="I4701" s="1679">
        <v>0</v>
      </c>
      <c r="J4701" s="1682"/>
      <c r="K4701" s="1679">
        <f t="shared" si="71"/>
        <v>2065666.0399999998</v>
      </c>
      <c r="M4701" s="1690"/>
      <c r="N4701" s="1669"/>
      <c r="O4701" s="1685"/>
      <c r="P4701" s="1695"/>
      <c r="Q4701" s="1672"/>
      <c r="R4701" s="1672"/>
      <c r="S4701" s="1672"/>
      <c r="T4701" s="1672"/>
      <c r="U4701" s="1673"/>
      <c r="W4701" s="1675"/>
    </row>
    <row r="4702" spans="2:26" s="1674" customFormat="1" ht="15.6" customHeight="1" x14ac:dyDescent="0.25">
      <c r="D4702" s="1678"/>
      <c r="F4702" s="1678"/>
      <c r="H4702" s="1678"/>
      <c r="J4702" s="1682"/>
      <c r="M4702" s="1690"/>
      <c r="N4702" s="1669"/>
      <c r="O4702" s="1685"/>
      <c r="P4702" s="1695"/>
      <c r="Q4702" s="1672"/>
      <c r="R4702" s="1672"/>
      <c r="S4702" s="1672"/>
      <c r="T4702" s="1672"/>
      <c r="U4702" s="1673"/>
      <c r="W4702" s="1675"/>
    </row>
    <row r="4703" spans="2:26" s="1674" customFormat="1" ht="15.6" customHeight="1" thickBot="1" x14ac:dyDescent="0.3">
      <c r="B4703" s="1677" t="s">
        <v>1167</v>
      </c>
      <c r="D4703" s="1678"/>
      <c r="E4703" s="1697">
        <f>SUM(E4694:E4702)</f>
        <v>0</v>
      </c>
      <c r="F4703" s="1682"/>
      <c r="G4703" s="1697">
        <f>SUM(G4694:G4702)</f>
        <v>5718469.5599999996</v>
      </c>
      <c r="H4703" s="1678"/>
      <c r="I4703" s="1697">
        <f>SUM(I4694:I4702)</f>
        <v>0</v>
      </c>
      <c r="J4703" s="1682"/>
      <c r="K4703" s="1697">
        <f>SUM(K4694:K4702)</f>
        <v>5718469.5599999996</v>
      </c>
      <c r="M4703" s="1690"/>
      <c r="N4703" s="1669"/>
      <c r="O4703" s="1685"/>
      <c r="P4703" s="1695"/>
      <c r="Q4703" s="1672"/>
      <c r="R4703" s="1672"/>
      <c r="S4703" s="1672"/>
      <c r="T4703" s="1672"/>
      <c r="U4703" s="1673"/>
      <c r="W4703" s="1675"/>
    </row>
    <row r="4704" spans="2:26" s="1674" customFormat="1" ht="15.6" customHeight="1" thickTop="1" x14ac:dyDescent="0.25">
      <c r="D4704" s="1678"/>
      <c r="E4704" s="265"/>
      <c r="F4704" s="1678"/>
      <c r="G4704" s="1678"/>
      <c r="H4704" s="1678"/>
      <c r="I4704" s="265"/>
      <c r="J4704" s="1699"/>
      <c r="K4704" s="265"/>
      <c r="M4704" s="1690"/>
      <c r="N4704" s="1669"/>
      <c r="O4704" s="1685"/>
      <c r="P4704" s="1695"/>
      <c r="Q4704" s="1672"/>
      <c r="R4704" s="1672"/>
      <c r="S4704" s="1672"/>
      <c r="T4704" s="1672"/>
      <c r="U4704" s="1673"/>
      <c r="W4704" s="1675"/>
      <c r="Z4704" s="1677"/>
    </row>
    <row r="4705" spans="1:29" s="1674" customFormat="1" ht="15.6" customHeight="1" thickBot="1" x14ac:dyDescent="0.3">
      <c r="B4705" s="1677" t="s">
        <v>1179</v>
      </c>
      <c r="D4705" s="1678"/>
      <c r="E4705" s="1697">
        <f>SUM(E4691-E4703)</f>
        <v>0</v>
      </c>
      <c r="F4705" s="1682"/>
      <c r="G4705" s="1697">
        <f>SUM(G4691-G4703)</f>
        <v>-5109770.05</v>
      </c>
      <c r="H4705" s="1678"/>
      <c r="I4705" s="1697">
        <f>SUM(I4691-I4703)</f>
        <v>0</v>
      </c>
      <c r="J4705" s="1682"/>
      <c r="K4705" s="1697">
        <f>SUM(K4691-K4703)</f>
        <v>-5109770.05</v>
      </c>
      <c r="M4705" s="1690"/>
      <c r="N4705" s="1669"/>
      <c r="O4705" s="1685"/>
      <c r="P4705" s="1695"/>
      <c r="Q4705" s="1672"/>
      <c r="R4705" s="1672"/>
      <c r="S4705" s="1672"/>
      <c r="T4705" s="1672"/>
      <c r="U4705" s="1673"/>
      <c r="W4705" s="1675"/>
      <c r="AA4705" s="1677"/>
    </row>
    <row r="4706" spans="1:29" s="1674" customFormat="1" ht="15.6" customHeight="1" thickTop="1" x14ac:dyDescent="0.25">
      <c r="D4706" s="1678"/>
      <c r="F4706" s="1678"/>
      <c r="G4706" s="1678"/>
      <c r="H4706" s="1678"/>
      <c r="I4706" s="265"/>
      <c r="J4706" s="1699"/>
      <c r="K4706" s="265"/>
      <c r="M4706" s="1690"/>
      <c r="N4706" s="1669"/>
      <c r="O4706" s="1685"/>
      <c r="P4706" s="1695"/>
      <c r="Q4706" s="1672"/>
      <c r="R4706" s="1672"/>
      <c r="S4706" s="1672"/>
      <c r="T4706" s="1672"/>
      <c r="U4706" s="1673"/>
      <c r="W4706" s="1675"/>
      <c r="AB4706" s="1677"/>
      <c r="AC4706" s="1677"/>
    </row>
    <row r="4707" spans="1:29" s="1674" customFormat="1" ht="15.6" customHeight="1" x14ac:dyDescent="0.25">
      <c r="B4707" s="1686" t="s">
        <v>7619</v>
      </c>
      <c r="C4707" s="1677"/>
      <c r="D4707" s="1678"/>
      <c r="F4707" s="1678"/>
      <c r="G4707" s="1678"/>
      <c r="H4707" s="1678"/>
      <c r="I4707" s="58"/>
      <c r="J4707" s="1679"/>
      <c r="K4707" s="58"/>
      <c r="M4707" s="1687" t="s">
        <v>1182</v>
      </c>
      <c r="N4707" s="1669"/>
      <c r="O4707" s="1685"/>
      <c r="P4707" s="1695"/>
      <c r="Q4707" s="1672"/>
      <c r="R4707" s="1672"/>
      <c r="S4707" s="1672"/>
      <c r="T4707" s="1672"/>
      <c r="U4707" s="1673"/>
      <c r="W4707" s="1675" t="s">
        <v>3857</v>
      </c>
    </row>
    <row r="4708" spans="1:29" s="1674" customFormat="1" ht="15.6" customHeight="1" x14ac:dyDescent="0.25">
      <c r="A4708" s="1684"/>
      <c r="B4708" s="1684"/>
      <c r="C4708" s="1684"/>
      <c r="D4708" s="1684"/>
      <c r="E4708" s="1684"/>
      <c r="F4708" s="1684"/>
      <c r="G4708" s="1684"/>
      <c r="H4708" s="1684"/>
      <c r="I4708" s="58"/>
      <c r="J4708" s="1679"/>
      <c r="K4708" s="58"/>
      <c r="L4708" s="1684"/>
      <c r="M4708" s="1690"/>
      <c r="N4708" s="1669"/>
      <c r="O4708" s="1685"/>
      <c r="P4708" s="1695"/>
      <c r="Q4708" s="1672"/>
      <c r="R4708" s="1672"/>
      <c r="S4708" s="1672"/>
      <c r="T4708" s="1672"/>
      <c r="U4708" s="1673"/>
      <c r="W4708" s="1675"/>
    </row>
    <row r="4709" spans="1:29" s="1674" customFormat="1" ht="46.5" customHeight="1" x14ac:dyDescent="0.25">
      <c r="B4709" s="2958" t="s">
        <v>6514</v>
      </c>
      <c r="C4709" s="2958"/>
      <c r="D4709" s="2958"/>
      <c r="E4709" s="2958"/>
      <c r="F4709" s="2958"/>
      <c r="G4709" s="2958"/>
      <c r="H4709" s="2958"/>
      <c r="I4709" s="2958"/>
      <c r="J4709" s="2958"/>
      <c r="K4709" s="2958"/>
      <c r="M4709" s="1690"/>
      <c r="N4709" s="1669"/>
      <c r="O4709" s="1685"/>
      <c r="P4709" s="1695"/>
      <c r="Q4709" s="1672"/>
      <c r="R4709" s="1672"/>
      <c r="S4709" s="1672"/>
      <c r="T4709" s="1672"/>
      <c r="U4709" s="1673"/>
      <c r="W4709" s="1675"/>
    </row>
    <row r="4710" spans="1:29" s="1672" customFormat="1" ht="15.6" customHeight="1" x14ac:dyDescent="0.25">
      <c r="A4710" s="1684"/>
      <c r="B4710" s="1684"/>
      <c r="C4710" s="1684"/>
      <c r="D4710" s="1684"/>
      <c r="E4710" s="1684"/>
      <c r="F4710" s="1684"/>
      <c r="G4710" s="1684"/>
      <c r="H4710" s="1684"/>
      <c r="I4710" s="58"/>
      <c r="J4710" s="1679"/>
      <c r="K4710" s="58"/>
      <c r="L4710" s="1684"/>
      <c r="M4710" s="1690"/>
      <c r="N4710" s="1669"/>
      <c r="O4710" s="1685"/>
      <c r="P4710" s="1695"/>
      <c r="U4710" s="1673"/>
      <c r="V4710" s="1674"/>
      <c r="W4710" s="1675"/>
      <c r="X4710" s="1674"/>
      <c r="Y4710" s="1674"/>
      <c r="Z4710" s="1674"/>
      <c r="AA4710" s="1674"/>
      <c r="AB4710" s="1674"/>
      <c r="AC4710" s="1674"/>
    </row>
    <row r="4711" spans="1:29" s="1672" customFormat="1" ht="46.5" customHeight="1" x14ac:dyDescent="0.25">
      <c r="A4711" s="1674"/>
      <c r="B4711" s="2958" t="s">
        <v>7329</v>
      </c>
      <c r="C4711" s="2958"/>
      <c r="D4711" s="2958"/>
      <c r="E4711" s="2958"/>
      <c r="F4711" s="2958"/>
      <c r="G4711" s="2958"/>
      <c r="H4711" s="2958"/>
      <c r="I4711" s="2958"/>
      <c r="J4711" s="2958"/>
      <c r="K4711" s="2958"/>
      <c r="L4711" s="1674"/>
      <c r="M4711" s="1690"/>
      <c r="N4711" s="1669"/>
      <c r="O4711" s="1685"/>
      <c r="P4711" s="1695"/>
      <c r="U4711" s="1673"/>
      <c r="V4711" s="1674"/>
      <c r="W4711" s="1675"/>
      <c r="X4711" s="1674"/>
      <c r="Y4711" s="1674"/>
      <c r="Z4711" s="1674"/>
      <c r="AA4711" s="1674"/>
      <c r="AB4711" s="1674"/>
      <c r="AC4711" s="1674"/>
    </row>
    <row r="4712" spans="1:29" s="1672" customFormat="1" ht="30.95" hidden="1" customHeight="1" x14ac:dyDescent="0.25">
      <c r="A4712" s="1674"/>
      <c r="B4712" s="2958" t="s">
        <v>4457</v>
      </c>
      <c r="C4712" s="2958"/>
      <c r="D4712" s="2958"/>
      <c r="E4712" s="2958"/>
      <c r="F4712" s="2958"/>
      <c r="G4712" s="2958"/>
      <c r="H4712" s="2958"/>
      <c r="I4712" s="2958"/>
      <c r="J4712" s="2958"/>
      <c r="K4712" s="2958"/>
      <c r="L4712" s="1674"/>
      <c r="M4712" s="1690"/>
      <c r="N4712" s="1669"/>
      <c r="O4712" s="1685"/>
      <c r="P4712" s="1695"/>
      <c r="U4712" s="1673"/>
      <c r="V4712" s="1674"/>
      <c r="W4712" s="1675"/>
      <c r="X4712" s="1674"/>
      <c r="Y4712" s="1674"/>
      <c r="Z4712" s="1674"/>
      <c r="AA4712" s="1674"/>
      <c r="AB4712" s="1674"/>
      <c r="AC4712" s="1674"/>
    </row>
    <row r="4713" spans="1:29" s="1672" customFormat="1" ht="15.6" customHeight="1" x14ac:dyDescent="0.25">
      <c r="A4713" s="1684"/>
      <c r="B4713" s="1684"/>
      <c r="C4713" s="1684"/>
      <c r="D4713" s="1684"/>
      <c r="E4713" s="1684"/>
      <c r="F4713" s="1684"/>
      <c r="G4713" s="1684"/>
      <c r="H4713" s="1684"/>
      <c r="I4713" s="58"/>
      <c r="J4713" s="1679"/>
      <c r="K4713" s="58"/>
      <c r="L4713" s="1684"/>
      <c r="M4713" s="1690"/>
      <c r="N4713" s="1669"/>
      <c r="O4713" s="1685"/>
      <c r="P4713" s="1695"/>
      <c r="U4713" s="1673"/>
      <c r="V4713" s="1674"/>
      <c r="W4713" s="1675"/>
      <c r="X4713" s="1674"/>
      <c r="Y4713" s="1674"/>
      <c r="Z4713" s="1674"/>
      <c r="AA4713" s="1674"/>
      <c r="AB4713" s="1674"/>
      <c r="AC4713" s="1674"/>
    </row>
    <row r="4714" spans="1:29" s="1672" customFormat="1" ht="15.6" customHeight="1" x14ac:dyDescent="0.25">
      <c r="A4714" s="1674"/>
      <c r="B4714" s="1701" t="s">
        <v>1183</v>
      </c>
      <c r="C4714" s="1677"/>
      <c r="D4714" s="1678"/>
      <c r="E4714" s="1674"/>
      <c r="F4714" s="1678"/>
      <c r="G4714" s="1678"/>
      <c r="H4714" s="1678"/>
      <c r="I4714" s="58"/>
      <c r="J4714" s="1679"/>
      <c r="K4714" s="58"/>
      <c r="L4714" s="1674"/>
      <c r="M4714" s="1690"/>
      <c r="N4714" s="1669"/>
      <c r="O4714" s="1685"/>
      <c r="P4714" s="1695"/>
      <c r="U4714" s="1673"/>
      <c r="V4714" s="1674"/>
      <c r="W4714" s="1675"/>
      <c r="X4714" s="1674"/>
      <c r="Y4714" s="1674"/>
      <c r="Z4714" s="1674"/>
      <c r="AA4714" s="1674"/>
      <c r="AB4714" s="1674"/>
      <c r="AC4714" s="1674"/>
    </row>
    <row r="4715" spans="1:29" s="1672" customFormat="1" ht="30.75" customHeight="1" x14ac:dyDescent="0.25">
      <c r="A4715" s="1674"/>
      <c r="B4715" s="2958" t="s">
        <v>7689</v>
      </c>
      <c r="C4715" s="2958"/>
      <c r="D4715" s="2958"/>
      <c r="E4715" s="2958"/>
      <c r="F4715" s="2958"/>
      <c r="G4715" s="2958"/>
      <c r="H4715" s="2958"/>
      <c r="I4715" s="2958"/>
      <c r="J4715" s="2958"/>
      <c r="K4715" s="2958"/>
      <c r="L4715" s="1674"/>
      <c r="M4715" s="1690"/>
      <c r="N4715" s="1669"/>
      <c r="O4715" s="1685"/>
      <c r="P4715" s="1695"/>
      <c r="U4715" s="1673"/>
      <c r="V4715" s="1674"/>
      <c r="W4715" s="1675"/>
      <c r="X4715" s="1674"/>
      <c r="Y4715" s="1674"/>
      <c r="Z4715" s="1674"/>
      <c r="AA4715" s="1674"/>
      <c r="AB4715" s="1674"/>
      <c r="AC4715" s="1674"/>
    </row>
    <row r="4716" spans="1:29" s="1672" customFormat="1" ht="62.1" hidden="1" customHeight="1" x14ac:dyDescent="0.25">
      <c r="A4716" s="1674"/>
      <c r="B4716" s="2959" t="s">
        <v>1184</v>
      </c>
      <c r="C4716" s="2959"/>
      <c r="D4716" s="2959"/>
      <c r="E4716" s="2959"/>
      <c r="F4716" s="2959"/>
      <c r="G4716" s="2959"/>
      <c r="H4716" s="2959"/>
      <c r="I4716" s="2959"/>
      <c r="J4716" s="2959"/>
      <c r="K4716" s="2959"/>
      <c r="L4716" s="1674"/>
      <c r="M4716" s="1690"/>
      <c r="N4716" s="1669"/>
      <c r="O4716" s="1685"/>
      <c r="P4716" s="1695"/>
      <c r="U4716" s="1673"/>
      <c r="V4716" s="1674"/>
      <c r="W4716" s="1675"/>
      <c r="X4716" s="1674"/>
      <c r="Y4716" s="1674"/>
      <c r="Z4716" s="1674"/>
      <c r="AA4716" s="1674"/>
      <c r="AB4716" s="1674"/>
      <c r="AC4716" s="1674"/>
    </row>
    <row r="4717" spans="1:29" s="1672" customFormat="1" ht="15.6" customHeight="1" x14ac:dyDescent="0.25">
      <c r="A4717" s="1684"/>
      <c r="B4717" s="1684"/>
      <c r="C4717" s="1684"/>
      <c r="D4717" s="1684"/>
      <c r="E4717" s="1684"/>
      <c r="F4717" s="1684"/>
      <c r="G4717" s="1684"/>
      <c r="H4717" s="1684"/>
      <c r="I4717" s="58"/>
      <c r="J4717" s="1679"/>
      <c r="K4717" s="58"/>
      <c r="L4717" s="1684"/>
      <c r="M4717" s="1690"/>
      <c r="N4717" s="1669"/>
      <c r="O4717" s="1685"/>
      <c r="P4717" s="1695"/>
      <c r="U4717" s="1673"/>
      <c r="V4717" s="1674"/>
      <c r="W4717" s="1675"/>
      <c r="X4717" s="1674"/>
      <c r="Y4717" s="1674"/>
      <c r="Z4717" s="1674"/>
      <c r="AA4717" s="1674"/>
      <c r="AB4717" s="1674"/>
      <c r="AC4717" s="1674"/>
    </row>
    <row r="4718" spans="1:29" s="1672" customFormat="1" ht="15.6" customHeight="1" x14ac:dyDescent="0.25">
      <c r="A4718" s="1677"/>
      <c r="B4718" s="1674"/>
      <c r="C4718" s="1674"/>
      <c r="D4718" s="1674"/>
      <c r="E4718" s="1674"/>
      <c r="F4718" s="1674"/>
      <c r="G4718" s="1678"/>
      <c r="H4718" s="1681"/>
      <c r="I4718" s="1720">
        <f>Parameters!C17</f>
        <v>2012</v>
      </c>
      <c r="J4718" s="1681"/>
      <c r="K4718" s="1720">
        <f>Parameters!C19</f>
        <v>2011</v>
      </c>
      <c r="L4718" s="1674"/>
      <c r="M4718" s="1721" t="s">
        <v>803</v>
      </c>
      <c r="N4718" s="1722">
        <f>Parameters!C21</f>
        <v>2010</v>
      </c>
      <c r="O4718" s="1723"/>
      <c r="P4718" s="1695"/>
      <c r="U4718" s="1673"/>
      <c r="V4718" s="1674"/>
      <c r="W4718" s="1675"/>
      <c r="X4718" s="1674"/>
      <c r="Y4718" s="1674"/>
      <c r="Z4718" s="1674"/>
      <c r="AA4718" s="1674"/>
      <c r="AB4718" s="1674"/>
      <c r="AC4718" s="1674"/>
    </row>
    <row r="4719" spans="1:29" s="1672" customFormat="1" ht="15.6" customHeight="1" x14ac:dyDescent="0.25">
      <c r="A4719" s="1674"/>
      <c r="B4719" s="1674"/>
      <c r="C4719" s="1674"/>
      <c r="D4719" s="1678"/>
      <c r="E4719" s="1674"/>
      <c r="F4719" s="1678"/>
      <c r="G4719" s="1678"/>
      <c r="H4719" s="1678"/>
      <c r="I4719" s="1681" t="s">
        <v>255</v>
      </c>
      <c r="J4719" s="1682"/>
      <c r="K4719" s="1681" t="s">
        <v>255</v>
      </c>
      <c r="L4719" s="1683"/>
      <c r="M4719" s="1690"/>
      <c r="N4719" s="1669"/>
      <c r="O4719" s="1685"/>
      <c r="P4719" s="1695"/>
      <c r="U4719" s="1673"/>
      <c r="V4719" s="1674"/>
      <c r="W4719" s="1675"/>
      <c r="X4719" s="1674"/>
      <c r="Y4719" s="1674"/>
      <c r="Z4719" s="1674"/>
      <c r="AA4719" s="1674"/>
      <c r="AB4719" s="1674"/>
      <c r="AC4719" s="1674"/>
    </row>
    <row r="4720" spans="1:29" s="1672" customFormat="1" ht="15.6" customHeight="1" x14ac:dyDescent="0.25">
      <c r="A4720" s="1674"/>
      <c r="B4720" s="1674"/>
      <c r="C4720" s="1674"/>
      <c r="D4720" s="1678"/>
      <c r="E4720" s="1674"/>
      <c r="F4720" s="1678"/>
      <c r="G4720" s="1678"/>
      <c r="H4720" s="1678"/>
      <c r="I4720" s="1679"/>
      <c r="J4720" s="1678"/>
      <c r="K4720" s="1679"/>
      <c r="L4720" s="1674"/>
      <c r="M4720" s="1690"/>
      <c r="N4720" s="1669"/>
      <c r="O4720" s="1685"/>
      <c r="P4720" s="1695"/>
      <c r="U4720" s="1673"/>
      <c r="V4720" s="1674"/>
      <c r="W4720" s="1675"/>
      <c r="X4720" s="1674"/>
      <c r="Y4720" s="1674"/>
      <c r="Z4720" s="1674"/>
      <c r="AA4720" s="1674"/>
      <c r="AB4720" s="1674"/>
      <c r="AC4720" s="1674"/>
    </row>
    <row r="4721" spans="1:29" s="1672" customFormat="1" ht="15.6" customHeight="1" x14ac:dyDescent="0.25">
      <c r="A4721" s="1674"/>
      <c r="B4721" s="2958" t="s">
        <v>1185</v>
      </c>
      <c r="C4721" s="2958"/>
      <c r="D4721" s="2958"/>
      <c r="E4721" s="2958"/>
      <c r="F4721" s="2958"/>
      <c r="G4721" s="2958"/>
      <c r="H4721" s="1678"/>
      <c r="I4721" s="58"/>
      <c r="J4721" s="1679"/>
      <c r="K4721" s="58"/>
      <c r="L4721" s="1674"/>
      <c r="M4721" s="1690"/>
      <c r="N4721" s="1669"/>
      <c r="O4721" s="1685"/>
      <c r="P4721" s="1695"/>
      <c r="U4721" s="1673"/>
      <c r="V4721" s="1674"/>
      <c r="W4721" s="1675"/>
      <c r="X4721" s="1674"/>
      <c r="Y4721" s="1674"/>
      <c r="Z4721" s="1674"/>
      <c r="AA4721" s="1674"/>
      <c r="AB4721" s="1674"/>
      <c r="AC4721" s="1674"/>
    </row>
    <row r="4722" spans="1:29" s="1672" customFormat="1" ht="15.6" customHeight="1" x14ac:dyDescent="0.25">
      <c r="A4722" s="1684"/>
      <c r="B4722" s="1684"/>
      <c r="C4722" s="1684"/>
      <c r="D4722" s="1684"/>
      <c r="E4722" s="1684"/>
      <c r="F4722" s="1684"/>
      <c r="G4722" s="1684"/>
      <c r="H4722" s="1684"/>
      <c r="I4722" s="58"/>
      <c r="J4722" s="1679"/>
      <c r="K4722" s="58"/>
      <c r="L4722" s="1684"/>
      <c r="M4722" s="1690"/>
      <c r="N4722" s="1669"/>
      <c r="O4722" s="1685"/>
      <c r="P4722" s="1695"/>
      <c r="U4722" s="1673"/>
      <c r="V4722" s="1674"/>
      <c r="W4722" s="1675"/>
      <c r="X4722" s="1674"/>
      <c r="Y4722" s="1674"/>
      <c r="Z4722" s="1674"/>
      <c r="AA4722" s="1674"/>
      <c r="AB4722" s="1674"/>
      <c r="AC4722" s="1674"/>
    </row>
    <row r="4723" spans="1:29" s="1672" customFormat="1" ht="15.6" customHeight="1" x14ac:dyDescent="0.25">
      <c r="A4723" s="1674"/>
      <c r="B4723" s="1674" t="s">
        <v>1186</v>
      </c>
      <c r="C4723" s="1674"/>
      <c r="D4723" s="1678"/>
      <c r="E4723" s="1674"/>
      <c r="F4723" s="1678"/>
      <c r="G4723" s="1678"/>
      <c r="H4723" s="1678"/>
      <c r="I4723" s="58">
        <f>E4608-E4615+E4622</f>
        <v>7191654.6099999994</v>
      </c>
      <c r="J4723" s="1682"/>
      <c r="K4723" s="58">
        <f>I4608-I4615+I4622</f>
        <v>6240470.0199999986</v>
      </c>
      <c r="L4723" s="1674"/>
      <c r="M4723" s="1690"/>
      <c r="N4723" s="1669"/>
      <c r="O4723" s="1685"/>
      <c r="P4723" s="1671"/>
      <c r="U4723" s="1673"/>
      <c r="V4723" s="1674"/>
      <c r="W4723" s="1675"/>
      <c r="X4723" s="1674"/>
      <c r="Y4723" s="1674"/>
      <c r="Z4723" s="1674"/>
      <c r="AA4723" s="1674"/>
      <c r="AB4723" s="1674"/>
      <c r="AC4723" s="1674"/>
    </row>
    <row r="4724" spans="1:29" s="1672" customFormat="1" ht="15.6" customHeight="1" x14ac:dyDescent="0.25">
      <c r="A4724" s="1674"/>
      <c r="B4724" s="1674" t="s">
        <v>4217</v>
      </c>
      <c r="C4724" s="1674"/>
      <c r="D4724" s="1678"/>
      <c r="E4724" s="1674"/>
      <c r="F4724" s="1678"/>
      <c r="G4724" s="1678"/>
      <c r="H4724" s="1678"/>
      <c r="I4724" s="58">
        <f>-E4599</f>
        <v>-17388.900000000001</v>
      </c>
      <c r="J4724" s="1682"/>
      <c r="K4724" s="58">
        <f>-I4599</f>
        <v>-213644.9</v>
      </c>
      <c r="L4724" s="1674"/>
      <c r="M4724" s="1690"/>
      <c r="N4724" s="1669"/>
      <c r="O4724" s="1685"/>
      <c r="P4724" s="1671"/>
      <c r="U4724" s="1673"/>
      <c r="V4724" s="1674"/>
      <c r="W4724" s="1675"/>
      <c r="X4724" s="1674"/>
      <c r="Y4724" s="1674"/>
      <c r="Z4724" s="1674"/>
      <c r="AA4724" s="1674"/>
      <c r="AB4724" s="1674"/>
      <c r="AC4724" s="1674"/>
    </row>
    <row r="4725" spans="1:29" s="1672" customFormat="1" ht="15.6" customHeight="1" x14ac:dyDescent="0.25">
      <c r="A4725" s="1674"/>
      <c r="B4725" s="1674"/>
      <c r="C4725" s="1674"/>
      <c r="D4725" s="1678"/>
      <c r="E4725" s="1674"/>
      <c r="F4725" s="1678"/>
      <c r="G4725" s="1678"/>
      <c r="H4725" s="1678"/>
      <c r="I4725" s="58"/>
      <c r="J4725" s="1682"/>
      <c r="K4725" s="58"/>
      <c r="L4725" s="1674"/>
      <c r="M4725" s="1690"/>
      <c r="N4725" s="1669"/>
      <c r="O4725" s="1685"/>
      <c r="P4725" s="1695"/>
      <c r="U4725" s="1673"/>
      <c r="V4725" s="1674"/>
      <c r="W4725" s="1675"/>
      <c r="X4725" s="1674"/>
      <c r="Y4725" s="1674"/>
      <c r="Z4725" s="1674"/>
      <c r="AA4725" s="1674"/>
      <c r="AB4725" s="1674"/>
      <c r="AC4725" s="1674"/>
    </row>
    <row r="4726" spans="1:29" s="1674" customFormat="1" ht="15.6" customHeight="1" thickBot="1" x14ac:dyDescent="0.3">
      <c r="B4726" s="1674" t="s">
        <v>1187</v>
      </c>
      <c r="D4726" s="1678"/>
      <c r="F4726" s="1678"/>
      <c r="G4726" s="1678"/>
      <c r="H4726" s="1678"/>
      <c r="I4726" s="1697">
        <f>SUM(I4722:I4725)</f>
        <v>7174265.709999999</v>
      </c>
      <c r="J4726" s="1682"/>
      <c r="K4726" s="1697">
        <f>SUM(K4722:K4725)</f>
        <v>6026825.1199999982</v>
      </c>
      <c r="M4726" s="1690"/>
      <c r="N4726" s="1669"/>
      <c r="O4726" s="1685"/>
      <c r="P4726" s="1695"/>
      <c r="Q4726" s="1672"/>
      <c r="R4726" s="1672"/>
      <c r="S4726" s="1672"/>
      <c r="T4726" s="1672"/>
      <c r="U4726" s="1673"/>
      <c r="W4726" s="1675"/>
    </row>
    <row r="4727" spans="1:29" s="1674" customFormat="1" ht="15.6" customHeight="1" thickTop="1" x14ac:dyDescent="0.25">
      <c r="D4727" s="1678"/>
      <c r="F4727" s="1678"/>
      <c r="G4727" s="1678"/>
      <c r="H4727" s="1678"/>
      <c r="I4727" s="58"/>
      <c r="J4727" s="1682"/>
      <c r="K4727" s="58"/>
      <c r="M4727" s="1690"/>
      <c r="N4727" s="1669"/>
      <c r="O4727" s="1685"/>
      <c r="P4727" s="1695"/>
      <c r="Q4727" s="1672"/>
      <c r="R4727" s="1672"/>
      <c r="S4727" s="1672"/>
      <c r="T4727" s="1672"/>
      <c r="U4727" s="1673"/>
      <c r="W4727" s="1675"/>
    </row>
    <row r="4728" spans="1:29" s="1674" customFormat="1" ht="15.6" customHeight="1" thickBot="1" x14ac:dyDescent="0.3">
      <c r="B4728" s="1674" t="s">
        <v>4067</v>
      </c>
      <c r="D4728" s="1678"/>
      <c r="F4728" s="1678"/>
      <c r="G4728" s="1678"/>
      <c r="H4728" s="1678"/>
      <c r="I4728" s="243">
        <f>'Fin Pos'!J57</f>
        <v>286177332.7700001</v>
      </c>
      <c r="J4728" s="1682"/>
      <c r="K4728" s="243">
        <f>'Fin Pos'!L57</f>
        <v>303217864.52000016</v>
      </c>
      <c r="M4728" s="1690"/>
      <c r="N4728" s="1669"/>
      <c r="O4728" s="1685"/>
      <c r="P4728" s="1695"/>
      <c r="Q4728" s="1672"/>
      <c r="R4728" s="1672"/>
      <c r="S4728" s="1672"/>
      <c r="T4728" s="1672"/>
      <c r="U4728" s="1673"/>
      <c r="W4728" s="1675"/>
    </row>
    <row r="4729" spans="1:29" s="1674" customFormat="1" ht="15.6" customHeight="1" thickTop="1" thickBot="1" x14ac:dyDescent="0.3">
      <c r="D4729" s="1678"/>
      <c r="F4729" s="1678"/>
      <c r="G4729" s="1678"/>
      <c r="H4729" s="1678"/>
      <c r="I4729" s="58"/>
      <c r="J4729" s="1682"/>
      <c r="K4729" s="58"/>
      <c r="M4729" s="1690"/>
      <c r="N4729" s="1669"/>
      <c r="O4729" s="1685"/>
      <c r="P4729" s="1695"/>
      <c r="Q4729" s="1672"/>
      <c r="R4729" s="1672"/>
      <c r="S4729" s="1672"/>
      <c r="T4729" s="1672"/>
      <c r="U4729" s="1673"/>
      <c r="W4729" s="1675"/>
    </row>
    <row r="4730" spans="1:29" s="1677" customFormat="1" ht="15.6" customHeight="1" thickTop="1" thickBot="1" x14ac:dyDescent="0.3">
      <c r="B4730" s="1677" t="s">
        <v>2399</v>
      </c>
      <c r="D4730" s="1724"/>
      <c r="F4730" s="1724"/>
      <c r="G4730" s="1724"/>
      <c r="H4730" s="1724"/>
      <c r="I4730" s="753">
        <f>I4726/I4728</f>
        <v>2.5069301053853681E-2</v>
      </c>
      <c r="J4730" s="1682"/>
      <c r="K4730" s="753">
        <f>K4726/K4728</f>
        <v>1.9876220451392534E-2</v>
      </c>
      <c r="M4730" s="1725"/>
      <c r="N4730" s="1726"/>
      <c r="O4730" s="1721"/>
      <c r="P4730" s="1695"/>
      <c r="Q4730" s="1672"/>
      <c r="R4730" s="1672"/>
      <c r="S4730" s="1672"/>
      <c r="T4730" s="1672"/>
      <c r="U4730" s="1673"/>
      <c r="V4730" s="1674"/>
      <c r="W4730" s="1675"/>
      <c r="X4730" s="1674"/>
      <c r="Y4730" s="1674"/>
      <c r="Z4730" s="1674"/>
      <c r="AA4730" s="1674"/>
      <c r="AB4730" s="1674"/>
      <c r="AC4730" s="1674"/>
    </row>
    <row r="4731" spans="1:29" s="1674" customFormat="1" ht="15.6" customHeight="1" thickTop="1" x14ac:dyDescent="0.25">
      <c r="D4731" s="1678"/>
      <c r="F4731" s="1678"/>
      <c r="G4731" s="1678"/>
      <c r="H4731" s="1678"/>
      <c r="I4731" s="58"/>
      <c r="J4731" s="1682"/>
      <c r="K4731" s="58"/>
      <c r="M4731" s="1690"/>
      <c r="N4731" s="1669"/>
      <c r="O4731" s="1685"/>
      <c r="P4731" s="1695"/>
      <c r="Q4731" s="1672"/>
      <c r="R4731" s="1672"/>
      <c r="S4731" s="1672"/>
      <c r="T4731" s="1672"/>
      <c r="U4731" s="1673"/>
      <c r="W4731" s="1675"/>
    </row>
    <row r="4732" spans="1:29" s="1674" customFormat="1" ht="15.6" customHeight="1" x14ac:dyDescent="0.25">
      <c r="B4732" s="2958" t="s">
        <v>7330</v>
      </c>
      <c r="C4732" s="2958"/>
      <c r="D4732" s="2958"/>
      <c r="E4732" s="2958"/>
      <c r="F4732" s="2958"/>
      <c r="G4732" s="2958"/>
      <c r="H4732" s="2958"/>
      <c r="I4732" s="2958"/>
      <c r="J4732" s="2958"/>
      <c r="K4732" s="2958"/>
      <c r="M4732" s="1690"/>
      <c r="N4732" s="1669"/>
      <c r="O4732" s="1685"/>
      <c r="P4732" s="1671"/>
      <c r="Q4732" s="1672"/>
      <c r="R4732" s="1672"/>
      <c r="S4732" s="1672"/>
      <c r="T4732" s="1672"/>
      <c r="U4732" s="1673"/>
      <c r="W4732" s="1675"/>
    </row>
    <row r="4733" spans="1:29" s="1674" customFormat="1" ht="15.6" hidden="1" customHeight="1" x14ac:dyDescent="0.25">
      <c r="B4733" s="2959" t="s">
        <v>2209</v>
      </c>
      <c r="C4733" s="2959"/>
      <c r="D4733" s="2959"/>
      <c r="E4733" s="2959"/>
      <c r="F4733" s="2959"/>
      <c r="G4733" s="2959"/>
      <c r="H4733" s="2959"/>
      <c r="I4733" s="2959"/>
      <c r="J4733" s="2959"/>
      <c r="K4733" s="2959"/>
      <c r="M4733" s="1690"/>
      <c r="N4733" s="1669"/>
      <c r="O4733" s="1685"/>
      <c r="P4733" s="1695"/>
      <c r="Q4733" s="1672"/>
      <c r="R4733" s="1672"/>
      <c r="S4733" s="1672"/>
      <c r="T4733" s="1672"/>
      <c r="U4733" s="1673"/>
      <c r="W4733" s="1675"/>
    </row>
    <row r="4734" spans="1:29" s="1674" customFormat="1" ht="15.6" customHeight="1" x14ac:dyDescent="0.25">
      <c r="A4734" s="1684"/>
      <c r="B4734" s="1684"/>
      <c r="C4734" s="1684"/>
      <c r="D4734" s="1684"/>
      <c r="E4734" s="1684"/>
      <c r="F4734" s="1684"/>
      <c r="G4734" s="1684"/>
      <c r="H4734" s="1684"/>
      <c r="I4734" s="58"/>
      <c r="J4734" s="1679"/>
      <c r="K4734" s="58"/>
      <c r="L4734" s="1684"/>
      <c r="M4734" s="1690"/>
      <c r="N4734" s="1669"/>
      <c r="O4734" s="1685"/>
      <c r="P4734" s="1671"/>
      <c r="Q4734" s="1672"/>
      <c r="R4734" s="1672"/>
      <c r="S4734" s="1672"/>
      <c r="T4734" s="1672"/>
      <c r="U4734" s="1673"/>
      <c r="W4734" s="1675"/>
    </row>
    <row r="4735" spans="1:29" s="1674" customFormat="1" ht="30.95" customHeight="1" x14ac:dyDescent="0.2">
      <c r="A4735" s="1684"/>
      <c r="B4735" s="2949" t="s">
        <v>4458</v>
      </c>
      <c r="C4735" s="2949"/>
      <c r="D4735" s="2949"/>
      <c r="E4735" s="2949"/>
      <c r="F4735" s="2949"/>
      <c r="G4735" s="2949"/>
      <c r="H4735" s="2949"/>
      <c r="I4735" s="2949"/>
      <c r="J4735" s="2949"/>
      <c r="K4735" s="2949"/>
      <c r="L4735" s="1684"/>
      <c r="M4735" s="1690"/>
      <c r="N4735" s="1669"/>
      <c r="O4735" s="1685"/>
      <c r="P4735" s="1695"/>
      <c r="Q4735" s="1672"/>
      <c r="R4735" s="1672"/>
      <c r="S4735" s="1672"/>
      <c r="T4735" s="1672"/>
      <c r="U4735" s="1673"/>
      <c r="V4735" s="1690"/>
      <c r="W4735" s="1676"/>
    </row>
    <row r="4736" spans="1:29" s="1674" customFormat="1" ht="15.6" customHeight="1" x14ac:dyDescent="0.25">
      <c r="A4736" s="1684"/>
      <c r="B4736" s="1684"/>
      <c r="C4736" s="1684"/>
      <c r="D4736" s="1684"/>
      <c r="E4736" s="1684"/>
      <c r="F4736" s="1684"/>
      <c r="G4736" s="1684"/>
      <c r="H4736" s="1684"/>
      <c r="I4736" s="58"/>
      <c r="J4736" s="1679"/>
      <c r="K4736" s="58"/>
      <c r="L4736" s="1684"/>
      <c r="M4736" s="1690"/>
      <c r="N4736" s="1669"/>
      <c r="O4736" s="1685"/>
      <c r="P4736" s="1671"/>
      <c r="Q4736" s="1672"/>
      <c r="R4736" s="1672"/>
      <c r="S4736" s="1672"/>
      <c r="T4736" s="1672"/>
      <c r="U4736" s="1673"/>
      <c r="W4736" s="1675"/>
    </row>
    <row r="4737" spans="1:23" s="1674" customFormat="1" ht="15.6" customHeight="1" x14ac:dyDescent="0.25">
      <c r="B4737" s="1686" t="s">
        <v>7620</v>
      </c>
      <c r="C4737" s="1677"/>
      <c r="D4737" s="1678"/>
      <c r="F4737" s="1678"/>
      <c r="G4737" s="1678"/>
      <c r="H4737" s="1678"/>
      <c r="I4737" s="58"/>
      <c r="J4737" s="1679"/>
      <c r="K4737" s="58"/>
      <c r="M4737" s="1700" t="s">
        <v>4079</v>
      </c>
      <c r="N4737" s="1669"/>
      <c r="O4737" s="1685"/>
      <c r="P4737" s="1695"/>
      <c r="Q4737" s="1672"/>
      <c r="R4737" s="1672"/>
      <c r="S4737" s="1672"/>
      <c r="T4737" s="1672"/>
      <c r="U4737" s="1673"/>
      <c r="W4737" s="1675" t="s">
        <v>3857</v>
      </c>
    </row>
    <row r="4738" spans="1:23" s="1674" customFormat="1" ht="15.6" customHeight="1" x14ac:dyDescent="0.25">
      <c r="A4738" s="1684"/>
      <c r="B4738" s="1684"/>
      <c r="C4738" s="1684"/>
      <c r="D4738" s="1684"/>
      <c r="E4738" s="1684"/>
      <c r="F4738" s="1684"/>
      <c r="G4738" s="1684"/>
      <c r="H4738" s="1684"/>
      <c r="I4738" s="58"/>
      <c r="J4738" s="1679"/>
      <c r="K4738" s="58"/>
      <c r="L4738" s="1684"/>
      <c r="M4738" s="1690"/>
      <c r="N4738" s="1669"/>
      <c r="O4738" s="1685"/>
      <c r="P4738" s="1695"/>
      <c r="Q4738" s="1672"/>
      <c r="R4738" s="1672"/>
      <c r="S4738" s="1672"/>
      <c r="T4738" s="1672"/>
      <c r="U4738" s="1673"/>
      <c r="W4738" s="1675"/>
    </row>
    <row r="4739" spans="1:23" s="1674" customFormat="1" ht="30.95" hidden="1" customHeight="1" x14ac:dyDescent="0.25">
      <c r="A4739" s="1684"/>
      <c r="B4739" s="2960" t="s">
        <v>2449</v>
      </c>
      <c r="C4739" s="2960"/>
      <c r="D4739" s="2960"/>
      <c r="E4739" s="2960"/>
      <c r="F4739" s="2960"/>
      <c r="G4739" s="2960"/>
      <c r="H4739" s="2960"/>
      <c r="I4739" s="2960"/>
      <c r="J4739" s="2960"/>
      <c r="K4739" s="2960"/>
      <c r="L4739" s="1684"/>
      <c r="M4739" s="1727"/>
      <c r="N4739" s="1728"/>
      <c r="P4739" s="1671"/>
      <c r="Q4739" s="1672"/>
      <c r="R4739" s="1672"/>
      <c r="S4739" s="1672"/>
      <c r="T4739" s="1672"/>
      <c r="U4739" s="1673"/>
      <c r="W4739" s="1675"/>
    </row>
    <row r="4740" spans="1:23" s="1674" customFormat="1" ht="46.5" customHeight="1" x14ac:dyDescent="0.25">
      <c r="A4740" s="1684"/>
      <c r="B4740" s="2949" t="s">
        <v>2400</v>
      </c>
      <c r="C4740" s="2949"/>
      <c r="D4740" s="2949"/>
      <c r="E4740" s="2949"/>
      <c r="F4740" s="2949"/>
      <c r="G4740" s="2949"/>
      <c r="H4740" s="2949"/>
      <c r="I4740" s="2949"/>
      <c r="J4740" s="2949"/>
      <c r="K4740" s="2949"/>
      <c r="L4740" s="1684"/>
      <c r="M4740" s="1703"/>
      <c r="N4740" s="1669"/>
      <c r="O4740" s="1685"/>
      <c r="P4740" s="1671"/>
      <c r="Q4740" s="1672"/>
      <c r="R4740" s="1672"/>
      <c r="S4740" s="1672"/>
      <c r="T4740" s="1672"/>
      <c r="U4740" s="1673"/>
      <c r="W4740" s="1675"/>
    </row>
    <row r="4741" spans="1:23" s="1674" customFormat="1" ht="15.6" customHeight="1" x14ac:dyDescent="0.25">
      <c r="D4741" s="1678"/>
      <c r="F4741" s="1678"/>
      <c r="G4741" s="1678"/>
      <c r="H4741" s="1678"/>
      <c r="I4741" s="58"/>
      <c r="J4741" s="1682"/>
      <c r="K4741" s="58"/>
      <c r="M4741" s="1690"/>
      <c r="N4741" s="1669"/>
      <c r="O4741" s="1685"/>
      <c r="P4741" s="1695"/>
      <c r="Q4741" s="1672"/>
      <c r="R4741" s="1672"/>
      <c r="S4741" s="1672"/>
      <c r="T4741" s="1672"/>
      <c r="U4741" s="1673"/>
      <c r="W4741" s="1675"/>
    </row>
    <row r="4742" spans="1:23" s="1674" customFormat="1" ht="62.1" hidden="1" customHeight="1" x14ac:dyDescent="0.2">
      <c r="A4742" s="1684"/>
      <c r="B4742" s="2960" t="s">
        <v>4459</v>
      </c>
      <c r="C4742" s="2960"/>
      <c r="D4742" s="2960"/>
      <c r="E4742" s="2960"/>
      <c r="F4742" s="2960"/>
      <c r="G4742" s="2960"/>
      <c r="H4742" s="2960"/>
      <c r="I4742" s="2960"/>
      <c r="J4742" s="2960"/>
      <c r="K4742" s="2960"/>
      <c r="L4742" s="1684"/>
      <c r="M4742" s="1702"/>
      <c r="N4742" s="1669"/>
      <c r="O4742" s="1685"/>
      <c r="P4742" s="1671"/>
      <c r="Q4742" s="1672"/>
      <c r="R4742" s="1672"/>
      <c r="S4742" s="1672"/>
      <c r="T4742" s="1672"/>
      <c r="U4742" s="1673"/>
      <c r="V4742" s="1690"/>
      <c r="W4742" s="1676"/>
    </row>
    <row r="4743" spans="1:23" s="1674" customFormat="1" ht="62.1" hidden="1" customHeight="1" x14ac:dyDescent="0.25">
      <c r="A4743" s="1684"/>
      <c r="B4743" s="2960" t="s">
        <v>1320</v>
      </c>
      <c r="C4743" s="2960"/>
      <c r="D4743" s="2960"/>
      <c r="E4743" s="2960"/>
      <c r="F4743" s="2960"/>
      <c r="G4743" s="2960"/>
      <c r="H4743" s="2960"/>
      <c r="I4743" s="2960"/>
      <c r="J4743" s="2960"/>
      <c r="K4743" s="2960"/>
      <c r="L4743" s="1684"/>
      <c r="M4743" s="1703"/>
      <c r="N4743" s="1669"/>
      <c r="O4743" s="1685"/>
      <c r="P4743" s="1695"/>
      <c r="Q4743" s="1672"/>
      <c r="R4743" s="1672"/>
      <c r="S4743" s="1672"/>
      <c r="T4743" s="1672"/>
      <c r="U4743" s="1673"/>
      <c r="W4743" s="1675"/>
    </row>
    <row r="4744" spans="1:23" s="1674" customFormat="1" ht="15.6" hidden="1" customHeight="1" x14ac:dyDescent="0.25">
      <c r="D4744" s="1678"/>
      <c r="F4744" s="1678"/>
      <c r="G4744" s="1678"/>
      <c r="H4744" s="1678"/>
      <c r="I4744" s="58"/>
      <c r="J4744" s="1682"/>
      <c r="K4744" s="58"/>
      <c r="M4744" s="1690"/>
      <c r="N4744" s="1669"/>
      <c r="O4744" s="1685"/>
      <c r="P4744" s="1695"/>
      <c r="Q4744" s="1672"/>
      <c r="R4744" s="1672"/>
      <c r="S4744" s="1672"/>
      <c r="T4744" s="1672"/>
      <c r="U4744" s="1673"/>
      <c r="W4744" s="1675"/>
    </row>
    <row r="4745" spans="1:23" s="1674" customFormat="1" ht="77.45" hidden="1" customHeight="1" x14ac:dyDescent="0.25">
      <c r="A4745" s="1684"/>
      <c r="B4745" s="2960" t="s">
        <v>4461</v>
      </c>
      <c r="C4745" s="2960"/>
      <c r="D4745" s="2960"/>
      <c r="E4745" s="2960"/>
      <c r="F4745" s="2960"/>
      <c r="G4745" s="2960"/>
      <c r="H4745" s="2960"/>
      <c r="I4745" s="2960"/>
      <c r="J4745" s="2960"/>
      <c r="K4745" s="2960"/>
      <c r="L4745" s="1684"/>
      <c r="M4745" s="1703"/>
      <c r="N4745" s="1669"/>
      <c r="O4745" s="1685"/>
      <c r="P4745" s="1671"/>
      <c r="Q4745" s="1672"/>
      <c r="R4745" s="1672"/>
      <c r="S4745" s="1672"/>
      <c r="T4745" s="1672"/>
      <c r="U4745" s="1673"/>
      <c r="W4745" s="1675"/>
    </row>
    <row r="4746" spans="1:23" s="1674" customFormat="1" ht="66.75" hidden="1" customHeight="1" x14ac:dyDescent="0.25">
      <c r="A4746" s="1684"/>
      <c r="B4746" s="2949" t="s">
        <v>2401</v>
      </c>
      <c r="C4746" s="2949"/>
      <c r="D4746" s="2949"/>
      <c r="E4746" s="2949"/>
      <c r="F4746" s="2949"/>
      <c r="G4746" s="2949"/>
      <c r="H4746" s="2949"/>
      <c r="I4746" s="2949"/>
      <c r="J4746" s="2949"/>
      <c r="K4746" s="2949"/>
      <c r="L4746" s="1684"/>
      <c r="M4746" s="1703"/>
      <c r="N4746" s="1669"/>
      <c r="O4746" s="1685"/>
      <c r="P4746" s="1671"/>
      <c r="Q4746" s="1672"/>
      <c r="R4746" s="1672"/>
      <c r="S4746" s="1672"/>
      <c r="T4746" s="1672"/>
      <c r="U4746" s="1673"/>
      <c r="W4746" s="1675"/>
    </row>
    <row r="4747" spans="1:23" s="1674" customFormat="1" ht="62.1" customHeight="1" x14ac:dyDescent="0.25">
      <c r="A4747" s="1684"/>
      <c r="B4747" s="2949" t="s">
        <v>2170</v>
      </c>
      <c r="C4747" s="2949"/>
      <c r="D4747" s="2949"/>
      <c r="E4747" s="2949"/>
      <c r="F4747" s="2949"/>
      <c r="G4747" s="2949"/>
      <c r="H4747" s="2949"/>
      <c r="I4747" s="2949"/>
      <c r="J4747" s="2949"/>
      <c r="K4747" s="2949"/>
      <c r="L4747" s="1684"/>
      <c r="M4747" s="1703"/>
      <c r="N4747" s="1669"/>
      <c r="O4747" s="1685"/>
      <c r="P4747" s="1695"/>
      <c r="Q4747" s="1672"/>
      <c r="R4747" s="1672"/>
      <c r="S4747" s="1672"/>
      <c r="T4747" s="1672"/>
      <c r="U4747" s="1673"/>
      <c r="W4747" s="1675"/>
    </row>
    <row r="4748" spans="1:23" s="1674" customFormat="1" ht="15.6" hidden="1" customHeight="1" x14ac:dyDescent="0.25">
      <c r="D4748" s="1678"/>
      <c r="F4748" s="1678"/>
      <c r="G4748" s="1678"/>
      <c r="H4748" s="1678"/>
      <c r="I4748" s="58"/>
      <c r="J4748" s="1682"/>
      <c r="K4748" s="58"/>
      <c r="M4748" s="1690"/>
      <c r="N4748" s="1669"/>
      <c r="O4748" s="1685"/>
      <c r="P4748" s="1695"/>
      <c r="Q4748" s="1672"/>
      <c r="R4748" s="1672"/>
      <c r="S4748" s="1672"/>
      <c r="T4748" s="1672"/>
      <c r="U4748" s="1673"/>
      <c r="W4748" s="1675"/>
    </row>
    <row r="4749" spans="1:23" s="1674" customFormat="1" ht="30.95" hidden="1" customHeight="1" x14ac:dyDescent="0.25">
      <c r="A4749" s="1684"/>
      <c r="B4749" s="2960" t="s">
        <v>1188</v>
      </c>
      <c r="C4749" s="2960"/>
      <c r="D4749" s="2960"/>
      <c r="E4749" s="2960"/>
      <c r="F4749" s="2960"/>
      <c r="G4749" s="2960"/>
      <c r="H4749" s="2960"/>
      <c r="I4749" s="2960"/>
      <c r="J4749" s="2960"/>
      <c r="K4749" s="2960"/>
      <c r="L4749" s="1684"/>
      <c r="M4749" s="1702"/>
      <c r="N4749" s="1669"/>
      <c r="O4749" s="1685"/>
      <c r="P4749" s="1671"/>
      <c r="Q4749" s="1672"/>
      <c r="R4749" s="1672"/>
      <c r="S4749" s="1672"/>
      <c r="T4749" s="1672"/>
      <c r="U4749" s="1673"/>
      <c r="W4749" s="1675"/>
    </row>
    <row r="4750" spans="1:23" s="1674" customFormat="1" ht="30.95" customHeight="1" x14ac:dyDescent="0.25">
      <c r="A4750" s="1684"/>
      <c r="B4750" s="2949" t="s">
        <v>1374</v>
      </c>
      <c r="C4750" s="2949"/>
      <c r="D4750" s="2949"/>
      <c r="E4750" s="2949"/>
      <c r="F4750" s="2949"/>
      <c r="G4750" s="2949"/>
      <c r="H4750" s="2949"/>
      <c r="I4750" s="2949"/>
      <c r="J4750" s="2949"/>
      <c r="K4750" s="2949"/>
      <c r="L4750" s="1684"/>
      <c r="M4750" s="1703"/>
      <c r="N4750" s="1669"/>
      <c r="O4750" s="1685"/>
      <c r="P4750" s="1695"/>
      <c r="Q4750" s="1672"/>
      <c r="R4750" s="1672"/>
      <c r="S4750" s="1672"/>
      <c r="T4750" s="1672"/>
      <c r="U4750" s="1673"/>
      <c r="W4750" s="1675"/>
    </row>
    <row r="4751" spans="1:23" s="1674" customFormat="1" ht="15.6" customHeight="1" x14ac:dyDescent="0.25">
      <c r="A4751" s="1684"/>
      <c r="B4751" s="1684"/>
      <c r="C4751" s="1684"/>
      <c r="D4751" s="1684"/>
      <c r="E4751" s="1684"/>
      <c r="F4751" s="1684"/>
      <c r="G4751" s="1684"/>
      <c r="H4751" s="1684"/>
      <c r="I4751" s="58"/>
      <c r="J4751" s="1679"/>
      <c r="K4751" s="58"/>
      <c r="L4751" s="1684"/>
      <c r="M4751" s="1690"/>
      <c r="N4751" s="1669"/>
      <c r="O4751" s="1685"/>
      <c r="P4751" s="1695"/>
      <c r="Q4751" s="1672"/>
      <c r="R4751" s="1672"/>
      <c r="S4751" s="1672"/>
      <c r="T4751" s="1672"/>
      <c r="U4751" s="1673"/>
      <c r="W4751" s="1675"/>
    </row>
    <row r="4752" spans="1:23" s="1674" customFormat="1" ht="15.6" customHeight="1" x14ac:dyDescent="0.25">
      <c r="A4752" s="1684"/>
      <c r="B4752" s="2958" t="s">
        <v>2402</v>
      </c>
      <c r="C4752" s="2958"/>
      <c r="D4752" s="2958"/>
      <c r="E4752" s="2958"/>
      <c r="F4752" s="2958"/>
      <c r="G4752" s="2958"/>
      <c r="H4752" s="2958"/>
      <c r="I4752" s="2958"/>
      <c r="J4752" s="2958"/>
      <c r="K4752" s="2958"/>
      <c r="M4752" s="1690"/>
      <c r="N4752" s="1669"/>
      <c r="O4752" s="1685"/>
      <c r="P4752" s="1671"/>
      <c r="Q4752" s="1672"/>
      <c r="R4752" s="1672"/>
      <c r="S4752" s="1672"/>
      <c r="T4752" s="1672"/>
      <c r="U4752" s="1673"/>
      <c r="W4752" s="1675"/>
    </row>
    <row r="4753" spans="1:29" s="1674" customFormat="1" ht="15.6" customHeight="1" x14ac:dyDescent="0.25">
      <c r="A4753" s="1684"/>
      <c r="B4753" s="1684"/>
      <c r="C4753" s="1684"/>
      <c r="D4753" s="1684"/>
      <c r="E4753" s="1684"/>
      <c r="F4753" s="1684"/>
      <c r="G4753" s="1684"/>
      <c r="H4753" s="1684"/>
      <c r="I4753" s="58"/>
      <c r="J4753" s="1679"/>
      <c r="K4753" s="58"/>
      <c r="L4753" s="1684"/>
      <c r="M4753" s="1690"/>
      <c r="N4753" s="1669"/>
      <c r="O4753" s="1685"/>
      <c r="P4753" s="1695"/>
      <c r="Q4753" s="1672"/>
      <c r="R4753" s="1672"/>
      <c r="S4753" s="1672"/>
      <c r="T4753" s="1672"/>
      <c r="U4753" s="1673"/>
      <c r="W4753" s="1675"/>
    </row>
    <row r="4754" spans="1:29" s="1674" customFormat="1" ht="15.6" customHeight="1" x14ac:dyDescent="0.25">
      <c r="B4754" s="1686" t="s">
        <v>7621</v>
      </c>
      <c r="C4754" s="1677"/>
      <c r="D4754" s="1678"/>
      <c r="F4754" s="1678"/>
      <c r="G4754" s="1678"/>
      <c r="H4754" s="1678"/>
      <c r="I4754" s="58"/>
      <c r="J4754" s="1679"/>
      <c r="K4754" s="58"/>
      <c r="M4754" s="1690" t="s">
        <v>1189</v>
      </c>
      <c r="N4754" s="1669"/>
      <c r="O4754" s="1685"/>
      <c r="P4754" s="1671"/>
      <c r="Q4754" s="1672"/>
      <c r="R4754" s="1672"/>
      <c r="S4754" s="1672"/>
      <c r="T4754" s="1672"/>
      <c r="U4754" s="1673"/>
      <c r="W4754" s="1675" t="s">
        <v>3857</v>
      </c>
    </row>
    <row r="4755" spans="1:29" s="1674" customFormat="1" ht="15.6" customHeight="1" x14ac:dyDescent="0.25">
      <c r="A4755" s="1684"/>
      <c r="B4755" s="1684"/>
      <c r="C4755" s="1684"/>
      <c r="D4755" s="1684"/>
      <c r="E4755" s="1684"/>
      <c r="F4755" s="1684"/>
      <c r="G4755" s="1684"/>
      <c r="H4755" s="1684"/>
      <c r="I4755" s="58"/>
      <c r="J4755" s="1679"/>
      <c r="K4755" s="58"/>
      <c r="L4755" s="1684"/>
      <c r="M4755" s="1690"/>
      <c r="N4755" s="1669"/>
      <c r="O4755" s="1685"/>
      <c r="P4755" s="1695"/>
      <c r="Q4755" s="1672"/>
      <c r="R4755" s="1672"/>
      <c r="S4755" s="1672"/>
      <c r="T4755" s="1672"/>
      <c r="U4755" s="1673"/>
      <c r="W4755" s="1675"/>
    </row>
    <row r="4756" spans="1:29" s="1674" customFormat="1" ht="30.95" customHeight="1" x14ac:dyDescent="0.25">
      <c r="B4756" s="2958" t="s">
        <v>2403</v>
      </c>
      <c r="C4756" s="2958"/>
      <c r="D4756" s="2958"/>
      <c r="E4756" s="2958"/>
      <c r="F4756" s="2958"/>
      <c r="G4756" s="2958"/>
      <c r="H4756" s="2958"/>
      <c r="I4756" s="2958"/>
      <c r="J4756" s="2958"/>
      <c r="K4756" s="2958"/>
      <c r="M4756" s="1690"/>
      <c r="N4756" s="1669"/>
      <c r="O4756" s="1685"/>
      <c r="P4756" s="1671"/>
      <c r="Q4756" s="1672"/>
      <c r="R4756" s="1672"/>
      <c r="S4756" s="1672"/>
      <c r="T4756" s="1672"/>
      <c r="U4756" s="1673"/>
      <c r="W4756" s="1675"/>
    </row>
    <row r="4757" spans="1:29" s="1674" customFormat="1" ht="15.6" customHeight="1" x14ac:dyDescent="0.25">
      <c r="A4757" s="1684"/>
      <c r="B4757" s="1684"/>
      <c r="C4757" s="1684"/>
      <c r="D4757" s="1684"/>
      <c r="E4757" s="1684"/>
      <c r="F4757" s="1684"/>
      <c r="G4757" s="1684"/>
      <c r="H4757" s="1684"/>
      <c r="I4757" s="58"/>
      <c r="J4757" s="1679"/>
      <c r="K4757" s="58"/>
      <c r="L4757" s="1684"/>
      <c r="M4757" s="1690"/>
      <c r="N4757" s="1669"/>
      <c r="O4757" s="1685"/>
      <c r="P4757" s="1695"/>
      <c r="Q4757" s="1672"/>
      <c r="R4757" s="1672"/>
      <c r="S4757" s="1672"/>
      <c r="T4757" s="1672"/>
      <c r="U4757" s="1673"/>
      <c r="W4757" s="1675"/>
    </row>
    <row r="4758" spans="1:29" s="1675" customFormat="1" ht="15.6" customHeight="1" x14ac:dyDescent="0.25">
      <c r="A4758" s="1674"/>
      <c r="B4758" s="2958" t="s">
        <v>2404</v>
      </c>
      <c r="C4758" s="2958"/>
      <c r="D4758" s="2958"/>
      <c r="E4758" s="2958"/>
      <c r="F4758" s="2958"/>
      <c r="G4758" s="2958"/>
      <c r="H4758" s="2958"/>
      <c r="I4758" s="2958"/>
      <c r="J4758" s="2958"/>
      <c r="K4758" s="2958"/>
      <c r="L4758" s="1674"/>
      <c r="M4758" s="1690"/>
      <c r="N4758" s="1669"/>
      <c r="O4758" s="1685"/>
      <c r="P4758" s="1695"/>
      <c r="Q4758" s="1672"/>
      <c r="R4758" s="1672"/>
      <c r="S4758" s="1672"/>
      <c r="T4758" s="1672"/>
      <c r="U4758" s="1673"/>
      <c r="V4758" s="1674"/>
      <c r="X4758" s="1674"/>
      <c r="Y4758" s="1674"/>
      <c r="Z4758" s="1674"/>
      <c r="AA4758" s="1674"/>
      <c r="AB4758" s="1674"/>
      <c r="AC4758" s="1674"/>
    </row>
    <row r="4759" spans="1:29" s="1675" customFormat="1" ht="15.6" customHeight="1" x14ac:dyDescent="0.25">
      <c r="A4759" s="1674"/>
      <c r="B4759" s="1729" t="s">
        <v>2405</v>
      </c>
      <c r="C4759" s="1730"/>
      <c r="D4759" s="1730"/>
      <c r="E4759" s="1730"/>
      <c r="F4759" s="1730"/>
      <c r="G4759" s="1730"/>
      <c r="H4759" s="1730"/>
      <c r="I4759" s="1730"/>
      <c r="J4759" s="1730"/>
      <c r="K4759" s="1730"/>
      <c r="L4759" s="1674"/>
      <c r="M4759" s="1690"/>
      <c r="N4759" s="1669"/>
      <c r="O4759" s="1685"/>
      <c r="P4759" s="1695"/>
      <c r="Q4759" s="1672"/>
      <c r="R4759" s="1672"/>
      <c r="S4759" s="1672"/>
      <c r="T4759" s="1672"/>
      <c r="U4759" s="1673"/>
      <c r="V4759" s="1674"/>
      <c r="X4759" s="1674"/>
      <c r="Y4759" s="1674"/>
      <c r="Z4759" s="1674"/>
      <c r="AA4759" s="1674"/>
      <c r="AB4759" s="1674"/>
      <c r="AC4759" s="1674"/>
    </row>
    <row r="4760" spans="1:29" s="1675" customFormat="1" ht="15.6" customHeight="1" x14ac:dyDescent="0.25">
      <c r="A4760" s="1674"/>
      <c r="B4760" s="1729" t="s">
        <v>2406</v>
      </c>
      <c r="C4760" s="1730"/>
      <c r="D4760" s="1730"/>
      <c r="E4760" s="1730"/>
      <c r="F4760" s="1730"/>
      <c r="G4760" s="1730"/>
      <c r="H4760" s="1730"/>
      <c r="I4760" s="1730"/>
      <c r="J4760" s="1730"/>
      <c r="K4760" s="1730"/>
      <c r="L4760" s="1674"/>
      <c r="M4760" s="1690"/>
      <c r="N4760" s="1669"/>
      <c r="O4760" s="1685"/>
      <c r="P4760" s="1695"/>
      <c r="Q4760" s="1672"/>
      <c r="R4760" s="1672"/>
      <c r="S4760" s="1672"/>
      <c r="T4760" s="1672"/>
      <c r="U4760" s="1673"/>
      <c r="V4760" s="1674"/>
      <c r="X4760" s="1674"/>
      <c r="Y4760" s="1674"/>
      <c r="Z4760" s="1674"/>
      <c r="AA4760" s="1674"/>
      <c r="AB4760" s="1674"/>
      <c r="AC4760" s="1674"/>
    </row>
    <row r="4761" spans="1:29" s="1675" customFormat="1" ht="15.6" customHeight="1" x14ac:dyDescent="0.25">
      <c r="A4761" s="1674"/>
      <c r="B4761" s="1729" t="s">
        <v>2407</v>
      </c>
      <c r="C4761" s="1730"/>
      <c r="D4761" s="1730"/>
      <c r="E4761" s="1730"/>
      <c r="F4761" s="1730"/>
      <c r="G4761" s="1730"/>
      <c r="H4761" s="1730"/>
      <c r="I4761" s="1730"/>
      <c r="J4761" s="1730"/>
      <c r="K4761" s="1730"/>
      <c r="L4761" s="1674"/>
      <c r="M4761" s="1690"/>
      <c r="N4761" s="1669"/>
      <c r="O4761" s="1685"/>
      <c r="P4761" s="1671"/>
      <c r="Q4761" s="1672"/>
      <c r="R4761" s="1672"/>
      <c r="S4761" s="1672"/>
      <c r="T4761" s="1672"/>
      <c r="U4761" s="1673"/>
      <c r="V4761" s="1674"/>
      <c r="X4761" s="1674"/>
      <c r="Y4761" s="1674"/>
      <c r="Z4761" s="1674"/>
      <c r="AA4761" s="1674"/>
      <c r="AB4761" s="1674"/>
      <c r="AC4761" s="1674"/>
    </row>
    <row r="4762" spans="1:29" s="1675" customFormat="1" ht="15.6" customHeight="1" x14ac:dyDescent="0.25">
      <c r="A4762" s="1684"/>
      <c r="B4762" s="1684"/>
      <c r="C4762" s="1684"/>
      <c r="D4762" s="1684"/>
      <c r="E4762" s="1684"/>
      <c r="F4762" s="1684"/>
      <c r="G4762" s="1684"/>
      <c r="H4762" s="1684"/>
      <c r="I4762" s="58"/>
      <c r="J4762" s="1679"/>
      <c r="K4762" s="58"/>
      <c r="L4762" s="1684"/>
      <c r="M4762" s="1690"/>
      <c r="N4762" s="1669"/>
      <c r="O4762" s="1685"/>
      <c r="P4762" s="1695"/>
      <c r="Q4762" s="1672"/>
      <c r="R4762" s="1672"/>
      <c r="S4762" s="1672"/>
      <c r="T4762" s="1672"/>
      <c r="U4762" s="1673"/>
      <c r="V4762" s="1674"/>
      <c r="X4762" s="1674"/>
      <c r="Y4762" s="1674"/>
      <c r="Z4762" s="1674"/>
      <c r="AA4762" s="1674"/>
      <c r="AB4762" s="1674"/>
      <c r="AC4762" s="1674"/>
    </row>
    <row r="4763" spans="1:29" s="1675" customFormat="1" ht="15.6" customHeight="1" x14ac:dyDescent="0.25">
      <c r="A4763" s="1674"/>
      <c r="B4763" s="2958" t="s">
        <v>2415</v>
      </c>
      <c r="C4763" s="2958"/>
      <c r="D4763" s="2958"/>
      <c r="E4763" s="2958"/>
      <c r="F4763" s="2958"/>
      <c r="G4763" s="2958"/>
      <c r="H4763" s="2958"/>
      <c r="I4763" s="2958"/>
      <c r="J4763" s="2958"/>
      <c r="K4763" s="2958"/>
      <c r="L4763" s="1674"/>
      <c r="M4763" s="1690"/>
      <c r="N4763" s="1669"/>
      <c r="O4763" s="1685"/>
      <c r="P4763" s="1695"/>
      <c r="Q4763" s="1672"/>
      <c r="R4763" s="1672"/>
      <c r="S4763" s="1672"/>
      <c r="T4763" s="1672"/>
      <c r="U4763" s="1673"/>
      <c r="V4763" s="1674"/>
      <c r="X4763" s="1674"/>
      <c r="Y4763" s="1674"/>
      <c r="Z4763" s="1674"/>
      <c r="AA4763" s="1674"/>
      <c r="AB4763" s="1674"/>
      <c r="AC4763" s="1674"/>
    </row>
    <row r="4764" spans="1:29" s="1675" customFormat="1" ht="15.6" customHeight="1" x14ac:dyDescent="0.25">
      <c r="A4764" s="1684"/>
      <c r="B4764" s="1684"/>
      <c r="C4764" s="1684"/>
      <c r="D4764" s="1684"/>
      <c r="E4764" s="1684"/>
      <c r="F4764" s="1684"/>
      <c r="G4764" s="1684"/>
      <c r="H4764" s="1684"/>
      <c r="I4764" s="58"/>
      <c r="J4764" s="1679"/>
      <c r="K4764" s="58"/>
      <c r="L4764" s="1684"/>
      <c r="M4764" s="1690"/>
      <c r="N4764" s="1669"/>
      <c r="O4764" s="1685"/>
      <c r="P4764" s="1695"/>
      <c r="Q4764" s="1672"/>
      <c r="R4764" s="1672"/>
      <c r="S4764" s="1672"/>
      <c r="T4764" s="1672"/>
      <c r="U4764" s="1673"/>
      <c r="V4764" s="1674"/>
      <c r="X4764" s="1674"/>
      <c r="Y4764" s="1674"/>
      <c r="Z4764" s="1674"/>
      <c r="AA4764" s="1674"/>
      <c r="AB4764" s="1674"/>
      <c r="AC4764" s="1674"/>
    </row>
    <row r="4765" spans="1:29" s="1675" customFormat="1" ht="15.6" customHeight="1" x14ac:dyDescent="0.25">
      <c r="A4765" s="1674"/>
      <c r="B4765" s="1701" t="s">
        <v>2409</v>
      </c>
      <c r="C4765" s="1677"/>
      <c r="D4765" s="1678"/>
      <c r="E4765" s="1674"/>
      <c r="F4765" s="1678"/>
      <c r="G4765" s="1678"/>
      <c r="H4765" s="1678"/>
      <c r="I4765" s="58"/>
      <c r="J4765" s="1679"/>
      <c r="K4765" s="58"/>
      <c r="L4765" s="1674"/>
      <c r="M4765" s="1690"/>
      <c r="N4765" s="1669"/>
      <c r="O4765" s="1685"/>
      <c r="P4765" s="1671"/>
      <c r="Q4765" s="1672"/>
      <c r="R4765" s="1672"/>
      <c r="S4765" s="1672"/>
      <c r="T4765" s="1672"/>
      <c r="U4765" s="1673"/>
      <c r="V4765" s="1674"/>
      <c r="X4765" s="1674"/>
      <c r="Y4765" s="1674"/>
      <c r="Z4765" s="1674"/>
      <c r="AA4765" s="1674"/>
      <c r="AB4765" s="1674"/>
      <c r="AC4765" s="1674"/>
    </row>
    <row r="4766" spans="1:29" s="1675" customFormat="1" ht="46.5" customHeight="1" x14ac:dyDescent="0.25">
      <c r="A4766" s="1674"/>
      <c r="B4766" s="2958" t="s">
        <v>2408</v>
      </c>
      <c r="C4766" s="2958"/>
      <c r="D4766" s="2958"/>
      <c r="E4766" s="2958"/>
      <c r="F4766" s="2958"/>
      <c r="G4766" s="2958"/>
      <c r="H4766" s="2958"/>
      <c r="I4766" s="2958"/>
      <c r="J4766" s="2958"/>
      <c r="K4766" s="2958"/>
      <c r="L4766" s="1674"/>
      <c r="M4766" s="1690"/>
      <c r="N4766" s="1669"/>
      <c r="O4766" s="1685"/>
      <c r="P4766" s="1695"/>
      <c r="Q4766" s="1672"/>
      <c r="R4766" s="1672"/>
      <c r="S4766" s="1672"/>
      <c r="T4766" s="1672"/>
      <c r="U4766" s="1673"/>
      <c r="V4766" s="1674"/>
      <c r="X4766" s="1674"/>
      <c r="Y4766" s="1674"/>
      <c r="Z4766" s="1674"/>
      <c r="AA4766" s="1674"/>
      <c r="AB4766" s="1674"/>
      <c r="AC4766" s="1674"/>
    </row>
    <row r="4767" spans="1:29" s="1675" customFormat="1" ht="15.6" customHeight="1" x14ac:dyDescent="0.25">
      <c r="A4767" s="1684"/>
      <c r="B4767" s="1684"/>
      <c r="C4767" s="1684"/>
      <c r="D4767" s="1684"/>
      <c r="E4767" s="1684"/>
      <c r="F4767" s="1684"/>
      <c r="G4767" s="1684"/>
      <c r="H4767" s="1684"/>
      <c r="I4767" s="58"/>
      <c r="J4767" s="1679"/>
      <c r="K4767" s="58"/>
      <c r="L4767" s="1684"/>
      <c r="M4767" s="1690"/>
      <c r="N4767" s="1669"/>
      <c r="O4767" s="1685"/>
      <c r="P4767" s="1695"/>
      <c r="Q4767" s="1672"/>
      <c r="R4767" s="1672"/>
      <c r="S4767" s="1672"/>
      <c r="T4767" s="1672"/>
      <c r="U4767" s="1673"/>
      <c r="V4767" s="1677"/>
      <c r="X4767" s="1674"/>
      <c r="Y4767" s="1674"/>
      <c r="Z4767" s="1674"/>
      <c r="AA4767" s="1674"/>
      <c r="AB4767" s="1674"/>
      <c r="AC4767" s="1674"/>
    </row>
    <row r="4768" spans="1:29" s="1675" customFormat="1" ht="15.6" customHeight="1" x14ac:dyDescent="0.25">
      <c r="A4768" s="1674"/>
      <c r="B4768" s="1701" t="s">
        <v>2410</v>
      </c>
      <c r="C4768" s="1677"/>
      <c r="D4768" s="1678"/>
      <c r="E4768" s="1674"/>
      <c r="F4768" s="1678"/>
      <c r="G4768" s="1678"/>
      <c r="H4768" s="1678"/>
      <c r="I4768" s="58"/>
      <c r="J4768" s="1679"/>
      <c r="K4768" s="58"/>
      <c r="L4768" s="1674"/>
      <c r="M4768" s="1690"/>
      <c r="N4768" s="1669"/>
      <c r="O4768" s="1685"/>
      <c r="P4768" s="1695"/>
      <c r="Q4768" s="1672"/>
      <c r="R4768" s="1672"/>
      <c r="S4768" s="1672"/>
      <c r="T4768" s="1672"/>
      <c r="U4768" s="1673"/>
      <c r="V4768" s="1674"/>
      <c r="X4768" s="1674"/>
      <c r="Y4768" s="1674"/>
      <c r="Z4768" s="1674"/>
      <c r="AA4768" s="1674"/>
      <c r="AB4768" s="1674"/>
      <c r="AC4768" s="1674"/>
    </row>
    <row r="4769" spans="1:29" s="1675" customFormat="1" ht="30.95" customHeight="1" x14ac:dyDescent="0.25">
      <c r="A4769" s="1674"/>
      <c r="B4769" s="2958" t="s">
        <v>2411</v>
      </c>
      <c r="C4769" s="2958"/>
      <c r="D4769" s="2958"/>
      <c r="E4769" s="2958"/>
      <c r="F4769" s="2958"/>
      <c r="G4769" s="2958"/>
      <c r="H4769" s="2958"/>
      <c r="I4769" s="2958"/>
      <c r="J4769" s="2958"/>
      <c r="K4769" s="2958"/>
      <c r="L4769" s="1674"/>
      <c r="M4769" s="1690"/>
      <c r="N4769" s="1669"/>
      <c r="O4769" s="1685"/>
      <c r="P4769" s="1695"/>
      <c r="Q4769" s="1672"/>
      <c r="R4769" s="1672"/>
      <c r="S4769" s="1672"/>
      <c r="T4769" s="1672"/>
      <c r="U4769" s="1673"/>
      <c r="V4769" s="1674"/>
      <c r="X4769" s="1674"/>
      <c r="Y4769" s="1674"/>
      <c r="Z4769" s="1674"/>
      <c r="AA4769" s="1674"/>
      <c r="AB4769" s="1674"/>
      <c r="AC4769" s="1674"/>
    </row>
    <row r="4770" spans="1:29" s="1675" customFormat="1" ht="15.6" customHeight="1" x14ac:dyDescent="0.25">
      <c r="A4770" s="1684"/>
      <c r="B4770" s="1684"/>
      <c r="C4770" s="1684"/>
      <c r="D4770" s="1684"/>
      <c r="E4770" s="1684"/>
      <c r="F4770" s="1684"/>
      <c r="G4770" s="1684"/>
      <c r="H4770" s="1684"/>
      <c r="I4770" s="58"/>
      <c r="J4770" s="1679"/>
      <c r="K4770" s="58"/>
      <c r="L4770" s="1684"/>
      <c r="M4770" s="1690"/>
      <c r="N4770" s="1669"/>
      <c r="O4770" s="1685"/>
      <c r="P4770" s="1695"/>
      <c r="Q4770" s="1672"/>
      <c r="R4770" s="1672"/>
      <c r="S4770" s="1672"/>
      <c r="T4770" s="1672"/>
      <c r="U4770" s="1673"/>
      <c r="V4770" s="1674"/>
      <c r="X4770" s="1674"/>
      <c r="Y4770" s="1674"/>
      <c r="Z4770" s="1674"/>
      <c r="AA4770" s="1674"/>
      <c r="AB4770" s="1674"/>
      <c r="AC4770" s="1674"/>
    </row>
    <row r="4771" spans="1:29" s="1675" customFormat="1" ht="15.6" customHeight="1" x14ac:dyDescent="0.25">
      <c r="A4771" s="1674"/>
      <c r="B4771" s="1701" t="s">
        <v>2412</v>
      </c>
      <c r="C4771" s="1677"/>
      <c r="D4771" s="1678"/>
      <c r="E4771" s="1674"/>
      <c r="F4771" s="1678"/>
      <c r="G4771" s="1678"/>
      <c r="H4771" s="1678"/>
      <c r="I4771" s="58"/>
      <c r="J4771" s="1679"/>
      <c r="K4771" s="58"/>
      <c r="L4771" s="1674"/>
      <c r="M4771" s="1690"/>
      <c r="N4771" s="1669"/>
      <c r="O4771" s="1685"/>
      <c r="P4771" s="1695"/>
      <c r="Q4771" s="1672"/>
      <c r="R4771" s="1672"/>
      <c r="S4771" s="1672"/>
      <c r="T4771" s="1672"/>
      <c r="U4771" s="1673"/>
      <c r="V4771" s="1674"/>
      <c r="X4771" s="1674"/>
      <c r="Y4771" s="1674"/>
      <c r="Z4771" s="1674"/>
      <c r="AA4771" s="1674"/>
      <c r="AB4771" s="1674"/>
      <c r="AC4771" s="1674"/>
    </row>
    <row r="4772" spans="1:29" s="1675" customFormat="1" ht="62.1" customHeight="1" x14ac:dyDescent="0.25">
      <c r="A4772" s="1674"/>
      <c r="B4772" s="2958" t="s">
        <v>2413</v>
      </c>
      <c r="C4772" s="2958"/>
      <c r="D4772" s="2958"/>
      <c r="E4772" s="2958"/>
      <c r="F4772" s="2958"/>
      <c r="G4772" s="2958"/>
      <c r="H4772" s="2958"/>
      <c r="I4772" s="2958"/>
      <c r="J4772" s="2958"/>
      <c r="K4772" s="2958"/>
      <c r="L4772" s="1674"/>
      <c r="M4772" s="1690"/>
      <c r="N4772" s="1669"/>
      <c r="O4772" s="1685"/>
      <c r="P4772" s="1695"/>
      <c r="Q4772" s="1672"/>
      <c r="R4772" s="1672"/>
      <c r="S4772" s="1672"/>
      <c r="T4772" s="1672"/>
      <c r="U4772" s="1673"/>
      <c r="V4772" s="1674"/>
      <c r="X4772" s="1674"/>
      <c r="Y4772" s="1674"/>
      <c r="Z4772" s="1674"/>
      <c r="AA4772" s="1674"/>
      <c r="AB4772" s="1674"/>
      <c r="AC4772" s="1674"/>
    </row>
    <row r="4773" spans="1:29" s="1675" customFormat="1" ht="15.6" customHeight="1" x14ac:dyDescent="0.25">
      <c r="A4773" s="1684"/>
      <c r="B4773" s="1684"/>
      <c r="C4773" s="1684"/>
      <c r="D4773" s="1684"/>
      <c r="E4773" s="1684"/>
      <c r="F4773" s="1684"/>
      <c r="G4773" s="1684"/>
      <c r="H4773" s="1684"/>
      <c r="I4773" s="58"/>
      <c r="J4773" s="1679"/>
      <c r="K4773" s="58"/>
      <c r="L4773" s="1684"/>
      <c r="M4773" s="1690"/>
      <c r="N4773" s="1669"/>
      <c r="O4773" s="1685"/>
      <c r="P4773" s="1695"/>
      <c r="Q4773" s="1672"/>
      <c r="R4773" s="1672"/>
      <c r="S4773" s="1672"/>
      <c r="T4773" s="1672"/>
      <c r="U4773" s="1673"/>
      <c r="V4773" s="1674"/>
      <c r="X4773" s="1674"/>
      <c r="Y4773" s="1674"/>
      <c r="Z4773" s="1674"/>
      <c r="AA4773" s="1674"/>
      <c r="AB4773" s="1674"/>
      <c r="AC4773" s="1674"/>
    </row>
    <row r="4774" spans="1:29" s="1674" customFormat="1" ht="46.5" customHeight="1" x14ac:dyDescent="0.25">
      <c r="B4774" s="2958" t="s">
        <v>2414</v>
      </c>
      <c r="C4774" s="2958"/>
      <c r="D4774" s="2958"/>
      <c r="E4774" s="2958"/>
      <c r="F4774" s="2958"/>
      <c r="G4774" s="2958"/>
      <c r="H4774" s="2958"/>
      <c r="I4774" s="2958"/>
      <c r="J4774" s="2958"/>
      <c r="K4774" s="2958"/>
      <c r="M4774" s="1690"/>
      <c r="N4774" s="1669"/>
      <c r="O4774" s="1685"/>
      <c r="P4774" s="1695"/>
      <c r="Q4774" s="1672"/>
      <c r="R4774" s="1672"/>
      <c r="S4774" s="1672"/>
      <c r="T4774" s="1672"/>
      <c r="U4774" s="1673"/>
      <c r="W4774" s="1675"/>
    </row>
    <row r="4775" spans="1:29" s="1674" customFormat="1" ht="15.6" customHeight="1" x14ac:dyDescent="0.25">
      <c r="A4775" s="1684"/>
      <c r="B4775" s="1684"/>
      <c r="C4775" s="1684"/>
      <c r="D4775" s="1684"/>
      <c r="E4775" s="1684"/>
      <c r="F4775" s="1684"/>
      <c r="G4775" s="1684"/>
      <c r="H4775" s="1684"/>
      <c r="I4775" s="58"/>
      <c r="J4775" s="1679"/>
      <c r="K4775" s="58"/>
      <c r="L4775" s="1684"/>
      <c r="M4775" s="1690"/>
      <c r="N4775" s="1669"/>
      <c r="O4775" s="1685"/>
      <c r="P4775" s="1695"/>
      <c r="Q4775" s="1672"/>
      <c r="R4775" s="1672"/>
      <c r="S4775" s="1672"/>
      <c r="T4775" s="1672"/>
      <c r="U4775" s="1673"/>
      <c r="W4775" s="1675"/>
    </row>
    <row r="4776" spans="1:29" s="1674" customFormat="1" ht="30.95" customHeight="1" x14ac:dyDescent="0.25">
      <c r="B4776" s="2958" t="s">
        <v>7356</v>
      </c>
      <c r="C4776" s="2958"/>
      <c r="D4776" s="2958"/>
      <c r="E4776" s="2958"/>
      <c r="F4776" s="2958"/>
      <c r="G4776" s="2958"/>
      <c r="H4776" s="2958"/>
      <c r="I4776" s="2958"/>
      <c r="J4776" s="2958"/>
      <c r="K4776" s="2958"/>
      <c r="M4776" s="1690"/>
      <c r="N4776" s="1669"/>
      <c r="O4776" s="1685"/>
      <c r="P4776" s="1695"/>
      <c r="Q4776" s="1672"/>
      <c r="R4776" s="1672"/>
      <c r="S4776" s="1672"/>
      <c r="T4776" s="1672"/>
      <c r="U4776" s="1673"/>
      <c r="W4776" s="1675"/>
    </row>
    <row r="4777" spans="1:29" s="1674" customFormat="1" ht="15.6" customHeight="1" x14ac:dyDescent="0.25">
      <c r="A4777" s="1684"/>
      <c r="B4777" s="1684"/>
      <c r="C4777" s="1684"/>
      <c r="D4777" s="1684"/>
      <c r="E4777" s="1684"/>
      <c r="F4777" s="1684"/>
      <c r="G4777" s="1684"/>
      <c r="H4777" s="1684"/>
      <c r="I4777" s="58"/>
      <c r="J4777" s="1679"/>
      <c r="K4777" s="58"/>
      <c r="L4777" s="1684"/>
      <c r="M4777" s="1690"/>
      <c r="N4777" s="1669"/>
      <c r="O4777" s="1685"/>
      <c r="P4777" s="1695"/>
      <c r="Q4777" s="1672"/>
      <c r="R4777" s="1672"/>
      <c r="S4777" s="1672"/>
      <c r="T4777" s="1672"/>
      <c r="U4777" s="1673"/>
      <c r="W4777" s="1675"/>
    </row>
    <row r="4778" spans="1:29" s="1674" customFormat="1" ht="15.6" customHeight="1" x14ac:dyDescent="0.25">
      <c r="B4778" s="1686" t="s">
        <v>7622</v>
      </c>
      <c r="C4778" s="1677"/>
      <c r="D4778" s="1678"/>
      <c r="F4778" s="1678"/>
      <c r="G4778" s="1678"/>
      <c r="H4778" s="1678"/>
      <c r="I4778" s="58"/>
      <c r="J4778" s="1679"/>
      <c r="K4778" s="58"/>
      <c r="M4778" s="1731" t="s">
        <v>4080</v>
      </c>
      <c r="N4778" s="1669"/>
      <c r="O4778" s="1685"/>
      <c r="P4778" s="1695"/>
      <c r="Q4778" s="1672"/>
      <c r="R4778" s="1672"/>
      <c r="S4778" s="1672"/>
      <c r="T4778" s="1672"/>
      <c r="U4778" s="1673"/>
      <c r="W4778" s="1675" t="s">
        <v>3857</v>
      </c>
    </row>
    <row r="4779" spans="1:29" s="1674" customFormat="1" ht="15.6" customHeight="1" x14ac:dyDescent="0.25">
      <c r="A4779" s="1684"/>
      <c r="B4779" s="1684"/>
      <c r="C4779" s="1684"/>
      <c r="D4779" s="1684"/>
      <c r="E4779" s="1684"/>
      <c r="F4779" s="1684"/>
      <c r="G4779" s="1684"/>
      <c r="H4779" s="1684"/>
      <c r="I4779" s="58"/>
      <c r="J4779" s="1679"/>
      <c r="K4779" s="58"/>
      <c r="L4779" s="1684"/>
      <c r="M4779" s="1690"/>
      <c r="N4779" s="1669"/>
      <c r="O4779" s="1685"/>
      <c r="P4779" s="1695"/>
      <c r="Q4779" s="1672"/>
      <c r="R4779" s="1672"/>
      <c r="S4779" s="1672"/>
      <c r="T4779" s="1672"/>
      <c r="U4779" s="1673"/>
      <c r="W4779" s="1675"/>
    </row>
    <row r="4780" spans="1:29" s="1674" customFormat="1" ht="46.5" hidden="1" customHeight="1" x14ac:dyDescent="0.25">
      <c r="A4780" s="1684"/>
      <c r="B4780" s="2960" t="s">
        <v>2541</v>
      </c>
      <c r="C4780" s="2960"/>
      <c r="D4780" s="2960"/>
      <c r="E4780" s="2960"/>
      <c r="F4780" s="2960"/>
      <c r="G4780" s="2960"/>
      <c r="H4780" s="2960"/>
      <c r="I4780" s="2960"/>
      <c r="J4780" s="2960"/>
      <c r="K4780" s="2960"/>
      <c r="L4780" s="1684"/>
      <c r="M4780" s="1702" t="s">
        <v>1190</v>
      </c>
      <c r="N4780" s="1669"/>
      <c r="O4780" s="1685"/>
      <c r="P4780" s="1695"/>
      <c r="Q4780" s="1672"/>
      <c r="R4780" s="1672"/>
      <c r="S4780" s="1672"/>
      <c r="T4780" s="1672"/>
      <c r="U4780" s="1673"/>
      <c r="W4780" s="1675"/>
    </row>
    <row r="4781" spans="1:29" s="1674" customFormat="1" ht="15.6" hidden="1" customHeight="1" x14ac:dyDescent="0.25">
      <c r="A4781" s="1684"/>
      <c r="B4781" s="2960" t="s">
        <v>1191</v>
      </c>
      <c r="C4781" s="2960"/>
      <c r="D4781" s="2960"/>
      <c r="E4781" s="2960"/>
      <c r="F4781" s="2960"/>
      <c r="G4781" s="2960"/>
      <c r="H4781" s="2960"/>
      <c r="I4781" s="2960"/>
      <c r="J4781" s="2960"/>
      <c r="K4781" s="2960"/>
      <c r="L4781" s="1684"/>
      <c r="M4781" s="1702"/>
      <c r="N4781" s="1669"/>
      <c r="O4781" s="1685"/>
      <c r="P4781" s="1695"/>
      <c r="Q4781" s="1672"/>
      <c r="R4781" s="1672"/>
      <c r="S4781" s="1672"/>
      <c r="T4781" s="1672"/>
      <c r="U4781" s="1673"/>
      <c r="W4781" s="1675"/>
    </row>
    <row r="4782" spans="1:29" s="1674" customFormat="1" ht="15.6" hidden="1" customHeight="1" x14ac:dyDescent="0.25">
      <c r="D4782" s="1678"/>
      <c r="F4782" s="1678"/>
      <c r="G4782" s="1678"/>
      <c r="H4782" s="1678"/>
      <c r="I4782" s="58"/>
      <c r="J4782" s="1682"/>
      <c r="K4782" s="58"/>
      <c r="M4782" s="1690"/>
      <c r="N4782" s="1669"/>
      <c r="O4782" s="1685"/>
      <c r="P4782" s="1695"/>
      <c r="Q4782" s="1672"/>
      <c r="R4782" s="1672"/>
      <c r="S4782" s="1672"/>
      <c r="T4782" s="1672"/>
      <c r="U4782" s="1673"/>
      <c r="W4782" s="1675"/>
    </row>
    <row r="4783" spans="1:29" s="1674" customFormat="1" ht="15.6" hidden="1" customHeight="1" x14ac:dyDescent="0.25">
      <c r="A4783" s="1684"/>
      <c r="B4783" s="2960" t="s">
        <v>1192</v>
      </c>
      <c r="C4783" s="2960"/>
      <c r="D4783" s="2960"/>
      <c r="E4783" s="2960"/>
      <c r="F4783" s="2960"/>
      <c r="G4783" s="2960"/>
      <c r="H4783" s="2960"/>
      <c r="I4783" s="2960"/>
      <c r="J4783" s="2960"/>
      <c r="K4783" s="2960"/>
      <c r="L4783" s="1684"/>
      <c r="M4783" s="1702"/>
      <c r="N4783" s="1669"/>
      <c r="O4783" s="1685"/>
      <c r="P4783" s="1695"/>
      <c r="Q4783" s="1672"/>
      <c r="R4783" s="1672"/>
      <c r="S4783" s="1672"/>
      <c r="T4783" s="1672"/>
      <c r="U4783" s="1673"/>
      <c r="W4783" s="1675"/>
    </row>
    <row r="4784" spans="1:29" s="1674" customFormat="1" ht="30.95" customHeight="1" x14ac:dyDescent="0.25">
      <c r="A4784" s="1684"/>
      <c r="B4784" s="2949" t="s">
        <v>7357</v>
      </c>
      <c r="C4784" s="2949"/>
      <c r="D4784" s="2949"/>
      <c r="E4784" s="2949"/>
      <c r="F4784" s="2949"/>
      <c r="G4784" s="2949"/>
      <c r="H4784" s="2949"/>
      <c r="I4784" s="2949"/>
      <c r="J4784" s="2949"/>
      <c r="K4784" s="2949"/>
      <c r="L4784" s="1684"/>
      <c r="M4784" s="1703" t="s">
        <v>1190</v>
      </c>
      <c r="N4784" s="1669"/>
      <c r="O4784" s="1685"/>
      <c r="P4784" s="1695"/>
      <c r="Q4784" s="1672"/>
      <c r="R4784" s="1672"/>
      <c r="S4784" s="1672"/>
      <c r="T4784" s="1672"/>
      <c r="U4784" s="1673"/>
      <c r="W4784" s="1675"/>
    </row>
    <row r="4785" spans="1:24" s="1674" customFormat="1" ht="15.6" customHeight="1" x14ac:dyDescent="0.25">
      <c r="D4785" s="1678"/>
      <c r="F4785" s="1678"/>
      <c r="G4785" s="1678"/>
      <c r="H4785" s="1678"/>
      <c r="I4785" s="58"/>
      <c r="J4785" s="1682"/>
      <c r="K4785" s="58"/>
      <c r="M4785" s="1690"/>
      <c r="N4785" s="1669"/>
      <c r="O4785" s="1685"/>
      <c r="P4785" s="1695"/>
      <c r="Q4785" s="1672"/>
      <c r="R4785" s="1672"/>
      <c r="S4785" s="1672"/>
      <c r="T4785" s="1672"/>
      <c r="U4785" s="1673"/>
      <c r="W4785" s="1675"/>
    </row>
    <row r="4786" spans="1:24" s="1674" customFormat="1" ht="15.6" customHeight="1" x14ac:dyDescent="0.25">
      <c r="A4786" s="1684"/>
      <c r="B4786" s="2949" t="s">
        <v>1193</v>
      </c>
      <c r="C4786" s="2949"/>
      <c r="D4786" s="2949"/>
      <c r="E4786" s="2949"/>
      <c r="F4786" s="2949"/>
      <c r="G4786" s="2949"/>
      <c r="H4786" s="2949"/>
      <c r="I4786" s="2949"/>
      <c r="J4786" s="2949"/>
      <c r="K4786" s="2949"/>
      <c r="L4786" s="1684"/>
      <c r="M4786" s="1732" t="s">
        <v>4081</v>
      </c>
      <c r="N4786" s="1669"/>
      <c r="O4786" s="1685"/>
      <c r="P4786" s="1695"/>
      <c r="Q4786" s="1672"/>
      <c r="R4786" s="1672"/>
      <c r="S4786" s="1672"/>
      <c r="T4786" s="1672"/>
      <c r="U4786" s="1673"/>
      <c r="W4786" s="1675"/>
    </row>
    <row r="4787" spans="1:24" s="1674" customFormat="1" ht="15.6" customHeight="1" x14ac:dyDescent="0.25">
      <c r="D4787" s="1678"/>
      <c r="F4787" s="1678"/>
      <c r="G4787" s="1678"/>
      <c r="H4787" s="1678"/>
      <c r="I4787" s="58"/>
      <c r="J4787" s="1682"/>
      <c r="K4787" s="58"/>
      <c r="M4787" s="1690"/>
      <c r="N4787" s="1669"/>
      <c r="O4787" s="1685"/>
      <c r="P4787" s="1695"/>
      <c r="Q4787" s="1672"/>
      <c r="R4787" s="1672"/>
      <c r="S4787" s="1672"/>
      <c r="T4787" s="1672"/>
      <c r="U4787" s="1673"/>
      <c r="W4787" s="1675"/>
    </row>
    <row r="4788" spans="1:24" s="1674" customFormat="1" ht="15.6" customHeight="1" x14ac:dyDescent="0.25">
      <c r="B4788" s="1686" t="s">
        <v>7623</v>
      </c>
      <c r="C4788" s="1677"/>
      <c r="D4788" s="1678"/>
      <c r="F4788" s="1678"/>
      <c r="G4788" s="1678"/>
      <c r="H4788" s="1678"/>
      <c r="I4788" s="58"/>
      <c r="J4788" s="1679"/>
      <c r="K4788" s="58"/>
      <c r="M4788" s="1702"/>
      <c r="N4788" s="1669"/>
      <c r="O4788" s="1685"/>
      <c r="P4788" s="1695"/>
      <c r="Q4788" s="1672"/>
      <c r="R4788" s="1672"/>
      <c r="S4788" s="1672"/>
      <c r="T4788" s="1672"/>
      <c r="U4788" s="1673"/>
      <c r="W4788" s="1675" t="s">
        <v>3858</v>
      </c>
    </row>
    <row r="4789" spans="1:24" s="1674" customFormat="1" ht="15.6" customHeight="1" x14ac:dyDescent="0.25">
      <c r="A4789" s="1684"/>
      <c r="B4789" s="1684"/>
      <c r="C4789" s="1684"/>
      <c r="D4789" s="1684"/>
      <c r="E4789" s="1684"/>
      <c r="F4789" s="1684"/>
      <c r="G4789" s="1684"/>
      <c r="H4789" s="1684"/>
      <c r="I4789" s="58"/>
      <c r="J4789" s="1679"/>
      <c r="K4789" s="58"/>
      <c r="L4789" s="1684"/>
      <c r="M4789" s="1690"/>
      <c r="N4789" s="1669"/>
      <c r="O4789" s="1685"/>
      <c r="P4789" s="1695"/>
      <c r="Q4789" s="1672"/>
      <c r="R4789" s="1672"/>
      <c r="S4789" s="1672"/>
      <c r="T4789" s="1672"/>
      <c r="U4789" s="1673"/>
      <c r="W4789" s="1675"/>
    </row>
    <row r="4790" spans="1:24" s="1674" customFormat="1" ht="30.95" hidden="1" customHeight="1" x14ac:dyDescent="0.25">
      <c r="A4790" s="1705"/>
      <c r="B4790" s="2961" t="s">
        <v>1194</v>
      </c>
      <c r="C4790" s="2961"/>
      <c r="D4790" s="2961"/>
      <c r="E4790" s="2961"/>
      <c r="F4790" s="2961"/>
      <c r="G4790" s="2961"/>
      <c r="H4790" s="2961"/>
      <c r="I4790" s="2961"/>
      <c r="J4790" s="2961"/>
      <c r="K4790" s="2961"/>
      <c r="L4790" s="1705"/>
      <c r="M4790" s="1704" t="s">
        <v>4082</v>
      </c>
      <c r="N4790" s="1669"/>
      <c r="O4790" s="1685"/>
      <c r="P4790" s="1695"/>
      <c r="Q4790" s="1672"/>
      <c r="R4790" s="1672"/>
      <c r="S4790" s="1672"/>
      <c r="T4790" s="1672"/>
      <c r="U4790" s="1673"/>
      <c r="W4790" s="1675"/>
    </row>
    <row r="4791" spans="1:24" s="1674" customFormat="1" ht="15.6" hidden="1" customHeight="1" x14ac:dyDescent="0.25">
      <c r="A4791" s="1706"/>
      <c r="B4791" s="2962" t="s">
        <v>2458</v>
      </c>
      <c r="C4791" s="2962"/>
      <c r="D4791" s="2962"/>
      <c r="E4791" s="2962"/>
      <c r="F4791" s="2962"/>
      <c r="G4791" s="2962"/>
      <c r="H4791" s="2962"/>
      <c r="I4791" s="2962"/>
      <c r="J4791" s="2962"/>
      <c r="K4791" s="2962"/>
      <c r="L4791" s="1706"/>
      <c r="M4791" s="1669"/>
      <c r="N4791" s="1669"/>
      <c r="O4791" s="1690"/>
      <c r="P4791" s="1695"/>
      <c r="Q4791" s="1672"/>
      <c r="R4791" s="1672"/>
      <c r="S4791" s="1672"/>
      <c r="T4791" s="1672"/>
      <c r="U4791" s="1673"/>
      <c r="W4791" s="1675"/>
      <c r="X4791" s="1677"/>
    </row>
    <row r="4792" spans="1:24" s="1674" customFormat="1" ht="30.95" customHeight="1" x14ac:dyDescent="0.25">
      <c r="A4792" s="1684"/>
      <c r="B4792" s="2949" t="s">
        <v>1557</v>
      </c>
      <c r="C4792" s="2949"/>
      <c r="D4792" s="2949"/>
      <c r="E4792" s="2949"/>
      <c r="F4792" s="2949"/>
      <c r="G4792" s="2949"/>
      <c r="H4792" s="2949"/>
      <c r="I4792" s="2949"/>
      <c r="J4792" s="2949"/>
      <c r="K4792" s="2949"/>
      <c r="L4792" s="1684"/>
      <c r="M4792" s="1732" t="s">
        <v>4082</v>
      </c>
      <c r="N4792" s="1669"/>
      <c r="O4792" s="1685"/>
      <c r="P4792" s="1695"/>
      <c r="Q4792" s="1672"/>
      <c r="R4792" s="1672"/>
      <c r="S4792" s="1672"/>
      <c r="T4792" s="1672"/>
      <c r="U4792" s="1673"/>
      <c r="W4792" s="1675"/>
    </row>
    <row r="4793" spans="1:24" s="1674" customFormat="1" ht="15.6" customHeight="1" x14ac:dyDescent="0.25">
      <c r="D4793" s="1678"/>
      <c r="F4793" s="1678"/>
      <c r="G4793" s="1678"/>
      <c r="H4793" s="1678"/>
      <c r="I4793" s="58"/>
      <c r="J4793" s="1682"/>
      <c r="K4793" s="58"/>
      <c r="M4793" s="1690"/>
      <c r="N4793" s="1669"/>
      <c r="O4793" s="1685"/>
      <c r="P4793" s="1695"/>
      <c r="Q4793" s="1672"/>
      <c r="R4793" s="1672"/>
      <c r="S4793" s="1672"/>
      <c r="T4793" s="1672"/>
      <c r="U4793" s="1673"/>
      <c r="W4793" s="1675"/>
    </row>
    <row r="4794" spans="1:24" s="1674" customFormat="1" ht="15.6" customHeight="1" x14ac:dyDescent="0.25">
      <c r="B4794" s="1686" t="s">
        <v>7624</v>
      </c>
      <c r="C4794" s="1677"/>
      <c r="D4794" s="1678"/>
      <c r="F4794" s="1678"/>
      <c r="G4794" s="1678"/>
      <c r="H4794" s="1678"/>
      <c r="I4794" s="58"/>
      <c r="J4794" s="1679"/>
      <c r="K4794" s="58"/>
      <c r="M4794" s="1731" t="s">
        <v>4082</v>
      </c>
      <c r="N4794" s="1669"/>
      <c r="O4794" s="1685"/>
      <c r="P4794" s="1695"/>
      <c r="Q4794" s="1672"/>
      <c r="R4794" s="1672"/>
      <c r="S4794" s="1672"/>
      <c r="T4794" s="1672"/>
      <c r="U4794" s="1673"/>
      <c r="W4794" s="1675" t="s">
        <v>3858</v>
      </c>
    </row>
    <row r="4795" spans="1:24" s="1674" customFormat="1" ht="15.6" customHeight="1" x14ac:dyDescent="0.25">
      <c r="A4795" s="1684"/>
      <c r="B4795" s="1684"/>
      <c r="C4795" s="1684"/>
      <c r="D4795" s="1684"/>
      <c r="E4795" s="1684"/>
      <c r="F4795" s="1684"/>
      <c r="G4795" s="1684"/>
      <c r="H4795" s="1684"/>
      <c r="I4795" s="58"/>
      <c r="J4795" s="1679"/>
      <c r="K4795" s="58"/>
      <c r="L4795" s="1684"/>
      <c r="M4795" s="1690"/>
      <c r="N4795" s="1669"/>
      <c r="O4795" s="1685"/>
      <c r="P4795" s="1695"/>
      <c r="Q4795" s="1672"/>
      <c r="R4795" s="1672"/>
      <c r="S4795" s="1672"/>
      <c r="T4795" s="1672"/>
      <c r="U4795" s="1673"/>
      <c r="W4795" s="1675"/>
    </row>
    <row r="4796" spans="1:24" s="1674" customFormat="1" ht="30.95" customHeight="1" x14ac:dyDescent="0.25">
      <c r="A4796" s="1684"/>
      <c r="B4796" s="2949" t="s">
        <v>1198</v>
      </c>
      <c r="C4796" s="2949"/>
      <c r="D4796" s="2949"/>
      <c r="E4796" s="2949"/>
      <c r="F4796" s="2949"/>
      <c r="G4796" s="2949"/>
      <c r="H4796" s="2949"/>
      <c r="I4796" s="2949"/>
      <c r="J4796" s="2949"/>
      <c r="K4796" s="2949"/>
      <c r="L4796" s="1684"/>
      <c r="M4796" s="1703"/>
      <c r="N4796" s="1669"/>
      <c r="O4796" s="1685"/>
      <c r="P4796" s="1695"/>
      <c r="Q4796" s="1672"/>
      <c r="R4796" s="1672"/>
      <c r="S4796" s="1672"/>
      <c r="T4796" s="1672"/>
      <c r="U4796" s="1673"/>
      <c r="W4796" s="1675"/>
    </row>
    <row r="4797" spans="1:24" s="1674" customFormat="1" ht="15.6" customHeight="1" x14ac:dyDescent="0.25">
      <c r="A4797" s="1684"/>
      <c r="B4797" s="1684"/>
      <c r="C4797" s="1684"/>
      <c r="D4797" s="1684"/>
      <c r="E4797" s="1684"/>
      <c r="F4797" s="1684"/>
      <c r="G4797" s="1684"/>
      <c r="H4797" s="1684"/>
      <c r="I4797" s="58"/>
      <c r="J4797" s="1679"/>
      <c r="K4797" s="58"/>
      <c r="L4797" s="1684"/>
      <c r="M4797" s="1690"/>
      <c r="N4797" s="1669"/>
      <c r="O4797" s="1685"/>
      <c r="P4797" s="1695"/>
      <c r="Q4797" s="1672"/>
      <c r="R4797" s="1672"/>
      <c r="S4797" s="1672"/>
      <c r="T4797" s="1672"/>
      <c r="U4797" s="1673"/>
      <c r="W4797" s="1675"/>
    </row>
    <row r="4798" spans="1:24" s="1674" customFormat="1" ht="29.25" customHeight="1" x14ac:dyDescent="0.25">
      <c r="A4798" s="1684"/>
      <c r="B4798" s="2949" t="s">
        <v>7358</v>
      </c>
      <c r="C4798" s="2949"/>
      <c r="D4798" s="2949"/>
      <c r="E4798" s="2949"/>
      <c r="F4798" s="2949"/>
      <c r="G4798" s="2949"/>
      <c r="H4798" s="2949"/>
      <c r="I4798" s="2949"/>
      <c r="J4798" s="2949"/>
      <c r="K4798" s="2949"/>
      <c r="L4798" s="1684"/>
      <c r="M4798" s="1703"/>
      <c r="N4798" s="1669"/>
      <c r="O4798" s="1685"/>
      <c r="P4798" s="1695"/>
      <c r="Q4798" s="1672"/>
      <c r="R4798" s="1672"/>
      <c r="S4798" s="1672"/>
      <c r="T4798" s="1672"/>
      <c r="U4798" s="1673"/>
      <c r="W4798" s="1675"/>
    </row>
    <row r="4799" spans="1:24" s="1674" customFormat="1" ht="30.95" hidden="1" customHeight="1" x14ac:dyDescent="0.25">
      <c r="A4799" s="1684"/>
      <c r="B4799" s="2949" t="s">
        <v>4462</v>
      </c>
      <c r="C4799" s="2949"/>
      <c r="D4799" s="2949"/>
      <c r="E4799" s="2949"/>
      <c r="F4799" s="2949"/>
      <c r="G4799" s="2949"/>
      <c r="H4799" s="2949"/>
      <c r="I4799" s="2949"/>
      <c r="J4799" s="2949"/>
      <c r="K4799" s="2949"/>
      <c r="L4799" s="1705"/>
      <c r="M4799" s="1703"/>
      <c r="N4799" s="1669"/>
      <c r="O4799" s="1685"/>
      <c r="P4799" s="1695"/>
      <c r="Q4799" s="1672"/>
      <c r="R4799" s="1672"/>
      <c r="S4799" s="1672"/>
      <c r="T4799" s="1672"/>
      <c r="U4799" s="1673"/>
      <c r="W4799" s="1675"/>
    </row>
    <row r="4800" spans="1:24" s="1674" customFormat="1" ht="30.95" customHeight="1" x14ac:dyDescent="0.25">
      <c r="A4800" s="1684"/>
      <c r="B4800" s="2949" t="s">
        <v>1558</v>
      </c>
      <c r="C4800" s="2949"/>
      <c r="D4800" s="2949"/>
      <c r="E4800" s="2949"/>
      <c r="F4800" s="2949"/>
      <c r="G4800" s="2949"/>
      <c r="H4800" s="2949"/>
      <c r="I4800" s="2949"/>
      <c r="J4800" s="2949"/>
      <c r="K4800" s="2949"/>
      <c r="L4800" s="1684"/>
      <c r="M4800" s="1703"/>
      <c r="N4800" s="1669"/>
      <c r="O4800" s="1685"/>
      <c r="P4800" s="1695"/>
      <c r="Q4800" s="1672"/>
      <c r="R4800" s="1672"/>
      <c r="S4800" s="1672"/>
      <c r="T4800" s="1672"/>
      <c r="U4800" s="1673"/>
      <c r="W4800" s="1675"/>
    </row>
    <row r="4801" spans="1:29" s="1674" customFormat="1" ht="15.6" customHeight="1" x14ac:dyDescent="0.25">
      <c r="A4801" s="1684"/>
      <c r="B4801" s="1684"/>
      <c r="C4801" s="1684"/>
      <c r="D4801" s="1684"/>
      <c r="E4801" s="1684"/>
      <c r="F4801" s="1684"/>
      <c r="G4801" s="1684"/>
      <c r="H4801" s="1684"/>
      <c r="I4801" s="58"/>
      <c r="J4801" s="1679"/>
      <c r="K4801" s="58"/>
      <c r="L4801" s="1684"/>
      <c r="M4801" s="1690"/>
      <c r="N4801" s="1669"/>
      <c r="O4801" s="1685"/>
      <c r="P4801" s="1695"/>
      <c r="Q4801" s="1672"/>
      <c r="R4801" s="1672"/>
      <c r="S4801" s="1672"/>
      <c r="T4801" s="1672"/>
      <c r="U4801" s="1673"/>
      <c r="W4801" s="1675"/>
    </row>
    <row r="4802" spans="1:29" s="1674" customFormat="1" ht="46.5" customHeight="1" x14ac:dyDescent="0.25">
      <c r="A4802" s="1684"/>
      <c r="B4802" s="2949" t="s">
        <v>1375</v>
      </c>
      <c r="C4802" s="2949"/>
      <c r="D4802" s="2949"/>
      <c r="E4802" s="2949"/>
      <c r="F4802" s="2949"/>
      <c r="G4802" s="2949"/>
      <c r="H4802" s="2949"/>
      <c r="I4802" s="2949"/>
      <c r="J4802" s="2949"/>
      <c r="K4802" s="2949"/>
      <c r="L4802" s="1684"/>
      <c r="M4802" s="1703"/>
      <c r="N4802" s="1669"/>
      <c r="O4802" s="1685"/>
      <c r="P4802" s="1695"/>
      <c r="Q4802" s="1672"/>
      <c r="R4802" s="1672"/>
      <c r="S4802" s="1672"/>
      <c r="T4802" s="1672"/>
      <c r="U4802" s="1673"/>
      <c r="W4802" s="1675"/>
      <c r="Y4802" s="1690"/>
    </row>
    <row r="4803" spans="1:29" s="1674" customFormat="1" ht="30.95" hidden="1" customHeight="1" x14ac:dyDescent="0.25">
      <c r="A4803" s="1684"/>
      <c r="B4803" s="2949" t="s">
        <v>2171</v>
      </c>
      <c r="C4803" s="2949"/>
      <c r="D4803" s="2949"/>
      <c r="E4803" s="2949"/>
      <c r="F4803" s="2949"/>
      <c r="G4803" s="2949"/>
      <c r="H4803" s="2949"/>
      <c r="I4803" s="2949"/>
      <c r="J4803" s="2949"/>
      <c r="K4803" s="2949"/>
      <c r="L4803" s="1684"/>
      <c r="M4803" s="1703"/>
      <c r="N4803" s="1669"/>
      <c r="O4803" s="1685"/>
      <c r="P4803" s="1695"/>
      <c r="Q4803" s="1672"/>
      <c r="R4803" s="1672"/>
      <c r="S4803" s="1672"/>
      <c r="T4803" s="1672"/>
      <c r="U4803" s="1673"/>
      <c r="W4803" s="1675"/>
    </row>
    <row r="4804" spans="1:29" s="1674" customFormat="1" ht="15.6" customHeight="1" x14ac:dyDescent="0.25">
      <c r="A4804" s="1684"/>
      <c r="B4804" s="1684"/>
      <c r="C4804" s="1684"/>
      <c r="D4804" s="1684"/>
      <c r="E4804" s="1684"/>
      <c r="F4804" s="1684"/>
      <c r="G4804" s="1684"/>
      <c r="H4804" s="1684"/>
      <c r="I4804" s="58"/>
      <c r="J4804" s="1679"/>
      <c r="K4804" s="58"/>
      <c r="L4804" s="1684"/>
      <c r="M4804" s="1690"/>
      <c r="N4804" s="1669"/>
      <c r="O4804" s="1685"/>
      <c r="P4804" s="1695"/>
      <c r="Q4804" s="1672"/>
      <c r="R4804" s="1672"/>
      <c r="S4804" s="1672"/>
      <c r="T4804" s="1672"/>
      <c r="U4804" s="1673"/>
      <c r="W4804" s="1675"/>
    </row>
    <row r="4805" spans="1:29" s="1674" customFormat="1" ht="30.95" hidden="1" customHeight="1" x14ac:dyDescent="0.25">
      <c r="A4805" s="1684"/>
      <c r="B4805" s="2949" t="s">
        <v>1640</v>
      </c>
      <c r="C4805" s="2949"/>
      <c r="D4805" s="2949"/>
      <c r="E4805" s="2949"/>
      <c r="F4805" s="2949"/>
      <c r="G4805" s="2949"/>
      <c r="H4805" s="2949"/>
      <c r="I4805" s="2949"/>
      <c r="J4805" s="2949"/>
      <c r="K4805" s="2949"/>
      <c r="L4805" s="1684"/>
      <c r="M4805" s="1703"/>
      <c r="N4805" s="1669"/>
      <c r="O4805" s="1685"/>
      <c r="P4805" s="1695"/>
      <c r="Q4805" s="1672"/>
      <c r="R4805" s="1672"/>
      <c r="S4805" s="1672"/>
      <c r="T4805" s="1672"/>
      <c r="U4805" s="1673"/>
      <c r="W4805" s="1675"/>
    </row>
    <row r="4806" spans="1:29" s="1674" customFormat="1" ht="30.95" customHeight="1" x14ac:dyDescent="0.25">
      <c r="A4806" s="1684"/>
      <c r="B4806" s="2949" t="s">
        <v>2172</v>
      </c>
      <c r="C4806" s="2949"/>
      <c r="D4806" s="2949"/>
      <c r="E4806" s="2949"/>
      <c r="F4806" s="2949"/>
      <c r="G4806" s="2949"/>
      <c r="H4806" s="2949"/>
      <c r="I4806" s="2949"/>
      <c r="J4806" s="2949"/>
      <c r="K4806" s="2949"/>
      <c r="L4806" s="1684"/>
      <c r="M4806" s="1703"/>
      <c r="N4806" s="1669"/>
      <c r="O4806" s="1685"/>
      <c r="P4806" s="1695"/>
      <c r="Q4806" s="1672"/>
      <c r="R4806" s="1672"/>
      <c r="S4806" s="1672"/>
      <c r="T4806" s="1672"/>
      <c r="U4806" s="1673"/>
      <c r="W4806" s="1675"/>
    </row>
    <row r="4807" spans="1:29" s="1674" customFormat="1" ht="15.6" customHeight="1" x14ac:dyDescent="0.25">
      <c r="A4807" s="1684"/>
      <c r="B4807" s="1684"/>
      <c r="C4807" s="1684"/>
      <c r="D4807" s="1684"/>
      <c r="E4807" s="1684"/>
      <c r="F4807" s="1684"/>
      <c r="G4807" s="1684"/>
      <c r="H4807" s="1684"/>
      <c r="I4807" s="58"/>
      <c r="J4807" s="1679"/>
      <c r="K4807" s="58"/>
      <c r="L4807" s="1684"/>
      <c r="M4807" s="1690"/>
      <c r="N4807" s="1669"/>
      <c r="O4807" s="1685"/>
      <c r="P4807" s="1695"/>
      <c r="Q4807" s="1672"/>
      <c r="R4807" s="1672"/>
      <c r="S4807" s="1672"/>
      <c r="T4807" s="1672"/>
      <c r="U4807" s="1673"/>
      <c r="W4807" s="1675"/>
    </row>
    <row r="4808" spans="1:29" s="1674" customFormat="1" ht="46.5" customHeight="1" x14ac:dyDescent="0.25">
      <c r="A4808" s="1684"/>
      <c r="B4808" s="2949" t="s">
        <v>2179</v>
      </c>
      <c r="C4808" s="2949"/>
      <c r="D4808" s="2949"/>
      <c r="E4808" s="2949"/>
      <c r="F4808" s="2949"/>
      <c r="G4808" s="2949"/>
      <c r="H4808" s="2949"/>
      <c r="I4808" s="2949"/>
      <c r="J4808" s="2949"/>
      <c r="K4808" s="2949"/>
      <c r="L4808" s="1684"/>
      <c r="M4808" s="1703"/>
      <c r="N4808" s="1669"/>
      <c r="O4808" s="1685"/>
      <c r="P4808" s="1695"/>
      <c r="Q4808" s="1672"/>
      <c r="R4808" s="1672"/>
      <c r="S4808" s="1672"/>
      <c r="T4808" s="1672"/>
      <c r="U4808" s="1673"/>
      <c r="W4808" s="1675"/>
    </row>
    <row r="4809" spans="1:29" s="1674" customFormat="1" ht="15.6" customHeight="1" x14ac:dyDescent="0.25">
      <c r="A4809" s="1684"/>
      <c r="B4809" s="1684"/>
      <c r="C4809" s="1684"/>
      <c r="D4809" s="1684"/>
      <c r="E4809" s="1684"/>
      <c r="F4809" s="1684"/>
      <c r="G4809" s="1684"/>
      <c r="H4809" s="1684"/>
      <c r="I4809" s="58"/>
      <c r="J4809" s="1679"/>
      <c r="K4809" s="58"/>
      <c r="L4809" s="1684"/>
      <c r="M4809" s="1690"/>
      <c r="N4809" s="1669"/>
      <c r="O4809" s="1685"/>
      <c r="P4809" s="1695"/>
      <c r="Q4809" s="1672"/>
      <c r="R4809" s="1672"/>
      <c r="S4809" s="1672"/>
      <c r="T4809" s="1672"/>
      <c r="U4809" s="1673"/>
      <c r="W4809" s="1675"/>
    </row>
    <row r="4810" spans="1:29" s="1674" customFormat="1" ht="30.95" customHeight="1" x14ac:dyDescent="0.25">
      <c r="A4810" s="1684"/>
      <c r="B4810" s="2949" t="s">
        <v>1934</v>
      </c>
      <c r="C4810" s="2949"/>
      <c r="D4810" s="2949"/>
      <c r="E4810" s="2949"/>
      <c r="F4810" s="2949"/>
      <c r="G4810" s="2949"/>
      <c r="H4810" s="2949"/>
      <c r="I4810" s="2949"/>
      <c r="J4810" s="2949"/>
      <c r="K4810" s="2949"/>
      <c r="L4810" s="1684"/>
      <c r="M4810" s="1703"/>
      <c r="N4810" s="1669"/>
      <c r="O4810" s="1685"/>
      <c r="P4810" s="1695"/>
      <c r="Q4810" s="1672"/>
      <c r="R4810" s="1672"/>
      <c r="S4810" s="1672"/>
      <c r="T4810" s="1672"/>
      <c r="U4810" s="1673"/>
      <c r="W4810" s="1675"/>
    </row>
    <row r="4811" spans="1:29" s="1674" customFormat="1" ht="15.6" customHeight="1" x14ac:dyDescent="0.25">
      <c r="A4811" s="1684"/>
      <c r="B4811" s="1684"/>
      <c r="C4811" s="1684"/>
      <c r="D4811" s="1684"/>
      <c r="E4811" s="1684"/>
      <c r="F4811" s="1684"/>
      <c r="G4811" s="1684"/>
      <c r="H4811" s="1684"/>
      <c r="I4811" s="58"/>
      <c r="J4811" s="1679"/>
      <c r="K4811" s="58"/>
      <c r="L4811" s="1684"/>
      <c r="M4811" s="1690"/>
      <c r="N4811" s="1669"/>
      <c r="O4811" s="1685"/>
      <c r="P4811" s="1695"/>
      <c r="Q4811" s="1672"/>
      <c r="R4811" s="1672"/>
      <c r="S4811" s="1672"/>
      <c r="T4811" s="1672"/>
      <c r="U4811" s="1673"/>
      <c r="W4811" s="1675"/>
      <c r="Z4811" s="1690"/>
    </row>
    <row r="4812" spans="1:29" s="1674" customFormat="1" ht="77.45" hidden="1" customHeight="1" x14ac:dyDescent="0.25">
      <c r="A4812" s="1684"/>
      <c r="B4812" s="2960" t="s">
        <v>4463</v>
      </c>
      <c r="C4812" s="2960"/>
      <c r="D4812" s="2960"/>
      <c r="E4812" s="2960"/>
      <c r="F4812" s="2960"/>
      <c r="G4812" s="2960"/>
      <c r="H4812" s="2960"/>
      <c r="I4812" s="2960"/>
      <c r="J4812" s="2960"/>
      <c r="K4812" s="2960"/>
      <c r="L4812" s="1684"/>
      <c r="M4812" s="1703"/>
      <c r="N4812" s="1669"/>
      <c r="O4812" s="1685"/>
      <c r="P4812" s="1695"/>
      <c r="Q4812" s="1672"/>
      <c r="R4812" s="1672"/>
      <c r="S4812" s="1672"/>
      <c r="T4812" s="1672"/>
      <c r="U4812" s="1673"/>
      <c r="W4812" s="1675"/>
      <c r="Y4812" s="1690"/>
    </row>
    <row r="4813" spans="1:29" s="1674" customFormat="1" ht="46.5" hidden="1" customHeight="1" x14ac:dyDescent="0.25">
      <c r="A4813" s="1684"/>
      <c r="B4813" s="2960" t="s">
        <v>1361</v>
      </c>
      <c r="C4813" s="2960"/>
      <c r="D4813" s="2960"/>
      <c r="E4813" s="2960"/>
      <c r="F4813" s="2960"/>
      <c r="G4813" s="2960"/>
      <c r="H4813" s="2960"/>
      <c r="I4813" s="2960"/>
      <c r="J4813" s="2960"/>
      <c r="K4813" s="2960"/>
      <c r="L4813" s="1684"/>
      <c r="M4813" s="1703"/>
      <c r="N4813" s="1669"/>
      <c r="O4813" s="1685"/>
      <c r="P4813" s="1695"/>
      <c r="Q4813" s="1672"/>
      <c r="R4813" s="1672"/>
      <c r="S4813" s="1672"/>
      <c r="T4813" s="1672"/>
      <c r="U4813" s="1673"/>
      <c r="W4813" s="1675"/>
    </row>
    <row r="4814" spans="1:29" s="1674" customFormat="1" ht="15.6" hidden="1" customHeight="1" x14ac:dyDescent="0.25">
      <c r="A4814" s="1684"/>
      <c r="B4814" s="2960" t="s">
        <v>1360</v>
      </c>
      <c r="C4814" s="2960"/>
      <c r="D4814" s="2960"/>
      <c r="E4814" s="2960"/>
      <c r="F4814" s="2960"/>
      <c r="G4814" s="2960"/>
      <c r="H4814" s="2960"/>
      <c r="I4814" s="2960"/>
      <c r="J4814" s="2960"/>
      <c r="K4814" s="2960"/>
      <c r="L4814" s="1684"/>
      <c r="M4814" s="1702"/>
      <c r="N4814" s="1669"/>
      <c r="O4814" s="1685"/>
      <c r="P4814" s="1695"/>
      <c r="Q4814" s="1672"/>
      <c r="R4814" s="1672"/>
      <c r="S4814" s="1672"/>
      <c r="T4814" s="1672"/>
      <c r="U4814" s="1673"/>
      <c r="W4814" s="1675"/>
      <c r="AB4814" s="1690"/>
      <c r="AC4814" s="1690"/>
    </row>
    <row r="4815" spans="1:29" s="1674" customFormat="1" ht="15.6" hidden="1" customHeight="1" x14ac:dyDescent="0.25">
      <c r="A4815" s="1684"/>
      <c r="B4815" s="2949" t="s">
        <v>2660</v>
      </c>
      <c r="C4815" s="2949"/>
      <c r="D4815" s="2949"/>
      <c r="E4815" s="2949"/>
      <c r="F4815" s="2949"/>
      <c r="G4815" s="2949"/>
      <c r="H4815" s="2949"/>
      <c r="I4815" s="2949"/>
      <c r="J4815" s="2949"/>
      <c r="K4815" s="2949"/>
      <c r="L4815" s="1684"/>
      <c r="M4815" s="1703"/>
      <c r="N4815" s="1669"/>
      <c r="O4815" s="1685"/>
      <c r="P4815" s="1695"/>
      <c r="Q4815" s="1672"/>
      <c r="R4815" s="1672"/>
      <c r="S4815" s="1672"/>
      <c r="T4815" s="1672"/>
      <c r="U4815" s="1673"/>
      <c r="W4815" s="1675"/>
      <c r="AA4815" s="1690"/>
    </row>
    <row r="4816" spans="1:29" s="1674" customFormat="1" ht="15.6" hidden="1" customHeight="1" x14ac:dyDescent="0.25">
      <c r="A4816" s="1684"/>
      <c r="B4816" s="1684"/>
      <c r="C4816" s="1684"/>
      <c r="D4816" s="1684"/>
      <c r="E4816" s="1684"/>
      <c r="F4816" s="1684"/>
      <c r="G4816" s="1684"/>
      <c r="H4816" s="1684"/>
      <c r="I4816" s="58"/>
      <c r="J4816" s="1679"/>
      <c r="K4816" s="58"/>
      <c r="L4816" s="1684"/>
      <c r="M4816" s="1690"/>
      <c r="N4816" s="1669"/>
      <c r="O4816" s="1685"/>
      <c r="P4816" s="1695"/>
      <c r="Q4816" s="1672"/>
      <c r="R4816" s="1672"/>
      <c r="S4816" s="1672"/>
      <c r="T4816" s="1672"/>
      <c r="U4816" s="1673"/>
      <c r="W4816" s="1675"/>
    </row>
    <row r="4817" spans="1:29" s="1674" customFormat="1" ht="30.95" customHeight="1" x14ac:dyDescent="0.25">
      <c r="A4817" s="1684"/>
      <c r="B4817" s="2949" t="s">
        <v>1199</v>
      </c>
      <c r="C4817" s="2949"/>
      <c r="D4817" s="2949"/>
      <c r="E4817" s="2949"/>
      <c r="F4817" s="2949"/>
      <c r="G4817" s="2949"/>
      <c r="H4817" s="2949"/>
      <c r="I4817" s="2949"/>
      <c r="J4817" s="2949"/>
      <c r="K4817" s="2949"/>
      <c r="L4817" s="1684"/>
      <c r="M4817" s="1702"/>
      <c r="N4817" s="1669"/>
      <c r="O4817" s="1685"/>
      <c r="P4817" s="1695"/>
      <c r="Q4817" s="1672"/>
      <c r="R4817" s="1672"/>
      <c r="S4817" s="1672"/>
      <c r="T4817" s="1672"/>
      <c r="U4817" s="1673"/>
      <c r="W4817" s="1675"/>
    </row>
    <row r="4818" spans="1:29" s="1674" customFormat="1" ht="15.6" customHeight="1" x14ac:dyDescent="0.25">
      <c r="A4818" s="1684"/>
      <c r="B4818" s="1684"/>
      <c r="C4818" s="1684"/>
      <c r="D4818" s="1684"/>
      <c r="E4818" s="1684"/>
      <c r="F4818" s="1684"/>
      <c r="G4818" s="1684"/>
      <c r="H4818" s="1684"/>
      <c r="I4818" s="58"/>
      <c r="J4818" s="1679"/>
      <c r="K4818" s="58"/>
      <c r="L4818" s="1684"/>
      <c r="M4818" s="1690"/>
      <c r="N4818" s="1669"/>
      <c r="O4818" s="1685"/>
      <c r="P4818" s="1695"/>
      <c r="Q4818" s="1672"/>
      <c r="R4818" s="1672"/>
      <c r="S4818" s="1672"/>
      <c r="T4818" s="1672"/>
      <c r="U4818" s="1673"/>
      <c r="W4818" s="1675"/>
    </row>
    <row r="4819" spans="1:29" s="1674" customFormat="1" ht="15.6" customHeight="1" x14ac:dyDescent="0.25">
      <c r="B4819" s="1701" t="s">
        <v>1321</v>
      </c>
      <c r="C4819" s="1677"/>
      <c r="D4819" s="1678"/>
      <c r="F4819" s="1678"/>
      <c r="G4819" s="1678"/>
      <c r="H4819" s="1678"/>
      <c r="I4819" s="58"/>
      <c r="J4819" s="1679"/>
      <c r="K4819" s="58"/>
      <c r="M4819" s="1702"/>
      <c r="N4819" s="1669"/>
      <c r="O4819" s="1685"/>
      <c r="P4819" s="1695"/>
      <c r="Q4819" s="1672"/>
      <c r="R4819" s="1672"/>
      <c r="S4819" s="1672"/>
      <c r="T4819" s="1672"/>
      <c r="U4819" s="1673"/>
      <c r="W4819" s="1675"/>
    </row>
    <row r="4820" spans="1:29" s="1674" customFormat="1" ht="15.6" customHeight="1" x14ac:dyDescent="0.25">
      <c r="A4820" s="1684"/>
      <c r="B4820" s="2949" t="s">
        <v>1336</v>
      </c>
      <c r="C4820" s="2949"/>
      <c r="D4820" s="2949"/>
      <c r="E4820" s="2949"/>
      <c r="F4820" s="2949"/>
      <c r="G4820" s="2949"/>
      <c r="H4820" s="2949"/>
      <c r="I4820" s="2949"/>
      <c r="J4820" s="2949"/>
      <c r="K4820" s="2949"/>
      <c r="L4820" s="1684"/>
      <c r="M4820" s="1690"/>
      <c r="N4820" s="1669"/>
      <c r="O4820" s="1690"/>
      <c r="P4820" s="1695"/>
      <c r="Q4820" s="1672"/>
      <c r="R4820" s="1672"/>
      <c r="S4820" s="1672"/>
      <c r="T4820" s="1672"/>
      <c r="U4820" s="1673"/>
      <c r="W4820" s="1675"/>
    </row>
    <row r="4821" spans="1:29" s="1674" customFormat="1" ht="62.1" hidden="1" customHeight="1" x14ac:dyDescent="0.25">
      <c r="A4821" s="1684"/>
      <c r="B4821" s="2960" t="s">
        <v>2416</v>
      </c>
      <c r="C4821" s="2960"/>
      <c r="D4821" s="2960"/>
      <c r="E4821" s="2960"/>
      <c r="F4821" s="2960"/>
      <c r="G4821" s="2960"/>
      <c r="H4821" s="2960"/>
      <c r="I4821" s="2960"/>
      <c r="J4821" s="2960"/>
      <c r="K4821" s="2960"/>
      <c r="L4821" s="1684"/>
      <c r="M4821" s="1703" t="s">
        <v>1196</v>
      </c>
      <c r="N4821" s="1669"/>
      <c r="O4821" s="1685"/>
      <c r="P4821" s="1695"/>
      <c r="Q4821" s="1672"/>
      <c r="R4821" s="1672"/>
      <c r="S4821" s="1672"/>
      <c r="T4821" s="1672"/>
      <c r="U4821" s="1673"/>
      <c r="W4821" s="1675"/>
      <c r="Y4821" s="1690"/>
    </row>
    <row r="4822" spans="1:29" s="1674" customFormat="1" ht="77.45" hidden="1" customHeight="1" x14ac:dyDescent="0.25">
      <c r="A4822" s="1684"/>
      <c r="B4822" s="2949" t="s">
        <v>2661</v>
      </c>
      <c r="C4822" s="2949"/>
      <c r="D4822" s="2949"/>
      <c r="E4822" s="2949"/>
      <c r="F4822" s="2949"/>
      <c r="G4822" s="2949"/>
      <c r="H4822" s="2949"/>
      <c r="I4822" s="2949"/>
      <c r="J4822" s="2949"/>
      <c r="K4822" s="2949"/>
      <c r="L4822" s="1684"/>
      <c r="M4822" s="1703" t="s">
        <v>1196</v>
      </c>
      <c r="N4822" s="1669"/>
      <c r="O4822" s="1690"/>
      <c r="P4822" s="1695"/>
      <c r="Q4822" s="1672"/>
      <c r="R4822" s="1672"/>
      <c r="S4822" s="1672"/>
      <c r="T4822" s="1672"/>
      <c r="U4822" s="1673"/>
      <c r="W4822" s="1675"/>
      <c r="Y4822" s="1690"/>
    </row>
    <row r="4823" spans="1:29" s="1674" customFormat="1" ht="15.6" customHeight="1" x14ac:dyDescent="0.25">
      <c r="D4823" s="1678"/>
      <c r="F4823" s="1678"/>
      <c r="G4823" s="1678"/>
      <c r="H4823" s="1678"/>
      <c r="I4823" s="58"/>
      <c r="J4823" s="1682"/>
      <c r="K4823" s="58"/>
      <c r="M4823" s="1690"/>
      <c r="N4823" s="1669"/>
      <c r="O4823" s="1685"/>
      <c r="P4823" s="1695"/>
      <c r="Q4823" s="1672"/>
      <c r="R4823" s="1672"/>
      <c r="S4823" s="1672"/>
      <c r="T4823" s="1672"/>
      <c r="U4823" s="1673"/>
      <c r="W4823" s="1675"/>
      <c r="Y4823" s="1690"/>
    </row>
    <row r="4824" spans="1:29" s="1674" customFormat="1" ht="15.6" hidden="1" customHeight="1" x14ac:dyDescent="0.25">
      <c r="B4824" s="1734" t="s">
        <v>2024</v>
      </c>
      <c r="D4824" s="1678"/>
      <c r="F4824" s="1678"/>
      <c r="G4824" s="1678"/>
      <c r="H4824" s="1678"/>
      <c r="I4824" s="58"/>
      <c r="J4824" s="1682"/>
      <c r="K4824" s="58"/>
      <c r="M4824" s="1690"/>
      <c r="N4824" s="1669"/>
      <c r="O4824" s="1690"/>
      <c r="P4824" s="1695"/>
      <c r="Q4824" s="1672"/>
      <c r="R4824" s="1672"/>
      <c r="S4824" s="1672"/>
      <c r="T4824" s="1672"/>
      <c r="U4824" s="1673"/>
      <c r="W4824" s="1675"/>
    </row>
    <row r="4825" spans="1:29" s="1674" customFormat="1" ht="15.6" hidden="1" customHeight="1" x14ac:dyDescent="0.25">
      <c r="A4825" s="1684"/>
      <c r="B4825" s="2949" t="s">
        <v>1559</v>
      </c>
      <c r="C4825" s="2949"/>
      <c r="D4825" s="2949"/>
      <c r="E4825" s="2949"/>
      <c r="F4825" s="2949"/>
      <c r="G4825" s="2949"/>
      <c r="H4825" s="2949"/>
      <c r="I4825" s="2949"/>
      <c r="J4825" s="2949"/>
      <c r="K4825" s="2949"/>
      <c r="L4825" s="1684"/>
      <c r="M4825" s="1703"/>
      <c r="N4825" s="1669"/>
      <c r="O4825" s="1690"/>
      <c r="P4825" s="1695"/>
      <c r="Q4825" s="1672"/>
      <c r="R4825" s="1672"/>
      <c r="S4825" s="1672"/>
      <c r="T4825" s="1672"/>
      <c r="U4825" s="1673"/>
      <c r="W4825" s="1675"/>
    </row>
    <row r="4826" spans="1:29" s="1674" customFormat="1" ht="30.95" hidden="1" customHeight="1" thickBot="1" x14ac:dyDescent="0.3">
      <c r="A4826" s="1684"/>
      <c r="B4826" s="2949" t="str">
        <f>"•     Surplus for the year ended "&amp;Parameters!C11&amp;" would have increased / decreased by R"&amp;FIXED(M4826,0,FALSE)&amp;" ("&amp;Parameters!C13&amp;": increased / decreased by R"&amp;FIXED(N4826,0,FALSE)&amp;").  This is mainly attributable to the municipality’s exposure to interest rates on its variable rate investments."</f>
        <v>•     Surplus for the year ended 30 June 2012 would have increased / decreased by R3 996 (30 June 2011: increased / decreased by R60 649).  This is mainly attributable to the municipality’s exposure to interest rates on its variable rate investments.</v>
      </c>
      <c r="C4826" s="2949"/>
      <c r="D4826" s="2949"/>
      <c r="E4826" s="2949"/>
      <c r="F4826" s="2949"/>
      <c r="G4826" s="2949"/>
      <c r="H4826" s="2949"/>
      <c r="I4826" s="2949"/>
      <c r="J4826" s="2949"/>
      <c r="K4826" s="2949"/>
      <c r="L4826" s="1684"/>
      <c r="M4826" s="1726">
        <f>I4857</f>
        <v>3995.5481999963522</v>
      </c>
      <c r="N4826" s="1735">
        <f>I4875</f>
        <v>60648.957800000906</v>
      </c>
      <c r="O4826" s="1690"/>
      <c r="P4826" s="1695"/>
      <c r="Q4826" s="1672"/>
      <c r="R4826" s="1672"/>
      <c r="S4826" s="1672"/>
      <c r="T4826" s="1672"/>
      <c r="U4826" s="1673"/>
      <c r="W4826" s="1675"/>
    </row>
    <row r="4827" spans="1:29" s="1674" customFormat="1" ht="15.6" hidden="1" customHeight="1" thickTop="1" x14ac:dyDescent="0.25">
      <c r="D4827" s="1678"/>
      <c r="F4827" s="1678"/>
      <c r="G4827" s="1678"/>
      <c r="H4827" s="1678"/>
      <c r="I4827" s="58"/>
      <c r="J4827" s="1682"/>
      <c r="K4827" s="58"/>
      <c r="M4827" s="1690"/>
      <c r="N4827" s="1669"/>
      <c r="O4827" s="1690"/>
      <c r="P4827" s="1695"/>
      <c r="Q4827" s="1672"/>
      <c r="R4827" s="1672"/>
      <c r="S4827" s="1672"/>
      <c r="T4827" s="1672"/>
      <c r="U4827" s="1673"/>
      <c r="W4827" s="1675"/>
    </row>
    <row r="4828" spans="1:29" s="1674" customFormat="1" ht="30.95" hidden="1" customHeight="1" x14ac:dyDescent="0.25">
      <c r="A4828" s="1684"/>
      <c r="B4828" s="2960" t="s">
        <v>2187</v>
      </c>
      <c r="C4828" s="2960"/>
      <c r="D4828" s="2960"/>
      <c r="E4828" s="2960"/>
      <c r="F4828" s="2960"/>
      <c r="G4828" s="2960"/>
      <c r="H4828" s="2960"/>
      <c r="I4828" s="2960"/>
      <c r="J4828" s="2960"/>
      <c r="K4828" s="2960"/>
      <c r="L4828" s="1684"/>
      <c r="M4828" s="1703"/>
      <c r="N4828" s="1669"/>
      <c r="O4828" s="1690"/>
      <c r="P4828" s="1695"/>
      <c r="Q4828" s="1672"/>
      <c r="R4828" s="1672"/>
      <c r="S4828" s="1672"/>
      <c r="T4828" s="1672"/>
      <c r="U4828" s="1673"/>
      <c r="W4828" s="1675"/>
    </row>
    <row r="4829" spans="1:29" s="1674" customFormat="1" ht="15.6" hidden="1" customHeight="1" x14ac:dyDescent="0.25">
      <c r="B4829" s="2204"/>
      <c r="C4829" s="2204"/>
      <c r="D4829" s="2205"/>
      <c r="E4829" s="2204"/>
      <c r="F4829" s="2205"/>
      <c r="G4829" s="2205"/>
      <c r="H4829" s="2205"/>
      <c r="I4829" s="2028"/>
      <c r="J4829" s="2206"/>
      <c r="K4829" s="2028"/>
      <c r="M4829" s="1690"/>
      <c r="N4829" s="1669"/>
      <c r="O4829" s="1690"/>
      <c r="P4829" s="1695"/>
      <c r="Q4829" s="1672"/>
      <c r="R4829" s="1672"/>
      <c r="S4829" s="1672"/>
      <c r="T4829" s="1672"/>
      <c r="U4829" s="1673"/>
      <c r="W4829" s="1675"/>
    </row>
    <row r="4830" spans="1:29" s="1674" customFormat="1" ht="15.6" hidden="1" customHeight="1" x14ac:dyDescent="0.25">
      <c r="B4830" s="2207" t="s">
        <v>1337</v>
      </c>
      <c r="C4830" s="2204"/>
      <c r="D4830" s="2205"/>
      <c r="E4830" s="2204"/>
      <c r="F4830" s="2205"/>
      <c r="G4830" s="2205"/>
      <c r="H4830" s="2205"/>
      <c r="I4830" s="2028"/>
      <c r="J4830" s="2206"/>
      <c r="K4830" s="2028"/>
      <c r="M4830" s="1690"/>
      <c r="N4830" s="1669"/>
      <c r="O4830" s="1685"/>
      <c r="P4830" s="1695"/>
      <c r="Q4830" s="1672"/>
      <c r="R4830" s="1672"/>
      <c r="S4830" s="1672"/>
      <c r="T4830" s="1672"/>
      <c r="U4830" s="1673"/>
      <c r="W4830" s="1675"/>
      <c r="Z4830" s="1690"/>
    </row>
    <row r="4831" spans="1:29" s="1674" customFormat="1" ht="15.6" hidden="1" customHeight="1" x14ac:dyDescent="0.25">
      <c r="A4831" s="1684"/>
      <c r="B4831" s="2960" t="s">
        <v>1559</v>
      </c>
      <c r="C4831" s="2960"/>
      <c r="D4831" s="2960"/>
      <c r="E4831" s="2960"/>
      <c r="F4831" s="2960"/>
      <c r="G4831" s="2960"/>
      <c r="H4831" s="2960"/>
      <c r="I4831" s="2960"/>
      <c r="J4831" s="2960"/>
      <c r="K4831" s="2960"/>
      <c r="L4831" s="1684"/>
      <c r="M4831" s="1703"/>
      <c r="N4831" s="1669"/>
      <c r="O4831" s="1685"/>
      <c r="P4831" s="1695"/>
      <c r="Q4831" s="1672"/>
      <c r="R4831" s="1672"/>
      <c r="S4831" s="1672"/>
      <c r="T4831" s="1672"/>
      <c r="U4831" s="1673"/>
      <c r="W4831" s="1675"/>
      <c r="Z4831" s="1690"/>
      <c r="AA4831" s="1690"/>
    </row>
    <row r="4832" spans="1:29" s="1674" customFormat="1" ht="30.95" hidden="1" customHeight="1" thickBot="1" x14ac:dyDescent="0.3">
      <c r="A4832" s="1684"/>
      <c r="B4832" s="2960" t="s">
        <v>1560</v>
      </c>
      <c r="C4832" s="2960"/>
      <c r="D4832" s="2960"/>
      <c r="E4832" s="2960"/>
      <c r="F4832" s="2960"/>
      <c r="G4832" s="2960"/>
      <c r="H4832" s="2960"/>
      <c r="I4832" s="2960"/>
      <c r="J4832" s="2960"/>
      <c r="K4832" s="2960"/>
      <c r="L4832" s="1684"/>
      <c r="M4832" s="1726">
        <f>I4901</f>
        <v>19092948.951994982</v>
      </c>
      <c r="N4832" s="1735">
        <f>I4919</f>
        <v>15904591.152036553</v>
      </c>
      <c r="O4832" s="1685"/>
      <c r="P4832" s="1695"/>
      <c r="Q4832" s="1672"/>
      <c r="R4832" s="1672"/>
      <c r="S4832" s="1672"/>
      <c r="T4832" s="1672"/>
      <c r="U4832" s="1673"/>
      <c r="W4832" s="1675"/>
      <c r="Z4832" s="1690"/>
      <c r="AA4832" s="1690"/>
      <c r="AB4832" s="1690"/>
      <c r="AC4832" s="1690"/>
    </row>
    <row r="4833" spans="1:29" s="1674" customFormat="1" ht="30.95" hidden="1" customHeight="1" thickTop="1" x14ac:dyDescent="0.25">
      <c r="A4833" s="1684"/>
      <c r="B4833" s="2960" t="s">
        <v>1561</v>
      </c>
      <c r="C4833" s="2960"/>
      <c r="D4833" s="2960"/>
      <c r="E4833" s="2960"/>
      <c r="F4833" s="2960"/>
      <c r="G4833" s="2960"/>
      <c r="H4833" s="2960"/>
      <c r="I4833" s="2960"/>
      <c r="J4833" s="2960"/>
      <c r="K4833" s="2960"/>
      <c r="L4833" s="1684"/>
      <c r="M4833" s="1703"/>
      <c r="N4833" s="1669"/>
      <c r="O4833" s="1685"/>
      <c r="P4833" s="1695"/>
      <c r="Q4833" s="1672"/>
      <c r="R4833" s="1672"/>
      <c r="S4833" s="1672"/>
      <c r="T4833" s="1672"/>
      <c r="U4833" s="1673"/>
      <c r="W4833" s="1675"/>
      <c r="AA4833" s="1690"/>
      <c r="AB4833" s="1690"/>
      <c r="AC4833" s="1690"/>
    </row>
    <row r="4834" spans="1:29" s="1674" customFormat="1" ht="15.6" hidden="1" customHeight="1" x14ac:dyDescent="0.25">
      <c r="B4834" s="2204"/>
      <c r="C4834" s="2204"/>
      <c r="D4834" s="2205"/>
      <c r="E4834" s="2204"/>
      <c r="F4834" s="2205"/>
      <c r="G4834" s="2205"/>
      <c r="H4834" s="2205"/>
      <c r="I4834" s="2028"/>
      <c r="J4834" s="2206"/>
      <c r="K4834" s="2028"/>
      <c r="M4834" s="1690"/>
      <c r="N4834" s="1669"/>
      <c r="O4834" s="1685"/>
      <c r="P4834" s="1695"/>
      <c r="Q4834" s="1672"/>
      <c r="R4834" s="1672"/>
      <c r="S4834" s="1672"/>
      <c r="T4834" s="1672"/>
      <c r="U4834" s="1673"/>
      <c r="W4834" s="1675"/>
      <c r="AB4834" s="1690"/>
      <c r="AC4834" s="1690"/>
    </row>
    <row r="4835" spans="1:29" s="1674" customFormat="1" ht="30.95" hidden="1" customHeight="1" x14ac:dyDescent="0.25">
      <c r="A4835" s="1684"/>
      <c r="B4835" s="2960" t="s">
        <v>1332</v>
      </c>
      <c r="C4835" s="2960"/>
      <c r="D4835" s="2960"/>
      <c r="E4835" s="2960"/>
      <c r="F4835" s="2960"/>
      <c r="G4835" s="2960"/>
      <c r="H4835" s="2960"/>
      <c r="I4835" s="2960"/>
      <c r="J4835" s="2960"/>
      <c r="K4835" s="2960"/>
      <c r="L4835" s="1684"/>
      <c r="M4835" s="1703"/>
      <c r="N4835" s="1669"/>
      <c r="O4835" s="1685"/>
      <c r="P4835" s="1695"/>
      <c r="Q4835" s="1672"/>
      <c r="R4835" s="1672"/>
      <c r="S4835" s="1672"/>
      <c r="T4835" s="1672"/>
      <c r="U4835" s="1673"/>
      <c r="W4835" s="1675"/>
    </row>
    <row r="4836" spans="1:29" s="1674" customFormat="1" ht="15.6" hidden="1" customHeight="1" x14ac:dyDescent="0.25">
      <c r="B4836" s="2204"/>
      <c r="C4836" s="2204"/>
      <c r="D4836" s="2205"/>
      <c r="E4836" s="2204"/>
      <c r="F4836" s="2205"/>
      <c r="G4836" s="2205"/>
      <c r="H4836" s="2205"/>
      <c r="I4836" s="2028"/>
      <c r="J4836" s="2206"/>
      <c r="K4836" s="2028"/>
      <c r="M4836" s="1690"/>
      <c r="N4836" s="1669"/>
      <c r="O4836" s="1685"/>
      <c r="P4836" s="1695"/>
      <c r="Q4836" s="1672"/>
      <c r="R4836" s="1672"/>
      <c r="S4836" s="1672"/>
      <c r="T4836" s="1672"/>
      <c r="U4836" s="1673"/>
      <c r="W4836" s="1675"/>
    </row>
    <row r="4837" spans="1:29" s="1690" customFormat="1" ht="15.6" hidden="1" customHeight="1" thickTop="1" thickBot="1" x14ac:dyDescent="0.3">
      <c r="A4837" s="1737"/>
      <c r="B4837" s="1738"/>
      <c r="C4837" s="1738"/>
      <c r="D4837" s="1739"/>
      <c r="E4837" s="1738"/>
      <c r="F4837" s="1739"/>
      <c r="G4837" s="1739"/>
      <c r="H4837" s="1739"/>
      <c r="I4837" s="1740"/>
      <c r="J4837" s="1741"/>
      <c r="K4837" s="1740"/>
      <c r="L4837" s="1742"/>
      <c r="N4837" s="1669"/>
      <c r="P4837" s="1695"/>
      <c r="Q4837" s="1672"/>
      <c r="R4837" s="1672"/>
      <c r="S4837" s="1672"/>
      <c r="T4837" s="1672"/>
      <c r="U4837" s="1673"/>
      <c r="V4837" s="1674"/>
      <c r="W4837" s="1675"/>
      <c r="X4837" s="1674"/>
      <c r="Y4837" s="1674"/>
      <c r="Z4837" s="1674"/>
      <c r="AA4837" s="1674"/>
      <c r="AB4837" s="1674"/>
      <c r="AC4837" s="1674"/>
    </row>
    <row r="4838" spans="1:29" s="1674" customFormat="1" ht="15.6" hidden="1" customHeight="1" thickBot="1" x14ac:dyDescent="0.3">
      <c r="A4838" s="1743"/>
      <c r="B4838" s="2964" t="s">
        <v>1322</v>
      </c>
      <c r="C4838" s="2965"/>
      <c r="D4838" s="2965"/>
      <c r="E4838" s="2965"/>
      <c r="F4838" s="2965"/>
      <c r="G4838" s="2965"/>
      <c r="H4838" s="2965"/>
      <c r="I4838" s="2965"/>
      <c r="J4838" s="2965"/>
      <c r="K4838" s="2966"/>
      <c r="L4838" s="1744"/>
      <c r="M4838" s="1690"/>
      <c r="N4838" s="1669"/>
      <c r="O4838" s="1690"/>
      <c r="P4838" s="1695"/>
      <c r="Q4838" s="1672"/>
      <c r="R4838" s="1672"/>
      <c r="S4838" s="1672"/>
      <c r="T4838" s="1672"/>
      <c r="U4838" s="1673"/>
      <c r="W4838" s="1675"/>
    </row>
    <row r="4839" spans="1:29" s="1674" customFormat="1" ht="15.6" hidden="1" customHeight="1" x14ac:dyDescent="0.25">
      <c r="A4839" s="1743"/>
      <c r="B4839" s="1745"/>
      <c r="C4839" s="1745"/>
      <c r="D4839" s="1678"/>
      <c r="E4839" s="1745"/>
      <c r="F4839" s="1678"/>
      <c r="G4839" s="1745"/>
      <c r="H4839" s="1678"/>
      <c r="I4839" s="1745"/>
      <c r="J4839" s="1678"/>
      <c r="K4839" s="58"/>
      <c r="L4839" s="1744"/>
      <c r="M4839" s="1690"/>
      <c r="N4839" s="1669"/>
      <c r="O4839" s="1690"/>
      <c r="P4839" s="1695"/>
      <c r="Q4839" s="1672"/>
      <c r="R4839" s="1672"/>
      <c r="S4839" s="1672"/>
      <c r="T4839" s="1672"/>
      <c r="U4839" s="1673"/>
      <c r="W4839" s="1675"/>
      <c r="Y4839" s="1690"/>
    </row>
    <row r="4840" spans="1:29" s="1674" customFormat="1" ht="15.6" hidden="1" customHeight="1" x14ac:dyDescent="0.25">
      <c r="A4840" s="1743"/>
      <c r="B4840" s="1746" t="s">
        <v>2025</v>
      </c>
      <c r="C4840" s="1747"/>
      <c r="D4840" s="1748"/>
      <c r="E4840" s="1747"/>
      <c r="F4840" s="1748"/>
      <c r="G4840" s="1747"/>
      <c r="H4840" s="1748"/>
      <c r="I4840" s="1747"/>
      <c r="J4840" s="1748"/>
      <c r="K4840" s="747"/>
      <c r="L4840" s="1744"/>
      <c r="M4840" s="1690"/>
      <c r="N4840" s="1669"/>
      <c r="O4840" s="1690"/>
      <c r="P4840" s="1695"/>
      <c r="Q4840" s="1672"/>
      <c r="R4840" s="1672"/>
      <c r="S4840" s="1672"/>
      <c r="T4840" s="1672"/>
      <c r="U4840" s="1673"/>
      <c r="W4840" s="1675"/>
      <c r="Y4840" s="1690"/>
    </row>
    <row r="4841" spans="1:29" s="1674" customFormat="1" ht="15.6" hidden="1" customHeight="1" thickBot="1" x14ac:dyDescent="0.3">
      <c r="A4841" s="1743"/>
      <c r="B4841" s="1749" t="str">
        <f>Parameters!C11</f>
        <v>30 June 2012</v>
      </c>
      <c r="C4841" s="1745"/>
      <c r="D4841" s="1678"/>
      <c r="E4841" s="1745"/>
      <c r="F4841" s="1678"/>
      <c r="G4841" s="1745"/>
      <c r="H4841" s="1678"/>
      <c r="I4841" s="1745"/>
      <c r="J4841" s="1678"/>
      <c r="K4841" s="58"/>
      <c r="L4841" s="1744"/>
      <c r="M4841" s="1690"/>
      <c r="N4841" s="1669"/>
      <c r="O4841" s="1690"/>
      <c r="P4841" s="1695"/>
      <c r="Q4841" s="1672"/>
      <c r="R4841" s="1672"/>
      <c r="S4841" s="1672"/>
      <c r="T4841" s="1672"/>
      <c r="U4841" s="1673"/>
      <c r="W4841" s="1675"/>
      <c r="Y4841" s="1690"/>
    </row>
    <row r="4842" spans="1:29" s="1674" customFormat="1" ht="15.6" hidden="1" customHeight="1" thickBot="1" x14ac:dyDescent="0.3">
      <c r="A4842" s="1743"/>
      <c r="B4842" s="1750" t="s">
        <v>1323</v>
      </c>
      <c r="C4842" s="958"/>
      <c r="D4842" s="1678"/>
      <c r="E4842" s="958">
        <f>E4847</f>
        <v>0.35208350133280975</v>
      </c>
      <c r="F4842" s="1678"/>
      <c r="G4842" s="1751"/>
      <c r="H4842" s="1678"/>
      <c r="I4842" s="1751"/>
      <c r="J4842" s="1678"/>
      <c r="K4842" s="58"/>
      <c r="L4842" s="1744"/>
      <c r="M4842" s="1690"/>
      <c r="N4842" s="1669"/>
      <c r="O4842" s="1690"/>
      <c r="P4842" s="1695"/>
      <c r="Q4842" s="1672"/>
      <c r="R4842" s="1672"/>
      <c r="S4842" s="1672"/>
      <c r="T4842" s="1672"/>
      <c r="U4842" s="1673"/>
      <c r="W4842" s="1675"/>
      <c r="Y4842" s="1690"/>
    </row>
    <row r="4843" spans="1:29" s="1674" customFormat="1" ht="15.6" hidden="1" customHeight="1" thickBot="1" x14ac:dyDescent="0.3">
      <c r="A4843" s="1743"/>
      <c r="B4843" s="1745"/>
      <c r="C4843" s="1745"/>
      <c r="D4843" s="1678"/>
      <c r="E4843" s="1745"/>
      <c r="F4843" s="1678"/>
      <c r="G4843" s="1745"/>
      <c r="H4843" s="1678"/>
      <c r="I4843" s="1745"/>
      <c r="J4843" s="1678"/>
      <c r="K4843" s="58"/>
      <c r="L4843" s="1744"/>
      <c r="M4843" s="1690"/>
      <c r="N4843" s="1669"/>
      <c r="O4843" s="1690"/>
      <c r="P4843" s="1695"/>
      <c r="Q4843" s="1672"/>
      <c r="R4843" s="1672"/>
      <c r="S4843" s="1672"/>
      <c r="T4843" s="1672"/>
      <c r="U4843" s="1673"/>
      <c r="W4843" s="1675"/>
      <c r="Y4843" s="1690"/>
    </row>
    <row r="4844" spans="1:29" s="1674" customFormat="1" ht="15.6" hidden="1" customHeight="1" thickBot="1" x14ac:dyDescent="0.3">
      <c r="A4844" s="1743"/>
      <c r="B4844" s="1752" t="s">
        <v>1324</v>
      </c>
      <c r="C4844" s="1753"/>
      <c r="D4844" s="1754"/>
      <c r="E4844" s="1755" t="s">
        <v>1325</v>
      </c>
      <c r="F4844" s="1678"/>
      <c r="G4844" s="1755" t="s">
        <v>1325</v>
      </c>
      <c r="H4844" s="1678"/>
      <c r="I4844" s="1755" t="s">
        <v>1325</v>
      </c>
      <c r="J4844" s="1678"/>
      <c r="K4844" s="1755" t="s">
        <v>1325</v>
      </c>
      <c r="L4844" s="1744"/>
      <c r="M4844" s="1690"/>
      <c r="N4844" s="1669"/>
      <c r="O4844" s="1690"/>
      <c r="P4844" s="1695"/>
      <c r="Q4844" s="1672"/>
      <c r="R4844" s="1672"/>
      <c r="S4844" s="1672"/>
      <c r="T4844" s="1672"/>
      <c r="U4844" s="1673"/>
      <c r="W4844" s="1675"/>
      <c r="Y4844" s="1690"/>
    </row>
    <row r="4845" spans="1:29" s="1674" customFormat="1" ht="15.6" hidden="1" customHeight="1" x14ac:dyDescent="0.25">
      <c r="A4845" s="1743"/>
      <c r="B4845" s="1756" t="s">
        <v>2026</v>
      </c>
      <c r="C4845" s="1757"/>
      <c r="D4845" s="1754"/>
      <c r="E4845" s="1758">
        <f>SUM('Notes I'!I904+'Notes I'!K904+'Notes I'!I938+'Notes I'!K938)/2</f>
        <v>399554.81999999844</v>
      </c>
      <c r="F4845" s="1678"/>
      <c r="G4845" s="1758">
        <f>E4845</f>
        <v>399554.81999999844</v>
      </c>
      <c r="H4845" s="1678"/>
      <c r="I4845" s="1758">
        <f>E4845</f>
        <v>399554.81999999844</v>
      </c>
      <c r="J4845" s="1678"/>
      <c r="K4845" s="1758">
        <f>E4845</f>
        <v>399554.81999999844</v>
      </c>
      <c r="L4845" s="1744"/>
      <c r="M4845" s="1690"/>
      <c r="N4845" s="1669"/>
      <c r="O4845" s="1690"/>
      <c r="P4845" s="1695"/>
      <c r="Q4845" s="1672"/>
      <c r="R4845" s="1672"/>
      <c r="S4845" s="1672"/>
      <c r="T4845" s="1672"/>
      <c r="U4845" s="1673"/>
      <c r="W4845" s="1675"/>
    </row>
    <row r="4846" spans="1:29" s="1674" customFormat="1" ht="15.6" hidden="1" customHeight="1" x14ac:dyDescent="0.25">
      <c r="A4846" s="1743"/>
      <c r="B4846" s="1759" t="s">
        <v>2027</v>
      </c>
      <c r="C4846" s="1760"/>
      <c r="D4846" s="1754"/>
      <c r="E4846" s="1761">
        <f>'Notes II'!I2477</f>
        <v>140676.66</v>
      </c>
      <c r="F4846" s="1678"/>
      <c r="G4846" s="1761">
        <f>IF(E4846&gt;0,G4847*G4845,0)</f>
        <v>142674.43410000001</v>
      </c>
      <c r="H4846" s="1678"/>
      <c r="I4846" s="1761">
        <f>IF(E4846&gt;0,I4847*I4845,0)</f>
        <v>144672.20819999999</v>
      </c>
      <c r="J4846" s="1678"/>
      <c r="K4846" s="1761">
        <f>IF(E4846&gt;0,K4847*K4845,0)</f>
        <v>148667.75639999998</v>
      </c>
      <c r="L4846" s="1744"/>
      <c r="M4846" s="1690"/>
      <c r="N4846" s="1669"/>
      <c r="O4846" s="1690"/>
      <c r="P4846" s="1695"/>
      <c r="Q4846" s="1672"/>
      <c r="R4846" s="1672"/>
      <c r="S4846" s="1672"/>
      <c r="T4846" s="1672"/>
      <c r="U4846" s="1673"/>
      <c r="W4846" s="1675"/>
      <c r="Y4846" s="1690"/>
    </row>
    <row r="4847" spans="1:29" s="1674" customFormat="1" ht="15.6" hidden="1" customHeight="1" x14ac:dyDescent="0.25">
      <c r="A4847" s="1743"/>
      <c r="B4847" s="1759" t="s">
        <v>2028</v>
      </c>
      <c r="C4847" s="1760"/>
      <c r="D4847" s="1754"/>
      <c r="E4847" s="644">
        <f>E4846/E4845</f>
        <v>0.35208350133280975</v>
      </c>
      <c r="F4847" s="1678"/>
      <c r="G4847" s="644">
        <f>E4842+G4848</f>
        <v>0.35708350133280975</v>
      </c>
      <c r="H4847" s="1678"/>
      <c r="I4847" s="644">
        <f>E4842+I4848</f>
        <v>0.36208350133280975</v>
      </c>
      <c r="J4847" s="1678"/>
      <c r="K4847" s="644">
        <f>E4842+K4848</f>
        <v>0.37208350133280976</v>
      </c>
      <c r="L4847" s="1744"/>
      <c r="M4847" s="1690"/>
      <c r="N4847" s="1669"/>
      <c r="O4847" s="1690"/>
      <c r="P4847" s="1695"/>
      <c r="Q4847" s="1672"/>
      <c r="R4847" s="1672"/>
      <c r="S4847" s="1672"/>
      <c r="T4847" s="1672"/>
      <c r="U4847" s="1673"/>
      <c r="W4847" s="1675"/>
    </row>
    <row r="4848" spans="1:29" s="1674" customFormat="1" ht="15.6" hidden="1" customHeight="1" thickBot="1" x14ac:dyDescent="0.3">
      <c r="A4848" s="1743"/>
      <c r="B4848" s="1762" t="s">
        <v>2029</v>
      </c>
      <c r="C4848" s="1763"/>
      <c r="D4848" s="1754"/>
      <c r="E4848" s="959"/>
      <c r="F4848" s="1678"/>
      <c r="G4848" s="959">
        <v>5.0000000000000001E-3</v>
      </c>
      <c r="H4848" s="1678"/>
      <c r="I4848" s="959">
        <v>0.01</v>
      </c>
      <c r="J4848" s="1678"/>
      <c r="K4848" s="959">
        <v>0.02</v>
      </c>
      <c r="L4848" s="1744"/>
      <c r="M4848" s="1690"/>
      <c r="N4848" s="1669"/>
      <c r="O4848" s="1690"/>
      <c r="P4848" s="1695"/>
      <c r="Q4848" s="1672"/>
      <c r="R4848" s="1672"/>
      <c r="S4848" s="1672"/>
      <c r="T4848" s="1672"/>
      <c r="U4848" s="1673"/>
      <c r="W4848" s="1675"/>
      <c r="Z4848" s="1690"/>
    </row>
    <row r="4849" spans="1:29" s="1674" customFormat="1" ht="15.6" hidden="1" customHeight="1" thickBot="1" x14ac:dyDescent="0.3">
      <c r="A4849" s="1743"/>
      <c r="B4849" s="1752" t="s">
        <v>1326</v>
      </c>
      <c r="C4849" s="1753"/>
      <c r="D4849" s="1754"/>
      <c r="E4849" s="1750"/>
      <c r="F4849" s="1678"/>
      <c r="G4849" s="1750"/>
      <c r="H4849" s="1678"/>
      <c r="I4849" s="1750"/>
      <c r="J4849" s="1678"/>
      <c r="K4849" s="1750"/>
      <c r="L4849" s="1744"/>
      <c r="M4849" s="1690"/>
      <c r="N4849" s="1669"/>
      <c r="O4849" s="1690"/>
      <c r="P4849" s="1695"/>
      <c r="Q4849" s="1672"/>
      <c r="R4849" s="1672"/>
      <c r="S4849" s="1672"/>
      <c r="T4849" s="1672"/>
      <c r="U4849" s="1673"/>
      <c r="W4849" s="1675"/>
      <c r="Z4849" s="1690"/>
      <c r="AA4849" s="1690"/>
    </row>
    <row r="4850" spans="1:29" s="1674" customFormat="1" ht="15.6" hidden="1" customHeight="1" x14ac:dyDescent="0.25">
      <c r="A4850" s="1743"/>
      <c r="B4850" s="1764" t="s">
        <v>2030</v>
      </c>
      <c r="C4850" s="1765"/>
      <c r="D4850" s="1754"/>
      <c r="E4850" s="1766">
        <f>'Fin Perform'!I30-I2470</f>
        <v>120116395.23999998</v>
      </c>
      <c r="F4850" s="1678"/>
      <c r="G4850" s="1767">
        <f>E4850</f>
        <v>120116395.23999998</v>
      </c>
      <c r="H4850" s="1678"/>
      <c r="I4850" s="1767">
        <f>E4850</f>
        <v>120116395.23999998</v>
      </c>
      <c r="J4850" s="1678"/>
      <c r="K4850" s="1767">
        <f>E4850</f>
        <v>120116395.23999998</v>
      </c>
      <c r="L4850" s="1744"/>
      <c r="M4850" s="1690"/>
      <c r="N4850" s="1669"/>
      <c r="O4850" s="1690"/>
      <c r="P4850" s="1695"/>
      <c r="Q4850" s="1672"/>
      <c r="R4850" s="1672"/>
      <c r="S4850" s="1672"/>
      <c r="T4850" s="1672"/>
      <c r="U4850" s="1673"/>
      <c r="W4850" s="1675"/>
      <c r="Z4850" s="1690"/>
      <c r="AA4850" s="1690"/>
      <c r="AB4850" s="1690"/>
      <c r="AC4850" s="1690"/>
    </row>
    <row r="4851" spans="1:29" s="1674" customFormat="1" ht="15.6" hidden="1" customHeight="1" x14ac:dyDescent="0.25">
      <c r="A4851" s="1743"/>
      <c r="B4851" s="1768" t="s">
        <v>2031</v>
      </c>
      <c r="C4851" s="1765"/>
      <c r="D4851" s="1754"/>
      <c r="E4851" s="1766">
        <f>'Notes II'!I2470-'Notes II'!I2477</f>
        <v>0</v>
      </c>
      <c r="F4851" s="1678"/>
      <c r="G4851" s="1767">
        <f>E4851</f>
        <v>0</v>
      </c>
      <c r="H4851" s="1678"/>
      <c r="I4851" s="1767">
        <f>E4851</f>
        <v>0</v>
      </c>
      <c r="J4851" s="1678"/>
      <c r="K4851" s="1767">
        <f>E4851</f>
        <v>0</v>
      </c>
      <c r="L4851" s="1744"/>
      <c r="M4851" s="1690"/>
      <c r="N4851" s="1669"/>
      <c r="O4851" s="1690"/>
      <c r="P4851" s="1695"/>
      <c r="Q4851" s="1672"/>
      <c r="R4851" s="1672"/>
      <c r="S4851" s="1672"/>
      <c r="T4851" s="1672"/>
      <c r="U4851" s="1673"/>
      <c r="W4851" s="1675"/>
      <c r="Z4851" s="1690"/>
      <c r="AA4851" s="1690"/>
      <c r="AB4851" s="1690"/>
      <c r="AC4851" s="1690"/>
    </row>
    <row r="4852" spans="1:29" s="1674" customFormat="1" ht="15.6" hidden="1" customHeight="1" x14ac:dyDescent="0.25">
      <c r="A4852" s="1743"/>
      <c r="B4852" s="1764" t="s">
        <v>249</v>
      </c>
      <c r="C4852" s="1765"/>
      <c r="D4852" s="1754"/>
      <c r="E4852" s="1766">
        <f>E4846+E4850+E4851</f>
        <v>120257071.89999998</v>
      </c>
      <c r="F4852" s="1678"/>
      <c r="G4852" s="1767">
        <f>G4846+G4850+G4851</f>
        <v>120259069.67409998</v>
      </c>
      <c r="H4852" s="1678"/>
      <c r="I4852" s="1767">
        <f>I4846+I4850+I4851</f>
        <v>120261067.44819997</v>
      </c>
      <c r="J4852" s="1678"/>
      <c r="K4852" s="1767">
        <f>K4846+K4850+K4851</f>
        <v>120265062.99639998</v>
      </c>
      <c r="L4852" s="1744"/>
      <c r="M4852" s="1690"/>
      <c r="N4852" s="1669"/>
      <c r="O4852" s="1690"/>
      <c r="P4852" s="1695"/>
      <c r="Q4852" s="1672"/>
      <c r="R4852" s="1672"/>
      <c r="S4852" s="1672"/>
      <c r="T4852" s="1672"/>
      <c r="U4852" s="1673"/>
      <c r="W4852" s="1675"/>
      <c r="Z4852" s="1690"/>
      <c r="AA4852" s="1690"/>
      <c r="AB4852" s="1690"/>
      <c r="AC4852" s="1690"/>
    </row>
    <row r="4853" spans="1:29" s="1674" customFormat="1" ht="15.6" hidden="1" customHeight="1" thickBot="1" x14ac:dyDescent="0.3">
      <c r="A4853" s="1743"/>
      <c r="B4853" s="1764" t="s">
        <v>252</v>
      </c>
      <c r="C4853" s="1765"/>
      <c r="D4853" s="1754"/>
      <c r="E4853" s="1769">
        <f>'Fin Perform'!I48</f>
        <v>137297604.16</v>
      </c>
      <c r="F4853" s="1678"/>
      <c r="G4853" s="1770">
        <f>E4853</f>
        <v>137297604.16</v>
      </c>
      <c r="H4853" s="1678"/>
      <c r="I4853" s="1770">
        <f>E4853</f>
        <v>137297604.16</v>
      </c>
      <c r="J4853" s="1678"/>
      <c r="K4853" s="1770">
        <f>E4853</f>
        <v>137297604.16</v>
      </c>
      <c r="L4853" s="1744"/>
      <c r="M4853" s="1690"/>
      <c r="N4853" s="1669"/>
      <c r="O4853" s="1690"/>
      <c r="P4853" s="1695"/>
      <c r="Q4853" s="1672"/>
      <c r="R4853" s="1672"/>
      <c r="S4853" s="1672"/>
      <c r="T4853" s="1672"/>
      <c r="U4853" s="1673"/>
      <c r="W4853" s="1675"/>
      <c r="Z4853" s="1690"/>
      <c r="AA4853" s="1690"/>
      <c r="AB4853" s="1690"/>
      <c r="AC4853" s="1690"/>
    </row>
    <row r="4854" spans="1:29" s="1674" customFormat="1" ht="15.6" hidden="1" customHeight="1" thickBot="1" x14ac:dyDescent="0.3">
      <c r="A4854" s="1743"/>
      <c r="B4854" s="1752" t="s">
        <v>1327</v>
      </c>
      <c r="C4854" s="1753"/>
      <c r="D4854" s="1754"/>
      <c r="E4854" s="1750"/>
      <c r="F4854" s="1678"/>
      <c r="G4854" s="1750"/>
      <c r="H4854" s="1678"/>
      <c r="I4854" s="1750"/>
      <c r="J4854" s="1678"/>
      <c r="K4854" s="1750"/>
      <c r="L4854" s="1744"/>
      <c r="M4854" s="1690"/>
      <c r="N4854" s="1669"/>
      <c r="O4854" s="1690"/>
      <c r="P4854" s="1695"/>
      <c r="Q4854" s="1672"/>
      <c r="R4854" s="1672"/>
      <c r="S4854" s="1672"/>
      <c r="T4854" s="1672"/>
      <c r="U4854" s="1673"/>
      <c r="W4854" s="1675"/>
      <c r="AA4854" s="1690"/>
      <c r="AB4854" s="1690"/>
      <c r="AC4854" s="1690"/>
    </row>
    <row r="4855" spans="1:29" s="1674" customFormat="1" ht="15.6" hidden="1" customHeight="1" thickBot="1" x14ac:dyDescent="0.3">
      <c r="A4855" s="1743"/>
      <c r="B4855" s="1771" t="s">
        <v>1328</v>
      </c>
      <c r="C4855" s="1772"/>
      <c r="D4855" s="1754"/>
      <c r="E4855" s="1773">
        <f>E4852-E4853</f>
        <v>-17040532.26000002</v>
      </c>
      <c r="F4855" s="1678"/>
      <c r="G4855" s="1774">
        <f>G4852-G4853</f>
        <v>-17038534.485900015</v>
      </c>
      <c r="H4855" s="1678"/>
      <c r="I4855" s="1774">
        <f>I4852-I4853</f>
        <v>-17036536.711800024</v>
      </c>
      <c r="J4855" s="1678"/>
      <c r="K4855" s="1774">
        <f>K4852-K4853</f>
        <v>-17032541.163600013</v>
      </c>
      <c r="L4855" s="1744"/>
      <c r="M4855" s="1690"/>
      <c r="N4855" s="1669"/>
      <c r="O4855" s="1690"/>
      <c r="P4855" s="1695"/>
      <c r="Q4855" s="1672"/>
      <c r="R4855" s="1672"/>
      <c r="S4855" s="1672"/>
      <c r="T4855" s="1672"/>
      <c r="U4855" s="1673"/>
      <c r="W4855" s="1675"/>
      <c r="Z4855" s="1690"/>
      <c r="AB4855" s="1690"/>
      <c r="AC4855" s="1690"/>
    </row>
    <row r="4856" spans="1:29" s="1690" customFormat="1" ht="15.6" hidden="1" customHeight="1" x14ac:dyDescent="0.25">
      <c r="A4856" s="1775"/>
      <c r="B4856" s="1776"/>
      <c r="C4856" s="1777"/>
      <c r="D4856" s="1778"/>
      <c r="E4856" s="1779">
        <f>E4855-'Fin Perform'!I57</f>
        <v>0</v>
      </c>
      <c r="F4856" s="1778"/>
      <c r="G4856" s="1780"/>
      <c r="H4856" s="1778"/>
      <c r="I4856" s="1780"/>
      <c r="J4856" s="1781"/>
      <c r="K4856" s="1780"/>
      <c r="L4856" s="1782"/>
      <c r="N4856" s="1669"/>
      <c r="P4856" s="1695"/>
      <c r="Q4856" s="1672"/>
      <c r="R4856" s="1672"/>
      <c r="S4856" s="1672"/>
      <c r="T4856" s="1672"/>
      <c r="U4856" s="1673"/>
      <c r="V4856" s="1674"/>
      <c r="W4856" s="1675"/>
      <c r="X4856" s="1674"/>
      <c r="Y4856" s="1674"/>
      <c r="Z4856" s="1674"/>
      <c r="AB4856" s="1674"/>
      <c r="AC4856" s="1674"/>
    </row>
    <row r="4857" spans="1:29" s="1690" customFormat="1" ht="15.6" hidden="1" customHeight="1" thickBot="1" x14ac:dyDescent="0.3">
      <c r="A4857" s="1775"/>
      <c r="B4857" s="1783" t="s">
        <v>1329</v>
      </c>
      <c r="C4857" s="1784"/>
      <c r="D4857" s="1778"/>
      <c r="E4857" s="1785"/>
      <c r="F4857" s="1778"/>
      <c r="G4857" s="1786">
        <f>G4855-E4855</f>
        <v>1997.7741000056267</v>
      </c>
      <c r="H4857" s="1787">
        <v>-234</v>
      </c>
      <c r="I4857" s="1786">
        <f>I4855-E4855</f>
        <v>3995.5481999963522</v>
      </c>
      <c r="J4857" s="1781"/>
      <c r="K4857" s="1786">
        <f>K4855-E4855</f>
        <v>7991.0964000076056</v>
      </c>
      <c r="L4857" s="1782"/>
      <c r="N4857" s="1669"/>
      <c r="P4857" s="1695"/>
      <c r="Q4857" s="1672"/>
      <c r="R4857" s="1672"/>
      <c r="S4857" s="1672"/>
      <c r="T4857" s="1672"/>
      <c r="U4857" s="1673"/>
      <c r="V4857" s="1674"/>
      <c r="W4857" s="1675"/>
      <c r="X4857" s="1674"/>
      <c r="Y4857" s="1674"/>
      <c r="Z4857" s="1674"/>
      <c r="AA4857" s="1674"/>
    </row>
    <row r="4858" spans="1:29" s="1690" customFormat="1" ht="15.6" hidden="1" customHeight="1" x14ac:dyDescent="0.25">
      <c r="A4858" s="1775"/>
      <c r="D4858" s="1778"/>
      <c r="F4858" s="1778"/>
      <c r="G4858" s="1778"/>
      <c r="H4858" s="1778"/>
      <c r="I4858" s="1472"/>
      <c r="J4858" s="1781"/>
      <c r="K4858" s="1472"/>
      <c r="L4858" s="1782"/>
      <c r="N4858" s="1669"/>
      <c r="P4858" s="1695"/>
      <c r="Q4858" s="1672"/>
      <c r="R4858" s="1672"/>
      <c r="S4858" s="1672"/>
      <c r="T4858" s="1672"/>
      <c r="U4858" s="1673"/>
      <c r="V4858" s="1674"/>
      <c r="W4858" s="1675"/>
      <c r="X4858" s="1674"/>
      <c r="Y4858" s="1674"/>
      <c r="Z4858" s="1674"/>
      <c r="AA4858" s="1674"/>
      <c r="AB4858" s="1674"/>
      <c r="AC4858" s="1674"/>
    </row>
    <row r="4859" spans="1:29" s="1674" customFormat="1" ht="15.6" hidden="1" customHeight="1" thickBot="1" x14ac:dyDescent="0.3">
      <c r="A4859" s="1743"/>
      <c r="B4859" s="1749" t="str">
        <f>Parameters!C13</f>
        <v>30 June 2011</v>
      </c>
      <c r="C4859" s="1788"/>
      <c r="D4859" s="1678"/>
      <c r="E4859" s="1745"/>
      <c r="F4859" s="1678"/>
      <c r="G4859" s="1745"/>
      <c r="H4859" s="1678"/>
      <c r="I4859" s="1745"/>
      <c r="J4859" s="1678"/>
      <c r="K4859" s="58"/>
      <c r="L4859" s="1744"/>
      <c r="M4859" s="1690"/>
      <c r="N4859" s="1669"/>
      <c r="O4859" s="1690"/>
      <c r="P4859" s="1695"/>
      <c r="Q4859" s="1672"/>
      <c r="R4859" s="1672"/>
      <c r="S4859" s="1672"/>
      <c r="T4859" s="1672"/>
      <c r="U4859" s="1673"/>
      <c r="W4859" s="1675"/>
    </row>
    <row r="4860" spans="1:29" s="1674" customFormat="1" ht="15.6" hidden="1" customHeight="1" thickBot="1" x14ac:dyDescent="0.3">
      <c r="A4860" s="1743"/>
      <c r="B4860" s="1750" t="s">
        <v>1323</v>
      </c>
      <c r="C4860" s="958"/>
      <c r="D4860" s="1678"/>
      <c r="E4860" s="958">
        <f>E4865</f>
        <v>5.2162545157536074E-3</v>
      </c>
      <c r="F4860" s="1678"/>
      <c r="G4860" s="1751"/>
      <c r="H4860" s="1678"/>
      <c r="I4860" s="1751"/>
      <c r="J4860" s="1678"/>
      <c r="K4860" s="58"/>
      <c r="L4860" s="1744"/>
      <c r="M4860" s="1690"/>
      <c r="N4860" s="1669"/>
      <c r="O4860" s="1690"/>
      <c r="P4860" s="1695"/>
      <c r="Q4860" s="1672"/>
      <c r="R4860" s="1672"/>
      <c r="S4860" s="1672"/>
      <c r="T4860" s="1672"/>
      <c r="U4860" s="1673"/>
      <c r="W4860" s="1675"/>
    </row>
    <row r="4861" spans="1:29" s="1674" customFormat="1" ht="15.6" hidden="1" customHeight="1" thickBot="1" x14ac:dyDescent="0.3">
      <c r="A4861" s="1743"/>
      <c r="B4861" s="1745"/>
      <c r="C4861" s="1745"/>
      <c r="D4861" s="1678"/>
      <c r="E4861" s="1745"/>
      <c r="F4861" s="1678"/>
      <c r="G4861" s="1745"/>
      <c r="H4861" s="1678"/>
      <c r="I4861" s="1745"/>
      <c r="J4861" s="1678"/>
      <c r="K4861" s="58"/>
      <c r="L4861" s="1744"/>
      <c r="M4861" s="1690"/>
      <c r="N4861" s="1669"/>
      <c r="O4861" s="1690"/>
      <c r="P4861" s="1695"/>
      <c r="Q4861" s="1672"/>
      <c r="R4861" s="1672"/>
      <c r="S4861" s="1672"/>
      <c r="T4861" s="1672"/>
      <c r="U4861" s="1673"/>
      <c r="W4861" s="1675"/>
    </row>
    <row r="4862" spans="1:29" s="1674" customFormat="1" ht="15.6" hidden="1" customHeight="1" thickBot="1" x14ac:dyDescent="0.3">
      <c r="A4862" s="1743"/>
      <c r="B4862" s="1752" t="s">
        <v>1324</v>
      </c>
      <c r="C4862" s="1753"/>
      <c r="D4862" s="1754"/>
      <c r="E4862" s="1755" t="s">
        <v>1325</v>
      </c>
      <c r="F4862" s="1678"/>
      <c r="G4862" s="1755" t="s">
        <v>1325</v>
      </c>
      <c r="H4862" s="1678"/>
      <c r="I4862" s="1755" t="s">
        <v>1325</v>
      </c>
      <c r="J4862" s="1678"/>
      <c r="K4862" s="1755" t="s">
        <v>1325</v>
      </c>
      <c r="L4862" s="1744"/>
      <c r="M4862" s="1690"/>
      <c r="N4862" s="1669"/>
      <c r="O4862" s="1690"/>
      <c r="P4862" s="1695"/>
      <c r="Q4862" s="1672"/>
      <c r="R4862" s="1672"/>
      <c r="S4862" s="1672"/>
      <c r="T4862" s="1672"/>
      <c r="U4862" s="1673"/>
      <c r="W4862" s="1675"/>
    </row>
    <row r="4863" spans="1:29" s="1674" customFormat="1" ht="15.6" hidden="1" customHeight="1" x14ac:dyDescent="0.25">
      <c r="A4863" s="1743"/>
      <c r="B4863" s="1756" t="s">
        <v>2026</v>
      </c>
      <c r="C4863" s="1757"/>
      <c r="D4863" s="1754"/>
      <c r="E4863" s="1758">
        <f>SUM('Notes I'!K904+'Notes I'!N904+'Notes I'!K938+'Notes I'!N938)/2</f>
        <v>6064895.7800000003</v>
      </c>
      <c r="F4863" s="1678"/>
      <c r="G4863" s="1758">
        <f>E4863</f>
        <v>6064895.7800000003</v>
      </c>
      <c r="H4863" s="1678"/>
      <c r="I4863" s="1758">
        <f>E4863</f>
        <v>6064895.7800000003</v>
      </c>
      <c r="J4863" s="1678"/>
      <c r="K4863" s="1758">
        <f>E4863</f>
        <v>6064895.7800000003</v>
      </c>
      <c r="L4863" s="1744"/>
      <c r="M4863" s="1690"/>
      <c r="N4863" s="1669"/>
      <c r="O4863" s="1690"/>
      <c r="P4863" s="1695"/>
      <c r="Q4863" s="1672"/>
      <c r="R4863" s="1672"/>
      <c r="S4863" s="1672"/>
      <c r="T4863" s="1672"/>
      <c r="U4863" s="1673"/>
      <c r="W4863" s="1675"/>
    </row>
    <row r="4864" spans="1:29" s="1674" customFormat="1" ht="15.6" hidden="1" customHeight="1" x14ac:dyDescent="0.25">
      <c r="A4864" s="1743"/>
      <c r="B4864" s="1759" t="s">
        <v>2027</v>
      </c>
      <c r="C4864" s="1760"/>
      <c r="D4864" s="1754"/>
      <c r="E4864" s="1761">
        <f>'Notes II'!K2477</f>
        <v>31636.04</v>
      </c>
      <c r="F4864" s="1678"/>
      <c r="G4864" s="1761">
        <f>IF(E4864&gt;0,G4865*G4863,0)</f>
        <v>61960.518900000003</v>
      </c>
      <c r="H4864" s="1678"/>
      <c r="I4864" s="1761">
        <f>IF(E4864&gt;0,I4865*I4863,0)</f>
        <v>92284.997800000012</v>
      </c>
      <c r="J4864" s="1678"/>
      <c r="K4864" s="1761">
        <f>IF(E4864&gt;0,K4865*K4863,0)</f>
        <v>152933.95559999999</v>
      </c>
      <c r="L4864" s="1744"/>
      <c r="M4864" s="1690"/>
      <c r="N4864" s="1669"/>
      <c r="O4864" s="1690"/>
      <c r="P4864" s="1695"/>
      <c r="Q4864" s="1672"/>
      <c r="R4864" s="1672"/>
      <c r="S4864" s="1672"/>
      <c r="T4864" s="1672"/>
      <c r="U4864" s="1673"/>
      <c r="W4864" s="1675"/>
    </row>
    <row r="4865" spans="1:29" s="1674" customFormat="1" ht="15.6" hidden="1" customHeight="1" x14ac:dyDescent="0.25">
      <c r="A4865" s="1743"/>
      <c r="B4865" s="1759" t="s">
        <v>2028</v>
      </c>
      <c r="C4865" s="1760"/>
      <c r="D4865" s="1754"/>
      <c r="E4865" s="644">
        <f>E4864/E4863</f>
        <v>5.2162545157536074E-3</v>
      </c>
      <c r="F4865" s="1678"/>
      <c r="G4865" s="644">
        <f>E4860+G4866</f>
        <v>1.0216254515753607E-2</v>
      </c>
      <c r="H4865" s="1678"/>
      <c r="I4865" s="644">
        <f>E4860+I4866</f>
        <v>1.5216254515753608E-2</v>
      </c>
      <c r="J4865" s="1678"/>
      <c r="K4865" s="644">
        <f>E4860+K4866</f>
        <v>2.5216254515753607E-2</v>
      </c>
      <c r="L4865" s="1744"/>
      <c r="M4865" s="1690"/>
      <c r="N4865" s="1669"/>
      <c r="O4865" s="1690"/>
      <c r="P4865" s="1695"/>
      <c r="Q4865" s="1672"/>
      <c r="R4865" s="1672"/>
      <c r="S4865" s="1672"/>
      <c r="T4865" s="1672"/>
      <c r="U4865" s="1673"/>
      <c r="W4865" s="1675"/>
      <c r="Y4865" s="1690"/>
    </row>
    <row r="4866" spans="1:29" s="1674" customFormat="1" ht="15.6" hidden="1" customHeight="1" thickBot="1" x14ac:dyDescent="0.3">
      <c r="A4866" s="1743"/>
      <c r="B4866" s="1762" t="s">
        <v>2029</v>
      </c>
      <c r="C4866" s="1763"/>
      <c r="D4866" s="1754"/>
      <c r="E4866" s="959"/>
      <c r="F4866" s="1678"/>
      <c r="G4866" s="959">
        <v>5.0000000000000001E-3</v>
      </c>
      <c r="H4866" s="1678"/>
      <c r="I4866" s="959">
        <v>0.01</v>
      </c>
      <c r="J4866" s="1678"/>
      <c r="K4866" s="959">
        <v>0.02</v>
      </c>
      <c r="L4866" s="1744"/>
      <c r="M4866" s="1690"/>
      <c r="N4866" s="1669"/>
      <c r="O4866" s="1690"/>
      <c r="P4866" s="1695"/>
      <c r="Q4866" s="1672"/>
      <c r="R4866" s="1672"/>
      <c r="S4866" s="1672"/>
      <c r="T4866" s="1672"/>
      <c r="U4866" s="1673"/>
      <c r="W4866" s="1675"/>
      <c r="Y4866" s="1690"/>
    </row>
    <row r="4867" spans="1:29" s="1674" customFormat="1" ht="15.6" hidden="1" customHeight="1" thickBot="1" x14ac:dyDescent="0.3">
      <c r="A4867" s="1743"/>
      <c r="B4867" s="1752" t="s">
        <v>1326</v>
      </c>
      <c r="C4867" s="1753"/>
      <c r="D4867" s="1754"/>
      <c r="E4867" s="1750"/>
      <c r="F4867" s="1678"/>
      <c r="G4867" s="1750"/>
      <c r="H4867" s="1678"/>
      <c r="I4867" s="1750"/>
      <c r="J4867" s="1678"/>
      <c r="K4867" s="1750"/>
      <c r="L4867" s="1744"/>
      <c r="M4867" s="1690"/>
      <c r="N4867" s="1669"/>
      <c r="O4867" s="1690"/>
      <c r="P4867" s="1695"/>
      <c r="Q4867" s="1672"/>
      <c r="R4867" s="1672"/>
      <c r="S4867" s="1672"/>
      <c r="T4867" s="1672"/>
      <c r="U4867" s="1673"/>
      <c r="W4867" s="1675"/>
      <c r="Y4867" s="1690"/>
    </row>
    <row r="4868" spans="1:29" s="1674" customFormat="1" ht="15.6" hidden="1" customHeight="1" x14ac:dyDescent="0.25">
      <c r="A4868" s="1743"/>
      <c r="B4868" s="1764" t="s">
        <v>2030</v>
      </c>
      <c r="C4868" s="1765"/>
      <c r="D4868" s="1754"/>
      <c r="E4868" s="1766">
        <f>'Fin Perform'!K30-'Notes II'!K2470</f>
        <v>106348689.18999998</v>
      </c>
      <c r="F4868" s="1678"/>
      <c r="G4868" s="1767">
        <f>E4868</f>
        <v>106348689.18999998</v>
      </c>
      <c r="H4868" s="1678"/>
      <c r="I4868" s="1767">
        <f>E4868</f>
        <v>106348689.18999998</v>
      </c>
      <c r="J4868" s="1678"/>
      <c r="K4868" s="1767">
        <f>E4868</f>
        <v>106348689.18999998</v>
      </c>
      <c r="L4868" s="1744"/>
      <c r="M4868" s="1690"/>
      <c r="N4868" s="1669"/>
      <c r="O4868" s="1690"/>
      <c r="P4868" s="1695"/>
      <c r="Q4868" s="1672"/>
      <c r="R4868" s="1672"/>
      <c r="S4868" s="1672"/>
      <c r="T4868" s="1672"/>
      <c r="U4868" s="1673"/>
      <c r="W4868" s="1675"/>
    </row>
    <row r="4869" spans="1:29" s="1674" customFormat="1" ht="15.6" hidden="1" customHeight="1" x14ac:dyDescent="0.25">
      <c r="A4869" s="1743"/>
      <c r="B4869" s="1768" t="s">
        <v>2031</v>
      </c>
      <c r="C4869" s="1765"/>
      <c r="D4869" s="1754"/>
      <c r="E4869" s="1766">
        <f>'Notes II'!K2470-'Notes II'!K2477</f>
        <v>0</v>
      </c>
      <c r="F4869" s="1678"/>
      <c r="G4869" s="1767">
        <f>E4869</f>
        <v>0</v>
      </c>
      <c r="H4869" s="1678"/>
      <c r="I4869" s="1767">
        <f>E4869</f>
        <v>0</v>
      </c>
      <c r="J4869" s="1678"/>
      <c r="K4869" s="1767">
        <f>E4869</f>
        <v>0</v>
      </c>
      <c r="L4869" s="1744"/>
      <c r="M4869" s="1690"/>
      <c r="N4869" s="1669"/>
      <c r="O4869" s="1690"/>
      <c r="P4869" s="1695"/>
      <c r="Q4869" s="1672"/>
      <c r="R4869" s="1672"/>
      <c r="S4869" s="1672"/>
      <c r="T4869" s="1672"/>
      <c r="U4869" s="1673"/>
      <c r="W4869" s="1675"/>
    </row>
    <row r="4870" spans="1:29" s="1674" customFormat="1" ht="15.6" hidden="1" customHeight="1" x14ac:dyDescent="0.25">
      <c r="A4870" s="1743"/>
      <c r="B4870" s="1764" t="s">
        <v>249</v>
      </c>
      <c r="C4870" s="1765"/>
      <c r="D4870" s="1754"/>
      <c r="E4870" s="1766">
        <f>E4864+E4868+E4869</f>
        <v>106380325.22999999</v>
      </c>
      <c r="F4870" s="1678"/>
      <c r="G4870" s="1767">
        <f>G4864+G4868+G4869</f>
        <v>106410649.70889999</v>
      </c>
      <c r="H4870" s="1678"/>
      <c r="I4870" s="1767">
        <f>I4864+I4868+I4869</f>
        <v>106440974.18779999</v>
      </c>
      <c r="J4870" s="1678"/>
      <c r="K4870" s="1767">
        <f>K4864+K4868+K4869</f>
        <v>106501623.14559998</v>
      </c>
      <c r="L4870" s="1744"/>
      <c r="M4870" s="1690"/>
      <c r="N4870" s="1669"/>
      <c r="O4870" s="1690"/>
      <c r="P4870" s="1695"/>
      <c r="Q4870" s="1672"/>
      <c r="R4870" s="1672"/>
      <c r="S4870" s="1672"/>
      <c r="T4870" s="1672"/>
      <c r="U4870" s="1673"/>
      <c r="W4870" s="1675"/>
    </row>
    <row r="4871" spans="1:29" s="1674" customFormat="1" ht="15.6" hidden="1" customHeight="1" thickBot="1" x14ac:dyDescent="0.3">
      <c r="A4871" s="1743"/>
      <c r="B4871" s="1764" t="s">
        <v>252</v>
      </c>
      <c r="C4871" s="1765"/>
      <c r="D4871" s="1754"/>
      <c r="E4871" s="1769">
        <f>'Fin Perform'!K48</f>
        <v>120200851.13000001</v>
      </c>
      <c r="F4871" s="1678"/>
      <c r="G4871" s="1770">
        <f>E4871</f>
        <v>120200851.13000001</v>
      </c>
      <c r="H4871" s="1678"/>
      <c r="I4871" s="1770">
        <f>E4871</f>
        <v>120200851.13000001</v>
      </c>
      <c r="J4871" s="1678"/>
      <c r="K4871" s="1770">
        <f>E4871</f>
        <v>120200851.13000001</v>
      </c>
      <c r="L4871" s="1744"/>
      <c r="M4871" s="1690"/>
      <c r="N4871" s="1669"/>
      <c r="O4871" s="1690"/>
      <c r="P4871" s="1671"/>
      <c r="Q4871" s="1672"/>
      <c r="R4871" s="1672"/>
      <c r="S4871" s="1672"/>
      <c r="T4871" s="1672"/>
      <c r="U4871" s="1673"/>
      <c r="W4871" s="1675"/>
    </row>
    <row r="4872" spans="1:29" s="1674" customFormat="1" ht="15.6" hidden="1" customHeight="1" thickBot="1" x14ac:dyDescent="0.3">
      <c r="A4872" s="1743"/>
      <c r="B4872" s="1752" t="s">
        <v>1327</v>
      </c>
      <c r="C4872" s="1753"/>
      <c r="D4872" s="1754"/>
      <c r="E4872" s="1750"/>
      <c r="F4872" s="1678"/>
      <c r="G4872" s="1750"/>
      <c r="H4872" s="1678"/>
      <c r="I4872" s="1750"/>
      <c r="J4872" s="1678"/>
      <c r="K4872" s="1750"/>
      <c r="L4872" s="1744"/>
      <c r="M4872" s="1690"/>
      <c r="N4872" s="1669"/>
      <c r="O4872" s="1690"/>
      <c r="P4872" s="1671"/>
      <c r="Q4872" s="1672"/>
      <c r="R4872" s="1672"/>
      <c r="S4872" s="1672"/>
      <c r="T4872" s="1672"/>
      <c r="U4872" s="1673"/>
      <c r="W4872" s="1675"/>
    </row>
    <row r="4873" spans="1:29" s="1674" customFormat="1" ht="15.6" hidden="1" customHeight="1" thickBot="1" x14ac:dyDescent="0.3">
      <c r="A4873" s="1743"/>
      <c r="B4873" s="1771" t="s">
        <v>1328</v>
      </c>
      <c r="C4873" s="1772"/>
      <c r="D4873" s="1754"/>
      <c r="E4873" s="1773">
        <f>E4870-E4871</f>
        <v>-13820525.900000021</v>
      </c>
      <c r="F4873" s="1678"/>
      <c r="G4873" s="1774">
        <f>G4870-G4871</f>
        <v>-13790201.42110002</v>
      </c>
      <c r="H4873" s="1678"/>
      <c r="I4873" s="1774">
        <f>I4870-I4871</f>
        <v>-13759876.94220002</v>
      </c>
      <c r="J4873" s="1678"/>
      <c r="K4873" s="1774">
        <f>K4870-K4871</f>
        <v>-13699227.984400034</v>
      </c>
      <c r="L4873" s="1744"/>
      <c r="M4873" s="1690"/>
      <c r="N4873" s="1669"/>
      <c r="O4873" s="1690"/>
      <c r="P4873" s="1671"/>
      <c r="Q4873" s="1672"/>
      <c r="R4873" s="1672"/>
      <c r="S4873" s="1672"/>
      <c r="T4873" s="1672"/>
      <c r="U4873" s="1673"/>
      <c r="W4873" s="1675"/>
    </row>
    <row r="4874" spans="1:29" s="1690" customFormat="1" ht="15.6" hidden="1" customHeight="1" x14ac:dyDescent="0.25">
      <c r="A4874" s="1775"/>
      <c r="B4874" s="1776"/>
      <c r="C4874" s="1777"/>
      <c r="D4874" s="1778"/>
      <c r="E4874" s="1779">
        <f>E4873-'Fin Perform'!K57</f>
        <v>0</v>
      </c>
      <c r="F4874" s="1778"/>
      <c r="G4874" s="1780"/>
      <c r="H4874" s="1778"/>
      <c r="I4874" s="1780"/>
      <c r="J4874" s="1781"/>
      <c r="K4874" s="1780"/>
      <c r="L4874" s="1782"/>
      <c r="N4874" s="1669"/>
      <c r="P4874" s="1671"/>
      <c r="Q4874" s="1672"/>
      <c r="R4874" s="1672"/>
      <c r="S4874" s="1672"/>
      <c r="T4874" s="1672"/>
      <c r="U4874" s="1673"/>
      <c r="W4874" s="1675"/>
      <c r="X4874" s="1674"/>
      <c r="Y4874" s="1674"/>
      <c r="AA4874" s="1674"/>
      <c r="AB4874" s="1674"/>
      <c r="AC4874" s="1674"/>
    </row>
    <row r="4875" spans="1:29" s="1690" customFormat="1" ht="15.6" hidden="1" customHeight="1" thickBot="1" x14ac:dyDescent="0.3">
      <c r="A4875" s="1775"/>
      <c r="B4875" s="1783" t="s">
        <v>1329</v>
      </c>
      <c r="C4875" s="1784"/>
      <c r="D4875" s="1778"/>
      <c r="E4875" s="1785"/>
      <c r="F4875" s="1778"/>
      <c r="G4875" s="1786">
        <f>G4873-E4873</f>
        <v>30324.478900000453</v>
      </c>
      <c r="H4875" s="1787">
        <v>-234</v>
      </c>
      <c r="I4875" s="1786">
        <f>I4873-E4873</f>
        <v>60648.957800000906</v>
      </c>
      <c r="J4875" s="1781"/>
      <c r="K4875" s="1786">
        <f>K4873-E4873</f>
        <v>121297.91559998691</v>
      </c>
      <c r="L4875" s="1782"/>
      <c r="N4875" s="1669"/>
      <c r="P4875" s="1695"/>
      <c r="Q4875" s="1672"/>
      <c r="R4875" s="1672"/>
      <c r="S4875" s="1672"/>
      <c r="T4875" s="1672"/>
      <c r="U4875" s="1673"/>
      <c r="V4875" s="1674"/>
      <c r="W4875" s="1675"/>
      <c r="X4875" s="1674"/>
      <c r="Y4875" s="1674"/>
      <c r="AB4875" s="1674"/>
      <c r="AC4875" s="1674"/>
    </row>
    <row r="4876" spans="1:29" s="1690" customFormat="1" ht="15.6" hidden="1" customHeight="1" x14ac:dyDescent="0.25">
      <c r="A4876" s="1775"/>
      <c r="D4876" s="1778"/>
      <c r="F4876" s="1778"/>
      <c r="G4876" s="1778"/>
      <c r="H4876" s="1778"/>
      <c r="I4876" s="1472"/>
      <c r="J4876" s="1781"/>
      <c r="K4876" s="1472"/>
      <c r="L4876" s="1782"/>
      <c r="N4876" s="1669"/>
      <c r="P4876" s="1695"/>
      <c r="Q4876" s="1672"/>
      <c r="R4876" s="1672"/>
      <c r="S4876" s="1672"/>
      <c r="T4876" s="1672"/>
      <c r="U4876" s="1673"/>
      <c r="V4876" s="1674"/>
      <c r="W4876" s="1675"/>
      <c r="X4876" s="1674"/>
      <c r="Y4876" s="1674"/>
    </row>
    <row r="4877" spans="1:29" s="1690" customFormat="1" ht="30.95" hidden="1" customHeight="1" x14ac:dyDescent="0.25">
      <c r="A4877" s="1789"/>
      <c r="B4877" s="2967" t="s">
        <v>2032</v>
      </c>
      <c r="C4877" s="2967"/>
      <c r="D4877" s="2967"/>
      <c r="E4877" s="2967"/>
      <c r="F4877" s="2967"/>
      <c r="G4877" s="2967"/>
      <c r="H4877" s="2967"/>
      <c r="I4877" s="2967"/>
      <c r="J4877" s="2967"/>
      <c r="K4877" s="2967"/>
      <c r="L4877" s="1790"/>
      <c r="M4877" s="1703"/>
      <c r="N4877" s="1669"/>
      <c r="P4877" s="1671"/>
      <c r="Q4877" s="1672"/>
      <c r="R4877" s="1672"/>
      <c r="S4877" s="1672"/>
      <c r="T4877" s="1672"/>
      <c r="U4877" s="1673"/>
      <c r="V4877" s="1674"/>
      <c r="W4877" s="1675"/>
      <c r="X4877" s="1674"/>
      <c r="Y4877" s="1674"/>
      <c r="Z4877" s="1674"/>
    </row>
    <row r="4878" spans="1:29" s="1690" customFormat="1" ht="15.6" hidden="1" customHeight="1" x14ac:dyDescent="0.25">
      <c r="A4878" s="1789"/>
      <c r="B4878" s="2967" t="s">
        <v>1331</v>
      </c>
      <c r="C4878" s="2967"/>
      <c r="D4878" s="2967"/>
      <c r="E4878" s="2967"/>
      <c r="F4878" s="2967"/>
      <c r="G4878" s="2967"/>
      <c r="H4878" s="2967"/>
      <c r="I4878" s="2967"/>
      <c r="J4878" s="2967"/>
      <c r="K4878" s="2967"/>
      <c r="L4878" s="1790"/>
      <c r="M4878" s="1703"/>
      <c r="N4878" s="1669"/>
      <c r="P4878" s="1695"/>
      <c r="Q4878" s="1672"/>
      <c r="R4878" s="1672"/>
      <c r="S4878" s="1672"/>
      <c r="T4878" s="1672"/>
      <c r="U4878" s="1673"/>
      <c r="V4878" s="1674"/>
      <c r="W4878" s="1675"/>
      <c r="X4878" s="1674"/>
      <c r="Y4878" s="1674"/>
      <c r="Z4878" s="1674"/>
      <c r="AA4878" s="1674"/>
    </row>
    <row r="4879" spans="1:29" s="1690" customFormat="1" ht="15.6" hidden="1" customHeight="1" thickBot="1" x14ac:dyDescent="0.25">
      <c r="A4879" s="1791"/>
      <c r="B4879" s="1792"/>
      <c r="C4879" s="1792"/>
      <c r="D4879" s="1793"/>
      <c r="E4879" s="1792"/>
      <c r="F4879" s="1793"/>
      <c r="G4879" s="1793"/>
      <c r="H4879" s="1793"/>
      <c r="I4879" s="1794"/>
      <c r="J4879" s="1795"/>
      <c r="K4879" s="1794"/>
      <c r="L4879" s="1796"/>
      <c r="N4879" s="1669"/>
      <c r="P4879" s="1695"/>
      <c r="Q4879" s="1672"/>
      <c r="R4879" s="1672"/>
      <c r="S4879" s="1672"/>
      <c r="T4879" s="1672"/>
      <c r="U4879" s="1673"/>
      <c r="V4879" s="1674"/>
      <c r="W4879" s="1676"/>
      <c r="X4879" s="1674"/>
      <c r="Y4879" s="1674"/>
      <c r="Z4879" s="1674"/>
      <c r="AA4879" s="1674"/>
      <c r="AB4879" s="1674"/>
      <c r="AC4879" s="1674"/>
    </row>
    <row r="4880" spans="1:29" s="1674" customFormat="1" ht="15.6" hidden="1" customHeight="1" thickTop="1" thickBot="1" x14ac:dyDescent="0.3">
      <c r="A4880" s="1708"/>
      <c r="B4880" s="1708"/>
      <c r="C4880" s="1708"/>
      <c r="D4880" s="1707"/>
      <c r="E4880" s="1708"/>
      <c r="F4880" s="1707"/>
      <c r="G4880" s="1707"/>
      <c r="H4880" s="1707"/>
      <c r="I4880" s="630"/>
      <c r="J4880" s="1709"/>
      <c r="K4880" s="630"/>
      <c r="L4880" s="1708"/>
      <c r="M4880" s="1690"/>
      <c r="N4880" s="1669"/>
      <c r="O4880" s="1690"/>
      <c r="P4880" s="1671"/>
      <c r="Q4880" s="1672"/>
      <c r="R4880" s="1672"/>
      <c r="S4880" s="1672"/>
      <c r="T4880" s="1672"/>
      <c r="U4880" s="1673"/>
      <c r="W4880" s="1675"/>
    </row>
    <row r="4881" spans="1:29" s="1690" customFormat="1" ht="15.6" hidden="1" customHeight="1" thickTop="1" thickBot="1" x14ac:dyDescent="0.3">
      <c r="A4881" s="1737"/>
      <c r="B4881" s="1738"/>
      <c r="C4881" s="1738"/>
      <c r="D4881" s="1739"/>
      <c r="E4881" s="1738"/>
      <c r="F4881" s="1739"/>
      <c r="G4881" s="1739"/>
      <c r="H4881" s="1739"/>
      <c r="I4881" s="1740"/>
      <c r="J4881" s="1741"/>
      <c r="K4881" s="1740"/>
      <c r="L4881" s="1742"/>
      <c r="N4881" s="1669"/>
      <c r="O4881" s="1685"/>
      <c r="P4881" s="1695"/>
      <c r="Q4881" s="1672"/>
      <c r="R4881" s="1672"/>
      <c r="S4881" s="1672"/>
      <c r="T4881" s="1672"/>
      <c r="U4881" s="1673"/>
      <c r="V4881" s="1674"/>
      <c r="W4881" s="1675"/>
      <c r="X4881" s="1674"/>
      <c r="Y4881" s="1674"/>
      <c r="Z4881" s="1674"/>
      <c r="AA4881" s="1674"/>
      <c r="AB4881" s="1674"/>
      <c r="AC4881" s="1674"/>
    </row>
    <row r="4882" spans="1:29" s="1674" customFormat="1" ht="15.6" hidden="1" customHeight="1" thickBot="1" x14ac:dyDescent="0.3">
      <c r="A4882" s="1743"/>
      <c r="B4882" s="2964" t="s">
        <v>1322</v>
      </c>
      <c r="C4882" s="2965"/>
      <c r="D4882" s="2965"/>
      <c r="E4882" s="2965"/>
      <c r="F4882" s="2965"/>
      <c r="G4882" s="2965"/>
      <c r="H4882" s="2965"/>
      <c r="I4882" s="2965"/>
      <c r="J4882" s="2965"/>
      <c r="K4882" s="2966"/>
      <c r="L4882" s="1744"/>
      <c r="M4882" s="1690"/>
      <c r="N4882" s="1669"/>
      <c r="O4882" s="1690"/>
      <c r="P4882" s="1695"/>
      <c r="Q4882" s="1672"/>
      <c r="R4882" s="1672"/>
      <c r="S4882" s="1672"/>
      <c r="T4882" s="1672"/>
      <c r="U4882" s="1673"/>
      <c r="W4882" s="1675"/>
    </row>
    <row r="4883" spans="1:29" s="1674" customFormat="1" ht="15.6" hidden="1" customHeight="1" x14ac:dyDescent="0.25">
      <c r="A4883" s="1743"/>
      <c r="B4883" s="1745"/>
      <c r="C4883" s="1745"/>
      <c r="D4883" s="1678"/>
      <c r="E4883" s="1745"/>
      <c r="F4883" s="1678"/>
      <c r="G4883" s="1745"/>
      <c r="H4883" s="1678"/>
      <c r="I4883" s="1745"/>
      <c r="J4883" s="1678"/>
      <c r="K4883" s="58"/>
      <c r="L4883" s="1744"/>
      <c r="M4883" s="1690"/>
      <c r="N4883" s="1669"/>
      <c r="O4883" s="1690"/>
      <c r="P4883" s="1695"/>
      <c r="Q4883" s="1672"/>
      <c r="R4883" s="1672"/>
      <c r="S4883" s="1672"/>
      <c r="T4883" s="1672"/>
      <c r="U4883" s="1673"/>
      <c r="W4883" s="1675"/>
      <c r="Y4883" s="1690"/>
    </row>
    <row r="4884" spans="1:29" s="1674" customFormat="1" ht="15.6" hidden="1" customHeight="1" x14ac:dyDescent="0.25">
      <c r="A4884" s="1743"/>
      <c r="B4884" s="1746" t="s">
        <v>2036</v>
      </c>
      <c r="C4884" s="1747"/>
      <c r="D4884" s="1748"/>
      <c r="E4884" s="1747"/>
      <c r="F4884" s="1748"/>
      <c r="G4884" s="1747"/>
      <c r="H4884" s="1748"/>
      <c r="I4884" s="1747"/>
      <c r="J4884" s="1748"/>
      <c r="K4884" s="747"/>
      <c r="L4884" s="1744"/>
      <c r="M4884" s="1690"/>
      <c r="N4884" s="1669"/>
      <c r="O4884" s="1690"/>
      <c r="P4884" s="1695"/>
      <c r="Q4884" s="1672"/>
      <c r="R4884" s="1672"/>
      <c r="S4884" s="1672"/>
      <c r="T4884" s="1672"/>
      <c r="U4884" s="1673"/>
      <c r="W4884" s="1675"/>
      <c r="Y4884" s="1690"/>
    </row>
    <row r="4885" spans="1:29" s="1674" customFormat="1" ht="15.6" hidden="1" customHeight="1" thickBot="1" x14ac:dyDescent="0.3">
      <c r="A4885" s="1743"/>
      <c r="B4885" s="1749" t="str">
        <f>Parameters!C11</f>
        <v>30 June 2012</v>
      </c>
      <c r="C4885" s="1745"/>
      <c r="D4885" s="1678"/>
      <c r="E4885" s="1745"/>
      <c r="F4885" s="1678"/>
      <c r="G4885" s="1745"/>
      <c r="H4885" s="1678"/>
      <c r="I4885" s="1745"/>
      <c r="J4885" s="1678"/>
      <c r="K4885" s="58"/>
      <c r="L4885" s="1744"/>
      <c r="M4885" s="1690"/>
      <c r="N4885" s="1669"/>
      <c r="O4885" s="1690"/>
      <c r="P4885" s="1671"/>
      <c r="Q4885" s="1672"/>
      <c r="R4885" s="1672"/>
      <c r="S4885" s="1672"/>
      <c r="T4885" s="1672"/>
      <c r="U4885" s="1673"/>
      <c r="W4885" s="1675"/>
      <c r="Y4885" s="1690"/>
    </row>
    <row r="4886" spans="1:29" s="1674" customFormat="1" ht="15.6" hidden="1" customHeight="1" thickBot="1" x14ac:dyDescent="0.3">
      <c r="A4886" s="1743"/>
      <c r="B4886" s="1750" t="s">
        <v>1323</v>
      </c>
      <c r="C4886" s="958"/>
      <c r="D4886" s="1678"/>
      <c r="E4886" s="958">
        <f>E4891</f>
        <v>0.13951666160100773</v>
      </c>
      <c r="F4886" s="1678"/>
      <c r="G4886" s="1751"/>
      <c r="H4886" s="1678"/>
      <c r="I4886" s="1751"/>
      <c r="J4886" s="1678"/>
      <c r="K4886" s="58"/>
      <c r="L4886" s="1744"/>
      <c r="M4886" s="1690"/>
      <c r="N4886" s="1669"/>
      <c r="O4886" s="1690"/>
      <c r="P4886" s="1695"/>
      <c r="Q4886" s="1672"/>
      <c r="R4886" s="1672"/>
      <c r="S4886" s="1672"/>
      <c r="T4886" s="1672"/>
      <c r="U4886" s="1673"/>
      <c r="W4886" s="1675"/>
      <c r="Y4886" s="1690"/>
    </row>
    <row r="4887" spans="1:29" s="1674" customFormat="1" ht="15.6" hidden="1" customHeight="1" thickBot="1" x14ac:dyDescent="0.3">
      <c r="A4887" s="1743"/>
      <c r="B4887" s="1745"/>
      <c r="C4887" s="1745"/>
      <c r="D4887" s="1678"/>
      <c r="E4887" s="1745"/>
      <c r="F4887" s="1678"/>
      <c r="G4887" s="1745"/>
      <c r="H4887" s="1678"/>
      <c r="I4887" s="1745"/>
      <c r="J4887" s="1678"/>
      <c r="K4887" s="58"/>
      <c r="L4887" s="1744"/>
      <c r="M4887" s="1690"/>
      <c r="N4887" s="1669"/>
      <c r="O4887" s="1690"/>
      <c r="P4887" s="1695"/>
      <c r="Q4887" s="1672"/>
      <c r="R4887" s="1672"/>
      <c r="S4887" s="1672"/>
      <c r="T4887" s="1672"/>
      <c r="U4887" s="1673"/>
      <c r="W4887" s="1675"/>
      <c r="Y4887" s="1690"/>
    </row>
    <row r="4888" spans="1:29" s="1674" customFormat="1" ht="15.6" hidden="1" customHeight="1" thickBot="1" x14ac:dyDescent="0.3">
      <c r="A4888" s="1743"/>
      <c r="B4888" s="1752" t="s">
        <v>1324</v>
      </c>
      <c r="C4888" s="1753"/>
      <c r="D4888" s="1754"/>
      <c r="E4888" s="1755" t="s">
        <v>1325</v>
      </c>
      <c r="F4888" s="1678"/>
      <c r="G4888" s="1755" t="s">
        <v>1325</v>
      </c>
      <c r="H4888" s="1678"/>
      <c r="I4888" s="1755" t="s">
        <v>1325</v>
      </c>
      <c r="J4888" s="1678"/>
      <c r="K4888" s="1755" t="s">
        <v>1325</v>
      </c>
      <c r="L4888" s="1744"/>
      <c r="M4888" s="1690"/>
      <c r="N4888" s="1669"/>
      <c r="O4888" s="1690"/>
      <c r="P4888" s="1671"/>
      <c r="Q4888" s="1672"/>
      <c r="R4888" s="1672"/>
      <c r="S4888" s="1672"/>
      <c r="T4888" s="1672"/>
      <c r="U4888" s="1673"/>
      <c r="W4888" s="1675"/>
      <c r="Y4888" s="1690"/>
    </row>
    <row r="4889" spans="1:29" s="1674" customFormat="1" ht="15.6" hidden="1" customHeight="1" x14ac:dyDescent="0.25">
      <c r="A4889" s="1743"/>
      <c r="B4889" s="1797" t="s">
        <v>2037</v>
      </c>
      <c r="C4889" s="1757"/>
      <c r="D4889" s="1754"/>
      <c r="E4889" s="1758">
        <f>(577489+629988)/2</f>
        <v>603738.5</v>
      </c>
      <c r="F4889" s="1678"/>
      <c r="G4889" s="1758">
        <v>5000000</v>
      </c>
      <c r="H4889" s="1678"/>
      <c r="I4889" s="1758">
        <v>5000000</v>
      </c>
      <c r="J4889" s="1678"/>
      <c r="K4889" s="1758">
        <v>5000000</v>
      </c>
      <c r="L4889" s="1744"/>
      <c r="M4889" s="1690"/>
      <c r="N4889" s="1669"/>
      <c r="O4889" s="1690"/>
      <c r="P4889" s="1695"/>
      <c r="Q4889" s="1672"/>
      <c r="R4889" s="1672"/>
      <c r="S4889" s="1672"/>
      <c r="T4889" s="1672"/>
      <c r="U4889" s="1673"/>
      <c r="W4889" s="1675"/>
    </row>
    <row r="4890" spans="1:29" s="1674" customFormat="1" ht="15.6" hidden="1" customHeight="1" x14ac:dyDescent="0.25">
      <c r="A4890" s="1743"/>
      <c r="B4890" s="1798" t="s">
        <v>2038</v>
      </c>
      <c r="C4890" s="1760"/>
      <c r="D4890" s="1754"/>
      <c r="E4890" s="1761">
        <v>84231.58</v>
      </c>
      <c r="F4890" s="1678"/>
      <c r="G4890" s="1761">
        <f>IF(E4890&gt;0,G4891*G4889,0)</f>
        <v>722583.30800503865</v>
      </c>
      <c r="H4890" s="1678"/>
      <c r="I4890" s="1761">
        <f>IF(E4890&gt;0,I4891*I4889,0)</f>
        <v>747583.30800503865</v>
      </c>
      <c r="J4890" s="1678"/>
      <c r="K4890" s="1761">
        <f>IF(E4890&gt;0,K4891*K4889,0)</f>
        <v>797583.30800503865</v>
      </c>
      <c r="L4890" s="1744"/>
      <c r="M4890" s="1690"/>
      <c r="N4890" s="1669"/>
      <c r="O4890" s="1690"/>
      <c r="P4890" s="1695"/>
      <c r="Q4890" s="1672"/>
      <c r="R4890" s="1672"/>
      <c r="S4890" s="1672"/>
      <c r="T4890" s="1672"/>
      <c r="U4890" s="1673"/>
      <c r="W4890" s="1675"/>
    </row>
    <row r="4891" spans="1:29" s="1674" customFormat="1" ht="15.6" hidden="1" customHeight="1" x14ac:dyDescent="0.25">
      <c r="A4891" s="1743"/>
      <c r="B4891" s="1798" t="s">
        <v>2039</v>
      </c>
      <c r="C4891" s="1760"/>
      <c r="D4891" s="1754"/>
      <c r="E4891" s="644">
        <f>E4890/E4889</f>
        <v>0.13951666160100773</v>
      </c>
      <c r="F4891" s="1678"/>
      <c r="G4891" s="644">
        <f>E4886+G4892</f>
        <v>0.14451666160100773</v>
      </c>
      <c r="H4891" s="1678"/>
      <c r="I4891" s="644">
        <f>E4886+I4892</f>
        <v>0.14951666160100774</v>
      </c>
      <c r="J4891" s="1678"/>
      <c r="K4891" s="644">
        <f>E4886+K4892</f>
        <v>0.15951666160100772</v>
      </c>
      <c r="L4891" s="1744"/>
      <c r="M4891" s="1690"/>
      <c r="N4891" s="1669"/>
      <c r="O4891" s="1690"/>
      <c r="P4891" s="1695"/>
      <c r="Q4891" s="1672"/>
      <c r="R4891" s="1672"/>
      <c r="S4891" s="1672"/>
      <c r="T4891" s="1672"/>
      <c r="U4891" s="1673"/>
      <c r="W4891" s="1675"/>
    </row>
    <row r="4892" spans="1:29" s="1674" customFormat="1" ht="15.6" hidden="1" customHeight="1" thickBot="1" x14ac:dyDescent="0.3">
      <c r="A4892" s="1743"/>
      <c r="B4892" s="1762" t="s">
        <v>2029</v>
      </c>
      <c r="C4892" s="1763"/>
      <c r="D4892" s="1754"/>
      <c r="E4892" s="959"/>
      <c r="F4892" s="1678"/>
      <c r="G4892" s="959">
        <v>5.0000000000000001E-3</v>
      </c>
      <c r="H4892" s="1678"/>
      <c r="I4892" s="959">
        <v>0.01</v>
      </c>
      <c r="J4892" s="1678"/>
      <c r="K4892" s="959">
        <v>0.02</v>
      </c>
      <c r="L4892" s="1744"/>
      <c r="M4892" s="1690"/>
      <c r="N4892" s="1669"/>
      <c r="O4892" s="1690"/>
      <c r="P4892" s="1695"/>
      <c r="Q4892" s="1672"/>
      <c r="R4892" s="1672"/>
      <c r="S4892" s="1672"/>
      <c r="T4892" s="1672"/>
      <c r="U4892" s="1673"/>
      <c r="W4892" s="1675"/>
      <c r="Z4892" s="1690"/>
    </row>
    <row r="4893" spans="1:29" s="1674" customFormat="1" ht="15.6" hidden="1" customHeight="1" thickBot="1" x14ac:dyDescent="0.3">
      <c r="A4893" s="1743"/>
      <c r="B4893" s="1752" t="s">
        <v>1326</v>
      </c>
      <c r="C4893" s="1753"/>
      <c r="D4893" s="1754"/>
      <c r="E4893" s="1750"/>
      <c r="F4893" s="1678"/>
      <c r="G4893" s="1750"/>
      <c r="H4893" s="1678"/>
      <c r="I4893" s="1750"/>
      <c r="J4893" s="1678"/>
      <c r="K4893" s="1750"/>
      <c r="L4893" s="1744"/>
      <c r="M4893" s="1690"/>
      <c r="N4893" s="1669"/>
      <c r="O4893" s="1690"/>
      <c r="P4893" s="1695"/>
      <c r="Q4893" s="1672"/>
      <c r="R4893" s="1672"/>
      <c r="S4893" s="1672"/>
      <c r="T4893" s="1672"/>
      <c r="U4893" s="1673"/>
      <c r="V4893" s="1690"/>
      <c r="W4893" s="1675"/>
      <c r="Z4893" s="1690"/>
      <c r="AA4893" s="1690"/>
    </row>
    <row r="4894" spans="1:29" s="1674" customFormat="1" ht="15.6" hidden="1" customHeight="1" x14ac:dyDescent="0.25">
      <c r="A4894" s="1743"/>
      <c r="B4894" s="1768" t="s">
        <v>249</v>
      </c>
      <c r="C4894" s="1765"/>
      <c r="D4894" s="1754"/>
      <c r="E4894" s="1766">
        <f>'Fin Perform'!I30</f>
        <v>120257071.89999998</v>
      </c>
      <c r="F4894" s="1678"/>
      <c r="G4894" s="1767">
        <v>5000000</v>
      </c>
      <c r="H4894" s="1678"/>
      <c r="I4894" s="1767">
        <v>5000000</v>
      </c>
      <c r="J4894" s="1678"/>
      <c r="K4894" s="1767">
        <v>5000000</v>
      </c>
      <c r="L4894" s="1744"/>
      <c r="M4894" s="1690"/>
      <c r="N4894" s="1669"/>
      <c r="O4894" s="1690"/>
      <c r="P4894" s="1695"/>
      <c r="Q4894" s="1672"/>
      <c r="R4894" s="1672"/>
      <c r="S4894" s="1672"/>
      <c r="T4894" s="1672"/>
      <c r="U4894" s="1673"/>
      <c r="V4894" s="1690"/>
      <c r="W4894" s="1675"/>
      <c r="Z4894" s="1690"/>
      <c r="AA4894" s="1690"/>
      <c r="AB4894" s="1690"/>
      <c r="AC4894" s="1690"/>
    </row>
    <row r="4895" spans="1:29" s="1674" customFormat="1" ht="15.6" hidden="1" customHeight="1" x14ac:dyDescent="0.25">
      <c r="A4895" s="1743"/>
      <c r="B4895" s="1768" t="s">
        <v>2040</v>
      </c>
      <c r="C4895" s="1765"/>
      <c r="D4895" s="1754"/>
      <c r="E4895" s="1766">
        <f>'Fin Perform'!I48-E4890-E4896</f>
        <v>131840833.15999998</v>
      </c>
      <c r="F4895" s="1678"/>
      <c r="G4895" s="1767">
        <v>2000000</v>
      </c>
      <c r="H4895" s="1678"/>
      <c r="I4895" s="1767">
        <v>2000000</v>
      </c>
      <c r="J4895" s="1678"/>
      <c r="K4895" s="1767">
        <v>2000000</v>
      </c>
      <c r="L4895" s="1744"/>
      <c r="M4895" s="1690"/>
      <c r="N4895" s="1669"/>
      <c r="O4895" s="1690"/>
      <c r="P4895" s="1695"/>
      <c r="Q4895" s="1672"/>
      <c r="R4895" s="1672"/>
      <c r="S4895" s="1672"/>
      <c r="T4895" s="1672"/>
      <c r="U4895" s="1673"/>
      <c r="V4895" s="1690"/>
      <c r="W4895" s="1675"/>
      <c r="Z4895" s="1690"/>
      <c r="AA4895" s="1690"/>
      <c r="AB4895" s="1690"/>
      <c r="AC4895" s="1690"/>
    </row>
    <row r="4896" spans="1:29" s="1674" customFormat="1" ht="15.6" hidden="1" customHeight="1" x14ac:dyDescent="0.25">
      <c r="A4896" s="1743"/>
      <c r="B4896" s="1768" t="s">
        <v>2041</v>
      </c>
      <c r="C4896" s="1765"/>
      <c r="D4896" s="1754"/>
      <c r="E4896" s="1766">
        <f>5456771-E4890</f>
        <v>5372539.4199999999</v>
      </c>
      <c r="F4896" s="1678"/>
      <c r="G4896" s="1767">
        <v>200000</v>
      </c>
      <c r="H4896" s="1678"/>
      <c r="I4896" s="1767">
        <v>200000</v>
      </c>
      <c r="J4896" s="1678"/>
      <c r="K4896" s="1767">
        <v>200000</v>
      </c>
      <c r="L4896" s="1744"/>
      <c r="M4896" s="1690"/>
      <c r="N4896" s="1669"/>
      <c r="O4896" s="1690"/>
      <c r="P4896" s="1695"/>
      <c r="Q4896" s="1672"/>
      <c r="R4896" s="1672"/>
      <c r="S4896" s="1672"/>
      <c r="T4896" s="1672"/>
      <c r="U4896" s="1673"/>
      <c r="W4896" s="1675"/>
      <c r="Z4896" s="1690"/>
      <c r="AA4896" s="1690"/>
      <c r="AB4896" s="1690"/>
      <c r="AC4896" s="1690"/>
    </row>
    <row r="4897" spans="1:29" s="1674" customFormat="1" ht="15.6" hidden="1" customHeight="1" thickBot="1" x14ac:dyDescent="0.3">
      <c r="A4897" s="1743"/>
      <c r="B4897" s="1764" t="s">
        <v>252</v>
      </c>
      <c r="C4897" s="1765"/>
      <c r="D4897" s="1754"/>
      <c r="E4897" s="1769">
        <f>E4895+E4896+E4890</f>
        <v>137297604.16</v>
      </c>
      <c r="F4897" s="1678"/>
      <c r="G4897" s="1770">
        <f>G4895+G4896+G4890</f>
        <v>2922583.3080050386</v>
      </c>
      <c r="H4897" s="1678"/>
      <c r="I4897" s="1770">
        <f>I4895+I4896+I4890</f>
        <v>2947583.3080050386</v>
      </c>
      <c r="J4897" s="1678"/>
      <c r="K4897" s="1770">
        <f>K4895+K4896+K4890</f>
        <v>2997583.3080050386</v>
      </c>
      <c r="L4897" s="1744"/>
      <c r="M4897" s="1690"/>
      <c r="N4897" s="1669"/>
      <c r="O4897" s="1690"/>
      <c r="P4897" s="1695"/>
      <c r="Q4897" s="1672"/>
      <c r="R4897" s="1672"/>
      <c r="S4897" s="1672"/>
      <c r="T4897" s="1672"/>
      <c r="U4897" s="1673"/>
      <c r="W4897" s="1675"/>
      <c r="Z4897" s="1690"/>
      <c r="AA4897" s="1690"/>
      <c r="AB4897" s="1690"/>
      <c r="AC4897" s="1690"/>
    </row>
    <row r="4898" spans="1:29" s="1674" customFormat="1" ht="15.6" hidden="1" customHeight="1" thickBot="1" x14ac:dyDescent="0.25">
      <c r="A4898" s="1743"/>
      <c r="B4898" s="1752" t="s">
        <v>1327</v>
      </c>
      <c r="C4898" s="1753"/>
      <c r="D4898" s="1754"/>
      <c r="E4898" s="1750"/>
      <c r="F4898" s="1678"/>
      <c r="G4898" s="1750"/>
      <c r="H4898" s="1678"/>
      <c r="I4898" s="1750"/>
      <c r="J4898" s="1678"/>
      <c r="K4898" s="1750"/>
      <c r="L4898" s="1744"/>
      <c r="M4898" s="1690"/>
      <c r="N4898" s="1669"/>
      <c r="O4898" s="1690"/>
      <c r="P4898" s="1695"/>
      <c r="Q4898" s="1672"/>
      <c r="R4898" s="1672"/>
      <c r="S4898" s="1672"/>
      <c r="T4898" s="1672"/>
      <c r="U4898" s="1673"/>
      <c r="W4898" s="1676"/>
      <c r="X4898" s="1690"/>
      <c r="AA4898" s="1690"/>
      <c r="AB4898" s="1690"/>
      <c r="AC4898" s="1690"/>
    </row>
    <row r="4899" spans="1:29" s="1674" customFormat="1" ht="15.6" hidden="1" customHeight="1" thickBot="1" x14ac:dyDescent="0.25">
      <c r="A4899" s="1743"/>
      <c r="B4899" s="1771" t="s">
        <v>1328</v>
      </c>
      <c r="C4899" s="1772"/>
      <c r="D4899" s="1754"/>
      <c r="E4899" s="1773">
        <f>E4894-E4897</f>
        <v>-17040532.26000002</v>
      </c>
      <c r="F4899" s="1678"/>
      <c r="G4899" s="1774">
        <f>G4894-G4897</f>
        <v>2077416.6919949614</v>
      </c>
      <c r="H4899" s="1678"/>
      <c r="I4899" s="1774">
        <f>I4894-I4897</f>
        <v>2052416.6919949614</v>
      </c>
      <c r="J4899" s="1678"/>
      <c r="K4899" s="1774">
        <f>K4894-K4897</f>
        <v>2002416.6919949614</v>
      </c>
      <c r="L4899" s="1744"/>
      <c r="M4899" s="1690"/>
      <c r="N4899" s="1669"/>
      <c r="O4899" s="1690"/>
      <c r="P4899" s="1695"/>
      <c r="Q4899" s="1672"/>
      <c r="R4899" s="1672"/>
      <c r="S4899" s="1672"/>
      <c r="T4899" s="1672"/>
      <c r="U4899" s="1673"/>
      <c r="W4899" s="1676"/>
      <c r="AB4899" s="1690"/>
      <c r="AC4899" s="1690"/>
    </row>
    <row r="4900" spans="1:29" s="1690" customFormat="1" ht="15.6" hidden="1" customHeight="1" x14ac:dyDescent="0.2">
      <c r="A4900" s="1775"/>
      <c r="B4900" s="1776"/>
      <c r="C4900" s="1777"/>
      <c r="D4900" s="1778"/>
      <c r="E4900" s="1779">
        <f>E4899-'Fin Perform'!I57</f>
        <v>0</v>
      </c>
      <c r="F4900" s="1778"/>
      <c r="G4900" s="1780"/>
      <c r="H4900" s="1778"/>
      <c r="I4900" s="1780"/>
      <c r="J4900" s="1781"/>
      <c r="K4900" s="1780"/>
      <c r="L4900" s="1782"/>
      <c r="N4900" s="1669"/>
      <c r="P4900" s="1695"/>
      <c r="Q4900" s="1672"/>
      <c r="R4900" s="1672"/>
      <c r="S4900" s="1672"/>
      <c r="T4900" s="1672"/>
      <c r="U4900" s="1673"/>
      <c r="V4900" s="1674"/>
      <c r="W4900" s="1676"/>
      <c r="X4900" s="1674"/>
      <c r="Y4900" s="1674"/>
      <c r="Z4900" s="1674"/>
      <c r="AA4900" s="1674"/>
      <c r="AB4900" s="1674"/>
      <c r="AC4900" s="1674"/>
    </row>
    <row r="4901" spans="1:29" s="1690" customFormat="1" ht="15.6" hidden="1" customHeight="1" thickBot="1" x14ac:dyDescent="0.3">
      <c r="A4901" s="1775"/>
      <c r="B4901" s="1783" t="s">
        <v>1329</v>
      </c>
      <c r="C4901" s="1784"/>
      <c r="D4901" s="1778"/>
      <c r="E4901" s="1785"/>
      <c r="F4901" s="1778"/>
      <c r="G4901" s="1786">
        <f>G4899-E4899</f>
        <v>19117948.951994982</v>
      </c>
      <c r="H4901" s="1787">
        <v>-234</v>
      </c>
      <c r="I4901" s="1786">
        <f>I4899-E4899</f>
        <v>19092948.951994982</v>
      </c>
      <c r="J4901" s="1781"/>
      <c r="K4901" s="1786">
        <f>K4899-E4899</f>
        <v>19042948.951994982</v>
      </c>
      <c r="L4901" s="1782"/>
      <c r="N4901" s="1669"/>
      <c r="P4901" s="1695"/>
      <c r="Q4901" s="1672"/>
      <c r="R4901" s="1672"/>
      <c r="S4901" s="1672"/>
      <c r="T4901" s="1672"/>
      <c r="U4901" s="1673"/>
      <c r="V4901" s="1674"/>
      <c r="W4901" s="1675"/>
      <c r="X4901" s="1674"/>
      <c r="Y4901" s="1674"/>
      <c r="Z4901" s="1674"/>
      <c r="AA4901" s="1674"/>
      <c r="AB4901" s="1674"/>
      <c r="AC4901" s="1674"/>
    </row>
    <row r="4902" spans="1:29" s="1690" customFormat="1" ht="15.6" hidden="1" customHeight="1" x14ac:dyDescent="0.25">
      <c r="A4902" s="1775"/>
      <c r="D4902" s="1778"/>
      <c r="F4902" s="1778"/>
      <c r="G4902" s="1778"/>
      <c r="H4902" s="1778"/>
      <c r="I4902" s="1472"/>
      <c r="J4902" s="1781"/>
      <c r="K4902" s="1472"/>
      <c r="L4902" s="1782"/>
      <c r="N4902" s="1669"/>
      <c r="P4902" s="1695"/>
      <c r="Q4902" s="1672"/>
      <c r="R4902" s="1672"/>
      <c r="S4902" s="1672"/>
      <c r="T4902" s="1672"/>
      <c r="U4902" s="1673"/>
      <c r="V4902" s="1674"/>
      <c r="W4902" s="1675"/>
      <c r="X4902" s="1674"/>
      <c r="Y4902" s="1674"/>
      <c r="Z4902" s="1674"/>
      <c r="AA4902" s="1674"/>
      <c r="AB4902" s="1674"/>
      <c r="AC4902" s="1674"/>
    </row>
    <row r="4903" spans="1:29" s="1674" customFormat="1" ht="15.6" hidden="1" customHeight="1" thickBot="1" x14ac:dyDescent="0.3">
      <c r="A4903" s="1743"/>
      <c r="B4903" s="1749" t="str">
        <f>Parameters!C13</f>
        <v>30 June 2011</v>
      </c>
      <c r="C4903" s="1788"/>
      <c r="D4903" s="1678"/>
      <c r="E4903" s="1745"/>
      <c r="F4903" s="1678"/>
      <c r="G4903" s="1745"/>
      <c r="H4903" s="1678"/>
      <c r="I4903" s="1745"/>
      <c r="J4903" s="1678"/>
      <c r="K4903" s="58"/>
      <c r="L4903" s="1744"/>
      <c r="M4903" s="1690"/>
      <c r="N4903" s="1669"/>
      <c r="O4903" s="1690"/>
      <c r="P4903" s="1695"/>
      <c r="Q4903" s="1672"/>
      <c r="R4903" s="1672"/>
      <c r="S4903" s="1672"/>
      <c r="T4903" s="1672"/>
      <c r="U4903" s="1673"/>
      <c r="W4903" s="1675"/>
    </row>
    <row r="4904" spans="1:29" s="1674" customFormat="1" ht="15.6" hidden="1" customHeight="1" thickBot="1" x14ac:dyDescent="0.3">
      <c r="A4904" s="1743"/>
      <c r="B4904" s="1750" t="s">
        <v>1323</v>
      </c>
      <c r="C4904" s="958"/>
      <c r="D4904" s="1678"/>
      <c r="E4904" s="958">
        <f>E4909</f>
        <v>0.13318694959269065</v>
      </c>
      <c r="F4904" s="1678"/>
      <c r="G4904" s="1751"/>
      <c r="H4904" s="1678"/>
      <c r="I4904" s="1751"/>
      <c r="J4904" s="1678"/>
      <c r="K4904" s="58"/>
      <c r="L4904" s="1744"/>
      <c r="M4904" s="1690"/>
      <c r="N4904" s="1669"/>
      <c r="O4904" s="1690"/>
      <c r="P4904" s="1671"/>
      <c r="Q4904" s="1672"/>
      <c r="R4904" s="1672"/>
      <c r="S4904" s="1672"/>
      <c r="T4904" s="1672"/>
      <c r="U4904" s="1673"/>
      <c r="W4904" s="1675"/>
    </row>
    <row r="4905" spans="1:29" s="1674" customFormat="1" ht="15.6" hidden="1" customHeight="1" thickBot="1" x14ac:dyDescent="0.3">
      <c r="A4905" s="1743"/>
      <c r="B4905" s="1745"/>
      <c r="C4905" s="1745"/>
      <c r="D4905" s="1678"/>
      <c r="E4905" s="1745"/>
      <c r="F4905" s="1678"/>
      <c r="G4905" s="1745"/>
      <c r="H4905" s="1678"/>
      <c r="I4905" s="1745"/>
      <c r="J4905" s="1678"/>
      <c r="K4905" s="58"/>
      <c r="L4905" s="1744"/>
      <c r="M4905" s="1690"/>
      <c r="N4905" s="1669"/>
      <c r="O4905" s="1690"/>
      <c r="P4905" s="1695"/>
      <c r="Q4905" s="1672"/>
      <c r="R4905" s="1672"/>
      <c r="S4905" s="1672"/>
      <c r="T4905" s="1672"/>
      <c r="U4905" s="1673"/>
      <c r="W4905" s="1675"/>
    </row>
    <row r="4906" spans="1:29" s="1674" customFormat="1" ht="15.6" hidden="1" customHeight="1" thickBot="1" x14ac:dyDescent="0.3">
      <c r="A4906" s="1743"/>
      <c r="B4906" s="1752" t="s">
        <v>1324</v>
      </c>
      <c r="C4906" s="1753"/>
      <c r="D4906" s="1754"/>
      <c r="E4906" s="1755" t="s">
        <v>1325</v>
      </c>
      <c r="F4906" s="1678"/>
      <c r="G4906" s="1755" t="s">
        <v>1325</v>
      </c>
      <c r="H4906" s="1678"/>
      <c r="I4906" s="1755" t="s">
        <v>1325</v>
      </c>
      <c r="J4906" s="1678"/>
      <c r="K4906" s="1755" t="s">
        <v>1325</v>
      </c>
      <c r="L4906" s="1744"/>
      <c r="M4906" s="1690"/>
      <c r="N4906" s="1669"/>
      <c r="O4906" s="1690"/>
      <c r="P4906" s="1671"/>
      <c r="Q4906" s="1672"/>
      <c r="R4906" s="1672"/>
      <c r="S4906" s="1672"/>
      <c r="T4906" s="1672"/>
      <c r="U4906" s="1673"/>
      <c r="W4906" s="1675"/>
    </row>
    <row r="4907" spans="1:29" s="1674" customFormat="1" ht="15.6" hidden="1" customHeight="1" x14ac:dyDescent="0.25">
      <c r="A4907" s="1743"/>
      <c r="B4907" s="1797" t="s">
        <v>2037</v>
      </c>
      <c r="C4907" s="1757"/>
      <c r="D4907" s="1754"/>
      <c r="E4907" s="1758">
        <v>629988</v>
      </c>
      <c r="F4907" s="1678"/>
      <c r="G4907" s="1758">
        <v>5000000</v>
      </c>
      <c r="H4907" s="1678"/>
      <c r="I4907" s="1758">
        <v>5000000</v>
      </c>
      <c r="J4907" s="1678"/>
      <c r="K4907" s="1758">
        <v>5000000</v>
      </c>
      <c r="L4907" s="1744"/>
      <c r="M4907" s="1690"/>
      <c r="N4907" s="1669"/>
      <c r="O4907" s="1690"/>
      <c r="P4907" s="1695"/>
      <c r="Q4907" s="1672"/>
      <c r="R4907" s="1672"/>
      <c r="S4907" s="1672"/>
      <c r="T4907" s="1672"/>
      <c r="U4907" s="1673"/>
      <c r="W4907" s="1675"/>
    </row>
    <row r="4908" spans="1:29" s="1674" customFormat="1" ht="15.6" hidden="1" customHeight="1" x14ac:dyDescent="0.25">
      <c r="A4908" s="1743"/>
      <c r="B4908" s="1798" t="s">
        <v>2038</v>
      </c>
      <c r="C4908" s="1760"/>
      <c r="D4908" s="1754"/>
      <c r="E4908" s="1761">
        <v>83906.18</v>
      </c>
      <c r="F4908" s="1678"/>
      <c r="G4908" s="1761">
        <f>IF(E4908&gt;0,G4909*G4907,0)</f>
        <v>690934.74796345329</v>
      </c>
      <c r="H4908" s="1678"/>
      <c r="I4908" s="1761">
        <f>IF(E4908&gt;0,I4909*I4907,0)</f>
        <v>715934.74796345329</v>
      </c>
      <c r="J4908" s="1678"/>
      <c r="K4908" s="1761">
        <f>IF(E4908&gt;0,K4909*K4907,0)</f>
        <v>765934.74796345318</v>
      </c>
      <c r="L4908" s="1744"/>
      <c r="M4908" s="1690"/>
      <c r="N4908" s="1669"/>
      <c r="O4908" s="1690"/>
      <c r="P4908" s="1695"/>
      <c r="Q4908" s="1672"/>
      <c r="R4908" s="1672"/>
      <c r="S4908" s="1672"/>
      <c r="T4908" s="1672"/>
      <c r="U4908" s="1673"/>
      <c r="W4908" s="1675"/>
    </row>
    <row r="4909" spans="1:29" s="1674" customFormat="1" ht="15.6" hidden="1" customHeight="1" x14ac:dyDescent="0.25">
      <c r="A4909" s="1743"/>
      <c r="B4909" s="1798" t="s">
        <v>2039</v>
      </c>
      <c r="C4909" s="1760"/>
      <c r="D4909" s="1754"/>
      <c r="E4909" s="644">
        <f>E4908/E4907</f>
        <v>0.13318694959269065</v>
      </c>
      <c r="F4909" s="1678"/>
      <c r="G4909" s="644">
        <f>E4904+G4910</f>
        <v>0.13818694959269065</v>
      </c>
      <c r="H4909" s="1678"/>
      <c r="I4909" s="644">
        <f>E4904+I4910</f>
        <v>0.14318694959269065</v>
      </c>
      <c r="J4909" s="1678"/>
      <c r="K4909" s="644">
        <f>E4904+K4910</f>
        <v>0.15318694959269064</v>
      </c>
      <c r="L4909" s="1744"/>
      <c r="M4909" s="1690"/>
      <c r="N4909" s="1669"/>
      <c r="O4909" s="1690"/>
      <c r="P4909" s="1695"/>
      <c r="Q4909" s="1672"/>
      <c r="R4909" s="1672"/>
      <c r="S4909" s="1672"/>
      <c r="T4909" s="1672"/>
      <c r="U4909" s="1673"/>
      <c r="W4909" s="1675"/>
    </row>
    <row r="4910" spans="1:29" s="1674" customFormat="1" ht="15.6" hidden="1" customHeight="1" thickBot="1" x14ac:dyDescent="0.3">
      <c r="A4910" s="1743"/>
      <c r="B4910" s="1762" t="s">
        <v>2029</v>
      </c>
      <c r="C4910" s="1763"/>
      <c r="D4910" s="1754"/>
      <c r="E4910" s="959"/>
      <c r="F4910" s="1678"/>
      <c r="G4910" s="959">
        <v>5.0000000000000001E-3</v>
      </c>
      <c r="H4910" s="1678"/>
      <c r="I4910" s="959">
        <v>0.01</v>
      </c>
      <c r="J4910" s="1678"/>
      <c r="K4910" s="959">
        <v>0.02</v>
      </c>
      <c r="L4910" s="1744"/>
      <c r="M4910" s="1690"/>
      <c r="N4910" s="1669"/>
      <c r="O4910" s="1690"/>
      <c r="P4910" s="1695"/>
      <c r="Q4910" s="1672"/>
      <c r="R4910" s="1672"/>
      <c r="S4910" s="1672"/>
      <c r="T4910" s="1672"/>
      <c r="U4910" s="1673"/>
      <c r="W4910" s="1675"/>
    </row>
    <row r="4911" spans="1:29" s="1674" customFormat="1" ht="15.6" hidden="1" customHeight="1" thickBot="1" x14ac:dyDescent="0.3">
      <c r="A4911" s="1743"/>
      <c r="B4911" s="1752" t="s">
        <v>1326</v>
      </c>
      <c r="C4911" s="1753"/>
      <c r="D4911" s="1754"/>
      <c r="E4911" s="1750"/>
      <c r="F4911" s="1678"/>
      <c r="G4911" s="1750"/>
      <c r="H4911" s="1678"/>
      <c r="I4911" s="1750"/>
      <c r="J4911" s="1678"/>
      <c r="K4911" s="1750"/>
      <c r="L4911" s="1744"/>
      <c r="M4911" s="1690"/>
      <c r="N4911" s="1669"/>
      <c r="O4911" s="1690"/>
      <c r="P4911" s="1695"/>
      <c r="Q4911" s="1672"/>
      <c r="R4911" s="1672"/>
      <c r="S4911" s="1672"/>
      <c r="T4911" s="1672"/>
      <c r="U4911" s="1673"/>
      <c r="V4911" s="1690"/>
      <c r="W4911" s="1675"/>
    </row>
    <row r="4912" spans="1:29" s="1674" customFormat="1" ht="15.6" hidden="1" customHeight="1" x14ac:dyDescent="0.25">
      <c r="A4912" s="1743"/>
      <c r="B4912" s="1768" t="s">
        <v>249</v>
      </c>
      <c r="C4912" s="1765"/>
      <c r="D4912" s="1754"/>
      <c r="E4912" s="1766">
        <f>'Fin Perform'!K30</f>
        <v>106380325.22999999</v>
      </c>
      <c r="F4912" s="1678"/>
      <c r="G4912" s="1767">
        <v>5000000</v>
      </c>
      <c r="H4912" s="1678"/>
      <c r="I4912" s="1767">
        <v>5000000</v>
      </c>
      <c r="J4912" s="1678"/>
      <c r="K4912" s="1767">
        <v>5000000</v>
      </c>
      <c r="L4912" s="1744"/>
      <c r="M4912" s="1690"/>
      <c r="N4912" s="1669"/>
      <c r="O4912" s="1690"/>
      <c r="P4912" s="1695"/>
      <c r="Q4912" s="1672"/>
      <c r="R4912" s="1672"/>
      <c r="S4912" s="1672"/>
      <c r="T4912" s="1672"/>
      <c r="U4912" s="1673"/>
      <c r="V4912" s="1690"/>
      <c r="W4912" s="1675"/>
    </row>
    <row r="4913" spans="1:29" s="1674" customFormat="1" ht="15.6" hidden="1" customHeight="1" x14ac:dyDescent="0.25">
      <c r="A4913" s="1743"/>
      <c r="B4913" s="1768" t="s">
        <v>2040</v>
      </c>
      <c r="C4913" s="1765"/>
      <c r="D4913" s="1754"/>
      <c r="E4913" s="1766">
        <f>'Fin Perform'!K48-E4908-E4914</f>
        <v>114744080.13</v>
      </c>
      <c r="F4913" s="1678"/>
      <c r="G4913" s="1767">
        <v>2000000</v>
      </c>
      <c r="H4913" s="1678"/>
      <c r="I4913" s="1767">
        <v>2000000</v>
      </c>
      <c r="J4913" s="1678"/>
      <c r="K4913" s="1767">
        <v>2000000</v>
      </c>
      <c r="L4913" s="1744"/>
      <c r="M4913" s="1690"/>
      <c r="N4913" s="1669"/>
      <c r="O4913" s="1690"/>
      <c r="P4913" s="1695"/>
      <c r="Q4913" s="1672"/>
      <c r="R4913" s="1672"/>
      <c r="S4913" s="1672"/>
      <c r="T4913" s="1672"/>
      <c r="U4913" s="1673"/>
      <c r="V4913" s="1690"/>
      <c r="W4913" s="1675"/>
    </row>
    <row r="4914" spans="1:29" s="1674" customFormat="1" ht="15.6" hidden="1" customHeight="1" x14ac:dyDescent="0.25">
      <c r="A4914" s="1743"/>
      <c r="B4914" s="1768" t="s">
        <v>2041</v>
      </c>
      <c r="C4914" s="1765"/>
      <c r="D4914" s="1754"/>
      <c r="E4914" s="1766">
        <f>5456771-E4908</f>
        <v>5372864.8200000003</v>
      </c>
      <c r="F4914" s="1678"/>
      <c r="G4914" s="1767">
        <v>200000</v>
      </c>
      <c r="H4914" s="1678"/>
      <c r="I4914" s="1767">
        <v>200000</v>
      </c>
      <c r="J4914" s="1678"/>
      <c r="K4914" s="1767">
        <v>200000</v>
      </c>
      <c r="L4914" s="1744"/>
      <c r="M4914" s="1690"/>
      <c r="N4914" s="1669"/>
      <c r="O4914" s="1690"/>
      <c r="P4914" s="1695"/>
      <c r="Q4914" s="1672"/>
      <c r="R4914" s="1672"/>
      <c r="S4914" s="1672"/>
      <c r="T4914" s="1672"/>
      <c r="U4914" s="1673"/>
      <c r="V4914" s="1690"/>
      <c r="W4914" s="1675"/>
    </row>
    <row r="4915" spans="1:29" s="1674" customFormat="1" ht="15.6" hidden="1" customHeight="1" thickBot="1" x14ac:dyDescent="0.3">
      <c r="A4915" s="1743"/>
      <c r="B4915" s="1764" t="s">
        <v>252</v>
      </c>
      <c r="C4915" s="1765"/>
      <c r="D4915" s="1754"/>
      <c r="E4915" s="1769">
        <f>E4913+E4914+E4908</f>
        <v>120200851.13</v>
      </c>
      <c r="F4915" s="1678"/>
      <c r="G4915" s="1770">
        <f>G4913+G4914+G4908</f>
        <v>2890934.7479634532</v>
      </c>
      <c r="H4915" s="1678"/>
      <c r="I4915" s="1770">
        <f>I4913+I4914+I4908</f>
        <v>2915934.7479634532</v>
      </c>
      <c r="J4915" s="1678"/>
      <c r="K4915" s="1770">
        <f>K4913+K4914+K4908</f>
        <v>2965934.7479634532</v>
      </c>
      <c r="L4915" s="1744"/>
      <c r="M4915" s="1690"/>
      <c r="N4915" s="1669"/>
      <c r="O4915" s="1690"/>
      <c r="P4915" s="1695"/>
      <c r="Q4915" s="1672"/>
      <c r="R4915" s="1672"/>
      <c r="S4915" s="1672"/>
      <c r="T4915" s="1672"/>
      <c r="U4915" s="1673"/>
      <c r="V4915" s="1690"/>
      <c r="W4915" s="1675"/>
    </row>
    <row r="4916" spans="1:29" s="1674" customFormat="1" ht="15.6" hidden="1" customHeight="1" thickBot="1" x14ac:dyDescent="0.25">
      <c r="A4916" s="1743"/>
      <c r="B4916" s="1752" t="s">
        <v>1327</v>
      </c>
      <c r="C4916" s="1753"/>
      <c r="D4916" s="1754"/>
      <c r="E4916" s="1750"/>
      <c r="F4916" s="1678"/>
      <c r="G4916" s="1750"/>
      <c r="H4916" s="1678"/>
      <c r="I4916" s="1750"/>
      <c r="J4916" s="1678"/>
      <c r="K4916" s="1750"/>
      <c r="L4916" s="1744"/>
      <c r="M4916" s="1690"/>
      <c r="N4916" s="1669"/>
      <c r="O4916" s="1690"/>
      <c r="P4916" s="1695"/>
      <c r="Q4916" s="1672"/>
      <c r="R4916" s="1672"/>
      <c r="S4916" s="1672"/>
      <c r="T4916" s="1672"/>
      <c r="U4916" s="1673"/>
      <c r="V4916" s="1690"/>
      <c r="W4916" s="1676"/>
    </row>
    <row r="4917" spans="1:29" s="1674" customFormat="1" ht="15.6" hidden="1" customHeight="1" thickBot="1" x14ac:dyDescent="0.25">
      <c r="A4917" s="1743"/>
      <c r="B4917" s="1771" t="s">
        <v>1328</v>
      </c>
      <c r="C4917" s="1772"/>
      <c r="D4917" s="1754"/>
      <c r="E4917" s="1773">
        <f>E4912-E4915</f>
        <v>-13820525.900000006</v>
      </c>
      <c r="F4917" s="1678"/>
      <c r="G4917" s="1774">
        <f>G4912-G4915</f>
        <v>2109065.2520365468</v>
      </c>
      <c r="H4917" s="1678"/>
      <c r="I4917" s="1774">
        <f>I4912-I4915</f>
        <v>2084065.2520365468</v>
      </c>
      <c r="J4917" s="1678"/>
      <c r="K4917" s="1774">
        <f>K4912-K4915</f>
        <v>2034065.2520365468</v>
      </c>
      <c r="L4917" s="1744"/>
      <c r="M4917" s="1690"/>
      <c r="N4917" s="1669"/>
      <c r="O4917" s="1690"/>
      <c r="P4917" s="1695"/>
      <c r="Q4917" s="1672"/>
      <c r="R4917" s="1672"/>
      <c r="S4917" s="1672"/>
      <c r="T4917" s="1672"/>
      <c r="U4917" s="1673"/>
      <c r="W4917" s="1676"/>
      <c r="X4917" s="1690"/>
    </row>
    <row r="4918" spans="1:29" s="1690" customFormat="1" ht="15.6" hidden="1" customHeight="1" x14ac:dyDescent="0.2">
      <c r="A4918" s="1775"/>
      <c r="B4918" s="1776"/>
      <c r="C4918" s="1777"/>
      <c r="D4918" s="1778"/>
      <c r="E4918" s="1779">
        <f>E4917-'Fin Perform'!K57</f>
        <v>1.4901161193847656E-8</v>
      </c>
      <c r="F4918" s="1778"/>
      <c r="G4918" s="1780"/>
      <c r="H4918" s="1778"/>
      <c r="I4918" s="1780"/>
      <c r="J4918" s="1781"/>
      <c r="K4918" s="1780"/>
      <c r="L4918" s="1782"/>
      <c r="N4918" s="1669"/>
      <c r="P4918" s="1695"/>
      <c r="Q4918" s="1672"/>
      <c r="R4918" s="1672"/>
      <c r="S4918" s="1672"/>
      <c r="T4918" s="1672"/>
      <c r="U4918" s="1673"/>
      <c r="W4918" s="1676"/>
      <c r="Y4918" s="1674"/>
      <c r="Z4918" s="1674"/>
      <c r="AA4918" s="1674"/>
      <c r="AB4918" s="1674"/>
      <c r="AC4918" s="1674"/>
    </row>
    <row r="4919" spans="1:29" s="1690" customFormat="1" ht="15.6" hidden="1" customHeight="1" thickBot="1" x14ac:dyDescent="0.25">
      <c r="A4919" s="1775"/>
      <c r="B4919" s="1783" t="s">
        <v>1329</v>
      </c>
      <c r="C4919" s="1784"/>
      <c r="D4919" s="1778"/>
      <c r="E4919" s="1785"/>
      <c r="F4919" s="1778"/>
      <c r="G4919" s="1786">
        <f>G4917-E4917</f>
        <v>15929591.152036553</v>
      </c>
      <c r="H4919" s="1787">
        <v>-234</v>
      </c>
      <c r="I4919" s="1786">
        <f>I4917-E4917</f>
        <v>15904591.152036553</v>
      </c>
      <c r="J4919" s="1781"/>
      <c r="K4919" s="1786">
        <f>K4917-E4917</f>
        <v>15854591.152036553</v>
      </c>
      <c r="L4919" s="1782"/>
      <c r="N4919" s="1669"/>
      <c r="P4919" s="1671"/>
      <c r="Q4919" s="1672"/>
      <c r="R4919" s="1672"/>
      <c r="S4919" s="1672"/>
      <c r="T4919" s="1672"/>
      <c r="U4919" s="1673"/>
      <c r="V4919" s="1674"/>
      <c r="W4919" s="1676"/>
      <c r="Y4919" s="1674"/>
      <c r="Z4919" s="1674"/>
      <c r="AA4919" s="1674"/>
      <c r="AB4919" s="1674"/>
      <c r="AC4919" s="1674"/>
    </row>
    <row r="4920" spans="1:29" s="1690" customFormat="1" ht="15.6" hidden="1" customHeight="1" x14ac:dyDescent="0.2">
      <c r="A4920" s="1775"/>
      <c r="D4920" s="1778"/>
      <c r="F4920" s="1778"/>
      <c r="G4920" s="1778"/>
      <c r="H4920" s="1778"/>
      <c r="I4920" s="1472"/>
      <c r="J4920" s="1781"/>
      <c r="K4920" s="1472"/>
      <c r="L4920" s="1782"/>
      <c r="N4920" s="1669"/>
      <c r="P4920" s="1671"/>
      <c r="Q4920" s="1672"/>
      <c r="R4920" s="1672"/>
      <c r="S4920" s="1672"/>
      <c r="T4920" s="1672"/>
      <c r="U4920" s="1673"/>
      <c r="V4920" s="1674"/>
      <c r="W4920" s="1676"/>
      <c r="X4920" s="1674"/>
      <c r="Y4920" s="1674"/>
      <c r="Z4920" s="1674"/>
      <c r="AA4920" s="1674"/>
      <c r="AB4920" s="1674"/>
      <c r="AC4920" s="1674"/>
    </row>
    <row r="4921" spans="1:29" s="1690" customFormat="1" ht="30.95" hidden="1" customHeight="1" x14ac:dyDescent="0.2">
      <c r="A4921" s="1789"/>
      <c r="B4921" s="2967" t="s">
        <v>1330</v>
      </c>
      <c r="C4921" s="2967"/>
      <c r="D4921" s="2967"/>
      <c r="E4921" s="2967"/>
      <c r="F4921" s="2967"/>
      <c r="G4921" s="2967"/>
      <c r="H4921" s="2967"/>
      <c r="I4921" s="2967"/>
      <c r="J4921" s="2967"/>
      <c r="K4921" s="2967"/>
      <c r="L4921" s="1790"/>
      <c r="M4921" s="1703"/>
      <c r="N4921" s="1669"/>
      <c r="P4921" s="1671"/>
      <c r="Q4921" s="1672"/>
      <c r="R4921" s="1672"/>
      <c r="S4921" s="1672"/>
      <c r="T4921" s="1672"/>
      <c r="U4921" s="1673"/>
      <c r="V4921" s="1674"/>
      <c r="W4921" s="1676"/>
      <c r="X4921" s="1674"/>
      <c r="Y4921" s="1674"/>
      <c r="Z4921" s="1674"/>
      <c r="AA4921" s="1674"/>
      <c r="AB4921" s="1674"/>
      <c r="AC4921" s="1674"/>
    </row>
    <row r="4922" spans="1:29" s="1690" customFormat="1" ht="15.6" hidden="1" customHeight="1" x14ac:dyDescent="0.25">
      <c r="A4922" s="1789"/>
      <c r="B4922" s="2967" t="s">
        <v>1331</v>
      </c>
      <c r="C4922" s="2967"/>
      <c r="D4922" s="2967"/>
      <c r="E4922" s="2967"/>
      <c r="F4922" s="2967"/>
      <c r="G4922" s="2967"/>
      <c r="H4922" s="2967"/>
      <c r="I4922" s="2967"/>
      <c r="J4922" s="2967"/>
      <c r="K4922" s="2967"/>
      <c r="L4922" s="1790"/>
      <c r="M4922" s="1703"/>
      <c r="N4922" s="1669"/>
      <c r="P4922" s="1671"/>
      <c r="Q4922" s="1672"/>
      <c r="R4922" s="1672"/>
      <c r="S4922" s="1672"/>
      <c r="T4922" s="1672"/>
      <c r="U4922" s="1673"/>
      <c r="V4922" s="1674"/>
      <c r="W4922" s="1675"/>
      <c r="X4922" s="1674"/>
      <c r="Y4922" s="1674"/>
      <c r="Z4922" s="1674"/>
      <c r="AA4922" s="1674"/>
      <c r="AB4922" s="1674"/>
      <c r="AC4922" s="1674"/>
    </row>
    <row r="4923" spans="1:29" s="1690" customFormat="1" ht="15.6" hidden="1" customHeight="1" thickBot="1" x14ac:dyDescent="0.25">
      <c r="A4923" s="1791"/>
      <c r="B4923" s="1792"/>
      <c r="C4923" s="1792"/>
      <c r="D4923" s="1793"/>
      <c r="E4923" s="1792"/>
      <c r="F4923" s="1793"/>
      <c r="G4923" s="1793"/>
      <c r="H4923" s="1793"/>
      <c r="I4923" s="1794"/>
      <c r="J4923" s="1795"/>
      <c r="K4923" s="1794"/>
      <c r="L4923" s="1796"/>
      <c r="N4923" s="1669"/>
      <c r="P4923" s="1671"/>
      <c r="Q4923" s="1672"/>
      <c r="R4923" s="1672"/>
      <c r="S4923" s="1672"/>
      <c r="T4923" s="1672"/>
      <c r="U4923" s="1673"/>
      <c r="V4923" s="1674"/>
      <c r="W4923" s="1676"/>
      <c r="X4923" s="1674"/>
      <c r="Y4923" s="1674"/>
      <c r="Z4923" s="1674"/>
      <c r="AA4923" s="1674"/>
      <c r="AB4923" s="1674"/>
      <c r="AC4923" s="1674"/>
    </row>
    <row r="4924" spans="1:29" s="1674" customFormat="1" ht="15.6" hidden="1" customHeight="1" thickTop="1" x14ac:dyDescent="0.25">
      <c r="A4924" s="1710"/>
      <c r="B4924" s="1799" t="s">
        <v>1200</v>
      </c>
      <c r="C4924" s="1800"/>
      <c r="D4924" s="1736"/>
      <c r="E4924" s="1710"/>
      <c r="F4924" s="1736"/>
      <c r="G4924" s="1736"/>
      <c r="H4924" s="1736"/>
      <c r="I4924" s="779"/>
      <c r="J4924" s="1801"/>
      <c r="K4924" s="779"/>
      <c r="L4924" s="1710"/>
      <c r="M4924" s="1703"/>
      <c r="N4924" s="1669"/>
      <c r="O4924" s="1685"/>
      <c r="P4924" s="1671"/>
      <c r="Q4924" s="1672"/>
      <c r="R4924" s="1672"/>
      <c r="S4924" s="1672"/>
      <c r="T4924" s="1672"/>
      <c r="U4924" s="1673"/>
      <c r="W4924" s="1675"/>
    </row>
    <row r="4925" spans="1:29" s="1674" customFormat="1" ht="15.6" hidden="1" customHeight="1" x14ac:dyDescent="0.25">
      <c r="A4925" s="1733"/>
      <c r="B4925" s="1733"/>
      <c r="C4925" s="1733"/>
      <c r="D4925" s="1733"/>
      <c r="E4925" s="1733"/>
      <c r="F4925" s="1733"/>
      <c r="G4925" s="1733"/>
      <c r="H4925" s="1733"/>
      <c r="I4925" s="779"/>
      <c r="J4925" s="1801"/>
      <c r="K4925" s="779"/>
      <c r="L4925" s="1733"/>
      <c r="M4925" s="1690"/>
      <c r="N4925" s="1669"/>
      <c r="O4925" s="1685"/>
      <c r="P4925" s="1671"/>
      <c r="Q4925" s="1672"/>
      <c r="R4925" s="1672"/>
      <c r="S4925" s="1672"/>
      <c r="T4925" s="1672"/>
      <c r="U4925" s="1673"/>
      <c r="W4925" s="1675"/>
    </row>
    <row r="4926" spans="1:29" s="1674" customFormat="1" ht="15.6" hidden="1" customHeight="1" x14ac:dyDescent="0.25">
      <c r="A4926" s="1706"/>
      <c r="B4926" s="2962" t="s">
        <v>2457</v>
      </c>
      <c r="C4926" s="2962"/>
      <c r="D4926" s="2962"/>
      <c r="E4926" s="2962"/>
      <c r="F4926" s="2962"/>
      <c r="G4926" s="2962"/>
      <c r="H4926" s="2962"/>
      <c r="I4926" s="2962"/>
      <c r="J4926" s="2962"/>
      <c r="K4926" s="2962"/>
      <c r="L4926" s="1706"/>
      <c r="M4926" s="1669"/>
      <c r="N4926" s="1669"/>
      <c r="O4926" s="1690"/>
      <c r="P4926" s="1671"/>
      <c r="Q4926" s="1672"/>
      <c r="R4926" s="1672"/>
      <c r="S4926" s="1672"/>
      <c r="T4926" s="1672"/>
      <c r="U4926" s="1673"/>
      <c r="W4926" s="1675"/>
    </row>
    <row r="4927" spans="1:29" s="1674" customFormat="1" ht="15.6" hidden="1" customHeight="1" x14ac:dyDescent="0.25">
      <c r="A4927" s="1684"/>
      <c r="B4927" s="1684"/>
      <c r="C4927" s="1684"/>
      <c r="D4927" s="1684"/>
      <c r="E4927" s="1684"/>
      <c r="F4927" s="1684"/>
      <c r="G4927" s="1684"/>
      <c r="H4927" s="1684"/>
      <c r="I4927" s="58"/>
      <c r="J4927" s="1679"/>
      <c r="K4927" s="58"/>
      <c r="L4927" s="1684"/>
      <c r="N4927" s="1728"/>
      <c r="P4927" s="1695"/>
      <c r="Q4927" s="1672"/>
      <c r="R4927" s="1672"/>
      <c r="S4927" s="1672"/>
      <c r="T4927" s="1672"/>
      <c r="U4927" s="1673"/>
      <c r="W4927" s="1675"/>
    </row>
    <row r="4928" spans="1:29" s="1674" customFormat="1" ht="15.6" customHeight="1" x14ac:dyDescent="0.25">
      <c r="B4928" s="1686" t="s">
        <v>7625</v>
      </c>
      <c r="C4928" s="1677"/>
      <c r="D4928" s="1678"/>
      <c r="F4928" s="1678"/>
      <c r="G4928" s="1678"/>
      <c r="H4928" s="1678"/>
      <c r="I4928" s="58"/>
      <c r="J4928" s="1679"/>
      <c r="K4928" s="58"/>
      <c r="M4928" s="1802" t="s">
        <v>4083</v>
      </c>
      <c r="N4928" s="1728"/>
      <c r="P4928" s="1717"/>
      <c r="Q4928" s="1672"/>
      <c r="R4928" s="1672"/>
      <c r="S4928" s="1672"/>
      <c r="T4928" s="1672"/>
      <c r="U4928" s="1673"/>
      <c r="W4928" s="1675" t="s">
        <v>3857</v>
      </c>
    </row>
    <row r="4929" spans="1:24" s="1674" customFormat="1" ht="15.6" customHeight="1" x14ac:dyDescent="0.25">
      <c r="A4929" s="1684"/>
      <c r="B4929" s="1684"/>
      <c r="C4929" s="1684"/>
      <c r="D4929" s="1684"/>
      <c r="E4929" s="1684"/>
      <c r="F4929" s="1684"/>
      <c r="G4929" s="1684"/>
      <c r="H4929" s="1684"/>
      <c r="I4929" s="58"/>
      <c r="J4929" s="1679"/>
      <c r="K4929" s="58"/>
      <c r="L4929" s="1684"/>
      <c r="N4929" s="1728"/>
      <c r="P4929" s="1695"/>
      <c r="Q4929" s="1672"/>
      <c r="R4929" s="1672"/>
      <c r="S4929" s="1672"/>
      <c r="T4929" s="1672"/>
      <c r="U4929" s="1673"/>
      <c r="W4929" s="1675"/>
    </row>
    <row r="4930" spans="1:24" s="1674" customFormat="1" ht="101.25" hidden="1" customHeight="1" x14ac:dyDescent="0.25">
      <c r="A4930" s="1684"/>
      <c r="B4930" s="2960" t="s">
        <v>1238</v>
      </c>
      <c r="C4930" s="2960"/>
      <c r="D4930" s="2960"/>
      <c r="E4930" s="2960"/>
      <c r="F4930" s="2960"/>
      <c r="G4930" s="2960"/>
      <c r="H4930" s="2960"/>
      <c r="I4930" s="2960"/>
      <c r="J4930" s="2960"/>
      <c r="K4930" s="2960"/>
      <c r="L4930" s="1684"/>
      <c r="M4930" s="1803" t="s">
        <v>4084</v>
      </c>
      <c r="N4930" s="1728"/>
      <c r="P4930" s="1695"/>
      <c r="Q4930" s="1672"/>
      <c r="R4930" s="1672"/>
      <c r="S4930" s="1672"/>
      <c r="T4930" s="1672"/>
      <c r="U4930" s="1673"/>
      <c r="W4930" s="1675"/>
    </row>
    <row r="4931" spans="1:24" s="1674" customFormat="1" ht="62.1" customHeight="1" x14ac:dyDescent="0.25">
      <c r="A4931" s="1684"/>
      <c r="B4931" s="2949" t="s">
        <v>2417</v>
      </c>
      <c r="C4931" s="2949"/>
      <c r="D4931" s="2949"/>
      <c r="E4931" s="2949"/>
      <c r="F4931" s="2949"/>
      <c r="G4931" s="2949"/>
      <c r="H4931" s="2949"/>
      <c r="I4931" s="2949"/>
      <c r="J4931" s="2949"/>
      <c r="K4931" s="2949"/>
      <c r="L4931" s="1684"/>
      <c r="M4931" s="1804" t="s">
        <v>4084</v>
      </c>
      <c r="N4931" s="1728"/>
      <c r="P4931" s="1695"/>
      <c r="Q4931" s="1672"/>
      <c r="R4931" s="1672"/>
      <c r="S4931" s="1672"/>
      <c r="T4931" s="1672"/>
      <c r="U4931" s="1673"/>
      <c r="W4931" s="1675"/>
    </row>
    <row r="4932" spans="1:24" s="1674" customFormat="1" ht="15.6" customHeight="1" x14ac:dyDescent="0.25">
      <c r="A4932" s="1684"/>
      <c r="B4932" s="1684"/>
      <c r="C4932" s="1684"/>
      <c r="D4932" s="1684"/>
      <c r="E4932" s="1684"/>
      <c r="F4932" s="1684"/>
      <c r="G4932" s="1684"/>
      <c r="H4932" s="1684"/>
      <c r="I4932" s="58"/>
      <c r="J4932" s="1679"/>
      <c r="K4932" s="58"/>
      <c r="L4932" s="1684"/>
      <c r="N4932" s="1728"/>
      <c r="P4932" s="1671"/>
      <c r="Q4932" s="1672"/>
      <c r="R4932" s="1672"/>
      <c r="S4932" s="1672"/>
      <c r="T4932" s="1672"/>
      <c r="U4932" s="1673"/>
      <c r="W4932" s="1675"/>
    </row>
    <row r="4933" spans="1:24" s="1674" customFormat="1" ht="30.95" hidden="1" customHeight="1" x14ac:dyDescent="0.25">
      <c r="A4933" s="1684"/>
      <c r="B4933" s="2960" t="s">
        <v>2177</v>
      </c>
      <c r="C4933" s="2960"/>
      <c r="D4933" s="2960"/>
      <c r="E4933" s="2960"/>
      <c r="F4933" s="2960"/>
      <c r="G4933" s="2960"/>
      <c r="H4933" s="2960"/>
      <c r="I4933" s="2960"/>
      <c r="J4933" s="2960"/>
      <c r="K4933" s="2960"/>
      <c r="L4933" s="1684"/>
      <c r="M4933" s="1703"/>
      <c r="N4933" s="1669"/>
      <c r="O4933" s="1690"/>
      <c r="P4933" s="1695"/>
      <c r="Q4933" s="1672"/>
      <c r="R4933" s="1672"/>
      <c r="S4933" s="1672"/>
      <c r="T4933" s="1672"/>
      <c r="U4933" s="1673"/>
      <c r="W4933" s="1675"/>
    </row>
    <row r="4934" spans="1:24" s="1674" customFormat="1" ht="30.95" customHeight="1" x14ac:dyDescent="0.25">
      <c r="A4934" s="1684"/>
      <c r="B4934" s="2949" t="s">
        <v>1562</v>
      </c>
      <c r="C4934" s="2949"/>
      <c r="D4934" s="2949"/>
      <c r="E4934" s="2949"/>
      <c r="F4934" s="2949"/>
      <c r="G4934" s="2949"/>
      <c r="H4934" s="2949"/>
      <c r="I4934" s="2949"/>
      <c r="J4934" s="2949"/>
      <c r="K4934" s="2949"/>
      <c r="L4934" s="1684"/>
      <c r="M4934" s="1703"/>
      <c r="N4934" s="1669"/>
      <c r="O4934" s="1690"/>
      <c r="P4934" s="1671"/>
      <c r="Q4934" s="1672"/>
      <c r="R4934" s="1672"/>
      <c r="S4934" s="1672"/>
      <c r="T4934" s="1672"/>
      <c r="U4934" s="1673"/>
      <c r="W4934" s="1675"/>
    </row>
    <row r="4935" spans="1:24" s="1674" customFormat="1" ht="15.6" customHeight="1" x14ac:dyDescent="0.25">
      <c r="A4935" s="1684"/>
      <c r="B4935" s="1684"/>
      <c r="C4935" s="1684"/>
      <c r="D4935" s="1684"/>
      <c r="E4935" s="1684"/>
      <c r="F4935" s="1684"/>
      <c r="G4935" s="1684"/>
      <c r="H4935" s="1684"/>
      <c r="I4935" s="58"/>
      <c r="J4935" s="1679"/>
      <c r="K4935" s="58"/>
      <c r="L4935" s="1684"/>
      <c r="N4935" s="1728"/>
      <c r="P4935" s="1671"/>
      <c r="Q4935" s="1672"/>
      <c r="R4935" s="1672"/>
      <c r="S4935" s="1672"/>
      <c r="T4935" s="1672"/>
      <c r="U4935" s="1673"/>
      <c r="W4935" s="1675"/>
      <c r="X4935" s="1690"/>
    </row>
    <row r="4936" spans="1:24" s="1674" customFormat="1" ht="15.6" customHeight="1" x14ac:dyDescent="0.25">
      <c r="B4936" s="1701" t="s">
        <v>2418</v>
      </c>
      <c r="C4936" s="1677"/>
      <c r="D4936" s="1678"/>
      <c r="F4936" s="1678"/>
      <c r="G4936" s="1678"/>
      <c r="H4936" s="1678"/>
      <c r="I4936" s="58"/>
      <c r="J4936" s="1679"/>
      <c r="K4936" s="58"/>
      <c r="M4936" s="1702"/>
      <c r="N4936" s="1669"/>
      <c r="O4936" s="1685"/>
      <c r="P4936" s="1671"/>
      <c r="Q4936" s="1672"/>
      <c r="R4936" s="1672"/>
      <c r="S4936" s="1672"/>
      <c r="T4936" s="1672"/>
      <c r="U4936" s="1673"/>
      <c r="W4936" s="1675"/>
      <c r="X4936" s="1690"/>
    </row>
    <row r="4937" spans="1:24" s="1674" customFormat="1" ht="15.6" hidden="1" customHeight="1" x14ac:dyDescent="0.25">
      <c r="A4937" s="1684"/>
      <c r="B4937" s="2963" t="s">
        <v>4085</v>
      </c>
      <c r="C4937" s="2963"/>
      <c r="D4937" s="2963"/>
      <c r="E4937" s="2963"/>
      <c r="F4937" s="2963"/>
      <c r="G4937" s="2963"/>
      <c r="H4937" s="2963"/>
      <c r="I4937" s="2963"/>
      <c r="J4937" s="2963"/>
      <c r="K4937" s="2963"/>
      <c r="L4937" s="1684"/>
      <c r="M4937" s="1727"/>
      <c r="N4937" s="1728"/>
      <c r="P4937" s="1671"/>
      <c r="Q4937" s="1672"/>
      <c r="R4937" s="1672"/>
      <c r="S4937" s="1672"/>
      <c r="T4937" s="1672"/>
      <c r="U4937" s="1673"/>
      <c r="W4937" s="1675"/>
    </row>
    <row r="4938" spans="1:24" s="1674" customFormat="1" ht="77.45" hidden="1" customHeight="1" x14ac:dyDescent="0.25">
      <c r="A4938" s="1684"/>
      <c r="B4938" s="2960" t="s">
        <v>2459</v>
      </c>
      <c r="C4938" s="2960"/>
      <c r="D4938" s="2960"/>
      <c r="E4938" s="2960"/>
      <c r="F4938" s="2960"/>
      <c r="G4938" s="2960"/>
      <c r="H4938" s="2960"/>
      <c r="I4938" s="2960"/>
      <c r="J4938" s="2960"/>
      <c r="K4938" s="2960"/>
      <c r="L4938" s="1684"/>
      <c r="M4938" s="1805"/>
      <c r="N4938" s="1728"/>
      <c r="P4938" s="1671"/>
      <c r="Q4938" s="1672"/>
      <c r="R4938" s="1672"/>
      <c r="S4938" s="1672"/>
      <c r="T4938" s="1672"/>
      <c r="U4938" s="1673"/>
      <c r="V4938" s="1690"/>
      <c r="W4938" s="1675"/>
      <c r="X4938" s="1690"/>
    </row>
    <row r="4939" spans="1:24" s="1674" customFormat="1" ht="62.1" customHeight="1" x14ac:dyDescent="0.25">
      <c r="A4939" s="1684"/>
      <c r="B4939" s="2949" t="s">
        <v>1563</v>
      </c>
      <c r="C4939" s="2949"/>
      <c r="D4939" s="2949"/>
      <c r="E4939" s="2949"/>
      <c r="F4939" s="2949"/>
      <c r="G4939" s="2949"/>
      <c r="H4939" s="2949"/>
      <c r="I4939" s="2949"/>
      <c r="J4939" s="2949"/>
      <c r="K4939" s="2949"/>
      <c r="L4939" s="1684"/>
      <c r="M4939" s="1727"/>
      <c r="N4939" s="1728"/>
      <c r="P4939" s="1671"/>
      <c r="Q4939" s="1672"/>
      <c r="R4939" s="1672"/>
      <c r="S4939" s="1672"/>
      <c r="T4939" s="1672"/>
      <c r="U4939" s="1673"/>
      <c r="V4939" s="1690"/>
      <c r="W4939" s="1675"/>
      <c r="X4939" s="1690"/>
    </row>
    <row r="4940" spans="1:24" s="1674" customFormat="1" ht="46.5" hidden="1" customHeight="1" x14ac:dyDescent="0.25">
      <c r="A4940" s="1684"/>
      <c r="B4940" s="2949" t="s">
        <v>2178</v>
      </c>
      <c r="C4940" s="2949"/>
      <c r="D4940" s="2949"/>
      <c r="E4940" s="2949"/>
      <c r="F4940" s="2949"/>
      <c r="G4940" s="2949"/>
      <c r="H4940" s="2949"/>
      <c r="I4940" s="2949"/>
      <c r="J4940" s="2949"/>
      <c r="K4940" s="2949"/>
      <c r="L4940" s="1684"/>
      <c r="M4940" s="1703"/>
      <c r="N4940" s="1669"/>
      <c r="O4940" s="1685"/>
      <c r="P4940" s="1671"/>
      <c r="Q4940" s="1672"/>
      <c r="R4940" s="1672"/>
      <c r="S4940" s="1672"/>
      <c r="T4940" s="1672"/>
      <c r="U4940" s="1673"/>
      <c r="V4940" s="1690"/>
      <c r="W4940" s="1675"/>
      <c r="X4940" s="1690"/>
    </row>
    <row r="4941" spans="1:24" s="1674" customFormat="1" ht="15.6" customHeight="1" x14ac:dyDescent="0.25">
      <c r="A4941" s="1684"/>
      <c r="B4941" s="1684"/>
      <c r="C4941" s="1684"/>
      <c r="D4941" s="1684"/>
      <c r="E4941" s="1684"/>
      <c r="F4941" s="1684"/>
      <c r="G4941" s="1684"/>
      <c r="H4941" s="1684"/>
      <c r="I4941" s="58"/>
      <c r="J4941" s="1679"/>
      <c r="K4941" s="58"/>
      <c r="L4941" s="1684"/>
      <c r="N4941" s="1728"/>
      <c r="P4941" s="1671"/>
      <c r="Q4941" s="1672"/>
      <c r="R4941" s="1672"/>
      <c r="S4941" s="1672"/>
      <c r="T4941" s="1672"/>
      <c r="U4941" s="1673"/>
      <c r="W4941" s="1675"/>
      <c r="X4941" s="1690"/>
    </row>
    <row r="4942" spans="1:24" s="1674" customFormat="1" ht="15.6" customHeight="1" x14ac:dyDescent="0.25">
      <c r="B4942" s="1701" t="s">
        <v>2419</v>
      </c>
      <c r="C4942" s="1677"/>
      <c r="D4942" s="1678"/>
      <c r="F4942" s="1678"/>
      <c r="G4942" s="1678"/>
      <c r="H4942" s="1678"/>
      <c r="I4942" s="58"/>
      <c r="J4942" s="1679"/>
      <c r="K4942" s="58"/>
      <c r="M4942" s="1702"/>
      <c r="N4942" s="1669"/>
      <c r="O4942" s="1685"/>
      <c r="P4942" s="1671"/>
      <c r="Q4942" s="1672"/>
      <c r="R4942" s="1672"/>
      <c r="S4942" s="1672"/>
      <c r="T4942" s="1672"/>
      <c r="U4942" s="1673"/>
      <c r="W4942" s="1675"/>
    </row>
    <row r="4943" spans="1:24" s="1674" customFormat="1" ht="77.45" customHeight="1" x14ac:dyDescent="0.2">
      <c r="A4943" s="1684"/>
      <c r="B4943" s="2949" t="s">
        <v>2420</v>
      </c>
      <c r="C4943" s="2949"/>
      <c r="D4943" s="2949"/>
      <c r="E4943" s="2949"/>
      <c r="F4943" s="2949"/>
      <c r="G4943" s="2949"/>
      <c r="H4943" s="2949"/>
      <c r="I4943" s="2949"/>
      <c r="J4943" s="2949"/>
      <c r="K4943" s="2949"/>
      <c r="L4943" s="1684"/>
      <c r="M4943" s="1732" t="s">
        <v>4086</v>
      </c>
      <c r="N4943" s="1669"/>
      <c r="O4943" s="1685"/>
      <c r="P4943" s="1671"/>
      <c r="Q4943" s="1672"/>
      <c r="R4943" s="1672"/>
      <c r="S4943" s="1672"/>
      <c r="T4943" s="1672"/>
      <c r="U4943" s="1673"/>
      <c r="W4943" s="1676"/>
      <c r="X4943" s="1690"/>
    </row>
    <row r="4944" spans="1:24" s="1674" customFormat="1" ht="15.6" customHeight="1" x14ac:dyDescent="0.2">
      <c r="A4944" s="1684"/>
      <c r="B4944" s="1684"/>
      <c r="C4944" s="1684"/>
      <c r="D4944" s="1684"/>
      <c r="E4944" s="1684"/>
      <c r="F4944" s="1684"/>
      <c r="G4944" s="1684"/>
      <c r="H4944" s="1684"/>
      <c r="I4944" s="58"/>
      <c r="J4944" s="1679"/>
      <c r="K4944" s="58"/>
      <c r="L4944" s="1684"/>
      <c r="N4944" s="1728"/>
      <c r="P4944" s="1695"/>
      <c r="Q4944" s="1672"/>
      <c r="R4944" s="1672"/>
      <c r="S4944" s="1672"/>
      <c r="T4944" s="1672"/>
      <c r="U4944" s="1673"/>
      <c r="W4944" s="1676"/>
    </row>
    <row r="4945" spans="1:23" s="1674" customFormat="1" hidden="1" x14ac:dyDescent="0.2">
      <c r="A4945" s="1684"/>
      <c r="B4945" s="2949" t="s">
        <v>7360</v>
      </c>
      <c r="C4945" s="2949"/>
      <c r="D4945" s="2949"/>
      <c r="E4945" s="2949"/>
      <c r="F4945" s="2949"/>
      <c r="G4945" s="2949"/>
      <c r="H4945" s="2949"/>
      <c r="I4945" s="2949"/>
      <c r="J4945" s="2949"/>
      <c r="K4945" s="2949"/>
      <c r="L4945" s="1684"/>
      <c r="M4945" s="1703"/>
      <c r="N4945" s="1669"/>
      <c r="O4945" s="1690"/>
      <c r="P4945" s="1671"/>
      <c r="Q4945" s="1672"/>
      <c r="R4945" s="1672"/>
      <c r="S4945" s="1672"/>
      <c r="T4945" s="1672"/>
      <c r="U4945" s="1673"/>
      <c r="V4945" s="1690"/>
      <c r="W4945" s="1676"/>
    </row>
    <row r="4946" spans="1:23" s="1674" customFormat="1" ht="32.25" hidden="1" customHeight="1" x14ac:dyDescent="0.2">
      <c r="A4946" s="1684"/>
      <c r="B4946" s="2949" t="s">
        <v>7359</v>
      </c>
      <c r="C4946" s="2949"/>
      <c r="D4946" s="2949"/>
      <c r="E4946" s="2949"/>
      <c r="F4946" s="2949"/>
      <c r="G4946" s="2949"/>
      <c r="H4946" s="2949"/>
      <c r="I4946" s="2949"/>
      <c r="J4946" s="2949"/>
      <c r="K4946" s="2949"/>
      <c r="L4946" s="1684"/>
      <c r="M4946" s="1703"/>
      <c r="N4946" s="1669"/>
      <c r="O4946" s="1690"/>
      <c r="P4946" s="1671"/>
      <c r="Q4946" s="1672"/>
      <c r="R4946" s="1672"/>
      <c r="S4946" s="1672"/>
      <c r="T4946" s="1672"/>
      <c r="U4946" s="1673"/>
      <c r="V4946" s="1690"/>
      <c r="W4946" s="1676"/>
    </row>
    <row r="4947" spans="1:23" s="1674" customFormat="1" ht="15.6" hidden="1" customHeight="1" x14ac:dyDescent="0.2">
      <c r="A4947" s="1684"/>
      <c r="B4947" s="1684"/>
      <c r="C4947" s="1684"/>
      <c r="D4947" s="1684"/>
      <c r="E4947" s="1684"/>
      <c r="F4947" s="1684"/>
      <c r="G4947" s="1684"/>
      <c r="H4947" s="1684"/>
      <c r="I4947" s="58"/>
      <c r="J4947" s="1679"/>
      <c r="K4947" s="58"/>
      <c r="L4947" s="1684"/>
      <c r="M4947" s="1690"/>
      <c r="N4947" s="1669"/>
      <c r="O4947" s="1690"/>
      <c r="P4947" s="1695"/>
      <c r="Q4947" s="1672"/>
      <c r="R4947" s="1672"/>
      <c r="S4947" s="1672"/>
      <c r="T4947" s="1672"/>
      <c r="U4947" s="1673"/>
      <c r="V4947" s="1690"/>
      <c r="W4947" s="1676"/>
    </row>
    <row r="4948" spans="1:23" s="1674" customFormat="1" ht="46.5" customHeight="1" x14ac:dyDescent="0.2">
      <c r="A4948" s="1684"/>
      <c r="B4948" s="2949" t="s">
        <v>4460</v>
      </c>
      <c r="C4948" s="2949"/>
      <c r="D4948" s="2949"/>
      <c r="E4948" s="2949"/>
      <c r="F4948" s="2949"/>
      <c r="G4948" s="2949"/>
      <c r="H4948" s="2949"/>
      <c r="I4948" s="2949"/>
      <c r="J4948" s="2949"/>
      <c r="K4948" s="2949"/>
      <c r="L4948" s="1684"/>
      <c r="M4948" s="1703"/>
      <c r="N4948" s="1669"/>
      <c r="O4948" s="1685"/>
      <c r="P4948" s="1695"/>
      <c r="Q4948" s="1672"/>
      <c r="R4948" s="1672"/>
      <c r="S4948" s="1672"/>
      <c r="T4948" s="1672"/>
      <c r="U4948" s="1673"/>
      <c r="V4948" s="1690"/>
      <c r="W4948" s="1676"/>
    </row>
    <row r="4949" spans="1:23" s="1674" customFormat="1" ht="15.6" customHeight="1" x14ac:dyDescent="0.25">
      <c r="B4949" s="2949" t="s">
        <v>2421</v>
      </c>
      <c r="C4949" s="2949"/>
      <c r="D4949" s="2949"/>
      <c r="E4949" s="2949"/>
      <c r="F4949" s="2949"/>
      <c r="G4949" s="2949"/>
      <c r="H4949" s="2949"/>
      <c r="I4949" s="2949"/>
      <c r="J4949" s="2949"/>
      <c r="K4949" s="2949"/>
      <c r="L4949" s="1684"/>
      <c r="M4949" s="1805"/>
      <c r="N4949" s="1728"/>
      <c r="P4949" s="1695"/>
      <c r="Q4949" s="1672"/>
      <c r="R4949" s="1672"/>
      <c r="S4949" s="1672"/>
      <c r="T4949" s="1672"/>
      <c r="U4949" s="1673"/>
      <c r="W4949" s="1675"/>
    </row>
    <row r="4950" spans="1:23" s="1674" customFormat="1" ht="30.95" customHeight="1" x14ac:dyDescent="0.25">
      <c r="B4950" s="2949" t="s">
        <v>2422</v>
      </c>
      <c r="C4950" s="2949"/>
      <c r="D4950" s="2949"/>
      <c r="E4950" s="2949"/>
      <c r="F4950" s="2949"/>
      <c r="G4950" s="2949"/>
      <c r="H4950" s="2949"/>
      <c r="I4950" s="2949"/>
      <c r="J4950" s="2949"/>
      <c r="K4950" s="2949"/>
      <c r="L4950" s="1684"/>
      <c r="M4950" s="1805"/>
      <c r="N4950" s="1728"/>
      <c r="P4950" s="1671"/>
      <c r="Q4950" s="1672"/>
      <c r="R4950" s="1672"/>
      <c r="S4950" s="1672"/>
      <c r="T4950" s="1672"/>
      <c r="U4950" s="1673"/>
      <c r="W4950" s="1675"/>
    </row>
    <row r="4951" spans="1:23" s="1674" customFormat="1" ht="30.95" customHeight="1" x14ac:dyDescent="0.25">
      <c r="B4951" s="2949" t="s">
        <v>2423</v>
      </c>
      <c r="C4951" s="2949"/>
      <c r="D4951" s="2949"/>
      <c r="E4951" s="2949"/>
      <c r="F4951" s="2949"/>
      <c r="G4951" s="2949"/>
      <c r="H4951" s="2949"/>
      <c r="I4951" s="2949"/>
      <c r="J4951" s="2949"/>
      <c r="K4951" s="2949"/>
      <c r="L4951" s="1684"/>
      <c r="M4951" s="1805"/>
      <c r="N4951" s="1728"/>
      <c r="P4951" s="1671"/>
      <c r="Q4951" s="1672"/>
      <c r="R4951" s="1672"/>
      <c r="S4951" s="1672"/>
      <c r="T4951" s="1672"/>
      <c r="U4951" s="1673"/>
      <c r="W4951" s="1675"/>
    </row>
    <row r="4952" spans="1:23" s="1674" customFormat="1" ht="30.95" customHeight="1" x14ac:dyDescent="0.25">
      <c r="B4952" s="2949" t="s">
        <v>2424</v>
      </c>
      <c r="C4952" s="2949"/>
      <c r="D4952" s="2949"/>
      <c r="E4952" s="2949"/>
      <c r="F4952" s="2949"/>
      <c r="G4952" s="2949"/>
      <c r="H4952" s="2949"/>
      <c r="I4952" s="2949"/>
      <c r="J4952" s="2949"/>
      <c r="K4952" s="2949"/>
      <c r="L4952" s="1684"/>
      <c r="M4952" s="1805"/>
      <c r="N4952" s="1728"/>
      <c r="P4952" s="1671"/>
      <c r="Q4952" s="1672"/>
      <c r="R4952" s="1672"/>
      <c r="S4952" s="1672"/>
      <c r="T4952" s="1672"/>
      <c r="U4952" s="1673"/>
      <c r="W4952" s="1675"/>
    </row>
    <row r="4953" spans="1:23" s="1674" customFormat="1" ht="15.6" customHeight="1" x14ac:dyDescent="0.25">
      <c r="B4953" s="2949" t="s">
        <v>2662</v>
      </c>
      <c r="C4953" s="2949"/>
      <c r="D4953" s="2949"/>
      <c r="E4953" s="2949"/>
      <c r="F4953" s="2949"/>
      <c r="G4953" s="2949"/>
      <c r="H4953" s="2949"/>
      <c r="I4953" s="2949"/>
      <c r="J4953" s="2949"/>
      <c r="K4953" s="2949"/>
      <c r="L4953" s="1684"/>
      <c r="M4953" s="1805"/>
      <c r="N4953" s="1728"/>
      <c r="P4953" s="1671"/>
      <c r="Q4953" s="1672"/>
      <c r="R4953" s="1672"/>
      <c r="S4953" s="1672"/>
      <c r="T4953" s="1672"/>
      <c r="U4953" s="1673"/>
      <c r="W4953" s="1675"/>
    </row>
    <row r="4954" spans="1:23" s="1674" customFormat="1" ht="15.6" customHeight="1" x14ac:dyDescent="0.25">
      <c r="B4954" s="2949" t="s">
        <v>2425</v>
      </c>
      <c r="C4954" s="2949"/>
      <c r="D4954" s="2949"/>
      <c r="E4954" s="2949"/>
      <c r="F4954" s="2949"/>
      <c r="G4954" s="2949"/>
      <c r="H4954" s="2949"/>
      <c r="I4954" s="2949"/>
      <c r="J4954" s="2949"/>
      <c r="K4954" s="2949"/>
      <c r="L4954" s="1684"/>
      <c r="M4954" s="1805"/>
      <c r="N4954" s="1728"/>
      <c r="P4954" s="1695"/>
      <c r="Q4954" s="1672"/>
      <c r="R4954" s="1672"/>
      <c r="S4954" s="1672"/>
      <c r="T4954" s="1672"/>
      <c r="U4954" s="1673"/>
      <c r="W4954" s="1675"/>
    </row>
    <row r="4955" spans="1:23" s="1674" customFormat="1" ht="15.6" customHeight="1" x14ac:dyDescent="0.25">
      <c r="B4955" s="1806"/>
      <c r="D4955" s="1678"/>
      <c r="F4955" s="1678"/>
      <c r="G4955" s="1678"/>
      <c r="H4955" s="1678"/>
      <c r="I4955" s="58"/>
      <c r="J4955" s="1682"/>
      <c r="K4955" s="58"/>
      <c r="N4955" s="1728"/>
      <c r="P4955" s="1671"/>
      <c r="Q4955" s="1672"/>
      <c r="R4955" s="1672"/>
      <c r="S4955" s="1672"/>
      <c r="T4955" s="1672"/>
      <c r="U4955" s="1673"/>
      <c r="W4955" s="1675"/>
    </row>
    <row r="4956" spans="1:23" s="1674" customFormat="1" ht="77.45" customHeight="1" x14ac:dyDescent="0.25">
      <c r="A4956" s="1684"/>
      <c r="B4956" s="2949" t="s">
        <v>2426</v>
      </c>
      <c r="C4956" s="2949"/>
      <c r="D4956" s="2949"/>
      <c r="E4956" s="2949"/>
      <c r="F4956" s="2949"/>
      <c r="G4956" s="2949"/>
      <c r="H4956" s="2949"/>
      <c r="I4956" s="2949"/>
      <c r="J4956" s="2949"/>
      <c r="K4956" s="2949"/>
      <c r="L4956" s="1684"/>
      <c r="M4956" s="1804" t="s">
        <v>4087</v>
      </c>
      <c r="N4956" s="1728"/>
      <c r="P4956" s="1671"/>
      <c r="Q4956" s="1672"/>
      <c r="R4956" s="1672"/>
      <c r="S4956" s="1672"/>
      <c r="T4956" s="1672"/>
      <c r="U4956" s="1673"/>
      <c r="W4956" s="1675"/>
    </row>
    <row r="4957" spans="1:23" s="1674" customFormat="1" ht="15.6" customHeight="1" x14ac:dyDescent="0.25">
      <c r="B4957" s="1806"/>
      <c r="D4957" s="1678"/>
      <c r="F4957" s="1678"/>
      <c r="G4957" s="1678"/>
      <c r="H4957" s="1678"/>
      <c r="I4957" s="58"/>
      <c r="J4957" s="1682"/>
      <c r="K4957" s="58"/>
      <c r="N4957" s="1728"/>
      <c r="P4957" s="1671"/>
      <c r="Q4957" s="1672"/>
      <c r="R4957" s="1672"/>
      <c r="S4957" s="1672"/>
      <c r="T4957" s="1672"/>
      <c r="U4957" s="1673"/>
      <c r="V4957" s="1690"/>
      <c r="W4957" s="1675"/>
    </row>
    <row r="4958" spans="1:23" s="1674" customFormat="1" ht="30.95" customHeight="1" x14ac:dyDescent="0.25">
      <c r="A4958" s="1684"/>
      <c r="B4958" s="2949" t="s">
        <v>2427</v>
      </c>
      <c r="C4958" s="2949"/>
      <c r="D4958" s="2949"/>
      <c r="E4958" s="2949"/>
      <c r="F4958" s="2949"/>
      <c r="G4958" s="2949"/>
      <c r="H4958" s="2949"/>
      <c r="I4958" s="2949"/>
      <c r="J4958" s="2949"/>
      <c r="K4958" s="2949"/>
      <c r="L4958" s="1684"/>
      <c r="M4958" s="1703"/>
      <c r="N4958" s="1669"/>
      <c r="O4958" s="1690"/>
      <c r="P4958" s="1671"/>
      <c r="Q4958" s="1672"/>
      <c r="R4958" s="1672"/>
      <c r="S4958" s="1672"/>
      <c r="T4958" s="1672"/>
      <c r="U4958" s="1673"/>
      <c r="V4958" s="1690"/>
      <c r="W4958" s="1675"/>
    </row>
    <row r="4959" spans="1:23" s="1674" customFormat="1" ht="15.6" customHeight="1" x14ac:dyDescent="0.25">
      <c r="B4959" s="1806"/>
      <c r="D4959" s="1678"/>
      <c r="F4959" s="1678"/>
      <c r="G4959" s="1678"/>
      <c r="H4959" s="1678"/>
      <c r="I4959" s="58"/>
      <c r="J4959" s="1682"/>
      <c r="K4959" s="58"/>
      <c r="N4959" s="1728"/>
      <c r="P4959" s="1671"/>
      <c r="Q4959" s="1672"/>
      <c r="R4959" s="1672"/>
      <c r="S4959" s="1672"/>
      <c r="T4959" s="1672"/>
      <c r="U4959" s="1673"/>
      <c r="V4959" s="1690"/>
      <c r="W4959" s="1675"/>
    </row>
    <row r="4960" spans="1:23" s="1674" customFormat="1" ht="30.95" customHeight="1" x14ac:dyDescent="0.25">
      <c r="A4960" s="1684"/>
      <c r="B4960" s="2949" t="s">
        <v>2663</v>
      </c>
      <c r="C4960" s="2949"/>
      <c r="D4960" s="2949"/>
      <c r="E4960" s="2949"/>
      <c r="F4960" s="2949"/>
      <c r="G4960" s="2949"/>
      <c r="H4960" s="2949"/>
      <c r="I4960" s="2949"/>
      <c r="J4960" s="2949"/>
      <c r="K4960" s="2949"/>
      <c r="L4960" s="1684"/>
      <c r="M4960" s="1703"/>
      <c r="N4960" s="1669"/>
      <c r="O4960" s="1690"/>
      <c r="P4960" s="1671"/>
      <c r="Q4960" s="1672"/>
      <c r="R4960" s="1672"/>
      <c r="S4960" s="1672"/>
      <c r="T4960" s="1672"/>
      <c r="U4960" s="1673"/>
      <c r="V4960" s="1690"/>
      <c r="W4960" s="1675"/>
    </row>
    <row r="4961" spans="1:24" s="1674" customFormat="1" ht="15.6" customHeight="1" x14ac:dyDescent="0.25">
      <c r="A4961" s="1684"/>
      <c r="B4961" s="1684"/>
      <c r="C4961" s="1684"/>
      <c r="D4961" s="1684"/>
      <c r="E4961" s="1684"/>
      <c r="F4961" s="1684"/>
      <c r="G4961" s="1684"/>
      <c r="H4961" s="1684"/>
      <c r="I4961" s="58"/>
      <c r="J4961" s="1679"/>
      <c r="K4961" s="58"/>
      <c r="L4961" s="1684"/>
      <c r="N4961" s="1728"/>
      <c r="P4961" s="1671"/>
      <c r="Q4961" s="1672"/>
      <c r="R4961" s="1672"/>
      <c r="S4961" s="1672"/>
      <c r="T4961" s="1672"/>
      <c r="U4961" s="1673"/>
      <c r="V4961" s="1690"/>
      <c r="W4961" s="1675"/>
    </row>
    <row r="4962" spans="1:24" s="1674" customFormat="1" ht="30.95" customHeight="1" x14ac:dyDescent="0.2">
      <c r="A4962" s="1684"/>
      <c r="B4962" s="2949" t="s">
        <v>7361</v>
      </c>
      <c r="C4962" s="2949"/>
      <c r="D4962" s="2949"/>
      <c r="E4962" s="2949"/>
      <c r="F4962" s="2949"/>
      <c r="G4962" s="2949"/>
      <c r="H4962" s="2949"/>
      <c r="I4962" s="2949"/>
      <c r="J4962" s="2949"/>
      <c r="K4962" s="2949"/>
      <c r="L4962" s="1684"/>
      <c r="M4962" s="1805"/>
      <c r="N4962" s="1728"/>
      <c r="P4962" s="1671"/>
      <c r="Q4962" s="1672"/>
      <c r="R4962" s="1672"/>
      <c r="S4962" s="1672"/>
      <c r="T4962" s="1672"/>
      <c r="U4962" s="1673"/>
      <c r="V4962" s="1690"/>
      <c r="W4962" s="1676"/>
    </row>
    <row r="4963" spans="1:24" s="1674" customFormat="1" ht="15.6" customHeight="1" x14ac:dyDescent="0.2">
      <c r="A4963" s="1684"/>
      <c r="B4963" s="1684"/>
      <c r="C4963" s="1684"/>
      <c r="D4963" s="1684"/>
      <c r="E4963" s="1684"/>
      <c r="F4963" s="1684"/>
      <c r="G4963" s="1684"/>
      <c r="H4963" s="1684"/>
      <c r="I4963" s="58"/>
      <c r="J4963" s="1679"/>
      <c r="K4963" s="58"/>
      <c r="L4963" s="1684"/>
      <c r="N4963" s="1728"/>
      <c r="P4963" s="1671"/>
      <c r="Q4963" s="1672"/>
      <c r="R4963" s="1672"/>
      <c r="S4963" s="1672"/>
      <c r="T4963" s="1672"/>
      <c r="U4963" s="1673"/>
      <c r="W4963" s="1676"/>
      <c r="X4963" s="1690"/>
    </row>
    <row r="4964" spans="1:24" s="1674" customFormat="1" ht="62.1" customHeight="1" x14ac:dyDescent="0.25">
      <c r="A4964" s="1684"/>
      <c r="B4964" s="2949" t="s">
        <v>4464</v>
      </c>
      <c r="C4964" s="2949"/>
      <c r="D4964" s="2949"/>
      <c r="E4964" s="2949"/>
      <c r="F4964" s="2949"/>
      <c r="G4964" s="2949"/>
      <c r="H4964" s="2949"/>
      <c r="I4964" s="2949"/>
      <c r="J4964" s="2949"/>
      <c r="K4964" s="2949"/>
      <c r="L4964" s="1684"/>
      <c r="M4964" s="1805"/>
      <c r="N4964" s="1728"/>
      <c r="P4964" s="1671"/>
      <c r="Q4964" s="1672"/>
      <c r="R4964" s="1672"/>
      <c r="S4964" s="1672"/>
      <c r="T4964" s="1672"/>
      <c r="U4964" s="1673"/>
      <c r="W4964" s="1675"/>
    </row>
    <row r="4965" spans="1:24" s="1674" customFormat="1" ht="62.1" hidden="1" customHeight="1" x14ac:dyDescent="0.2">
      <c r="A4965" s="1684"/>
      <c r="B4965" s="2960" t="s">
        <v>4465</v>
      </c>
      <c r="C4965" s="2960"/>
      <c r="D4965" s="2960"/>
      <c r="E4965" s="2960"/>
      <c r="F4965" s="2960"/>
      <c r="G4965" s="2960"/>
      <c r="H4965" s="2960"/>
      <c r="I4965" s="2960"/>
      <c r="J4965" s="2960"/>
      <c r="K4965" s="2960"/>
      <c r="L4965" s="1684"/>
      <c r="M4965" s="1805" t="s">
        <v>1239</v>
      </c>
      <c r="N4965" s="1728"/>
      <c r="P4965" s="1671"/>
      <c r="Q4965" s="1672"/>
      <c r="R4965" s="1672"/>
      <c r="S4965" s="1672"/>
      <c r="T4965" s="1672"/>
      <c r="U4965" s="1673"/>
      <c r="W4965" s="1676"/>
    </row>
    <row r="4966" spans="1:24" s="1674" customFormat="1" ht="46.5" hidden="1" customHeight="1" x14ac:dyDescent="0.2">
      <c r="A4966" s="1684"/>
      <c r="B4966" s="2949" t="s">
        <v>2180</v>
      </c>
      <c r="C4966" s="2949"/>
      <c r="D4966" s="2949"/>
      <c r="E4966" s="2949"/>
      <c r="F4966" s="2949"/>
      <c r="G4966" s="2949"/>
      <c r="H4966" s="2949"/>
      <c r="I4966" s="2949"/>
      <c r="J4966" s="2949"/>
      <c r="K4966" s="2949"/>
      <c r="L4966" s="1684"/>
      <c r="M4966" s="1805" t="s">
        <v>1239</v>
      </c>
      <c r="N4966" s="1728"/>
      <c r="P4966" s="1671"/>
      <c r="Q4966" s="1672"/>
      <c r="R4966" s="1672"/>
      <c r="S4966" s="1672"/>
      <c r="T4966" s="1672"/>
      <c r="U4966" s="1673"/>
      <c r="W4966" s="1676"/>
    </row>
    <row r="4967" spans="1:24" s="1674" customFormat="1" ht="15.6" customHeight="1" x14ac:dyDescent="0.25">
      <c r="D4967" s="1678"/>
      <c r="F4967" s="1678"/>
      <c r="G4967" s="1678"/>
      <c r="H4967" s="1678"/>
      <c r="I4967" s="58"/>
      <c r="J4967" s="1682"/>
      <c r="K4967" s="58"/>
      <c r="N4967" s="1728"/>
      <c r="P4967" s="1671"/>
      <c r="Q4967" s="1672"/>
      <c r="R4967" s="1672"/>
      <c r="S4967" s="1672"/>
      <c r="T4967" s="1672"/>
      <c r="U4967" s="1673"/>
      <c r="W4967" s="1676"/>
    </row>
    <row r="4968" spans="1:24" s="1674" customFormat="1" ht="62.1" hidden="1" customHeight="1" x14ac:dyDescent="0.25">
      <c r="A4968" s="1684"/>
      <c r="B4968" s="2949" t="s">
        <v>2181</v>
      </c>
      <c r="C4968" s="2949"/>
      <c r="D4968" s="2949"/>
      <c r="E4968" s="2949"/>
      <c r="F4968" s="2949"/>
      <c r="G4968" s="2949"/>
      <c r="H4968" s="2949"/>
      <c r="I4968" s="2949"/>
      <c r="J4968" s="2949"/>
      <c r="K4968" s="2949"/>
      <c r="L4968" s="1684"/>
      <c r="M4968" s="1805"/>
      <c r="N4968" s="1728"/>
      <c r="P4968" s="1671"/>
      <c r="Q4968" s="1672"/>
      <c r="R4968" s="1672"/>
      <c r="S4968" s="1672"/>
      <c r="T4968" s="1672"/>
      <c r="U4968" s="1673"/>
      <c r="W4968" s="1675"/>
    </row>
    <row r="4969" spans="1:24" s="1674" customFormat="1" ht="30.95" hidden="1" customHeight="1" x14ac:dyDescent="0.25">
      <c r="A4969" s="1684"/>
      <c r="B4969" s="2963" t="s">
        <v>1364</v>
      </c>
      <c r="C4969" s="2963"/>
      <c r="D4969" s="2963"/>
      <c r="E4969" s="2963"/>
      <c r="F4969" s="2963"/>
      <c r="G4969" s="2963"/>
      <c r="H4969" s="2963"/>
      <c r="I4969" s="2963"/>
      <c r="J4969" s="2963"/>
      <c r="K4969" s="2963"/>
      <c r="L4969" s="1684"/>
      <c r="M4969" s="1727"/>
      <c r="N4969" s="1728"/>
      <c r="P4969" s="1671"/>
      <c r="Q4969" s="1672"/>
      <c r="R4969" s="1672"/>
      <c r="S4969" s="1672"/>
      <c r="T4969" s="1672"/>
      <c r="U4969" s="1673"/>
      <c r="W4969" s="1675"/>
    </row>
    <row r="4970" spans="1:24" s="1674" customFormat="1" ht="15.6" hidden="1" customHeight="1" x14ac:dyDescent="0.25">
      <c r="D4970" s="1678"/>
      <c r="F4970" s="1678"/>
      <c r="G4970" s="1678"/>
      <c r="H4970" s="1678"/>
      <c r="I4970" s="58"/>
      <c r="J4970" s="1682"/>
      <c r="K4970" s="58"/>
      <c r="N4970" s="1728"/>
      <c r="P4970" s="1671"/>
      <c r="Q4970" s="1672"/>
      <c r="R4970" s="1672"/>
      <c r="S4970" s="1672"/>
      <c r="T4970" s="1672"/>
      <c r="U4970" s="1673"/>
      <c r="W4970" s="1675"/>
    </row>
    <row r="4971" spans="1:24" s="1674" customFormat="1" ht="15.6" hidden="1" customHeight="1" x14ac:dyDescent="0.25">
      <c r="B4971" s="1677"/>
      <c r="C4971" s="1677"/>
      <c r="D4971" s="1681"/>
      <c r="E4971" s="2956" t="str">
        <f>Parameters!C11</f>
        <v>30 June 2012</v>
      </c>
      <c r="F4971" s="2957"/>
      <c r="G4971" s="2957"/>
      <c r="H4971" s="1681"/>
      <c r="I4971" s="2956" t="str">
        <f>Parameters!C13</f>
        <v>30 June 2011</v>
      </c>
      <c r="J4971" s="2957"/>
      <c r="K4971" s="2957"/>
      <c r="N4971" s="1728"/>
      <c r="P4971" s="1671"/>
      <c r="Q4971" s="1672"/>
      <c r="R4971" s="1672"/>
      <c r="S4971" s="1672"/>
      <c r="T4971" s="1672"/>
      <c r="U4971" s="1673"/>
      <c r="W4971" s="1675"/>
    </row>
    <row r="4972" spans="1:24" s="1674" customFormat="1" ht="15.6" hidden="1" customHeight="1" x14ac:dyDescent="0.25">
      <c r="B4972" s="2969" t="s">
        <v>1240</v>
      </c>
      <c r="C4972" s="1677"/>
      <c r="D4972" s="1681"/>
      <c r="E4972" s="1681" t="s">
        <v>1241</v>
      </c>
      <c r="F4972" s="1681"/>
      <c r="G4972" s="1681" t="s">
        <v>285</v>
      </c>
      <c r="H4972" s="1681"/>
      <c r="I4972" s="1681" t="s">
        <v>1241</v>
      </c>
      <c r="J4972" s="1681"/>
      <c r="K4972" s="1681" t="s">
        <v>285</v>
      </c>
      <c r="N4972" s="1728"/>
      <c r="P4972" s="1671"/>
      <c r="Q4972" s="1672"/>
      <c r="R4972" s="1672"/>
      <c r="S4972" s="1672"/>
      <c r="T4972" s="1672"/>
      <c r="U4972" s="1673"/>
      <c r="W4972" s="1675"/>
    </row>
    <row r="4973" spans="1:24" s="1674" customFormat="1" ht="15.6" hidden="1" customHeight="1" x14ac:dyDescent="0.25">
      <c r="B4973" s="2969"/>
      <c r="C4973" s="1677"/>
      <c r="D4973" s="1681"/>
      <c r="E4973" s="1681" t="s">
        <v>1242</v>
      </c>
      <c r="F4973" s="1681"/>
      <c r="G4973" s="1681" t="s">
        <v>261</v>
      </c>
      <c r="H4973" s="1681"/>
      <c r="I4973" s="1681" t="s">
        <v>1242</v>
      </c>
      <c r="J4973" s="1681"/>
      <c r="K4973" s="1681" t="s">
        <v>261</v>
      </c>
      <c r="N4973" s="1728"/>
      <c r="P4973" s="1671"/>
      <c r="Q4973" s="1672"/>
      <c r="R4973" s="1672"/>
      <c r="S4973" s="1672"/>
      <c r="T4973" s="1672"/>
      <c r="U4973" s="1673"/>
      <c r="W4973" s="1675"/>
    </row>
    <row r="4974" spans="1:24" s="1674" customFormat="1" ht="15.6" hidden="1" customHeight="1" x14ac:dyDescent="0.25">
      <c r="B4974" s="1714"/>
      <c r="C4974" s="1677"/>
      <c r="D4974" s="1679"/>
      <c r="E4974" s="1681" t="s">
        <v>255</v>
      </c>
      <c r="F4974" s="1679"/>
      <c r="G4974" s="1681" t="s">
        <v>255</v>
      </c>
      <c r="H4974" s="1679"/>
      <c r="I4974" s="1681" t="s">
        <v>255</v>
      </c>
      <c r="J4974" s="1679"/>
      <c r="K4974" s="1681" t="s">
        <v>255</v>
      </c>
      <c r="N4974" s="1728"/>
      <c r="P4974" s="1671"/>
      <c r="Q4974" s="1672"/>
      <c r="R4974" s="1672"/>
      <c r="S4974" s="1672"/>
      <c r="T4974" s="1672"/>
      <c r="U4974" s="1673"/>
      <c r="W4974" s="1675"/>
    </row>
    <row r="4975" spans="1:24" s="1674" customFormat="1" ht="15.6" hidden="1" customHeight="1" x14ac:dyDescent="0.25">
      <c r="A4975" s="1715"/>
      <c r="B4975" s="1677"/>
      <c r="C4975" s="1677"/>
      <c r="D4975" s="1678"/>
      <c r="E4975" s="1679"/>
      <c r="F4975" s="1679"/>
      <c r="G4975" s="1679"/>
      <c r="H4975" s="1679"/>
      <c r="I4975" s="1679"/>
      <c r="J4975" s="1679"/>
      <c r="K4975" s="1679"/>
      <c r="N4975" s="1728"/>
      <c r="P4975" s="1671"/>
      <c r="Q4975" s="1672"/>
      <c r="R4975" s="1672"/>
      <c r="S4975" s="1672"/>
      <c r="T4975" s="1672"/>
      <c r="U4975" s="1673"/>
      <c r="W4975" s="1675"/>
    </row>
    <row r="4976" spans="1:24" s="1674" customFormat="1" ht="15.6" hidden="1" customHeight="1" x14ac:dyDescent="0.25">
      <c r="A4976" s="1684"/>
      <c r="B4976" s="1684" t="s">
        <v>2173</v>
      </c>
      <c r="C4976" s="1677"/>
      <c r="D4976" s="1684"/>
      <c r="E4976" s="2043">
        <v>0</v>
      </c>
      <c r="F4976" s="1679"/>
      <c r="G4976" s="2043">
        <v>0</v>
      </c>
      <c r="H4976" s="1684"/>
      <c r="I4976" s="2043">
        <v>0</v>
      </c>
      <c r="J4976" s="1679"/>
      <c r="K4976" s="2043">
        <v>0</v>
      </c>
      <c r="L4976" s="1684"/>
      <c r="N4976" s="1728"/>
      <c r="P4976" s="1671"/>
      <c r="Q4976" s="1672"/>
      <c r="R4976" s="1672"/>
      <c r="S4976" s="1672"/>
      <c r="T4976" s="1672"/>
      <c r="U4976" s="1673"/>
      <c r="W4976" s="1675"/>
    </row>
    <row r="4977" spans="1:24" s="1674" customFormat="1" ht="15.6" hidden="1" customHeight="1" x14ac:dyDescent="0.25">
      <c r="A4977" s="1684"/>
      <c r="B4977" s="1684" t="s">
        <v>2632</v>
      </c>
      <c r="C4977" s="1677"/>
      <c r="D4977" s="1684"/>
      <c r="E4977" s="2043">
        <v>0</v>
      </c>
      <c r="F4977" s="1679"/>
      <c r="G4977" s="2043">
        <v>0</v>
      </c>
      <c r="H4977" s="1684"/>
      <c r="I4977" s="2043">
        <v>0</v>
      </c>
      <c r="J4977" s="1679"/>
      <c r="K4977" s="2043">
        <v>0</v>
      </c>
      <c r="L4977" s="1684"/>
      <c r="N4977" s="1728"/>
      <c r="P4977" s="1671"/>
      <c r="Q4977" s="1672"/>
      <c r="R4977" s="1672"/>
      <c r="S4977" s="1672"/>
      <c r="T4977" s="1672"/>
      <c r="U4977" s="1673"/>
      <c r="W4977" s="1675"/>
    </row>
    <row r="4978" spans="1:24" s="1674" customFormat="1" ht="15.6" hidden="1" customHeight="1" x14ac:dyDescent="0.25">
      <c r="A4978" s="1684"/>
      <c r="B4978" s="1684" t="s">
        <v>2631</v>
      </c>
      <c r="C4978" s="1677"/>
      <c r="D4978" s="1684"/>
      <c r="E4978" s="2043">
        <v>0</v>
      </c>
      <c r="F4978" s="1679"/>
      <c r="G4978" s="2043">
        <v>0</v>
      </c>
      <c r="H4978" s="1684"/>
      <c r="I4978" s="2043">
        <v>0</v>
      </c>
      <c r="J4978" s="1679"/>
      <c r="K4978" s="2043">
        <v>0</v>
      </c>
      <c r="L4978" s="1684"/>
      <c r="N4978" s="1728"/>
      <c r="P4978" s="1671"/>
      <c r="Q4978" s="1672"/>
      <c r="R4978" s="1672"/>
      <c r="S4978" s="1672"/>
      <c r="T4978" s="1672"/>
      <c r="U4978" s="1673"/>
      <c r="W4978" s="1675"/>
    </row>
    <row r="4979" spans="1:24" s="1674" customFormat="1" ht="15.6" hidden="1" customHeight="1" x14ac:dyDescent="0.25">
      <c r="A4979" s="1684"/>
      <c r="B4979" s="1684" t="s">
        <v>2175</v>
      </c>
      <c r="C4979" s="1677"/>
      <c r="D4979" s="1684"/>
      <c r="E4979" s="2043">
        <v>0</v>
      </c>
      <c r="F4979" s="1679"/>
      <c r="G4979" s="2043">
        <v>0</v>
      </c>
      <c r="H4979" s="1684"/>
      <c r="I4979" s="2043">
        <v>0</v>
      </c>
      <c r="J4979" s="1679"/>
      <c r="K4979" s="2043">
        <v>0</v>
      </c>
      <c r="L4979" s="1684"/>
      <c r="N4979" s="1728"/>
      <c r="P4979" s="1671"/>
      <c r="Q4979" s="1672"/>
      <c r="R4979" s="1672"/>
      <c r="S4979" s="1672"/>
      <c r="T4979" s="1672"/>
      <c r="U4979" s="1673"/>
      <c r="W4979" s="1675"/>
    </row>
    <row r="4980" spans="1:24" s="1674" customFormat="1" ht="15.6" hidden="1" customHeight="1" x14ac:dyDescent="0.25">
      <c r="A4980" s="1684"/>
      <c r="B4980" s="1684" t="s">
        <v>2174</v>
      </c>
      <c r="C4980" s="1677"/>
      <c r="D4980" s="1684"/>
      <c r="E4980" s="2043">
        <v>0</v>
      </c>
      <c r="F4980" s="1679"/>
      <c r="G4980" s="2043">
        <v>0</v>
      </c>
      <c r="H4980" s="1684"/>
      <c r="I4980" s="2043">
        <v>0</v>
      </c>
      <c r="J4980" s="1679"/>
      <c r="K4980" s="2043">
        <v>0</v>
      </c>
      <c r="L4980" s="1684"/>
      <c r="N4980" s="1728"/>
      <c r="P4980" s="1671"/>
      <c r="Q4980" s="1672"/>
      <c r="R4980" s="1672"/>
      <c r="S4980" s="1672"/>
      <c r="T4980" s="1672"/>
      <c r="U4980" s="1673"/>
      <c r="W4980" s="1675"/>
    </row>
    <row r="4981" spans="1:24" s="1674" customFormat="1" ht="15.6" hidden="1" customHeight="1" x14ac:dyDescent="0.25">
      <c r="A4981" s="1715"/>
      <c r="B4981" s="1677"/>
      <c r="C4981" s="1677"/>
      <c r="D4981" s="1678"/>
      <c r="E4981" s="1679"/>
      <c r="F4981" s="1679"/>
      <c r="G4981" s="1679"/>
      <c r="H4981" s="1679"/>
      <c r="I4981" s="1679"/>
      <c r="J4981" s="1679"/>
      <c r="K4981" s="1679"/>
      <c r="N4981" s="1728"/>
      <c r="P4981" s="1671"/>
      <c r="Q4981" s="1672"/>
      <c r="R4981" s="1672"/>
      <c r="S4981" s="1672"/>
      <c r="T4981" s="1672"/>
      <c r="U4981" s="1673"/>
      <c r="W4981" s="1675"/>
      <c r="X4981" s="1690"/>
    </row>
    <row r="4982" spans="1:24" s="1674" customFormat="1" ht="15.6" customHeight="1" x14ac:dyDescent="0.25">
      <c r="A4982" s="1677"/>
      <c r="G4982" s="1678"/>
      <c r="H4982" s="1681"/>
      <c r="I4982" s="1720">
        <f>Parameters!C17</f>
        <v>2012</v>
      </c>
      <c r="J4982" s="1681"/>
      <c r="K4982" s="1720">
        <f>Parameters!C19</f>
        <v>2011</v>
      </c>
      <c r="M4982" s="1680" t="s">
        <v>803</v>
      </c>
      <c r="N4982" s="1720">
        <f>Parameters!C21</f>
        <v>2010</v>
      </c>
      <c r="O4982" s="1807"/>
      <c r="P4982" s="1671"/>
      <c r="Q4982" s="1672"/>
      <c r="R4982" s="1672"/>
      <c r="S4982" s="1672"/>
      <c r="T4982" s="1672"/>
      <c r="U4982" s="1673"/>
      <c r="W4982" s="1675"/>
      <c r="X4982" s="1690"/>
    </row>
    <row r="4983" spans="1:24" s="1674" customFormat="1" ht="15.6" customHeight="1" x14ac:dyDescent="0.25">
      <c r="D4983" s="1678"/>
      <c r="F4983" s="1678"/>
      <c r="G4983" s="1678"/>
      <c r="H4983" s="1678"/>
      <c r="I4983" s="1681" t="s">
        <v>255</v>
      </c>
      <c r="J4983" s="1682"/>
      <c r="K4983" s="1681" t="s">
        <v>255</v>
      </c>
      <c r="L4983" s="1683"/>
      <c r="M4983" s="1690"/>
      <c r="N4983" s="1669"/>
      <c r="O4983" s="1690"/>
      <c r="P4983" s="1671"/>
      <c r="Q4983" s="1672"/>
      <c r="R4983" s="1672"/>
      <c r="S4983" s="1672"/>
      <c r="T4983" s="1672"/>
      <c r="U4983" s="1673"/>
      <c r="W4983" s="1675"/>
      <c r="X4983" s="1690"/>
    </row>
    <row r="4984" spans="1:24" s="1674" customFormat="1" ht="15.6" customHeight="1" x14ac:dyDescent="0.25">
      <c r="D4984" s="1678"/>
      <c r="F4984" s="1678"/>
      <c r="G4984" s="1678"/>
      <c r="H4984" s="1678"/>
      <c r="I4984" s="1679"/>
      <c r="J4984" s="1678"/>
      <c r="K4984" s="1679"/>
      <c r="M4984" s="1690"/>
      <c r="N4984" s="1669"/>
      <c r="O4984" s="1690"/>
      <c r="P4984" s="1671"/>
      <c r="Q4984" s="1672"/>
      <c r="R4984" s="1672"/>
      <c r="S4984" s="1672"/>
      <c r="T4984" s="1672"/>
      <c r="U4984" s="1673"/>
      <c r="W4984" s="1675"/>
    </row>
    <row r="4985" spans="1:24" s="1674" customFormat="1" ht="46.5" customHeight="1" x14ac:dyDescent="0.25">
      <c r="B4985" s="2949" t="s">
        <v>1243</v>
      </c>
      <c r="C4985" s="2949"/>
      <c r="D4985" s="2949"/>
      <c r="E4985" s="2949"/>
      <c r="F4985" s="2949"/>
      <c r="G4985" s="2949"/>
      <c r="H4985" s="1678"/>
      <c r="I4985" s="1679"/>
      <c r="J4985" s="1678"/>
      <c r="K4985" s="1679"/>
      <c r="M4985" s="1727" t="s">
        <v>1244</v>
      </c>
      <c r="N4985" s="1728"/>
      <c r="P4985" s="1671"/>
      <c r="Q4985" s="1672"/>
      <c r="R4985" s="1672"/>
      <c r="S4985" s="1672"/>
      <c r="T4985" s="1672"/>
      <c r="U4985" s="1673"/>
      <c r="W4985" s="1675"/>
    </row>
    <row r="4986" spans="1:24" s="1674" customFormat="1" ht="30.95" customHeight="1" x14ac:dyDescent="0.25">
      <c r="A4986" s="1684"/>
      <c r="B4986" s="2949" t="s">
        <v>490</v>
      </c>
      <c r="C4986" s="2949"/>
      <c r="D4986" s="2949"/>
      <c r="E4986" s="2949"/>
      <c r="F4986" s="2949"/>
      <c r="G4986" s="2949"/>
      <c r="H4986" s="1684"/>
      <c r="I4986" s="58"/>
      <c r="J4986" s="1679"/>
      <c r="K4986" s="58"/>
      <c r="L4986" s="1684"/>
      <c r="M4986" s="1808" t="s">
        <v>4088</v>
      </c>
      <c r="N4986" s="1669"/>
      <c r="O4986" s="1690"/>
      <c r="P4986" s="1671"/>
      <c r="Q4986" s="1672"/>
      <c r="R4986" s="1672"/>
      <c r="S4986" s="1672"/>
      <c r="T4986" s="1672"/>
      <c r="U4986" s="1673"/>
      <c r="W4986" s="1675"/>
    </row>
    <row r="4987" spans="1:24" s="1674" customFormat="1" ht="30.95" hidden="1" customHeight="1" x14ac:dyDescent="0.25">
      <c r="A4987" s="1684"/>
      <c r="B4987" s="2963" t="s">
        <v>4089</v>
      </c>
      <c r="C4987" s="2963"/>
      <c r="D4987" s="2963"/>
      <c r="E4987" s="2963"/>
      <c r="F4987" s="2963"/>
      <c r="G4987" s="2963"/>
      <c r="H4987" s="2963"/>
      <c r="I4987" s="2963"/>
      <c r="J4987" s="2963"/>
      <c r="K4987" s="2963"/>
      <c r="L4987" s="1684"/>
      <c r="M4987" s="1727"/>
      <c r="N4987" s="1728"/>
      <c r="P4987" s="1671"/>
      <c r="Q4987" s="1672"/>
      <c r="R4987" s="1672"/>
      <c r="S4987" s="1672"/>
      <c r="T4987" s="1672"/>
      <c r="U4987" s="1673"/>
      <c r="W4987" s="1675"/>
    </row>
    <row r="4988" spans="1:24" s="1674" customFormat="1" ht="15.6" customHeight="1" x14ac:dyDescent="0.25">
      <c r="A4988" s="1684"/>
      <c r="B4988" s="1684" t="s">
        <v>7293</v>
      </c>
      <c r="C4988" s="1684"/>
      <c r="D4988" s="1684"/>
      <c r="E4988" s="1684"/>
      <c r="F4988" s="1684"/>
      <c r="G4988" s="1684"/>
      <c r="H4988" s="1684"/>
      <c r="I4988" s="58">
        <f>'Notes II'!I761</f>
        <v>112659.79999999999</v>
      </c>
      <c r="J4988" s="1679"/>
      <c r="K4988" s="58">
        <f>'Notes II'!K761</f>
        <v>95825.5</v>
      </c>
      <c r="L4988" s="1684"/>
      <c r="M4988" s="1669"/>
      <c r="N4988" s="1669"/>
      <c r="O4988" s="1690"/>
      <c r="P4988" s="1671"/>
      <c r="Q4988" s="1672"/>
      <c r="R4988" s="1672"/>
      <c r="S4988" s="1672"/>
      <c r="T4988" s="1672"/>
      <c r="U4988" s="1673"/>
      <c r="W4988" s="1675"/>
    </row>
    <row r="4989" spans="1:24" s="1674" customFormat="1" ht="15.6" hidden="1" customHeight="1" x14ac:dyDescent="0.25">
      <c r="A4989" s="1684"/>
      <c r="B4989" s="1684" t="s">
        <v>491</v>
      </c>
      <c r="C4989" s="1684"/>
      <c r="D4989" s="1684"/>
      <c r="E4989" s="1684"/>
      <c r="F4989" s="1684"/>
      <c r="G4989" s="1684"/>
      <c r="H4989" s="1684"/>
      <c r="I4989" s="58">
        <f>'Notes II'!G973</f>
        <v>0</v>
      </c>
      <c r="J4989" s="1679"/>
      <c r="K4989" s="58">
        <f>'Notes II'!G997</f>
        <v>0</v>
      </c>
      <c r="L4989" s="1684"/>
      <c r="M4989" s="1669"/>
      <c r="N4989" s="1669"/>
      <c r="O4989" s="1690"/>
      <c r="P4989" s="1671"/>
      <c r="Q4989" s="1672"/>
      <c r="R4989" s="1672"/>
      <c r="S4989" s="1672"/>
      <c r="T4989" s="1672"/>
      <c r="U4989" s="1673"/>
      <c r="W4989" s="1675"/>
    </row>
    <row r="4990" spans="1:24" s="1674" customFormat="1" ht="15.6" customHeight="1" x14ac:dyDescent="0.25">
      <c r="A4990" s="1684"/>
      <c r="B4990" s="1684" t="s">
        <v>492</v>
      </c>
      <c r="C4990" s="1684"/>
      <c r="D4990" s="1684"/>
      <c r="E4990" s="1684"/>
      <c r="F4990" s="1684"/>
      <c r="G4990" s="1684"/>
      <c r="H4990" s="1684"/>
      <c r="I4990" s="58">
        <f>'Notes I'!G110</f>
        <v>67541582.450000003</v>
      </c>
      <c r="J4990" s="1679"/>
      <c r="K4990" s="58">
        <f>'Notes I'!G127</f>
        <v>48189971.149999999</v>
      </c>
      <c r="L4990" s="1684"/>
      <c r="M4990" s="1669"/>
      <c r="N4990" s="1669"/>
      <c r="O4990" s="1690"/>
      <c r="P4990" s="1671"/>
      <c r="Q4990" s="1672"/>
      <c r="R4990" s="1672"/>
      <c r="S4990" s="1672"/>
      <c r="T4990" s="1672"/>
      <c r="U4990" s="1673"/>
      <c r="W4990" s="1675"/>
    </row>
    <row r="4991" spans="1:24" s="1674" customFormat="1" ht="15.6" customHeight="1" x14ac:dyDescent="0.25">
      <c r="A4991" s="1684"/>
      <c r="B4991" s="1684" t="s">
        <v>493</v>
      </c>
      <c r="C4991" s="1684"/>
      <c r="D4991" s="1684"/>
      <c r="E4991" s="1684"/>
      <c r="F4991" s="1684"/>
      <c r="G4991" s="1684"/>
      <c r="H4991" s="1684"/>
      <c r="I4991" s="58">
        <f>'Notes I'!G444</f>
        <v>6597467.4299999997</v>
      </c>
      <c r="J4991" s="1679"/>
      <c r="K4991" s="58">
        <f>'Notes I'!G465</f>
        <v>4126580.5</v>
      </c>
      <c r="L4991" s="1684"/>
      <c r="M4991" s="1669"/>
      <c r="N4991" s="1669"/>
      <c r="O4991" s="1690"/>
      <c r="P4991" s="1671"/>
      <c r="Q4991" s="1672"/>
      <c r="R4991" s="1672"/>
      <c r="S4991" s="1672"/>
      <c r="T4991" s="1672"/>
      <c r="U4991" s="1673"/>
      <c r="W4991" s="1675"/>
    </row>
    <row r="4992" spans="1:24" s="1674" customFormat="1" ht="15.6" customHeight="1" x14ac:dyDescent="0.25">
      <c r="A4992" s="1684"/>
      <c r="B4992" s="1684" t="s">
        <v>1564</v>
      </c>
      <c r="C4992" s="1684"/>
      <c r="D4992" s="1684"/>
      <c r="E4992" s="1684"/>
      <c r="F4992" s="1684"/>
      <c r="G4992" s="1684"/>
      <c r="H4992" s="1684"/>
      <c r="I4992" s="58">
        <f>'Notes I'!I898</f>
        <v>-3626761.5700000031</v>
      </c>
      <c r="J4992" s="1679"/>
      <c r="K4992" s="58">
        <f>'Notes I'!K898</f>
        <v>-1552792.0299999998</v>
      </c>
      <c r="L4992" s="1684"/>
      <c r="M4992" s="1669"/>
      <c r="N4992" s="1669"/>
      <c r="O4992" s="1690"/>
      <c r="P4992" s="1671"/>
      <c r="Q4992" s="1672"/>
      <c r="R4992" s="1672"/>
      <c r="S4992" s="1672"/>
      <c r="T4992" s="1672"/>
      <c r="U4992" s="1673"/>
      <c r="W4992" s="1675"/>
    </row>
    <row r="4993" spans="1:29" s="1674" customFormat="1" ht="15.6" customHeight="1" x14ac:dyDescent="0.25">
      <c r="D4993" s="1678"/>
      <c r="F4993" s="1678"/>
      <c r="G4993" s="1678"/>
      <c r="H4993" s="1678"/>
      <c r="I4993" s="58"/>
      <c r="J4993" s="58"/>
      <c r="K4993" s="58"/>
      <c r="M4993" s="1669"/>
      <c r="N4993" s="1669"/>
      <c r="O4993" s="1690"/>
      <c r="P4993" s="1671"/>
      <c r="Q4993" s="1672"/>
      <c r="R4993" s="1672"/>
      <c r="S4993" s="1672"/>
      <c r="T4993" s="1672"/>
      <c r="U4993" s="1673"/>
      <c r="W4993" s="1675"/>
    </row>
    <row r="4994" spans="1:29" s="1674" customFormat="1" ht="15.6" customHeight="1" thickBot="1" x14ac:dyDescent="0.3">
      <c r="B4994" s="1677" t="s">
        <v>494</v>
      </c>
      <c r="C4994" s="1677"/>
      <c r="D4994" s="1678"/>
      <c r="F4994" s="1678"/>
      <c r="G4994" s="1678"/>
      <c r="H4994" s="1678"/>
      <c r="I4994" s="1809">
        <f>SUM(I4986:I4993)</f>
        <v>70624948.109999999</v>
      </c>
      <c r="J4994" s="1679"/>
      <c r="K4994" s="1809">
        <f>SUM(K4986:K4993)</f>
        <v>50859585.119999997</v>
      </c>
      <c r="M4994" s="1669"/>
      <c r="N4994" s="1669"/>
      <c r="O4994" s="1690"/>
      <c r="P4994" s="1671"/>
      <c r="Q4994" s="1672"/>
      <c r="R4994" s="1672"/>
      <c r="S4994" s="1672"/>
      <c r="T4994" s="1672"/>
      <c r="U4994" s="1673"/>
      <c r="W4994" s="1675"/>
    </row>
    <row r="4995" spans="1:29" s="1674" customFormat="1" ht="15.6" customHeight="1" thickTop="1" x14ac:dyDescent="0.25">
      <c r="D4995" s="1678"/>
      <c r="F4995" s="1678"/>
      <c r="G4995" s="1678"/>
      <c r="H4995" s="1678"/>
      <c r="I4995" s="58"/>
      <c r="J4995" s="1682"/>
      <c r="K4995" s="58"/>
      <c r="M4995" s="1669"/>
      <c r="N4995" s="1669"/>
      <c r="O4995" s="1690"/>
      <c r="P4995" s="1671"/>
      <c r="Q4995" s="1672"/>
      <c r="R4995" s="1672"/>
      <c r="S4995" s="1672"/>
      <c r="T4995" s="1672"/>
      <c r="U4995" s="1673"/>
      <c r="W4995" s="1675"/>
    </row>
    <row r="4996" spans="1:29" s="1674" customFormat="1" ht="30.95" customHeight="1" x14ac:dyDescent="0.25">
      <c r="A4996" s="1684"/>
      <c r="B4996" s="2949" t="s">
        <v>2428</v>
      </c>
      <c r="C4996" s="2949"/>
      <c r="D4996" s="2949"/>
      <c r="E4996" s="2949"/>
      <c r="F4996" s="2949"/>
      <c r="G4996" s="2949"/>
      <c r="H4996" s="1684"/>
      <c r="I4996" s="58"/>
      <c r="J4996" s="1679"/>
      <c r="K4996" s="58"/>
      <c r="L4996" s="1684"/>
      <c r="M4996" s="1808" t="s">
        <v>4090</v>
      </c>
      <c r="N4996" s="1669"/>
      <c r="O4996" s="1690"/>
      <c r="P4996" s="1671"/>
      <c r="Q4996" s="1672"/>
      <c r="R4996" s="1672"/>
      <c r="S4996" s="1672"/>
      <c r="T4996" s="1672"/>
      <c r="U4996" s="1673"/>
      <c r="W4996" s="1675"/>
    </row>
    <row r="4997" spans="1:29" s="1674" customFormat="1" ht="15.6" customHeight="1" x14ac:dyDescent="0.25">
      <c r="D4997" s="1678"/>
      <c r="F4997" s="1678"/>
      <c r="G4997" s="1678"/>
      <c r="H4997" s="1678"/>
      <c r="I4997" s="1810" t="s">
        <v>218</v>
      </c>
      <c r="J4997" s="1682"/>
      <c r="K4997" s="1810" t="s">
        <v>218</v>
      </c>
      <c r="L4997" s="1683"/>
      <c r="M4997" s="1690"/>
      <c r="N4997" s="1669"/>
      <c r="O4997" s="1690"/>
      <c r="P4997" s="1695"/>
      <c r="Q4997" s="1672"/>
      <c r="R4997" s="1672"/>
      <c r="S4997" s="1672"/>
      <c r="T4997" s="1672"/>
      <c r="U4997" s="1673"/>
      <c r="W4997" s="1675"/>
    </row>
    <row r="4998" spans="1:29" s="1672" customFormat="1" ht="15.6" customHeight="1" x14ac:dyDescent="0.25">
      <c r="A4998" s="1674"/>
      <c r="B4998" s="1674"/>
      <c r="C4998" s="1674"/>
      <c r="D4998" s="1678"/>
      <c r="E4998" s="1674"/>
      <c r="F4998" s="1678"/>
      <c r="G4998" s="1678"/>
      <c r="H4998" s="1678"/>
      <c r="I4998" s="1679"/>
      <c r="J4998" s="1678"/>
      <c r="K4998" s="1679"/>
      <c r="L4998" s="1683"/>
      <c r="M4998" s="1690"/>
      <c r="N4998" s="1669"/>
      <c r="O4998" s="1690"/>
      <c r="P4998" s="1695"/>
      <c r="U4998" s="1673"/>
      <c r="V4998" s="1674"/>
      <c r="W4998" s="1675"/>
      <c r="X4998" s="1674"/>
      <c r="Y4998" s="1674"/>
      <c r="Z4998" s="1674"/>
      <c r="AA4998" s="1674"/>
      <c r="AB4998" s="1674"/>
      <c r="AC4998" s="1674"/>
    </row>
    <row r="4999" spans="1:29" s="1672" customFormat="1" ht="15.6" hidden="1" customHeight="1" x14ac:dyDescent="0.25">
      <c r="A4999" s="1674"/>
      <c r="B4999" s="2963" t="s">
        <v>4091</v>
      </c>
      <c r="C4999" s="2963"/>
      <c r="D4999" s="2963"/>
      <c r="E4999" s="2963"/>
      <c r="F4999" s="2963"/>
      <c r="G4999" s="2963"/>
      <c r="H4999" s="2963"/>
      <c r="I4999" s="2963"/>
      <c r="J4999" s="2963"/>
      <c r="K4999" s="2963"/>
      <c r="L4999" s="1683"/>
      <c r="M4999" s="1727"/>
      <c r="N4999" s="1728"/>
      <c r="O4999" s="1674"/>
      <c r="P4999" s="1671"/>
      <c r="U4999" s="1673"/>
      <c r="V4999" s="1674"/>
      <c r="W4999" s="1675"/>
      <c r="X4999" s="1674"/>
      <c r="Y4999" s="1674"/>
      <c r="Z4999" s="1674"/>
      <c r="AA4999" s="1674"/>
      <c r="AB4999" s="1674"/>
      <c r="AC4999" s="1674"/>
    </row>
    <row r="5000" spans="1:29" s="1672" customFormat="1" ht="15.6" customHeight="1" x14ac:dyDescent="0.25">
      <c r="A5000" s="1674"/>
      <c r="B5000" s="1674" t="s">
        <v>2433</v>
      </c>
      <c r="C5000" s="1674"/>
      <c r="D5000" s="1678"/>
      <c r="E5000" s="1674"/>
      <c r="F5000" s="1678"/>
      <c r="G5000" s="1678"/>
      <c r="H5000" s="1678"/>
      <c r="I5000" s="1679"/>
      <c r="J5000" s="1678"/>
      <c r="K5000" s="1679"/>
      <c r="L5000" s="1683"/>
      <c r="M5000" s="1669"/>
      <c r="N5000" s="1669"/>
      <c r="O5000" s="1690"/>
      <c r="P5000" s="1695"/>
      <c r="U5000" s="1673"/>
      <c r="V5000" s="1674"/>
      <c r="W5000" s="1675"/>
      <c r="X5000" s="1674"/>
      <c r="Y5000" s="1674"/>
      <c r="Z5000" s="1674"/>
      <c r="AA5000" s="1674"/>
      <c r="AB5000" s="1674"/>
      <c r="AC5000" s="1674"/>
    </row>
    <row r="5001" spans="1:29" s="1672" customFormat="1" ht="15.6" customHeight="1" x14ac:dyDescent="0.25">
      <c r="A5001" s="1674"/>
      <c r="B5001" s="1811" t="s">
        <v>2429</v>
      </c>
      <c r="C5001" s="1684"/>
      <c r="D5001" s="1684"/>
      <c r="E5001" s="1684"/>
      <c r="F5001" s="1684"/>
      <c r="G5001" s="1684"/>
      <c r="H5001" s="1684"/>
      <c r="I5001" s="205">
        <f>('Notes I'!$E$349+'Notes I'!$K$808)/('Notes I'!$G$110+'Notes I'!$G$444)</f>
        <v>0.93564073942513282</v>
      </c>
      <c r="J5001" s="1812"/>
      <c r="K5001" s="205">
        <f>('Notes I'!$E$365+'Notes I'!$K$824)/('Notes I'!$G$127+'Notes I'!$G$465)</f>
        <v>0.94460174823085841</v>
      </c>
      <c r="L5001" s="1683"/>
      <c r="M5001" s="1669"/>
      <c r="N5001" s="1669"/>
      <c r="O5001" s="1690"/>
      <c r="P5001" s="1671"/>
      <c r="U5001" s="1673"/>
      <c r="V5001" s="1674"/>
      <c r="W5001" s="1675"/>
      <c r="X5001" s="1674"/>
      <c r="Y5001" s="1674"/>
      <c r="Z5001" s="1674"/>
      <c r="AA5001" s="1674"/>
      <c r="AB5001" s="1674"/>
      <c r="AC5001" s="1674"/>
    </row>
    <row r="5002" spans="1:29" s="1672" customFormat="1" ht="15.6" customHeight="1" x14ac:dyDescent="0.25">
      <c r="A5002" s="1674"/>
      <c r="B5002" s="1811" t="s">
        <v>2430</v>
      </c>
      <c r="C5002" s="1684"/>
      <c r="D5002" s="1684"/>
      <c r="E5002" s="1684"/>
      <c r="F5002" s="1684"/>
      <c r="G5002" s="1684"/>
      <c r="H5002" s="1684"/>
      <c r="I5002" s="205">
        <f>('Notes I'!$G$349+'Notes I'!$G$808)/('Notes I'!$G$110+'Notes I'!$G$444)</f>
        <v>4.0424621098475833E-2</v>
      </c>
      <c r="J5002" s="1812"/>
      <c r="K5002" s="205">
        <f>('Notes I'!$G$365+'Notes I'!$G$824)/('Notes I'!$G$127+'Notes I'!$G$465)</f>
        <v>4.3471901879450423E-2</v>
      </c>
      <c r="L5002" s="1683"/>
      <c r="M5002" s="1669"/>
      <c r="N5002" s="1669"/>
      <c r="O5002" s="1690"/>
      <c r="P5002" s="1695"/>
      <c r="U5002" s="1673"/>
      <c r="V5002" s="1674"/>
      <c r="W5002" s="1675"/>
      <c r="X5002" s="1674"/>
      <c r="Y5002" s="1674"/>
      <c r="Z5002" s="1674"/>
      <c r="AA5002" s="1674"/>
      <c r="AB5002" s="1674"/>
      <c r="AC5002" s="1674"/>
    </row>
    <row r="5003" spans="1:29" s="1672" customFormat="1" ht="15.6" customHeight="1" x14ac:dyDescent="0.25">
      <c r="A5003" s="1674"/>
      <c r="B5003" s="1811" t="s">
        <v>2431</v>
      </c>
      <c r="C5003" s="1684"/>
      <c r="D5003" s="1684"/>
      <c r="E5003" s="1684"/>
      <c r="F5003" s="1684"/>
      <c r="G5003" s="1684"/>
      <c r="H5003" s="1684"/>
      <c r="I5003" s="205">
        <f>('Notes I'!$I$349+'Notes I'!$I$808)/('Notes I'!$G$110+'Notes I'!$G$444)+0.02%</f>
        <v>2.3894800551711629E-2</v>
      </c>
      <c r="J5003" s="1812"/>
      <c r="K5003" s="205">
        <f>('Notes I'!$I$365+'Notes I'!$I$824)/('Notes I'!$G$127+'Notes I'!$G$465)</f>
        <v>1.1926359446896E-2</v>
      </c>
      <c r="L5003" s="1683"/>
      <c r="M5003" s="1669"/>
      <c r="N5003" s="1669"/>
      <c r="O5003" s="1690"/>
      <c r="P5003" s="1695"/>
      <c r="U5003" s="1673"/>
      <c r="V5003" s="1674"/>
      <c r="W5003" s="1675"/>
      <c r="X5003" s="1674"/>
      <c r="Y5003" s="1674"/>
      <c r="Z5003" s="1674"/>
      <c r="AA5003" s="1674"/>
      <c r="AB5003" s="1674"/>
      <c r="AC5003" s="1674"/>
    </row>
    <row r="5004" spans="1:29" s="1672" customFormat="1" ht="15.6" hidden="1" customHeight="1" x14ac:dyDescent="0.25">
      <c r="A5004" s="1674"/>
      <c r="B5004" s="1811" t="s">
        <v>2432</v>
      </c>
      <c r="C5004" s="1684"/>
      <c r="D5004" s="1684"/>
      <c r="E5004" s="1684"/>
      <c r="F5004" s="1684"/>
      <c r="G5004" s="1684"/>
      <c r="H5004" s="1684"/>
      <c r="I5004" s="205">
        <f>('Notes I'!$K$349)/('Notes I'!$G$110+'Notes I'!$G$444)</f>
        <v>2.3981963659877429E-4</v>
      </c>
      <c r="J5004" s="1812"/>
      <c r="K5004" s="205">
        <f>('Notes I'!$K$365)/('Notes I'!$G$127+'Notes I'!$G$465)</f>
        <v>0</v>
      </c>
      <c r="L5004" s="1683"/>
      <c r="M5004" s="1669"/>
      <c r="N5004" s="1669"/>
      <c r="O5004" s="1690"/>
      <c r="P5004" s="1671"/>
      <c r="U5004" s="1673"/>
      <c r="V5004" s="1674"/>
      <c r="W5004" s="1675"/>
      <c r="X5004" s="1674"/>
      <c r="Y5004" s="1674"/>
      <c r="Z5004" s="1674"/>
      <c r="AA5004" s="1674"/>
      <c r="AB5004" s="1674"/>
      <c r="AC5004" s="1674"/>
    </row>
    <row r="5005" spans="1:29" s="1672" customFormat="1" ht="15.6" hidden="1" customHeight="1" x14ac:dyDescent="0.25">
      <c r="A5005" s="1674"/>
      <c r="B5005" s="1674" t="s">
        <v>2249</v>
      </c>
      <c r="C5005" s="1674"/>
      <c r="D5005" s="1678"/>
      <c r="E5005" s="1674"/>
      <c r="F5005" s="1678"/>
      <c r="G5005" s="1678"/>
      <c r="H5005" s="1678"/>
      <c r="I5005" s="1813"/>
      <c r="J5005" s="1678"/>
      <c r="K5005" s="1813"/>
      <c r="L5005" s="1683"/>
      <c r="M5005" s="1690"/>
      <c r="N5005" s="1669"/>
      <c r="O5005" s="1690"/>
      <c r="P5005" s="1671"/>
      <c r="U5005" s="1673"/>
      <c r="V5005" s="1674"/>
      <c r="W5005" s="1675"/>
      <c r="X5005" s="1674"/>
      <c r="Y5005" s="1674"/>
      <c r="Z5005" s="1674"/>
      <c r="AA5005" s="1674"/>
      <c r="AB5005" s="1674"/>
      <c r="AC5005" s="1674"/>
    </row>
    <row r="5006" spans="1:29" s="1672" customFormat="1" ht="15.6" hidden="1" customHeight="1" x14ac:dyDescent="0.25">
      <c r="A5006" s="1684"/>
      <c r="B5006" s="1811" t="s">
        <v>2434</v>
      </c>
      <c r="C5006" s="1684"/>
      <c r="D5006" s="1684"/>
      <c r="E5006" s="1684"/>
      <c r="F5006" s="1684"/>
      <c r="G5006" s="1684"/>
      <c r="H5006" s="1684"/>
      <c r="I5006" s="2161">
        <f>SUM('Notes I'!G431:G439)/('Notes I'!$G$110+'Notes I'!$G$444)</f>
        <v>0</v>
      </c>
      <c r="J5006" s="1812"/>
      <c r="K5006" s="2161">
        <f>SUM('Notes I'!G452:G463)/('Notes I'!$G$127+'Notes I'!$G$465)</f>
        <v>0</v>
      </c>
      <c r="L5006" s="1684"/>
      <c r="M5006" s="1669"/>
      <c r="N5006" s="1669"/>
      <c r="O5006" s="1690"/>
      <c r="P5006" s="1671"/>
      <c r="U5006" s="1673"/>
      <c r="V5006" s="1674"/>
      <c r="W5006" s="1675"/>
      <c r="X5006" s="1674"/>
      <c r="Y5006" s="1674"/>
      <c r="Z5006" s="1674"/>
      <c r="AA5006" s="1674"/>
      <c r="AB5006" s="1674"/>
      <c r="AC5006" s="1674"/>
    </row>
    <row r="5007" spans="1:29" s="1672" customFormat="1" ht="15.6" customHeight="1" x14ac:dyDescent="0.25">
      <c r="A5007" s="1674"/>
      <c r="B5007" s="1674"/>
      <c r="C5007" s="1674"/>
      <c r="D5007" s="1678"/>
      <c r="E5007" s="1674"/>
      <c r="F5007" s="1678"/>
      <c r="G5007" s="1678"/>
      <c r="H5007" s="1678"/>
      <c r="I5007" s="205"/>
      <c r="J5007" s="984"/>
      <c r="K5007" s="205"/>
      <c r="L5007" s="1674"/>
      <c r="M5007" s="1669"/>
      <c r="N5007" s="1669"/>
      <c r="O5007" s="1690"/>
      <c r="P5007" s="1671"/>
      <c r="U5007" s="1673"/>
      <c r="V5007" s="1674"/>
      <c r="W5007" s="1675"/>
      <c r="X5007" s="1674"/>
      <c r="Y5007" s="1674"/>
      <c r="Z5007" s="1674"/>
      <c r="AA5007" s="1674"/>
      <c r="AB5007" s="1674"/>
      <c r="AC5007" s="1674"/>
    </row>
    <row r="5008" spans="1:29" s="1672" customFormat="1" ht="15.6" customHeight="1" thickBot="1" x14ac:dyDescent="0.3">
      <c r="A5008" s="1674"/>
      <c r="B5008" s="1677" t="s">
        <v>2435</v>
      </c>
      <c r="C5008" s="1677"/>
      <c r="D5008" s="1678"/>
      <c r="E5008" s="1674"/>
      <c r="F5008" s="1678"/>
      <c r="G5008" s="1678"/>
      <c r="H5008" s="1678"/>
      <c r="I5008" s="1814">
        <f>SUM(I4997:I5007)</f>
        <v>1.0001999807119191</v>
      </c>
      <c r="J5008" s="1812"/>
      <c r="K5008" s="1814">
        <f>SUM(K4997:K5007)</f>
        <v>1.0000000095572048</v>
      </c>
      <c r="L5008" s="1674"/>
      <c r="M5008" s="1669"/>
      <c r="N5008" s="1669"/>
      <c r="O5008" s="1690"/>
      <c r="P5008" s="1671"/>
      <c r="U5008" s="1673"/>
      <c r="V5008" s="1674"/>
      <c r="W5008" s="1675"/>
      <c r="X5008" s="1674"/>
      <c r="Y5008" s="1674"/>
      <c r="Z5008" s="1674"/>
      <c r="AA5008" s="1674"/>
      <c r="AB5008" s="1674"/>
      <c r="AC5008" s="1674"/>
    </row>
    <row r="5009" spans="1:29" s="1672" customFormat="1" ht="15.6" customHeight="1" thickTop="1" x14ac:dyDescent="0.25">
      <c r="A5009" s="1674"/>
      <c r="B5009" s="1674"/>
      <c r="C5009" s="1674"/>
      <c r="D5009" s="1678"/>
      <c r="E5009" s="1674"/>
      <c r="F5009" s="1678"/>
      <c r="G5009" s="1678"/>
      <c r="H5009" s="1678"/>
      <c r="I5009" s="58"/>
      <c r="J5009" s="1682"/>
      <c r="K5009" s="58"/>
      <c r="L5009" s="1674"/>
      <c r="M5009" s="1669"/>
      <c r="N5009" s="1669"/>
      <c r="O5009" s="1690"/>
      <c r="P5009" s="1671"/>
      <c r="U5009" s="1673"/>
      <c r="V5009" s="1674"/>
      <c r="W5009" s="1675"/>
      <c r="X5009" s="1674"/>
      <c r="Y5009" s="1674"/>
      <c r="Z5009" s="1674"/>
      <c r="AA5009" s="1674"/>
      <c r="AB5009" s="1674"/>
      <c r="AC5009" s="1674"/>
    </row>
    <row r="5010" spans="1:29" s="1672" customFormat="1" ht="15.6" customHeight="1" x14ac:dyDescent="0.25">
      <c r="A5010" s="1674"/>
      <c r="B5010" s="1677" t="s">
        <v>1686</v>
      </c>
      <c r="C5010" s="1674"/>
      <c r="D5010" s="1678"/>
      <c r="E5010" s="1674"/>
      <c r="F5010" s="1678"/>
      <c r="G5010" s="1678"/>
      <c r="H5010" s="1678"/>
      <c r="I5010" s="58"/>
      <c r="J5010" s="1682"/>
      <c r="K5010" s="58"/>
      <c r="L5010" s="1674"/>
      <c r="M5010" s="1669"/>
      <c r="N5010" s="1669"/>
      <c r="O5010" s="1690"/>
      <c r="P5010" s="1671"/>
      <c r="U5010" s="1673"/>
      <c r="V5010" s="1674"/>
      <c r="W5010" s="1675"/>
      <c r="X5010" s="1674"/>
      <c r="Y5010" s="1674"/>
      <c r="Z5010" s="1674"/>
      <c r="AA5010" s="1674"/>
      <c r="AB5010" s="1674"/>
      <c r="AC5010" s="1674"/>
    </row>
    <row r="5011" spans="1:29" s="1672" customFormat="1" ht="15.6" customHeight="1" x14ac:dyDescent="0.25">
      <c r="A5011" s="1674"/>
      <c r="B5011" s="1674" t="s">
        <v>1695</v>
      </c>
      <c r="C5011" s="1674"/>
      <c r="D5011" s="1678"/>
      <c r="E5011" s="1674"/>
      <c r="F5011" s="1678"/>
      <c r="G5011" s="1678"/>
      <c r="H5011" s="1678"/>
      <c r="I5011" s="58">
        <f>SUM('Notes I'!I948,'Notes I'!I956)+SUM('Trial Balance - FPos'!F19:F22)</f>
        <v>-3820263.0400000033</v>
      </c>
      <c r="J5011" s="1679"/>
      <c r="K5011" s="58">
        <f>SUM('Notes I'!K948,'Notes I'!K956)+SUM('Trial Balance - FPos'!C19:C22)</f>
        <v>-1925227.4999999998</v>
      </c>
      <c r="L5011" s="1674"/>
      <c r="M5011" s="1669"/>
      <c r="N5011" s="1669"/>
      <c r="O5011" s="1690"/>
      <c r="P5011" s="1671"/>
      <c r="U5011" s="1673"/>
      <c r="V5011" s="1674"/>
      <c r="W5011" s="1675"/>
      <c r="X5011" s="1674"/>
      <c r="Y5011" s="1674"/>
      <c r="Z5011" s="1674"/>
      <c r="AA5011" s="1674"/>
      <c r="AB5011" s="1674"/>
      <c r="AC5011" s="1674"/>
    </row>
    <row r="5012" spans="1:29" s="1672" customFormat="1" ht="15.6" customHeight="1" x14ac:dyDescent="0.25">
      <c r="A5012" s="1674"/>
      <c r="B5012" s="1674" t="s">
        <v>1574</v>
      </c>
      <c r="C5012" s="1674"/>
      <c r="D5012" s="1678"/>
      <c r="E5012" s="1674"/>
      <c r="F5012" s="1678"/>
      <c r="G5012" s="1678"/>
      <c r="H5012" s="1678"/>
      <c r="I5012" s="58">
        <f>SUM('Notes I'!I970)+'Trial Balance - FPos'!F23</f>
        <v>62957.57</v>
      </c>
      <c r="J5012" s="1679"/>
      <c r="K5012" s="58">
        <f>SUM('Notes I'!K970)+'Trial Balance - FPos'!C23</f>
        <v>143517.57</v>
      </c>
      <c r="L5012" s="1674"/>
      <c r="M5012" s="1669"/>
      <c r="N5012" s="1669"/>
      <c r="O5012" s="1690"/>
      <c r="P5012" s="1671"/>
      <c r="U5012" s="1673"/>
      <c r="V5012" s="1674"/>
      <c r="W5012" s="1675"/>
      <c r="X5012" s="1674"/>
      <c r="Y5012" s="1674"/>
      <c r="Z5012" s="1674"/>
      <c r="AA5012" s="1674"/>
      <c r="AB5012" s="1674"/>
      <c r="AC5012" s="1674"/>
    </row>
    <row r="5013" spans="1:29" s="1672" customFormat="1" ht="15.6" customHeight="1" x14ac:dyDescent="0.25">
      <c r="A5013" s="1674"/>
      <c r="B5013" s="1674" t="s">
        <v>7376</v>
      </c>
      <c r="C5013" s="1674"/>
      <c r="D5013" s="1678"/>
      <c r="E5013" s="1674"/>
      <c r="F5013" s="1678"/>
      <c r="G5013" s="1678"/>
      <c r="H5013" s="1678"/>
      <c r="I5013" s="58">
        <f>'Trial Balance - FPos'!F18</f>
        <v>120653</v>
      </c>
      <c r="J5013" s="1679"/>
      <c r="K5013" s="58">
        <f>'Trial Balance - FPos'!C18</f>
        <v>120653</v>
      </c>
      <c r="L5013" s="1674"/>
      <c r="M5013" s="1669"/>
      <c r="N5013" s="1669"/>
      <c r="O5013" s="1690"/>
      <c r="P5013" s="1671"/>
      <c r="U5013" s="1673"/>
      <c r="V5013" s="1674"/>
      <c r="W5013" s="1675"/>
      <c r="X5013" s="1674"/>
      <c r="Y5013" s="1674"/>
      <c r="Z5013" s="1674"/>
      <c r="AA5013" s="1674"/>
      <c r="AB5013" s="1674"/>
      <c r="AC5013" s="1674"/>
    </row>
    <row r="5014" spans="1:29" s="1671" customFormat="1" ht="15.6" customHeight="1" x14ac:dyDescent="0.25">
      <c r="A5014" s="1674"/>
      <c r="B5014" s="1674" t="s">
        <v>2182</v>
      </c>
      <c r="C5014" s="1674"/>
      <c r="D5014" s="1678"/>
      <c r="E5014" s="1674"/>
      <c r="F5014" s="1678"/>
      <c r="G5014" s="1678"/>
      <c r="H5014" s="1678"/>
      <c r="I5014" s="58">
        <f>'Notes I'!I963</f>
        <v>8711</v>
      </c>
      <c r="J5014" s="1679"/>
      <c r="K5014" s="58">
        <f>SUM('Notes I'!K963)</f>
        <v>107085</v>
      </c>
      <c r="L5014" s="1674"/>
      <c r="M5014" s="1669"/>
      <c r="N5014" s="1669"/>
      <c r="O5014" s="1690"/>
      <c r="Q5014" s="1672"/>
      <c r="R5014" s="1672"/>
      <c r="S5014" s="1672"/>
      <c r="T5014" s="1672"/>
      <c r="U5014" s="1673"/>
      <c r="V5014" s="1674"/>
      <c r="W5014" s="1675"/>
      <c r="X5014" s="1674"/>
      <c r="Y5014" s="1674"/>
      <c r="Z5014" s="1674"/>
      <c r="AA5014" s="1674"/>
      <c r="AB5014" s="1674"/>
      <c r="AC5014" s="1674"/>
    </row>
    <row r="5015" spans="1:29" s="1671" customFormat="1" ht="15.6" customHeight="1" x14ac:dyDescent="0.25">
      <c r="A5015" s="1674"/>
      <c r="B5015" s="1674" t="s">
        <v>1688</v>
      </c>
      <c r="C5015" s="1674"/>
      <c r="D5015" s="1678"/>
      <c r="E5015" s="1674"/>
      <c r="F5015" s="1678"/>
      <c r="G5015" s="1678"/>
      <c r="H5015" s="1678"/>
      <c r="I5015" s="58">
        <f>'Notes I'!I990</f>
        <v>1179.9000000000001</v>
      </c>
      <c r="J5015" s="1679"/>
      <c r="K5015" s="58">
        <f>'Notes I'!K990</f>
        <v>1179.9000000000001</v>
      </c>
      <c r="L5015" s="1674"/>
      <c r="M5015" s="1669"/>
      <c r="N5015" s="1669"/>
      <c r="O5015" s="1690"/>
      <c r="Q5015" s="1672"/>
      <c r="R5015" s="1672"/>
      <c r="S5015" s="1672"/>
      <c r="T5015" s="1672"/>
      <c r="U5015" s="1673"/>
      <c r="V5015" s="1674"/>
      <c r="W5015" s="1675"/>
      <c r="X5015" s="1674"/>
      <c r="Y5015" s="1674"/>
      <c r="Z5015" s="1674"/>
      <c r="AA5015" s="1674"/>
      <c r="AB5015" s="1674"/>
      <c r="AC5015" s="1674"/>
    </row>
    <row r="5016" spans="1:29" s="1671" customFormat="1" ht="15.6" customHeight="1" x14ac:dyDescent="0.25">
      <c r="A5016" s="1674"/>
      <c r="B5016" s="1674"/>
      <c r="C5016" s="1674"/>
      <c r="D5016" s="1678"/>
      <c r="E5016" s="1674"/>
      <c r="F5016" s="1678"/>
      <c r="G5016" s="1678"/>
      <c r="H5016" s="1678"/>
      <c r="I5016" s="58"/>
      <c r="J5016" s="1682"/>
      <c r="K5016" s="58"/>
      <c r="L5016" s="1674"/>
      <c r="M5016" s="1669"/>
      <c r="N5016" s="1669"/>
      <c r="O5016" s="1690"/>
      <c r="Q5016" s="1672"/>
      <c r="R5016" s="1672"/>
      <c r="S5016" s="1672"/>
      <c r="T5016" s="1672"/>
      <c r="U5016" s="1673"/>
      <c r="V5016" s="1674"/>
      <c r="W5016" s="1675"/>
      <c r="X5016" s="1674"/>
      <c r="Y5016" s="1674"/>
      <c r="Z5016" s="1674"/>
      <c r="AA5016" s="1674"/>
      <c r="AB5016" s="1674"/>
      <c r="AC5016" s="1674"/>
    </row>
    <row r="5017" spans="1:29" s="1671" customFormat="1" ht="15.6" customHeight="1" thickBot="1" x14ac:dyDescent="0.3">
      <c r="A5017" s="1674"/>
      <c r="B5017" s="1677" t="s">
        <v>1687</v>
      </c>
      <c r="C5017" s="1674"/>
      <c r="D5017" s="1678"/>
      <c r="E5017" s="1674"/>
      <c r="F5017" s="1678"/>
      <c r="G5017" s="1678"/>
      <c r="H5017" s="1678"/>
      <c r="I5017" s="1809">
        <f>SUM(I5011:I5016)</f>
        <v>-3626761.5700000036</v>
      </c>
      <c r="J5017" s="1679"/>
      <c r="K5017" s="1809">
        <f>SUM(K5011:K5016)</f>
        <v>-1552792.0299999998</v>
      </c>
      <c r="L5017" s="1674"/>
      <c r="M5017" s="1669"/>
      <c r="N5017" s="1669"/>
      <c r="O5017" s="1690"/>
      <c r="Q5017" s="1672"/>
      <c r="R5017" s="1672"/>
      <c r="S5017" s="1672"/>
      <c r="T5017" s="1672"/>
      <c r="U5017" s="1673"/>
      <c r="V5017" s="1674"/>
      <c r="W5017" s="1675"/>
      <c r="X5017" s="1674"/>
      <c r="Y5017" s="1674"/>
      <c r="Z5017" s="1674"/>
      <c r="AA5017" s="1674"/>
      <c r="AB5017" s="1674"/>
      <c r="AC5017" s="1674"/>
    </row>
    <row r="5018" spans="1:29" s="1671" customFormat="1" ht="15.6" customHeight="1" thickTop="1" x14ac:dyDescent="0.25">
      <c r="A5018" s="1674"/>
      <c r="B5018" s="1674"/>
      <c r="C5018" s="1674"/>
      <c r="D5018" s="1678"/>
      <c r="E5018" s="1674"/>
      <c r="F5018" s="1678"/>
      <c r="G5018" s="1678"/>
      <c r="H5018" s="1678"/>
      <c r="I5018" s="797">
        <f>I5017-'Notes I'!I898</f>
        <v>0</v>
      </c>
      <c r="J5018" s="1682"/>
      <c r="K5018" s="797">
        <f>K5017-'Notes I'!K898</f>
        <v>0</v>
      </c>
      <c r="L5018" s="1674"/>
      <c r="M5018" s="1669"/>
      <c r="N5018" s="1669"/>
      <c r="O5018" s="1690"/>
      <c r="Q5018" s="1672"/>
      <c r="R5018" s="1672"/>
      <c r="S5018" s="1672"/>
      <c r="T5018" s="1672"/>
      <c r="U5018" s="1673"/>
      <c r="V5018" s="1674"/>
      <c r="W5018" s="1675"/>
      <c r="X5018" s="1674"/>
      <c r="Y5018" s="1674"/>
      <c r="Z5018" s="1674"/>
      <c r="AA5018" s="1674"/>
      <c r="AB5018" s="1674"/>
      <c r="AC5018" s="1674"/>
    </row>
    <row r="5019" spans="1:29" s="1671" customFormat="1" ht="15.6" customHeight="1" x14ac:dyDescent="0.25">
      <c r="A5019" s="1674"/>
      <c r="B5019" s="1677" t="s">
        <v>1566</v>
      </c>
      <c r="C5019" s="1674"/>
      <c r="D5019" s="1678"/>
      <c r="E5019" s="1674"/>
      <c r="F5019" s="1678"/>
      <c r="G5019" s="1678"/>
      <c r="H5019" s="1678"/>
      <c r="I5019" s="58"/>
      <c r="J5019" s="1682"/>
      <c r="K5019" s="58"/>
      <c r="L5019" s="1674"/>
      <c r="M5019" s="1669"/>
      <c r="N5019" s="1669"/>
      <c r="O5019" s="1690"/>
      <c r="Q5019" s="1672"/>
      <c r="R5019" s="1672"/>
      <c r="S5019" s="1672"/>
      <c r="T5019" s="1672"/>
      <c r="U5019" s="1673"/>
      <c r="V5019" s="1674"/>
      <c r="W5019" s="1675"/>
      <c r="X5019" s="1674"/>
      <c r="Y5019" s="1674"/>
      <c r="Z5019" s="1674"/>
      <c r="AA5019" s="1674"/>
      <c r="AB5019" s="1674"/>
      <c r="AC5019" s="1674"/>
    </row>
    <row r="5020" spans="1:29" s="1671" customFormat="1" ht="46.5" customHeight="1" x14ac:dyDescent="0.25">
      <c r="A5020" s="1684"/>
      <c r="B5020" s="2949" t="s">
        <v>1565</v>
      </c>
      <c r="C5020" s="2949"/>
      <c r="D5020" s="2949"/>
      <c r="E5020" s="2949"/>
      <c r="F5020" s="2949"/>
      <c r="G5020" s="2949"/>
      <c r="H5020" s="1684"/>
      <c r="I5020" s="58"/>
      <c r="J5020" s="1679"/>
      <c r="K5020" s="58"/>
      <c r="L5020" s="1684"/>
      <c r="M5020" s="1669"/>
      <c r="N5020" s="1669"/>
      <c r="O5020" s="1690"/>
      <c r="Q5020" s="1672"/>
      <c r="R5020" s="1672"/>
      <c r="S5020" s="1672"/>
      <c r="T5020" s="1672"/>
      <c r="U5020" s="1673"/>
      <c r="V5020" s="1674"/>
      <c r="W5020" s="1675"/>
      <c r="X5020" s="1674"/>
      <c r="Y5020" s="1674"/>
      <c r="Z5020" s="1674"/>
      <c r="AA5020" s="1674"/>
      <c r="AB5020" s="1674"/>
      <c r="AC5020" s="1674"/>
    </row>
    <row r="5021" spans="1:29" s="1671" customFormat="1" ht="15.6" customHeight="1" x14ac:dyDescent="0.25">
      <c r="A5021" s="1674"/>
      <c r="B5021" s="1674"/>
      <c r="C5021" s="1674"/>
      <c r="D5021" s="1678"/>
      <c r="E5021" s="1674"/>
      <c r="F5021" s="1678"/>
      <c r="G5021" s="1678"/>
      <c r="H5021" s="1678"/>
      <c r="I5021" s="58"/>
      <c r="J5021" s="1682"/>
      <c r="K5021" s="58"/>
      <c r="L5021" s="1674"/>
      <c r="M5021" s="1669"/>
      <c r="N5021" s="1669"/>
      <c r="O5021" s="1690"/>
      <c r="Q5021" s="1672"/>
      <c r="R5021" s="1672"/>
      <c r="S5021" s="1672"/>
      <c r="T5021" s="1672"/>
      <c r="U5021" s="1673"/>
      <c r="V5021" s="1674"/>
      <c r="W5021" s="1675"/>
      <c r="X5021" s="1674"/>
      <c r="Y5021" s="1674"/>
      <c r="Z5021" s="1674"/>
      <c r="AA5021" s="1674"/>
      <c r="AB5021" s="1674"/>
      <c r="AC5021" s="1674"/>
    </row>
    <row r="5022" spans="1:29" s="1671" customFormat="1" ht="15.6" hidden="1" customHeight="1" x14ac:dyDescent="0.25">
      <c r="A5022" s="1674"/>
      <c r="B5022" s="2199" t="s">
        <v>399</v>
      </c>
      <c r="C5022" s="1716"/>
      <c r="D5022" s="2200"/>
      <c r="E5022" s="1716"/>
      <c r="F5022" s="2200"/>
      <c r="G5022" s="2200"/>
      <c r="H5022" s="2200"/>
      <c r="I5022" s="2043"/>
      <c r="J5022" s="2201"/>
      <c r="K5022" s="2043"/>
      <c r="L5022" s="1674"/>
      <c r="M5022" s="1669"/>
      <c r="N5022" s="1669"/>
      <c r="O5022" s="1690"/>
      <c r="Q5022" s="1672"/>
      <c r="R5022" s="1672"/>
      <c r="S5022" s="1672"/>
      <c r="T5022" s="1672"/>
      <c r="U5022" s="1673"/>
      <c r="V5022" s="1674"/>
      <c r="W5022" s="1675"/>
      <c r="X5022" s="1674"/>
      <c r="Y5022" s="1674"/>
      <c r="Z5022" s="1674"/>
      <c r="AA5022" s="1674"/>
      <c r="AB5022" s="1674"/>
      <c r="AC5022" s="1674"/>
    </row>
    <row r="5023" spans="1:29" s="1671" customFormat="1" ht="15.6" hidden="1" customHeight="1" x14ac:dyDescent="0.25">
      <c r="A5023" s="1674"/>
      <c r="B5023" s="1716" t="s">
        <v>1570</v>
      </c>
      <c r="C5023" s="1716"/>
      <c r="D5023" s="2200"/>
      <c r="E5023" s="1716"/>
      <c r="F5023" s="2200"/>
      <c r="G5023" s="2200"/>
      <c r="H5023" s="2200"/>
      <c r="I5023" s="2043">
        <f>'Notes II'!K969</f>
        <v>0</v>
      </c>
      <c r="J5023" s="2203"/>
      <c r="K5023" s="2043">
        <f>'Notes II'!K993</f>
        <v>0</v>
      </c>
      <c r="L5023" s="1674"/>
      <c r="M5023" s="1669"/>
      <c r="N5023" s="1669"/>
      <c r="O5023" s="1690"/>
      <c r="Q5023" s="1672"/>
      <c r="R5023" s="1672"/>
      <c r="S5023" s="1672"/>
      <c r="T5023" s="1672"/>
      <c r="U5023" s="1673"/>
      <c r="V5023" s="1674"/>
      <c r="W5023" s="1675"/>
      <c r="X5023" s="1674"/>
      <c r="Y5023" s="1674"/>
      <c r="Z5023" s="1674"/>
      <c r="AA5023" s="1674"/>
      <c r="AB5023" s="1674"/>
      <c r="AC5023" s="1674"/>
    </row>
    <row r="5024" spans="1:29" s="1671" customFormat="1" ht="15.6" hidden="1" customHeight="1" x14ac:dyDescent="0.25">
      <c r="A5024" s="1674"/>
      <c r="B5024" s="1716" t="s">
        <v>1571</v>
      </c>
      <c r="C5024" s="1716"/>
      <c r="D5024" s="2200"/>
      <c r="E5024" s="1716"/>
      <c r="F5024" s="2200"/>
      <c r="G5024" s="2200"/>
      <c r="H5024" s="2200"/>
      <c r="I5024" s="2043">
        <f>'Notes II'!K967+'Notes II'!K968+'Notes II'!K970+'Notes II'!K971</f>
        <v>0</v>
      </c>
      <c r="J5024" s="2203"/>
      <c r="K5024" s="2043">
        <f>'Notes II'!K991+'Notes II'!K992+'Notes II'!K994+'Notes II'!K995</f>
        <v>0</v>
      </c>
      <c r="L5024" s="1674"/>
      <c r="M5024" s="1669"/>
      <c r="N5024" s="1669"/>
      <c r="O5024" s="1690"/>
      <c r="Q5024" s="1672"/>
      <c r="R5024" s="1672"/>
      <c r="S5024" s="1672"/>
      <c r="T5024" s="1672"/>
      <c r="U5024" s="1673"/>
      <c r="V5024" s="1674"/>
      <c r="W5024" s="1675"/>
      <c r="X5024" s="1674"/>
      <c r="Y5024" s="1674"/>
      <c r="Z5024" s="1674"/>
      <c r="AA5024" s="1674"/>
      <c r="AB5024" s="1674"/>
      <c r="AC5024" s="1674"/>
    </row>
    <row r="5025" spans="1:29" s="1671" customFormat="1" ht="15.6" hidden="1" customHeight="1" x14ac:dyDescent="0.25">
      <c r="A5025" s="1674"/>
      <c r="B5025" s="1716" t="s">
        <v>1572</v>
      </c>
      <c r="C5025" s="1716"/>
      <c r="D5025" s="2200"/>
      <c r="E5025" s="1716"/>
      <c r="F5025" s="2200"/>
      <c r="G5025" s="2200"/>
      <c r="H5025" s="2200"/>
      <c r="I5025" s="2043">
        <f>'Notes II'!K966</f>
        <v>0</v>
      </c>
      <c r="J5025" s="2203"/>
      <c r="K5025" s="2043">
        <f>'Notes II'!K990</f>
        <v>0</v>
      </c>
      <c r="L5025" s="1674"/>
      <c r="M5025" s="1669"/>
      <c r="N5025" s="1669"/>
      <c r="O5025" s="1690"/>
      <c r="Q5025" s="1672"/>
      <c r="R5025" s="1672"/>
      <c r="S5025" s="1672"/>
      <c r="T5025" s="1672"/>
      <c r="U5025" s="1673"/>
      <c r="V5025" s="1674"/>
      <c r="W5025" s="1675"/>
      <c r="X5025" s="1674"/>
      <c r="Y5025" s="1674"/>
      <c r="Z5025" s="1674"/>
      <c r="AA5025" s="1674"/>
      <c r="AB5025" s="1674"/>
      <c r="AC5025" s="1674"/>
    </row>
    <row r="5026" spans="1:29" s="1671" customFormat="1" ht="15.6" hidden="1" customHeight="1" x14ac:dyDescent="0.25">
      <c r="A5026" s="1674"/>
      <c r="B5026" s="1674"/>
      <c r="C5026" s="1674"/>
      <c r="D5026" s="1678"/>
      <c r="E5026" s="1674"/>
      <c r="F5026" s="1678"/>
      <c r="G5026" s="1678"/>
      <c r="H5026" s="1678"/>
      <c r="I5026" s="58"/>
      <c r="J5026" s="1682"/>
      <c r="K5026" s="58"/>
      <c r="L5026" s="1674"/>
      <c r="M5026" s="1669"/>
      <c r="N5026" s="1669"/>
      <c r="O5026" s="1690"/>
      <c r="Q5026" s="1672"/>
      <c r="R5026" s="1672"/>
      <c r="S5026" s="1672"/>
      <c r="T5026" s="1672"/>
      <c r="U5026" s="1673"/>
      <c r="V5026" s="1674"/>
      <c r="W5026" s="1675"/>
      <c r="X5026" s="1674"/>
      <c r="Y5026" s="1674"/>
      <c r="Z5026" s="1674"/>
      <c r="AA5026" s="1674"/>
      <c r="AB5026" s="1674"/>
      <c r="AC5026" s="1674"/>
    </row>
    <row r="5027" spans="1:29" s="1671" customFormat="1" ht="15.6" hidden="1" customHeight="1" thickBot="1" x14ac:dyDescent="0.3">
      <c r="A5027" s="1674"/>
      <c r="B5027" s="1677" t="s">
        <v>9</v>
      </c>
      <c r="C5027" s="1674"/>
      <c r="D5027" s="1678"/>
      <c r="E5027" s="1674"/>
      <c r="F5027" s="1678"/>
      <c r="G5027" s="1678"/>
      <c r="H5027" s="1678"/>
      <c r="I5027" s="1809">
        <f>SUM(I5023:I5026)</f>
        <v>0</v>
      </c>
      <c r="J5027" s="1679"/>
      <c r="K5027" s="1809">
        <f>SUM(K5023:K5026)</f>
        <v>0</v>
      </c>
      <c r="L5027" s="1674"/>
      <c r="M5027" s="1669"/>
      <c r="N5027" s="1669"/>
      <c r="O5027" s="1690"/>
      <c r="Q5027" s="1672"/>
      <c r="R5027" s="1672"/>
      <c r="S5027" s="1672"/>
      <c r="T5027" s="1672"/>
      <c r="U5027" s="1673"/>
      <c r="V5027" s="1674"/>
      <c r="W5027" s="1675"/>
      <c r="X5027" s="1674"/>
      <c r="Y5027" s="1674"/>
      <c r="Z5027" s="1674"/>
      <c r="AA5027" s="1674"/>
      <c r="AB5027" s="1674"/>
      <c r="AC5027" s="1674"/>
    </row>
    <row r="5028" spans="1:29" s="1671" customFormat="1" ht="15.6" hidden="1" customHeight="1" thickTop="1" x14ac:dyDescent="0.25">
      <c r="A5028" s="1674"/>
      <c r="B5028" s="1674"/>
      <c r="C5028" s="1674"/>
      <c r="D5028" s="1678"/>
      <c r="E5028" s="1674"/>
      <c r="F5028" s="1678"/>
      <c r="G5028" s="1678"/>
      <c r="H5028" s="1678"/>
      <c r="I5028" s="797">
        <f>I5027-'Notes II'!K973</f>
        <v>0</v>
      </c>
      <c r="J5028" s="1682"/>
      <c r="K5028" s="797">
        <f>K5027-'Notes II'!K997</f>
        <v>0</v>
      </c>
      <c r="L5028" s="1674"/>
      <c r="M5028" s="1669"/>
      <c r="N5028" s="1669"/>
      <c r="O5028" s="1690"/>
      <c r="Q5028" s="1672"/>
      <c r="R5028" s="1672"/>
      <c r="S5028" s="1672"/>
      <c r="T5028" s="1672"/>
      <c r="U5028" s="1673"/>
      <c r="V5028" s="1674"/>
      <c r="W5028" s="1675"/>
      <c r="X5028" s="1674"/>
      <c r="Y5028" s="1674"/>
      <c r="Z5028" s="1674"/>
      <c r="AA5028" s="1674"/>
      <c r="AB5028" s="1674"/>
      <c r="AC5028" s="1674"/>
    </row>
    <row r="5029" spans="1:29" s="1671" customFormat="1" ht="15.6" customHeight="1" x14ac:dyDescent="0.25">
      <c r="A5029" s="1674"/>
      <c r="B5029" s="1677" t="s">
        <v>3969</v>
      </c>
      <c r="C5029" s="1674"/>
      <c r="D5029" s="1678"/>
      <c r="E5029" s="1674"/>
      <c r="F5029" s="1678"/>
      <c r="G5029" s="1678"/>
      <c r="H5029" s="1678"/>
      <c r="I5029" s="58"/>
      <c r="J5029" s="1682"/>
      <c r="K5029" s="58"/>
      <c r="L5029" s="1674"/>
      <c r="M5029" s="1669"/>
      <c r="N5029" s="1669"/>
      <c r="O5029" s="1690"/>
      <c r="Q5029" s="1672"/>
      <c r="R5029" s="1672"/>
      <c r="S5029" s="1672"/>
      <c r="T5029" s="1672"/>
      <c r="U5029" s="1673"/>
      <c r="V5029" s="1674"/>
      <c r="W5029" s="1675"/>
      <c r="X5029" s="1674"/>
      <c r="Y5029" s="1674"/>
      <c r="Z5029" s="1674"/>
      <c r="AA5029" s="1674"/>
      <c r="AB5029" s="1674"/>
      <c r="AC5029" s="1674"/>
    </row>
    <row r="5030" spans="1:29" s="1671" customFormat="1" ht="15.6" hidden="1" customHeight="1" x14ac:dyDescent="0.25">
      <c r="A5030" s="1674"/>
      <c r="B5030" s="1716" t="s">
        <v>1567</v>
      </c>
      <c r="C5030" s="1716"/>
      <c r="D5030" s="2200"/>
      <c r="E5030" s="1716"/>
      <c r="F5030" s="2200"/>
      <c r="G5030" s="2200"/>
      <c r="H5030" s="2200"/>
      <c r="I5030" s="2043"/>
      <c r="J5030" s="2201"/>
      <c r="K5030" s="2043"/>
      <c r="L5030" s="1674"/>
      <c r="M5030" s="1669"/>
      <c r="N5030" s="1669"/>
      <c r="O5030" s="1690"/>
      <c r="Q5030" s="1672"/>
      <c r="R5030" s="1672"/>
      <c r="S5030" s="1672"/>
      <c r="T5030" s="1672"/>
      <c r="U5030" s="1673"/>
      <c r="V5030" s="1674"/>
      <c r="W5030" s="1675"/>
      <c r="X5030" s="1674"/>
      <c r="Y5030" s="1674"/>
      <c r="Z5030" s="1674"/>
      <c r="AA5030" s="1674"/>
      <c r="AB5030" s="1674"/>
      <c r="AC5030" s="1674"/>
    </row>
    <row r="5031" spans="1:29" s="1671" customFormat="1" ht="15.6" hidden="1" customHeight="1" x14ac:dyDescent="0.25">
      <c r="A5031" s="1674"/>
      <c r="B5031" s="1716" t="s">
        <v>1568</v>
      </c>
      <c r="C5031" s="1716"/>
      <c r="D5031" s="2200"/>
      <c r="E5031" s="1716"/>
      <c r="F5031" s="2200"/>
      <c r="G5031" s="2200"/>
      <c r="H5031" s="2200"/>
      <c r="I5031" s="2043">
        <v>0</v>
      </c>
      <c r="J5031" s="2203"/>
      <c r="K5031" s="2043">
        <v>0</v>
      </c>
      <c r="L5031" s="1674"/>
      <c r="M5031" s="1669"/>
      <c r="N5031" s="1669"/>
      <c r="O5031" s="1690"/>
      <c r="Q5031" s="1672"/>
      <c r="R5031" s="1672"/>
      <c r="S5031" s="1672"/>
      <c r="T5031" s="1672"/>
      <c r="U5031" s="1673"/>
      <c r="V5031" s="1674"/>
      <c r="W5031" s="1675"/>
      <c r="X5031" s="1674"/>
      <c r="Y5031" s="1674"/>
      <c r="Z5031" s="1674"/>
      <c r="AA5031" s="1674"/>
      <c r="AB5031" s="1674"/>
      <c r="AC5031" s="1674"/>
    </row>
    <row r="5032" spans="1:29" s="1671" customFormat="1" ht="15.6" hidden="1" customHeight="1" x14ac:dyDescent="0.25">
      <c r="A5032" s="1674"/>
      <c r="B5032" s="1716" t="s">
        <v>1569</v>
      </c>
      <c r="C5032" s="1716"/>
      <c r="D5032" s="2200"/>
      <c r="E5032" s="1716"/>
      <c r="F5032" s="2200"/>
      <c r="G5032" s="2200"/>
      <c r="H5032" s="2200"/>
      <c r="I5032" s="2043">
        <v>0</v>
      </c>
      <c r="J5032" s="2203"/>
      <c r="K5032" s="2043">
        <v>0</v>
      </c>
      <c r="L5032" s="1674"/>
      <c r="M5032" s="1669"/>
      <c r="N5032" s="1669"/>
      <c r="O5032" s="1690"/>
      <c r="Q5032" s="1672"/>
      <c r="R5032" s="1672"/>
      <c r="S5032" s="1672"/>
      <c r="T5032" s="1672"/>
      <c r="U5032" s="1673"/>
      <c r="V5032" s="1674"/>
      <c r="W5032" s="1675"/>
      <c r="X5032" s="1674"/>
      <c r="Y5032" s="1674"/>
      <c r="Z5032" s="1674"/>
      <c r="AA5032" s="1674"/>
      <c r="AB5032" s="1674"/>
      <c r="AC5032" s="1674"/>
    </row>
    <row r="5033" spans="1:29" s="1671" customFormat="1" ht="15.6" hidden="1" customHeight="1" x14ac:dyDescent="0.25">
      <c r="A5033" s="1674"/>
      <c r="B5033" s="1674"/>
      <c r="C5033" s="1674"/>
      <c r="D5033" s="1678"/>
      <c r="E5033" s="1674"/>
      <c r="F5033" s="1678"/>
      <c r="G5033" s="1678"/>
      <c r="H5033" s="1678"/>
      <c r="I5033" s="58"/>
      <c r="J5033" s="1682"/>
      <c r="K5033" s="58"/>
      <c r="L5033" s="1674"/>
      <c r="M5033" s="1669"/>
      <c r="N5033" s="1669"/>
      <c r="O5033" s="1690"/>
      <c r="Q5033" s="1672"/>
      <c r="R5033" s="1672"/>
      <c r="S5033" s="1672"/>
      <c r="T5033" s="1672"/>
      <c r="U5033" s="1673"/>
      <c r="V5033" s="1674"/>
      <c r="W5033" s="1675"/>
      <c r="X5033" s="1674"/>
      <c r="Y5033" s="1674"/>
      <c r="Z5033" s="1674"/>
      <c r="AA5033" s="1674"/>
      <c r="AB5033" s="1674"/>
      <c r="AC5033" s="1674"/>
    </row>
    <row r="5034" spans="1:29" s="1671" customFormat="1" ht="15.6" hidden="1" customHeight="1" thickBot="1" x14ac:dyDescent="0.3">
      <c r="A5034" s="1674"/>
      <c r="B5034" s="1674"/>
      <c r="C5034" s="1674"/>
      <c r="D5034" s="1678"/>
      <c r="E5034" s="1674"/>
      <c r="F5034" s="1678"/>
      <c r="G5034" s="1678"/>
      <c r="H5034" s="1678"/>
      <c r="I5034" s="1815">
        <f>SUM(I5030:I5033)</f>
        <v>0</v>
      </c>
      <c r="J5034" s="1679"/>
      <c r="K5034" s="1815">
        <f>SUM(K5030:K5033)</f>
        <v>0</v>
      </c>
      <c r="L5034" s="1674"/>
      <c r="M5034" s="1669"/>
      <c r="N5034" s="1669"/>
      <c r="O5034" s="1690"/>
      <c r="Q5034" s="1672"/>
      <c r="R5034" s="1672"/>
      <c r="S5034" s="1672"/>
      <c r="T5034" s="1672"/>
      <c r="U5034" s="1673"/>
      <c r="V5034" s="1674"/>
      <c r="W5034" s="1675"/>
      <c r="X5034" s="1674"/>
      <c r="Y5034" s="1674"/>
      <c r="Z5034" s="1674"/>
      <c r="AA5034" s="1674"/>
      <c r="AB5034" s="1674"/>
      <c r="AC5034" s="1674"/>
    </row>
    <row r="5035" spans="1:29" s="1671" customFormat="1" ht="15.6" customHeight="1" x14ac:dyDescent="0.25">
      <c r="A5035" s="1674"/>
      <c r="B5035" s="1674"/>
      <c r="C5035" s="1674"/>
      <c r="D5035" s="1678"/>
      <c r="E5035" s="1674"/>
      <c r="F5035" s="1678"/>
      <c r="G5035" s="1678"/>
      <c r="H5035" s="1678"/>
      <c r="I5035" s="58"/>
      <c r="J5035" s="1682"/>
      <c r="K5035" s="58"/>
      <c r="L5035" s="1674"/>
      <c r="M5035" s="2968" t="s">
        <v>2463</v>
      </c>
      <c r="N5035" s="2968"/>
      <c r="O5035" s="1690"/>
      <c r="Q5035" s="1672"/>
      <c r="R5035" s="1672"/>
      <c r="S5035" s="1672"/>
      <c r="T5035" s="1672"/>
      <c r="U5035" s="1673"/>
      <c r="V5035" s="1674"/>
      <c r="W5035" s="1675"/>
      <c r="X5035" s="1674"/>
      <c r="Y5035" s="1674"/>
      <c r="Z5035" s="1674"/>
      <c r="AA5035" s="1674"/>
      <c r="AB5035" s="1674"/>
      <c r="AC5035" s="1674"/>
    </row>
    <row r="5036" spans="1:29" s="1671" customFormat="1" ht="15.6" customHeight="1" x14ac:dyDescent="0.25">
      <c r="A5036" s="1674"/>
      <c r="B5036" s="1674" t="s">
        <v>1573</v>
      </c>
      <c r="C5036" s="1674"/>
      <c r="D5036" s="1678"/>
      <c r="E5036" s="1674"/>
      <c r="F5036" s="1678"/>
      <c r="G5036" s="1678"/>
      <c r="H5036" s="1678"/>
      <c r="I5036" s="58"/>
      <c r="J5036" s="1682"/>
      <c r="K5036" s="58"/>
      <c r="L5036" s="1674"/>
      <c r="M5036" s="1669"/>
      <c r="N5036" s="1669"/>
      <c r="O5036" s="1690"/>
      <c r="Q5036" s="1672"/>
      <c r="R5036" s="1672"/>
      <c r="S5036" s="1672"/>
      <c r="T5036" s="1672"/>
      <c r="U5036" s="1673"/>
      <c r="V5036" s="1674"/>
      <c r="W5036" s="1675"/>
      <c r="X5036" s="1674"/>
      <c r="Y5036" s="1674"/>
      <c r="Z5036" s="1674"/>
      <c r="AA5036" s="1674"/>
      <c r="AB5036" s="1674"/>
      <c r="AC5036" s="1674"/>
    </row>
    <row r="5037" spans="1:29" s="1671" customFormat="1" ht="15.6" customHeight="1" x14ac:dyDescent="0.25">
      <c r="A5037" s="1674"/>
      <c r="B5037" s="1674" t="s">
        <v>1570</v>
      </c>
      <c r="C5037" s="1674"/>
      <c r="D5037" s="1678"/>
      <c r="E5037" s="1674"/>
      <c r="F5037" s="1678"/>
      <c r="G5037" s="1678"/>
      <c r="H5037" s="1678"/>
      <c r="I5037" s="58">
        <f>'Notes I'!C287*M5041</f>
        <v>216443.09985</v>
      </c>
      <c r="J5037" s="1679"/>
      <c r="K5037" s="58">
        <f>'Notes I'!C333*N5041</f>
        <v>869680.84883820976</v>
      </c>
      <c r="L5037" s="1674"/>
      <c r="M5037" s="1669"/>
      <c r="N5037" s="1669"/>
      <c r="O5037" s="1690"/>
      <c r="Q5037" s="1672"/>
      <c r="R5037" s="1672"/>
      <c r="S5037" s="1672"/>
      <c r="T5037" s="1672"/>
      <c r="U5037" s="1673"/>
      <c r="V5037" s="1674"/>
      <c r="W5037" s="1675"/>
      <c r="X5037" s="1674"/>
      <c r="Y5037" s="1674"/>
      <c r="Z5037" s="1674"/>
      <c r="AA5037" s="1674"/>
      <c r="AB5037" s="1674"/>
      <c r="AC5037" s="1674"/>
    </row>
    <row r="5038" spans="1:29" s="1671" customFormat="1" ht="15.6" customHeight="1" x14ac:dyDescent="0.25">
      <c r="A5038" s="1674"/>
      <c r="B5038" s="1674" t="s">
        <v>1571</v>
      </c>
      <c r="C5038" s="1674"/>
      <c r="D5038" s="1678"/>
      <c r="E5038" s="1674"/>
      <c r="F5038" s="1678"/>
      <c r="G5038" s="1678"/>
      <c r="H5038" s="1678"/>
      <c r="I5038" s="58">
        <f>'Notes I'!C287*(100%-M5041)</f>
        <v>31260.150149999994</v>
      </c>
      <c r="J5038" s="1679"/>
      <c r="K5038" s="58">
        <f>'Notes I'!C333*(100%-N5041)</f>
        <v>169821.8955468339</v>
      </c>
      <c r="L5038" s="1674"/>
      <c r="M5038" s="1669"/>
      <c r="N5038" s="1669"/>
      <c r="O5038" s="1690"/>
      <c r="Q5038" s="1672"/>
      <c r="R5038" s="1672"/>
      <c r="S5038" s="1672"/>
      <c r="T5038" s="1672"/>
      <c r="U5038" s="1673"/>
      <c r="V5038" s="1674"/>
      <c r="W5038" s="1675"/>
      <c r="X5038" s="1674"/>
      <c r="Y5038" s="1674"/>
      <c r="Z5038" s="1674"/>
      <c r="AA5038" s="1674"/>
      <c r="AB5038" s="1674"/>
      <c r="AC5038" s="1674"/>
    </row>
    <row r="5039" spans="1:29" s="1671" customFormat="1" ht="15.6" customHeight="1" x14ac:dyDescent="0.25">
      <c r="A5039" s="1674"/>
      <c r="B5039" s="1674" t="s">
        <v>1572</v>
      </c>
      <c r="C5039" s="1674"/>
      <c r="D5039" s="1678"/>
      <c r="E5039" s="1674"/>
      <c r="F5039" s="1678"/>
      <c r="G5039" s="1678"/>
      <c r="H5039" s="1678"/>
      <c r="I5039" s="58">
        <v>0</v>
      </c>
      <c r="J5039" s="1679"/>
      <c r="K5039" s="58">
        <v>0</v>
      </c>
      <c r="L5039" s="1674"/>
      <c r="M5039" s="1669"/>
      <c r="N5039" s="1669"/>
      <c r="O5039" s="1690"/>
      <c r="Q5039" s="1672"/>
      <c r="R5039" s="1672"/>
      <c r="S5039" s="1672"/>
      <c r="T5039" s="1672"/>
      <c r="U5039" s="1673"/>
      <c r="V5039" s="1674"/>
      <c r="W5039" s="1675"/>
      <c r="X5039" s="1674"/>
      <c r="Y5039" s="1674"/>
      <c r="Z5039" s="1674"/>
      <c r="AA5039" s="1674"/>
      <c r="AB5039" s="1674"/>
      <c r="AC5039" s="1674"/>
    </row>
    <row r="5040" spans="1:29" s="1671" customFormat="1" ht="15.6" customHeight="1" x14ac:dyDescent="0.25">
      <c r="A5040" s="1674"/>
      <c r="B5040" s="1674"/>
      <c r="C5040" s="1674"/>
      <c r="D5040" s="1678"/>
      <c r="E5040" s="1674"/>
      <c r="F5040" s="1678"/>
      <c r="G5040" s="1678"/>
      <c r="H5040" s="1678"/>
      <c r="I5040" s="58"/>
      <c r="J5040" s="1682"/>
      <c r="K5040" s="58"/>
      <c r="L5040" s="1674"/>
      <c r="M5040" s="1669"/>
      <c r="N5040" s="1669"/>
      <c r="O5040" s="1690"/>
      <c r="Q5040" s="1672"/>
      <c r="R5040" s="1672"/>
      <c r="S5040" s="1672"/>
      <c r="T5040" s="1672"/>
      <c r="U5040" s="1673"/>
      <c r="V5040" s="1674"/>
      <c r="W5040" s="1675"/>
      <c r="X5040" s="1674"/>
      <c r="Y5040" s="1674"/>
      <c r="Z5040" s="1674"/>
      <c r="AA5040" s="1674"/>
      <c r="AB5040" s="1674"/>
      <c r="AC5040" s="1674"/>
    </row>
    <row r="5041" spans="1:29" s="1671" customFormat="1" ht="15.6" customHeight="1" thickBot="1" x14ac:dyDescent="0.3">
      <c r="A5041" s="1674"/>
      <c r="B5041" s="1674"/>
      <c r="C5041" s="1674"/>
      <c r="D5041" s="1678"/>
      <c r="E5041" s="1674"/>
      <c r="F5041" s="1678"/>
      <c r="G5041" s="1678"/>
      <c r="H5041" s="1678"/>
      <c r="I5041" s="1815">
        <f>SUM(I5036:I5040)</f>
        <v>247703.25</v>
      </c>
      <c r="J5041" s="1679"/>
      <c r="K5041" s="1815">
        <f>SUM(K5036:K5040)</f>
        <v>1039502.7443850436</v>
      </c>
      <c r="L5041" s="1674"/>
      <c r="M5041" s="1816">
        <v>0.87380000000000002</v>
      </c>
      <c r="N5041" s="1816">
        <v>0.83663160442419193</v>
      </c>
      <c r="O5041" s="1690"/>
      <c r="Q5041" s="1672"/>
      <c r="R5041" s="1672"/>
      <c r="S5041" s="1672"/>
      <c r="T5041" s="1672"/>
      <c r="U5041" s="1673"/>
      <c r="V5041" s="1674"/>
      <c r="W5041" s="1675"/>
      <c r="X5041" s="1674"/>
      <c r="Y5041" s="1674"/>
      <c r="Z5041" s="1674"/>
      <c r="AA5041" s="1674"/>
      <c r="AB5041" s="1674"/>
      <c r="AC5041" s="1674"/>
    </row>
    <row r="5042" spans="1:29" s="1671" customFormat="1" ht="15.6" customHeight="1" thickTop="1" x14ac:dyDescent="0.25">
      <c r="A5042" s="1674"/>
      <c r="B5042" s="1674"/>
      <c r="C5042" s="1674"/>
      <c r="D5042" s="1678"/>
      <c r="E5042" s="1674"/>
      <c r="F5042" s="1678"/>
      <c r="G5042" s="1678"/>
      <c r="H5042" s="1678"/>
      <c r="I5042" s="58"/>
      <c r="J5042" s="1682"/>
      <c r="K5042" s="58"/>
      <c r="L5042" s="1674"/>
      <c r="M5042" s="1669"/>
      <c r="N5042" s="1669"/>
      <c r="O5042" s="1690"/>
      <c r="Q5042" s="1672"/>
      <c r="R5042" s="1672"/>
      <c r="S5042" s="1672"/>
      <c r="T5042" s="1672"/>
      <c r="U5042" s="1673"/>
      <c r="V5042" s="1674"/>
      <c r="W5042" s="1675"/>
      <c r="X5042" s="1674"/>
      <c r="Y5042" s="1674"/>
      <c r="Z5042" s="1674"/>
      <c r="AA5042" s="1674"/>
      <c r="AB5042" s="1674"/>
      <c r="AC5042" s="1674"/>
    </row>
    <row r="5043" spans="1:29" s="1671" customFormat="1" ht="15.6" customHeight="1" thickBot="1" x14ac:dyDescent="0.3">
      <c r="A5043" s="1674"/>
      <c r="B5043" s="1677" t="s">
        <v>4227</v>
      </c>
      <c r="C5043" s="1674"/>
      <c r="D5043" s="1678"/>
      <c r="E5043" s="1674"/>
      <c r="F5043" s="1678"/>
      <c r="G5043" s="1678"/>
      <c r="H5043" s="1678"/>
      <c r="I5043" s="1809">
        <f>SUM(I5034+I5041)</f>
        <v>247703.25</v>
      </c>
      <c r="J5043" s="1679"/>
      <c r="K5043" s="1809">
        <f>SUM(K5034+K5041)</f>
        <v>1039502.7443850436</v>
      </c>
      <c r="L5043" s="1674"/>
      <c r="M5043" s="1669"/>
      <c r="N5043" s="1669"/>
      <c r="O5043" s="1690"/>
      <c r="Q5043" s="1672"/>
      <c r="R5043" s="1672"/>
      <c r="S5043" s="1672"/>
      <c r="T5043" s="1672"/>
      <c r="U5043" s="1673"/>
      <c r="V5043" s="1674"/>
      <c r="W5043" s="1675"/>
      <c r="X5043" s="1674"/>
      <c r="Y5043" s="1674"/>
      <c r="Z5043" s="1674"/>
      <c r="AA5043" s="1674"/>
      <c r="AB5043" s="1674"/>
      <c r="AC5043" s="1674"/>
    </row>
    <row r="5044" spans="1:29" s="1671" customFormat="1" ht="15.6" customHeight="1" thickTop="1" x14ac:dyDescent="0.25">
      <c r="A5044" s="1674"/>
      <c r="B5044" s="1674"/>
      <c r="C5044" s="1674"/>
      <c r="D5044" s="1678"/>
      <c r="E5044" s="1674"/>
      <c r="F5044" s="1678"/>
      <c r="G5044" s="1678"/>
      <c r="H5044" s="1678"/>
      <c r="I5044" s="797">
        <f>I5043-'Notes I'!C287</f>
        <v>0</v>
      </c>
      <c r="J5044" s="1682"/>
      <c r="K5044" s="797">
        <f>K5043-'Notes I'!C333</f>
        <v>0</v>
      </c>
      <c r="L5044" s="1674"/>
      <c r="M5044" s="1669"/>
      <c r="N5044" s="1669"/>
      <c r="O5044" s="1690"/>
      <c r="Q5044" s="1672"/>
      <c r="R5044" s="1672"/>
      <c r="S5044" s="1672"/>
      <c r="T5044" s="1672"/>
      <c r="U5044" s="1673"/>
      <c r="V5044" s="1674"/>
      <c r="W5044" s="1675"/>
      <c r="X5044" s="1674"/>
      <c r="Y5044" s="1674"/>
      <c r="Z5044" s="1674"/>
      <c r="AA5044" s="1674"/>
      <c r="AB5044" s="1674"/>
      <c r="AC5044" s="1674"/>
    </row>
    <row r="5045" spans="1:29" s="1671" customFormat="1" ht="15.6" customHeight="1" x14ac:dyDescent="0.25">
      <c r="A5045" s="1674"/>
      <c r="B5045" s="1677" t="s">
        <v>3970</v>
      </c>
      <c r="C5045" s="1674"/>
      <c r="D5045" s="1678"/>
      <c r="E5045" s="1674"/>
      <c r="F5045" s="1678"/>
      <c r="G5045" s="1678"/>
      <c r="H5045" s="1678"/>
      <c r="I5045" s="58"/>
      <c r="J5045" s="1682"/>
      <c r="K5045" s="58"/>
      <c r="L5045" s="1674"/>
      <c r="M5045" s="1669"/>
      <c r="N5045" s="1669"/>
      <c r="O5045" s="1690"/>
      <c r="Q5045" s="1672"/>
      <c r="R5045" s="1672"/>
      <c r="S5045" s="1672"/>
      <c r="T5045" s="1672"/>
      <c r="U5045" s="1673"/>
      <c r="V5045" s="1674"/>
      <c r="W5045" s="1675"/>
      <c r="X5045" s="1674"/>
      <c r="Y5045" s="1674"/>
      <c r="Z5045" s="1674"/>
      <c r="AA5045" s="1674"/>
      <c r="AB5045" s="1674"/>
      <c r="AC5045" s="1674"/>
    </row>
    <row r="5046" spans="1:29" s="1671" customFormat="1" ht="15.6" customHeight="1" x14ac:dyDescent="0.25">
      <c r="A5046" s="1674"/>
      <c r="B5046" s="1674" t="s">
        <v>1570</v>
      </c>
      <c r="C5046" s="1674"/>
      <c r="D5046" s="1678"/>
      <c r="E5046" s="1674"/>
      <c r="F5046" s="1678"/>
      <c r="G5046" s="1678"/>
      <c r="H5046" s="1678"/>
      <c r="I5046" s="58">
        <f>'Notes I'!C698</f>
        <v>0</v>
      </c>
      <c r="J5046" s="1679"/>
      <c r="K5046" s="58">
        <f>'Notes I'!C792</f>
        <v>11263</v>
      </c>
      <c r="L5046" s="1674"/>
      <c r="M5046" s="1669"/>
      <c r="N5046" s="1669"/>
      <c r="O5046" s="1690"/>
      <c r="Q5046" s="1672"/>
      <c r="R5046" s="1672"/>
      <c r="S5046" s="1672"/>
      <c r="T5046" s="1672"/>
      <c r="U5046" s="1673"/>
      <c r="V5046" s="1674"/>
      <c r="W5046" s="1675"/>
      <c r="X5046" s="1674"/>
      <c r="Y5046" s="1674"/>
      <c r="Z5046" s="1674"/>
      <c r="AA5046" s="1674"/>
      <c r="AB5046" s="1674"/>
      <c r="AC5046" s="1674"/>
    </row>
    <row r="5047" spans="1:29" s="1671" customFormat="1" ht="15.6" customHeight="1" x14ac:dyDescent="0.25">
      <c r="A5047" s="1674"/>
      <c r="B5047" s="1674" t="s">
        <v>1571</v>
      </c>
      <c r="C5047" s="1674"/>
      <c r="D5047" s="1678"/>
      <c r="E5047" s="1674"/>
      <c r="F5047" s="1678"/>
      <c r="G5047" s="1678"/>
      <c r="H5047" s="1678"/>
      <c r="I5047" s="58">
        <v>0</v>
      </c>
      <c r="J5047" s="1679"/>
      <c r="K5047" s="58">
        <v>0</v>
      </c>
      <c r="L5047" s="1674"/>
      <c r="M5047" s="1669"/>
      <c r="N5047" s="1669"/>
      <c r="O5047" s="1690"/>
      <c r="Q5047" s="1672"/>
      <c r="R5047" s="1672"/>
      <c r="S5047" s="1672"/>
      <c r="T5047" s="1672"/>
      <c r="U5047" s="1673"/>
      <c r="V5047" s="1674"/>
      <c r="W5047" s="1675"/>
      <c r="X5047" s="1674"/>
      <c r="Y5047" s="1674"/>
      <c r="Z5047" s="1674"/>
      <c r="AA5047" s="1674"/>
      <c r="AB5047" s="1674"/>
      <c r="AC5047" s="1674"/>
    </row>
    <row r="5048" spans="1:29" s="1671" customFormat="1" ht="15.6" customHeight="1" x14ac:dyDescent="0.25">
      <c r="A5048" s="1674"/>
      <c r="B5048" s="1674" t="s">
        <v>1572</v>
      </c>
      <c r="C5048" s="1674"/>
      <c r="D5048" s="1678"/>
      <c r="E5048" s="1674"/>
      <c r="F5048" s="1678"/>
      <c r="G5048" s="1678"/>
      <c r="H5048" s="1678"/>
      <c r="I5048" s="58">
        <v>0</v>
      </c>
      <c r="J5048" s="1679"/>
      <c r="K5048" s="58">
        <v>0</v>
      </c>
      <c r="L5048" s="1674"/>
      <c r="M5048" s="1669"/>
      <c r="N5048" s="1669"/>
      <c r="O5048" s="1690"/>
      <c r="Q5048" s="1672"/>
      <c r="R5048" s="1672"/>
      <c r="S5048" s="1672"/>
      <c r="T5048" s="1672"/>
      <c r="U5048" s="1673"/>
      <c r="V5048" s="1674"/>
      <c r="W5048" s="1675"/>
      <c r="X5048" s="1674"/>
      <c r="Y5048" s="1674"/>
      <c r="Z5048" s="1674"/>
      <c r="AA5048" s="1674"/>
      <c r="AB5048" s="1674"/>
      <c r="AC5048" s="1674"/>
    </row>
    <row r="5049" spans="1:29" s="1671" customFormat="1" ht="15.6" customHeight="1" x14ac:dyDescent="0.25">
      <c r="A5049" s="1674"/>
      <c r="B5049" s="1674"/>
      <c r="C5049" s="1674"/>
      <c r="D5049" s="1678"/>
      <c r="E5049" s="1674"/>
      <c r="F5049" s="1678"/>
      <c r="G5049" s="1678"/>
      <c r="H5049" s="1678"/>
      <c r="I5049" s="58"/>
      <c r="J5049" s="1682"/>
      <c r="K5049" s="58"/>
      <c r="L5049" s="1674"/>
      <c r="M5049" s="1669"/>
      <c r="N5049" s="1669"/>
      <c r="O5049" s="1690"/>
      <c r="Q5049" s="1672"/>
      <c r="R5049" s="1672"/>
      <c r="S5049" s="1672"/>
      <c r="T5049" s="1672"/>
      <c r="U5049" s="1673"/>
      <c r="V5049" s="1674"/>
      <c r="W5049" s="1675"/>
      <c r="X5049" s="1674"/>
      <c r="Y5049" s="1674"/>
      <c r="Z5049" s="1674"/>
      <c r="AA5049" s="1674"/>
      <c r="AB5049" s="1674"/>
      <c r="AC5049" s="1674"/>
    </row>
    <row r="5050" spans="1:29" s="1671" customFormat="1" ht="15.6" customHeight="1" thickBot="1" x14ac:dyDescent="0.3">
      <c r="A5050" s="1674"/>
      <c r="B5050" s="1677" t="s">
        <v>4244</v>
      </c>
      <c r="C5050" s="1674"/>
      <c r="D5050" s="1678"/>
      <c r="E5050" s="1674"/>
      <c r="F5050" s="1678"/>
      <c r="G5050" s="1678"/>
      <c r="H5050" s="1678"/>
      <c r="I5050" s="1809">
        <f>SUM(I5046:I5049)</f>
        <v>0</v>
      </c>
      <c r="J5050" s="1679"/>
      <c r="K5050" s="1809">
        <f>SUM(K5046:K5049)</f>
        <v>11263</v>
      </c>
      <c r="L5050" s="1674"/>
      <c r="M5050" s="1669"/>
      <c r="N5050" s="1669"/>
      <c r="O5050" s="1690"/>
      <c r="Q5050" s="1672"/>
      <c r="R5050" s="1672"/>
      <c r="S5050" s="1672"/>
      <c r="T5050" s="1672"/>
      <c r="U5050" s="1673"/>
      <c r="V5050" s="1674"/>
      <c r="W5050" s="1675"/>
      <c r="X5050" s="1674"/>
      <c r="Y5050" s="1674"/>
      <c r="Z5050" s="1674"/>
      <c r="AA5050" s="1674"/>
      <c r="AB5050" s="1674"/>
      <c r="AC5050" s="1674"/>
    </row>
    <row r="5051" spans="1:29" s="1671" customFormat="1" ht="15.6" customHeight="1" thickTop="1" x14ac:dyDescent="0.25">
      <c r="A5051" s="1674"/>
      <c r="B5051" s="1674"/>
      <c r="C5051" s="1674"/>
      <c r="D5051" s="1678"/>
      <c r="E5051" s="1674"/>
      <c r="F5051" s="1678"/>
      <c r="G5051" s="1678"/>
      <c r="H5051" s="1678"/>
      <c r="I5051" s="797">
        <f>I5050-'Notes I'!C698</f>
        <v>0</v>
      </c>
      <c r="J5051" s="1682"/>
      <c r="K5051" s="797">
        <f>K5050-'Notes I'!C792</f>
        <v>0</v>
      </c>
      <c r="L5051" s="1674"/>
      <c r="M5051" s="1669"/>
      <c r="N5051" s="1669"/>
      <c r="O5051" s="1690"/>
      <c r="Q5051" s="1672"/>
      <c r="R5051" s="1672"/>
      <c r="S5051" s="1672"/>
      <c r="T5051" s="1672"/>
      <c r="U5051" s="1673"/>
      <c r="V5051" s="1674"/>
      <c r="W5051" s="1675"/>
      <c r="X5051" s="1674"/>
      <c r="Y5051" s="1674"/>
      <c r="Z5051" s="1674"/>
      <c r="AA5051" s="1674"/>
      <c r="AB5051" s="1674"/>
      <c r="AC5051" s="1674"/>
    </row>
    <row r="5052" spans="1:29" s="1671" customFormat="1" ht="15.6" customHeight="1" x14ac:dyDescent="0.25">
      <c r="A5052" s="1674"/>
      <c r="B5052" s="1677" t="s">
        <v>2003</v>
      </c>
      <c r="C5052" s="1674"/>
      <c r="D5052" s="1678"/>
      <c r="E5052" s="1674"/>
      <c r="F5052" s="1678"/>
      <c r="G5052" s="1678"/>
      <c r="H5052" s="1678"/>
      <c r="I5052" s="58"/>
      <c r="J5052" s="1682"/>
      <c r="K5052" s="58"/>
      <c r="L5052" s="1674"/>
      <c r="M5052" s="1669"/>
      <c r="N5052" s="1669"/>
      <c r="O5052" s="1690"/>
      <c r="Q5052" s="1672"/>
      <c r="R5052" s="1672"/>
      <c r="S5052" s="1672"/>
      <c r="T5052" s="1672"/>
      <c r="U5052" s="1673"/>
      <c r="V5052" s="1674"/>
      <c r="W5052" s="1675"/>
      <c r="X5052" s="1674"/>
      <c r="Y5052" s="1674"/>
      <c r="Z5052" s="1674"/>
      <c r="AA5052" s="1674"/>
      <c r="AB5052" s="1674"/>
      <c r="AC5052" s="1674"/>
    </row>
    <row r="5053" spans="1:29" s="1671" customFormat="1" ht="15.6" customHeight="1" x14ac:dyDescent="0.25">
      <c r="A5053" s="1684"/>
      <c r="B5053" s="2949" t="s">
        <v>1575</v>
      </c>
      <c r="C5053" s="2949"/>
      <c r="D5053" s="2949"/>
      <c r="E5053" s="2949"/>
      <c r="F5053" s="2949"/>
      <c r="G5053" s="2949"/>
      <c r="H5053" s="2949"/>
      <c r="I5053" s="2949"/>
      <c r="J5053" s="2949"/>
      <c r="K5053" s="2949"/>
      <c r="L5053" s="1684"/>
      <c r="M5053" s="1817"/>
      <c r="N5053" s="1728"/>
      <c r="O5053" s="1674"/>
      <c r="Q5053" s="1672"/>
      <c r="R5053" s="1672"/>
      <c r="S5053" s="1672"/>
      <c r="T5053" s="1672"/>
      <c r="U5053" s="1673"/>
      <c r="V5053" s="1674"/>
      <c r="W5053" s="1675"/>
      <c r="X5053" s="1674"/>
      <c r="Y5053" s="1674"/>
      <c r="Z5053" s="1674"/>
      <c r="AA5053" s="1674"/>
      <c r="AB5053" s="1674"/>
      <c r="AC5053" s="1674"/>
    </row>
    <row r="5054" spans="1:29" s="1671" customFormat="1" ht="30.95" customHeight="1" x14ac:dyDescent="0.25">
      <c r="A5054" s="1684"/>
      <c r="B5054" s="2949" t="s">
        <v>1576</v>
      </c>
      <c r="C5054" s="2949"/>
      <c r="D5054" s="2949"/>
      <c r="E5054" s="2949"/>
      <c r="F5054" s="2949"/>
      <c r="G5054" s="2949"/>
      <c r="H5054" s="2949"/>
      <c r="I5054" s="2949"/>
      <c r="J5054" s="2949"/>
      <c r="K5054" s="2949"/>
      <c r="L5054" s="1684"/>
      <c r="M5054" s="1727"/>
      <c r="N5054" s="1728"/>
      <c r="O5054" s="1674"/>
      <c r="Q5054" s="1672"/>
      <c r="R5054" s="1672"/>
      <c r="S5054" s="1672"/>
      <c r="T5054" s="1672"/>
      <c r="U5054" s="1673"/>
      <c r="V5054" s="1674"/>
      <c r="W5054" s="1675"/>
      <c r="X5054" s="1674"/>
      <c r="Y5054" s="1674"/>
      <c r="Z5054" s="1674"/>
      <c r="AA5054" s="1674"/>
      <c r="AB5054" s="1674"/>
      <c r="AC5054" s="1674"/>
    </row>
    <row r="5055" spans="1:29" s="1671" customFormat="1" ht="30.95" customHeight="1" x14ac:dyDescent="0.25">
      <c r="A5055" s="1684"/>
      <c r="B5055" s="2949" t="s">
        <v>1577</v>
      </c>
      <c r="C5055" s="2949"/>
      <c r="D5055" s="2949"/>
      <c r="E5055" s="2949"/>
      <c r="F5055" s="2949"/>
      <c r="G5055" s="2949"/>
      <c r="H5055" s="2949"/>
      <c r="I5055" s="2949"/>
      <c r="J5055" s="2949"/>
      <c r="K5055" s="2949"/>
      <c r="L5055" s="1684"/>
      <c r="M5055" s="1727"/>
      <c r="N5055" s="1728"/>
      <c r="O5055" s="1674"/>
      <c r="Q5055" s="1672"/>
      <c r="R5055" s="1672"/>
      <c r="S5055" s="1672"/>
      <c r="T5055" s="1672"/>
      <c r="U5055" s="1673"/>
      <c r="V5055" s="1674"/>
      <c r="W5055" s="1675"/>
      <c r="X5055" s="1674"/>
      <c r="Y5055" s="1674"/>
      <c r="Z5055" s="1674"/>
      <c r="AA5055" s="1674"/>
      <c r="AB5055" s="1674"/>
      <c r="AC5055" s="1674"/>
    </row>
    <row r="5056" spans="1:29" s="1671" customFormat="1" ht="15.6" customHeight="1" x14ac:dyDescent="0.25">
      <c r="A5056" s="1674"/>
      <c r="B5056" s="1674"/>
      <c r="C5056" s="1674"/>
      <c r="D5056" s="1678"/>
      <c r="E5056" s="1674"/>
      <c r="F5056" s="1678"/>
      <c r="G5056" s="1678"/>
      <c r="H5056" s="1678"/>
      <c r="I5056" s="58"/>
      <c r="J5056" s="1682"/>
      <c r="K5056" s="58"/>
      <c r="L5056" s="1674"/>
      <c r="M5056" s="1669"/>
      <c r="N5056" s="1669"/>
      <c r="O5056" s="1690"/>
      <c r="Q5056" s="1672"/>
      <c r="R5056" s="1672"/>
      <c r="S5056" s="1672"/>
      <c r="T5056" s="1672"/>
      <c r="U5056" s="1673"/>
      <c r="V5056" s="1674"/>
      <c r="W5056" s="1675"/>
      <c r="X5056" s="1674"/>
      <c r="Y5056" s="1674"/>
      <c r="Z5056" s="1674"/>
      <c r="AA5056" s="1674"/>
      <c r="AB5056" s="1674"/>
      <c r="AC5056" s="1674"/>
    </row>
    <row r="5057" spans="1:29" s="1671" customFormat="1" ht="15.6" customHeight="1" x14ac:dyDescent="0.25">
      <c r="A5057" s="1684"/>
      <c r="B5057" s="2949" t="s">
        <v>1578</v>
      </c>
      <c r="C5057" s="2949"/>
      <c r="D5057" s="2949"/>
      <c r="E5057" s="2949"/>
      <c r="F5057" s="2949"/>
      <c r="G5057" s="2949"/>
      <c r="H5057" s="2949"/>
      <c r="I5057" s="2949"/>
      <c r="J5057" s="2949"/>
      <c r="K5057" s="2949"/>
      <c r="L5057" s="1684"/>
      <c r="M5057" s="1817"/>
      <c r="N5057" s="1728"/>
      <c r="O5057" s="1674"/>
      <c r="Q5057" s="1672"/>
      <c r="R5057" s="1672"/>
      <c r="S5057" s="1672"/>
      <c r="T5057" s="1672"/>
      <c r="U5057" s="1673"/>
      <c r="V5057" s="1674"/>
      <c r="W5057" s="1675"/>
      <c r="X5057" s="1674"/>
      <c r="Y5057" s="1674"/>
      <c r="Z5057" s="1674"/>
      <c r="AA5057" s="1674"/>
      <c r="AB5057" s="1674"/>
      <c r="AC5057" s="1674"/>
    </row>
  </sheetData>
  <mergeCells count="742">
    <mergeCell ref="B4956:K4956"/>
    <mergeCell ref="B4958:K4958"/>
    <mergeCell ref="B4945:K4945"/>
    <mergeCell ref="B4946:K4946"/>
    <mergeCell ref="B4948:K4948"/>
    <mergeCell ref="B4949:K4949"/>
    <mergeCell ref="B4950:K4950"/>
    <mergeCell ref="B4951:K4951"/>
    <mergeCell ref="B4952:K4952"/>
    <mergeCell ref="B4953:K4953"/>
    <mergeCell ref="B4954:K4954"/>
    <mergeCell ref="B5054:K5054"/>
    <mergeCell ref="B5055:K5055"/>
    <mergeCell ref="B5057:K5057"/>
    <mergeCell ref="B4972:B4973"/>
    <mergeCell ref="B4985:G4985"/>
    <mergeCell ref="B4986:G4986"/>
    <mergeCell ref="B4987:K4987"/>
    <mergeCell ref="B4996:G4996"/>
    <mergeCell ref="B4999:K4999"/>
    <mergeCell ref="B5020:G5020"/>
    <mergeCell ref="M5035:N5035"/>
    <mergeCell ref="B5053:K5053"/>
    <mergeCell ref="B4960:K4960"/>
    <mergeCell ref="B4962:K4962"/>
    <mergeCell ref="B4964:K4964"/>
    <mergeCell ref="B4965:K4965"/>
    <mergeCell ref="B4966:K4966"/>
    <mergeCell ref="B4968:K4968"/>
    <mergeCell ref="B4969:K4969"/>
    <mergeCell ref="E4971:G4971"/>
    <mergeCell ref="I4971:K4971"/>
    <mergeCell ref="B4933:K4933"/>
    <mergeCell ref="B4934:K4934"/>
    <mergeCell ref="B4937:K4937"/>
    <mergeCell ref="B4938:K4938"/>
    <mergeCell ref="B4939:K4939"/>
    <mergeCell ref="B4940:K4940"/>
    <mergeCell ref="B4943:K4943"/>
    <mergeCell ref="B4833:K4833"/>
    <mergeCell ref="B4835:K4835"/>
    <mergeCell ref="B4838:K4838"/>
    <mergeCell ref="B4877:K4877"/>
    <mergeCell ref="B4878:K4878"/>
    <mergeCell ref="B4882:K4882"/>
    <mergeCell ref="B4921:K4921"/>
    <mergeCell ref="B4922:K4922"/>
    <mergeCell ref="B4926:K4926"/>
    <mergeCell ref="B4930:K4930"/>
    <mergeCell ref="B4931:K4931"/>
    <mergeCell ref="B4817:K4817"/>
    <mergeCell ref="B4820:K4820"/>
    <mergeCell ref="B4821:K4821"/>
    <mergeCell ref="B4822:K4822"/>
    <mergeCell ref="B4825:K4825"/>
    <mergeCell ref="B4826:K4826"/>
    <mergeCell ref="B4828:K4828"/>
    <mergeCell ref="B4831:K4831"/>
    <mergeCell ref="B4832:K4832"/>
    <mergeCell ref="B4803:K4803"/>
    <mergeCell ref="B4805:K4805"/>
    <mergeCell ref="B4806:K4806"/>
    <mergeCell ref="B4808:K4808"/>
    <mergeCell ref="B4810:K4810"/>
    <mergeCell ref="B4812:K4812"/>
    <mergeCell ref="B4813:K4813"/>
    <mergeCell ref="B4814:K4814"/>
    <mergeCell ref="B4815:K4815"/>
    <mergeCell ref="B4786:K4786"/>
    <mergeCell ref="B4790:K4790"/>
    <mergeCell ref="B4791:K4791"/>
    <mergeCell ref="B4792:K4792"/>
    <mergeCell ref="B4796:K4796"/>
    <mergeCell ref="B4798:K4798"/>
    <mergeCell ref="B4799:K4799"/>
    <mergeCell ref="B4800:K4800"/>
    <mergeCell ref="B4802:K4802"/>
    <mergeCell ref="B4766:K4766"/>
    <mergeCell ref="B4769:K4769"/>
    <mergeCell ref="B4772:K4772"/>
    <mergeCell ref="B4774:K4774"/>
    <mergeCell ref="B4776:K4776"/>
    <mergeCell ref="B4780:K4780"/>
    <mergeCell ref="B4781:K4781"/>
    <mergeCell ref="B4783:K4783"/>
    <mergeCell ref="B4784:K4784"/>
    <mergeCell ref="B4745:K4745"/>
    <mergeCell ref="B4746:K4746"/>
    <mergeCell ref="B4747:K4747"/>
    <mergeCell ref="B4749:K4749"/>
    <mergeCell ref="B4750:K4750"/>
    <mergeCell ref="B4752:K4752"/>
    <mergeCell ref="B4756:K4756"/>
    <mergeCell ref="B4758:K4758"/>
    <mergeCell ref="B4763:K4763"/>
    <mergeCell ref="B4716:K4716"/>
    <mergeCell ref="B4721:G4721"/>
    <mergeCell ref="B4732:K4732"/>
    <mergeCell ref="B4733:K4733"/>
    <mergeCell ref="B4735:K4735"/>
    <mergeCell ref="B4739:K4739"/>
    <mergeCell ref="B4740:K4740"/>
    <mergeCell ref="B4742:K4742"/>
    <mergeCell ref="B4743:K4743"/>
    <mergeCell ref="B4640:K4640"/>
    <mergeCell ref="B4641:K4641"/>
    <mergeCell ref="B4643:K4643"/>
    <mergeCell ref="B4644:K4644"/>
    <mergeCell ref="B4645:K4645"/>
    <mergeCell ref="B4709:K4709"/>
    <mergeCell ref="B4711:K4711"/>
    <mergeCell ref="B4712:K4712"/>
    <mergeCell ref="B4715:K4715"/>
    <mergeCell ref="B4576:K4576"/>
    <mergeCell ref="B4577:K4577"/>
    <mergeCell ref="E4579:G4579"/>
    <mergeCell ref="I4579:K4579"/>
    <mergeCell ref="B4630:K4630"/>
    <mergeCell ref="B4631:K4631"/>
    <mergeCell ref="B4635:K4635"/>
    <mergeCell ref="B4637:K4637"/>
    <mergeCell ref="B4638:K4638"/>
    <mergeCell ref="B4552:K4552"/>
    <mergeCell ref="B4555:K4555"/>
    <mergeCell ref="B4558:K4558"/>
    <mergeCell ref="B4561:K4561"/>
    <mergeCell ref="B4564:K4564"/>
    <mergeCell ref="B4566:K4566"/>
    <mergeCell ref="B4569:K4569"/>
    <mergeCell ref="B4572:K4572"/>
    <mergeCell ref="B4574:K4574"/>
    <mergeCell ref="B4331:K4331"/>
    <mergeCell ref="B4334:G4334"/>
    <mergeCell ref="B4336:C4336"/>
    <mergeCell ref="E4336:G4336"/>
    <mergeCell ref="B4469:G4469"/>
    <mergeCell ref="B4471:C4471"/>
    <mergeCell ref="E4471:G4471"/>
    <mergeCell ref="B1522:K1522"/>
    <mergeCell ref="I1473:K1473"/>
    <mergeCell ref="B1495:G1495"/>
    <mergeCell ref="B4095:C4095"/>
    <mergeCell ref="E4095:K4095"/>
    <mergeCell ref="B4190:K4190"/>
    <mergeCell ref="B1491:K1491"/>
    <mergeCell ref="B1855:K1855"/>
    <mergeCell ref="B1485:C1485"/>
    <mergeCell ref="B4202:B4204"/>
    <mergeCell ref="B4131:G4131"/>
    <mergeCell ref="B4213:K4213"/>
    <mergeCell ref="E4071:K4071"/>
    <mergeCell ref="B4004:G4004"/>
    <mergeCell ref="B4040:C4040"/>
    <mergeCell ref="E4070:K4070"/>
    <mergeCell ref="B2041:G2041"/>
    <mergeCell ref="B3811:K3811"/>
    <mergeCell ref="B3813:K3813"/>
    <mergeCell ref="B3830:K3830"/>
    <mergeCell ref="B3832:K3832"/>
    <mergeCell ref="B1653:K1653"/>
    <mergeCell ref="E1473:G1473"/>
    <mergeCell ref="B1369:G1369"/>
    <mergeCell ref="E1641:G1641"/>
    <mergeCell ref="B1518:K1518"/>
    <mergeCell ref="B1467:K1467"/>
    <mergeCell ref="B1463:K1463"/>
    <mergeCell ref="B1640:G1640"/>
    <mergeCell ref="B1471:G1471"/>
    <mergeCell ref="B1544:G1544"/>
    <mergeCell ref="B1565:G1565"/>
    <mergeCell ref="B1403:G1403"/>
    <mergeCell ref="B1391:G1391"/>
    <mergeCell ref="B1572:G1572"/>
    <mergeCell ref="B1523:K1523"/>
    <mergeCell ref="B1441:K1441"/>
    <mergeCell ref="B1458:K1458"/>
    <mergeCell ref="B1450:K1450"/>
    <mergeCell ref="B1452:K1452"/>
    <mergeCell ref="B1443:K1443"/>
    <mergeCell ref="B2236:G2236"/>
    <mergeCell ref="B2502:G2502"/>
    <mergeCell ref="B2302:G2302"/>
    <mergeCell ref="B2489:G2489"/>
    <mergeCell ref="B2369:G2369"/>
    <mergeCell ref="B2491:G2491"/>
    <mergeCell ref="B2726:G2726"/>
    <mergeCell ref="B319:G319"/>
    <mergeCell ref="B328:G328"/>
    <mergeCell ref="B401:G401"/>
    <mergeCell ref="B440:G440"/>
    <mergeCell ref="B1352:G1352"/>
    <mergeCell ref="B1322:G1322"/>
    <mergeCell ref="B1334:G1334"/>
    <mergeCell ref="B1292:G1292"/>
    <mergeCell ref="B1291:G1291"/>
    <mergeCell ref="B1093:G1093"/>
    <mergeCell ref="B1280:G1280"/>
    <mergeCell ref="B1095:G1095"/>
    <mergeCell ref="B1286:G1286"/>
    <mergeCell ref="B1294:G1294"/>
    <mergeCell ref="B1319:G1319"/>
    <mergeCell ref="B1324:G1324"/>
    <mergeCell ref="B2031:G2031"/>
    <mergeCell ref="B1413:G1413"/>
    <mergeCell ref="B1383:G1383"/>
    <mergeCell ref="B1657:G1657"/>
    <mergeCell ref="B2034:G2034"/>
    <mergeCell ref="B2036:G2036"/>
    <mergeCell ref="B2033:G2033"/>
    <mergeCell ref="B2040:G2040"/>
    <mergeCell ref="B1991:G1991"/>
    <mergeCell ref="B1993:G1993"/>
    <mergeCell ref="B1995:G1995"/>
    <mergeCell ref="B1997:G1997"/>
    <mergeCell ref="B2001:G2001"/>
    <mergeCell ref="B1981:I1981"/>
    <mergeCell ref="B1446:K1446"/>
    <mergeCell ref="B2039:K2039"/>
    <mergeCell ref="I2008:K2008"/>
    <mergeCell ref="B1972:G1972"/>
    <mergeCell ref="B1877:G1877"/>
    <mergeCell ref="B1895:G1895"/>
    <mergeCell ref="B1999:G1999"/>
    <mergeCell ref="B2003:G2003"/>
    <mergeCell ref="B1448:K1448"/>
    <mergeCell ref="B1465:K1465"/>
    <mergeCell ref="B1466:K1466"/>
    <mergeCell ref="B792:G792"/>
    <mergeCell ref="B796:G796"/>
    <mergeCell ref="C1231:C1232"/>
    <mergeCell ref="B1075:G1075"/>
    <mergeCell ref="B1876:G1876"/>
    <mergeCell ref="E1826:G1826"/>
    <mergeCell ref="B1872:G1872"/>
    <mergeCell ref="B1842:G1842"/>
    <mergeCell ref="B1840:K1840"/>
    <mergeCell ref="B1754:K1754"/>
    <mergeCell ref="B1870:G1870"/>
    <mergeCell ref="K1231:K1232"/>
    <mergeCell ref="B1346:G1346"/>
    <mergeCell ref="B1444:K1444"/>
    <mergeCell ref="B1351:G1351"/>
    <mergeCell ref="B1365:G1365"/>
    <mergeCell ref="B1412:G1412"/>
    <mergeCell ref="B1411:G1411"/>
    <mergeCell ref="B1546:G1546"/>
    <mergeCell ref="B1282:G1282"/>
    <mergeCell ref="B1548:G1548"/>
    <mergeCell ref="B1550:G1550"/>
    <mergeCell ref="B1408:G1408"/>
    <mergeCell ref="I1185:K1185"/>
    <mergeCell ref="B779:G779"/>
    <mergeCell ref="B781:G781"/>
    <mergeCell ref="E922:G922"/>
    <mergeCell ref="B1078:G1078"/>
    <mergeCell ref="B1031:K1031"/>
    <mergeCell ref="I922:K922"/>
    <mergeCell ref="B914:K914"/>
    <mergeCell ref="B1037:K1037"/>
    <mergeCell ref="B1022:K1022"/>
    <mergeCell ref="B1057:G1057"/>
    <mergeCell ref="B1039:K1039"/>
    <mergeCell ref="B1035:K1035"/>
    <mergeCell ref="I861:K861"/>
    <mergeCell ref="B868:K868"/>
    <mergeCell ref="B950:G950"/>
    <mergeCell ref="B838:G838"/>
    <mergeCell ref="B788:G788"/>
    <mergeCell ref="B918:K918"/>
    <mergeCell ref="B872:K872"/>
    <mergeCell ref="B814:G814"/>
    <mergeCell ref="B1016:K1016"/>
    <mergeCell ref="B948:G948"/>
    <mergeCell ref="B1011:K1011"/>
    <mergeCell ref="B870:K870"/>
    <mergeCell ref="I1231:I1232"/>
    <mergeCell ref="B1574:G1574"/>
    <mergeCell ref="B2324:G2324"/>
    <mergeCell ref="B2291:G2291"/>
    <mergeCell ref="B2587:G2587"/>
    <mergeCell ref="B1927:G1927"/>
    <mergeCell ref="B1941:G1941"/>
    <mergeCell ref="B2106:G2106"/>
    <mergeCell ref="B1939:G1939"/>
    <mergeCell ref="B1909:G1909"/>
    <mergeCell ref="B1973:G1973"/>
    <mergeCell ref="B1974:G1974"/>
    <mergeCell ref="B1975:G1975"/>
    <mergeCell ref="B2042:G2042"/>
    <mergeCell ref="B2043:G2043"/>
    <mergeCell ref="B2045:G2045"/>
    <mergeCell ref="B2048:G2048"/>
    <mergeCell ref="B2047:G2047"/>
    <mergeCell ref="B1989:G1989"/>
    <mergeCell ref="B1984:G1984"/>
    <mergeCell ref="B1985:G1985"/>
    <mergeCell ref="B1971:G1971"/>
    <mergeCell ref="B1970:G1970"/>
    <mergeCell ref="B1969:G1969"/>
    <mergeCell ref="B3600:K3600"/>
    <mergeCell ref="B3534:K3534"/>
    <mergeCell ref="B3640:K3640"/>
    <mergeCell ref="B2269:G2269"/>
    <mergeCell ref="B2258:G2258"/>
    <mergeCell ref="B2409:G2409"/>
    <mergeCell ref="B2335:G2335"/>
    <mergeCell ref="B2590:G2590"/>
    <mergeCell ref="B2817:G2817"/>
    <mergeCell ref="B2916:G2916"/>
    <mergeCell ref="B3496:K3496"/>
    <mergeCell ref="B2933:G2933"/>
    <mergeCell ref="B2999:G2999"/>
    <mergeCell ref="B3241:K3241"/>
    <mergeCell ref="B3050:G3050"/>
    <mergeCell ref="B3005:G3005"/>
    <mergeCell ref="G3462:G3463"/>
    <mergeCell ref="B3135:K3135"/>
    <mergeCell ref="B3399:K3399"/>
    <mergeCell ref="B3391:K3391"/>
    <mergeCell ref="B2536:G2536"/>
    <mergeCell ref="B2585:G2585"/>
    <mergeCell ref="B2339:G2339"/>
    <mergeCell ref="B2280:G2280"/>
    <mergeCell ref="B2613:G2613"/>
    <mergeCell ref="B2665:G2665"/>
    <mergeCell ref="B2910:G2910"/>
    <mergeCell ref="C3270:E3270"/>
    <mergeCell ref="B3527:K3527"/>
    <mergeCell ref="B3607:K3607"/>
    <mergeCell ref="B3644:K3644"/>
    <mergeCell ref="B3266:K3266"/>
    <mergeCell ref="B3268:K3268"/>
    <mergeCell ref="B3044:G3044"/>
    <mergeCell ref="B3069:G3069"/>
    <mergeCell ref="B3458:K3458"/>
    <mergeCell ref="B3393:K3393"/>
    <mergeCell ref="B3368:K3368"/>
    <mergeCell ref="B3424:K3424"/>
    <mergeCell ref="C3271:E3271"/>
    <mergeCell ref="B3178:K3178"/>
    <mergeCell ref="B3246:K3246"/>
    <mergeCell ref="B3397:K3397"/>
    <mergeCell ref="B3143:K3143"/>
    <mergeCell ref="B3594:G3594"/>
    <mergeCell ref="B3501:K3501"/>
    <mergeCell ref="B3532:K3532"/>
    <mergeCell ref="B3611:K3611"/>
    <mergeCell ref="B2907:G2907"/>
    <mergeCell ref="B2905:G2905"/>
    <mergeCell ref="B2810:G2810"/>
    <mergeCell ref="B2663:G2663"/>
    <mergeCell ref="B2851:G2851"/>
    <mergeCell ref="B2812:G2812"/>
    <mergeCell ref="B2654:G2654"/>
    <mergeCell ref="B2728:G2728"/>
    <mergeCell ref="B2730:G2730"/>
    <mergeCell ref="B2753:G2753"/>
    <mergeCell ref="B2724:G2724"/>
    <mergeCell ref="G3653:G3654"/>
    <mergeCell ref="B3779:K3779"/>
    <mergeCell ref="B3703:K3703"/>
    <mergeCell ref="B2247:G2247"/>
    <mergeCell ref="B2170:G2170"/>
    <mergeCell ref="B2108:G2108"/>
    <mergeCell ref="B2137:G2137"/>
    <mergeCell ref="B2385:G2385"/>
    <mergeCell ref="B2115:G2115"/>
    <mergeCell ref="B2397:G2397"/>
    <mergeCell ref="B2634:G2634"/>
    <mergeCell ref="B2602:G2602"/>
    <mergeCell ref="B2623:G2623"/>
    <mergeCell ref="B2181:G2181"/>
    <mergeCell ref="B2428:G2428"/>
    <mergeCell ref="B2432:G2432"/>
    <mergeCell ref="B2124:G2124"/>
    <mergeCell ref="B2192:G2192"/>
    <mergeCell ref="B2533:G2533"/>
    <mergeCell ref="B2535:G2535"/>
    <mergeCell ref="B2214:G2214"/>
    <mergeCell ref="B2148:G2148"/>
    <mergeCell ref="B2159:G2159"/>
    <mergeCell ref="B2430:G2430"/>
    <mergeCell ref="B415:G415"/>
    <mergeCell ref="B388:K388"/>
    <mergeCell ref="B782:G782"/>
    <mergeCell ref="B816:G816"/>
    <mergeCell ref="B790:G790"/>
    <mergeCell ref="B1651:K1651"/>
    <mergeCell ref="I1641:K1641"/>
    <mergeCell ref="B685:G685"/>
    <mergeCell ref="B713:G713"/>
    <mergeCell ref="B701:G701"/>
    <mergeCell ref="B585:G585"/>
    <mergeCell ref="B595:G595"/>
    <mergeCell ref="B597:G597"/>
    <mergeCell ref="B711:G711"/>
    <mergeCell ref="B775:G775"/>
    <mergeCell ref="B932:C932"/>
    <mergeCell ref="B772:G772"/>
    <mergeCell ref="B774:G774"/>
    <mergeCell ref="B1315:G1315"/>
    <mergeCell ref="B1091:G1091"/>
    <mergeCell ref="B1288:G1288"/>
    <mergeCell ref="B1025:K1025"/>
    <mergeCell ref="B1028:K1028"/>
    <mergeCell ref="B1033:K1033"/>
    <mergeCell ref="B243:K243"/>
    <mergeCell ref="B120:G120"/>
    <mergeCell ref="B1041:K1041"/>
    <mergeCell ref="B1019:K1019"/>
    <mergeCell ref="B1013:K1013"/>
    <mergeCell ref="B954:G954"/>
    <mergeCell ref="B1009:K1009"/>
    <mergeCell ref="B952:G952"/>
    <mergeCell ref="B786:G786"/>
    <mergeCell ref="B956:G956"/>
    <mergeCell ref="E861:G861"/>
    <mergeCell ref="B426:G426"/>
    <mergeCell ref="B330:G330"/>
    <mergeCell ref="B340:G340"/>
    <mergeCell ref="B383:G383"/>
    <mergeCell ref="B390:G390"/>
    <mergeCell ref="B352:G352"/>
    <mergeCell ref="B525:K525"/>
    <mergeCell ref="B531:K531"/>
    <mergeCell ref="B527:K527"/>
    <mergeCell ref="B529:K529"/>
    <mergeCell ref="B675:G675"/>
    <mergeCell ref="B683:G683"/>
    <mergeCell ref="B691:G691"/>
    <mergeCell ref="B289:G289"/>
    <mergeCell ref="A1:L1"/>
    <mergeCell ref="A2:L2"/>
    <mergeCell ref="B58:G58"/>
    <mergeCell ref="B89:G89"/>
    <mergeCell ref="B48:G48"/>
    <mergeCell ref="B46:G46"/>
    <mergeCell ref="B51:G51"/>
    <mergeCell ref="B59:G59"/>
    <mergeCell ref="B88:G88"/>
    <mergeCell ref="B13:G13"/>
    <mergeCell ref="B30:G30"/>
    <mergeCell ref="B50:G50"/>
    <mergeCell ref="B42:G42"/>
    <mergeCell ref="B55:G55"/>
    <mergeCell ref="B57:G57"/>
    <mergeCell ref="B9:K9"/>
    <mergeCell ref="B26:K26"/>
    <mergeCell ref="B93:G93"/>
    <mergeCell ref="B261:G261"/>
    <mergeCell ref="B262:G262"/>
    <mergeCell ref="B263:G263"/>
    <mergeCell ref="B264:G264"/>
    <mergeCell ref="B265:G265"/>
    <mergeCell ref="B385:G385"/>
    <mergeCell ref="B95:G95"/>
    <mergeCell ref="B308:G308"/>
    <mergeCell ref="B292:G292"/>
    <mergeCell ref="B250:K250"/>
    <mergeCell ref="B282:G282"/>
    <mergeCell ref="B137:G137"/>
    <mergeCell ref="B139:G139"/>
    <mergeCell ref="B149:G149"/>
    <mergeCell ref="B252:K252"/>
    <mergeCell ref="B256:K256"/>
    <mergeCell ref="B244:K244"/>
    <mergeCell ref="B245:K245"/>
    <mergeCell ref="B248:K248"/>
    <mergeCell ref="B114:G114"/>
    <mergeCell ref="B246:K246"/>
    <mergeCell ref="B268:K268"/>
    <mergeCell ref="B161:G161"/>
    <mergeCell ref="B127:G127"/>
    <mergeCell ref="B129:G129"/>
    <mergeCell ref="B242:K242"/>
    <mergeCell ref="B121:G121"/>
    <mergeCell ref="B123:G123"/>
    <mergeCell ref="B118:G118"/>
    <mergeCell ref="B4205:K4205"/>
    <mergeCell ref="B721:G721"/>
    <mergeCell ref="B603:G603"/>
    <mergeCell ref="B664:K664"/>
    <mergeCell ref="B672:K672"/>
    <mergeCell ref="B266:K266"/>
    <mergeCell ref="B417:G417"/>
    <mergeCell ref="B409:G409"/>
    <mergeCell ref="B342:G342"/>
    <mergeCell ref="B394:G394"/>
    <mergeCell ref="B433:G433"/>
    <mergeCell ref="B668:K668"/>
    <mergeCell ref="B670:K670"/>
    <mergeCell ref="B666:K666"/>
    <mergeCell ref="B709:G709"/>
    <mergeCell ref="B673:K673"/>
    <mergeCell ref="B387:K387"/>
    <mergeCell ref="B425:G425"/>
    <mergeCell ref="B423:G423"/>
    <mergeCell ref="B583:G583"/>
    <mergeCell ref="B386:K386"/>
    <mergeCell ref="B347:G347"/>
    <mergeCell ref="B563:G563"/>
    <mergeCell ref="B294:G294"/>
    <mergeCell ref="D4202:G4202"/>
    <mergeCell ref="E4055:K4055"/>
    <mergeCell ref="E4069:K4069"/>
    <mergeCell ref="B4039:C4039"/>
    <mergeCell ref="E4074:K4074"/>
    <mergeCell ref="B4055:C4055"/>
    <mergeCell ref="E4075:K4075"/>
    <mergeCell ref="B254:K254"/>
    <mergeCell ref="B399:G399"/>
    <mergeCell ref="B413:G413"/>
    <mergeCell ref="B258:K258"/>
    <mergeCell ref="B300:G300"/>
    <mergeCell ref="B298:G298"/>
    <mergeCell ref="B275:K275"/>
    <mergeCell ref="B312:G312"/>
    <mergeCell ref="B301:G301"/>
    <mergeCell ref="B290:G290"/>
    <mergeCell ref="B392:G392"/>
    <mergeCell ref="B260:K260"/>
    <mergeCell ref="B272:K272"/>
    <mergeCell ref="B274:K274"/>
    <mergeCell ref="B541:K541"/>
    <mergeCell ref="K441:K442"/>
    <mergeCell ref="K482:K483"/>
    <mergeCell ref="B1076:G1076"/>
    <mergeCell ref="B1278:G1278"/>
    <mergeCell ref="B1686:G1686"/>
    <mergeCell ref="B1321:G1321"/>
    <mergeCell ref="B1284:G1284"/>
    <mergeCell ref="B1317:G1317"/>
    <mergeCell ref="D4211:G4211"/>
    <mergeCell ref="H4210:J4212"/>
    <mergeCell ref="B4210:B4212"/>
    <mergeCell ref="D4207:G4207"/>
    <mergeCell ref="D4210:G4210"/>
    <mergeCell ref="E4072:K4072"/>
    <mergeCell ref="B4022:G4022"/>
    <mergeCell ref="B4206:B4208"/>
    <mergeCell ref="E4040:K4040"/>
    <mergeCell ref="B4209:K4209"/>
    <mergeCell ref="D4203:G4203"/>
    <mergeCell ref="B4091:C4091"/>
    <mergeCell ref="E4090:K4090"/>
    <mergeCell ref="B4118:G4118"/>
    <mergeCell ref="B4146:G4146"/>
    <mergeCell ref="D4201:G4201"/>
    <mergeCell ref="E4096:K4096"/>
    <mergeCell ref="B1329:K1329"/>
    <mergeCell ref="B3560:G3560"/>
    <mergeCell ref="B3605:K3605"/>
    <mergeCell ref="B1174:K1174"/>
    <mergeCell ref="E1185:G1185"/>
    <mergeCell ref="B1114:G1114"/>
    <mergeCell ref="B1097:G1097"/>
    <mergeCell ref="B1276:G1276"/>
    <mergeCell ref="B1116:G1116"/>
    <mergeCell ref="B1117:G1117"/>
    <mergeCell ref="B1289:G1289"/>
    <mergeCell ref="B1296:G1296"/>
    <mergeCell ref="B2454:G2454"/>
    <mergeCell ref="B2203:G2203"/>
    <mergeCell ref="B2313:G2313"/>
    <mergeCell ref="B2918:G2918"/>
    <mergeCell ref="B2371:G2371"/>
    <mergeCell ref="B2841:G2841"/>
    <mergeCell ref="B3024:G3024"/>
    <mergeCell ref="B2855:G2855"/>
    <mergeCell ref="B2901:G2901"/>
    <mergeCell ref="B2928:G2928"/>
    <mergeCell ref="B2583:G2583"/>
    <mergeCell ref="B2853:G2853"/>
    <mergeCell ref="B2884:G2884"/>
    <mergeCell ref="B4268:K4268"/>
    <mergeCell ref="B4313:K4313"/>
    <mergeCell ref="B3460:K3460"/>
    <mergeCell ref="H4201:J4201"/>
    <mergeCell ref="B3638:K3638"/>
    <mergeCell ref="B874:K874"/>
    <mergeCell ref="B1089:K1089"/>
    <mergeCell ref="B3061:G3061"/>
    <mergeCell ref="B4171:G4171"/>
    <mergeCell ref="B4141:G4141"/>
    <mergeCell ref="B4144:G4144"/>
    <mergeCell ref="B4121:G4121"/>
    <mergeCell ref="I3788:I3789"/>
    <mergeCell ref="B3650:K3650"/>
    <mergeCell ref="B3477:C3477"/>
    <mergeCell ref="B1736:K1736"/>
    <mergeCell ref="B3785:K3785"/>
    <mergeCell ref="B3727:K3727"/>
    <mergeCell ref="B3775:K3775"/>
    <mergeCell ref="K3673:K3674"/>
    <mergeCell ref="B1935:G1935"/>
    <mergeCell ref="B1937:G1937"/>
    <mergeCell ref="B1744:K1744"/>
    <mergeCell ref="B1759:G1759"/>
    <mergeCell ref="B4321:K4321"/>
    <mergeCell ref="B4323:K4323"/>
    <mergeCell ref="B4325:K4325"/>
    <mergeCell ref="D4215:G4215"/>
    <mergeCell ref="B3754:K3754"/>
    <mergeCell ref="B4306:G4306"/>
    <mergeCell ref="B3892:K3892"/>
    <mergeCell ref="H4214:J4216"/>
    <mergeCell ref="B3986:G3986"/>
    <mergeCell ref="B3962:G3962"/>
    <mergeCell ref="D4214:G4214"/>
    <mergeCell ref="H4206:J4208"/>
    <mergeCell ref="D4216:G4216"/>
    <mergeCell ref="B4275:G4275"/>
    <mergeCell ref="B3967:G3967"/>
    <mergeCell ref="B4199:K4199"/>
    <mergeCell ref="D4204:G4204"/>
    <mergeCell ref="B4198:K4198"/>
    <mergeCell ref="E4091:K4091"/>
    <mergeCell ref="B4080:G4080"/>
    <mergeCell ref="B4319:K4319"/>
    <mergeCell ref="D4206:G4206"/>
    <mergeCell ref="B4317:K4317"/>
    <mergeCell ref="B3968:G3968"/>
    <mergeCell ref="B4258:K4258"/>
    <mergeCell ref="B4312:K4312"/>
    <mergeCell ref="B2839:G2839"/>
    <mergeCell ref="B2903:G2903"/>
    <mergeCell ref="G3673:G3674"/>
    <mergeCell ref="H4202:J4204"/>
    <mergeCell ref="B4194:K4194"/>
    <mergeCell ref="B4096:C4096"/>
    <mergeCell ref="B3646:K3646"/>
    <mergeCell ref="I3653:I3654"/>
    <mergeCell ref="B3992:G3992"/>
    <mergeCell ref="B3960:G3960"/>
    <mergeCell ref="B3783:K3783"/>
    <mergeCell ref="B3777:K3777"/>
    <mergeCell ref="B4029:G4029"/>
    <mergeCell ref="E4039:K4039"/>
    <mergeCell ref="B4090:C4090"/>
    <mergeCell ref="B3998:G3998"/>
    <mergeCell ref="B3974:G3974"/>
    <mergeCell ref="B4196:K4196"/>
    <mergeCell ref="E4076:K4076"/>
    <mergeCell ref="D4208:G4208"/>
    <mergeCell ref="B4069:C4069"/>
    <mergeCell ref="B4059:G4059"/>
    <mergeCell ref="B1700:K1700"/>
    <mergeCell ref="B1750:K1750"/>
    <mergeCell ref="B1838:K1838"/>
    <mergeCell ref="B1931:G1931"/>
    <mergeCell ref="B1748:K1748"/>
    <mergeCell ref="B1655:K1655"/>
    <mergeCell ref="B2110:K2110"/>
    <mergeCell ref="B1740:K1740"/>
    <mergeCell ref="D4212:G4212"/>
    <mergeCell ref="B3687:K3687"/>
    <mergeCell ref="E3653:E3654"/>
    <mergeCell ref="B3065:G3065"/>
    <mergeCell ref="B3454:K3454"/>
    <mergeCell ref="B3430:K3430"/>
    <mergeCell ref="B3648:K3648"/>
    <mergeCell ref="B3642:K3642"/>
    <mergeCell ref="B3494:K3494"/>
    <mergeCell ref="B3729:K3729"/>
    <mergeCell ref="B3426:K3426"/>
    <mergeCell ref="B3142:K3142"/>
    <mergeCell ref="B3525:K3525"/>
    <mergeCell ref="B3959:G3959"/>
    <mergeCell ref="I3673:I3674"/>
    <mergeCell ref="B3896:G3896"/>
    <mergeCell ref="B4223:K4223"/>
    <mergeCell ref="B1893:G1893"/>
    <mergeCell ref="E2008:G2008"/>
    <mergeCell ref="I1826:K1826"/>
    <mergeCell ref="B2666:G2666"/>
    <mergeCell ref="B2643:G2643"/>
    <mergeCell ref="B3001:G3001"/>
    <mergeCell ref="B2909:G2909"/>
    <mergeCell ref="B2912:G2912"/>
    <mergeCell ref="B3027:G3027"/>
    <mergeCell ref="B3052:G3052"/>
    <mergeCell ref="B3003:G3003"/>
    <mergeCell ref="B2914:G2914"/>
    <mergeCell ref="E4073:K4073"/>
    <mergeCell ref="B3752:K3752"/>
    <mergeCell ref="B3781:K3781"/>
    <mergeCell ref="B4214:B4216"/>
    <mergeCell ref="B2882:G2882"/>
    <mergeCell ref="B4217:K4217"/>
    <mergeCell ref="K3653:K3654"/>
    <mergeCell ref="B3980:G3980"/>
    <mergeCell ref="B3595:G3595"/>
    <mergeCell ref="B3701:K3701"/>
    <mergeCell ref="B3609:K3609"/>
    <mergeCell ref="B1469:K1469"/>
    <mergeCell ref="B1409:G1409"/>
    <mergeCell ref="B1669:K1669"/>
    <mergeCell ref="B1410:G1410"/>
    <mergeCell ref="B1336:G1336"/>
    <mergeCell ref="B777:G777"/>
    <mergeCell ref="B820:G820"/>
    <mergeCell ref="B784:G784"/>
    <mergeCell ref="B2225:G2225"/>
    <mergeCell ref="B1558:G1558"/>
    <mergeCell ref="B1891:G1891"/>
    <mergeCell ref="B1688:G1688"/>
    <mergeCell ref="B1836:K1836"/>
    <mergeCell ref="B1976:G1976"/>
    <mergeCell ref="B1977:G1977"/>
    <mergeCell ref="B1978:G1978"/>
    <mergeCell ref="B1979:G1979"/>
    <mergeCell ref="B1980:G1980"/>
    <mergeCell ref="B1982:G1982"/>
    <mergeCell ref="B1967:G1967"/>
    <mergeCell ref="B1968:G1968"/>
    <mergeCell ref="B2038:G2038"/>
    <mergeCell ref="B1987:G1987"/>
    <mergeCell ref="B1752:K1752"/>
    <mergeCell ref="B734:G734"/>
    <mergeCell ref="B1983:G1983"/>
    <mergeCell ref="B523:K523"/>
    <mergeCell ref="B548:G548"/>
    <mergeCell ref="B550:G550"/>
    <mergeCell ref="B551:G551"/>
    <mergeCell ref="B559:G559"/>
    <mergeCell ref="B565:G565"/>
    <mergeCell ref="B573:G573"/>
    <mergeCell ref="B532:K532"/>
    <mergeCell ref="B534:K534"/>
    <mergeCell ref="B535:K535"/>
    <mergeCell ref="B537:K537"/>
    <mergeCell ref="B1684:G1684"/>
    <mergeCell ref="B726:G726"/>
    <mergeCell ref="B682:G682"/>
    <mergeCell ref="B725:G725"/>
    <mergeCell ref="B1454:K1454"/>
    <mergeCell ref="B1065:G1065"/>
    <mergeCell ref="B1437:K1437"/>
    <mergeCell ref="B1951:G1951"/>
    <mergeCell ref="B1825:G1825"/>
    <mergeCell ref="B1360:G1360"/>
    <mergeCell ref="B1456:K1456"/>
  </mergeCells>
  <phoneticPr fontId="14" type="noConversion"/>
  <conditionalFormatting sqref="K4309 I4309 G3422 K3698 I3698 I3684 I3773 K3773 K3771 I3748 I3724 G3634 E3554 I3530 K3530 G3523 I3523 K3523 I3496:I3503 K3496:K3503 G3554 K3554 I3554 G3492 E3492 I3424:I3432 K3424:K3432 K3422 I3452 K3452 I3492 K3492 I3389 K3389 G3389 G3372 I3371:I3372 I3368 K3239 K3371:K3372 I3178 K3178 I3422 I3771 I3750 K3750 G3771 E3602 E3634 K2999:K3001 I2999:I3001 G3808 G3602 K3808 I3808 K3684 I3672 I3602:I3603 K3602:K3603 I3634 I3636 K3636 K3634 K3365:K3369 I3365 I3892 K3892 E3264 I3264 I3243:I3248 K3243:K3248 G3264 K3264 G3684 K3672 K2927 I2927 I2901:I2904 K2901:K2904 K2881:K2885 I2881:I2885 K2854 K2809:K2813 K2740 K2803 I2740 I2803 K2838:K2840 I2838:I2840 I2752:I2754 K2752:K2754 I2809:I2813 I2854 I2851:I2852 K2851:K2852 N2817 K2532:K2534 I2532:I2534 I2501 K2501 K2471 I2486 I2471 K2486 I2489:I2490 K2489:K2490 I2463 K2463 I2447 K2453:K2455 K2447 I2453:I2455 I2427:I2431 K2427:K2431 K2158 I2158 I1990 I2030 K2030 K2105:K2108 I2105:I2108 K1990 K1926:K1928 I1957 K1957 I1950 K1950 I1735 G1735 E1735 K1918 I1918 K1888 I1888 I1797 K1878 I1873:I1875 K1871 I1871 K1855:K1856 I1844 K1844 I1855:I1856 K1873:K1875 K1812 I1812 I1785 K1785 K1828 I1828 I1835:I1842 K1835:K1842 I1754 K1735 K1705 I1752 K1752 K1754 K1797 I1878 I1908 K1908 I1669 I1659 K1669 K1659 I1627 K1627 K1600 I1600 I1612 K1612 I1651:I1657 K1651:K1657 N1523 K1543:K1547 K1526 I1526 I1549:I1551 I1564 K1564 K1549:K1551 I1543:I1547 I1361 I1415 K1415 I1359 K1359 I1451 K1451 K1453 I1453 K1361 I1345 K1345 I1333 K1333 K1314:K1315 I1314:I1315 I1317 K1317 I1824:I1826 K1639 I1639 K1824:K1826 I1699:I1701 K1699:K1701 K1719:K1721 N1927 I1926:I1928 I1966 K1966 I2582:I2586 I1436:I1449 K1436:K1449 K1992 I1992 K2582:K2586 K1515:K1524 I1515:I1524 G1719:G1721 E1719:E1721 K2368:K2372 I2368:I2372 I1275:I1283 K1275:K1283 N1291:N1292 K1455:K1472 I1455:I1472 I3142:I3143 K3142:K3143 E3827 E3846 K3846 I3830 K3830 I3832:I3833 K3832:K3833 G3846 K3827 G3827 I3869:I3871 K3863 K3856 I3856 I3863 K3869:K3871 I3846 I3827 G1144 G1154 I1144 I1154 K1144 K1154 K1134 I1074 K1074 I1086 K1086 I1044 K1044 I1014 G1009 G1011:G1012 N1010:N1012 I1009:I1012 K984 I851 K851 K895 K912 K663 K762 I762 K733 I733 K756 I756 K753 I753 K747 I747 I663 K633 I633 E633 G633 K602 I602 E663 G663 K432 I432 K380 I380 I351 K351 K307 I307 K1008:K1014 K1130 I1130 N390:N393 I390:I393 K390:K393 K318 I318 K325 I325 K339 I339 K698 I698 K708 I708 K1121 I1121 K1113:K1115 I1113:I1115 N528 K558 I558 I481 G481 K439 I439 G522 I522 K572 I572 K580 I580 K594 I594 I527:I528 G527:G528 K527:K528 E481 E522 K481 N1057:N1058 N251 K87 G201 K201 K160 I160 K154:K155 I154:I155 K146 I146 I87 G241 K241 K250:K251 G250:G251 I250:I251 I41 K41 K347:K348 N347:N348 I347:I348 I1172:I1174 K1172:K1174 K522 I4660 I4676:I4682 I4690 I4702 I4704 I4706:I5057 I4692:I4696 I4662:I4666 K4629:K5057 K1490:K1497 I1490:I1497 K3877 I3877 K4327:K4627 I4327:I4653">
    <cfRule type="cellIs" dxfId="50" priority="909" stopIfTrue="1" operator="between">
      <formula>0.001</formula>
      <formula>-0.001</formula>
    </cfRule>
  </conditionalFormatting>
  <conditionalFormatting sqref="I4305:I4309 K4305:K4309 G3422 K3698 I3698 I3902 K3902 I3684 K3771 I3748 I3593 I3724 G3634 E3634 I3554 G3554 K3554 E3554 I3492 K3492 G3492 E3492 I3389 G3389 K3389 K3422 I3422 I3771 G3771 E3602 G3808 G3602 K3808 K3601:K3602 I3808 I3601:I3602 K3684 I3672 I3634 K3634 K3365 I3365 G3684 K3672 K4315:K4316 I4315:I4316 K2998:K3001 I2998:I3001 K2900:K2904 I2900:I2904 K2881:K2885 I2881:I2885 I2875 K2875 I2832 K2832 I2812 K2812 K2838:K2842 I2838:I2842 I2753:I2754 K2753:K2754 K2854 K2850:K2852 I2850:I2852 I2854 I2810 K2810 K2817 I2817 I2538 K2538 I2576 K2576 K2532:K2534 I2532:I2534 K2526 I2526 K2489 I2489 I2384 K2384 I2396 K2396 I2408 K2408 I2453:I2455 I2447 K2447 K2453:K2455 K2421 I2421 K2349 I2349 I2427:I2431 K2427:K2431 I2334 K2334 I2323 K2268 I2268 K2323 K2257 I2257 K2246 I2246 K2290 I2290 K2301 I2301 I2224 K2224 I2235 K2235 K2202 I2202 I2169 K2169 I2191 K2191 K2180 I2180 K2147 I2147 K2123 I2123 K2136 I2136 K2279 I2279 K2312 I2312 I2024 K2030 I2085 K2085 I2030 K2024 K2105:K2108 I2105:I2108 I1523 K1523 I2213 K2213 I2722 K2722 K2582:K2586 I2582:I2586 I4318 K4318 K4320 I4320 I4322 K4322 K4324 I4324 I4326 K4326 I3907 K3907 I2099 K2099 K2368:K2372 I2368:I2372 I2362 K2362 K3593 K1291:K1292 I1291:I1292 E3846 K3846 E3827 G3846 K3827 G3827 K3869:K3871 K3856 K3863 I3863 I3856 I3869:I3871 I3846 I3827 K1064 I1064 K1056:K1058 I1056:I1058 I3877 K3877">
    <cfRule type="cellIs" dxfId="49" priority="910" stopIfTrue="1" operator="between">
      <formula>-0.001</formula>
      <formula>0.001</formula>
    </cfRule>
  </conditionalFormatting>
  <conditionalFormatting sqref="I2384 I2396 I2408 I2268 I2323 I2290 I2301 I2312">
    <cfRule type="cellIs" dxfId="48" priority="907" stopIfTrue="1" operator="between">
      <formula>- 0.001</formula>
      <formula>0.001</formula>
    </cfRule>
  </conditionalFormatting>
  <conditionalFormatting sqref="G3422 I3698 I3748 I3724 G3808 I3554 G3554 K3554 E3554 K3492 I3492 I3389 G3389 K3389 K3422 I3422 G3634 I3808 I3602 K3808 K3602 I3634 F1714:F1721 E1735:G1735 F1726:F1728 G1719 E1719 F1708:F1712 I2746 K2746 E3846 K3846 E3827 G3846 K3827 G3827 I3869:I3871 I3856 I3863 I3846 I3827 I3877">
    <cfRule type="cellIs" dxfId="47" priority="879" stopIfTrue="1" operator="between">
      <formula>0.001</formula>
      <formula>-0.001</formula>
    </cfRule>
  </conditionalFormatting>
  <conditionalFormatting sqref="I3773 K3773 I3530 K3530 I3496:I3503 K3496:K3503 I3424:I3432 K3424:K3432 I3368 K3368 I3178 K3178 I3750 K3750 K3001 I3001 K2999 I2999 I3602:I3603 K3602:K3603 I3636 K3636 I3892 K3892 I3243:I3248 K3243:K3248 K2903 K2901 I2901 I2903 I2884 K2884 I2882 K2882 K2753 I2753 K2812 I2812 I2839 K2839 K2810 I2810 K2851 I2851 K2585 I2585 I2533 K2533 K2583 I2583 K2489 I2489 K2428 I2428 I2369 K2369 K2371 I2371 K2430 I2430 K2108 I2108 I2106 K2106 K1700 I1700 K1544 I1544 K1437 I1437 K1315 I1315 K1317 I1317 K1278 I1278 K1275:K1276 I1275:I1276 K1280 I1280 K1282 I1282 I3142:I3143 K3142:K3143 I3830 K3830 I3832:I3833 K3832:K3833 I1010:I1012 K1010:K1012 K1114 I1114 I1173:I1174 K1173:K1174 I4660 I4676:I4682 I4690 I4702 I4704 I4706:I5057 I4692:I4696 I4662:I4666 K4629:K5057 K4327:K4627 I4327:I4653">
    <cfRule type="cellIs" dxfId="46" priority="833" stopIfTrue="1" operator="equal">
      <formula>0</formula>
    </cfRule>
  </conditionalFormatting>
  <conditionalFormatting sqref="C1144:E1145 G1144:G1145 D1137:D1143 C1154:E1154 G1154 D1146:D1153">
    <cfRule type="cellIs" dxfId="45" priority="698" stopIfTrue="1" operator="between">
      <formula>0.001</formula>
      <formula>-1</formula>
    </cfRule>
  </conditionalFormatting>
  <conditionalFormatting sqref="I4579:I4582 K4579:K4582 I4740:I4741 K4740:K4741 K4552:K4577 I4552:I4577 K4711:K4717 I4711:I4717 K4743:K4744 I4743:I4744 I4746:I4751 K4746:K4751 I4792:I4798 K4792:K4798 I4800:I4811 K4800:K4811 K4813:K4838 I4813:I4838">
    <cfRule type="cellIs" dxfId="44" priority="22" stopIfTrue="1" operator="between">
      <formula>0.001</formula>
      <formula>-0.001</formula>
    </cfRule>
  </conditionalFormatting>
  <conditionalFormatting sqref="I4579:I4582 K4579:K4582 I4740:I4741 K4740:K4741 K4552:K4577 I4552:I4577 K4711:K4717 I4711:I4717 K4743:K4744 I4743:I4744 I4746:I4751 K4746:K4751 K4792:K4798 I4792:I4798 K4800:K4811 I4800:I4811 I4813:I4838 K4813:K4838">
    <cfRule type="cellIs" dxfId="43" priority="21" stopIfTrue="1" operator="equal">
      <formula>0</formula>
    </cfRule>
  </conditionalFormatting>
  <conditionalFormatting sqref="K4909 I4876:I4889 K4876:K4889 K4891 I4891 I4909 I4719 K4719 E4624:E4625 K4736:K4738 I4736:I4738 E4601:E4602 I4549 K4549 K4502 I4502 I4464 K4464 I4467 K4467 I4456 K4456 G4601 G4624 I4933:I4934 K4933:K4934 I4707:I4710 I4601:I4602 K4601:K4602 I4624:I4625 K4624:K4625 E4674 I4662 E4662 K4662 K4674 K4635:K4644 I4635:I4644 I4677:I4679 K4676:K4679 K4754:K4757 I4754:I4757 K4762 I4762 K4765:K4790 I4765:I4790 K4983 I4983 K4940 I4940 I4936 K4936 I4942:I4943 K4942:K4943 I4958 K4958 I4960 K4960 K4997 I4997 K4706:K4710 E4704 I4704 K4692 K4704 I4692 E4692 I4893:I4907 K4893:K4907 I4911:I4925 K4911:K4925">
    <cfRule type="cellIs" dxfId="42" priority="20" stopIfTrue="1" operator="between">
      <formula>0.001</formula>
      <formula>-0.001</formula>
    </cfRule>
  </conditionalFormatting>
  <conditionalFormatting sqref="K4502 I4502">
    <cfRule type="cellIs" dxfId="41" priority="19" stopIfTrue="1" operator="between">
      <formula>-0.001</formula>
      <formula>0.001</formula>
    </cfRule>
  </conditionalFormatting>
  <conditionalFormatting sqref="E4856 E4874 E4900 E4918 K5018 I5028 K5051 I5018 I5051">
    <cfRule type="cellIs" dxfId="40" priority="18" stopIfTrue="1" operator="between">
      <formula>0.001</formula>
      <formula>-0.001</formula>
    </cfRule>
  </conditionalFormatting>
  <conditionalFormatting sqref="I4909 K4876:K4889 I4876:I4889 I4891 K4891 K4909 K4625 I4625 I4719 K4719 K4736:K4738 I4736:I4738 I4602 K4602 I4549 K4549 K4933:K4934 I4933:I4934 I4707:I4710 I4662 K4662 K4674 K4635:K4644 I4635:I4644 I4677:I4679 K4676:K4679 K4754:K4757 I4754:I4757 K4762 I4762 K4765:K4790 I4765:I4790 I4940 K4940 K4936 I4936 K4942:K4943 I4942:I4943 K4958 I4958 K4960 I4960 K4706:K4710 I4704 K4692 K4704 I4692 K4893:K4907 I4893:I4907 K4911:K4925 I4911:I4925">
    <cfRule type="cellIs" dxfId="39" priority="17" stopIfTrue="1" operator="equal">
      <formula>0</formula>
    </cfRule>
  </conditionalFormatting>
  <conditionalFormatting sqref="K5028 K5044 I5044">
    <cfRule type="cellIs" dxfId="38" priority="15" stopIfTrue="1" operator="between">
      <formula>0.001</formula>
      <formula>-0.001</formula>
    </cfRule>
    <cfRule type="cellIs" dxfId="37" priority="16" stopIfTrue="1" operator="between">
      <formula>0.001</formula>
      <formula>-0.001</formula>
    </cfRule>
  </conditionalFormatting>
  <conditionalFormatting sqref="K4735 I4735">
    <cfRule type="cellIs" dxfId="36" priority="14" stopIfTrue="1" operator="between">
      <formula>0.001</formula>
      <formula>-0.001</formula>
    </cfRule>
  </conditionalFormatting>
  <conditionalFormatting sqref="K4735 I4735">
    <cfRule type="cellIs" dxfId="35" priority="13" stopIfTrue="1" operator="equal">
      <formula>0</formula>
    </cfRule>
  </conditionalFormatting>
  <conditionalFormatting sqref="K4742 I4742">
    <cfRule type="cellIs" dxfId="34" priority="12" stopIfTrue="1" operator="between">
      <formula>0.001</formula>
      <formula>-0.001</formula>
    </cfRule>
  </conditionalFormatting>
  <conditionalFormatting sqref="I4745 K4745">
    <cfRule type="cellIs" dxfId="33" priority="11" stopIfTrue="1" operator="between">
      <formula>0.001</formula>
      <formula>-0.001</formula>
    </cfRule>
  </conditionalFormatting>
  <conditionalFormatting sqref="I4745 K4745">
    <cfRule type="cellIs" dxfId="32" priority="10" stopIfTrue="1" operator="equal">
      <formula>0</formula>
    </cfRule>
  </conditionalFormatting>
  <conditionalFormatting sqref="K4799 I4799">
    <cfRule type="cellIs" dxfId="31" priority="9" stopIfTrue="1" operator="between">
      <formula>0.001</formula>
      <formula>-0.001</formula>
    </cfRule>
  </conditionalFormatting>
  <conditionalFormatting sqref="I4799 K4799">
    <cfRule type="cellIs" dxfId="30" priority="8" stopIfTrue="1" operator="equal">
      <formula>0</formula>
    </cfRule>
  </conditionalFormatting>
  <conditionalFormatting sqref="K4812 I4812">
    <cfRule type="cellIs" dxfId="29" priority="7" stopIfTrue="1" operator="between">
      <formula>0.001</formula>
      <formula>-0.001</formula>
    </cfRule>
  </conditionalFormatting>
  <conditionalFormatting sqref="I4812 K4812">
    <cfRule type="cellIs" dxfId="28" priority="6" stopIfTrue="1" operator="equal">
      <formula>0</formula>
    </cfRule>
  </conditionalFormatting>
  <conditionalFormatting sqref="C481 C522">
    <cfRule type="cellIs" dxfId="27" priority="5" stopIfTrue="1" operator="between">
      <formula>0.001</formula>
      <formula>-0.001</formula>
    </cfRule>
  </conditionalFormatting>
  <conditionalFormatting sqref="I4674">
    <cfRule type="cellIs" dxfId="26" priority="4" stopIfTrue="1" operator="between">
      <formula>0.001</formula>
      <formula>-0.001</formula>
    </cfRule>
  </conditionalFormatting>
  <conditionalFormatting sqref="I3878:I3879 K3878:K3879">
    <cfRule type="cellIs" dxfId="25" priority="2" stopIfTrue="1" operator="between">
      <formula>0.001</formula>
      <formula>-0.001</formula>
    </cfRule>
  </conditionalFormatting>
  <conditionalFormatting sqref="K3878:K3879 I3878:I3879">
    <cfRule type="cellIs" dxfId="24" priority="3" stopIfTrue="1" operator="between">
      <formula>-0.001</formula>
      <formula>0.001</formula>
    </cfRule>
  </conditionalFormatting>
  <conditionalFormatting sqref="I3878:I3879">
    <cfRule type="cellIs" dxfId="23"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60" firstPageNumber="59" orientation="portrait" r:id="rId1"/>
  <headerFooter alignWithMargins="0"/>
  <rowBreaks count="33" manualBreakCount="33">
    <brk id="272" max="11" man="1"/>
    <brk id="434" max="11" man="1"/>
    <brk id="793" max="11" man="1"/>
    <brk id="957" max="11" man="1"/>
    <brk id="1324" max="11" man="1"/>
    <brk id="1493" max="11" man="1"/>
    <brk id="1877" max="11" man="1"/>
    <brk id="2049" max="11" man="1"/>
    <brk id="2148" max="11" man="1"/>
    <brk id="2215" max="11" man="1"/>
    <brk id="2500" max="11" man="1"/>
    <brk id="2613" max="11" man="1"/>
    <brk id="2728" max="11" man="1"/>
    <brk id="2907" max="11" man="1"/>
    <brk id="3030" max="11" man="1"/>
    <brk id="3238" max="11" man="1"/>
    <brk id="3364" max="11" man="1"/>
    <brk id="3523" max="11" man="1"/>
    <brk id="3771" max="11" man="1"/>
    <brk id="3886" max="11" man="1"/>
    <brk id="4024" max="11" man="1"/>
    <brk id="4116" max="11" man="1"/>
    <brk id="4170" max="11" man="1"/>
    <brk id="4234" max="11" man="1"/>
    <brk id="4312" max="11" man="1"/>
    <brk id="4467" max="11" man="1"/>
    <brk id="4549" max="11" man="1"/>
    <brk id="4630" max="11" man="1"/>
    <brk id="4676" max="11" man="1"/>
    <brk id="4735" max="11" man="1"/>
    <brk id="4792" max="11" man="1"/>
    <brk id="4940" max="11" man="1"/>
    <brk id="4996" max="11" man="1"/>
  </rowBreaks>
  <ignoredErrors>
    <ignoredError sqref="K2575 G646:K646 K1427 I2575" formulaRange="1"/>
    <ignoredError sqref="I35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7683" r:id="rId4" name="Button 12323">
              <controlPr defaultSize="0" print="0" autoFill="0" autoPict="0" macro="[0]!LoadfrmMapItem">
                <anchor moveWithCells="1" sizeWithCells="1">
                  <from>
                    <xdr:col>15</xdr:col>
                    <xdr:colOff>85725</xdr:colOff>
                    <xdr:row>0</xdr:row>
                    <xdr:rowOff>47625</xdr:rowOff>
                  </from>
                  <to>
                    <xdr:col>15</xdr:col>
                    <xdr:colOff>1066800</xdr:colOff>
                    <xdr:row>1</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217"/>
  <sheetViews>
    <sheetView view="pageBreakPreview" topLeftCell="A175" zoomScale="70" zoomScaleNormal="100" zoomScaleSheetLayoutView="70" workbookViewId="0">
      <selection activeCell="L154" sqref="L154"/>
    </sheetView>
  </sheetViews>
  <sheetFormatPr defaultColWidth="9.140625" defaultRowHeight="15" x14ac:dyDescent="0.25"/>
  <cols>
    <col min="1" max="1" width="5.7109375" style="1826" customWidth="1"/>
    <col min="2" max="2" width="55.7109375" style="1826" customWidth="1"/>
    <col min="3" max="3" width="7.7109375" style="1826" customWidth="1"/>
    <col min="4" max="4" width="14.7109375" style="1826" customWidth="1"/>
    <col min="5" max="10" width="15.7109375" style="1826" customWidth="1"/>
    <col min="11" max="11" width="17.7109375" style="1818" customWidth="1"/>
    <col min="12" max="12" width="17.7109375" style="1819" customWidth="1"/>
    <col min="13" max="14" width="9.140625" style="1819"/>
    <col min="15" max="15" width="15.140625" style="1675" bestFit="1" customWidth="1"/>
    <col min="16" max="16384" width="9.140625" style="1819"/>
  </cols>
  <sheetData>
    <row r="1" spans="1:15" ht="20.100000000000001" customHeight="1" x14ac:dyDescent="0.25">
      <c r="A1" s="2978" t="str">
        <f>Parameters!C5</f>
        <v>Mohokare Local Municipality</v>
      </c>
      <c r="B1" s="2978"/>
      <c r="C1" s="2978"/>
      <c r="D1" s="2978"/>
      <c r="E1" s="2978"/>
      <c r="F1" s="2978"/>
      <c r="G1" s="2978"/>
      <c r="H1" s="2978"/>
      <c r="I1" s="2978"/>
      <c r="J1" s="2978"/>
    </row>
    <row r="2" spans="1:15" ht="18" customHeight="1" x14ac:dyDescent="0.25">
      <c r="A2" s="2979" t="str">
        <f>"NOTES TO THE FINANCIAL STATEMENTS FOR THE YEAR ENDED "&amp;Parameters!C6</f>
        <v>NOTES TO THE FINANCIAL STATEMENTS FOR THE YEAR ENDED 30 JUNE 2012</v>
      </c>
      <c r="B2" s="2980"/>
      <c r="C2" s="2980"/>
      <c r="D2" s="2980"/>
      <c r="E2" s="2980"/>
      <c r="F2" s="2980"/>
      <c r="G2" s="2980"/>
      <c r="H2" s="2980"/>
      <c r="I2" s="2980"/>
      <c r="J2" s="2980"/>
      <c r="K2" s="1820" t="s">
        <v>454</v>
      </c>
      <c r="L2" s="1721" t="s">
        <v>803</v>
      </c>
      <c r="O2" s="1675" t="s">
        <v>2881</v>
      </c>
    </row>
    <row r="3" spans="1:15" ht="15" customHeight="1" x14ac:dyDescent="0.25">
      <c r="A3" s="1821"/>
      <c r="B3" s="1822"/>
      <c r="C3" s="1823"/>
      <c r="D3" s="1824"/>
      <c r="E3" s="1824"/>
      <c r="F3" s="1825"/>
      <c r="G3" s="1823"/>
    </row>
    <row r="4" spans="1:15" ht="15" customHeight="1" x14ac:dyDescent="0.25">
      <c r="A4" s="1827">
        <v>46</v>
      </c>
      <c r="B4" s="1725" t="s">
        <v>1203</v>
      </c>
      <c r="C4" s="1823"/>
      <c r="D4" s="1824"/>
      <c r="E4" s="1824"/>
      <c r="F4" s="1825"/>
      <c r="G4" s="1823"/>
      <c r="O4" s="1675" t="s">
        <v>3520</v>
      </c>
    </row>
    <row r="5" spans="1:15" ht="15" customHeight="1" x14ac:dyDescent="0.25">
      <c r="A5" s="1821"/>
      <c r="B5" s="1823"/>
      <c r="C5" s="1823"/>
      <c r="D5" s="1824"/>
      <c r="E5" s="1824"/>
      <c r="F5" s="1828"/>
      <c r="G5" s="1823"/>
    </row>
    <row r="6" spans="1:15" ht="15" customHeight="1" x14ac:dyDescent="0.25">
      <c r="A6" s="1690"/>
      <c r="B6" s="1829" t="s">
        <v>7626</v>
      </c>
      <c r="C6" s="1690"/>
      <c r="D6" s="1824"/>
      <c r="E6" s="1824"/>
      <c r="F6" s="1824"/>
      <c r="G6" s="1690"/>
      <c r="H6" s="1819"/>
      <c r="I6" s="1819"/>
      <c r="J6" s="1819"/>
      <c r="O6" s="1675" t="s">
        <v>3857</v>
      </c>
    </row>
    <row r="7" spans="1:15" ht="15" customHeight="1" x14ac:dyDescent="0.25">
      <c r="A7" s="1819"/>
      <c r="B7" s="1819"/>
      <c r="C7" s="1819"/>
      <c r="D7" s="1819"/>
      <c r="E7" s="1819"/>
      <c r="F7" s="1819"/>
      <c r="G7" s="1819"/>
      <c r="H7" s="1819"/>
      <c r="I7" s="1819"/>
      <c r="J7" s="1819"/>
    </row>
    <row r="8" spans="1:15" ht="41.25" customHeight="1" x14ac:dyDescent="0.25">
      <c r="A8" s="1830"/>
      <c r="B8" s="2970" t="s">
        <v>7362</v>
      </c>
      <c r="C8" s="2970"/>
      <c r="D8" s="2970"/>
      <c r="E8" s="2970"/>
      <c r="F8" s="2970"/>
      <c r="G8" s="2970"/>
      <c r="H8" s="2970"/>
      <c r="I8" s="2970"/>
      <c r="J8" s="2970"/>
      <c r="K8" s="1731" t="s">
        <v>2436</v>
      </c>
    </row>
    <row r="9" spans="1:15" ht="15" customHeight="1" x14ac:dyDescent="0.25">
      <c r="A9" s="1819"/>
      <c r="B9" s="1819"/>
      <c r="C9" s="1819"/>
      <c r="D9" s="1819"/>
      <c r="E9" s="1819"/>
      <c r="F9" s="1819"/>
      <c r="G9" s="1819"/>
      <c r="H9" s="1819"/>
      <c r="I9" s="1819"/>
      <c r="J9" s="1819"/>
      <c r="K9" s="1819"/>
    </row>
    <row r="10" spans="1:15" ht="15" customHeight="1" x14ac:dyDescent="0.25">
      <c r="A10" s="1819"/>
      <c r="B10" s="1831" t="s">
        <v>1224</v>
      </c>
      <c r="C10" s="1819"/>
      <c r="D10" s="1819"/>
      <c r="E10" s="1819"/>
      <c r="F10" s="1819"/>
      <c r="G10" s="1819"/>
      <c r="H10" s="1819"/>
      <c r="I10" s="1819"/>
      <c r="J10" s="1819"/>
      <c r="K10" s="1819"/>
    </row>
    <row r="11" spans="1:15" ht="15" customHeight="1" x14ac:dyDescent="0.25">
      <c r="A11" s="1819"/>
      <c r="B11" s="1819"/>
      <c r="C11" s="1819"/>
      <c r="D11" s="1819"/>
      <c r="E11" s="1819"/>
      <c r="F11" s="1819"/>
      <c r="G11" s="1819"/>
      <c r="H11" s="1819"/>
      <c r="I11" s="1819"/>
      <c r="J11" s="1819"/>
      <c r="K11" s="1819"/>
    </row>
    <row r="12" spans="1:15" ht="30" hidden="1" customHeight="1" x14ac:dyDescent="0.25">
      <c r="A12" s="1819"/>
      <c r="B12" s="2977" t="s">
        <v>1912</v>
      </c>
      <c r="C12" s="2977"/>
      <c r="D12" s="2977"/>
      <c r="E12" s="2977"/>
      <c r="F12" s="2977"/>
      <c r="G12" s="2977"/>
      <c r="H12" s="2977"/>
      <c r="I12" s="2977"/>
      <c r="J12" s="2977"/>
      <c r="K12" s="1703"/>
    </row>
    <row r="13" spans="1:15" ht="15" customHeight="1" x14ac:dyDescent="0.25">
      <c r="A13" s="1830"/>
      <c r="B13" s="2970" t="s">
        <v>2176</v>
      </c>
      <c r="C13" s="2970"/>
      <c r="D13" s="2970"/>
      <c r="E13" s="2970"/>
      <c r="F13" s="2970"/>
      <c r="G13" s="2970"/>
      <c r="H13" s="2970"/>
      <c r="I13" s="2970"/>
      <c r="J13" s="2970"/>
      <c r="K13" s="1703"/>
    </row>
    <row r="14" spans="1:15" ht="15" customHeight="1" x14ac:dyDescent="0.25">
      <c r="A14" s="1819"/>
      <c r="B14" s="1819"/>
      <c r="C14" s="1819"/>
      <c r="D14" s="1819"/>
      <c r="E14" s="1819"/>
      <c r="F14" s="1819"/>
      <c r="G14" s="1819"/>
      <c r="H14" s="1819"/>
      <c r="I14" s="1819"/>
      <c r="J14" s="1819"/>
    </row>
    <row r="15" spans="1:15" ht="30" customHeight="1" x14ac:dyDescent="0.25">
      <c r="A15" s="1830"/>
      <c r="B15" s="2970" t="s">
        <v>1225</v>
      </c>
      <c r="C15" s="2970"/>
      <c r="D15" s="2970"/>
      <c r="E15" s="2970"/>
      <c r="F15" s="2970"/>
      <c r="G15" s="2970"/>
      <c r="H15" s="2970"/>
      <c r="I15" s="2970"/>
      <c r="J15" s="2970"/>
      <c r="K15" s="1731" t="s">
        <v>2437</v>
      </c>
    </row>
    <row r="16" spans="1:15" ht="15" customHeight="1" thickBot="1" x14ac:dyDescent="0.3">
      <c r="A16" s="1819"/>
      <c r="B16" s="1819"/>
      <c r="C16" s="1819"/>
      <c r="D16" s="1819"/>
      <c r="E16" s="1819"/>
      <c r="F16" s="1819"/>
      <c r="G16" s="1819"/>
      <c r="H16" s="1819"/>
      <c r="I16" s="1819"/>
      <c r="J16" s="1819"/>
    </row>
    <row r="17" spans="1:13" ht="15" customHeight="1" x14ac:dyDescent="0.25">
      <c r="A17" s="1832"/>
      <c r="B17" s="1833"/>
      <c r="C17" s="1834" t="s">
        <v>256</v>
      </c>
      <c r="D17" s="1835" t="s">
        <v>1197</v>
      </c>
      <c r="E17" s="304"/>
      <c r="F17" s="305" t="s">
        <v>1205</v>
      </c>
      <c r="G17" s="306" t="s">
        <v>1206</v>
      </c>
      <c r="H17" s="307" t="s">
        <v>1207</v>
      </c>
      <c r="I17" s="1836" t="s">
        <v>1208</v>
      </c>
      <c r="J17" s="308" t="s">
        <v>1209</v>
      </c>
      <c r="K17" s="1837" t="s">
        <v>2438</v>
      </c>
      <c r="L17" s="1838"/>
    </row>
    <row r="18" spans="1:13" ht="15" customHeight="1" x14ac:dyDescent="0.25">
      <c r="A18" s="2971" t="s">
        <v>7</v>
      </c>
      <c r="B18" s="2972"/>
      <c r="C18" s="1839" t="s">
        <v>1210</v>
      </c>
      <c r="D18" s="1824" t="s">
        <v>1211</v>
      </c>
      <c r="E18" s="1840" t="s">
        <v>234</v>
      </c>
      <c r="F18" s="311"/>
      <c r="G18" s="312"/>
      <c r="H18" s="1839"/>
      <c r="I18" s="1839"/>
      <c r="J18" s="1841"/>
    </row>
    <row r="19" spans="1:13" ht="15" customHeight="1" thickBot="1" x14ac:dyDescent="0.3">
      <c r="A19" s="1842"/>
      <c r="B19" s="1843"/>
      <c r="C19" s="1844" t="s">
        <v>1212</v>
      </c>
      <c r="D19" s="1845" t="s">
        <v>1201</v>
      </c>
      <c r="E19" s="1846"/>
      <c r="F19" s="1847" t="s">
        <v>1213</v>
      </c>
      <c r="G19" s="1848" t="s">
        <v>1214</v>
      </c>
      <c r="H19" s="1844" t="s">
        <v>1215</v>
      </c>
      <c r="I19" s="1844" t="s">
        <v>1215</v>
      </c>
      <c r="J19" s="1849" t="s">
        <v>1216</v>
      </c>
      <c r="K19" s="1820" t="s">
        <v>1661</v>
      </c>
      <c r="L19" s="1850" t="s">
        <v>1663</v>
      </c>
      <c r="M19" s="1850" t="s">
        <v>1662</v>
      </c>
    </row>
    <row r="20" spans="1:13" ht="15" customHeight="1" x14ac:dyDescent="0.25">
      <c r="A20" s="1776"/>
      <c r="B20" s="1833"/>
      <c r="C20" s="1851" t="s">
        <v>1217</v>
      </c>
      <c r="D20" s="1852" t="s">
        <v>218</v>
      </c>
      <c r="E20" s="1834" t="s">
        <v>255</v>
      </c>
      <c r="F20" s="1834" t="s">
        <v>255</v>
      </c>
      <c r="G20" s="1834" t="s">
        <v>255</v>
      </c>
      <c r="H20" s="1834" t="s">
        <v>255</v>
      </c>
      <c r="I20" s="1834"/>
      <c r="J20" s="1853" t="s">
        <v>255</v>
      </c>
      <c r="L20" s="1854"/>
    </row>
    <row r="21" spans="1:13" ht="15" customHeight="1" x14ac:dyDescent="0.25">
      <c r="A21" s="1855"/>
      <c r="B21" s="1673"/>
      <c r="C21" s="1856"/>
      <c r="D21" s="1857"/>
      <c r="E21" s="1840"/>
      <c r="F21" s="314"/>
      <c r="G21" s="1277"/>
      <c r="H21" s="1672"/>
      <c r="I21" s="1672"/>
      <c r="J21" s="1858"/>
      <c r="L21" s="1854"/>
    </row>
    <row r="22" spans="1:13" ht="15" customHeight="1" x14ac:dyDescent="0.25">
      <c r="A22" s="1859"/>
      <c r="B22" s="1860" t="str">
        <f>Parameters!C11</f>
        <v>30 June 2012</v>
      </c>
      <c r="C22" s="1856"/>
      <c r="D22" s="1857"/>
      <c r="E22" s="1840"/>
      <c r="F22" s="314"/>
      <c r="G22" s="1277"/>
      <c r="H22" s="1672"/>
      <c r="I22" s="1672"/>
      <c r="J22" s="1858"/>
      <c r="K22" s="1818">
        <f>K33*M33/L33</f>
        <v>0</v>
      </c>
      <c r="L22" s="1854"/>
    </row>
    <row r="23" spans="1:13" ht="15" customHeight="1" x14ac:dyDescent="0.25">
      <c r="A23" s="1855"/>
      <c r="B23" s="1673"/>
      <c r="C23" s="1856"/>
      <c r="D23" s="1861"/>
      <c r="E23" s="1862"/>
      <c r="F23" s="1273"/>
      <c r="G23" s="1862"/>
      <c r="H23" s="1862"/>
      <c r="I23" s="1863"/>
      <c r="J23" s="1864"/>
      <c r="L23" s="1854"/>
    </row>
    <row r="24" spans="1:13" ht="15" customHeight="1" x14ac:dyDescent="0.25">
      <c r="A24" s="1855"/>
      <c r="B24" s="1673" t="s">
        <v>1226</v>
      </c>
      <c r="C24" s="1856"/>
      <c r="D24" s="1861"/>
      <c r="E24" s="1865">
        <f t="shared" ref="E24:E37" si="0">SUM(F24:J24)</f>
        <v>17480577.309999987</v>
      </c>
      <c r="F24" s="1866">
        <f>SUM(F25:F26)</f>
        <v>16169966.309999986</v>
      </c>
      <c r="G24" s="1866">
        <f>SUM(G25:G26)</f>
        <v>90387</v>
      </c>
      <c r="H24" s="1286">
        <f>SUM(H25:H26)</f>
        <v>361548</v>
      </c>
      <c r="I24" s="1286">
        <f>SUM(I25:I26)</f>
        <v>542322</v>
      </c>
      <c r="J24" s="1864">
        <f>SUM(J25:J26)</f>
        <v>316354</v>
      </c>
      <c r="L24" s="1867"/>
    </row>
    <row r="25" spans="1:13" ht="15" customHeight="1" x14ac:dyDescent="0.25">
      <c r="A25" s="1855"/>
      <c r="B25" s="2525" t="s">
        <v>7366</v>
      </c>
      <c r="C25" s="2520"/>
      <c r="D25" s="2527">
        <v>0</v>
      </c>
      <c r="E25" s="2521">
        <f>SUM(F25:J25)</f>
        <v>16068867.309999986</v>
      </c>
      <c r="F25" s="2522">
        <f>'Notes II'!I1171-SUM(G25:J25)</f>
        <v>16068867.309999986</v>
      </c>
      <c r="G25" s="2523">
        <v>0</v>
      </c>
      <c r="H25" s="2523">
        <v>0</v>
      </c>
      <c r="I25" s="2523">
        <v>0</v>
      </c>
      <c r="J25" s="2524">
        <v>0</v>
      </c>
      <c r="L25" s="1867"/>
    </row>
    <row r="26" spans="1:13" ht="15" customHeight="1" x14ac:dyDescent="0.25">
      <c r="A26" s="1855"/>
      <c r="B26" s="2525" t="s">
        <v>7365</v>
      </c>
      <c r="C26" s="2520"/>
      <c r="D26" s="2527">
        <v>0</v>
      </c>
      <c r="E26" s="2521">
        <f>1369463+42247</f>
        <v>1411710</v>
      </c>
      <c r="F26" s="2522">
        <f>90387-31535+42247</f>
        <v>101099</v>
      </c>
      <c r="G26" s="2523">
        <v>90387</v>
      </c>
      <c r="H26" s="2523">
        <v>361548</v>
      </c>
      <c r="I26" s="2523">
        <v>542322</v>
      </c>
      <c r="J26" s="2524">
        <v>316354</v>
      </c>
      <c r="L26" s="1867"/>
    </row>
    <row r="27" spans="1:13" ht="15" customHeight="1" x14ac:dyDescent="0.25">
      <c r="A27" s="1855"/>
      <c r="B27" s="1673"/>
      <c r="C27" s="1856"/>
      <c r="D27" s="1861"/>
      <c r="E27" s="1862"/>
      <c r="F27" s="1273"/>
      <c r="G27" s="1862"/>
      <c r="H27" s="1862"/>
      <c r="I27" s="1863"/>
      <c r="J27" s="1864"/>
      <c r="L27" s="1854"/>
    </row>
    <row r="28" spans="1:13" ht="15" customHeight="1" x14ac:dyDescent="0.25">
      <c r="A28" s="1855"/>
      <c r="B28" s="1673" t="s">
        <v>1227</v>
      </c>
      <c r="C28" s="1856"/>
      <c r="D28" s="1861"/>
      <c r="E28" s="1865">
        <f t="shared" si="0"/>
        <v>3915357</v>
      </c>
      <c r="F28" s="1866">
        <f>SUM(F29:F30)</f>
        <v>3915357</v>
      </c>
      <c r="G28" s="1866">
        <f t="shared" ref="G28:J28" si="1">SUM(G29:G30)</f>
        <v>0</v>
      </c>
      <c r="H28" s="1866">
        <f t="shared" si="1"/>
        <v>0</v>
      </c>
      <c r="I28" s="1866">
        <f t="shared" si="1"/>
        <v>0</v>
      </c>
      <c r="J28" s="1866">
        <f t="shared" si="1"/>
        <v>0</v>
      </c>
      <c r="L28" s="1867"/>
    </row>
    <row r="29" spans="1:13" ht="15" customHeight="1" x14ac:dyDescent="0.25">
      <c r="A29" s="1855"/>
      <c r="B29" s="2519" t="s">
        <v>2462</v>
      </c>
      <c r="C29" s="2520"/>
      <c r="D29" s="2527">
        <v>0.1</v>
      </c>
      <c r="E29" s="2521">
        <f>SUM(F29:J29)</f>
        <v>3915357</v>
      </c>
      <c r="F29" s="2522">
        <f>-'Notes I'!I895-SUM(G29:J29)</f>
        <v>3915357</v>
      </c>
      <c r="G29" s="2523">
        <v>0</v>
      </c>
      <c r="H29" s="2523">
        <v>0</v>
      </c>
      <c r="I29" s="2523">
        <v>0</v>
      </c>
      <c r="J29" s="2524">
        <v>0</v>
      </c>
      <c r="L29" s="1867"/>
    </row>
    <row r="30" spans="1:13" ht="15" hidden="1" customHeight="1" x14ac:dyDescent="0.25">
      <c r="A30" s="1868"/>
      <c r="B30" s="1869"/>
      <c r="C30" s="1870"/>
      <c r="D30" s="1871"/>
      <c r="E30" s="1872">
        <f t="shared" ref="E30" si="2">SUM(F30:J30)</f>
        <v>0</v>
      </c>
      <c r="F30" s="1873"/>
      <c r="G30" s="1874"/>
      <c r="H30" s="1874"/>
      <c r="I30" s="1874"/>
      <c r="J30" s="1875"/>
      <c r="L30" s="1867"/>
    </row>
    <row r="31" spans="1:13" ht="15" customHeight="1" x14ac:dyDescent="0.25">
      <c r="A31" s="1855"/>
      <c r="B31" s="1673"/>
      <c r="C31" s="1856"/>
      <c r="D31" s="1861"/>
      <c r="E31" s="1862"/>
      <c r="F31" s="1273"/>
      <c r="G31" s="1862"/>
      <c r="H31" s="1862"/>
      <c r="I31" s="1863"/>
      <c r="J31" s="1864"/>
      <c r="L31" s="1854"/>
    </row>
    <row r="32" spans="1:13" ht="15" customHeight="1" x14ac:dyDescent="0.25">
      <c r="A32" s="1855"/>
      <c r="B32" s="1673" t="s">
        <v>1228</v>
      </c>
      <c r="C32" s="1856"/>
      <c r="D32" s="1861"/>
      <c r="E32" s="1865">
        <f t="shared" ref="E32:J32" si="3">SUM(E33:E35)</f>
        <v>1864587.78</v>
      </c>
      <c r="F32" s="1866">
        <f t="shared" si="3"/>
        <v>175701</v>
      </c>
      <c r="G32" s="1866">
        <f t="shared" si="3"/>
        <v>137517</v>
      </c>
      <c r="H32" s="1286">
        <f t="shared" si="3"/>
        <v>337108</v>
      </c>
      <c r="I32" s="1286">
        <f t="shared" si="3"/>
        <v>0</v>
      </c>
      <c r="J32" s="1864">
        <f t="shared" si="3"/>
        <v>1214261.78</v>
      </c>
      <c r="L32" s="1867"/>
    </row>
    <row r="33" spans="1:13" ht="15" hidden="1" customHeight="1" x14ac:dyDescent="0.25">
      <c r="A33" s="1855"/>
      <c r="B33" s="2525" t="s">
        <v>7365</v>
      </c>
      <c r="C33" s="2520"/>
      <c r="D33" s="2527"/>
      <c r="E33" s="2521"/>
      <c r="F33" s="2522"/>
      <c r="G33" s="2523"/>
      <c r="H33" s="2523"/>
      <c r="I33" s="2523"/>
      <c r="J33" s="2524"/>
      <c r="L33" s="1867">
        <v>6</v>
      </c>
      <c r="M33" s="1819">
        <f>15/2*12</f>
        <v>90</v>
      </c>
    </row>
    <row r="34" spans="1:13" ht="15" customHeight="1" x14ac:dyDescent="0.25">
      <c r="A34" s="1855"/>
      <c r="B34" s="2525" t="s">
        <v>7364</v>
      </c>
      <c r="C34" s="2520"/>
      <c r="D34" s="2527"/>
      <c r="E34" s="2521">
        <f>'Notes II'!I1422</f>
        <v>1214261.78</v>
      </c>
      <c r="F34" s="2522">
        <v>0</v>
      </c>
      <c r="G34" s="2523">
        <v>0</v>
      </c>
      <c r="H34" s="2523">
        <v>0</v>
      </c>
      <c r="I34" s="2523">
        <v>0</v>
      </c>
      <c r="J34" s="2524">
        <f>E34</f>
        <v>1214261.78</v>
      </c>
      <c r="L34" s="1867"/>
    </row>
    <row r="35" spans="1:13" ht="15" customHeight="1" x14ac:dyDescent="0.25">
      <c r="A35" s="1855"/>
      <c r="B35" s="2525" t="s">
        <v>7363</v>
      </c>
      <c r="C35" s="2520"/>
      <c r="D35" s="2527">
        <v>0.1</v>
      </c>
      <c r="E35" s="2521">
        <v>650326</v>
      </c>
      <c r="F35" s="2522">
        <v>175701</v>
      </c>
      <c r="G35" s="2523">
        <v>137517</v>
      </c>
      <c r="H35" s="2523">
        <v>337108</v>
      </c>
      <c r="I35" s="2523"/>
      <c r="J35" s="2524"/>
      <c r="L35" s="1867"/>
    </row>
    <row r="36" spans="1:13" ht="15" customHeight="1" x14ac:dyDescent="0.25">
      <c r="A36" s="1855"/>
      <c r="B36" s="1673"/>
      <c r="C36" s="1856"/>
      <c r="D36" s="1861"/>
      <c r="E36" s="1862"/>
      <c r="F36" s="1273"/>
      <c r="G36" s="1862"/>
      <c r="H36" s="1862"/>
      <c r="I36" s="1863"/>
      <c r="J36" s="1864"/>
      <c r="L36" s="1854"/>
    </row>
    <row r="37" spans="1:13" ht="15" hidden="1" customHeight="1" x14ac:dyDescent="0.25">
      <c r="A37" s="1876"/>
      <c r="B37" s="1877" t="s">
        <v>1229</v>
      </c>
      <c r="C37" s="1878"/>
      <c r="D37" s="1879"/>
      <c r="E37" s="1880">
        <f t="shared" si="0"/>
        <v>0</v>
      </c>
      <c r="F37" s="1881">
        <v>0</v>
      </c>
      <c r="G37" s="1882">
        <v>0</v>
      </c>
      <c r="H37" s="1882">
        <v>0</v>
      </c>
      <c r="I37" s="1882">
        <v>0</v>
      </c>
      <c r="J37" s="1883">
        <v>0</v>
      </c>
      <c r="L37" s="1867"/>
    </row>
    <row r="38" spans="1:13" ht="15" hidden="1" customHeight="1" x14ac:dyDescent="0.25">
      <c r="A38" s="1876"/>
      <c r="B38" s="1877"/>
      <c r="C38" s="1878"/>
      <c r="D38" s="1879"/>
      <c r="E38" s="1884"/>
      <c r="F38" s="1885"/>
      <c r="G38" s="1886"/>
      <c r="H38" s="1886"/>
      <c r="I38" s="1887"/>
      <c r="J38" s="1888"/>
      <c r="L38" s="1854"/>
    </row>
    <row r="39" spans="1:13" ht="15" customHeight="1" thickBot="1" x14ac:dyDescent="0.3">
      <c r="A39" s="1859"/>
      <c r="B39" s="1719"/>
      <c r="C39" s="1889"/>
      <c r="D39" s="1890"/>
      <c r="E39" s="1891">
        <f>SUM(E24,E28,E32,E37)</f>
        <v>23260522.089999989</v>
      </c>
      <c r="F39" s="1892">
        <f>SUM(F24,F28,F32,F37)</f>
        <v>20261024.309999987</v>
      </c>
      <c r="G39" s="1891">
        <f>SUM(G24,G28,G32,G37)</f>
        <v>227904</v>
      </c>
      <c r="H39" s="1891">
        <f>SUM(H24,H28,H32,H37)</f>
        <v>698656</v>
      </c>
      <c r="I39" s="1893">
        <f t="shared" ref="I39:J39" si="4">SUM(I24,I28,I32,I37)</f>
        <v>542322</v>
      </c>
      <c r="J39" s="1894">
        <f t="shared" si="4"/>
        <v>1530615.78</v>
      </c>
      <c r="K39" s="1818">
        <f>E39-SUM(F39:J39)</f>
        <v>0</v>
      </c>
      <c r="L39" s="1854"/>
    </row>
    <row r="40" spans="1:13" ht="15" customHeight="1" thickTop="1" x14ac:dyDescent="0.25">
      <c r="A40" s="1855"/>
      <c r="B40" s="1673"/>
      <c r="C40" s="1856"/>
      <c r="D40" s="1857"/>
      <c r="E40" s="2526">
        <f>E39-'Notes II'!E4624</f>
        <v>5673468.4600000046</v>
      </c>
      <c r="F40" s="314"/>
      <c r="G40" s="1277"/>
      <c r="H40" s="1672"/>
      <c r="I40" s="1672"/>
      <c r="J40" s="1858"/>
      <c r="L40" s="1854"/>
    </row>
    <row r="41" spans="1:13" ht="15" customHeight="1" x14ac:dyDescent="0.25">
      <c r="A41" s="1859"/>
      <c r="B41" s="1860" t="str">
        <f>Parameters!C13</f>
        <v>30 June 2011</v>
      </c>
      <c r="C41" s="1856"/>
      <c r="D41" s="1857"/>
      <c r="E41" s="1840"/>
      <c r="F41" s="314"/>
      <c r="G41" s="1277"/>
      <c r="H41" s="1672"/>
      <c r="I41" s="1672"/>
      <c r="J41" s="1858"/>
      <c r="L41" s="1854"/>
    </row>
    <row r="42" spans="1:13" ht="15" customHeight="1" x14ac:dyDescent="0.25">
      <c r="A42" s="1855"/>
      <c r="B42" s="1673"/>
      <c r="C42" s="1856"/>
      <c r="D42" s="1861"/>
      <c r="E42" s="1862"/>
      <c r="F42" s="1273"/>
      <c r="G42" s="1862"/>
      <c r="H42" s="1862"/>
      <c r="I42" s="1863"/>
      <c r="J42" s="1864"/>
      <c r="L42" s="1854"/>
    </row>
    <row r="43" spans="1:13" ht="15" customHeight="1" x14ac:dyDescent="0.25">
      <c r="A43" s="1855"/>
      <c r="B43" s="1673" t="s">
        <v>1226</v>
      </c>
      <c r="C43" s="1856"/>
      <c r="D43" s="1861"/>
      <c r="E43" s="1865">
        <f>SUM(F43:J43)</f>
        <v>20637885.870000001</v>
      </c>
      <c r="F43" s="1866">
        <f>SUM(F44:F45)</f>
        <v>19146500.870000001</v>
      </c>
      <c r="G43" s="1866">
        <f>SUM(G44:G45)</f>
        <v>90387</v>
      </c>
      <c r="H43" s="1286">
        <f>SUM(H44:H45)</f>
        <v>361548</v>
      </c>
      <c r="I43" s="1286">
        <f>SUM(I44:I45)</f>
        <v>542322</v>
      </c>
      <c r="J43" s="1864">
        <f>SUM(J44:J45)</f>
        <v>497128</v>
      </c>
      <c r="L43" s="1867"/>
    </row>
    <row r="44" spans="1:13" ht="15" customHeight="1" x14ac:dyDescent="0.25">
      <c r="A44" s="1855"/>
      <c r="B44" s="2525" t="s">
        <v>7366</v>
      </c>
      <c r="C44" s="2520"/>
      <c r="D44" s="2527">
        <v>0</v>
      </c>
      <c r="E44" s="2521">
        <f>SUM(F44:J44)</f>
        <v>18909435.870000001</v>
      </c>
      <c r="F44" s="2522">
        <f>'Notes II'!K1171-SUM(G44:J44)</f>
        <v>18909435.870000001</v>
      </c>
      <c r="G44" s="2523">
        <v>0</v>
      </c>
      <c r="H44" s="2523">
        <v>0</v>
      </c>
      <c r="I44" s="2523">
        <v>0</v>
      </c>
      <c r="J44" s="2524">
        <v>0</v>
      </c>
      <c r="L44" s="1867"/>
    </row>
    <row r="45" spans="1:13" ht="15" customHeight="1" x14ac:dyDescent="0.25">
      <c r="A45" s="1855"/>
      <c r="B45" s="2525" t="s">
        <v>7365</v>
      </c>
      <c r="C45" s="2520"/>
      <c r="D45" s="2527">
        <v>0</v>
      </c>
      <c r="E45" s="2521">
        <v>1728450</v>
      </c>
      <c r="F45" s="2522">
        <f>229746+7319</f>
        <v>237065</v>
      </c>
      <c r="G45" s="2523">
        <v>90387</v>
      </c>
      <c r="H45" s="2523">
        <v>361548</v>
      </c>
      <c r="I45" s="2523">
        <v>542322</v>
      </c>
      <c r="J45" s="2524">
        <v>497128</v>
      </c>
      <c r="L45" s="1867"/>
    </row>
    <row r="46" spans="1:13" ht="15" customHeight="1" x14ac:dyDescent="0.25">
      <c r="A46" s="1855"/>
      <c r="B46" s="1673"/>
      <c r="C46" s="1856"/>
      <c r="D46" s="1861"/>
      <c r="E46" s="1862"/>
      <c r="F46" s="1273"/>
      <c r="G46" s="1862"/>
      <c r="H46" s="1862"/>
      <c r="I46" s="1863"/>
      <c r="J46" s="1864"/>
      <c r="L46" s="1854"/>
    </row>
    <row r="47" spans="1:13" ht="15" customHeight="1" x14ac:dyDescent="0.25">
      <c r="A47" s="1855"/>
      <c r="B47" s="1673" t="s">
        <v>1227</v>
      </c>
      <c r="C47" s="1856"/>
      <c r="D47" s="1861"/>
      <c r="E47" s="1865">
        <f t="shared" ref="E47:E56" si="5">SUM(F47:J47)</f>
        <v>2065666.0399999998</v>
      </c>
      <c r="F47" s="1866">
        <f>SUM(F48:F49)</f>
        <v>2065666.0399999998</v>
      </c>
      <c r="G47" s="1866">
        <f t="shared" ref="G47:J47" si="6">SUM(G48:G49)</f>
        <v>0</v>
      </c>
      <c r="H47" s="1866">
        <f t="shared" si="6"/>
        <v>0</v>
      </c>
      <c r="I47" s="1866">
        <f t="shared" si="6"/>
        <v>0</v>
      </c>
      <c r="J47" s="1866">
        <f t="shared" si="6"/>
        <v>0</v>
      </c>
      <c r="L47" s="1867"/>
    </row>
    <row r="48" spans="1:13" ht="15" customHeight="1" x14ac:dyDescent="0.25">
      <c r="A48" s="1855"/>
      <c r="B48" s="2519" t="s">
        <v>2462</v>
      </c>
      <c r="C48" s="2520"/>
      <c r="D48" s="2527">
        <v>0.1</v>
      </c>
      <c r="E48" s="2521">
        <f>SUM(F48:J48)</f>
        <v>2065666.0399999998</v>
      </c>
      <c r="F48" s="2522">
        <f>-'Notes I'!K895-SUM(G48:J48)</f>
        <v>2065666.0399999998</v>
      </c>
      <c r="G48" s="2523">
        <v>0</v>
      </c>
      <c r="H48" s="2523">
        <v>0</v>
      </c>
      <c r="I48" s="2523">
        <v>0</v>
      </c>
      <c r="J48" s="2524">
        <v>0</v>
      </c>
      <c r="L48" s="1867"/>
    </row>
    <row r="49" spans="1:13" ht="15" hidden="1" customHeight="1" x14ac:dyDescent="0.25">
      <c r="A49" s="1868"/>
      <c r="B49" s="1869"/>
      <c r="C49" s="1870"/>
      <c r="D49" s="1871"/>
      <c r="E49" s="1872">
        <f>SUM(F49:J49)</f>
        <v>0</v>
      </c>
      <c r="F49" s="1873"/>
      <c r="G49" s="1874"/>
      <c r="H49" s="1874"/>
      <c r="I49" s="1874"/>
      <c r="J49" s="1875"/>
      <c r="L49" s="1867"/>
    </row>
    <row r="50" spans="1:13" ht="15" customHeight="1" x14ac:dyDescent="0.25">
      <c r="A50" s="1855"/>
      <c r="B50" s="1673"/>
      <c r="C50" s="1856"/>
      <c r="D50" s="1861"/>
      <c r="E50" s="1862"/>
      <c r="F50" s="1273"/>
      <c r="G50" s="1862"/>
      <c r="H50" s="1862"/>
      <c r="I50" s="1863"/>
      <c r="J50" s="1864"/>
      <c r="L50" s="1854"/>
    </row>
    <row r="51" spans="1:13" ht="15" customHeight="1" x14ac:dyDescent="0.25">
      <c r="A51" s="1855"/>
      <c r="B51" s="1673" t="s">
        <v>1228</v>
      </c>
      <c r="C51" s="1856"/>
      <c r="D51" s="1861"/>
      <c r="E51" s="1865">
        <f>SUM(F51:J51)</f>
        <v>2202322</v>
      </c>
      <c r="F51" s="1866">
        <f>SUM(F52:F54)</f>
        <v>221314</v>
      </c>
      <c r="G51" s="1866">
        <f>SUM(G52:G54)</f>
        <v>236958</v>
      </c>
      <c r="H51" s="1286">
        <f>SUM(H52:H54)</f>
        <v>406295</v>
      </c>
      <c r="I51" s="1286">
        <f>SUM(I52:I54)</f>
        <v>0</v>
      </c>
      <c r="J51" s="1864">
        <f>SUM(J52:J54)</f>
        <v>1337755</v>
      </c>
      <c r="L51" s="1867"/>
    </row>
    <row r="52" spans="1:13" ht="15" hidden="1" customHeight="1" x14ac:dyDescent="0.25">
      <c r="A52" s="1855"/>
      <c r="B52" s="2518" t="s">
        <v>7365</v>
      </c>
      <c r="C52" s="2512"/>
      <c r="D52" s="2513">
        <v>0.05</v>
      </c>
      <c r="E52" s="2514"/>
      <c r="F52" s="2515">
        <f>F33</f>
        <v>0</v>
      </c>
      <c r="G52" s="2516">
        <f>G33</f>
        <v>0</v>
      </c>
      <c r="H52" s="2516">
        <f>H33</f>
        <v>0</v>
      </c>
      <c r="I52" s="2516">
        <f>I33</f>
        <v>0</v>
      </c>
      <c r="J52" s="2517">
        <f>E52-F52-G52-H52-I52</f>
        <v>0</v>
      </c>
      <c r="K52" s="1818">
        <v>0</v>
      </c>
      <c r="L52" s="1867">
        <v>6</v>
      </c>
      <c r="M52" s="1819">
        <f>17/2*12</f>
        <v>102</v>
      </c>
    </row>
    <row r="53" spans="1:13" ht="15" customHeight="1" x14ac:dyDescent="0.25">
      <c r="A53" s="1855"/>
      <c r="B53" s="2525" t="s">
        <v>7364</v>
      </c>
      <c r="C53" s="2520"/>
      <c r="D53" s="2527"/>
      <c r="E53" s="2521">
        <v>1337755</v>
      </c>
      <c r="F53" s="2522">
        <v>0</v>
      </c>
      <c r="G53" s="2523">
        <v>0</v>
      </c>
      <c r="H53" s="2523">
        <v>0</v>
      </c>
      <c r="I53" s="2523">
        <v>0</v>
      </c>
      <c r="J53" s="2524">
        <v>1337755</v>
      </c>
      <c r="L53" s="1867"/>
    </row>
    <row r="54" spans="1:13" ht="15" customHeight="1" x14ac:dyDescent="0.25">
      <c r="A54" s="1855"/>
      <c r="B54" s="2525" t="s">
        <v>7363</v>
      </c>
      <c r="C54" s="2520"/>
      <c r="D54" s="2527">
        <v>0.1</v>
      </c>
      <c r="E54" s="2521">
        <v>864567</v>
      </c>
      <c r="F54" s="2522">
        <v>221314</v>
      </c>
      <c r="G54" s="2523">
        <f>458272-F54</f>
        <v>236958</v>
      </c>
      <c r="H54" s="2523">
        <f>E54-F54-G54</f>
        <v>406295</v>
      </c>
      <c r="I54" s="2523"/>
      <c r="J54" s="2524"/>
      <c r="L54" s="1867"/>
    </row>
    <row r="55" spans="1:13" ht="15" customHeight="1" x14ac:dyDescent="0.25">
      <c r="A55" s="1855"/>
      <c r="B55" s="1673"/>
      <c r="C55" s="1856"/>
      <c r="D55" s="1861"/>
      <c r="E55" s="1862"/>
      <c r="F55" s="1273"/>
      <c r="G55" s="1862"/>
      <c r="H55" s="1862"/>
      <c r="I55" s="1863"/>
      <c r="J55" s="1864"/>
      <c r="L55" s="1854"/>
    </row>
    <row r="56" spans="1:13" ht="15" hidden="1" customHeight="1" x14ac:dyDescent="0.25">
      <c r="A56" s="1876"/>
      <c r="B56" s="1877" t="s">
        <v>1229</v>
      </c>
      <c r="C56" s="1878"/>
      <c r="D56" s="1879"/>
      <c r="E56" s="1880">
        <f t="shared" si="5"/>
        <v>0</v>
      </c>
      <c r="F56" s="1881">
        <v>0</v>
      </c>
      <c r="G56" s="1882">
        <v>0</v>
      </c>
      <c r="H56" s="1882">
        <v>0</v>
      </c>
      <c r="I56" s="1882">
        <v>0</v>
      </c>
      <c r="J56" s="1883">
        <v>0</v>
      </c>
      <c r="L56" s="1867"/>
    </row>
    <row r="57" spans="1:13" ht="15" hidden="1" customHeight="1" x14ac:dyDescent="0.25">
      <c r="A57" s="1876"/>
      <c r="B57" s="1877"/>
      <c r="C57" s="1878"/>
      <c r="D57" s="1879"/>
      <c r="E57" s="1884"/>
      <c r="F57" s="1885"/>
      <c r="G57" s="1886"/>
      <c r="H57" s="1886"/>
      <c r="I57" s="1887"/>
      <c r="J57" s="1888"/>
      <c r="L57" s="1854"/>
    </row>
    <row r="58" spans="1:13" ht="15" customHeight="1" thickBot="1" x14ac:dyDescent="0.3">
      <c r="A58" s="1859"/>
      <c r="B58" s="1719"/>
      <c r="C58" s="1889"/>
      <c r="D58" s="1890"/>
      <c r="E58" s="1891">
        <f t="shared" ref="E58:J58" si="7">SUM(E43,E47,E51,E56)</f>
        <v>24905873.91</v>
      </c>
      <c r="F58" s="1892">
        <f t="shared" si="7"/>
        <v>21433480.91</v>
      </c>
      <c r="G58" s="1891">
        <f t="shared" si="7"/>
        <v>327345</v>
      </c>
      <c r="H58" s="1891">
        <f t="shared" si="7"/>
        <v>767843</v>
      </c>
      <c r="I58" s="1893">
        <f t="shared" si="7"/>
        <v>542322</v>
      </c>
      <c r="J58" s="1894">
        <f t="shared" si="7"/>
        <v>1834883</v>
      </c>
      <c r="K58" s="1818">
        <f>E58-SUM(F58:J58)</f>
        <v>0</v>
      </c>
      <c r="L58" s="1854"/>
    </row>
    <row r="59" spans="1:13" ht="15" customHeight="1" thickTop="1" thickBot="1" x14ac:dyDescent="0.3">
      <c r="A59" s="1842"/>
      <c r="B59" s="1843"/>
      <c r="C59" s="1895"/>
      <c r="D59" s="1896"/>
      <c r="E59" s="2528">
        <f>E58-'Notes II'!I4624</f>
        <v>3831425.6800000034</v>
      </c>
      <c r="F59" s="1898">
        <v>6</v>
      </c>
      <c r="G59" s="1898">
        <v>6</v>
      </c>
      <c r="H59" s="1898">
        <v>12</v>
      </c>
      <c r="I59" s="1899">
        <v>36</v>
      </c>
      <c r="J59" s="1900"/>
    </row>
    <row r="60" spans="1:13" ht="15" customHeight="1" x14ac:dyDescent="0.25">
      <c r="A60" s="1819"/>
      <c r="B60" s="1819"/>
      <c r="C60" s="1819"/>
      <c r="D60" s="1819"/>
      <c r="E60" s="1819"/>
      <c r="F60" s="1819"/>
      <c r="G60" s="1819"/>
      <c r="H60" s="1819"/>
      <c r="I60" s="1819"/>
      <c r="J60" s="1819"/>
    </row>
    <row r="61" spans="1:13" ht="15" hidden="1" customHeight="1" x14ac:dyDescent="0.25">
      <c r="A61" s="1901"/>
      <c r="B61" s="2973" t="s">
        <v>1230</v>
      </c>
      <c r="C61" s="2973"/>
      <c r="D61" s="2973"/>
      <c r="E61" s="2973"/>
      <c r="F61" s="2973"/>
      <c r="G61" s="2973"/>
      <c r="H61" s="2973"/>
      <c r="I61" s="2973"/>
      <c r="J61" s="2973"/>
      <c r="L61" s="1838"/>
    </row>
    <row r="62" spans="1:13" ht="15" hidden="1" customHeight="1" x14ac:dyDescent="0.25">
      <c r="A62" s="1902"/>
      <c r="B62" s="1902"/>
      <c r="C62" s="1902"/>
      <c r="D62" s="1902"/>
      <c r="E62" s="1902"/>
      <c r="F62" s="1902"/>
      <c r="G62" s="1902"/>
      <c r="H62" s="1902"/>
      <c r="I62" s="1902"/>
      <c r="J62" s="1902"/>
    </row>
    <row r="63" spans="1:13" ht="30" customHeight="1" x14ac:dyDescent="0.25">
      <c r="A63" s="1830"/>
      <c r="B63" s="2970" t="s">
        <v>1231</v>
      </c>
      <c r="C63" s="2970"/>
      <c r="D63" s="2970"/>
      <c r="E63" s="2970"/>
      <c r="F63" s="2970"/>
      <c r="G63" s="2970"/>
      <c r="H63" s="2970"/>
      <c r="I63" s="2970"/>
      <c r="J63" s="2970"/>
      <c r="K63" s="1731" t="s">
        <v>2439</v>
      </c>
    </row>
    <row r="64" spans="1:13" ht="15" customHeight="1" thickBot="1" x14ac:dyDescent="0.3">
      <c r="A64" s="1819"/>
      <c r="B64" s="1819"/>
      <c r="C64" s="1819"/>
      <c r="D64" s="1819"/>
      <c r="E64" s="1819"/>
      <c r="F64" s="1819"/>
      <c r="G64" s="1819"/>
      <c r="H64" s="1819"/>
      <c r="I64" s="1819"/>
      <c r="J64" s="1819"/>
    </row>
    <row r="65" spans="1:12" ht="15" customHeight="1" x14ac:dyDescent="0.25">
      <c r="A65" s="1832"/>
      <c r="B65" s="1833"/>
      <c r="C65" s="1834" t="s">
        <v>256</v>
      </c>
      <c r="D65" s="1835" t="s">
        <v>1197</v>
      </c>
      <c r="E65" s="304"/>
      <c r="F65" s="305" t="s">
        <v>1205</v>
      </c>
      <c r="G65" s="306" t="s">
        <v>1206</v>
      </c>
      <c r="H65" s="307" t="s">
        <v>1207</v>
      </c>
      <c r="I65" s="1836" t="s">
        <v>1208</v>
      </c>
      <c r="J65" s="308" t="s">
        <v>1209</v>
      </c>
      <c r="L65" s="1838"/>
    </row>
    <row r="66" spans="1:12" ht="15" customHeight="1" x14ac:dyDescent="0.25">
      <c r="A66" s="2971" t="s">
        <v>7</v>
      </c>
      <c r="B66" s="2972"/>
      <c r="C66" s="1839" t="s">
        <v>1210</v>
      </c>
      <c r="D66" s="1824" t="s">
        <v>1211</v>
      </c>
      <c r="E66" s="1840" t="s">
        <v>234</v>
      </c>
      <c r="F66" s="311"/>
      <c r="G66" s="312"/>
      <c r="H66" s="1839"/>
      <c r="I66" s="1839"/>
      <c r="J66" s="1841"/>
    </row>
    <row r="67" spans="1:12" ht="15" customHeight="1" thickBot="1" x14ac:dyDescent="0.3">
      <c r="A67" s="1842"/>
      <c r="B67" s="1843"/>
      <c r="C67" s="1844" t="s">
        <v>1212</v>
      </c>
      <c r="D67" s="1845" t="s">
        <v>1201</v>
      </c>
      <c r="E67" s="1846"/>
      <c r="F67" s="1847" t="s">
        <v>1213</v>
      </c>
      <c r="G67" s="1848" t="s">
        <v>1214</v>
      </c>
      <c r="H67" s="1844" t="s">
        <v>1215</v>
      </c>
      <c r="I67" s="1844" t="s">
        <v>1215</v>
      </c>
      <c r="J67" s="1849" t="s">
        <v>1216</v>
      </c>
    </row>
    <row r="68" spans="1:12" ht="15" customHeight="1" x14ac:dyDescent="0.25">
      <c r="A68" s="1776"/>
      <c r="B68" s="1833"/>
      <c r="C68" s="1851" t="s">
        <v>1217</v>
      </c>
      <c r="D68" s="1852" t="s">
        <v>218</v>
      </c>
      <c r="E68" s="1834" t="s">
        <v>255</v>
      </c>
      <c r="F68" s="1834" t="s">
        <v>255</v>
      </c>
      <c r="G68" s="1834" t="s">
        <v>255</v>
      </c>
      <c r="H68" s="1834" t="s">
        <v>255</v>
      </c>
      <c r="I68" s="1834"/>
      <c r="J68" s="1853" t="s">
        <v>255</v>
      </c>
    </row>
    <row r="69" spans="1:12" ht="15" customHeight="1" x14ac:dyDescent="0.25">
      <c r="A69" s="1855"/>
      <c r="B69" s="1673"/>
      <c r="C69" s="1856"/>
      <c r="D69" s="1857"/>
      <c r="E69" s="1840"/>
      <c r="F69" s="314"/>
      <c r="G69" s="1277"/>
      <c r="H69" s="1672"/>
      <c r="I69" s="1672"/>
      <c r="J69" s="1858"/>
    </row>
    <row r="70" spans="1:12" ht="15" customHeight="1" x14ac:dyDescent="0.25">
      <c r="A70" s="1859"/>
      <c r="B70" s="1860" t="str">
        <f>Parameters!C11</f>
        <v>30 June 2012</v>
      </c>
      <c r="C70" s="1856"/>
      <c r="D70" s="1857"/>
      <c r="E70" s="1840"/>
      <c r="F70" s="314"/>
      <c r="G70" s="1277"/>
      <c r="H70" s="1672"/>
      <c r="I70" s="1672"/>
      <c r="J70" s="1858"/>
    </row>
    <row r="71" spans="1:12" ht="15" customHeight="1" x14ac:dyDescent="0.25">
      <c r="A71" s="1855"/>
      <c r="B71" s="1673"/>
      <c r="C71" s="1856"/>
      <c r="D71" s="1861"/>
      <c r="E71" s="1862"/>
      <c r="F71" s="1273"/>
      <c r="G71" s="1862"/>
      <c r="H71" s="1862"/>
      <c r="I71" s="1863"/>
      <c r="J71" s="1864"/>
    </row>
    <row r="72" spans="1:12" ht="15" customHeight="1" x14ac:dyDescent="0.25">
      <c r="A72" s="1855"/>
      <c r="B72" s="1673" t="s">
        <v>1226</v>
      </c>
      <c r="C72" s="1856"/>
      <c r="D72" s="1861"/>
      <c r="E72" s="1865">
        <f t="shared" ref="E72:E77" si="8">SUM(F72:J72)</f>
        <v>976667.14999999956</v>
      </c>
      <c r="F72" s="1866">
        <f>SUM(F73:F77)</f>
        <v>976667.14999999956</v>
      </c>
      <c r="G72" s="1866">
        <f>SUM(G73:G77)</f>
        <v>0</v>
      </c>
      <c r="H72" s="1286">
        <f>SUM(H73:H77)</f>
        <v>0</v>
      </c>
      <c r="I72" s="1286">
        <f>SUM(I73:I77)</f>
        <v>0</v>
      </c>
      <c r="J72" s="1864">
        <f>SUM(J73:J77)</f>
        <v>0</v>
      </c>
      <c r="K72" s="1818">
        <f>E72-SUM(F72:J72)</f>
        <v>0</v>
      </c>
      <c r="L72" s="1903"/>
    </row>
    <row r="73" spans="1:12" ht="15" customHeight="1" x14ac:dyDescent="0.25">
      <c r="A73" s="1855"/>
      <c r="B73" s="2525" t="s">
        <v>7375</v>
      </c>
      <c r="C73" s="2520"/>
      <c r="D73" s="2527"/>
      <c r="E73" s="2521">
        <f>'Notes II'!E4587</f>
        <v>112659.79999999999</v>
      </c>
      <c r="F73" s="2522">
        <f>'Notes II'!E4587</f>
        <v>112659.79999999999</v>
      </c>
      <c r="G73" s="2523">
        <v>0</v>
      </c>
      <c r="H73" s="2523">
        <v>0</v>
      </c>
      <c r="I73" s="2523">
        <v>0</v>
      </c>
      <c r="J73" s="2524">
        <v>0</v>
      </c>
      <c r="L73" s="1867"/>
    </row>
    <row r="74" spans="1:12" ht="15" customHeight="1" x14ac:dyDescent="0.25">
      <c r="A74" s="1855"/>
      <c r="B74" s="2525" t="s">
        <v>7367</v>
      </c>
      <c r="C74" s="2520"/>
      <c r="D74" s="2527"/>
      <c r="E74" s="2521">
        <f t="shared" si="8"/>
        <v>862467.0199999999</v>
      </c>
      <c r="F74" s="2522">
        <f>'Notes I'!K110-SUM(G74:J74)</f>
        <v>862467.0199999999</v>
      </c>
      <c r="G74" s="2523">
        <v>0</v>
      </c>
      <c r="H74" s="2523">
        <v>0</v>
      </c>
      <c r="I74" s="2523">
        <v>0</v>
      </c>
      <c r="J74" s="2524">
        <v>0</v>
      </c>
      <c r="L74" s="1867"/>
    </row>
    <row r="75" spans="1:12" ht="15" customHeight="1" x14ac:dyDescent="0.25">
      <c r="A75" s="1855"/>
      <c r="B75" s="2525" t="s">
        <v>7368</v>
      </c>
      <c r="C75" s="2520"/>
      <c r="D75" s="2527"/>
      <c r="E75" s="2521">
        <f t="shared" si="8"/>
        <v>360.42999999970198</v>
      </c>
      <c r="F75" s="2522">
        <f>'Notes I'!K444-SUM(G75:J75)</f>
        <v>360.42999999970198</v>
      </c>
      <c r="G75" s="2523">
        <v>0</v>
      </c>
      <c r="H75" s="2523">
        <v>0</v>
      </c>
      <c r="I75" s="2523">
        <v>0</v>
      </c>
      <c r="J75" s="2524">
        <v>0</v>
      </c>
      <c r="L75" s="1867"/>
    </row>
    <row r="76" spans="1:12" ht="15" customHeight="1" x14ac:dyDescent="0.25">
      <c r="A76" s="1855"/>
      <c r="B76" s="2525" t="s">
        <v>7369</v>
      </c>
      <c r="C76" s="2520"/>
      <c r="D76" s="2527"/>
      <c r="E76" s="2521">
        <f t="shared" si="8"/>
        <v>1179.9000000000001</v>
      </c>
      <c r="F76" s="2522">
        <f>'Notes I'!I990-SUM(G76:J76)</f>
        <v>1179.9000000000001</v>
      </c>
      <c r="G76" s="2523">
        <v>0</v>
      </c>
      <c r="H76" s="2523">
        <v>0</v>
      </c>
      <c r="I76" s="2523">
        <v>0</v>
      </c>
      <c r="J76" s="2524">
        <v>0</v>
      </c>
      <c r="L76" s="1867"/>
    </row>
    <row r="77" spans="1:12" ht="15" hidden="1" customHeight="1" x14ac:dyDescent="0.25">
      <c r="A77" s="1855"/>
      <c r="B77" s="1673"/>
      <c r="C77" s="1856"/>
      <c r="D77" s="1861"/>
      <c r="E77" s="1865">
        <f t="shared" si="8"/>
        <v>0</v>
      </c>
      <c r="F77" s="1866"/>
      <c r="G77" s="1286"/>
      <c r="H77" s="1286"/>
      <c r="I77" s="1286"/>
      <c r="J77" s="1864"/>
      <c r="L77" s="1867"/>
    </row>
    <row r="78" spans="1:12" ht="15" customHeight="1" x14ac:dyDescent="0.25">
      <c r="A78" s="1855"/>
      <c r="B78" s="1673"/>
      <c r="C78" s="1856"/>
      <c r="D78" s="1861"/>
      <c r="E78" s="1865"/>
      <c r="F78" s="1285"/>
      <c r="G78" s="1286"/>
      <c r="H78" s="1286"/>
      <c r="I78" s="1287"/>
      <c r="J78" s="1864"/>
      <c r="L78" s="1903"/>
    </row>
    <row r="79" spans="1:12" ht="15" customHeight="1" x14ac:dyDescent="0.25">
      <c r="A79" s="1855"/>
      <c r="B79" s="1673" t="s">
        <v>1227</v>
      </c>
      <c r="C79" s="1856"/>
      <c r="D79" s="1861"/>
      <c r="E79" s="1865">
        <f>SUM(F79:J79)</f>
        <v>287415.52999999688</v>
      </c>
      <c r="F79" s="1866">
        <f>SUM(F80:F82)</f>
        <v>287415.52999999688</v>
      </c>
      <c r="G79" s="1866">
        <f>SUM(G80:G82)</f>
        <v>0</v>
      </c>
      <c r="H79" s="1286">
        <f>SUM(H80:H82)</f>
        <v>0</v>
      </c>
      <c r="I79" s="1286">
        <f>SUM(I80:I82)</f>
        <v>0</v>
      </c>
      <c r="J79" s="1864">
        <f>SUM(J80:J82)</f>
        <v>0</v>
      </c>
      <c r="K79" s="1818">
        <f>E79-SUM(F79:J79)</f>
        <v>0</v>
      </c>
      <c r="L79" s="1903"/>
    </row>
    <row r="80" spans="1:12" ht="15" customHeight="1" x14ac:dyDescent="0.25">
      <c r="A80" s="1855"/>
      <c r="B80" s="2525" t="s">
        <v>7370</v>
      </c>
      <c r="C80" s="2520"/>
      <c r="D80" s="2527">
        <v>0.1</v>
      </c>
      <c r="E80" s="2521">
        <f>SUM(F80:J80)</f>
        <v>271206.52999999688</v>
      </c>
      <c r="F80" s="2522">
        <f>'Notes I'!I904-SUM(G80:J80)</f>
        <v>271206.52999999688</v>
      </c>
      <c r="G80" s="2523">
        <v>0</v>
      </c>
      <c r="H80" s="2523">
        <v>0</v>
      </c>
      <c r="I80" s="2523">
        <v>0</v>
      </c>
      <c r="J80" s="2524">
        <v>0</v>
      </c>
      <c r="L80" s="1867"/>
    </row>
    <row r="81" spans="1:12" ht="15" customHeight="1" x14ac:dyDescent="0.25">
      <c r="A81" s="1855"/>
      <c r="B81" s="2525" t="s">
        <v>7371</v>
      </c>
      <c r="C81" s="2520"/>
      <c r="D81" s="2527">
        <v>0.1</v>
      </c>
      <c r="E81" s="2521">
        <f>SUM(F81:J81)</f>
        <v>16209</v>
      </c>
      <c r="F81" s="2522">
        <f>'Notes I'!I938-SUM(G81:J81)</f>
        <v>16209</v>
      </c>
      <c r="G81" s="2523">
        <v>0</v>
      </c>
      <c r="H81" s="2523">
        <v>0</v>
      </c>
      <c r="I81" s="2523">
        <v>0</v>
      </c>
      <c r="J81" s="2524">
        <v>0</v>
      </c>
      <c r="L81" s="1867"/>
    </row>
    <row r="82" spans="1:12" ht="15" customHeight="1" x14ac:dyDescent="0.25">
      <c r="A82" s="1855"/>
      <c r="B82" s="1673"/>
      <c r="C82" s="1856"/>
      <c r="D82" s="1861"/>
      <c r="E82" s="1865">
        <f>SUM(F82:J82)</f>
        <v>0</v>
      </c>
      <c r="F82" s="1866"/>
      <c r="G82" s="1286"/>
      <c r="H82" s="1286"/>
      <c r="I82" s="1286"/>
      <c r="J82" s="1864"/>
      <c r="L82" s="1867"/>
    </row>
    <row r="83" spans="1:12" ht="15" customHeight="1" x14ac:dyDescent="0.25">
      <c r="A83" s="1855"/>
      <c r="B83" s="1673"/>
      <c r="C83" s="1856"/>
      <c r="D83" s="1861"/>
      <c r="E83" s="1862"/>
      <c r="F83" s="1273"/>
      <c r="G83" s="1862"/>
      <c r="H83" s="1862"/>
      <c r="I83" s="1863"/>
      <c r="J83" s="1864"/>
      <c r="L83" s="1854"/>
    </row>
    <row r="84" spans="1:12" ht="15" hidden="1" customHeight="1" x14ac:dyDescent="0.25">
      <c r="A84" s="1855"/>
      <c r="B84" s="1673" t="s">
        <v>1228</v>
      </c>
      <c r="C84" s="1856"/>
      <c r="D84" s="2513">
        <v>0</v>
      </c>
      <c r="E84" s="1865">
        <f>SUM(F84:J84)</f>
        <v>0</v>
      </c>
      <c r="F84" s="1285">
        <f>SUM(F85:F88)</f>
        <v>0</v>
      </c>
      <c r="G84" s="1286">
        <f>SUM(G85:G88)</f>
        <v>0</v>
      </c>
      <c r="H84" s="1286">
        <f>SUM(H85:H88)</f>
        <v>0</v>
      </c>
      <c r="I84" s="1287">
        <f>SUM(I85:I88)</f>
        <v>0</v>
      </c>
      <c r="J84" s="1864">
        <f>SUM(J85:J88)</f>
        <v>0</v>
      </c>
      <c r="K84" s="1818">
        <f>E84-SUM(F84:J84)</f>
        <v>0</v>
      </c>
      <c r="L84" s="1903"/>
    </row>
    <row r="85" spans="1:12" ht="15" hidden="1" customHeight="1" x14ac:dyDescent="0.25">
      <c r="A85" s="1855"/>
      <c r="B85" s="2525" t="s">
        <v>7372</v>
      </c>
      <c r="C85" s="2520"/>
      <c r="D85" s="2527"/>
      <c r="E85" s="2521">
        <f>SUM(F85:J85)</f>
        <v>0</v>
      </c>
      <c r="F85" s="2522">
        <f>'Notes II'!I755-SUM(G85:J85)</f>
        <v>0</v>
      </c>
      <c r="G85" s="2523">
        <v>0</v>
      </c>
      <c r="H85" s="2523">
        <v>0</v>
      </c>
      <c r="I85" s="2523">
        <v>0</v>
      </c>
      <c r="J85" s="2524">
        <v>0</v>
      </c>
      <c r="L85" s="1867"/>
    </row>
    <row r="86" spans="1:12" ht="15" hidden="1" customHeight="1" x14ac:dyDescent="0.25">
      <c r="A86" s="1855"/>
      <c r="B86" s="2525" t="s">
        <v>7373</v>
      </c>
      <c r="C86" s="2520"/>
      <c r="D86" s="2527"/>
      <c r="E86" s="2521">
        <f>SUM(F86:J86)</f>
        <v>0</v>
      </c>
      <c r="F86" s="2522">
        <f>'Notes II'!K888-SUM(G86:J86)</f>
        <v>0</v>
      </c>
      <c r="G86" s="2523">
        <v>0</v>
      </c>
      <c r="H86" s="2523">
        <v>0</v>
      </c>
      <c r="I86" s="2523">
        <v>0</v>
      </c>
      <c r="J86" s="2524">
        <v>0</v>
      </c>
      <c r="L86" s="1867"/>
    </row>
    <row r="87" spans="1:12" ht="15" hidden="1" customHeight="1" x14ac:dyDescent="0.25">
      <c r="A87" s="1855"/>
      <c r="B87" s="2525" t="s">
        <v>7374</v>
      </c>
      <c r="C87" s="2520"/>
      <c r="D87" s="2527"/>
      <c r="E87" s="2521">
        <f>SUM(F87:J87)</f>
        <v>0</v>
      </c>
      <c r="F87" s="2522">
        <f>'Notes I'!I905-SUM(G87:J87)</f>
        <v>0</v>
      </c>
      <c r="G87" s="2523">
        <v>0</v>
      </c>
      <c r="H87" s="2523">
        <v>0</v>
      </c>
      <c r="I87" s="2523">
        <v>0</v>
      </c>
      <c r="J87" s="2524">
        <v>0</v>
      </c>
      <c r="L87" s="1867"/>
    </row>
    <row r="88" spans="1:12" ht="15" hidden="1" customHeight="1" x14ac:dyDescent="0.25">
      <c r="A88" s="1855"/>
      <c r="B88" s="1673"/>
      <c r="C88" s="1856"/>
      <c r="D88" s="1861"/>
      <c r="E88" s="1865">
        <f>SUM(F88:J88)</f>
        <v>0</v>
      </c>
      <c r="F88" s="1866"/>
      <c r="G88" s="1286"/>
      <c r="H88" s="1286"/>
      <c r="I88" s="1286"/>
      <c r="J88" s="1864"/>
      <c r="L88" s="1867"/>
    </row>
    <row r="89" spans="1:12" ht="15" hidden="1" customHeight="1" x14ac:dyDescent="0.25">
      <c r="A89" s="1855"/>
      <c r="B89" s="1673"/>
      <c r="C89" s="1856"/>
      <c r="D89" s="1861"/>
      <c r="E89" s="1904"/>
      <c r="F89" s="1297"/>
      <c r="G89" s="1298"/>
      <c r="H89" s="1298"/>
      <c r="I89" s="1299"/>
      <c r="J89" s="1905"/>
    </row>
    <row r="90" spans="1:12" ht="15" customHeight="1" thickBot="1" x14ac:dyDescent="0.3">
      <c r="A90" s="1859"/>
      <c r="B90" s="1719"/>
      <c r="C90" s="1889"/>
      <c r="D90" s="1890"/>
      <c r="E90" s="1891">
        <f t="shared" ref="E90:J90" si="9">SUM(E72,E79,E84)</f>
        <v>1264082.6799999964</v>
      </c>
      <c r="F90" s="1892">
        <f t="shared" si="9"/>
        <v>1264082.6799999964</v>
      </c>
      <c r="G90" s="1891">
        <f t="shared" si="9"/>
        <v>0</v>
      </c>
      <c r="H90" s="1891">
        <f t="shared" si="9"/>
        <v>0</v>
      </c>
      <c r="I90" s="1893">
        <f t="shared" si="9"/>
        <v>0</v>
      </c>
      <c r="J90" s="1894">
        <f t="shared" si="9"/>
        <v>0</v>
      </c>
      <c r="K90" s="1818">
        <f>E90-SUM(F90:J90)</f>
        <v>0</v>
      </c>
    </row>
    <row r="91" spans="1:12" ht="15" customHeight="1" thickTop="1" x14ac:dyDescent="0.25">
      <c r="A91" s="1855"/>
      <c r="B91" s="1673"/>
      <c r="C91" s="1856"/>
      <c r="D91" s="1857"/>
      <c r="E91" s="1818">
        <f>E90-'Notes II'!E4601</f>
        <v>-348161.00000000023</v>
      </c>
      <c r="F91" s="314"/>
      <c r="G91" s="1277"/>
      <c r="H91" s="1672"/>
      <c r="I91" s="1672"/>
      <c r="J91" s="1858"/>
    </row>
    <row r="92" spans="1:12" ht="15" customHeight="1" x14ac:dyDescent="0.25">
      <c r="A92" s="1859"/>
      <c r="B92" s="1860" t="str">
        <f>Parameters!C13</f>
        <v>30 June 2011</v>
      </c>
      <c r="C92" s="1856"/>
      <c r="D92" s="1857"/>
      <c r="E92" s="1840"/>
      <c r="F92" s="314"/>
      <c r="G92" s="1277"/>
      <c r="H92" s="1672"/>
      <c r="I92" s="1672"/>
      <c r="J92" s="1858"/>
    </row>
    <row r="93" spans="1:12" ht="15" customHeight="1" x14ac:dyDescent="0.25">
      <c r="A93" s="1855"/>
      <c r="B93" s="1673"/>
      <c r="C93" s="1856"/>
      <c r="D93" s="1861"/>
      <c r="E93" s="1862"/>
      <c r="F93" s="1273"/>
      <c r="G93" s="1862"/>
      <c r="H93" s="1862"/>
      <c r="I93" s="1863"/>
      <c r="J93" s="1864"/>
    </row>
    <row r="94" spans="1:12" ht="15" customHeight="1" x14ac:dyDescent="0.25">
      <c r="A94" s="1855"/>
      <c r="B94" s="1673" t="s">
        <v>1226</v>
      </c>
      <c r="C94" s="1856"/>
      <c r="D94" s="1861"/>
      <c r="E94" s="1865">
        <f t="shared" ref="E94:E99" si="10">SUM(F94:J94)</f>
        <v>10110535.212715169</v>
      </c>
      <c r="F94" s="1866">
        <f>SUM(F95:F99)</f>
        <v>10110535.212715169</v>
      </c>
      <c r="G94" s="1866">
        <f>SUM(G95:G99)</f>
        <v>0</v>
      </c>
      <c r="H94" s="1286">
        <f>SUM(H95:H99)</f>
        <v>0</v>
      </c>
      <c r="I94" s="1286">
        <f>SUM(I95:I99)</f>
        <v>0</v>
      </c>
      <c r="J94" s="1864">
        <f>SUM(J95:J99)</f>
        <v>0</v>
      </c>
      <c r="K94" s="1818">
        <f>E94-SUM(F94:J94)</f>
        <v>0</v>
      </c>
      <c r="L94" s="1903"/>
    </row>
    <row r="95" spans="1:12" ht="15" customHeight="1" x14ac:dyDescent="0.25">
      <c r="A95" s="1855"/>
      <c r="B95" s="2525" t="s">
        <v>7375</v>
      </c>
      <c r="C95" s="2520"/>
      <c r="D95" s="2527"/>
      <c r="E95" s="2521">
        <f t="shared" si="10"/>
        <v>95825.5</v>
      </c>
      <c r="F95" s="2522">
        <f>'Notes II'!I4587</f>
        <v>95825.5</v>
      </c>
      <c r="G95" s="2523">
        <v>0</v>
      </c>
      <c r="H95" s="2523">
        <v>0</v>
      </c>
      <c r="I95" s="2523">
        <v>0</v>
      </c>
      <c r="J95" s="2524">
        <v>0</v>
      </c>
      <c r="L95" s="1867"/>
    </row>
    <row r="96" spans="1:12" ht="15" customHeight="1" x14ac:dyDescent="0.25">
      <c r="A96" s="1855"/>
      <c r="B96" s="2525" t="s">
        <v>7367</v>
      </c>
      <c r="C96" s="2520"/>
      <c r="D96" s="2527"/>
      <c r="E96" s="2521">
        <f t="shared" si="10"/>
        <v>5886949.312715169</v>
      </c>
      <c r="F96" s="2522">
        <f>'Notes I'!K127-SUM(G96:J96)</f>
        <v>5886949.312715169</v>
      </c>
      <c r="G96" s="2523">
        <v>0</v>
      </c>
      <c r="H96" s="2523">
        <v>0</v>
      </c>
      <c r="I96" s="2523">
        <v>0</v>
      </c>
      <c r="J96" s="2524">
        <v>0</v>
      </c>
      <c r="L96" s="1867"/>
    </row>
    <row r="97" spans="1:12" ht="15" customHeight="1" x14ac:dyDescent="0.25">
      <c r="A97" s="1855"/>
      <c r="B97" s="2525" t="s">
        <v>7368</v>
      </c>
      <c r="C97" s="2520"/>
      <c r="D97" s="2527"/>
      <c r="E97" s="2521">
        <f t="shared" si="10"/>
        <v>4126580.5</v>
      </c>
      <c r="F97" s="2522">
        <f>'Notes I'!K465-SUM(G97:J97)</f>
        <v>4126580.5</v>
      </c>
      <c r="G97" s="2523">
        <v>0</v>
      </c>
      <c r="H97" s="2523">
        <v>0</v>
      </c>
      <c r="I97" s="2523">
        <v>0</v>
      </c>
      <c r="J97" s="2524">
        <v>0</v>
      </c>
      <c r="L97" s="1867"/>
    </row>
    <row r="98" spans="1:12" ht="15" customHeight="1" x14ac:dyDescent="0.25">
      <c r="A98" s="1855"/>
      <c r="B98" s="2525" t="s">
        <v>7369</v>
      </c>
      <c r="C98" s="2520"/>
      <c r="D98" s="2527"/>
      <c r="E98" s="2521">
        <f t="shared" si="10"/>
        <v>1179.9000000000001</v>
      </c>
      <c r="F98" s="2522">
        <f>'Notes I'!K990-SUM(G98:J98)</f>
        <v>1179.9000000000001</v>
      </c>
      <c r="G98" s="2523">
        <v>0</v>
      </c>
      <c r="H98" s="2523">
        <v>0</v>
      </c>
      <c r="I98" s="2523">
        <v>0</v>
      </c>
      <c r="J98" s="2524">
        <v>0</v>
      </c>
      <c r="L98" s="1867"/>
    </row>
    <row r="99" spans="1:12" ht="15" hidden="1" customHeight="1" x14ac:dyDescent="0.25">
      <c r="A99" s="1855"/>
      <c r="B99" s="1869"/>
      <c r="C99" s="1870"/>
      <c r="D99" s="1871"/>
      <c r="E99" s="1872">
        <f t="shared" si="10"/>
        <v>0</v>
      </c>
      <c r="F99" s="1873"/>
      <c r="G99" s="1874"/>
      <c r="H99" s="1874"/>
      <c r="I99" s="1874"/>
      <c r="J99" s="1875"/>
      <c r="L99" s="1867"/>
    </row>
    <row r="100" spans="1:12" ht="15" customHeight="1" x14ac:dyDescent="0.25">
      <c r="A100" s="1855"/>
      <c r="B100" s="1673"/>
      <c r="C100" s="1856"/>
      <c r="D100" s="1861"/>
      <c r="E100" s="1865"/>
      <c r="F100" s="1285"/>
      <c r="G100" s="1286"/>
      <c r="H100" s="1286"/>
      <c r="I100" s="1287"/>
      <c r="J100" s="1864"/>
      <c r="L100" s="1903"/>
    </row>
    <row r="101" spans="1:12" ht="15" customHeight="1" x14ac:dyDescent="0.25">
      <c r="A101" s="1855"/>
      <c r="B101" s="1673" t="s">
        <v>1227</v>
      </c>
      <c r="C101" s="1856"/>
      <c r="D101" s="1861"/>
      <c r="E101" s="1865">
        <f>SUM(F101:J101)</f>
        <v>511694.11</v>
      </c>
      <c r="F101" s="1866">
        <f>SUM(F102:F104)</f>
        <v>511694.11</v>
      </c>
      <c r="G101" s="1866">
        <f>SUM(G102:G104)</f>
        <v>0</v>
      </c>
      <c r="H101" s="1286">
        <f>SUM(H102:H104)</f>
        <v>0</v>
      </c>
      <c r="I101" s="1286">
        <f>SUM(I102:I104)</f>
        <v>0</v>
      </c>
      <c r="J101" s="1864">
        <f>SUM(J102:J104)</f>
        <v>0</v>
      </c>
      <c r="K101" s="1818">
        <f>E101-SUM(F101:J101)</f>
        <v>0</v>
      </c>
      <c r="L101" s="1903"/>
    </row>
    <row r="102" spans="1:12" ht="15" customHeight="1" x14ac:dyDescent="0.25">
      <c r="A102" s="1855"/>
      <c r="B102" s="2525" t="s">
        <v>7370</v>
      </c>
      <c r="C102" s="2520"/>
      <c r="D102" s="2527">
        <v>0.1</v>
      </c>
      <c r="E102" s="2521">
        <f>SUM(F102:J102)</f>
        <v>299229.11</v>
      </c>
      <c r="F102" s="2522">
        <f>'Notes I'!K904-SUM(G102:J102)</f>
        <v>299229.11</v>
      </c>
      <c r="G102" s="2523">
        <v>0</v>
      </c>
      <c r="H102" s="2523">
        <v>0</v>
      </c>
      <c r="I102" s="2523">
        <v>0</v>
      </c>
      <c r="J102" s="2524">
        <v>0</v>
      </c>
      <c r="L102" s="1867"/>
    </row>
    <row r="103" spans="1:12" ht="15" customHeight="1" x14ac:dyDescent="0.25">
      <c r="A103" s="1855"/>
      <c r="B103" s="2525" t="s">
        <v>7371</v>
      </c>
      <c r="C103" s="2520"/>
      <c r="D103" s="2527">
        <v>0.1</v>
      </c>
      <c r="E103" s="2521">
        <f>SUM(F103:J103)</f>
        <v>212465</v>
      </c>
      <c r="F103" s="2522">
        <f>'Notes I'!K938-SUM(G103:J103)</f>
        <v>212465</v>
      </c>
      <c r="G103" s="2523">
        <v>0</v>
      </c>
      <c r="H103" s="2523">
        <v>0</v>
      </c>
      <c r="I103" s="2523">
        <v>0</v>
      </c>
      <c r="J103" s="2524">
        <v>0</v>
      </c>
      <c r="L103" s="1867"/>
    </row>
    <row r="104" spans="1:12" ht="15" hidden="1" customHeight="1" x14ac:dyDescent="0.25">
      <c r="A104" s="1855"/>
      <c r="B104" s="1869"/>
      <c r="C104" s="1870"/>
      <c r="D104" s="1871"/>
      <c r="E104" s="1872">
        <f>SUM(F104:J104)</f>
        <v>0</v>
      </c>
      <c r="F104" s="1873"/>
      <c r="G104" s="1874"/>
      <c r="H104" s="1874"/>
      <c r="I104" s="1874"/>
      <c r="J104" s="1875"/>
      <c r="L104" s="1867"/>
    </row>
    <row r="105" spans="1:12" ht="15" customHeight="1" x14ac:dyDescent="0.25">
      <c r="A105" s="1855"/>
      <c r="B105" s="1673"/>
      <c r="C105" s="1856"/>
      <c r="D105" s="1861"/>
      <c r="E105" s="1862"/>
      <c r="F105" s="1273"/>
      <c r="G105" s="1862"/>
      <c r="H105" s="1862"/>
      <c r="I105" s="1863"/>
      <c r="J105" s="1864"/>
      <c r="L105" s="1854"/>
    </row>
    <row r="106" spans="1:12" ht="15" hidden="1" customHeight="1" x14ac:dyDescent="0.25">
      <c r="A106" s="1855"/>
      <c r="B106" s="1673" t="s">
        <v>1228</v>
      </c>
      <c r="C106" s="1856"/>
      <c r="D106" s="2513" t="e">
        <f>'Notes II'!E4869/(('Notes I'!K905+'Notes I'!N905)/2)</f>
        <v>#DIV/0!</v>
      </c>
      <c r="E106" s="1865">
        <f>SUM(F106:J106)</f>
        <v>0</v>
      </c>
      <c r="F106" s="1285">
        <f>SUM(F107:F110)</f>
        <v>0</v>
      </c>
      <c r="G106" s="1286">
        <f>SUM(G107:G110)</f>
        <v>0</v>
      </c>
      <c r="H106" s="1286">
        <f>SUM(H107:H110)</f>
        <v>0</v>
      </c>
      <c r="I106" s="1287">
        <f>SUM(I107:I110)</f>
        <v>0</v>
      </c>
      <c r="J106" s="1864">
        <f>SUM(J107:J110)</f>
        <v>0</v>
      </c>
      <c r="K106" s="1818">
        <f>E106-SUM(F106:J106)</f>
        <v>0</v>
      </c>
      <c r="L106" s="1903"/>
    </row>
    <row r="107" spans="1:12" ht="15" hidden="1" customHeight="1" x14ac:dyDescent="0.25">
      <c r="A107" s="1855"/>
      <c r="B107" s="2525" t="s">
        <v>7372</v>
      </c>
      <c r="C107" s="2520"/>
      <c r="D107" s="2527"/>
      <c r="E107" s="2521">
        <f>SUM(F107:J107)</f>
        <v>0</v>
      </c>
      <c r="F107" s="2522">
        <f>'Notes II'!K755-SUM(G107:J107)</f>
        <v>0</v>
      </c>
      <c r="G107" s="2523">
        <v>0</v>
      </c>
      <c r="H107" s="2523">
        <v>0</v>
      </c>
      <c r="I107" s="2523">
        <v>0</v>
      </c>
      <c r="J107" s="2524">
        <v>0</v>
      </c>
      <c r="L107" s="1867"/>
    </row>
    <row r="108" spans="1:12" ht="15" hidden="1" customHeight="1" x14ac:dyDescent="0.25">
      <c r="A108" s="1855"/>
      <c r="B108" s="1869" t="s">
        <v>2464</v>
      </c>
      <c r="C108" s="1870"/>
      <c r="D108" s="1871"/>
      <c r="E108" s="1872">
        <f>SUM(F108:J108)</f>
        <v>0</v>
      </c>
      <c r="F108" s="1873">
        <f>'Notes II'!K905-SUM(G108:J108)</f>
        <v>0</v>
      </c>
      <c r="G108" s="1874">
        <v>0</v>
      </c>
      <c r="H108" s="1874">
        <v>0</v>
      </c>
      <c r="I108" s="1874">
        <v>0</v>
      </c>
      <c r="J108" s="1875">
        <v>0</v>
      </c>
      <c r="L108" s="1867"/>
    </row>
    <row r="109" spans="1:12" ht="15" hidden="1" customHeight="1" x14ac:dyDescent="0.25">
      <c r="A109" s="1855"/>
      <c r="B109" s="1869" t="s">
        <v>2460</v>
      </c>
      <c r="C109" s="1870"/>
      <c r="D109" s="1871"/>
      <c r="E109" s="1872">
        <f>SUM(F109:J109)</f>
        <v>0</v>
      </c>
      <c r="F109" s="1873">
        <f>'Notes I'!K905-SUM(G109:J109)</f>
        <v>0</v>
      </c>
      <c r="G109" s="1874">
        <v>0</v>
      </c>
      <c r="H109" s="1874">
        <v>0</v>
      </c>
      <c r="I109" s="1874">
        <v>0</v>
      </c>
      <c r="J109" s="1875">
        <v>0</v>
      </c>
      <c r="L109" s="1867"/>
    </row>
    <row r="110" spans="1:12" ht="15" hidden="1" customHeight="1" x14ac:dyDescent="0.25">
      <c r="A110" s="1855"/>
      <c r="B110" s="1869"/>
      <c r="C110" s="1870"/>
      <c r="D110" s="1871"/>
      <c r="E110" s="1872">
        <f>SUM(F110:J110)</f>
        <v>0</v>
      </c>
      <c r="F110" s="1873"/>
      <c r="G110" s="1874"/>
      <c r="H110" s="1874"/>
      <c r="I110" s="1874"/>
      <c r="J110" s="1875"/>
      <c r="L110" s="1867"/>
    </row>
    <row r="111" spans="1:12" ht="15" hidden="1" customHeight="1" x14ac:dyDescent="0.25">
      <c r="A111" s="1855"/>
      <c r="B111" s="1673"/>
      <c r="C111" s="1856"/>
      <c r="D111" s="1861"/>
      <c r="E111" s="1904"/>
      <c r="F111" s="1297"/>
      <c r="G111" s="1298"/>
      <c r="H111" s="1298"/>
      <c r="I111" s="1299"/>
      <c r="J111" s="1905"/>
    </row>
    <row r="112" spans="1:12" ht="15" customHeight="1" thickBot="1" x14ac:dyDescent="0.3">
      <c r="A112" s="1855"/>
      <c r="B112" s="1719"/>
      <c r="C112" s="1889"/>
      <c r="D112" s="1890"/>
      <c r="E112" s="1891">
        <f t="shared" ref="E112:J112" si="11">SUM(E94,E101,E106)</f>
        <v>10622229.322715169</v>
      </c>
      <c r="F112" s="1892">
        <f t="shared" si="11"/>
        <v>10622229.322715169</v>
      </c>
      <c r="G112" s="1891">
        <f t="shared" si="11"/>
        <v>0</v>
      </c>
      <c r="H112" s="1891">
        <f t="shared" si="11"/>
        <v>0</v>
      </c>
      <c r="I112" s="1893">
        <f t="shared" si="11"/>
        <v>0</v>
      </c>
      <c r="J112" s="1894">
        <f t="shared" si="11"/>
        <v>0</v>
      </c>
      <c r="K112" s="1818">
        <f>E112-SUM(F112:J112)</f>
        <v>0</v>
      </c>
    </row>
    <row r="113" spans="1:12" ht="15" customHeight="1" thickTop="1" thickBot="1" x14ac:dyDescent="0.3">
      <c r="A113" s="1842"/>
      <c r="B113" s="1843"/>
      <c r="C113" s="1895"/>
      <c r="D113" s="1896"/>
      <c r="E113" s="1897">
        <f>E112-'Notes II'!I4601</f>
        <v>-348161</v>
      </c>
      <c r="F113" s="1906"/>
      <c r="G113" s="1906"/>
      <c r="H113" s="1906"/>
      <c r="I113" s="1907"/>
      <c r="J113" s="1908"/>
    </row>
    <row r="114" spans="1:12" ht="15" customHeight="1" x14ac:dyDescent="0.25">
      <c r="A114" s="1819"/>
      <c r="B114" s="1819"/>
      <c r="C114" s="1819"/>
      <c r="D114" s="1819"/>
      <c r="E114" s="1819"/>
      <c r="F114" s="1819"/>
      <c r="G114" s="1819"/>
      <c r="H114" s="1819"/>
      <c r="I114" s="1819"/>
      <c r="J114" s="1819"/>
    </row>
    <row r="115" spans="1:12" ht="45" hidden="1" customHeight="1" x14ac:dyDescent="0.25">
      <c r="A115" s="1830"/>
      <c r="B115" s="2970" t="s">
        <v>4466</v>
      </c>
      <c r="C115" s="2970"/>
      <c r="D115" s="2970"/>
      <c r="E115" s="2970"/>
      <c r="F115" s="2970"/>
      <c r="G115" s="2970"/>
      <c r="H115" s="2970"/>
      <c r="I115" s="2970"/>
      <c r="J115" s="2970"/>
      <c r="K115" s="1837" t="s">
        <v>2440</v>
      </c>
      <c r="L115" s="1703"/>
    </row>
    <row r="116" spans="1:12" ht="15" hidden="1" customHeight="1" x14ac:dyDescent="0.25">
      <c r="A116" s="1819"/>
      <c r="B116" s="1819"/>
      <c r="C116" s="1819"/>
      <c r="D116" s="1819"/>
      <c r="E116" s="1819"/>
      <c r="F116" s="1819"/>
      <c r="G116" s="1819"/>
      <c r="H116" s="1819"/>
      <c r="I116" s="1819"/>
      <c r="J116" s="1819"/>
      <c r="K116" s="1909">
        <f>SUM('Notes II'!I3969,'Notes II'!I3975,'Notes II'!I3981,'Notes II'!I3987,'Notes II'!I3993,'Notes II'!I3999,'Notes II'!I4005)</f>
        <v>0</v>
      </c>
      <c r="L116" s="1909">
        <f>SUM('Notes II'!K3969,'Notes II'!K3975,'Notes II'!K3981,'Notes II'!K3987,'Notes II'!K3993,'Notes II'!K3999,'Notes II'!K4005)</f>
        <v>0</v>
      </c>
    </row>
    <row r="117" spans="1:12" ht="45" hidden="1" customHeight="1" x14ac:dyDescent="0.25">
      <c r="A117" s="1910"/>
      <c r="B117" s="2974" t="s">
        <v>1232</v>
      </c>
      <c r="C117" s="2974"/>
      <c r="D117" s="2974"/>
      <c r="E117" s="2974"/>
      <c r="F117" s="2974"/>
      <c r="G117" s="2974"/>
      <c r="H117" s="2974"/>
      <c r="I117" s="2974"/>
      <c r="J117" s="2974"/>
      <c r="K117" s="1837" t="s">
        <v>2441</v>
      </c>
      <c r="L117" s="1703"/>
    </row>
    <row r="118" spans="1:12" ht="15" hidden="1" customHeight="1" thickBot="1" x14ac:dyDescent="0.3">
      <c r="A118" s="1911"/>
      <c r="B118" s="1911"/>
      <c r="C118" s="1911"/>
      <c r="D118" s="1911"/>
      <c r="E118" s="1911"/>
      <c r="F118" s="1911"/>
      <c r="G118" s="1911"/>
      <c r="H118" s="1911"/>
      <c r="I118" s="1911"/>
      <c r="J118" s="1911"/>
    </row>
    <row r="119" spans="1:12" ht="15" hidden="1" customHeight="1" x14ac:dyDescent="0.25">
      <c r="A119" s="1912"/>
      <c r="B119" s="1913"/>
      <c r="C119" s="1914"/>
      <c r="D119" s="1915"/>
      <c r="E119" s="758"/>
      <c r="F119" s="759" t="s">
        <v>1205</v>
      </c>
      <c r="G119" s="760" t="s">
        <v>1206</v>
      </c>
      <c r="H119" s="761" t="s">
        <v>1207</v>
      </c>
      <c r="I119" s="1916" t="s">
        <v>1208</v>
      </c>
      <c r="J119" s="762" t="s">
        <v>1209</v>
      </c>
      <c r="K119" s="1818" t="s">
        <v>2442</v>
      </c>
      <c r="L119" s="1838"/>
    </row>
    <row r="120" spans="1:12" ht="15" hidden="1" customHeight="1" x14ac:dyDescent="0.25">
      <c r="A120" s="2975" t="s">
        <v>7</v>
      </c>
      <c r="B120" s="2976"/>
      <c r="C120" s="1917"/>
      <c r="D120" s="1918"/>
      <c r="E120" s="1919" t="s">
        <v>234</v>
      </c>
      <c r="F120" s="763"/>
      <c r="G120" s="764"/>
      <c r="H120" s="1920"/>
      <c r="I120" s="1920"/>
      <c r="J120" s="1921"/>
    </row>
    <row r="121" spans="1:12" ht="15" hidden="1" customHeight="1" thickBot="1" x14ac:dyDescent="0.3">
      <c r="A121" s="1922"/>
      <c r="B121" s="1923"/>
      <c r="C121" s="1924"/>
      <c r="D121" s="1925"/>
      <c r="E121" s="1926"/>
      <c r="F121" s="1927" t="s">
        <v>1213</v>
      </c>
      <c r="G121" s="1928" t="s">
        <v>1214</v>
      </c>
      <c r="H121" s="1929" t="s">
        <v>1215</v>
      </c>
      <c r="I121" s="1929" t="s">
        <v>1215</v>
      </c>
      <c r="J121" s="1930" t="s">
        <v>1216</v>
      </c>
    </row>
    <row r="122" spans="1:12" ht="15" hidden="1" customHeight="1" x14ac:dyDescent="0.25">
      <c r="A122" s="1931"/>
      <c r="B122" s="1913"/>
      <c r="C122" s="1932"/>
      <c r="D122" s="1933"/>
      <c r="E122" s="1934" t="s">
        <v>255</v>
      </c>
      <c r="F122" s="1934" t="s">
        <v>255</v>
      </c>
      <c r="G122" s="1934" t="s">
        <v>255</v>
      </c>
      <c r="H122" s="1934" t="s">
        <v>255</v>
      </c>
      <c r="I122" s="1934"/>
      <c r="J122" s="1935" t="s">
        <v>255</v>
      </c>
    </row>
    <row r="123" spans="1:12" ht="15" hidden="1" customHeight="1" x14ac:dyDescent="0.25">
      <c r="A123" s="1936"/>
      <c r="B123" s="1937"/>
      <c r="C123" s="1938"/>
      <c r="D123" s="1939"/>
      <c r="E123" s="1919"/>
      <c r="F123" s="765"/>
      <c r="G123" s="1940"/>
      <c r="H123" s="1941"/>
      <c r="I123" s="1941"/>
      <c r="J123" s="1942"/>
    </row>
    <row r="124" spans="1:12" ht="15" hidden="1" customHeight="1" x14ac:dyDescent="0.25">
      <c r="A124" s="1943"/>
      <c r="B124" s="1944" t="str">
        <f>Parameters!C11</f>
        <v>30 June 2012</v>
      </c>
      <c r="C124" s="1938"/>
      <c r="D124" s="1939"/>
      <c r="E124" s="1919"/>
      <c r="F124" s="765"/>
      <c r="G124" s="1940"/>
      <c r="H124" s="1941"/>
      <c r="I124" s="1941"/>
      <c r="J124" s="1942"/>
    </row>
    <row r="125" spans="1:12" ht="15" hidden="1" customHeight="1" x14ac:dyDescent="0.25">
      <c r="A125" s="1936"/>
      <c r="B125" s="1937"/>
      <c r="C125" s="1938"/>
      <c r="D125" s="1945"/>
      <c r="E125" s="1946"/>
      <c r="F125" s="1947"/>
      <c r="G125" s="1946"/>
      <c r="H125" s="1946"/>
      <c r="I125" s="1948"/>
      <c r="J125" s="1949"/>
    </row>
    <row r="126" spans="1:12" ht="15" hidden="1" customHeight="1" x14ac:dyDescent="0.25">
      <c r="A126" s="1936"/>
      <c r="B126" s="1937" t="s">
        <v>1233</v>
      </c>
      <c r="C126" s="1938"/>
      <c r="D126" s="1945"/>
      <c r="E126" s="1946"/>
      <c r="F126" s="1947"/>
      <c r="G126" s="1946"/>
      <c r="H126" s="1946"/>
      <c r="I126" s="1948"/>
      <c r="J126" s="1949"/>
    </row>
    <row r="127" spans="1:12" ht="15" hidden="1" customHeight="1" x14ac:dyDescent="0.25">
      <c r="A127" s="1936"/>
      <c r="B127" s="1937" t="s">
        <v>1234</v>
      </c>
      <c r="C127" s="1938"/>
      <c r="D127" s="1945"/>
      <c r="E127" s="1950">
        <v>689</v>
      </c>
      <c r="F127" s="1951">
        <v>11</v>
      </c>
      <c r="G127" s="1952">
        <v>50</v>
      </c>
      <c r="H127" s="1952">
        <v>205</v>
      </c>
      <c r="I127" s="1953">
        <v>302</v>
      </c>
      <c r="J127" s="1949">
        <v>121</v>
      </c>
      <c r="K127" s="1818">
        <f>E127-SUM(F127:J127)</f>
        <v>0</v>
      </c>
      <c r="L127" s="1903"/>
    </row>
    <row r="128" spans="1:12" ht="15" hidden="1" customHeight="1" x14ac:dyDescent="0.25">
      <c r="A128" s="1936"/>
      <c r="B128" s="1937" t="s">
        <v>1235</v>
      </c>
      <c r="C128" s="1938"/>
      <c r="D128" s="1945"/>
      <c r="E128" s="1950">
        <v>-13</v>
      </c>
      <c r="F128" s="1951">
        <v>-5</v>
      </c>
      <c r="G128" s="1952">
        <v>-21</v>
      </c>
      <c r="H128" s="1952">
        <v>13</v>
      </c>
      <c r="I128" s="1953">
        <v>0</v>
      </c>
      <c r="J128" s="1949">
        <v>0</v>
      </c>
      <c r="K128" s="1818">
        <f>E128-SUM(F128:J128)</f>
        <v>0</v>
      </c>
      <c r="L128" s="1903"/>
    </row>
    <row r="129" spans="1:12" ht="15" hidden="1" customHeight="1" x14ac:dyDescent="0.25">
      <c r="A129" s="1936"/>
      <c r="B129" s="1937" t="s">
        <v>1236</v>
      </c>
      <c r="C129" s="1938"/>
      <c r="D129" s="1945"/>
      <c r="E129" s="1946"/>
      <c r="F129" s="1947"/>
      <c r="G129" s="1946"/>
      <c r="H129" s="1946"/>
      <c r="I129" s="1948"/>
      <c r="J129" s="1949"/>
    </row>
    <row r="130" spans="1:12" ht="15" hidden="1" customHeight="1" x14ac:dyDescent="0.25">
      <c r="A130" s="1936"/>
      <c r="B130" s="1937" t="s">
        <v>1235</v>
      </c>
      <c r="C130" s="1938"/>
      <c r="D130" s="1945"/>
      <c r="E130" s="1950">
        <v>47</v>
      </c>
      <c r="F130" s="1951">
        <v>12</v>
      </c>
      <c r="G130" s="1952">
        <v>35</v>
      </c>
      <c r="H130" s="1952">
        <v>0</v>
      </c>
      <c r="I130" s="1953">
        <v>0</v>
      </c>
      <c r="J130" s="1949">
        <v>0</v>
      </c>
      <c r="K130" s="1818">
        <f>E130-SUM(F130:J130)</f>
        <v>0</v>
      </c>
      <c r="L130" s="1903"/>
    </row>
    <row r="131" spans="1:12" ht="15" hidden="1" customHeight="1" x14ac:dyDescent="0.25">
      <c r="A131" s="1936"/>
      <c r="B131" s="1937" t="s">
        <v>1237</v>
      </c>
      <c r="C131" s="1938"/>
      <c r="D131" s="1945"/>
      <c r="E131" s="1950">
        <v>0</v>
      </c>
      <c r="F131" s="1951">
        <v>0</v>
      </c>
      <c r="G131" s="1952">
        <v>0</v>
      </c>
      <c r="H131" s="1952">
        <v>0</v>
      </c>
      <c r="I131" s="1953">
        <v>0</v>
      </c>
      <c r="J131" s="1949">
        <v>0</v>
      </c>
      <c r="K131" s="1818">
        <f>E131-SUM(F131:J131)</f>
        <v>0</v>
      </c>
      <c r="L131" s="1903"/>
    </row>
    <row r="132" spans="1:12" ht="15" hidden="1" customHeight="1" x14ac:dyDescent="0.25">
      <c r="A132" s="1936"/>
      <c r="B132" s="1937"/>
      <c r="C132" s="1938"/>
      <c r="D132" s="1945"/>
      <c r="E132" s="1954"/>
      <c r="F132" s="1955"/>
      <c r="G132" s="1956"/>
      <c r="H132" s="1956"/>
      <c r="I132" s="1957"/>
      <c r="J132" s="1958"/>
    </row>
    <row r="133" spans="1:12" ht="15" hidden="1" customHeight="1" thickBot="1" x14ac:dyDescent="0.3">
      <c r="A133" s="1943"/>
      <c r="B133" s="1959"/>
      <c r="C133" s="1960"/>
      <c r="D133" s="1939"/>
      <c r="E133" s="1961">
        <f t="shared" ref="E133:J133" si="12">SUM(E126:E132)</f>
        <v>723</v>
      </c>
      <c r="F133" s="1962">
        <f t="shared" si="12"/>
        <v>18</v>
      </c>
      <c r="G133" s="1961">
        <f t="shared" si="12"/>
        <v>64</v>
      </c>
      <c r="H133" s="1961">
        <f t="shared" si="12"/>
        <v>218</v>
      </c>
      <c r="I133" s="1963">
        <f t="shared" si="12"/>
        <v>302</v>
      </c>
      <c r="J133" s="1964">
        <f t="shared" si="12"/>
        <v>121</v>
      </c>
      <c r="K133" s="1818">
        <f>E133-SUM(F133:J133)</f>
        <v>0</v>
      </c>
    </row>
    <row r="134" spans="1:12" ht="15" hidden="1" customHeight="1" thickTop="1" x14ac:dyDescent="0.25">
      <c r="A134" s="1936"/>
      <c r="B134" s="1937"/>
      <c r="C134" s="1938"/>
      <c r="D134" s="1939"/>
      <c r="E134" s="1919"/>
      <c r="F134" s="765"/>
      <c r="G134" s="1940"/>
      <c r="H134" s="1941"/>
      <c r="I134" s="1941"/>
      <c r="J134" s="1942"/>
    </row>
    <row r="135" spans="1:12" ht="15" hidden="1" customHeight="1" x14ac:dyDescent="0.25">
      <c r="A135" s="1943"/>
      <c r="B135" s="1944" t="str">
        <f>Parameters!C13</f>
        <v>30 June 2011</v>
      </c>
      <c r="C135" s="1938"/>
      <c r="D135" s="1939"/>
      <c r="E135" s="1919"/>
      <c r="F135" s="765"/>
      <c r="G135" s="1940"/>
      <c r="H135" s="1941"/>
      <c r="I135" s="1941"/>
      <c r="J135" s="1942"/>
    </row>
    <row r="136" spans="1:12" ht="15" hidden="1" customHeight="1" x14ac:dyDescent="0.25">
      <c r="A136" s="1936"/>
      <c r="B136" s="1937"/>
      <c r="C136" s="1938"/>
      <c r="D136" s="1945"/>
      <c r="E136" s="1946"/>
      <c r="F136" s="1947"/>
      <c r="G136" s="1946"/>
      <c r="H136" s="1946"/>
      <c r="I136" s="1948"/>
      <c r="J136" s="1949"/>
    </row>
    <row r="137" spans="1:12" ht="15" hidden="1" customHeight="1" x14ac:dyDescent="0.25">
      <c r="A137" s="1936"/>
      <c r="B137" s="1937" t="s">
        <v>1233</v>
      </c>
      <c r="C137" s="1938"/>
      <c r="D137" s="1945"/>
      <c r="E137" s="1946"/>
      <c r="F137" s="1947"/>
      <c r="G137" s="1946"/>
      <c r="H137" s="1946"/>
      <c r="I137" s="1948"/>
      <c r="J137" s="1949"/>
    </row>
    <row r="138" spans="1:12" ht="15" hidden="1" customHeight="1" x14ac:dyDescent="0.25">
      <c r="A138" s="1936"/>
      <c r="B138" s="1937" t="s">
        <v>1234</v>
      </c>
      <c r="C138" s="1938"/>
      <c r="D138" s="1945"/>
      <c r="E138" s="1950">
        <v>289</v>
      </c>
      <c r="F138" s="1951">
        <v>7</v>
      </c>
      <c r="G138" s="1952">
        <v>18</v>
      </c>
      <c r="H138" s="1952">
        <v>22</v>
      </c>
      <c r="I138" s="1953">
        <v>160</v>
      </c>
      <c r="J138" s="1949">
        <v>82</v>
      </c>
      <c r="K138" s="1818">
        <f>E138-SUM(F138:J138)</f>
        <v>0</v>
      </c>
      <c r="L138" s="1903"/>
    </row>
    <row r="139" spans="1:12" ht="15" hidden="1" customHeight="1" x14ac:dyDescent="0.25">
      <c r="A139" s="1936"/>
      <c r="B139" s="1937" t="s">
        <v>1235</v>
      </c>
      <c r="C139" s="1938"/>
      <c r="D139" s="1945"/>
      <c r="E139" s="1950">
        <v>34</v>
      </c>
      <c r="F139" s="1951">
        <v>10</v>
      </c>
      <c r="G139" s="1952">
        <v>15</v>
      </c>
      <c r="H139" s="1952">
        <v>9</v>
      </c>
      <c r="I139" s="1953">
        <v>0</v>
      </c>
      <c r="J139" s="1949">
        <v>0</v>
      </c>
      <c r="K139" s="1818">
        <f>E139-SUM(F139:J139)</f>
        <v>0</v>
      </c>
      <c r="L139" s="1903"/>
    </row>
    <row r="140" spans="1:12" ht="15" hidden="1" customHeight="1" x14ac:dyDescent="0.25">
      <c r="A140" s="1936"/>
      <c r="B140" s="1937" t="s">
        <v>1236</v>
      </c>
      <c r="C140" s="1938"/>
      <c r="D140" s="1945"/>
      <c r="E140" s="1946"/>
      <c r="F140" s="1947"/>
      <c r="G140" s="1946"/>
      <c r="H140" s="1946"/>
      <c r="I140" s="1948"/>
      <c r="J140" s="1949"/>
    </row>
    <row r="141" spans="1:12" ht="15" hidden="1" customHeight="1" x14ac:dyDescent="0.25">
      <c r="A141" s="1936"/>
      <c r="B141" s="1937" t="s">
        <v>1235</v>
      </c>
      <c r="C141" s="1938"/>
      <c r="D141" s="1945"/>
      <c r="E141" s="1950">
        <v>218</v>
      </c>
      <c r="F141" s="1951">
        <v>65</v>
      </c>
      <c r="G141" s="1952">
        <v>132</v>
      </c>
      <c r="H141" s="1952">
        <v>21</v>
      </c>
      <c r="I141" s="1953">
        <v>0</v>
      </c>
      <c r="J141" s="1949">
        <v>0</v>
      </c>
      <c r="K141" s="1818">
        <f>E141-SUM(F141:J141)</f>
        <v>0</v>
      </c>
      <c r="L141" s="1903"/>
    </row>
    <row r="142" spans="1:12" ht="15" hidden="1" customHeight="1" x14ac:dyDescent="0.25">
      <c r="A142" s="1936"/>
      <c r="B142" s="1937" t="s">
        <v>1237</v>
      </c>
      <c r="C142" s="1938"/>
      <c r="D142" s="1945"/>
      <c r="E142" s="1950">
        <v>0</v>
      </c>
      <c r="F142" s="1951">
        <v>0</v>
      </c>
      <c r="G142" s="1952">
        <v>0</v>
      </c>
      <c r="H142" s="1952">
        <v>0</v>
      </c>
      <c r="I142" s="1953">
        <v>0</v>
      </c>
      <c r="J142" s="1949">
        <v>0</v>
      </c>
      <c r="K142" s="1818">
        <f>E142-SUM(F142:J142)</f>
        <v>0</v>
      </c>
      <c r="L142" s="1903"/>
    </row>
    <row r="143" spans="1:12" ht="15" hidden="1" customHeight="1" x14ac:dyDescent="0.25">
      <c r="A143" s="1936"/>
      <c r="B143" s="1937"/>
      <c r="C143" s="1938"/>
      <c r="D143" s="1945"/>
      <c r="E143" s="1954"/>
      <c r="F143" s="1955"/>
      <c r="G143" s="1956"/>
      <c r="H143" s="1956"/>
      <c r="I143" s="1957"/>
      <c r="J143" s="1958"/>
    </row>
    <row r="144" spans="1:12" ht="15" hidden="1" customHeight="1" thickBot="1" x14ac:dyDescent="0.3">
      <c r="A144" s="1943"/>
      <c r="B144" s="1959"/>
      <c r="C144" s="1960"/>
      <c r="D144" s="1939"/>
      <c r="E144" s="1961">
        <f t="shared" ref="E144:J144" si="13">SUM(E136:E143)</f>
        <v>541</v>
      </c>
      <c r="F144" s="1962">
        <f t="shared" si="13"/>
        <v>82</v>
      </c>
      <c r="G144" s="1961">
        <f t="shared" si="13"/>
        <v>165</v>
      </c>
      <c r="H144" s="1961">
        <f t="shared" si="13"/>
        <v>52</v>
      </c>
      <c r="I144" s="1963">
        <f t="shared" si="13"/>
        <v>160</v>
      </c>
      <c r="J144" s="1964">
        <f t="shared" si="13"/>
        <v>82</v>
      </c>
      <c r="K144" s="1818">
        <f>E144-SUM(F144:J144)</f>
        <v>0</v>
      </c>
    </row>
    <row r="145" spans="1:15" ht="15" hidden="1" customHeight="1" thickTop="1" thickBot="1" x14ac:dyDescent="0.3">
      <c r="A145" s="1922"/>
      <c r="B145" s="1923"/>
      <c r="C145" s="1965"/>
      <c r="D145" s="1966"/>
      <c r="E145" s="1967"/>
      <c r="F145" s="1967"/>
      <c r="G145" s="1967"/>
      <c r="H145" s="1967"/>
      <c r="I145" s="1968"/>
      <c r="J145" s="1969"/>
    </row>
    <row r="146" spans="1:15" ht="15" hidden="1" customHeight="1" x14ac:dyDescent="0.25">
      <c r="A146" s="1819"/>
      <c r="B146" s="1819"/>
      <c r="C146" s="1819"/>
      <c r="D146" s="1819"/>
      <c r="E146" s="1819"/>
      <c r="F146" s="1819"/>
      <c r="G146" s="1819"/>
      <c r="H146" s="1819"/>
      <c r="I146" s="1819"/>
      <c r="J146" s="1819"/>
      <c r="K146" s="1819"/>
    </row>
    <row r="147" spans="1:15" ht="15" customHeight="1" x14ac:dyDescent="0.25">
      <c r="A147" s="1690"/>
      <c r="B147" s="1829" t="s">
        <v>7627</v>
      </c>
      <c r="C147" s="1823"/>
      <c r="D147" s="1824"/>
      <c r="E147" s="1824"/>
      <c r="F147" s="1828"/>
      <c r="G147" s="1823"/>
      <c r="O147" s="1675" t="s">
        <v>3857</v>
      </c>
    </row>
    <row r="148" spans="1:15" ht="15" customHeight="1" x14ac:dyDescent="0.25">
      <c r="A148" s="1821"/>
      <c r="B148" s="1823"/>
      <c r="C148" s="1823"/>
      <c r="D148" s="1824"/>
      <c r="E148" s="1824"/>
      <c r="F148" s="1828"/>
      <c r="G148" s="1823"/>
    </row>
    <row r="149" spans="1:15" ht="30" customHeight="1" x14ac:dyDescent="0.25">
      <c r="A149" s="1830"/>
      <c r="B149" s="2970" t="s">
        <v>1204</v>
      </c>
      <c r="C149" s="2970"/>
      <c r="D149" s="2970"/>
      <c r="E149" s="2970"/>
      <c r="F149" s="2970"/>
      <c r="G149" s="2970"/>
      <c r="H149" s="2970"/>
      <c r="I149" s="2970"/>
      <c r="J149" s="2970"/>
    </row>
    <row r="150" spans="1:15" ht="15" customHeight="1" x14ac:dyDescent="0.25">
      <c r="A150" s="1690"/>
      <c r="B150" s="1725"/>
      <c r="C150" s="1970"/>
      <c r="D150" s="1971"/>
      <c r="E150" s="1971"/>
      <c r="F150" s="302"/>
      <c r="G150" s="1273"/>
      <c r="H150" s="1273"/>
      <c r="I150" s="1273"/>
      <c r="J150" s="1970"/>
    </row>
    <row r="151" spans="1:15" ht="15" customHeight="1" x14ac:dyDescent="0.25">
      <c r="A151" s="1690"/>
      <c r="B151" s="1860" t="str">
        <f>Parameters!C11</f>
        <v>30 June 2012</v>
      </c>
      <c r="C151" s="1970"/>
      <c r="D151" s="1971"/>
      <c r="E151" s="1971"/>
      <c r="F151" s="302"/>
      <c r="G151" s="1273"/>
      <c r="H151" s="1273"/>
      <c r="I151" s="1273"/>
      <c r="J151" s="1970"/>
    </row>
    <row r="152" spans="1:15" ht="15" customHeight="1" thickBot="1" x14ac:dyDescent="0.3">
      <c r="A152" s="1830"/>
      <c r="B152" s="1690"/>
      <c r="C152" s="1690"/>
      <c r="D152" s="1824"/>
      <c r="E152" s="1824"/>
      <c r="F152" s="1824"/>
      <c r="G152" s="1690"/>
      <c r="H152" s="1819"/>
      <c r="I152" s="1819"/>
      <c r="J152" s="1819"/>
    </row>
    <row r="153" spans="1:15" ht="15" customHeight="1" x14ac:dyDescent="0.25">
      <c r="A153" s="1832"/>
      <c r="B153" s="1833"/>
      <c r="C153" s="1834" t="s">
        <v>256</v>
      </c>
      <c r="D153" s="1835" t="s">
        <v>1197</v>
      </c>
      <c r="E153" s="304"/>
      <c r="F153" s="305" t="s">
        <v>1205</v>
      </c>
      <c r="G153" s="306" t="s">
        <v>1206</v>
      </c>
      <c r="H153" s="307" t="s">
        <v>1207</v>
      </c>
      <c r="I153" s="1836" t="s">
        <v>1208</v>
      </c>
      <c r="J153" s="308" t="s">
        <v>1209</v>
      </c>
    </row>
    <row r="154" spans="1:15" ht="15" customHeight="1" x14ac:dyDescent="0.25">
      <c r="A154" s="2971" t="s">
        <v>7</v>
      </c>
      <c r="B154" s="2972"/>
      <c r="C154" s="1839" t="s">
        <v>1210</v>
      </c>
      <c r="D154" s="1824" t="s">
        <v>1211</v>
      </c>
      <c r="E154" s="1840" t="s">
        <v>234</v>
      </c>
      <c r="F154" s="311"/>
      <c r="G154" s="312"/>
      <c r="H154" s="1839"/>
      <c r="I154" s="1839"/>
      <c r="J154" s="1841"/>
    </row>
    <row r="155" spans="1:15" ht="15" customHeight="1" thickBot="1" x14ac:dyDescent="0.3">
      <c r="A155" s="1842"/>
      <c r="B155" s="1843"/>
      <c r="C155" s="1844" t="s">
        <v>1212</v>
      </c>
      <c r="D155" s="1845" t="s">
        <v>1201</v>
      </c>
      <c r="E155" s="1846"/>
      <c r="F155" s="1847" t="s">
        <v>1213</v>
      </c>
      <c r="G155" s="1848" t="s">
        <v>1214</v>
      </c>
      <c r="H155" s="1844" t="s">
        <v>1215</v>
      </c>
      <c r="I155" s="1844" t="s">
        <v>1215</v>
      </c>
      <c r="J155" s="1849" t="s">
        <v>1216</v>
      </c>
    </row>
    <row r="156" spans="1:15" ht="15" customHeight="1" x14ac:dyDescent="0.25">
      <c r="A156" s="1776"/>
      <c r="B156" s="1833"/>
      <c r="C156" s="1851" t="s">
        <v>1217</v>
      </c>
      <c r="D156" s="1852" t="s">
        <v>218</v>
      </c>
      <c r="E156" s="1834" t="s">
        <v>255</v>
      </c>
      <c r="F156" s="1834" t="s">
        <v>255</v>
      </c>
      <c r="G156" s="1834" t="s">
        <v>255</v>
      </c>
      <c r="H156" s="1834" t="s">
        <v>255</v>
      </c>
      <c r="I156" s="1834"/>
      <c r="J156" s="1853" t="s">
        <v>255</v>
      </c>
    </row>
    <row r="157" spans="1:15" ht="15" customHeight="1" x14ac:dyDescent="0.25">
      <c r="A157" s="1855"/>
      <c r="B157" s="1673"/>
      <c r="C157" s="1856"/>
      <c r="D157" s="1857"/>
      <c r="E157" s="1840"/>
      <c r="F157" s="314"/>
      <c r="G157" s="1277"/>
      <c r="H157" s="1672"/>
      <c r="I157" s="1672"/>
      <c r="J157" s="1858"/>
    </row>
    <row r="158" spans="1:15" ht="15" hidden="1" customHeight="1" x14ac:dyDescent="0.25">
      <c r="A158" s="1859" t="s">
        <v>1218</v>
      </c>
      <c r="B158" s="1673"/>
      <c r="C158" s="1856"/>
      <c r="D158" s="1857"/>
      <c r="E158" s="1840"/>
      <c r="F158" s="314"/>
      <c r="G158" s="1277"/>
      <c r="H158" s="1672"/>
      <c r="I158" s="1672"/>
      <c r="J158" s="1858"/>
    </row>
    <row r="159" spans="1:15" ht="15" hidden="1" customHeight="1" x14ac:dyDescent="0.25">
      <c r="A159" s="1859" t="s">
        <v>1219</v>
      </c>
      <c r="B159" s="1673"/>
      <c r="C159" s="2208">
        <v>7</v>
      </c>
      <c r="D159" s="1857"/>
      <c r="E159" s="1972">
        <f t="shared" ref="E159:J159" si="14">SUM(E160:E161)</f>
        <v>0</v>
      </c>
      <c r="F159" s="1972">
        <f t="shared" si="14"/>
        <v>0</v>
      </c>
      <c r="G159" s="1972">
        <f t="shared" si="14"/>
        <v>0</v>
      </c>
      <c r="H159" s="1972">
        <f t="shared" si="14"/>
        <v>0</v>
      </c>
      <c r="I159" s="1972">
        <f t="shared" si="14"/>
        <v>0</v>
      </c>
      <c r="J159" s="1973">
        <f t="shared" si="14"/>
        <v>0</v>
      </c>
      <c r="K159" s="1818">
        <f>E159-SUM(F159:J159)</f>
        <v>0</v>
      </c>
    </row>
    <row r="160" spans="1:15" ht="15" hidden="1" customHeight="1" x14ac:dyDescent="0.25">
      <c r="A160" s="1974" t="s">
        <v>13</v>
      </c>
      <c r="B160" s="1975"/>
      <c r="C160" s="1976"/>
      <c r="D160" s="1977"/>
      <c r="E160" s="1978">
        <f>'Notes II'!K755</f>
        <v>0</v>
      </c>
      <c r="F160" s="1979">
        <v>0</v>
      </c>
      <c r="G160" s="1980">
        <v>0</v>
      </c>
      <c r="H160" s="1980">
        <v>0</v>
      </c>
      <c r="I160" s="1981">
        <v>0</v>
      </c>
      <c r="J160" s="1982">
        <v>0</v>
      </c>
      <c r="K160" s="1818">
        <f>E160-SUM(F160:J160)</f>
        <v>0</v>
      </c>
      <c r="L160" s="1903"/>
    </row>
    <row r="161" spans="1:12" ht="15" hidden="1" customHeight="1" x14ac:dyDescent="0.25">
      <c r="A161" s="1974"/>
      <c r="B161" s="1975"/>
      <c r="C161" s="1976"/>
      <c r="D161" s="1983"/>
      <c r="E161" s="1984"/>
      <c r="F161" s="1985"/>
      <c r="G161" s="1986"/>
      <c r="H161" s="1986"/>
      <c r="I161" s="1987"/>
      <c r="J161" s="1988"/>
    </row>
    <row r="162" spans="1:12" ht="15" hidden="1" customHeight="1" x14ac:dyDescent="0.25">
      <c r="A162" s="1855"/>
      <c r="B162" s="1673"/>
      <c r="C162" s="1856"/>
      <c r="D162" s="1861"/>
      <c r="E162" s="1989"/>
      <c r="F162" s="1339"/>
      <c r="G162" s="1989"/>
      <c r="H162" s="1989"/>
      <c r="I162" s="1990"/>
      <c r="J162" s="1991"/>
    </row>
    <row r="163" spans="1:12" ht="15" hidden="1" customHeight="1" x14ac:dyDescent="0.25">
      <c r="A163" s="1859" t="s">
        <v>1362</v>
      </c>
      <c r="B163" s="1673"/>
      <c r="C163" s="2208">
        <v>18</v>
      </c>
      <c r="D163" s="1857"/>
      <c r="E163" s="1972">
        <f t="shared" ref="E163:J163" si="15">SUM(E164:E166)</f>
        <v>-1214262</v>
      </c>
      <c r="F163" s="1972">
        <f t="shared" si="15"/>
        <v>0</v>
      </c>
      <c r="G163" s="1972">
        <f t="shared" si="15"/>
        <v>0</v>
      </c>
      <c r="H163" s="1972">
        <f t="shared" si="15"/>
        <v>0</v>
      </c>
      <c r="I163" s="1972">
        <f t="shared" si="15"/>
        <v>0</v>
      </c>
      <c r="J163" s="1973">
        <f t="shared" si="15"/>
        <v>0</v>
      </c>
      <c r="K163" s="1818">
        <f>E163-SUM(F163:J163)</f>
        <v>-1214262</v>
      </c>
    </row>
    <row r="164" spans="1:12" ht="15" hidden="1" customHeight="1" x14ac:dyDescent="0.25">
      <c r="A164" s="1974" t="str">
        <f>'APPENDIX A'!A30</f>
        <v>Centlec Capital Loan</v>
      </c>
      <c r="B164" s="1975"/>
      <c r="C164" s="1976"/>
      <c r="D164" s="1977">
        <f>'APPENDIX A'!C30</f>
        <v>0</v>
      </c>
      <c r="E164" s="1978">
        <f>-'APPENDIX A'!I30</f>
        <v>-1214262</v>
      </c>
      <c r="F164" s="1979">
        <v>0</v>
      </c>
      <c r="G164" s="1980">
        <v>0</v>
      </c>
      <c r="H164" s="1980">
        <v>0</v>
      </c>
      <c r="I164" s="1981">
        <v>0</v>
      </c>
      <c r="J164" s="1982">
        <v>0</v>
      </c>
      <c r="K164" s="1818">
        <f>E164-SUM(F164:J164)</f>
        <v>-1214262</v>
      </c>
      <c r="L164" s="1903"/>
    </row>
    <row r="165" spans="1:12" ht="15" hidden="1" customHeight="1" x14ac:dyDescent="0.25">
      <c r="A165" s="1974" t="str">
        <f>'APPENDIX A'!A31</f>
        <v>INCA</v>
      </c>
      <c r="B165" s="1975"/>
      <c r="C165" s="1976"/>
      <c r="D165" s="1977">
        <f>'APPENDIX A'!C31</f>
        <v>0.16500000000000001</v>
      </c>
      <c r="E165" s="1978">
        <f>-'APPENDIX A'!I31</f>
        <v>0</v>
      </c>
      <c r="F165" s="1979">
        <v>0</v>
      </c>
      <c r="G165" s="1980">
        <v>0</v>
      </c>
      <c r="H165" s="1980">
        <v>0</v>
      </c>
      <c r="I165" s="1981">
        <v>0</v>
      </c>
      <c r="J165" s="1982">
        <v>0</v>
      </c>
      <c r="K165" s="1818">
        <f>E165-SUM(F165:J165)</f>
        <v>0</v>
      </c>
      <c r="L165" s="1903"/>
    </row>
    <row r="166" spans="1:12" ht="15" hidden="1" customHeight="1" x14ac:dyDescent="0.25">
      <c r="A166" s="1974"/>
      <c r="B166" s="1975"/>
      <c r="C166" s="1976"/>
      <c r="D166" s="1983"/>
      <c r="E166" s="1984"/>
      <c r="F166" s="1985"/>
      <c r="G166" s="1986"/>
      <c r="H166" s="1986"/>
      <c r="I166" s="1987"/>
      <c r="J166" s="1988"/>
    </row>
    <row r="167" spans="1:12" ht="15" hidden="1" customHeight="1" x14ac:dyDescent="0.25">
      <c r="A167" s="1855"/>
      <c r="B167" s="1673"/>
      <c r="C167" s="1856"/>
      <c r="D167" s="1861"/>
      <c r="E167" s="1862"/>
      <c r="F167" s="1273"/>
      <c r="G167" s="1862"/>
      <c r="H167" s="1862"/>
      <c r="I167" s="1863"/>
      <c r="J167" s="1864"/>
    </row>
    <row r="168" spans="1:12" ht="15" hidden="1" customHeight="1" x14ac:dyDescent="0.25">
      <c r="A168" s="1859" t="s">
        <v>1220</v>
      </c>
      <c r="B168" s="1673"/>
      <c r="C168" s="2208">
        <v>18</v>
      </c>
      <c r="D168" s="1857"/>
      <c r="E168" s="1972">
        <f t="shared" ref="E168:J168" si="16">SUM(E169:E171)</f>
        <v>0</v>
      </c>
      <c r="F168" s="1972">
        <f t="shared" si="16"/>
        <v>0</v>
      </c>
      <c r="G168" s="1972">
        <f t="shared" si="16"/>
        <v>0</v>
      </c>
      <c r="H168" s="1972">
        <f t="shared" si="16"/>
        <v>0</v>
      </c>
      <c r="I168" s="1972">
        <f t="shared" si="16"/>
        <v>0</v>
      </c>
      <c r="J168" s="1973">
        <f t="shared" si="16"/>
        <v>0</v>
      </c>
      <c r="K168" s="1818">
        <f>E168-SUM(F168:J168)</f>
        <v>0</v>
      </c>
    </row>
    <row r="169" spans="1:12" ht="15" hidden="1" customHeight="1" x14ac:dyDescent="0.25">
      <c r="A169" s="1974" t="str">
        <f>'APPENDIX A'!A14</f>
        <v>DBSA</v>
      </c>
      <c r="B169" s="1975"/>
      <c r="C169" s="1976"/>
      <c r="D169" s="1977">
        <f>'APPENDIX A'!C14</f>
        <v>0.05</v>
      </c>
      <c r="E169" s="1978">
        <f>-'APPENDIX A'!I14</f>
        <v>0</v>
      </c>
      <c r="F169" s="1979">
        <v>0</v>
      </c>
      <c r="G169" s="1980">
        <v>0</v>
      </c>
      <c r="H169" s="1980">
        <v>0</v>
      </c>
      <c r="I169" s="1981">
        <v>0</v>
      </c>
      <c r="J169" s="1982">
        <v>0</v>
      </c>
      <c r="K169" s="1818">
        <f>E169-SUM(F169:J169)</f>
        <v>0</v>
      </c>
      <c r="L169" s="1903"/>
    </row>
    <row r="170" spans="1:12" ht="15" hidden="1" customHeight="1" x14ac:dyDescent="0.25">
      <c r="A170" s="1974" t="str">
        <f>'APPENDIX A'!A15</f>
        <v>DBSA</v>
      </c>
      <c r="B170" s="1975"/>
      <c r="C170" s="1976"/>
      <c r="D170" s="1983">
        <f>'APPENDIX A'!C15</f>
        <v>0.14249999999999999</v>
      </c>
      <c r="E170" s="1978">
        <f>-'APPENDIX A'!I15</f>
        <v>0</v>
      </c>
      <c r="F170" s="1979">
        <v>0</v>
      </c>
      <c r="G170" s="1980">
        <v>0</v>
      </c>
      <c r="H170" s="1980">
        <v>0</v>
      </c>
      <c r="I170" s="1981">
        <v>0</v>
      </c>
      <c r="J170" s="1982">
        <v>0</v>
      </c>
      <c r="K170" s="1818">
        <f>E170-SUM(F170:J170)</f>
        <v>0</v>
      </c>
      <c r="L170" s="1903"/>
    </row>
    <row r="171" spans="1:12" ht="15" hidden="1" customHeight="1" x14ac:dyDescent="0.25">
      <c r="A171" s="1974"/>
      <c r="B171" s="1975"/>
      <c r="C171" s="1976"/>
      <c r="D171" s="1983"/>
      <c r="E171" s="1984"/>
      <c r="F171" s="1985"/>
      <c r="G171" s="1986"/>
      <c r="H171" s="1986"/>
      <c r="I171" s="1987"/>
      <c r="J171" s="1988"/>
    </row>
    <row r="172" spans="1:12" ht="15" hidden="1" customHeight="1" thickBot="1" x14ac:dyDescent="0.3">
      <c r="A172" s="1855"/>
      <c r="B172" s="1673"/>
      <c r="C172" s="1856"/>
      <c r="D172" s="1861"/>
      <c r="E172" s="1862"/>
      <c r="F172" s="1273"/>
      <c r="G172" s="1862"/>
      <c r="H172" s="1862"/>
      <c r="I172" s="1863"/>
      <c r="J172" s="1864"/>
    </row>
    <row r="173" spans="1:12" ht="15" hidden="1" customHeight="1" thickTop="1" thickBot="1" x14ac:dyDescent="0.3">
      <c r="A173" s="1859" t="s">
        <v>1221</v>
      </c>
      <c r="B173" s="1719"/>
      <c r="C173" s="1889"/>
      <c r="D173" s="1890"/>
      <c r="E173" s="1992">
        <f t="shared" ref="E173:J173" si="17">SUM(E159,E163,E168)</f>
        <v>-1214262</v>
      </c>
      <c r="F173" s="1993">
        <f t="shared" si="17"/>
        <v>0</v>
      </c>
      <c r="G173" s="1992">
        <f t="shared" si="17"/>
        <v>0</v>
      </c>
      <c r="H173" s="1992">
        <f t="shared" si="17"/>
        <v>0</v>
      </c>
      <c r="I173" s="1994">
        <f t="shared" si="17"/>
        <v>0</v>
      </c>
      <c r="J173" s="1995">
        <f t="shared" si="17"/>
        <v>0</v>
      </c>
      <c r="K173" s="1818">
        <f>E173-SUM(F173:J173)</f>
        <v>-1214262</v>
      </c>
    </row>
    <row r="174" spans="1:12" ht="15" hidden="1" customHeight="1" thickTop="1" x14ac:dyDescent="0.25">
      <c r="A174" s="1855"/>
      <c r="B174" s="1673"/>
      <c r="C174" s="1856"/>
      <c r="D174" s="1861"/>
      <c r="E174" s="1862"/>
      <c r="F174" s="1273"/>
      <c r="G174" s="1862"/>
      <c r="H174" s="1862"/>
      <c r="I174" s="1863"/>
      <c r="J174" s="1864"/>
    </row>
    <row r="175" spans="1:12" ht="15" customHeight="1" x14ac:dyDescent="0.25">
      <c r="A175" s="1859" t="s">
        <v>1222</v>
      </c>
      <c r="B175" s="1673"/>
      <c r="C175" s="1856"/>
      <c r="D175" s="1857"/>
      <c r="E175" s="1840"/>
      <c r="F175" s="314"/>
      <c r="G175" s="1277"/>
      <c r="H175" s="1672"/>
      <c r="I175" s="1672"/>
      <c r="J175" s="1858"/>
    </row>
    <row r="176" spans="1:12" ht="15" customHeight="1" x14ac:dyDescent="0.25">
      <c r="A176" s="1855" t="s">
        <v>590</v>
      </c>
      <c r="B176" s="1673"/>
      <c r="C176" s="1889">
        <v>6</v>
      </c>
      <c r="D176" s="1861"/>
      <c r="E176" s="1862">
        <f>'Notes I'!I908</f>
        <v>271206.52999999688</v>
      </c>
      <c r="F176" s="1273">
        <f>E176</f>
        <v>271206.52999999688</v>
      </c>
      <c r="G176" s="1862">
        <v>0</v>
      </c>
      <c r="H176" s="1862">
        <v>0</v>
      </c>
      <c r="I176" s="1863">
        <v>0</v>
      </c>
      <c r="J176" s="1864">
        <v>0</v>
      </c>
      <c r="K176" s="1818">
        <f>E176-SUM(F176:J176)</f>
        <v>0</v>
      </c>
    </row>
    <row r="177" spans="1:12" ht="15" customHeight="1" x14ac:dyDescent="0.25">
      <c r="A177" s="1855" t="s">
        <v>403</v>
      </c>
      <c r="B177" s="1673"/>
      <c r="C177" s="1889">
        <v>6</v>
      </c>
      <c r="D177" s="1861"/>
      <c r="E177" s="1862">
        <f>'Notes I'!I898-E176</f>
        <v>-3897968.1</v>
      </c>
      <c r="F177" s="1273">
        <f>E177</f>
        <v>-3897968.1</v>
      </c>
      <c r="G177" s="1862">
        <v>0</v>
      </c>
      <c r="H177" s="1862">
        <v>0</v>
      </c>
      <c r="I177" s="1863">
        <v>0</v>
      </c>
      <c r="J177" s="1864">
        <v>0</v>
      </c>
      <c r="K177" s="1818">
        <f>E177-SUM(F177:J177)</f>
        <v>0</v>
      </c>
    </row>
    <row r="178" spans="1:12" ht="15" customHeight="1" thickBot="1" x14ac:dyDescent="0.3">
      <c r="A178" s="1855"/>
      <c r="B178" s="1673"/>
      <c r="C178" s="1856"/>
      <c r="D178" s="1861"/>
      <c r="E178" s="1862"/>
      <c r="F178" s="1273"/>
      <c r="G178" s="1862"/>
      <c r="H178" s="1862"/>
      <c r="I178" s="1863"/>
      <c r="J178" s="1864"/>
    </row>
    <row r="179" spans="1:12" ht="15" customHeight="1" thickTop="1" thickBot="1" x14ac:dyDescent="0.3">
      <c r="A179" s="1859" t="s">
        <v>1221</v>
      </c>
      <c r="B179" s="1719"/>
      <c r="C179" s="1889"/>
      <c r="D179" s="1890"/>
      <c r="E179" s="1992">
        <f t="shared" ref="E179:J179" si="18">SUM(E176:E178)</f>
        <v>-3626761.5700000031</v>
      </c>
      <c r="F179" s="1993">
        <f t="shared" si="18"/>
        <v>-3626761.5700000031</v>
      </c>
      <c r="G179" s="1992">
        <f t="shared" si="18"/>
        <v>0</v>
      </c>
      <c r="H179" s="1992">
        <f t="shared" si="18"/>
        <v>0</v>
      </c>
      <c r="I179" s="1994">
        <f t="shared" si="18"/>
        <v>0</v>
      </c>
      <c r="J179" s="1995">
        <f t="shared" si="18"/>
        <v>0</v>
      </c>
      <c r="K179" s="1818">
        <f>E179-SUM(F179:J179)</f>
        <v>0</v>
      </c>
    </row>
    <row r="180" spans="1:12" ht="15" customHeight="1" thickTop="1" thickBot="1" x14ac:dyDescent="0.3">
      <c r="A180" s="1842"/>
      <c r="B180" s="1843"/>
      <c r="C180" s="1895"/>
      <c r="D180" s="1896"/>
      <c r="E180" s="1906"/>
      <c r="F180" s="1906"/>
      <c r="G180" s="1906"/>
      <c r="H180" s="1906"/>
      <c r="I180" s="1907"/>
      <c r="J180" s="1908"/>
    </row>
    <row r="181" spans="1:12" ht="15" customHeight="1" x14ac:dyDescent="0.25">
      <c r="A181" s="1690"/>
      <c r="B181" s="1690"/>
      <c r="C181" s="1996"/>
      <c r="D181" s="1861"/>
      <c r="E181" s="1997"/>
      <c r="F181" s="1997"/>
      <c r="G181" s="1997"/>
      <c r="H181" s="1997"/>
      <c r="I181" s="1997"/>
      <c r="J181" s="1970"/>
    </row>
    <row r="182" spans="1:12" ht="15" customHeight="1" x14ac:dyDescent="0.25">
      <c r="A182" s="1690"/>
      <c r="B182" s="1860" t="str">
        <f>Parameters!C13</f>
        <v>30 June 2011</v>
      </c>
      <c r="C182" s="1996"/>
      <c r="D182" s="1890"/>
      <c r="E182" s="1971"/>
      <c r="F182" s="302"/>
      <c r="G182" s="1273"/>
      <c r="H182" s="1273"/>
      <c r="I182" s="1273"/>
      <c r="J182" s="1970"/>
    </row>
    <row r="183" spans="1:12" ht="15" customHeight="1" thickBot="1" x14ac:dyDescent="0.3">
      <c r="A183" s="1690"/>
      <c r="B183" s="1725"/>
      <c r="C183" s="1996"/>
      <c r="D183" s="1890"/>
      <c r="E183" s="1971"/>
      <c r="F183" s="302"/>
      <c r="G183" s="1273"/>
      <c r="H183" s="1273"/>
      <c r="I183" s="1273"/>
      <c r="J183" s="1970"/>
    </row>
    <row r="184" spans="1:12" ht="15" customHeight="1" x14ac:dyDescent="0.25">
      <c r="A184" s="1832"/>
      <c r="B184" s="1833"/>
      <c r="C184" s="1834" t="s">
        <v>256</v>
      </c>
      <c r="D184" s="1835" t="s">
        <v>1197</v>
      </c>
      <c r="E184" s="304"/>
      <c r="F184" s="304" t="s">
        <v>1205</v>
      </c>
      <c r="G184" s="306" t="s">
        <v>1206</v>
      </c>
      <c r="H184" s="307" t="s">
        <v>1207</v>
      </c>
      <c r="I184" s="1836" t="s">
        <v>1208</v>
      </c>
      <c r="J184" s="308" t="s">
        <v>1209</v>
      </c>
    </row>
    <row r="185" spans="1:12" ht="15" customHeight="1" x14ac:dyDescent="0.25">
      <c r="A185" s="2971" t="s">
        <v>7</v>
      </c>
      <c r="B185" s="2972"/>
      <c r="C185" s="1839" t="s">
        <v>1210</v>
      </c>
      <c r="D185" s="1824" t="s">
        <v>1211</v>
      </c>
      <c r="E185" s="1840" t="s">
        <v>234</v>
      </c>
      <c r="F185" s="311"/>
      <c r="G185" s="312"/>
      <c r="H185" s="1839"/>
      <c r="I185" s="1839"/>
      <c r="J185" s="1841"/>
    </row>
    <row r="186" spans="1:12" ht="15" customHeight="1" thickBot="1" x14ac:dyDescent="0.3">
      <c r="A186" s="1842"/>
      <c r="B186" s="1843"/>
      <c r="C186" s="1844" t="s">
        <v>1212</v>
      </c>
      <c r="D186" s="1845" t="s">
        <v>1201</v>
      </c>
      <c r="E186" s="1846"/>
      <c r="F186" s="1998" t="s">
        <v>1213</v>
      </c>
      <c r="G186" s="1848" t="s">
        <v>1214</v>
      </c>
      <c r="H186" s="1844" t="s">
        <v>1215</v>
      </c>
      <c r="I186" s="1844" t="s">
        <v>1215</v>
      </c>
      <c r="J186" s="1849" t="s">
        <v>1216</v>
      </c>
    </row>
    <row r="187" spans="1:12" ht="15" customHeight="1" x14ac:dyDescent="0.25">
      <c r="A187" s="1776"/>
      <c r="B187" s="1833"/>
      <c r="C187" s="1851" t="s">
        <v>1217</v>
      </c>
      <c r="D187" s="1852" t="s">
        <v>218</v>
      </c>
      <c r="E187" s="1834" t="s">
        <v>255</v>
      </c>
      <c r="F187" s="1834" t="s">
        <v>255</v>
      </c>
      <c r="G187" s="1834" t="s">
        <v>255</v>
      </c>
      <c r="H187" s="1834" t="s">
        <v>255</v>
      </c>
      <c r="I187" s="1834"/>
      <c r="J187" s="1853" t="s">
        <v>255</v>
      </c>
    </row>
    <row r="188" spans="1:12" ht="15" customHeight="1" x14ac:dyDescent="0.25">
      <c r="A188" s="1855"/>
      <c r="B188" s="1673"/>
      <c r="C188" s="1856"/>
      <c r="D188" s="1857"/>
      <c r="E188" s="1840"/>
      <c r="F188" s="314"/>
      <c r="G188" s="1277"/>
      <c r="H188" s="1672"/>
      <c r="I188" s="1672"/>
      <c r="J188" s="1858"/>
    </row>
    <row r="189" spans="1:12" ht="15" hidden="1" customHeight="1" x14ac:dyDescent="0.25">
      <c r="A189" s="1859" t="s">
        <v>1218</v>
      </c>
      <c r="B189" s="1673"/>
      <c r="C189" s="1856"/>
      <c r="D189" s="1857"/>
      <c r="E189" s="1840"/>
      <c r="F189" s="314"/>
      <c r="G189" s="1277"/>
      <c r="H189" s="1672"/>
      <c r="I189" s="1672"/>
      <c r="J189" s="1858"/>
    </row>
    <row r="190" spans="1:12" ht="15" hidden="1" customHeight="1" x14ac:dyDescent="0.25">
      <c r="A190" s="1859" t="s">
        <v>1219</v>
      </c>
      <c r="B190" s="1673"/>
      <c r="C190" s="2208">
        <v>7</v>
      </c>
      <c r="D190" s="1857"/>
      <c r="E190" s="1972">
        <f t="shared" ref="E190:J190" si="19">SUM(E191:E192)</f>
        <v>0</v>
      </c>
      <c r="F190" s="1972">
        <f t="shared" si="19"/>
        <v>0</v>
      </c>
      <c r="G190" s="1972">
        <f t="shared" si="19"/>
        <v>0</v>
      </c>
      <c r="H190" s="1972">
        <f t="shared" si="19"/>
        <v>0</v>
      </c>
      <c r="I190" s="1972">
        <f t="shared" si="19"/>
        <v>0</v>
      </c>
      <c r="J190" s="1973">
        <f t="shared" si="19"/>
        <v>0</v>
      </c>
      <c r="K190" s="1818">
        <f>E190-SUM(F190:J190)</f>
        <v>0</v>
      </c>
    </row>
    <row r="191" spans="1:12" ht="15" hidden="1" customHeight="1" x14ac:dyDescent="0.25">
      <c r="A191" s="1974" t="s">
        <v>13</v>
      </c>
      <c r="B191" s="1975"/>
      <c r="C191" s="1976"/>
      <c r="D191" s="1977"/>
      <c r="E191" s="1978">
        <f>'Notes II'!K755</f>
        <v>0</v>
      </c>
      <c r="F191" s="1979">
        <v>0</v>
      </c>
      <c r="G191" s="1980">
        <v>0</v>
      </c>
      <c r="H191" s="1980">
        <v>0</v>
      </c>
      <c r="I191" s="1981">
        <v>0</v>
      </c>
      <c r="J191" s="1982">
        <v>0</v>
      </c>
      <c r="K191" s="1818">
        <f>E191-SUM(F191:J191)</f>
        <v>0</v>
      </c>
      <c r="L191" s="1903"/>
    </row>
    <row r="192" spans="1:12" ht="15" hidden="1" customHeight="1" x14ac:dyDescent="0.25">
      <c r="A192" s="1974"/>
      <c r="B192" s="1975"/>
      <c r="C192" s="1976"/>
      <c r="D192" s="1983"/>
      <c r="E192" s="1984"/>
      <c r="F192" s="1985"/>
      <c r="G192" s="1986"/>
      <c r="H192" s="1986"/>
      <c r="I192" s="1987"/>
      <c r="J192" s="1988"/>
    </row>
    <row r="193" spans="1:12" ht="15" hidden="1" customHeight="1" x14ac:dyDescent="0.25">
      <c r="A193" s="1855"/>
      <c r="B193" s="1673"/>
      <c r="C193" s="1856"/>
      <c r="D193" s="1861"/>
      <c r="E193" s="1989"/>
      <c r="F193" s="1339"/>
      <c r="G193" s="1989"/>
      <c r="H193" s="1989"/>
      <c r="I193" s="1990"/>
      <c r="J193" s="1991"/>
    </row>
    <row r="194" spans="1:12" ht="15" hidden="1" customHeight="1" x14ac:dyDescent="0.25">
      <c r="A194" s="1859" t="s">
        <v>1362</v>
      </c>
      <c r="B194" s="1673"/>
      <c r="C194" s="2208">
        <v>18</v>
      </c>
      <c r="D194" s="1857"/>
      <c r="E194" s="1972">
        <f t="shared" ref="E194:J194" si="20">SUM(E195:E197)</f>
        <v>-1337755</v>
      </c>
      <c r="F194" s="1972">
        <f t="shared" si="20"/>
        <v>0</v>
      </c>
      <c r="G194" s="1972">
        <f t="shared" si="20"/>
        <v>0</v>
      </c>
      <c r="H194" s="1972">
        <f t="shared" si="20"/>
        <v>0</v>
      </c>
      <c r="I194" s="1972">
        <f t="shared" si="20"/>
        <v>0</v>
      </c>
      <c r="J194" s="1973">
        <f t="shared" si="20"/>
        <v>0</v>
      </c>
      <c r="K194" s="1818">
        <f>E194-SUM(F194:J194)</f>
        <v>-1337755</v>
      </c>
    </row>
    <row r="195" spans="1:12" ht="15" hidden="1" customHeight="1" x14ac:dyDescent="0.25">
      <c r="A195" s="1974" t="str">
        <f>'APPENDIX A'!A30</f>
        <v>Centlec Capital Loan</v>
      </c>
      <c r="B195" s="1975"/>
      <c r="C195" s="1976"/>
      <c r="D195" s="1977">
        <f>'APPENDIX A'!C30</f>
        <v>0</v>
      </c>
      <c r="E195" s="1978">
        <f>-'APPENDIX A'!F30</f>
        <v>-1337755</v>
      </c>
      <c r="F195" s="1979">
        <v>0</v>
      </c>
      <c r="G195" s="1980">
        <v>0</v>
      </c>
      <c r="H195" s="1980">
        <v>0</v>
      </c>
      <c r="I195" s="1981">
        <v>0</v>
      </c>
      <c r="J195" s="1982">
        <v>0</v>
      </c>
      <c r="K195" s="1818">
        <f>E195-SUM(F195:J195)</f>
        <v>-1337755</v>
      </c>
      <c r="L195" s="1903"/>
    </row>
    <row r="196" spans="1:12" ht="15" hidden="1" customHeight="1" x14ac:dyDescent="0.25">
      <c r="A196" s="1974" t="str">
        <f>'APPENDIX A'!A31</f>
        <v>INCA</v>
      </c>
      <c r="B196" s="1975"/>
      <c r="C196" s="1976"/>
      <c r="D196" s="1977">
        <f>'APPENDIX A'!C31</f>
        <v>0.16500000000000001</v>
      </c>
      <c r="E196" s="1978">
        <f>-'APPENDIX A'!F31</f>
        <v>0</v>
      </c>
      <c r="F196" s="1979">
        <v>0</v>
      </c>
      <c r="G196" s="1980">
        <v>0</v>
      </c>
      <c r="H196" s="1980">
        <v>0</v>
      </c>
      <c r="I196" s="1981">
        <v>0</v>
      </c>
      <c r="J196" s="1982">
        <v>0</v>
      </c>
      <c r="K196" s="1818">
        <f>E196-SUM(F196:J196)</f>
        <v>0</v>
      </c>
      <c r="L196" s="1903"/>
    </row>
    <row r="197" spans="1:12" ht="15" hidden="1" customHeight="1" x14ac:dyDescent="0.25">
      <c r="A197" s="1974"/>
      <c r="B197" s="1975"/>
      <c r="C197" s="1976"/>
      <c r="D197" s="1983"/>
      <c r="E197" s="1984"/>
      <c r="F197" s="1985"/>
      <c r="G197" s="1986"/>
      <c r="H197" s="1986"/>
      <c r="I197" s="1987"/>
      <c r="J197" s="1988"/>
    </row>
    <row r="198" spans="1:12" ht="15" hidden="1" customHeight="1" x14ac:dyDescent="0.25">
      <c r="A198" s="1855"/>
      <c r="B198" s="1673"/>
      <c r="C198" s="1856"/>
      <c r="D198" s="1861"/>
      <c r="E198" s="1862"/>
      <c r="F198" s="1273"/>
      <c r="G198" s="1862"/>
      <c r="H198" s="1862"/>
      <c r="I198" s="1863"/>
      <c r="J198" s="1864"/>
    </row>
    <row r="199" spans="1:12" ht="15" hidden="1" customHeight="1" x14ac:dyDescent="0.25">
      <c r="A199" s="1859" t="s">
        <v>1220</v>
      </c>
      <c r="B199" s="1673"/>
      <c r="C199" s="2208">
        <v>17</v>
      </c>
      <c r="D199" s="1857"/>
      <c r="E199" s="1972">
        <f t="shared" ref="E199:J199" si="21">SUM(E200:E201)</f>
        <v>0</v>
      </c>
      <c r="F199" s="1972">
        <f t="shared" si="21"/>
        <v>0</v>
      </c>
      <c r="G199" s="1972">
        <f t="shared" si="21"/>
        <v>0</v>
      </c>
      <c r="H199" s="1972">
        <f t="shared" si="21"/>
        <v>0</v>
      </c>
      <c r="I199" s="1972">
        <f t="shared" si="21"/>
        <v>0</v>
      </c>
      <c r="J199" s="1973">
        <f t="shared" si="21"/>
        <v>0</v>
      </c>
      <c r="K199" s="1818">
        <f>E199-SUM(F199:J199)</f>
        <v>0</v>
      </c>
    </row>
    <row r="200" spans="1:12" ht="15" hidden="1" customHeight="1" x14ac:dyDescent="0.25">
      <c r="A200" s="1974" t="str">
        <f>'APPENDIX A'!A14</f>
        <v>DBSA</v>
      </c>
      <c r="B200" s="1975"/>
      <c r="C200" s="1976"/>
      <c r="D200" s="1977">
        <f>'APPENDIX A'!C14</f>
        <v>0.05</v>
      </c>
      <c r="E200" s="1978">
        <f>-'APPENDIX A'!F14</f>
        <v>0</v>
      </c>
      <c r="F200" s="1979">
        <v>0</v>
      </c>
      <c r="G200" s="1980">
        <v>0</v>
      </c>
      <c r="H200" s="1980">
        <v>0</v>
      </c>
      <c r="I200" s="1981">
        <v>0</v>
      </c>
      <c r="J200" s="1982">
        <v>0</v>
      </c>
      <c r="K200" s="1818">
        <f>E200-SUM(F200:J200)</f>
        <v>0</v>
      </c>
      <c r="L200" s="1903"/>
    </row>
    <row r="201" spans="1:12" ht="15" hidden="1" customHeight="1" x14ac:dyDescent="0.25">
      <c r="A201" s="1974" t="str">
        <f>'APPENDIX A'!A15</f>
        <v>DBSA</v>
      </c>
      <c r="B201" s="1975"/>
      <c r="C201" s="1976"/>
      <c r="D201" s="1983">
        <f>'APPENDIX A'!C15</f>
        <v>0.14249999999999999</v>
      </c>
      <c r="E201" s="1978">
        <f>-'APPENDIX A'!F15</f>
        <v>0</v>
      </c>
      <c r="F201" s="1979">
        <v>0</v>
      </c>
      <c r="G201" s="1980">
        <v>0</v>
      </c>
      <c r="H201" s="1980">
        <v>0</v>
      </c>
      <c r="I201" s="1981">
        <v>0</v>
      </c>
      <c r="J201" s="1982">
        <v>0</v>
      </c>
      <c r="K201" s="1818">
        <f>E201-SUM(F201:J201)</f>
        <v>0</v>
      </c>
      <c r="L201" s="1903"/>
    </row>
    <row r="202" spans="1:12" ht="15" hidden="1" customHeight="1" x14ac:dyDescent="0.25">
      <c r="A202" s="1974"/>
      <c r="B202" s="1975"/>
      <c r="C202" s="1976"/>
      <c r="D202" s="1983"/>
      <c r="E202" s="1984"/>
      <c r="F202" s="1985"/>
      <c r="G202" s="1986"/>
      <c r="H202" s="1986"/>
      <c r="I202" s="1987"/>
      <c r="J202" s="1988"/>
    </row>
    <row r="203" spans="1:12" ht="15" hidden="1" customHeight="1" thickBot="1" x14ac:dyDescent="0.3">
      <c r="A203" s="1855"/>
      <c r="B203" s="1673"/>
      <c r="C203" s="1856"/>
      <c r="D203" s="1861"/>
      <c r="E203" s="1862"/>
      <c r="F203" s="1273"/>
      <c r="G203" s="1862"/>
      <c r="H203" s="1862"/>
      <c r="I203" s="1863"/>
      <c r="J203" s="1864"/>
    </row>
    <row r="204" spans="1:12" ht="15" hidden="1" customHeight="1" thickTop="1" thickBot="1" x14ac:dyDescent="0.3">
      <c r="A204" s="1859" t="s">
        <v>1221</v>
      </c>
      <c r="B204" s="1719"/>
      <c r="C204" s="1889"/>
      <c r="D204" s="1890"/>
      <c r="E204" s="1992">
        <f t="shared" ref="E204:J204" si="22">SUM(E190,E194,E199)</f>
        <v>-1337755</v>
      </c>
      <c r="F204" s="1993">
        <f t="shared" si="22"/>
        <v>0</v>
      </c>
      <c r="G204" s="1992">
        <f t="shared" si="22"/>
        <v>0</v>
      </c>
      <c r="H204" s="1992">
        <f t="shared" si="22"/>
        <v>0</v>
      </c>
      <c r="I204" s="1994">
        <f t="shared" si="22"/>
        <v>0</v>
      </c>
      <c r="J204" s="1995">
        <f t="shared" si="22"/>
        <v>0</v>
      </c>
      <c r="K204" s="1818">
        <f>E204-SUM(F204:J204)</f>
        <v>-1337755</v>
      </c>
    </row>
    <row r="205" spans="1:12" ht="15" hidden="1" customHeight="1" x14ac:dyDescent="0.25">
      <c r="A205" s="1855"/>
      <c r="B205" s="1673"/>
      <c r="C205" s="1856"/>
      <c r="D205" s="1861"/>
      <c r="E205" s="1862"/>
      <c r="F205" s="1273"/>
      <c r="G205" s="1862"/>
      <c r="H205" s="1862"/>
      <c r="I205" s="1863"/>
      <c r="J205" s="1864"/>
    </row>
    <row r="206" spans="1:12" ht="15" customHeight="1" x14ac:dyDescent="0.25">
      <c r="A206" s="1859" t="s">
        <v>1222</v>
      </c>
      <c r="B206" s="1673"/>
      <c r="C206" s="1856"/>
      <c r="D206" s="1857"/>
      <c r="E206" s="1840"/>
      <c r="F206" s="314"/>
      <c r="G206" s="1277"/>
      <c r="H206" s="1672"/>
      <c r="I206" s="1672"/>
      <c r="J206" s="1858"/>
    </row>
    <row r="207" spans="1:12" ht="15" customHeight="1" x14ac:dyDescent="0.25">
      <c r="A207" s="1855" t="s">
        <v>590</v>
      </c>
      <c r="B207" s="1673"/>
      <c r="C207" s="1889">
        <v>6</v>
      </c>
      <c r="D207" s="1861"/>
      <c r="E207" s="1862">
        <f>'Notes I'!K908</f>
        <v>299229.11</v>
      </c>
      <c r="F207" s="1273">
        <f>E207</f>
        <v>299229.11</v>
      </c>
      <c r="G207" s="1862">
        <v>0</v>
      </c>
      <c r="H207" s="1862">
        <v>0</v>
      </c>
      <c r="I207" s="1863">
        <v>0</v>
      </c>
      <c r="J207" s="1864">
        <v>0</v>
      </c>
      <c r="K207" s="1818">
        <f>E207-SUM(F207:J207)</f>
        <v>0</v>
      </c>
    </row>
    <row r="208" spans="1:12" ht="15" customHeight="1" x14ac:dyDescent="0.25">
      <c r="A208" s="1855" t="s">
        <v>403</v>
      </c>
      <c r="B208" s="1673"/>
      <c r="C208" s="1889">
        <v>6</v>
      </c>
      <c r="D208" s="1861"/>
      <c r="E208" s="1862">
        <f>'Notes I'!K898-E207</f>
        <v>-1852021.1399999997</v>
      </c>
      <c r="F208" s="1273">
        <f>E208</f>
        <v>-1852021.1399999997</v>
      </c>
      <c r="G208" s="1862">
        <v>0</v>
      </c>
      <c r="H208" s="1862">
        <v>0</v>
      </c>
      <c r="I208" s="1863">
        <v>0</v>
      </c>
      <c r="J208" s="1864">
        <v>0</v>
      </c>
      <c r="K208" s="1818">
        <f>E208-SUM(F208:J208)</f>
        <v>0</v>
      </c>
    </row>
    <row r="209" spans="1:15" ht="15" customHeight="1" thickBot="1" x14ac:dyDescent="0.3">
      <c r="A209" s="1855"/>
      <c r="B209" s="1673"/>
      <c r="C209" s="1856"/>
      <c r="D209" s="1861"/>
      <c r="E209" s="1862"/>
      <c r="F209" s="1273"/>
      <c r="G209" s="1862"/>
      <c r="H209" s="1862"/>
      <c r="I209" s="1863"/>
      <c r="J209" s="1864"/>
    </row>
    <row r="210" spans="1:15" ht="15" customHeight="1" thickTop="1" thickBot="1" x14ac:dyDescent="0.3">
      <c r="A210" s="1859" t="s">
        <v>1221</v>
      </c>
      <c r="B210" s="1719"/>
      <c r="C210" s="1889"/>
      <c r="D210" s="1890"/>
      <c r="E210" s="1992">
        <f t="shared" ref="E210:J210" si="23">SUM(E207:E209)</f>
        <v>-1552792.0299999998</v>
      </c>
      <c r="F210" s="1993">
        <f t="shared" si="23"/>
        <v>-1552792.0299999998</v>
      </c>
      <c r="G210" s="1992">
        <f t="shared" si="23"/>
        <v>0</v>
      </c>
      <c r="H210" s="1992">
        <f t="shared" si="23"/>
        <v>0</v>
      </c>
      <c r="I210" s="1994">
        <f t="shared" si="23"/>
        <v>0</v>
      </c>
      <c r="J210" s="1995">
        <f t="shared" si="23"/>
        <v>0</v>
      </c>
      <c r="K210" s="1818">
        <f>E210-SUM(F210:J210)</f>
        <v>0</v>
      </c>
    </row>
    <row r="211" spans="1:15" ht="15" customHeight="1" thickTop="1" thickBot="1" x14ac:dyDescent="0.3">
      <c r="A211" s="1842"/>
      <c r="B211" s="1843"/>
      <c r="C211" s="1895"/>
      <c r="D211" s="1896"/>
      <c r="E211" s="1906"/>
      <c r="F211" s="1906"/>
      <c r="G211" s="1906"/>
      <c r="H211" s="1906"/>
      <c r="I211" s="1907"/>
      <c r="J211" s="1908"/>
    </row>
    <row r="212" spans="1:15" ht="15" customHeight="1" x14ac:dyDescent="0.25"/>
    <row r="213" spans="1:15" ht="15" customHeight="1" x14ac:dyDescent="0.25">
      <c r="A213" s="1690"/>
      <c r="B213" s="1829" t="s">
        <v>7628</v>
      </c>
      <c r="C213" s="1690"/>
      <c r="D213" s="1824"/>
      <c r="E213" s="1824"/>
      <c r="F213" s="1824"/>
      <c r="G213" s="1690"/>
      <c r="H213" s="1819"/>
      <c r="I213" s="1819"/>
      <c r="J213" s="1819"/>
      <c r="O213" s="1675" t="s">
        <v>3857</v>
      </c>
    </row>
    <row r="214" spans="1:15" ht="15" customHeight="1" x14ac:dyDescent="0.25">
      <c r="A214" s="1819"/>
      <c r="B214" s="1819"/>
      <c r="C214" s="1819"/>
      <c r="D214" s="1819"/>
      <c r="E214" s="1819"/>
      <c r="F214" s="1819"/>
      <c r="G214" s="1819"/>
      <c r="H214" s="1819"/>
      <c r="I214" s="1819"/>
      <c r="J214" s="1819"/>
    </row>
    <row r="215" spans="1:15" ht="30" hidden="1" customHeight="1" x14ac:dyDescent="0.25">
      <c r="A215" s="1819"/>
      <c r="B215" s="2977" t="s">
        <v>1223</v>
      </c>
      <c r="C215" s="2977"/>
      <c r="D215" s="2977"/>
      <c r="E215" s="2977"/>
      <c r="F215" s="2977"/>
      <c r="G215" s="2977"/>
      <c r="H215" s="2977"/>
      <c r="I215" s="2977"/>
      <c r="J215" s="2977"/>
      <c r="K215" s="1837" t="s">
        <v>2437</v>
      </c>
      <c r="L215" s="1703"/>
    </row>
    <row r="216" spans="1:15" ht="15" customHeight="1" x14ac:dyDescent="0.25">
      <c r="A216" s="1830"/>
      <c r="B216" s="2970" t="s">
        <v>1363</v>
      </c>
      <c r="C216" s="2970"/>
      <c r="D216" s="2970"/>
      <c r="E216" s="2970"/>
      <c r="F216" s="2970"/>
      <c r="G216" s="2970"/>
      <c r="H216" s="2970"/>
      <c r="I216" s="2970"/>
      <c r="J216" s="2970"/>
      <c r="K216" s="1837" t="s">
        <v>2437</v>
      </c>
      <c r="L216" s="1703"/>
    </row>
    <row r="217" spans="1:15" ht="15" customHeight="1" x14ac:dyDescent="0.25">
      <c r="A217" s="1819"/>
      <c r="B217" s="1819"/>
      <c r="C217" s="1819"/>
      <c r="D217" s="1819"/>
      <c r="E217" s="1819"/>
      <c r="F217" s="1819"/>
      <c r="G217" s="1819"/>
      <c r="H217" s="1819"/>
      <c r="I217" s="1819"/>
      <c r="J217" s="1819"/>
    </row>
  </sheetData>
  <mergeCells count="18">
    <mergeCell ref="B15:J15"/>
    <mergeCell ref="A1:J1"/>
    <mergeCell ref="A2:J2"/>
    <mergeCell ref="B8:J8"/>
    <mergeCell ref="B12:J12"/>
    <mergeCell ref="B13:J13"/>
    <mergeCell ref="B216:J216"/>
    <mergeCell ref="A18:B18"/>
    <mergeCell ref="B61:J61"/>
    <mergeCell ref="B63:J63"/>
    <mergeCell ref="A66:B66"/>
    <mergeCell ref="B115:J115"/>
    <mergeCell ref="B117:J117"/>
    <mergeCell ref="A120:B120"/>
    <mergeCell ref="B149:J149"/>
    <mergeCell ref="A154:B154"/>
    <mergeCell ref="A185:B185"/>
    <mergeCell ref="B215:J215"/>
  </mergeCells>
  <conditionalFormatting sqref="C181:I181">
    <cfRule type="cellIs" dxfId="22" priority="5" stopIfTrue="1" operator="between">
      <formula>0.001</formula>
      <formula>-0.001</formula>
    </cfRule>
  </conditionalFormatting>
  <conditionalFormatting sqref="E40">
    <cfRule type="cellIs" dxfId="21" priority="4" stopIfTrue="1" operator="between">
      <formula>0.001</formula>
      <formula>-0.001</formula>
    </cfRule>
  </conditionalFormatting>
  <conditionalFormatting sqref="E113">
    <cfRule type="cellIs" dxfId="20" priority="3" stopIfTrue="1" operator="between">
      <formula>0.001</formula>
      <formula>-0.001</formula>
    </cfRule>
  </conditionalFormatting>
  <conditionalFormatting sqref="E59">
    <cfRule type="cellIs" dxfId="19" priority="2" stopIfTrue="1" operator="between">
      <formula>0.001</formula>
      <formula>-0.001</formula>
    </cfRule>
  </conditionalFormatting>
  <conditionalFormatting sqref="E91">
    <cfRule type="cellIs" dxfId="18"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64" firstPageNumber="59" orientation="landscape" r:id="rId1"/>
  <headerFooter alignWithMargins="0"/>
  <rowBreaks count="2" manualBreakCount="2">
    <brk id="59" max="9" man="1"/>
    <brk id="113" max="9" man="1"/>
  </rowBreaks>
  <ignoredErrors>
    <ignoredError sqref="E7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334"/>
  <sheetViews>
    <sheetView view="pageBreakPreview" topLeftCell="A136" zoomScale="70" zoomScaleNormal="100" zoomScaleSheetLayoutView="70" workbookViewId="0">
      <selection activeCell="B178" sqref="B178"/>
    </sheetView>
  </sheetViews>
  <sheetFormatPr defaultColWidth="9.140625" defaultRowHeight="15" x14ac:dyDescent="0.25"/>
  <cols>
    <col min="1" max="1" width="4.7109375" style="48" customWidth="1"/>
    <col min="2" max="2" width="40.7109375" style="48" customWidth="1"/>
    <col min="3" max="3" width="16.7109375" style="48" customWidth="1"/>
    <col min="4" max="4" width="1.7109375" style="57" customWidth="1"/>
    <col min="5" max="5" width="16.7109375" style="48" customWidth="1"/>
    <col min="6" max="6" width="1.7109375" style="57" customWidth="1"/>
    <col min="7" max="7" width="16.7109375" style="57" customWidth="1"/>
    <col min="8" max="8" width="1.7109375" style="57" customWidth="1"/>
    <col min="9" max="9" width="16.7109375" style="199" customWidth="1"/>
    <col min="10" max="10" width="1.7109375" style="199" customWidth="1"/>
    <col min="11" max="11" width="16.7109375" style="199" customWidth="1"/>
    <col min="12" max="12" width="1.7109375" style="48" customWidth="1"/>
    <col min="13" max="13" width="18.28515625" style="1147" customWidth="1"/>
    <col min="14" max="14" width="17.7109375" style="1134" customWidth="1"/>
    <col min="15" max="15" width="16.7109375" style="1134" customWidth="1"/>
    <col min="16" max="16" width="9.140625" style="230" customWidth="1"/>
    <col min="17" max="17" width="9.140625" style="230"/>
    <col min="18" max="18" width="15.140625" style="1128" bestFit="1" customWidth="1"/>
    <col min="19" max="19" width="9.140625" style="230"/>
    <col min="20" max="16384" width="9.140625" style="48"/>
  </cols>
  <sheetData>
    <row r="1" spans="1:19" ht="20.100000000000001" customHeight="1" x14ac:dyDescent="0.25">
      <c r="A1" s="2857" t="str">
        <f>Parameters!C5</f>
        <v>Mohokare Local Municipality</v>
      </c>
      <c r="B1" s="2858"/>
      <c r="C1" s="2858"/>
      <c r="D1" s="2858"/>
      <c r="E1" s="2858"/>
      <c r="F1" s="2858"/>
      <c r="G1" s="2858"/>
      <c r="H1" s="2858"/>
      <c r="I1" s="2858"/>
      <c r="J1" s="2858"/>
      <c r="K1" s="2858"/>
      <c r="L1" s="2858"/>
    </row>
    <row r="2" spans="1:19" ht="18" customHeight="1" x14ac:dyDescent="0.25">
      <c r="A2" s="2859" t="str">
        <f>"NOTES TO THE FINANCIAL STATEMENTS FOR THE YEAR ENDED "&amp;Parameters!C6</f>
        <v>NOTES TO THE FINANCIAL STATEMENTS FOR THE YEAR ENDED 30 JUNE 2012</v>
      </c>
      <c r="B2" s="2860"/>
      <c r="C2" s="2860"/>
      <c r="D2" s="2860"/>
      <c r="E2" s="2860"/>
      <c r="F2" s="2860"/>
      <c r="G2" s="2860"/>
      <c r="H2" s="2860"/>
      <c r="I2" s="2860"/>
      <c r="J2" s="2860"/>
      <c r="K2" s="2860"/>
      <c r="L2" s="2860"/>
      <c r="R2" s="1128" t="s">
        <v>2881</v>
      </c>
    </row>
    <row r="3" spans="1:19" ht="15.6" customHeight="1" x14ac:dyDescent="0.25">
      <c r="A3" s="50"/>
    </row>
    <row r="4" spans="1:19" ht="15.6" customHeight="1" x14ac:dyDescent="0.25">
      <c r="A4" s="50"/>
      <c r="D4" s="48"/>
      <c r="F4" s="48"/>
      <c r="H4" s="49"/>
      <c r="I4" s="1245">
        <f>Parameters!C17</f>
        <v>2012</v>
      </c>
      <c r="J4" s="53"/>
      <c r="K4" s="1245">
        <f>Parameters!C19</f>
        <v>2011</v>
      </c>
      <c r="L4" s="49"/>
      <c r="M4" s="281" t="s">
        <v>454</v>
      </c>
      <c r="N4" s="1271">
        <f>Parameters!C21</f>
        <v>2010</v>
      </c>
      <c r="O4" s="282"/>
    </row>
    <row r="5" spans="1:19" ht="15.6" customHeight="1" x14ac:dyDescent="0.25">
      <c r="I5" s="209" t="s">
        <v>255</v>
      </c>
      <c r="J5" s="200"/>
      <c r="K5" s="209" t="s">
        <v>255</v>
      </c>
      <c r="L5" s="210"/>
    </row>
    <row r="6" spans="1:19" ht="15.6" customHeight="1" x14ac:dyDescent="0.25">
      <c r="I6" s="58"/>
      <c r="K6" s="58"/>
      <c r="N6" s="1147"/>
      <c r="O6" s="1133"/>
    </row>
    <row r="7" spans="1:19" ht="15.6" customHeight="1" x14ac:dyDescent="0.25">
      <c r="A7" s="277">
        <v>47</v>
      </c>
      <c r="B7" s="275" t="s">
        <v>1245</v>
      </c>
      <c r="C7" s="201"/>
      <c r="D7" s="201"/>
      <c r="E7" s="201"/>
      <c r="F7" s="201"/>
      <c r="G7" s="201"/>
      <c r="H7" s="201"/>
      <c r="I7" s="58"/>
      <c r="K7" s="58"/>
      <c r="L7" s="201"/>
      <c r="R7" s="1128" t="s">
        <v>3520</v>
      </c>
    </row>
    <row r="8" spans="1:19" ht="15.6" customHeight="1" x14ac:dyDescent="0.25">
      <c r="A8" s="201"/>
      <c r="B8" s="201"/>
      <c r="C8" s="201"/>
      <c r="D8" s="201"/>
      <c r="E8" s="201"/>
      <c r="F8" s="201"/>
      <c r="G8" s="201"/>
      <c r="H8" s="201"/>
      <c r="I8" s="58"/>
      <c r="K8" s="58"/>
      <c r="L8" s="201"/>
    </row>
    <row r="9" spans="1:19" ht="30.95" customHeight="1" x14ac:dyDescent="0.25">
      <c r="A9" s="201"/>
      <c r="B9" s="2861" t="s">
        <v>2443</v>
      </c>
      <c r="C9" s="2861"/>
      <c r="D9" s="2861"/>
      <c r="E9" s="2861"/>
      <c r="F9" s="2861"/>
      <c r="G9" s="2861"/>
      <c r="H9" s="2861"/>
      <c r="I9" s="2861"/>
      <c r="J9" s="2861"/>
      <c r="K9" s="2861"/>
      <c r="L9" s="201"/>
      <c r="M9" s="1216"/>
      <c r="N9" s="1147"/>
      <c r="O9" s="1133"/>
      <c r="P9" s="55"/>
      <c r="Q9" s="48"/>
      <c r="S9" s="48"/>
    </row>
    <row r="10" spans="1:19" ht="15.6" customHeight="1" x14ac:dyDescent="0.25">
      <c r="A10" s="201"/>
      <c r="B10" s="201"/>
      <c r="C10" s="201"/>
      <c r="D10" s="201"/>
      <c r="E10" s="201"/>
      <c r="F10" s="201"/>
      <c r="G10" s="201"/>
      <c r="H10" s="201"/>
      <c r="I10" s="58"/>
      <c r="K10" s="58"/>
      <c r="L10" s="201"/>
      <c r="M10" s="1134"/>
      <c r="N10" s="1147"/>
      <c r="O10" s="1133"/>
      <c r="P10" s="55"/>
      <c r="Q10" s="48"/>
      <c r="S10" s="48"/>
    </row>
    <row r="11" spans="1:19" ht="15.6" customHeight="1" x14ac:dyDescent="0.25">
      <c r="A11" s="201"/>
      <c r="B11" s="2861" t="s">
        <v>8121</v>
      </c>
      <c r="C11" s="2861"/>
      <c r="D11" s="2861"/>
      <c r="E11" s="2861"/>
      <c r="F11" s="2861"/>
      <c r="G11" s="2861"/>
      <c r="H11" s="2861"/>
      <c r="I11" s="2861"/>
      <c r="J11" s="2861"/>
      <c r="K11" s="2861"/>
      <c r="L11" s="201"/>
      <c r="M11" s="1134"/>
      <c r="N11" s="1147"/>
      <c r="O11" s="1133"/>
      <c r="P11" s="55"/>
      <c r="Q11" s="48"/>
      <c r="S11" s="48"/>
    </row>
    <row r="12" spans="1:19" ht="15.6" customHeight="1" x14ac:dyDescent="0.25">
      <c r="A12" s="201"/>
      <c r="B12" s="201"/>
      <c r="C12" s="201"/>
      <c r="D12" s="201"/>
      <c r="E12" s="201"/>
      <c r="F12" s="201"/>
      <c r="G12" s="201"/>
      <c r="H12" s="201"/>
      <c r="I12" s="58"/>
      <c r="K12" s="58"/>
      <c r="L12" s="201"/>
      <c r="M12" s="1134"/>
      <c r="N12" s="1147"/>
      <c r="O12" s="1133"/>
      <c r="P12" s="55"/>
      <c r="Q12" s="48"/>
      <c r="S12" s="48"/>
    </row>
    <row r="13" spans="1:19" ht="15.6" customHeight="1" x14ac:dyDescent="0.25">
      <c r="A13" s="201"/>
      <c r="B13" s="2861" t="s">
        <v>1246</v>
      </c>
      <c r="C13" s="2861"/>
      <c r="D13" s="2861"/>
      <c r="E13" s="2861"/>
      <c r="F13" s="2861"/>
      <c r="G13" s="2861"/>
      <c r="H13" s="2861"/>
      <c r="I13" s="2861"/>
      <c r="J13" s="2861"/>
      <c r="K13" s="2861"/>
      <c r="L13" s="201"/>
      <c r="M13" s="1134"/>
      <c r="N13" s="1147"/>
      <c r="O13" s="1133"/>
      <c r="P13" s="55"/>
      <c r="Q13" s="48"/>
      <c r="S13" s="48"/>
    </row>
    <row r="14" spans="1:19" ht="15.6" customHeight="1" x14ac:dyDescent="0.25">
      <c r="A14" s="201"/>
      <c r="B14" s="201"/>
      <c r="C14" s="201"/>
      <c r="D14" s="201"/>
      <c r="E14" s="201"/>
      <c r="F14" s="201"/>
      <c r="G14" s="201"/>
      <c r="H14" s="201"/>
      <c r="I14" s="58"/>
      <c r="K14" s="58"/>
      <c r="L14" s="201"/>
      <c r="M14" s="1134"/>
      <c r="N14" s="1147"/>
      <c r="O14" s="1133"/>
      <c r="P14" s="55"/>
      <c r="Q14" s="48"/>
      <c r="S14" s="48"/>
    </row>
    <row r="15" spans="1:19" ht="15.6" customHeight="1" x14ac:dyDescent="0.25">
      <c r="A15" s="201"/>
      <c r="B15" s="2861" t="s">
        <v>1682</v>
      </c>
      <c r="C15" s="2861"/>
      <c r="D15" s="2861"/>
      <c r="E15" s="2861"/>
      <c r="F15" s="2861"/>
      <c r="G15" s="2861"/>
      <c r="H15" s="2861"/>
      <c r="I15" s="2861"/>
      <c r="J15" s="2861"/>
      <c r="K15" s="2861"/>
      <c r="L15" s="201"/>
      <c r="M15" s="1134"/>
      <c r="N15" s="1147"/>
      <c r="O15" s="1133"/>
      <c r="P15" s="55"/>
      <c r="Q15" s="48"/>
      <c r="S15" s="48"/>
    </row>
    <row r="16" spans="1:19" ht="15.6" customHeight="1" x14ac:dyDescent="0.25">
      <c r="A16" s="201"/>
      <c r="B16" s="201"/>
      <c r="C16" s="201"/>
      <c r="D16" s="201"/>
      <c r="E16" s="201"/>
      <c r="F16" s="201"/>
      <c r="G16" s="201"/>
      <c r="H16" s="201"/>
      <c r="I16" s="58"/>
      <c r="K16" s="58"/>
      <c r="L16" s="201"/>
      <c r="M16" s="1134"/>
      <c r="N16" s="1147"/>
      <c r="O16" s="1133"/>
      <c r="P16" s="55"/>
      <c r="Q16" s="48"/>
      <c r="S16" s="48"/>
    </row>
    <row r="17" spans="1:19" ht="30.95" customHeight="1" x14ac:dyDescent="0.25">
      <c r="A17" s="201"/>
      <c r="B17" s="2861" t="s">
        <v>1683</v>
      </c>
      <c r="C17" s="2861"/>
      <c r="D17" s="2861"/>
      <c r="E17" s="2861"/>
      <c r="F17" s="2861"/>
      <c r="G17" s="2861"/>
      <c r="H17" s="2861"/>
      <c r="I17" s="2861"/>
      <c r="J17" s="2861"/>
      <c r="K17" s="2861"/>
      <c r="L17" s="201"/>
      <c r="M17" s="1216"/>
      <c r="N17" s="1147"/>
      <c r="O17" s="1133"/>
      <c r="P17" s="55"/>
      <c r="Q17" s="48"/>
      <c r="S17" s="48"/>
    </row>
    <row r="18" spans="1:19" ht="15.6" customHeight="1" x14ac:dyDescent="0.25">
      <c r="A18" s="201"/>
      <c r="B18" s="201"/>
      <c r="C18" s="201"/>
      <c r="D18" s="201"/>
      <c r="E18" s="201"/>
      <c r="F18" s="201"/>
      <c r="G18" s="201"/>
      <c r="H18" s="201"/>
      <c r="I18" s="58"/>
      <c r="K18" s="58"/>
      <c r="L18" s="201"/>
      <c r="M18" s="1134"/>
      <c r="N18" s="1147"/>
      <c r="O18" s="1133"/>
      <c r="P18" s="55"/>
      <c r="Q18" s="48"/>
      <c r="S18" s="48"/>
    </row>
    <row r="19" spans="1:19" ht="15.6" customHeight="1" x14ac:dyDescent="0.25">
      <c r="A19" s="201"/>
      <c r="B19" s="2861" t="s">
        <v>1684</v>
      </c>
      <c r="C19" s="2861"/>
      <c r="D19" s="2861"/>
      <c r="E19" s="2861"/>
      <c r="F19" s="2861"/>
      <c r="G19" s="2861"/>
      <c r="H19" s="2861"/>
      <c r="I19" s="2861"/>
      <c r="J19" s="2861"/>
      <c r="K19" s="2861"/>
      <c r="L19" s="201"/>
      <c r="M19" s="1216"/>
      <c r="N19" s="1147"/>
      <c r="O19" s="1133"/>
      <c r="P19" s="55"/>
      <c r="Q19" s="48"/>
      <c r="S19" s="48"/>
    </row>
    <row r="20" spans="1:19" ht="15.6" customHeight="1" x14ac:dyDescent="0.25">
      <c r="A20" s="201"/>
      <c r="B20" s="2861" t="s">
        <v>168</v>
      </c>
      <c r="C20" s="2861"/>
      <c r="D20" s="2861"/>
      <c r="E20" s="2861"/>
      <c r="F20" s="2861"/>
      <c r="G20" s="2861"/>
      <c r="H20" s="2861"/>
      <c r="I20" s="2861"/>
      <c r="J20" s="2861"/>
      <c r="K20" s="2861"/>
      <c r="L20" s="201"/>
      <c r="M20" s="1216"/>
      <c r="N20" s="1147"/>
      <c r="O20" s="1133"/>
      <c r="P20" s="55"/>
      <c r="Q20" s="48"/>
      <c r="S20" s="48"/>
    </row>
    <row r="21" spans="1:19" ht="15.6" customHeight="1" x14ac:dyDescent="0.25">
      <c r="A21" s="201"/>
      <c r="B21" s="2861" t="s">
        <v>1247</v>
      </c>
      <c r="C21" s="2861"/>
      <c r="D21" s="2861"/>
      <c r="E21" s="2861"/>
      <c r="F21" s="2861"/>
      <c r="G21" s="2861"/>
      <c r="H21" s="2861"/>
      <c r="I21" s="2861"/>
      <c r="J21" s="2861"/>
      <c r="K21" s="2861"/>
      <c r="L21" s="201"/>
      <c r="M21" s="1216"/>
      <c r="N21" s="1147"/>
      <c r="O21" s="1133"/>
      <c r="P21" s="55"/>
      <c r="Q21" s="48"/>
      <c r="S21" s="48"/>
    </row>
    <row r="22" spans="1:19" ht="30.95" customHeight="1" x14ac:dyDescent="0.25">
      <c r="A22" s="201"/>
      <c r="B22" s="2861" t="s">
        <v>169</v>
      </c>
      <c r="C22" s="2861"/>
      <c r="D22" s="2861"/>
      <c r="E22" s="2861"/>
      <c r="F22" s="2861"/>
      <c r="G22" s="2861"/>
      <c r="H22" s="2861"/>
      <c r="I22" s="2861"/>
      <c r="J22" s="2861"/>
      <c r="K22" s="2861"/>
      <c r="L22" s="201"/>
      <c r="M22" s="1216"/>
      <c r="N22" s="1147"/>
      <c r="O22" s="1133"/>
      <c r="P22" s="55"/>
      <c r="Q22" s="48"/>
      <c r="S22" s="48"/>
    </row>
    <row r="23" spans="1:19" ht="15.6" customHeight="1" x14ac:dyDescent="0.25">
      <c r="A23" s="201"/>
      <c r="B23" s="201"/>
      <c r="C23" s="201"/>
      <c r="D23" s="201"/>
      <c r="E23" s="201"/>
      <c r="F23" s="201"/>
      <c r="G23" s="201"/>
      <c r="H23" s="201"/>
      <c r="I23" s="58"/>
      <c r="K23" s="58"/>
      <c r="L23" s="201"/>
      <c r="M23" s="1134"/>
      <c r="N23" s="1147"/>
      <c r="O23" s="1133"/>
      <c r="P23" s="55"/>
      <c r="Q23" s="48"/>
      <c r="S23" s="48"/>
    </row>
    <row r="24" spans="1:19" ht="15.6" customHeight="1" x14ac:dyDescent="0.25">
      <c r="A24" s="201"/>
      <c r="B24" s="2861" t="s">
        <v>170</v>
      </c>
      <c r="C24" s="2861"/>
      <c r="D24" s="2861"/>
      <c r="E24" s="2861"/>
      <c r="F24" s="2861"/>
      <c r="G24" s="2861"/>
      <c r="H24" s="2861"/>
      <c r="I24" s="2861"/>
      <c r="J24" s="2861"/>
      <c r="K24" s="2861"/>
      <c r="L24" s="201"/>
      <c r="M24" s="1134"/>
      <c r="P24" s="55"/>
      <c r="Q24" s="48"/>
      <c r="S24" s="48"/>
    </row>
    <row r="25" spans="1:19" ht="15.6" customHeight="1" x14ac:dyDescent="0.25">
      <c r="A25" s="201"/>
      <c r="B25" s="201"/>
      <c r="C25" s="201"/>
      <c r="D25" s="201"/>
      <c r="E25" s="201"/>
      <c r="F25" s="201"/>
      <c r="G25" s="201"/>
      <c r="H25" s="201"/>
      <c r="I25" s="58"/>
      <c r="K25" s="58"/>
      <c r="L25" s="201"/>
      <c r="M25" s="1134"/>
      <c r="O25" s="1133"/>
      <c r="P25" s="55"/>
      <c r="Q25" s="48"/>
      <c r="S25" s="48"/>
    </row>
    <row r="26" spans="1:19" ht="46.5" customHeight="1" x14ac:dyDescent="0.25">
      <c r="A26" s="201"/>
      <c r="B26" s="2861" t="s">
        <v>1248</v>
      </c>
      <c r="C26" s="2861"/>
      <c r="D26" s="2861"/>
      <c r="E26" s="2861"/>
      <c r="F26" s="2861"/>
      <c r="G26" s="2861"/>
      <c r="H26" s="2861"/>
      <c r="I26" s="2861"/>
      <c r="J26" s="2861"/>
      <c r="K26" s="2861"/>
      <c r="L26" s="201"/>
      <c r="M26" s="1482"/>
      <c r="N26" s="1224">
        <f>Parameters!C17</f>
        <v>2012</v>
      </c>
      <c r="O26" s="1224">
        <f>Parameters!C19</f>
        <v>2011</v>
      </c>
      <c r="P26" s="55"/>
      <c r="Q26" s="48"/>
      <c r="S26" s="48"/>
    </row>
    <row r="27" spans="1:19" ht="15.6" customHeight="1" x14ac:dyDescent="0.25">
      <c r="A27" s="201"/>
      <c r="B27" s="201"/>
      <c r="C27" s="201"/>
      <c r="D27" s="201"/>
      <c r="E27" s="201"/>
      <c r="F27" s="201"/>
      <c r="G27" s="201"/>
      <c r="H27" s="201"/>
      <c r="I27" s="58"/>
      <c r="K27" s="58"/>
      <c r="L27" s="201"/>
      <c r="M27" s="1134"/>
      <c r="N27" s="1147">
        <v>558553.91</v>
      </c>
      <c r="O27" s="1147">
        <v>403785.64</v>
      </c>
      <c r="P27" s="55"/>
      <c r="Q27" s="48"/>
      <c r="S27" s="48"/>
    </row>
    <row r="28" spans="1:19" ht="30.95" customHeight="1" x14ac:dyDescent="0.25">
      <c r="A28" s="201"/>
      <c r="B28" s="2861" t="s">
        <v>8122</v>
      </c>
      <c r="C28" s="2861"/>
      <c r="D28" s="2861"/>
      <c r="E28" s="2861"/>
      <c r="F28" s="2861"/>
      <c r="G28" s="2861"/>
      <c r="H28" s="2861"/>
      <c r="I28" s="2861"/>
      <c r="J28" s="2861"/>
      <c r="K28" s="2861"/>
      <c r="L28" s="201"/>
      <c r="M28" s="1134"/>
      <c r="N28" s="1147">
        <v>15058432.85</v>
      </c>
      <c r="O28" s="1147">
        <v>12674508.720000001</v>
      </c>
      <c r="P28" s="55"/>
      <c r="Q28" s="48"/>
      <c r="S28" s="48"/>
    </row>
    <row r="29" spans="1:19" ht="61.5" hidden="1" customHeight="1" x14ac:dyDescent="0.25">
      <c r="A29" s="201"/>
      <c r="B29" s="2900" t="s">
        <v>2210</v>
      </c>
      <c r="C29" s="2900"/>
      <c r="D29" s="2900"/>
      <c r="E29" s="2900"/>
      <c r="F29" s="2900"/>
      <c r="G29" s="2900"/>
      <c r="H29" s="2900"/>
      <c r="I29" s="2900"/>
      <c r="J29" s="2900"/>
      <c r="K29" s="2900"/>
      <c r="L29" s="201"/>
      <c r="M29" s="1244" t="s">
        <v>1249</v>
      </c>
      <c r="N29" s="1147">
        <v>1097840.55</v>
      </c>
      <c r="O29" s="1147">
        <v>1157142.6100000001</v>
      </c>
      <c r="P29" s="55"/>
      <c r="Q29" s="48"/>
      <c r="S29" s="48"/>
    </row>
    <row r="30" spans="1:19" ht="15.6" customHeight="1" thickBot="1" x14ac:dyDescent="0.3">
      <c r="A30" s="201"/>
      <c r="B30" s="201"/>
      <c r="C30" s="201"/>
      <c r="D30" s="201"/>
      <c r="E30" s="201"/>
      <c r="F30" s="201"/>
      <c r="G30" s="201"/>
      <c r="H30" s="201"/>
      <c r="I30" s="58"/>
      <c r="K30" s="58"/>
      <c r="L30" s="201"/>
      <c r="M30" s="1134"/>
      <c r="N30" s="1495">
        <f>SUM(N27:N29)</f>
        <v>16714827.310000001</v>
      </c>
      <c r="O30" s="1495">
        <f>SUM(O27:O29)</f>
        <v>14235436.970000001</v>
      </c>
      <c r="P30" s="55"/>
      <c r="Q30" s="48"/>
      <c r="S30" s="48"/>
    </row>
    <row r="31" spans="1:19" ht="15.6" customHeight="1" thickTop="1" x14ac:dyDescent="0.25">
      <c r="A31" s="201"/>
      <c r="B31" s="2861" t="s">
        <v>1353</v>
      </c>
      <c r="C31" s="2861"/>
      <c r="D31" s="2861"/>
      <c r="E31" s="2861"/>
      <c r="F31" s="2861"/>
      <c r="G31" s="2861"/>
      <c r="H31" s="2861"/>
      <c r="I31" s="2861"/>
      <c r="J31" s="2861"/>
      <c r="K31" s="2861"/>
      <c r="L31" s="201"/>
      <c r="M31" s="1216"/>
      <c r="N31" s="1147"/>
      <c r="O31" s="1133"/>
      <c r="P31" s="55"/>
      <c r="Q31" s="48"/>
      <c r="S31" s="48"/>
    </row>
    <row r="32" spans="1:19" ht="15.6" customHeight="1" x14ac:dyDescent="0.25">
      <c r="A32" s="201"/>
      <c r="B32" s="201"/>
      <c r="C32" s="201"/>
      <c r="D32" s="201"/>
      <c r="E32" s="201"/>
      <c r="F32" s="201"/>
      <c r="G32" s="201"/>
      <c r="H32" s="201"/>
      <c r="I32" s="58"/>
      <c r="K32" s="58"/>
      <c r="L32" s="201"/>
      <c r="N32" s="1147"/>
      <c r="O32" s="1133"/>
      <c r="P32" s="60"/>
      <c r="Q32" s="48"/>
      <c r="S32" s="48"/>
    </row>
    <row r="33" spans="1:19" ht="15.6" customHeight="1" x14ac:dyDescent="0.25">
      <c r="B33" s="50" t="s">
        <v>1685</v>
      </c>
      <c r="I33" s="58"/>
      <c r="J33" s="200"/>
      <c r="K33" s="58"/>
      <c r="M33" s="1133"/>
      <c r="N33" s="1147"/>
      <c r="O33" s="1133"/>
      <c r="P33" s="48"/>
      <c r="Q33" s="48"/>
      <c r="S33" s="48"/>
    </row>
    <row r="34" spans="1:19" ht="15.6" customHeight="1" x14ac:dyDescent="0.25">
      <c r="B34" s="50" t="s">
        <v>8123</v>
      </c>
      <c r="I34" s="58"/>
      <c r="J34" s="200"/>
      <c r="K34" s="58"/>
      <c r="M34" s="1133"/>
      <c r="N34" s="1147"/>
      <c r="O34" s="1133"/>
      <c r="P34" s="48"/>
      <c r="Q34" s="48"/>
      <c r="S34" s="48"/>
    </row>
    <row r="35" spans="1:19" ht="15.6" customHeight="1" x14ac:dyDescent="0.25">
      <c r="B35" s="2861" t="s">
        <v>8124</v>
      </c>
      <c r="C35" s="2861"/>
      <c r="D35" s="2861"/>
      <c r="E35" s="2861"/>
      <c r="F35" s="2861"/>
      <c r="G35" s="2861"/>
      <c r="H35" s="2861"/>
      <c r="I35" s="2861"/>
      <c r="J35" s="2861"/>
      <c r="K35" s="2861"/>
      <c r="M35" s="1134"/>
      <c r="N35" s="1147"/>
      <c r="O35" s="1133"/>
      <c r="P35" s="55"/>
      <c r="Q35" s="48"/>
      <c r="S35" s="48"/>
    </row>
    <row r="36" spans="1:19" ht="15.6" customHeight="1" x14ac:dyDescent="0.25">
      <c r="B36" s="201"/>
      <c r="C36" s="201"/>
      <c r="D36" s="201"/>
      <c r="E36" s="201"/>
      <c r="F36" s="201"/>
      <c r="G36" s="201"/>
      <c r="H36" s="201"/>
      <c r="I36" s="58"/>
      <c r="K36" s="58"/>
      <c r="M36" s="1134"/>
      <c r="N36" s="1147"/>
      <c r="O36" s="1133"/>
      <c r="P36" s="55"/>
      <c r="Q36" s="48"/>
      <c r="S36" s="48"/>
    </row>
    <row r="37" spans="1:19" ht="46.5" customHeight="1" x14ac:dyDescent="0.25">
      <c r="B37" s="2861" t="s">
        <v>8125</v>
      </c>
      <c r="C37" s="2861"/>
      <c r="D37" s="2861"/>
      <c r="E37" s="2861"/>
      <c r="F37" s="2861"/>
      <c r="G37" s="2861"/>
      <c r="H37" s="2861"/>
      <c r="I37" s="2861"/>
      <c r="J37" s="2861"/>
      <c r="K37" s="2861"/>
      <c r="M37" s="1134"/>
      <c r="N37" s="1147"/>
      <c r="O37" s="1133"/>
      <c r="P37" s="55"/>
      <c r="Q37" s="48"/>
      <c r="S37" s="48"/>
    </row>
    <row r="38" spans="1:19" ht="15.6" customHeight="1" x14ac:dyDescent="0.25">
      <c r="B38" s="201"/>
      <c r="C38" s="201"/>
      <c r="D38" s="201"/>
      <c r="E38" s="201"/>
      <c r="F38" s="201"/>
      <c r="G38" s="201"/>
      <c r="H38" s="201"/>
      <c r="I38" s="58"/>
      <c r="K38" s="58"/>
      <c r="N38" s="1147"/>
      <c r="O38" s="1133"/>
      <c r="P38" s="60"/>
      <c r="Q38" s="48"/>
      <c r="S38" s="48"/>
    </row>
    <row r="39" spans="1:19" ht="15.6" customHeight="1" x14ac:dyDescent="0.25">
      <c r="B39" s="50" t="s">
        <v>8126</v>
      </c>
      <c r="I39" s="58"/>
      <c r="J39" s="200"/>
      <c r="K39" s="58"/>
      <c r="M39" s="1133"/>
      <c r="N39" s="1147"/>
      <c r="O39" s="1133"/>
      <c r="P39" s="48"/>
      <c r="Q39" s="48"/>
      <c r="S39" s="48"/>
    </row>
    <row r="40" spans="1:19" ht="15.6" customHeight="1" x14ac:dyDescent="0.25">
      <c r="A40" s="201"/>
      <c r="B40" s="2861" t="s">
        <v>8127</v>
      </c>
      <c r="C40" s="2861"/>
      <c r="D40" s="2861"/>
      <c r="E40" s="2861"/>
      <c r="F40" s="2861"/>
      <c r="G40" s="2861"/>
      <c r="H40" s="2861"/>
      <c r="I40" s="2861"/>
      <c r="J40" s="2861"/>
      <c r="K40" s="2861"/>
      <c r="L40" s="201"/>
      <c r="M40" s="1134"/>
      <c r="N40" s="1147"/>
      <c r="O40" s="1133"/>
      <c r="P40" s="55"/>
      <c r="Q40" s="48"/>
      <c r="S40" s="48"/>
    </row>
    <row r="41" spans="1:19" ht="15.6" customHeight="1" x14ac:dyDescent="0.25">
      <c r="A41" s="201"/>
      <c r="B41" s="201"/>
      <c r="C41" s="201"/>
      <c r="D41" s="201"/>
      <c r="E41" s="201"/>
      <c r="F41" s="201"/>
      <c r="G41" s="201"/>
      <c r="H41" s="201"/>
      <c r="I41" s="58"/>
      <c r="K41" s="58"/>
      <c r="L41" s="201"/>
      <c r="M41" s="1134"/>
      <c r="N41" s="1147"/>
      <c r="O41" s="1133"/>
      <c r="P41" s="55"/>
      <c r="Q41" s="48"/>
      <c r="S41" s="48"/>
    </row>
    <row r="42" spans="1:19" ht="61.5" customHeight="1" x14ac:dyDescent="0.25">
      <c r="A42" s="201"/>
      <c r="B42" s="2861" t="s">
        <v>8128</v>
      </c>
      <c r="C42" s="2861"/>
      <c r="D42" s="2861"/>
      <c r="E42" s="2861"/>
      <c r="F42" s="2861"/>
      <c r="G42" s="2861"/>
      <c r="H42" s="2861"/>
      <c r="I42" s="2861"/>
      <c r="J42" s="2861"/>
      <c r="K42" s="2861"/>
      <c r="L42" s="201"/>
      <c r="M42" s="1134"/>
      <c r="N42" s="1147"/>
      <c r="O42" s="1133"/>
      <c r="P42" s="55"/>
      <c r="Q42" s="48"/>
      <c r="S42" s="48"/>
    </row>
    <row r="43" spans="1:19" ht="15.6" customHeight="1" x14ac:dyDescent="0.25">
      <c r="A43" s="201"/>
      <c r="B43" s="201"/>
      <c r="C43" s="201"/>
      <c r="D43" s="201"/>
      <c r="E43" s="201"/>
      <c r="F43" s="201"/>
      <c r="G43" s="201"/>
      <c r="H43" s="201"/>
      <c r="I43" s="58"/>
      <c r="K43" s="58"/>
      <c r="L43" s="201"/>
      <c r="N43" s="1147"/>
      <c r="O43" s="1133"/>
      <c r="P43" s="60"/>
      <c r="Q43" s="48"/>
      <c r="S43" s="48"/>
    </row>
    <row r="44" spans="1:19" ht="15.6" customHeight="1" x14ac:dyDescent="0.25">
      <c r="A44" s="201"/>
      <c r="B44" s="2878" t="s">
        <v>1250</v>
      </c>
      <c r="C44" s="2878"/>
      <c r="D44" s="2878"/>
      <c r="E44" s="2878"/>
      <c r="F44" s="2878"/>
      <c r="G44" s="2878"/>
      <c r="H44" s="2878"/>
      <c r="I44" s="2878"/>
      <c r="J44" s="2878"/>
      <c r="K44" s="2878"/>
      <c r="L44" s="201"/>
      <c r="M44" s="1134"/>
      <c r="N44" s="1147"/>
      <c r="O44" s="1133"/>
      <c r="P44" s="55"/>
      <c r="Q44" s="48"/>
      <c r="S44" s="48"/>
    </row>
    <row r="45" spans="1:19" ht="15.6" customHeight="1" x14ac:dyDescent="0.25">
      <c r="A45" s="201"/>
      <c r="B45" s="201"/>
      <c r="C45" s="201"/>
      <c r="D45" s="201"/>
      <c r="E45" s="201"/>
      <c r="F45" s="201"/>
      <c r="G45" s="201"/>
      <c r="H45" s="201"/>
      <c r="I45" s="58"/>
      <c r="K45" s="58"/>
      <c r="L45" s="201"/>
      <c r="M45" s="1134"/>
      <c r="N45" s="1147"/>
      <c r="O45" s="1133"/>
      <c r="P45" s="55"/>
      <c r="Q45" s="48"/>
      <c r="S45" s="48"/>
    </row>
    <row r="46" spans="1:19" ht="15.6" customHeight="1" x14ac:dyDescent="0.25">
      <c r="A46" s="201"/>
      <c r="B46" s="2861" t="s">
        <v>8127</v>
      </c>
      <c r="C46" s="2861"/>
      <c r="D46" s="2861"/>
      <c r="E46" s="2861"/>
      <c r="F46" s="2861"/>
      <c r="G46" s="2861"/>
      <c r="H46" s="2861"/>
      <c r="I46" s="2861"/>
      <c r="J46" s="2861"/>
      <c r="K46" s="2861"/>
      <c r="L46" s="201"/>
      <c r="M46" s="1134"/>
      <c r="N46" s="1147"/>
      <c r="O46" s="1133"/>
      <c r="P46" s="55"/>
      <c r="Q46" s="48"/>
      <c r="S46" s="48"/>
    </row>
    <row r="47" spans="1:19" ht="15.6" customHeight="1" x14ac:dyDescent="0.25">
      <c r="A47" s="201"/>
      <c r="B47" s="201"/>
      <c r="C47" s="201"/>
      <c r="D47" s="201"/>
      <c r="E47" s="201"/>
      <c r="F47" s="201"/>
      <c r="G47" s="201"/>
      <c r="H47" s="201"/>
      <c r="I47" s="58"/>
      <c r="K47" s="58"/>
      <c r="L47" s="201"/>
      <c r="N47" s="1147"/>
      <c r="O47" s="1133"/>
      <c r="P47" s="60"/>
      <c r="Q47" s="48"/>
      <c r="S47" s="48"/>
    </row>
    <row r="48" spans="1:19" s="2729" customFormat="1" ht="15.6" customHeight="1" x14ac:dyDescent="0.2">
      <c r="B48" s="2982" t="s">
        <v>8129</v>
      </c>
      <c r="C48" s="2982"/>
      <c r="D48" s="2982"/>
      <c r="E48" s="2982"/>
      <c r="F48" s="2982"/>
      <c r="G48" s="2982"/>
      <c r="H48" s="2982"/>
      <c r="I48" s="2982"/>
      <c r="J48" s="2982"/>
      <c r="K48" s="2982"/>
    </row>
    <row r="49" spans="1:18" s="2729" customFormat="1" ht="15.6" customHeight="1" x14ac:dyDescent="0.2">
      <c r="B49" s="2982"/>
      <c r="C49" s="2982"/>
      <c r="D49" s="2982"/>
      <c r="E49" s="2982"/>
      <c r="F49" s="2982"/>
      <c r="G49" s="2982"/>
      <c r="H49" s="2982"/>
      <c r="I49" s="2982"/>
      <c r="J49" s="2982"/>
      <c r="K49" s="2982"/>
    </row>
    <row r="50" spans="1:18" s="2729" customFormat="1" ht="15.6" customHeight="1" x14ac:dyDescent="0.2">
      <c r="B50" s="2982"/>
      <c r="C50" s="2982"/>
      <c r="D50" s="2982"/>
      <c r="E50" s="2982"/>
      <c r="F50" s="2982"/>
      <c r="G50" s="2982"/>
      <c r="H50" s="2982"/>
      <c r="I50" s="2982"/>
      <c r="J50" s="2982"/>
      <c r="K50" s="2982"/>
    </row>
    <row r="51" spans="1:18" s="2729" customFormat="1" ht="15.6" customHeight="1" x14ac:dyDescent="0.25">
      <c r="B51" s="2739"/>
      <c r="C51" s="2739"/>
      <c r="D51" s="2739"/>
      <c r="E51" s="2739"/>
      <c r="F51" s="2739"/>
      <c r="G51" s="2739"/>
      <c r="H51" s="2739"/>
    </row>
    <row r="52" spans="1:18" s="2729" customFormat="1" ht="15.6" customHeight="1" x14ac:dyDescent="0.25">
      <c r="B52" s="2741" t="s">
        <v>8130</v>
      </c>
      <c r="C52" s="2739"/>
      <c r="D52" s="2739"/>
      <c r="E52" s="2739"/>
      <c r="F52" s="2739"/>
      <c r="G52" s="2739"/>
      <c r="H52" s="2739"/>
    </row>
    <row r="53" spans="1:18" s="2729" customFormat="1" x14ac:dyDescent="0.25">
      <c r="B53" s="2740" t="s">
        <v>8127</v>
      </c>
      <c r="C53" s="2739"/>
      <c r="D53" s="2739"/>
      <c r="E53" s="2739"/>
      <c r="F53" s="2739"/>
      <c r="G53" s="2739"/>
      <c r="H53" s="2739"/>
    </row>
    <row r="54" spans="1:18" s="2729" customFormat="1" ht="15.6" customHeight="1" x14ac:dyDescent="0.25">
      <c r="B54" s="2739"/>
      <c r="C54" s="2739"/>
      <c r="D54" s="2739"/>
      <c r="E54" s="2739"/>
      <c r="F54" s="2739"/>
      <c r="G54" s="2739"/>
      <c r="H54" s="2739"/>
    </row>
    <row r="55" spans="1:18" s="2729" customFormat="1" ht="15.6" customHeight="1" x14ac:dyDescent="0.2">
      <c r="B55" s="2982" t="s">
        <v>8131</v>
      </c>
      <c r="C55" s="2982"/>
      <c r="D55" s="2982"/>
      <c r="E55" s="2982"/>
      <c r="F55" s="2982"/>
      <c r="G55" s="2982"/>
      <c r="H55" s="2982"/>
      <c r="I55" s="2982"/>
      <c r="J55" s="2982"/>
      <c r="K55" s="2982"/>
    </row>
    <row r="56" spans="1:18" s="2729" customFormat="1" ht="15.6" customHeight="1" x14ac:dyDescent="0.2">
      <c r="B56" s="2982"/>
      <c r="C56" s="2982"/>
      <c r="D56" s="2982"/>
      <c r="E56" s="2982"/>
      <c r="F56" s="2982"/>
      <c r="G56" s="2982"/>
      <c r="H56" s="2982"/>
      <c r="I56" s="2982"/>
      <c r="J56" s="2982"/>
      <c r="K56" s="2982"/>
    </row>
    <row r="57" spans="1:18" s="2729" customFormat="1" ht="15.6" customHeight="1" x14ac:dyDescent="0.2">
      <c r="B57" s="2982"/>
      <c r="C57" s="2982"/>
      <c r="D57" s="2982"/>
      <c r="E57" s="2982"/>
      <c r="F57" s="2982"/>
      <c r="G57" s="2982"/>
      <c r="H57" s="2982"/>
      <c r="I57" s="2982"/>
      <c r="J57" s="2982"/>
      <c r="K57" s="2982"/>
    </row>
    <row r="58" spans="1:18" s="2729" customFormat="1" x14ac:dyDescent="0.25">
      <c r="B58" s="2739"/>
      <c r="C58" s="2739"/>
      <c r="D58" s="2739"/>
      <c r="E58" s="2739"/>
      <c r="F58" s="2739"/>
      <c r="G58" s="2739"/>
      <c r="H58" s="2739"/>
    </row>
    <row r="59" spans="1:18" s="2729" customFormat="1" ht="15.6" customHeight="1" x14ac:dyDescent="0.25">
      <c r="B59" s="2741" t="s">
        <v>8132</v>
      </c>
      <c r="C59" s="2739"/>
      <c r="D59" s="2739"/>
      <c r="E59" s="2739"/>
      <c r="F59" s="2739"/>
      <c r="G59" s="2739"/>
      <c r="H59" s="2739"/>
    </row>
    <row r="60" spans="1:18" s="2729" customFormat="1" ht="15.6" customHeight="1" x14ac:dyDescent="0.25">
      <c r="B60" s="2740" t="s">
        <v>8133</v>
      </c>
      <c r="C60" s="2739"/>
      <c r="D60" s="2739"/>
      <c r="E60" s="2739"/>
      <c r="F60" s="2739"/>
      <c r="G60" s="2739"/>
      <c r="H60" s="2739"/>
    </row>
    <row r="61" spans="1:18" s="2729" customFormat="1" ht="15.6" customHeight="1" x14ac:dyDescent="0.25">
      <c r="B61" s="2739"/>
      <c r="C61" s="2739"/>
      <c r="D61" s="2739"/>
      <c r="E61" s="2739"/>
      <c r="F61" s="2739"/>
      <c r="G61" s="2739"/>
      <c r="H61" s="2739"/>
    </row>
    <row r="62" spans="1:18" s="2729" customFormat="1" ht="15.6" customHeight="1" x14ac:dyDescent="0.25">
      <c r="B62" s="2740" t="s">
        <v>8134</v>
      </c>
      <c r="C62" s="2739"/>
      <c r="D62" s="2739"/>
      <c r="E62" s="2739"/>
      <c r="F62" s="2739"/>
      <c r="G62" s="2739"/>
      <c r="H62" s="2739"/>
    </row>
    <row r="63" spans="1:18" ht="15.6" customHeight="1" x14ac:dyDescent="0.25">
      <c r="I63" s="58"/>
      <c r="J63" s="200"/>
      <c r="K63" s="58"/>
      <c r="N63" s="1147"/>
    </row>
    <row r="64" spans="1:18" ht="15.6" customHeight="1" x14ac:dyDescent="0.25">
      <c r="A64" s="277">
        <v>48</v>
      </c>
      <c r="B64" s="275" t="s">
        <v>703</v>
      </c>
      <c r="C64" s="201"/>
      <c r="D64" s="201"/>
      <c r="E64" s="201"/>
      <c r="F64" s="201"/>
      <c r="G64" s="201"/>
      <c r="H64" s="201"/>
      <c r="I64" s="58"/>
      <c r="K64" s="58"/>
      <c r="L64" s="201"/>
      <c r="N64" s="1147"/>
      <c r="R64" s="1128" t="s">
        <v>3520</v>
      </c>
    </row>
    <row r="65" spans="1:19" ht="15.6" customHeight="1" x14ac:dyDescent="0.25">
      <c r="I65" s="58"/>
      <c r="J65" s="200"/>
      <c r="K65" s="58"/>
      <c r="N65" s="1147"/>
    </row>
    <row r="66" spans="1:19" ht="15.6" customHeight="1" x14ac:dyDescent="0.25">
      <c r="A66" s="201"/>
      <c r="B66" s="2861" t="s">
        <v>2007</v>
      </c>
      <c r="C66" s="2861"/>
      <c r="D66" s="2861"/>
      <c r="E66" s="2861"/>
      <c r="F66" s="2861"/>
      <c r="G66" s="2861"/>
      <c r="H66" s="2861"/>
      <c r="I66" s="2861"/>
      <c r="J66" s="2861"/>
      <c r="K66" s="2861"/>
      <c r="L66" s="201"/>
      <c r="M66" s="1133"/>
      <c r="N66" s="1133"/>
      <c r="O66" s="1133"/>
      <c r="P66" s="48"/>
      <c r="Q66" s="48"/>
      <c r="S66" s="48"/>
    </row>
    <row r="67" spans="1:19" ht="15.6" customHeight="1" x14ac:dyDescent="0.25">
      <c r="I67" s="58"/>
      <c r="J67" s="200"/>
      <c r="K67" s="58"/>
      <c r="N67" s="1147"/>
    </row>
    <row r="68" spans="1:19" ht="15.6" customHeight="1" x14ac:dyDescent="0.25">
      <c r="B68" s="229" t="s">
        <v>7629</v>
      </c>
      <c r="C68" s="50"/>
      <c r="I68" s="58"/>
      <c r="K68" s="58"/>
      <c r="N68" s="1147"/>
      <c r="R68" s="1128" t="s">
        <v>3857</v>
      </c>
    </row>
    <row r="69" spans="1:19" ht="15.6" customHeight="1" x14ac:dyDescent="0.25">
      <c r="I69" s="58"/>
      <c r="J69" s="200"/>
      <c r="K69" s="58"/>
      <c r="N69" s="1147"/>
    </row>
    <row r="70" spans="1:19" ht="15.6" customHeight="1" x14ac:dyDescent="0.25">
      <c r="A70" s="201"/>
      <c r="B70" s="2861" t="s">
        <v>1669</v>
      </c>
      <c r="C70" s="2861"/>
      <c r="D70" s="2861"/>
      <c r="E70" s="2861"/>
      <c r="F70" s="2861"/>
      <c r="G70" s="2861"/>
      <c r="H70" s="2861"/>
      <c r="I70" s="2861"/>
      <c r="J70" s="2861"/>
      <c r="K70" s="2861"/>
      <c r="L70" s="201"/>
      <c r="M70" s="1133"/>
      <c r="N70" s="1133"/>
      <c r="O70" s="1133"/>
      <c r="P70" s="48"/>
      <c r="Q70" s="48"/>
      <c r="S70" s="48"/>
    </row>
    <row r="71" spans="1:19" ht="15.6" customHeight="1" x14ac:dyDescent="0.25">
      <c r="D71" s="199"/>
      <c r="E71" s="199"/>
      <c r="F71" s="199"/>
      <c r="G71" s="199"/>
      <c r="H71" s="199"/>
      <c r="M71" s="1133"/>
      <c r="N71" s="1133"/>
      <c r="O71" s="1133"/>
      <c r="P71" s="48"/>
      <c r="Q71" s="48"/>
      <c r="S71" s="48"/>
    </row>
    <row r="72" spans="1:19" ht="15.6" customHeight="1" x14ac:dyDescent="0.25">
      <c r="B72" s="791" t="s">
        <v>1667</v>
      </c>
      <c r="C72" s="791" t="s">
        <v>1668</v>
      </c>
      <c r="D72" s="792"/>
      <c r="E72" s="2981" t="s">
        <v>1680</v>
      </c>
      <c r="F72" s="2981"/>
      <c r="G72" s="2981"/>
      <c r="H72" s="2981"/>
      <c r="I72" s="2981"/>
      <c r="J72" s="2981"/>
      <c r="K72" s="2981"/>
      <c r="L72" s="135"/>
      <c r="M72" s="1133"/>
      <c r="N72" s="1133"/>
      <c r="O72" s="1133"/>
      <c r="P72" s="48"/>
      <c r="Q72" s="48"/>
      <c r="S72" s="48"/>
    </row>
    <row r="73" spans="1:19" ht="15.6" customHeight="1" x14ac:dyDescent="0.25">
      <c r="E73" s="2983"/>
      <c r="F73" s="2983"/>
      <c r="G73" s="2983"/>
      <c r="I73" s="2986"/>
      <c r="J73" s="2986"/>
      <c r="K73" s="2986"/>
      <c r="M73" s="1133"/>
      <c r="N73" s="1133"/>
      <c r="O73" s="1133"/>
      <c r="P73" s="48"/>
      <c r="Q73" s="48"/>
      <c r="S73" s="48"/>
    </row>
    <row r="74" spans="1:19" ht="15.6" customHeight="1" x14ac:dyDescent="0.25">
      <c r="B74" s="48" t="s">
        <v>7334</v>
      </c>
      <c r="C74" s="48" t="s">
        <v>1690</v>
      </c>
      <c r="E74" s="2983" t="s">
        <v>7335</v>
      </c>
      <c r="F74" s="2983"/>
      <c r="G74" s="2983"/>
      <c r="H74" s="2983"/>
      <c r="I74" s="2983"/>
      <c r="J74" s="2983"/>
      <c r="K74" s="2983"/>
      <c r="M74" s="1133"/>
      <c r="N74" s="1133"/>
      <c r="O74" s="1133"/>
      <c r="P74" s="48"/>
      <c r="Q74" s="48"/>
      <c r="S74" s="48"/>
    </row>
    <row r="75" spans="1:19" ht="15.6" customHeight="1" x14ac:dyDescent="0.25">
      <c r="B75" s="48" t="s">
        <v>7336</v>
      </c>
      <c r="C75" s="48" t="s">
        <v>1690</v>
      </c>
      <c r="E75" s="2983" t="s">
        <v>7337</v>
      </c>
      <c r="F75" s="2983"/>
      <c r="G75" s="2983"/>
      <c r="H75" s="2983"/>
      <c r="I75" s="2983"/>
      <c r="J75" s="2983"/>
      <c r="K75" s="2983"/>
      <c r="M75" s="1133"/>
      <c r="N75" s="1133"/>
      <c r="O75" s="1133"/>
      <c r="P75" s="48"/>
      <c r="Q75" s="48"/>
      <c r="S75" s="48"/>
    </row>
    <row r="76" spans="1:19" ht="15.6" customHeight="1" x14ac:dyDescent="0.25">
      <c r="B76" s="48" t="s">
        <v>7338</v>
      </c>
      <c r="C76" s="48" t="s">
        <v>1690</v>
      </c>
      <c r="E76" s="2983" t="s">
        <v>7339</v>
      </c>
      <c r="F76" s="2983"/>
      <c r="G76" s="2983"/>
      <c r="H76" s="2983"/>
      <c r="I76" s="2983"/>
      <c r="J76" s="2983"/>
      <c r="K76" s="2983"/>
      <c r="M76" s="1133"/>
      <c r="N76" s="1133"/>
      <c r="O76" s="1133"/>
      <c r="P76" s="48"/>
      <c r="Q76" s="48"/>
      <c r="S76" s="48"/>
    </row>
    <row r="77" spans="1:19" ht="15.6" customHeight="1" x14ac:dyDescent="0.25">
      <c r="B77" s="48" t="s">
        <v>7340</v>
      </c>
      <c r="C77" s="48" t="s">
        <v>7421</v>
      </c>
      <c r="E77" s="2983" t="s">
        <v>7341</v>
      </c>
      <c r="F77" s="2983"/>
      <c r="G77" s="2983"/>
      <c r="H77" s="2983"/>
      <c r="I77" s="2983"/>
      <c r="J77" s="2983"/>
      <c r="K77" s="2983"/>
      <c r="M77" s="1133"/>
      <c r="N77" s="1133"/>
      <c r="O77" s="1133"/>
      <c r="P77" s="48"/>
      <c r="Q77" s="48"/>
      <c r="S77" s="48"/>
    </row>
    <row r="78" spans="1:19" x14ac:dyDescent="0.25">
      <c r="B78" s="2475" t="s">
        <v>7342</v>
      </c>
      <c r="C78" s="846" t="s">
        <v>7422</v>
      </c>
      <c r="E78" s="2984" t="s">
        <v>7343</v>
      </c>
      <c r="F78" s="2984"/>
      <c r="G78" s="2984"/>
      <c r="H78" s="2984"/>
      <c r="I78" s="2984"/>
      <c r="J78" s="2984"/>
      <c r="K78" s="2984"/>
      <c r="M78" s="1133"/>
      <c r="N78" s="1133"/>
      <c r="O78" s="1133"/>
      <c r="P78" s="48"/>
      <c r="Q78" s="48"/>
      <c r="S78" s="48"/>
    </row>
    <row r="79" spans="1:19" ht="15.6" customHeight="1" x14ac:dyDescent="0.25">
      <c r="B79" s="48" t="s">
        <v>7344</v>
      </c>
      <c r="C79" s="48" t="s">
        <v>7348</v>
      </c>
      <c r="E79" s="2983" t="s">
        <v>7345</v>
      </c>
      <c r="F79" s="2983"/>
      <c r="G79" s="2983"/>
      <c r="H79" s="2983"/>
      <c r="I79" s="2983"/>
      <c r="J79" s="2983"/>
      <c r="K79" s="2983"/>
      <c r="M79" s="1133"/>
      <c r="N79" s="1133"/>
      <c r="O79" s="1133"/>
      <c r="P79" s="48"/>
      <c r="Q79" s="48"/>
      <c r="S79" s="48"/>
    </row>
    <row r="80" spans="1:19" ht="30.95" customHeight="1" x14ac:dyDescent="0.25">
      <c r="B80" s="2475" t="s">
        <v>7346</v>
      </c>
      <c r="C80" s="846" t="s">
        <v>7349</v>
      </c>
      <c r="E80" s="2984" t="s">
        <v>7347</v>
      </c>
      <c r="F80" s="2984"/>
      <c r="G80" s="2984"/>
      <c r="H80" s="2984"/>
      <c r="I80" s="2984"/>
      <c r="J80" s="2984"/>
      <c r="K80" s="2984"/>
      <c r="M80" s="1133"/>
      <c r="N80" s="1133"/>
      <c r="O80" s="1133"/>
      <c r="P80" s="48"/>
      <c r="Q80" s="48"/>
      <c r="S80" s="48"/>
    </row>
    <row r="81" spans="1:21" ht="15.6" customHeight="1" x14ac:dyDescent="0.25">
      <c r="D81" s="199"/>
      <c r="E81" s="199"/>
      <c r="F81" s="199"/>
      <c r="G81" s="199"/>
      <c r="H81" s="199"/>
      <c r="M81" s="1133"/>
      <c r="N81" s="1147"/>
      <c r="O81" s="1133"/>
      <c r="P81" s="48"/>
      <c r="Q81" s="48"/>
      <c r="S81" s="48"/>
    </row>
    <row r="82" spans="1:21" ht="15.6" customHeight="1" x14ac:dyDescent="0.25">
      <c r="B82" s="229" t="s">
        <v>7630</v>
      </c>
      <c r="C82" s="50"/>
      <c r="I82" s="58"/>
      <c r="K82" s="58"/>
      <c r="N82" s="1147"/>
      <c r="R82" s="1128" t="s">
        <v>3857</v>
      </c>
    </row>
    <row r="83" spans="1:21" ht="15.6" customHeight="1" x14ac:dyDescent="0.25">
      <c r="I83" s="58"/>
      <c r="J83" s="200"/>
      <c r="K83" s="58"/>
      <c r="N83" s="1147"/>
    </row>
    <row r="84" spans="1:21" ht="15.6" hidden="1" customHeight="1" x14ac:dyDescent="0.25">
      <c r="A84" s="201"/>
      <c r="B84" s="2900" t="s">
        <v>1696</v>
      </c>
      <c r="C84" s="2900"/>
      <c r="D84" s="2900"/>
      <c r="E84" s="2900"/>
      <c r="F84" s="2900"/>
      <c r="G84" s="2900"/>
      <c r="H84" s="2900"/>
      <c r="I84" s="2900"/>
      <c r="J84" s="2900"/>
      <c r="K84" s="2900"/>
      <c r="L84" s="201"/>
      <c r="M84" s="1482" t="s">
        <v>1251</v>
      </c>
      <c r="N84" s="1147"/>
      <c r="O84" s="1133"/>
      <c r="P84" s="55"/>
      <c r="Q84" s="48"/>
      <c r="S84" s="48"/>
    </row>
    <row r="85" spans="1:21" ht="15.6" hidden="1" customHeight="1" x14ac:dyDescent="0.25">
      <c r="I85" s="58"/>
      <c r="J85" s="200"/>
      <c r="K85" s="58"/>
      <c r="N85" s="1147"/>
    </row>
    <row r="86" spans="1:21" ht="30" customHeight="1" x14ac:dyDescent="0.25">
      <c r="A86" s="201"/>
      <c r="B86" s="2861" t="s">
        <v>7767</v>
      </c>
      <c r="C86" s="2861"/>
      <c r="D86" s="2861"/>
      <c r="E86" s="2861"/>
      <c r="F86" s="2861"/>
      <c r="G86" s="2861"/>
      <c r="H86" s="2861"/>
      <c r="I86" s="2861"/>
      <c r="J86" s="2861"/>
      <c r="K86" s="2861"/>
      <c r="L86" s="201"/>
      <c r="M86" s="1482" t="s">
        <v>1251</v>
      </c>
      <c r="N86" s="1147"/>
      <c r="O86" s="1133"/>
      <c r="P86" s="55"/>
      <c r="Q86" s="48"/>
      <c r="S86" s="48"/>
    </row>
    <row r="87" spans="1:21" ht="15.6" hidden="1" customHeight="1" x14ac:dyDescent="0.25">
      <c r="D87" s="199"/>
      <c r="E87" s="199"/>
      <c r="F87" s="199"/>
      <c r="G87" s="199"/>
      <c r="H87" s="199"/>
      <c r="M87" s="1133"/>
      <c r="N87" s="1147"/>
      <c r="O87" s="1133"/>
      <c r="P87" s="48"/>
      <c r="Q87" s="48"/>
      <c r="S87" s="48"/>
    </row>
    <row r="88" spans="1:21" ht="15.6" hidden="1" customHeight="1" x14ac:dyDescent="0.25">
      <c r="D88" s="135"/>
      <c r="E88" s="135" t="s">
        <v>736</v>
      </c>
      <c r="F88" s="135"/>
      <c r="G88" s="135" t="s">
        <v>737</v>
      </c>
      <c r="H88" s="135"/>
      <c r="I88" s="209" t="s">
        <v>1252</v>
      </c>
      <c r="J88" s="209"/>
      <c r="K88" s="209" t="s">
        <v>322</v>
      </c>
      <c r="N88" s="1147"/>
    </row>
    <row r="89" spans="1:21" ht="15.6" hidden="1" customHeight="1" x14ac:dyDescent="0.25">
      <c r="B89" s="50"/>
      <c r="D89" s="135"/>
      <c r="E89" s="135" t="s">
        <v>704</v>
      </c>
      <c r="F89" s="135"/>
      <c r="G89" s="135" t="s">
        <v>704</v>
      </c>
      <c r="H89" s="135"/>
      <c r="I89" s="209" t="s">
        <v>704</v>
      </c>
      <c r="J89" s="209"/>
      <c r="K89" s="209" t="s">
        <v>192</v>
      </c>
      <c r="N89" s="1147"/>
    </row>
    <row r="90" spans="1:21" ht="15.6" hidden="1" customHeight="1" x14ac:dyDescent="0.25">
      <c r="B90" s="249"/>
      <c r="C90" s="50"/>
      <c r="D90" s="199"/>
      <c r="E90" s="209" t="s">
        <v>255</v>
      </c>
      <c r="F90" s="199"/>
      <c r="G90" s="209" t="s">
        <v>255</v>
      </c>
      <c r="H90" s="199"/>
      <c r="I90" s="209" t="s">
        <v>255</v>
      </c>
      <c r="K90" s="209" t="s">
        <v>255</v>
      </c>
      <c r="M90" s="1133"/>
      <c r="N90" s="1147"/>
      <c r="O90" s="1133"/>
      <c r="P90" s="233"/>
      <c r="T90" s="230"/>
      <c r="U90" s="230"/>
    </row>
    <row r="91" spans="1:21" ht="15.6" hidden="1" customHeight="1" x14ac:dyDescent="0.25">
      <c r="I91" s="58"/>
      <c r="J91" s="200"/>
      <c r="K91" s="58"/>
      <c r="N91" s="1147"/>
    </row>
    <row r="92" spans="1:21" ht="15.6" hidden="1" customHeight="1" x14ac:dyDescent="0.25">
      <c r="B92" s="50" t="str">
        <f>"For the Year ended "&amp;Parameters!C11</f>
        <v>For the Year ended 30 June 2012</v>
      </c>
      <c r="E92" s="57"/>
      <c r="N92" s="1147"/>
    </row>
    <row r="93" spans="1:21" ht="15.6" hidden="1" customHeight="1" x14ac:dyDescent="0.25">
      <c r="E93" s="57"/>
      <c r="N93" s="1147"/>
    </row>
    <row r="94" spans="1:21" ht="15.6" hidden="1" customHeight="1" x14ac:dyDescent="0.25">
      <c r="B94" s="48" t="s">
        <v>126</v>
      </c>
      <c r="D94" s="199"/>
      <c r="E94" s="2060">
        <v>0</v>
      </c>
      <c r="F94" s="199"/>
      <c r="G94" s="2060">
        <v>0</v>
      </c>
      <c r="H94" s="199"/>
      <c r="I94" s="2060">
        <v>0</v>
      </c>
      <c r="K94" s="2060">
        <v>0</v>
      </c>
      <c r="N94" s="1147"/>
    </row>
    <row r="95" spans="1:21" ht="15.6" hidden="1" customHeight="1" x14ac:dyDescent="0.25">
      <c r="B95" s="48" t="s">
        <v>705</v>
      </c>
      <c r="D95" s="199"/>
      <c r="E95" s="2060">
        <v>0</v>
      </c>
      <c r="F95" s="199"/>
      <c r="G95" s="2060">
        <v>0</v>
      </c>
      <c r="H95" s="199"/>
      <c r="I95" s="2060">
        <v>0</v>
      </c>
      <c r="K95" s="2060">
        <v>0</v>
      </c>
      <c r="N95" s="1147"/>
    </row>
    <row r="96" spans="1:21" ht="15.6" hidden="1" customHeight="1" x14ac:dyDescent="0.25">
      <c r="B96" s="48" t="s">
        <v>706</v>
      </c>
      <c r="D96" s="199"/>
      <c r="E96" s="2060">
        <v>0</v>
      </c>
      <c r="F96" s="199"/>
      <c r="G96" s="2060">
        <v>0</v>
      </c>
      <c r="H96" s="199"/>
      <c r="I96" s="2060">
        <v>0</v>
      </c>
      <c r="K96" s="2060">
        <v>0</v>
      </c>
      <c r="N96" s="1147"/>
    </row>
    <row r="97" spans="1:19" ht="15.6" hidden="1" customHeight="1" x14ac:dyDescent="0.25">
      <c r="D97" s="199"/>
      <c r="E97" s="199"/>
      <c r="F97" s="199"/>
      <c r="G97" s="199"/>
      <c r="H97" s="199"/>
      <c r="N97" s="1147"/>
    </row>
    <row r="98" spans="1:19" ht="15.6" hidden="1" customHeight="1" thickBot="1" x14ac:dyDescent="0.3">
      <c r="B98" s="50" t="s">
        <v>707</v>
      </c>
      <c r="C98" s="50"/>
      <c r="D98" s="199"/>
      <c r="E98" s="202">
        <f>SUM(E94:E97)</f>
        <v>0</v>
      </c>
      <c r="F98" s="199"/>
      <c r="G98" s="202">
        <f>SUM(G94:G97)</f>
        <v>0</v>
      </c>
      <c r="H98" s="199"/>
      <c r="I98" s="202">
        <f>SUM(I94:I97)</f>
        <v>0</v>
      </c>
      <c r="K98" s="202">
        <f>SUM(K94:K97)</f>
        <v>0</v>
      </c>
      <c r="N98" s="1147"/>
    </row>
    <row r="99" spans="1:19" ht="15.6" hidden="1" customHeight="1" thickTop="1" x14ac:dyDescent="0.25">
      <c r="I99" s="58"/>
      <c r="J99" s="200"/>
      <c r="K99" s="58"/>
      <c r="N99" s="1147"/>
    </row>
    <row r="100" spans="1:19" ht="15.6" hidden="1" customHeight="1" x14ac:dyDescent="0.25">
      <c r="B100" s="50" t="str">
        <f>"For the Year ended "&amp;Parameters!C13</f>
        <v>For the Year ended 30 June 2011</v>
      </c>
      <c r="E100" s="57"/>
      <c r="N100" s="1147"/>
    </row>
    <row r="101" spans="1:19" ht="15.6" hidden="1" customHeight="1" x14ac:dyDescent="0.25">
      <c r="E101" s="57"/>
      <c r="N101" s="1147"/>
    </row>
    <row r="102" spans="1:19" ht="15.6" hidden="1" customHeight="1" x14ac:dyDescent="0.25">
      <c r="B102" s="48" t="s">
        <v>126</v>
      </c>
      <c r="D102" s="199"/>
      <c r="E102" s="2060">
        <v>0</v>
      </c>
      <c r="F102" s="199"/>
      <c r="G102" s="2060">
        <v>0</v>
      </c>
      <c r="H102" s="199"/>
      <c r="I102" s="2060">
        <v>0</v>
      </c>
      <c r="K102" s="2060">
        <v>0</v>
      </c>
      <c r="N102" s="1147"/>
    </row>
    <row r="103" spans="1:19" ht="15.6" hidden="1" customHeight="1" x14ac:dyDescent="0.25">
      <c r="B103" s="48" t="s">
        <v>705</v>
      </c>
      <c r="D103" s="199"/>
      <c r="E103" s="2060">
        <v>0</v>
      </c>
      <c r="F103" s="199"/>
      <c r="G103" s="2060">
        <v>0</v>
      </c>
      <c r="H103" s="199"/>
      <c r="I103" s="2060">
        <v>0</v>
      </c>
      <c r="K103" s="2060">
        <v>0</v>
      </c>
      <c r="N103" s="1147"/>
    </row>
    <row r="104" spans="1:19" ht="15.6" hidden="1" customHeight="1" x14ac:dyDescent="0.25">
      <c r="B104" s="48" t="s">
        <v>706</v>
      </c>
      <c r="D104" s="199"/>
      <c r="E104" s="2060">
        <v>0</v>
      </c>
      <c r="F104" s="199"/>
      <c r="G104" s="2060">
        <v>0</v>
      </c>
      <c r="H104" s="199"/>
      <c r="I104" s="2060">
        <v>0</v>
      </c>
      <c r="K104" s="2060">
        <v>0</v>
      </c>
      <c r="N104" s="1147"/>
    </row>
    <row r="105" spans="1:19" ht="15.6" hidden="1" customHeight="1" x14ac:dyDescent="0.25">
      <c r="D105" s="199"/>
      <c r="E105" s="199"/>
      <c r="F105" s="199"/>
      <c r="G105" s="199"/>
      <c r="H105" s="199"/>
      <c r="N105" s="1147"/>
    </row>
    <row r="106" spans="1:19" ht="15.6" hidden="1" customHeight="1" thickBot="1" x14ac:dyDescent="0.3">
      <c r="B106" s="50" t="s">
        <v>707</v>
      </c>
      <c r="C106" s="50"/>
      <c r="D106" s="199"/>
      <c r="E106" s="202">
        <f>SUM(E102:E105)</f>
        <v>0</v>
      </c>
      <c r="F106" s="199"/>
      <c r="G106" s="202">
        <f>SUM(G102:G105)</f>
        <v>0</v>
      </c>
      <c r="H106" s="199"/>
      <c r="I106" s="202">
        <f>SUM(I102:I105)</f>
        <v>0</v>
      </c>
      <c r="K106" s="202">
        <f>SUM(K102:K105)</f>
        <v>0</v>
      </c>
      <c r="N106" s="1147"/>
    </row>
    <row r="107" spans="1:19" ht="15.6" customHeight="1" x14ac:dyDescent="0.25">
      <c r="I107" s="58"/>
      <c r="J107" s="200"/>
      <c r="K107" s="58"/>
      <c r="N107" s="1147"/>
    </row>
    <row r="108" spans="1:19" x14ac:dyDescent="0.25">
      <c r="A108" s="201"/>
      <c r="B108" s="2985" t="s">
        <v>7769</v>
      </c>
      <c r="C108" s="2985"/>
      <c r="D108" s="2985"/>
      <c r="E108" s="2985"/>
      <c r="F108" s="2985"/>
      <c r="G108" s="2985"/>
      <c r="H108" s="2985"/>
      <c r="I108" s="2985"/>
      <c r="J108" s="2985"/>
      <c r="K108" s="2985"/>
      <c r="L108" s="201"/>
      <c r="N108" s="1147"/>
    </row>
    <row r="109" spans="1:19" ht="15.6" customHeight="1" x14ac:dyDescent="0.25">
      <c r="D109" s="199"/>
      <c r="E109" s="199"/>
      <c r="F109" s="199"/>
      <c r="G109" s="199"/>
      <c r="H109" s="199"/>
      <c r="N109" s="1147"/>
    </row>
    <row r="110" spans="1:19" ht="30.75" customHeight="1" x14ac:dyDescent="0.25">
      <c r="A110" s="201"/>
      <c r="B110" s="2861" t="s">
        <v>7768</v>
      </c>
      <c r="C110" s="2861"/>
      <c r="D110" s="2861"/>
      <c r="E110" s="2861"/>
      <c r="F110" s="2861"/>
      <c r="G110" s="2861"/>
      <c r="H110" s="2861"/>
      <c r="I110" s="2861"/>
      <c r="J110" s="2861"/>
      <c r="K110" s="2861"/>
      <c r="L110" s="201"/>
      <c r="M110" s="1482"/>
      <c r="N110" s="1147"/>
      <c r="O110" s="1133"/>
      <c r="P110" s="55"/>
      <c r="Q110" s="48"/>
      <c r="S110" s="48"/>
    </row>
    <row r="111" spans="1:19" ht="15.6" customHeight="1" x14ac:dyDescent="0.25">
      <c r="D111" s="199"/>
      <c r="E111" s="199"/>
      <c r="F111" s="199"/>
      <c r="G111" s="199"/>
      <c r="H111" s="199"/>
      <c r="M111" s="1133"/>
      <c r="N111" s="1147"/>
      <c r="O111" s="1133"/>
      <c r="P111" s="48"/>
      <c r="Q111" s="48"/>
      <c r="S111" s="48"/>
    </row>
    <row r="112" spans="1:19" ht="15.6" customHeight="1" x14ac:dyDescent="0.25">
      <c r="B112" s="229" t="s">
        <v>7631</v>
      </c>
      <c r="C112" s="50"/>
      <c r="I112" s="58"/>
      <c r="K112" s="58"/>
      <c r="N112" s="1147"/>
      <c r="R112" s="1128" t="s">
        <v>3857</v>
      </c>
    </row>
    <row r="113" spans="1:21" ht="15.6" customHeight="1" x14ac:dyDescent="0.25">
      <c r="I113" s="58"/>
      <c r="J113" s="200"/>
      <c r="K113" s="58"/>
      <c r="N113" s="1147"/>
    </row>
    <row r="114" spans="1:21" ht="30.95" customHeight="1" x14ac:dyDescent="0.25">
      <c r="A114" s="201"/>
      <c r="B114" s="2985" t="s">
        <v>7377</v>
      </c>
      <c r="C114" s="2985"/>
      <c r="D114" s="2985"/>
      <c r="E114" s="2985"/>
      <c r="F114" s="2985"/>
      <c r="G114" s="2985"/>
      <c r="H114" s="2985"/>
      <c r="I114" s="2985"/>
      <c r="J114" s="2985"/>
      <c r="K114" s="2985"/>
      <c r="L114" s="201"/>
      <c r="N114" s="1147"/>
    </row>
    <row r="115" spans="1:21" ht="15.6" customHeight="1" x14ac:dyDescent="0.25">
      <c r="D115" s="199"/>
      <c r="E115" s="199"/>
      <c r="F115" s="199"/>
      <c r="G115" s="199"/>
      <c r="H115" s="199"/>
      <c r="N115" s="1147"/>
    </row>
    <row r="116" spans="1:21" ht="15.6" customHeight="1" x14ac:dyDescent="0.25">
      <c r="B116" s="229" t="s">
        <v>7632</v>
      </c>
      <c r="C116" s="50"/>
      <c r="I116" s="58"/>
      <c r="K116" s="58"/>
      <c r="N116" s="1147"/>
      <c r="R116" s="1128" t="s">
        <v>3857</v>
      </c>
    </row>
    <row r="117" spans="1:21" ht="15.6" customHeight="1" x14ac:dyDescent="0.25">
      <c r="I117" s="58"/>
      <c r="J117" s="200"/>
      <c r="K117" s="58"/>
      <c r="N117" s="1147"/>
    </row>
    <row r="118" spans="1:21" ht="15.6" customHeight="1" x14ac:dyDescent="0.25">
      <c r="A118" s="201"/>
      <c r="B118" s="2985" t="s">
        <v>7378</v>
      </c>
      <c r="C118" s="2985"/>
      <c r="D118" s="2985"/>
      <c r="E118" s="2985"/>
      <c r="F118" s="2985"/>
      <c r="G118" s="2985"/>
      <c r="H118" s="2985"/>
      <c r="I118" s="2985"/>
      <c r="J118" s="2985"/>
      <c r="K118" s="2985"/>
      <c r="L118" s="201"/>
      <c r="N118" s="1147"/>
    </row>
    <row r="119" spans="1:21" ht="15.6" customHeight="1" x14ac:dyDescent="0.25">
      <c r="I119" s="58"/>
      <c r="J119" s="200"/>
      <c r="K119" s="58"/>
      <c r="N119" s="1147"/>
    </row>
    <row r="120" spans="1:21" ht="15.6" customHeight="1" x14ac:dyDescent="0.25">
      <c r="A120" s="50"/>
      <c r="D120" s="48"/>
      <c r="F120" s="48"/>
      <c r="H120" s="49"/>
      <c r="I120" s="1245">
        <f>Parameters!C17</f>
        <v>2012</v>
      </c>
      <c r="J120" s="1265"/>
      <c r="K120" s="1245">
        <f>Parameters!C19</f>
        <v>2011</v>
      </c>
      <c r="L120" s="49"/>
      <c r="M120" s="232" t="s">
        <v>803</v>
      </c>
      <c r="N120" s="1224">
        <f>Parameters!C21</f>
        <v>2010</v>
      </c>
      <c r="O120" s="1621"/>
      <c r="T120" s="230"/>
      <c r="U120" s="230"/>
    </row>
    <row r="121" spans="1:21" ht="15.6" customHeight="1" x14ac:dyDescent="0.25">
      <c r="B121" s="135"/>
      <c r="E121" s="135"/>
      <c r="G121" s="135"/>
      <c r="I121" s="1264" t="s">
        <v>255</v>
      </c>
      <c r="J121" s="200"/>
      <c r="K121" s="1264" t="s">
        <v>255</v>
      </c>
      <c r="L121" s="210"/>
      <c r="N121" s="1471"/>
      <c r="P121" s="48"/>
      <c r="Q121" s="48"/>
      <c r="S121" s="48"/>
    </row>
    <row r="122" spans="1:21" ht="15.6" customHeight="1" x14ac:dyDescent="0.25">
      <c r="I122" s="58"/>
      <c r="J122" s="200"/>
      <c r="K122" s="58"/>
      <c r="N122" s="1471"/>
      <c r="P122" s="48"/>
      <c r="Q122" s="48"/>
      <c r="S122" s="48"/>
    </row>
    <row r="123" spans="1:21" ht="15.6" customHeight="1" x14ac:dyDescent="0.25">
      <c r="B123" s="229" t="s">
        <v>7633</v>
      </c>
      <c r="C123" s="50"/>
      <c r="I123" s="58"/>
      <c r="K123" s="58"/>
      <c r="N123" s="1147"/>
      <c r="R123" s="1128" t="s">
        <v>3857</v>
      </c>
    </row>
    <row r="124" spans="1:21" ht="15.6" customHeight="1" x14ac:dyDescent="0.25">
      <c r="I124" s="58"/>
      <c r="J124" s="200"/>
      <c r="K124" s="58"/>
      <c r="N124" s="1147"/>
    </row>
    <row r="125" spans="1:21" ht="15.6" hidden="1" customHeight="1" x14ac:dyDescent="0.25">
      <c r="A125" s="201"/>
      <c r="B125" s="2900" t="s">
        <v>1647</v>
      </c>
      <c r="C125" s="2900"/>
      <c r="D125" s="2900"/>
      <c r="E125" s="2900"/>
      <c r="F125" s="2900"/>
      <c r="G125" s="2900"/>
      <c r="H125" s="2900"/>
      <c r="I125" s="2900"/>
      <c r="J125" s="2900"/>
      <c r="K125" s="2900"/>
      <c r="L125" s="201"/>
      <c r="M125" s="1482"/>
      <c r="N125" s="1147"/>
      <c r="O125" s="1133"/>
      <c r="P125" s="55"/>
      <c r="Q125" s="48"/>
      <c r="S125" s="48"/>
    </row>
    <row r="126" spans="1:21" ht="15.6" hidden="1" customHeight="1" x14ac:dyDescent="0.25">
      <c r="A126" s="201"/>
      <c r="B126" s="201"/>
      <c r="C126" s="201"/>
      <c r="D126" s="201"/>
      <c r="E126" s="201"/>
      <c r="F126" s="201"/>
      <c r="G126" s="201"/>
      <c r="H126" s="201"/>
      <c r="I126" s="58"/>
      <c r="K126" s="58"/>
      <c r="L126" s="201"/>
    </row>
    <row r="127" spans="1:21" ht="30.95" customHeight="1" x14ac:dyDescent="0.25">
      <c r="A127" s="201"/>
      <c r="B127" s="2861" t="s">
        <v>7350</v>
      </c>
      <c r="C127" s="2861"/>
      <c r="D127" s="2861"/>
      <c r="E127" s="2861"/>
      <c r="F127" s="2861"/>
      <c r="G127" s="2861"/>
      <c r="H127" s="201"/>
      <c r="I127" s="58"/>
      <c r="K127" s="58"/>
      <c r="L127" s="201"/>
      <c r="N127" s="1147"/>
    </row>
    <row r="128" spans="1:21" ht="15.6" customHeight="1" x14ac:dyDescent="0.25">
      <c r="I128" s="58"/>
      <c r="J128" s="200"/>
      <c r="K128" s="58"/>
      <c r="N128" s="1147"/>
    </row>
    <row r="129" spans="1:19" ht="15.6" customHeight="1" x14ac:dyDescent="0.25">
      <c r="A129" s="50"/>
      <c r="B129" s="135" t="s">
        <v>708</v>
      </c>
      <c r="C129" s="135" t="s">
        <v>709</v>
      </c>
      <c r="D129" s="48"/>
      <c r="E129" s="135" t="s">
        <v>708</v>
      </c>
      <c r="F129" s="48"/>
      <c r="G129" s="135" t="s">
        <v>602</v>
      </c>
      <c r="H129" s="48"/>
      <c r="I129" s="135" t="s">
        <v>710</v>
      </c>
      <c r="J129" s="49"/>
      <c r="K129" s="135" t="s">
        <v>710</v>
      </c>
      <c r="L129" s="135"/>
      <c r="N129" s="281"/>
    </row>
    <row r="130" spans="1:19" ht="15.6" customHeight="1" x14ac:dyDescent="0.25">
      <c r="B130" s="135" t="s">
        <v>711</v>
      </c>
      <c r="C130" s="135" t="s">
        <v>712</v>
      </c>
      <c r="E130" s="135" t="s">
        <v>713</v>
      </c>
      <c r="G130" s="135" t="s">
        <v>713</v>
      </c>
      <c r="I130" s="135" t="s">
        <v>714</v>
      </c>
      <c r="J130" s="57"/>
      <c r="K130" s="135" t="s">
        <v>714</v>
      </c>
      <c r="L130" s="135"/>
      <c r="N130" s="1147"/>
    </row>
    <row r="131" spans="1:19" ht="15.6" customHeight="1" x14ac:dyDescent="0.25">
      <c r="I131" s="58"/>
      <c r="J131" s="200"/>
      <c r="K131" s="58"/>
      <c r="N131" s="1147"/>
    </row>
    <row r="132" spans="1:19" ht="15.6" customHeight="1" x14ac:dyDescent="0.25">
      <c r="A132" s="201"/>
      <c r="B132" s="48" t="s">
        <v>7351</v>
      </c>
      <c r="C132" s="48" t="s">
        <v>7346</v>
      </c>
      <c r="G132" s="57" t="s">
        <v>7349</v>
      </c>
      <c r="I132" s="58">
        <v>8735</v>
      </c>
      <c r="J132" s="200"/>
      <c r="K132" s="58">
        <v>0</v>
      </c>
      <c r="N132" s="1147"/>
    </row>
    <row r="133" spans="1:19" ht="15.6" customHeight="1" x14ac:dyDescent="0.25">
      <c r="A133" s="201"/>
      <c r="B133" s="48" t="s">
        <v>8192</v>
      </c>
      <c r="C133" s="48" t="s">
        <v>8193</v>
      </c>
      <c r="G133" s="57" t="s">
        <v>2075</v>
      </c>
      <c r="I133" s="58">
        <v>29780.3</v>
      </c>
      <c r="J133" s="200"/>
      <c r="K133" s="58"/>
      <c r="N133" s="1147"/>
    </row>
    <row r="134" spans="1:19" ht="15.6" customHeight="1" x14ac:dyDescent="0.25">
      <c r="A134" s="201"/>
      <c r="B134" s="48" t="s">
        <v>8194</v>
      </c>
      <c r="C134" s="48" t="s">
        <v>8195</v>
      </c>
      <c r="G134" s="57" t="s">
        <v>2075</v>
      </c>
      <c r="I134" s="58">
        <v>5899.5</v>
      </c>
      <c r="J134" s="200"/>
      <c r="K134" s="58"/>
      <c r="N134" s="1147"/>
    </row>
    <row r="135" spans="1:19" ht="15.6" hidden="1" customHeight="1" x14ac:dyDescent="0.25">
      <c r="A135" s="201"/>
      <c r="I135" s="58"/>
      <c r="J135" s="200"/>
      <c r="K135" s="58"/>
      <c r="N135" s="1147"/>
    </row>
    <row r="136" spans="1:19" ht="15.6" customHeight="1" x14ac:dyDescent="0.25">
      <c r="B136" s="48" t="s">
        <v>7352</v>
      </c>
      <c r="C136" s="48" t="s">
        <v>7346</v>
      </c>
      <c r="G136" s="57" t="s">
        <v>7349</v>
      </c>
      <c r="I136" s="58">
        <v>4540</v>
      </c>
      <c r="J136" s="200"/>
      <c r="K136" s="58">
        <v>0</v>
      </c>
      <c r="N136" s="1147"/>
    </row>
    <row r="137" spans="1:19" ht="15.6" hidden="1" customHeight="1" x14ac:dyDescent="0.25">
      <c r="B137" s="2046" t="s">
        <v>2183</v>
      </c>
      <c r="C137" s="2046" t="s">
        <v>2602</v>
      </c>
      <c r="D137" s="2077"/>
      <c r="F137" s="2077"/>
      <c r="G137" s="2077" t="s">
        <v>2075</v>
      </c>
      <c r="H137" s="2077"/>
      <c r="I137" s="2043">
        <v>0</v>
      </c>
      <c r="J137" s="2092"/>
      <c r="K137" s="2043">
        <v>0</v>
      </c>
      <c r="N137" s="1147"/>
    </row>
    <row r="138" spans="1:19" ht="15.6" customHeight="1" x14ac:dyDescent="0.25">
      <c r="I138" s="58"/>
      <c r="J138" s="200"/>
      <c r="K138" s="58"/>
      <c r="N138" s="1147"/>
    </row>
    <row r="139" spans="1:19" ht="15.6" customHeight="1" thickBot="1" x14ac:dyDescent="0.3">
      <c r="B139" s="50" t="s">
        <v>715</v>
      </c>
      <c r="I139" s="202">
        <f>SUM(I132:I138)</f>
        <v>48954.8</v>
      </c>
      <c r="K139" s="202">
        <f>SUM(K132:K138)</f>
        <v>0</v>
      </c>
      <c r="N139" s="1147"/>
    </row>
    <row r="140" spans="1:19" ht="15.6" customHeight="1" thickTop="1" x14ac:dyDescent="0.25">
      <c r="I140" s="58"/>
      <c r="J140" s="200"/>
      <c r="K140" s="58"/>
      <c r="N140" s="1147"/>
    </row>
    <row r="141" spans="1:19" ht="15.6" hidden="1" customHeight="1" x14ac:dyDescent="0.25">
      <c r="A141" s="781"/>
      <c r="B141" s="2899" t="s">
        <v>1253</v>
      </c>
      <c r="C141" s="2899"/>
      <c r="D141" s="2899"/>
      <c r="E141" s="2899"/>
      <c r="F141" s="2899"/>
      <c r="G141" s="2899"/>
      <c r="H141" s="781"/>
      <c r="I141" s="779"/>
      <c r="J141" s="775"/>
      <c r="K141" s="779"/>
      <c r="L141" s="781"/>
      <c r="M141" s="1133"/>
      <c r="N141" s="1147"/>
      <c r="O141" s="1133"/>
      <c r="P141" s="48"/>
      <c r="Q141" s="48"/>
      <c r="S141" s="48"/>
    </row>
    <row r="142" spans="1:19" ht="15.6" hidden="1" customHeight="1" x14ac:dyDescent="0.25">
      <c r="A142" s="767"/>
      <c r="B142" s="767"/>
      <c r="C142" s="767"/>
      <c r="D142" s="769"/>
      <c r="E142" s="767"/>
      <c r="F142" s="769"/>
      <c r="G142" s="769"/>
      <c r="H142" s="769"/>
      <c r="I142" s="779"/>
      <c r="J142" s="770"/>
      <c r="K142" s="779"/>
      <c r="L142" s="767"/>
      <c r="M142" s="1133"/>
      <c r="N142" s="1147"/>
      <c r="O142" s="1133"/>
      <c r="P142" s="48"/>
      <c r="Q142" s="48"/>
      <c r="S142" s="48"/>
    </row>
    <row r="143" spans="1:19" ht="30.95" customHeight="1" x14ac:dyDescent="0.25">
      <c r="A143" s="201"/>
      <c r="B143" s="2861" t="s">
        <v>716</v>
      </c>
      <c r="C143" s="2861"/>
      <c r="D143" s="2861"/>
      <c r="E143" s="2861"/>
      <c r="F143" s="2861"/>
      <c r="G143" s="2861"/>
      <c r="H143" s="201"/>
      <c r="I143" s="58"/>
      <c r="K143" s="58"/>
      <c r="L143" s="201"/>
      <c r="N143" s="1147"/>
    </row>
    <row r="144" spans="1:19" ht="15.6" customHeight="1" x14ac:dyDescent="0.25">
      <c r="I144" s="58"/>
      <c r="J144" s="200"/>
      <c r="K144" s="58"/>
      <c r="N144" s="1147"/>
    </row>
    <row r="145" spans="1:21" ht="15.6" hidden="1" customHeight="1" x14ac:dyDescent="0.25">
      <c r="A145" s="781"/>
      <c r="B145" s="2899" t="s">
        <v>2211</v>
      </c>
      <c r="C145" s="2899"/>
      <c r="D145" s="2899"/>
      <c r="E145" s="2899"/>
      <c r="F145" s="2899"/>
      <c r="G145" s="2899"/>
      <c r="H145" s="781"/>
      <c r="I145" s="779"/>
      <c r="J145" s="775"/>
      <c r="K145" s="779"/>
      <c r="L145" s="781"/>
      <c r="M145" s="1133"/>
      <c r="N145" s="1147"/>
      <c r="O145" s="1133"/>
      <c r="P145" s="48"/>
      <c r="Q145" s="48"/>
      <c r="S145" s="48"/>
    </row>
    <row r="146" spans="1:21" ht="15.6" hidden="1" customHeight="1" x14ac:dyDescent="0.25">
      <c r="A146" s="767"/>
      <c r="B146" s="767"/>
      <c r="C146" s="767"/>
      <c r="D146" s="769"/>
      <c r="E146" s="767"/>
      <c r="F146" s="769"/>
      <c r="G146" s="769"/>
      <c r="H146" s="769"/>
      <c r="I146" s="779"/>
      <c r="J146" s="770"/>
      <c r="K146" s="779"/>
      <c r="L146" s="767"/>
      <c r="M146" s="1133"/>
      <c r="N146" s="1147"/>
      <c r="O146" s="1133"/>
      <c r="P146" s="48"/>
      <c r="Q146" s="48"/>
      <c r="S146" s="48"/>
    </row>
    <row r="147" spans="1:21" ht="15.6" hidden="1" customHeight="1" x14ac:dyDescent="0.25">
      <c r="B147" s="229" t="s">
        <v>6891</v>
      </c>
      <c r="C147" s="50"/>
      <c r="I147" s="58"/>
      <c r="K147" s="58"/>
      <c r="M147" s="1133"/>
      <c r="N147" s="1147"/>
      <c r="O147" s="1133"/>
      <c r="P147" s="48"/>
      <c r="Q147" s="48"/>
      <c r="R147" s="1128" t="s">
        <v>3857</v>
      </c>
      <c r="S147" s="48"/>
    </row>
    <row r="148" spans="1:21" ht="15.6" hidden="1" customHeight="1" x14ac:dyDescent="0.25">
      <c r="I148" s="58"/>
      <c r="J148" s="200"/>
      <c r="K148" s="58"/>
      <c r="M148" s="1133"/>
      <c r="N148" s="1147"/>
      <c r="O148" s="1133"/>
      <c r="P148" s="48"/>
      <c r="Q148" s="48"/>
      <c r="S148" s="48"/>
    </row>
    <row r="149" spans="1:21" ht="62.1" hidden="1" customHeight="1" x14ac:dyDescent="0.25">
      <c r="A149" s="201"/>
      <c r="B149" s="2900" t="s">
        <v>1254</v>
      </c>
      <c r="C149" s="2900"/>
      <c r="D149" s="2900"/>
      <c r="E149" s="2900"/>
      <c r="F149" s="2900"/>
      <c r="G149" s="2900"/>
      <c r="H149" s="201"/>
      <c r="I149" s="58"/>
      <c r="K149" s="58"/>
      <c r="L149" s="201"/>
      <c r="M149" s="1482" t="s">
        <v>1251</v>
      </c>
      <c r="N149" s="1147"/>
      <c r="O149" s="1133"/>
      <c r="P149" s="48"/>
      <c r="Q149" s="48"/>
      <c r="S149" s="48"/>
    </row>
    <row r="150" spans="1:21" ht="15.6" hidden="1" customHeight="1" x14ac:dyDescent="0.25">
      <c r="I150" s="58"/>
      <c r="J150" s="200"/>
      <c r="K150" s="58"/>
      <c r="M150" s="1133"/>
      <c r="N150" s="1147"/>
      <c r="O150" s="1133"/>
      <c r="P150" s="48"/>
      <c r="Q150" s="48"/>
      <c r="S150" s="48"/>
    </row>
    <row r="151" spans="1:21" ht="15.6" customHeight="1" x14ac:dyDescent="0.25">
      <c r="A151" s="50"/>
      <c r="D151" s="48"/>
      <c r="F151" s="48"/>
      <c r="H151" s="1264"/>
      <c r="I151" s="1263">
        <f>Parameters!C17</f>
        <v>2012</v>
      </c>
      <c r="J151" s="1264"/>
      <c r="K151" s="1263">
        <f>Parameters!C19</f>
        <v>2011</v>
      </c>
      <c r="M151" s="232" t="s">
        <v>803</v>
      </c>
      <c r="N151" s="1224">
        <f>Parameters!C21</f>
        <v>2010</v>
      </c>
      <c r="O151" s="1621"/>
      <c r="P151" s="1267"/>
      <c r="T151" s="230"/>
      <c r="U151" s="230"/>
    </row>
    <row r="152" spans="1:21" ht="15.6" customHeight="1" x14ac:dyDescent="0.25">
      <c r="I152" s="1264" t="s">
        <v>255</v>
      </c>
      <c r="J152" s="200"/>
      <c r="K152" s="1264" t="s">
        <v>255</v>
      </c>
      <c r="L152" s="210"/>
      <c r="M152" s="1133"/>
      <c r="N152" s="1147"/>
      <c r="O152" s="1133"/>
      <c r="P152" s="233"/>
      <c r="T152" s="230"/>
      <c r="U152" s="230"/>
    </row>
    <row r="153" spans="1:21" ht="15.6" customHeight="1" x14ac:dyDescent="0.25">
      <c r="J153" s="57"/>
      <c r="M153" s="1133"/>
      <c r="N153" s="1147"/>
      <c r="O153" s="1133"/>
      <c r="P153" s="233"/>
      <c r="T153" s="230"/>
      <c r="U153" s="230"/>
    </row>
    <row r="154" spans="1:21" ht="15.6" customHeight="1" x14ac:dyDescent="0.25">
      <c r="A154" s="277">
        <v>49</v>
      </c>
      <c r="B154" s="275" t="s">
        <v>62</v>
      </c>
      <c r="C154" s="201"/>
      <c r="D154" s="201"/>
      <c r="E154" s="201"/>
      <c r="F154" s="201"/>
      <c r="G154" s="201"/>
      <c r="H154" s="201"/>
      <c r="I154" s="58"/>
      <c r="K154" s="58"/>
      <c r="L154" s="201"/>
      <c r="R154" s="1128" t="s">
        <v>3520</v>
      </c>
    </row>
    <row r="155" spans="1:21" ht="15.6" customHeight="1" x14ac:dyDescent="0.25">
      <c r="A155" s="201"/>
      <c r="B155" s="201"/>
      <c r="C155" s="201"/>
      <c r="D155" s="201"/>
      <c r="E155" s="201"/>
      <c r="F155" s="201"/>
      <c r="G155" s="201"/>
      <c r="H155" s="201"/>
      <c r="I155" s="58"/>
      <c r="K155" s="58"/>
      <c r="L155" s="201"/>
    </row>
    <row r="156" spans="1:21" ht="15.6" hidden="1" customHeight="1" thickBot="1" x14ac:dyDescent="0.3">
      <c r="A156" s="201"/>
      <c r="B156" s="292" t="s">
        <v>7634</v>
      </c>
      <c r="C156" s="201"/>
      <c r="D156" s="201"/>
      <c r="E156" s="201"/>
      <c r="F156" s="201"/>
      <c r="G156" s="201"/>
      <c r="H156" s="201"/>
      <c r="I156" s="226">
        <f>SUM(I157:I163)</f>
        <v>0</v>
      </c>
      <c r="J156" s="58"/>
      <c r="K156" s="226">
        <f>SUM(K157:K163)</f>
        <v>0</v>
      </c>
      <c r="L156" s="201"/>
      <c r="M156" s="1134"/>
      <c r="N156" s="1147"/>
      <c r="O156" s="1133"/>
      <c r="P156" s="55"/>
      <c r="Q156" s="48"/>
      <c r="R156" s="1128" t="s">
        <v>3857</v>
      </c>
      <c r="S156" s="48"/>
    </row>
    <row r="157" spans="1:21" ht="15.6" hidden="1" customHeight="1" thickTop="1" x14ac:dyDescent="0.25">
      <c r="A157" s="201"/>
      <c r="B157" s="201"/>
      <c r="C157" s="201"/>
      <c r="D157" s="201"/>
      <c r="E157" s="201"/>
      <c r="F157" s="201"/>
      <c r="G157" s="201"/>
      <c r="H157" s="201"/>
      <c r="I157" s="320"/>
      <c r="K157" s="320"/>
      <c r="L157" s="201"/>
      <c r="P157" s="1133"/>
      <c r="Q157" s="1133"/>
      <c r="S157" s="1133"/>
    </row>
    <row r="158" spans="1:21" ht="15.6" hidden="1" customHeight="1" x14ac:dyDescent="0.25">
      <c r="A158" s="201"/>
      <c r="B158" s="2170" t="s">
        <v>4468</v>
      </c>
      <c r="C158" s="2170"/>
      <c r="D158" s="2170"/>
      <c r="E158" s="2170"/>
      <c r="F158" s="2170"/>
      <c r="G158" s="2170"/>
      <c r="H158" s="2170"/>
      <c r="I158" s="2043">
        <v>0</v>
      </c>
      <c r="J158" s="2060"/>
      <c r="K158" s="2043">
        <v>0</v>
      </c>
      <c r="L158" s="201"/>
      <c r="P158" s="1133"/>
      <c r="Q158" s="1133"/>
      <c r="S158" s="1133"/>
    </row>
    <row r="159" spans="1:21" ht="30.95" hidden="1" customHeight="1" x14ac:dyDescent="0.25">
      <c r="A159" s="201"/>
      <c r="B159" s="2879" t="s">
        <v>4467</v>
      </c>
      <c r="C159" s="2879"/>
      <c r="D159" s="2879"/>
      <c r="E159" s="2879"/>
      <c r="F159" s="2879"/>
      <c r="G159" s="2879"/>
      <c r="H159" s="2170"/>
      <c r="I159" s="2043"/>
      <c r="J159" s="2060"/>
      <c r="K159" s="2043"/>
      <c r="L159" s="201"/>
      <c r="M159" s="1134"/>
      <c r="N159" s="1147"/>
      <c r="O159" s="1133"/>
      <c r="P159" s="55"/>
      <c r="Q159" s="48"/>
      <c r="S159" s="48"/>
    </row>
    <row r="160" spans="1:21" ht="15.6" hidden="1" customHeight="1" x14ac:dyDescent="0.25">
      <c r="A160" s="201"/>
      <c r="B160" s="2170"/>
      <c r="C160" s="2170"/>
      <c r="D160" s="2170"/>
      <c r="E160" s="2170"/>
      <c r="F160" s="2170"/>
      <c r="G160" s="2170"/>
      <c r="H160" s="2170"/>
      <c r="I160" s="2043"/>
      <c r="J160" s="2060"/>
      <c r="K160" s="2043"/>
      <c r="L160" s="201"/>
      <c r="M160" s="1134"/>
      <c r="N160" s="1147"/>
      <c r="O160" s="1133"/>
      <c r="P160" s="55"/>
      <c r="Q160" s="48"/>
      <c r="S160" s="48"/>
    </row>
    <row r="161" spans="1:19" ht="15.6" hidden="1" customHeight="1" x14ac:dyDescent="0.25">
      <c r="A161" s="201"/>
      <c r="B161" s="2170" t="s">
        <v>4469</v>
      </c>
      <c r="C161" s="2170"/>
      <c r="D161" s="2170"/>
      <c r="E161" s="2170"/>
      <c r="F161" s="2170"/>
      <c r="G161" s="2170"/>
      <c r="H161" s="2170"/>
      <c r="I161" s="2043">
        <v>0</v>
      </c>
      <c r="J161" s="2060"/>
      <c r="K161" s="2043">
        <v>0</v>
      </c>
      <c r="L161" s="201"/>
      <c r="P161" s="1133"/>
      <c r="Q161" s="1133"/>
      <c r="S161" s="1133"/>
    </row>
    <row r="162" spans="1:19" ht="30.95" hidden="1" customHeight="1" x14ac:dyDescent="0.25">
      <c r="A162" s="201"/>
      <c r="B162" s="2879" t="s">
        <v>4470</v>
      </c>
      <c r="C162" s="2879"/>
      <c r="D162" s="2879"/>
      <c r="E162" s="2879"/>
      <c r="F162" s="2879"/>
      <c r="G162" s="2879"/>
      <c r="H162" s="2170"/>
      <c r="I162" s="2209"/>
      <c r="J162" s="2060"/>
      <c r="K162" s="2209"/>
      <c r="L162" s="201"/>
      <c r="M162" s="1134"/>
      <c r="N162" s="1147"/>
      <c r="O162" s="1133"/>
      <c r="P162" s="55"/>
      <c r="Q162" s="48"/>
      <c r="S162" s="48"/>
    </row>
    <row r="163" spans="1:19" ht="15.6" hidden="1" customHeight="1" x14ac:dyDescent="0.25">
      <c r="A163" s="201"/>
      <c r="B163" s="201"/>
      <c r="C163" s="201"/>
      <c r="D163" s="201"/>
      <c r="E163" s="201"/>
      <c r="F163" s="201"/>
      <c r="G163" s="201"/>
      <c r="H163" s="201"/>
      <c r="I163" s="58"/>
      <c r="K163" s="58"/>
      <c r="L163" s="201"/>
      <c r="M163" s="1134"/>
      <c r="N163" s="1147"/>
      <c r="O163" s="1133"/>
      <c r="P163" s="55"/>
      <c r="Q163" s="48"/>
      <c r="S163" s="48"/>
    </row>
    <row r="164" spans="1:19" ht="15.6" customHeight="1" thickBot="1" x14ac:dyDescent="0.3">
      <c r="A164" s="201"/>
      <c r="B164" s="292" t="s">
        <v>6892</v>
      </c>
      <c r="C164" s="201"/>
      <c r="D164" s="201"/>
      <c r="E164" s="201"/>
      <c r="F164" s="201"/>
      <c r="G164" s="201"/>
      <c r="H164" s="201"/>
      <c r="I164" s="226">
        <f>SUM(I165:I240)</f>
        <v>3423454.69</v>
      </c>
      <c r="J164" s="58"/>
      <c r="K164" s="226">
        <f>SUM(K165:K240)</f>
        <v>2250476.94</v>
      </c>
      <c r="L164" s="201"/>
      <c r="M164" s="1644" t="s">
        <v>1255</v>
      </c>
      <c r="N164" s="1147"/>
      <c r="O164" s="1133"/>
      <c r="P164" s="55"/>
      <c r="Q164" s="48"/>
      <c r="R164" s="1128" t="s">
        <v>3857</v>
      </c>
      <c r="S164" s="48"/>
    </row>
    <row r="165" spans="1:19" ht="15.6" customHeight="1" thickTop="1" x14ac:dyDescent="0.25">
      <c r="A165" s="201"/>
      <c r="B165" s="201"/>
      <c r="C165" s="201"/>
      <c r="D165" s="201"/>
      <c r="E165" s="201"/>
      <c r="F165" s="201"/>
      <c r="G165" s="201"/>
      <c r="H165" s="201"/>
      <c r="I165" s="320"/>
      <c r="K165" s="320"/>
      <c r="L165" s="201"/>
    </row>
    <row r="166" spans="1:19" ht="15.6" customHeight="1" x14ac:dyDescent="0.25">
      <c r="A166" s="201"/>
      <c r="B166" s="201" t="s">
        <v>7414</v>
      </c>
      <c r="C166" s="201"/>
      <c r="D166" s="201"/>
      <c r="E166" s="201"/>
      <c r="F166" s="201"/>
      <c r="G166" s="201"/>
      <c r="H166" s="201"/>
      <c r="I166" s="58">
        <v>100000</v>
      </c>
      <c r="K166" s="58">
        <v>0</v>
      </c>
      <c r="L166" s="201"/>
    </row>
    <row r="167" spans="1:19" ht="28.5" customHeight="1" x14ac:dyDescent="0.25">
      <c r="A167" s="201"/>
      <c r="B167" s="2861" t="s">
        <v>7415</v>
      </c>
      <c r="C167" s="2861"/>
      <c r="D167" s="2861"/>
      <c r="E167" s="2861"/>
      <c r="F167" s="2861"/>
      <c r="G167" s="2861"/>
      <c r="H167" s="2547"/>
      <c r="I167" s="2547"/>
      <c r="J167" s="2547"/>
      <c r="K167" s="2547"/>
      <c r="L167" s="201"/>
    </row>
    <row r="168" spans="1:19" ht="14.25" customHeight="1" x14ac:dyDescent="0.25">
      <c r="A168" s="201"/>
      <c r="B168" s="2730"/>
      <c r="C168" s="2730"/>
      <c r="D168" s="2730"/>
      <c r="E168" s="2730"/>
      <c r="F168" s="2730"/>
      <c r="G168" s="2730"/>
      <c r="H168" s="2547"/>
      <c r="I168" s="2547"/>
      <c r="J168" s="2547"/>
      <c r="K168" s="2547"/>
      <c r="L168" s="201"/>
    </row>
    <row r="169" spans="1:19" x14ac:dyDescent="0.25">
      <c r="A169" s="201"/>
      <c r="B169" s="2730" t="s">
        <v>8138</v>
      </c>
      <c r="C169" s="2730"/>
      <c r="D169" s="2730"/>
      <c r="E169" s="2730"/>
      <c r="F169" s="2730"/>
      <c r="G169" s="2730"/>
      <c r="H169" s="2547"/>
      <c r="I169" s="2547">
        <f>K169</f>
        <v>2250476.94</v>
      </c>
      <c r="J169" s="2547"/>
      <c r="K169" s="2547">
        <f>1328517.04+921959.9</f>
        <v>2250476.94</v>
      </c>
      <c r="L169" s="201"/>
    </row>
    <row r="170" spans="1:19" ht="30" customHeight="1" x14ac:dyDescent="0.25">
      <c r="A170" s="201"/>
      <c r="B170" s="2861" t="s">
        <v>8139</v>
      </c>
      <c r="C170" s="2861"/>
      <c r="D170" s="2861"/>
      <c r="E170" s="2861"/>
      <c r="F170" s="2861"/>
      <c r="G170" s="2861"/>
      <c r="H170" s="201"/>
      <c r="I170" s="320"/>
      <c r="K170" s="320"/>
      <c r="L170" s="201"/>
    </row>
    <row r="171" spans="1:19" x14ac:dyDescent="0.25">
      <c r="A171" s="201"/>
      <c r="B171" s="2751"/>
      <c r="C171" s="2751"/>
      <c r="D171" s="2751"/>
      <c r="E171" s="2751"/>
      <c r="F171" s="2751"/>
      <c r="G171" s="2751"/>
      <c r="H171" s="201"/>
      <c r="I171" s="320"/>
      <c r="K171" s="320"/>
      <c r="L171" s="201"/>
    </row>
    <row r="172" spans="1:19" ht="15.6" hidden="1" customHeight="1" x14ac:dyDescent="0.25">
      <c r="A172" s="201"/>
      <c r="B172" s="201" t="s">
        <v>8188</v>
      </c>
      <c r="C172" s="201"/>
      <c r="D172" s="201"/>
      <c r="E172" s="201"/>
      <c r="F172" s="201"/>
      <c r="G172" s="201"/>
      <c r="H172" s="201"/>
      <c r="I172" s="58">
        <f>727790+187.75</f>
        <v>727977.75</v>
      </c>
      <c r="K172" s="58">
        <v>0</v>
      </c>
      <c r="L172" s="201"/>
    </row>
    <row r="173" spans="1:19" hidden="1" x14ac:dyDescent="0.25">
      <c r="A173" s="201"/>
      <c r="B173" s="2861" t="s">
        <v>8189</v>
      </c>
      <c r="C173" s="2861"/>
      <c r="D173" s="2861"/>
      <c r="E173" s="2861"/>
      <c r="F173" s="2861"/>
      <c r="G173" s="2861"/>
      <c r="H173" s="2547"/>
      <c r="I173" s="2547"/>
      <c r="J173" s="2547"/>
      <c r="K173" s="2547"/>
      <c r="L173" s="201"/>
    </row>
    <row r="174" spans="1:19" ht="15.6" hidden="1" customHeight="1" x14ac:dyDescent="0.25">
      <c r="A174" s="201"/>
      <c r="B174" s="201"/>
      <c r="C174" s="201"/>
      <c r="D174" s="201"/>
      <c r="E174" s="201"/>
      <c r="F174" s="201"/>
      <c r="G174" s="201"/>
      <c r="H174" s="201"/>
      <c r="I174" s="320"/>
      <c r="K174" s="320"/>
      <c r="L174" s="201"/>
    </row>
    <row r="175" spans="1:19" ht="15.6" customHeight="1" x14ac:dyDescent="0.25">
      <c r="A175" s="201"/>
      <c r="B175" s="201" t="s">
        <v>8215</v>
      </c>
      <c r="C175" s="201"/>
      <c r="D175" s="201"/>
      <c r="E175" s="201"/>
      <c r="F175" s="201"/>
      <c r="G175" s="201"/>
      <c r="H175" s="201"/>
      <c r="I175" s="58">
        <v>270000</v>
      </c>
      <c r="K175" s="58">
        <v>0</v>
      </c>
      <c r="L175" s="201"/>
    </row>
    <row r="176" spans="1:19" x14ac:dyDescent="0.25">
      <c r="A176" s="201"/>
      <c r="B176" s="2861" t="s">
        <v>8190</v>
      </c>
      <c r="C176" s="2861"/>
      <c r="D176" s="2861"/>
      <c r="E176" s="2861"/>
      <c r="F176" s="2861"/>
      <c r="G176" s="2861"/>
      <c r="H176" s="2547"/>
      <c r="I176" s="2547"/>
      <c r="J176" s="2547"/>
      <c r="K176" s="2547"/>
      <c r="L176" s="201"/>
    </row>
    <row r="177" spans="1:19" ht="15.6" customHeight="1" x14ac:dyDescent="0.25">
      <c r="A177" s="201"/>
      <c r="B177" s="201"/>
      <c r="C177" s="201"/>
      <c r="D177" s="201"/>
      <c r="E177" s="201"/>
      <c r="F177" s="201"/>
      <c r="G177" s="201"/>
      <c r="H177" s="201"/>
      <c r="I177" s="320"/>
      <c r="K177" s="320"/>
      <c r="L177" s="201"/>
    </row>
    <row r="178" spans="1:19" ht="15.6" customHeight="1" x14ac:dyDescent="0.25">
      <c r="A178" s="201"/>
      <c r="B178" s="201" t="s">
        <v>8216</v>
      </c>
      <c r="C178" s="201"/>
      <c r="D178" s="201"/>
      <c r="E178" s="201"/>
      <c r="F178" s="201"/>
      <c r="G178" s="201"/>
      <c r="H178" s="201"/>
      <c r="I178" s="58">
        <v>75000</v>
      </c>
      <c r="K178" s="58">
        <v>0</v>
      </c>
      <c r="L178" s="201"/>
    </row>
    <row r="179" spans="1:19" x14ac:dyDescent="0.25">
      <c r="A179" s="201"/>
      <c r="B179" s="2861" t="s">
        <v>8191</v>
      </c>
      <c r="C179" s="2861"/>
      <c r="D179" s="2861"/>
      <c r="E179" s="2861"/>
      <c r="F179" s="2861"/>
      <c r="G179" s="2861"/>
      <c r="H179" s="2547"/>
      <c r="I179" s="2547"/>
      <c r="J179" s="2547"/>
      <c r="K179" s="2547"/>
      <c r="L179" s="201"/>
    </row>
    <row r="180" spans="1:19" ht="15.6" customHeight="1" x14ac:dyDescent="0.25">
      <c r="A180" s="201"/>
      <c r="B180" s="201"/>
      <c r="C180" s="201"/>
      <c r="D180" s="201"/>
      <c r="E180" s="201"/>
      <c r="F180" s="201"/>
      <c r="G180" s="201"/>
      <c r="H180" s="201"/>
      <c r="I180" s="320"/>
      <c r="K180" s="320"/>
      <c r="L180" s="201"/>
    </row>
    <row r="181" spans="1:19" ht="15.6" hidden="1" customHeight="1" x14ac:dyDescent="0.25">
      <c r="A181" s="201"/>
      <c r="B181" s="2170" t="s">
        <v>2634</v>
      </c>
      <c r="C181" s="2170"/>
      <c r="D181" s="2170"/>
      <c r="E181" s="2170"/>
      <c r="F181" s="2170"/>
      <c r="G181" s="2170"/>
      <c r="H181" s="2170"/>
      <c r="I181" s="2043">
        <v>0</v>
      </c>
      <c r="J181" s="2060"/>
      <c r="K181" s="2043">
        <v>0</v>
      </c>
      <c r="L181" s="201"/>
    </row>
    <row r="182" spans="1:19" ht="77.45" hidden="1" customHeight="1" x14ac:dyDescent="0.25">
      <c r="A182" s="201"/>
      <c r="B182" s="2879" t="s">
        <v>2604</v>
      </c>
      <c r="C182" s="2879"/>
      <c r="D182" s="2879"/>
      <c r="E182" s="2879"/>
      <c r="F182" s="2879"/>
      <c r="G182" s="2879"/>
      <c r="H182" s="2210"/>
      <c r="I182" s="2210"/>
      <c r="J182" s="2210"/>
      <c r="K182" s="2210"/>
      <c r="L182" s="201"/>
    </row>
    <row r="183" spans="1:19" ht="15.6" hidden="1" customHeight="1" x14ac:dyDescent="0.25">
      <c r="A183" s="201"/>
      <c r="B183" s="2170"/>
      <c r="C183" s="2170"/>
      <c r="D183" s="2170"/>
      <c r="E183" s="2170"/>
      <c r="F183" s="2170"/>
      <c r="G183" s="2170"/>
      <c r="H183" s="2170"/>
      <c r="I183" s="2209"/>
      <c r="J183" s="2060"/>
      <c r="K183" s="2209"/>
      <c r="L183" s="201"/>
    </row>
    <row r="184" spans="1:19" ht="15.6" hidden="1" customHeight="1" x14ac:dyDescent="0.25">
      <c r="A184" s="201"/>
      <c r="B184" s="2170" t="s">
        <v>2635</v>
      </c>
      <c r="C184" s="2170"/>
      <c r="D184" s="2170"/>
      <c r="E184" s="2170"/>
      <c r="F184" s="2170"/>
      <c r="G184" s="2170"/>
      <c r="H184" s="2170"/>
      <c r="I184" s="2043">
        <v>0</v>
      </c>
      <c r="J184" s="2060"/>
      <c r="K184" s="2043">
        <v>0</v>
      </c>
      <c r="L184" s="201"/>
      <c r="M184" s="1133"/>
      <c r="N184" s="1133"/>
      <c r="O184" s="1133"/>
      <c r="P184" s="48"/>
      <c r="Q184" s="48"/>
      <c r="S184" s="48"/>
    </row>
    <row r="185" spans="1:19" ht="46.5" hidden="1" customHeight="1" x14ac:dyDescent="0.25">
      <c r="A185" s="201"/>
      <c r="B185" s="2879" t="s">
        <v>2076</v>
      </c>
      <c r="C185" s="2879"/>
      <c r="D185" s="2879"/>
      <c r="E185" s="2879"/>
      <c r="F185" s="2879"/>
      <c r="G185" s="2879"/>
      <c r="H185" s="2210"/>
      <c r="I185" s="2210"/>
      <c r="J185" s="2210"/>
      <c r="K185" s="2210"/>
      <c r="L185" s="201"/>
    </row>
    <row r="186" spans="1:19" ht="15.6" hidden="1" customHeight="1" x14ac:dyDescent="0.25">
      <c r="A186" s="201"/>
      <c r="B186" s="2170"/>
      <c r="C186" s="2170"/>
      <c r="D186" s="2170"/>
      <c r="E186" s="2170"/>
      <c r="F186" s="2170"/>
      <c r="G186" s="2170"/>
      <c r="H186" s="2170"/>
      <c r="I186" s="2209"/>
      <c r="J186" s="2060"/>
      <c r="K186" s="2209"/>
      <c r="L186" s="201"/>
      <c r="M186" s="1133"/>
      <c r="N186" s="1133"/>
      <c r="O186" s="1133"/>
      <c r="P186" s="48"/>
      <c r="Q186" s="48"/>
      <c r="S186" s="48"/>
    </row>
    <row r="187" spans="1:19" ht="15.6" hidden="1" customHeight="1" x14ac:dyDescent="0.25">
      <c r="A187" s="201"/>
      <c r="B187" s="2170" t="s">
        <v>2636</v>
      </c>
      <c r="C187" s="2170"/>
      <c r="D187" s="2170"/>
      <c r="E187" s="2170"/>
      <c r="F187" s="2170"/>
      <c r="G187" s="2170"/>
      <c r="H187" s="2170"/>
      <c r="I187" s="2043">
        <v>0</v>
      </c>
      <c r="J187" s="2060"/>
      <c r="K187" s="2043">
        <v>0</v>
      </c>
      <c r="L187" s="201"/>
      <c r="M187" s="1133"/>
      <c r="N187" s="1133"/>
      <c r="O187" s="1133"/>
      <c r="P187" s="48"/>
      <c r="Q187" s="48"/>
      <c r="S187" s="48"/>
    </row>
    <row r="188" spans="1:19" ht="46.5" hidden="1" customHeight="1" x14ac:dyDescent="0.25">
      <c r="A188" s="201"/>
      <c r="B188" s="2879" t="s">
        <v>2605</v>
      </c>
      <c r="C188" s="2879"/>
      <c r="D188" s="2879"/>
      <c r="E188" s="2879"/>
      <c r="F188" s="2879"/>
      <c r="G188" s="2879"/>
      <c r="H188" s="2210"/>
      <c r="I188" s="2210"/>
      <c r="J188" s="2210"/>
      <c r="K188" s="2210"/>
      <c r="L188" s="201"/>
    </row>
    <row r="189" spans="1:19" ht="15.6" hidden="1" customHeight="1" x14ac:dyDescent="0.25">
      <c r="A189" s="201"/>
      <c r="B189" s="2170"/>
      <c r="C189" s="2170"/>
      <c r="D189" s="2170"/>
      <c r="E189" s="2170"/>
      <c r="F189" s="2170"/>
      <c r="G189" s="2170"/>
      <c r="H189" s="2170"/>
      <c r="I189" s="2043"/>
      <c r="J189" s="2060"/>
      <c r="K189" s="2043"/>
      <c r="L189" s="201"/>
    </row>
    <row r="190" spans="1:19" ht="15.6" hidden="1" customHeight="1" x14ac:dyDescent="0.25">
      <c r="A190" s="201"/>
      <c r="B190" s="2170" t="s">
        <v>2637</v>
      </c>
      <c r="C190" s="2170"/>
      <c r="D190" s="2170"/>
      <c r="E190" s="2170"/>
      <c r="F190" s="2170"/>
      <c r="G190" s="2170"/>
      <c r="H190" s="2170"/>
      <c r="I190" s="2043">
        <v>0</v>
      </c>
      <c r="J190" s="2060"/>
      <c r="K190" s="2043">
        <v>0</v>
      </c>
      <c r="L190" s="201"/>
    </row>
    <row r="191" spans="1:19" ht="46.5" hidden="1" customHeight="1" x14ac:dyDescent="0.25">
      <c r="A191" s="201"/>
      <c r="B191" s="2879" t="s">
        <v>2669</v>
      </c>
      <c r="C191" s="2879"/>
      <c r="D191" s="2879"/>
      <c r="E191" s="2879"/>
      <c r="F191" s="2879"/>
      <c r="G191" s="2879"/>
      <c r="H191" s="2210"/>
      <c r="I191" s="2210"/>
      <c r="J191" s="2210"/>
      <c r="K191" s="2210"/>
      <c r="L191" s="201"/>
    </row>
    <row r="192" spans="1:19" ht="15.6" hidden="1" customHeight="1" x14ac:dyDescent="0.25">
      <c r="A192" s="201"/>
      <c r="B192" s="2170"/>
      <c r="C192" s="2170"/>
      <c r="D192" s="2170"/>
      <c r="E192" s="2170"/>
      <c r="F192" s="2170"/>
      <c r="G192" s="2170"/>
      <c r="H192" s="2170"/>
      <c r="I192" s="2043"/>
      <c r="J192" s="2060"/>
      <c r="K192" s="2043"/>
      <c r="L192" s="201"/>
    </row>
    <row r="193" spans="1:12" ht="15.6" hidden="1" customHeight="1" x14ac:dyDescent="0.25">
      <c r="A193" s="201"/>
      <c r="B193" s="2170" t="s">
        <v>2638</v>
      </c>
      <c r="C193" s="2170"/>
      <c r="D193" s="2170"/>
      <c r="E193" s="2170"/>
      <c r="F193" s="2170"/>
      <c r="G193" s="2170"/>
      <c r="H193" s="2170"/>
      <c r="I193" s="2043">
        <v>0</v>
      </c>
      <c r="J193" s="2060"/>
      <c r="K193" s="2043">
        <v>0</v>
      </c>
      <c r="L193" s="201"/>
    </row>
    <row r="194" spans="1:12" ht="93" hidden="1" customHeight="1" x14ac:dyDescent="0.25">
      <c r="A194" s="201"/>
      <c r="B194" s="2879" t="s">
        <v>2607</v>
      </c>
      <c r="C194" s="2879"/>
      <c r="D194" s="2879"/>
      <c r="E194" s="2879"/>
      <c r="F194" s="2879"/>
      <c r="G194" s="2879"/>
      <c r="H194" s="2210"/>
      <c r="I194" s="2210"/>
      <c r="J194" s="2210"/>
      <c r="K194" s="2210"/>
      <c r="L194" s="201"/>
    </row>
    <row r="195" spans="1:12" ht="15.6" hidden="1" customHeight="1" x14ac:dyDescent="0.25">
      <c r="A195" s="201"/>
      <c r="B195" s="2170"/>
      <c r="C195" s="2170"/>
      <c r="D195" s="2170"/>
      <c r="E195" s="2170"/>
      <c r="F195" s="2170"/>
      <c r="G195" s="2170"/>
      <c r="H195" s="2170"/>
      <c r="I195" s="2043"/>
      <c r="J195" s="2060"/>
      <c r="K195" s="2043"/>
      <c r="L195" s="201"/>
    </row>
    <row r="196" spans="1:12" ht="15.6" hidden="1" customHeight="1" x14ac:dyDescent="0.25">
      <c r="A196" s="201"/>
      <c r="B196" s="2170" t="s">
        <v>2639</v>
      </c>
      <c r="C196" s="2170"/>
      <c r="D196" s="2170"/>
      <c r="E196" s="2170"/>
      <c r="F196" s="2170"/>
      <c r="G196" s="2170"/>
      <c r="H196" s="2170"/>
      <c r="I196" s="2043">
        <v>0</v>
      </c>
      <c r="J196" s="2060"/>
      <c r="K196" s="2043">
        <v>0</v>
      </c>
      <c r="L196" s="201"/>
    </row>
    <row r="197" spans="1:12" ht="46.5" hidden="1" customHeight="1" x14ac:dyDescent="0.25">
      <c r="A197" s="201"/>
      <c r="B197" s="2879" t="s">
        <v>2664</v>
      </c>
      <c r="C197" s="2879"/>
      <c r="D197" s="2879"/>
      <c r="E197" s="2879"/>
      <c r="F197" s="2879"/>
      <c r="G197" s="2879"/>
      <c r="H197" s="2210"/>
      <c r="I197" s="2210"/>
      <c r="J197" s="2210"/>
      <c r="K197" s="2210"/>
      <c r="L197" s="201"/>
    </row>
    <row r="198" spans="1:12" ht="15.6" hidden="1" customHeight="1" x14ac:dyDescent="0.25">
      <c r="A198" s="201"/>
      <c r="B198" s="2170"/>
      <c r="C198" s="2170"/>
      <c r="D198" s="2170"/>
      <c r="E198" s="2170"/>
      <c r="F198" s="2170"/>
      <c r="G198" s="2170"/>
      <c r="H198" s="2170"/>
      <c r="I198" s="2043"/>
      <c r="J198" s="2060"/>
      <c r="K198" s="2043"/>
      <c r="L198" s="201"/>
    </row>
    <row r="199" spans="1:12" ht="15.6" hidden="1" customHeight="1" x14ac:dyDescent="0.25">
      <c r="A199" s="201"/>
      <c r="B199" s="2170" t="s">
        <v>2640</v>
      </c>
      <c r="C199" s="2170"/>
      <c r="D199" s="2170"/>
      <c r="E199" s="2170"/>
      <c r="F199" s="2170"/>
      <c r="G199" s="2170"/>
      <c r="H199" s="2170"/>
      <c r="I199" s="2043">
        <v>0</v>
      </c>
      <c r="J199" s="2060"/>
      <c r="K199" s="2043">
        <v>0</v>
      </c>
      <c r="L199" s="201"/>
    </row>
    <row r="200" spans="1:12" ht="46.5" hidden="1" customHeight="1" x14ac:dyDescent="0.25">
      <c r="A200" s="201"/>
      <c r="B200" s="2879" t="s">
        <v>2665</v>
      </c>
      <c r="C200" s="2879"/>
      <c r="D200" s="2879"/>
      <c r="E200" s="2879"/>
      <c r="F200" s="2879"/>
      <c r="G200" s="2879"/>
      <c r="H200" s="2210"/>
      <c r="I200" s="2210"/>
      <c r="J200" s="2210"/>
      <c r="K200" s="2210"/>
      <c r="L200" s="201"/>
    </row>
    <row r="201" spans="1:12" ht="15.6" hidden="1" customHeight="1" x14ac:dyDescent="0.25">
      <c r="A201" s="201"/>
      <c r="B201" s="2170"/>
      <c r="C201" s="2170"/>
      <c r="D201" s="2170"/>
      <c r="E201" s="2170"/>
      <c r="F201" s="2170"/>
      <c r="G201" s="2170"/>
      <c r="H201" s="2170"/>
      <c r="I201" s="2043"/>
      <c r="J201" s="2060"/>
      <c r="K201" s="2043"/>
      <c r="L201" s="201"/>
    </row>
    <row r="202" spans="1:12" ht="15.6" hidden="1" customHeight="1" x14ac:dyDescent="0.25">
      <c r="A202" s="201"/>
      <c r="B202" s="2170" t="s">
        <v>2641</v>
      </c>
      <c r="C202" s="2170"/>
      <c r="D202" s="2170"/>
      <c r="E202" s="2170"/>
      <c r="F202" s="2170"/>
      <c r="G202" s="2170"/>
      <c r="H202" s="2170"/>
      <c r="I202" s="2043">
        <v>0</v>
      </c>
      <c r="J202" s="2060"/>
      <c r="K202" s="2043">
        <v>0</v>
      </c>
      <c r="L202" s="201"/>
    </row>
    <row r="203" spans="1:12" ht="62.1" hidden="1" customHeight="1" x14ac:dyDescent="0.25">
      <c r="A203" s="201"/>
      <c r="B203" s="2879" t="s">
        <v>2666</v>
      </c>
      <c r="C203" s="2879"/>
      <c r="D203" s="2879"/>
      <c r="E203" s="2879"/>
      <c r="F203" s="2879"/>
      <c r="G203" s="2879"/>
      <c r="H203" s="2210"/>
      <c r="I203" s="2210"/>
      <c r="J203" s="2210"/>
      <c r="K203" s="2210"/>
      <c r="L203" s="201"/>
    </row>
    <row r="204" spans="1:12" ht="15.6" hidden="1" customHeight="1" x14ac:dyDescent="0.25">
      <c r="A204" s="201"/>
      <c r="B204" s="2170"/>
      <c r="C204" s="2170"/>
      <c r="D204" s="2170"/>
      <c r="E204" s="2170"/>
      <c r="F204" s="2170"/>
      <c r="G204" s="2170"/>
      <c r="H204" s="2170"/>
      <c r="I204" s="2043"/>
      <c r="J204" s="2060"/>
      <c r="K204" s="2043"/>
      <c r="L204" s="201"/>
    </row>
    <row r="205" spans="1:12" ht="15.6" hidden="1" customHeight="1" x14ac:dyDescent="0.25">
      <c r="A205" s="201"/>
      <c r="B205" s="2170" t="s">
        <v>2642</v>
      </c>
      <c r="C205" s="2170"/>
      <c r="D205" s="2170"/>
      <c r="E205" s="2170"/>
      <c r="F205" s="2170"/>
      <c r="G205" s="2170"/>
      <c r="H205" s="2170"/>
      <c r="I205" s="2043">
        <v>0</v>
      </c>
      <c r="J205" s="2060"/>
      <c r="K205" s="2043">
        <v>0</v>
      </c>
      <c r="L205" s="201"/>
    </row>
    <row r="206" spans="1:12" ht="77.45" hidden="1" customHeight="1" x14ac:dyDescent="0.25">
      <c r="A206" s="201"/>
      <c r="B206" s="2879" t="s">
        <v>2667</v>
      </c>
      <c r="C206" s="2879"/>
      <c r="D206" s="2879"/>
      <c r="E206" s="2879"/>
      <c r="F206" s="2879"/>
      <c r="G206" s="2879"/>
      <c r="H206" s="2210"/>
      <c r="I206" s="2210"/>
      <c r="J206" s="2210"/>
      <c r="K206" s="2210"/>
      <c r="L206" s="201"/>
    </row>
    <row r="207" spans="1:12" ht="15.6" hidden="1" customHeight="1" x14ac:dyDescent="0.25">
      <c r="A207" s="201"/>
      <c r="B207" s="2170"/>
      <c r="C207" s="2170"/>
      <c r="D207" s="2170"/>
      <c r="E207" s="2170"/>
      <c r="F207" s="2170"/>
      <c r="G207" s="2170"/>
      <c r="H207" s="2170"/>
      <c r="I207" s="2043"/>
      <c r="J207" s="2060"/>
      <c r="K207" s="2043"/>
      <c r="L207" s="201"/>
    </row>
    <row r="208" spans="1:12" ht="15.6" hidden="1" customHeight="1" x14ac:dyDescent="0.25">
      <c r="A208" s="201"/>
      <c r="B208" s="2170" t="s">
        <v>2643</v>
      </c>
      <c r="C208" s="2170"/>
      <c r="D208" s="2170"/>
      <c r="E208" s="2170"/>
      <c r="F208" s="2170"/>
      <c r="G208" s="2170"/>
      <c r="H208" s="2170"/>
      <c r="I208" s="2043">
        <v>0</v>
      </c>
      <c r="J208" s="2060"/>
      <c r="K208" s="2043">
        <v>0</v>
      </c>
      <c r="L208" s="201"/>
    </row>
    <row r="209" spans="1:12" ht="123.95" hidden="1" customHeight="1" x14ac:dyDescent="0.25">
      <c r="A209" s="201"/>
      <c r="B209" s="2879" t="s">
        <v>2668</v>
      </c>
      <c r="C209" s="2879"/>
      <c r="D209" s="2879"/>
      <c r="E209" s="2879"/>
      <c r="F209" s="2879"/>
      <c r="G209" s="2879"/>
      <c r="H209" s="2210"/>
      <c r="I209" s="2210"/>
      <c r="J209" s="2210"/>
      <c r="K209" s="2210"/>
      <c r="L209" s="201"/>
    </row>
    <row r="210" spans="1:12" ht="15.6" hidden="1" customHeight="1" x14ac:dyDescent="0.25">
      <c r="A210" s="201"/>
      <c r="B210" s="2170"/>
      <c r="C210" s="2170"/>
      <c r="D210" s="2170"/>
      <c r="E210" s="2170"/>
      <c r="F210" s="2170"/>
      <c r="G210" s="2170"/>
      <c r="H210" s="2170"/>
      <c r="I210" s="2043"/>
      <c r="J210" s="2060"/>
      <c r="K210" s="2043"/>
      <c r="L210" s="201"/>
    </row>
    <row r="211" spans="1:12" ht="15.6" hidden="1" customHeight="1" x14ac:dyDescent="0.25">
      <c r="A211" s="201"/>
      <c r="B211" s="2170" t="s">
        <v>2644</v>
      </c>
      <c r="C211" s="2170"/>
      <c r="D211" s="2170"/>
      <c r="E211" s="2170"/>
      <c r="F211" s="2170"/>
      <c r="G211" s="2170"/>
      <c r="H211" s="2170"/>
      <c r="I211" s="2043">
        <v>0</v>
      </c>
      <c r="J211" s="2060"/>
      <c r="K211" s="2043">
        <v>0</v>
      </c>
      <c r="L211" s="201"/>
    </row>
    <row r="212" spans="1:12" ht="62.1" hidden="1" customHeight="1" x14ac:dyDescent="0.25">
      <c r="A212" s="201"/>
      <c r="B212" s="2879" t="s">
        <v>2606</v>
      </c>
      <c r="C212" s="2879"/>
      <c r="D212" s="2879"/>
      <c r="E212" s="2879"/>
      <c r="F212" s="2879"/>
      <c r="G212" s="2879"/>
      <c r="H212" s="2210"/>
      <c r="I212" s="2210"/>
      <c r="J212" s="2210"/>
      <c r="K212" s="2210"/>
      <c r="L212" s="201"/>
    </row>
    <row r="213" spans="1:12" ht="15.6" hidden="1" customHeight="1" x14ac:dyDescent="0.25">
      <c r="A213" s="201"/>
      <c r="B213" s="2170"/>
      <c r="C213" s="2170"/>
      <c r="D213" s="2170"/>
      <c r="E213" s="2170"/>
      <c r="F213" s="2170"/>
      <c r="G213" s="2170"/>
      <c r="H213" s="2170"/>
      <c r="I213" s="2043"/>
      <c r="J213" s="2060"/>
      <c r="K213" s="2043"/>
      <c r="L213" s="201"/>
    </row>
    <row r="214" spans="1:12" ht="15.6" hidden="1" customHeight="1" x14ac:dyDescent="0.25">
      <c r="A214" s="201"/>
      <c r="B214" s="2170" t="s">
        <v>2645</v>
      </c>
      <c r="C214" s="2170"/>
      <c r="D214" s="2170"/>
      <c r="E214" s="2170"/>
      <c r="F214" s="2170"/>
      <c r="G214" s="2170"/>
      <c r="H214" s="2170"/>
      <c r="I214" s="2043">
        <v>0</v>
      </c>
      <c r="J214" s="2060"/>
      <c r="K214" s="2043">
        <v>0</v>
      </c>
      <c r="L214" s="201"/>
    </row>
    <row r="215" spans="1:12" ht="46.5" hidden="1" customHeight="1" x14ac:dyDescent="0.25">
      <c r="A215" s="201"/>
      <c r="B215" s="2879" t="s">
        <v>2184</v>
      </c>
      <c r="C215" s="2879"/>
      <c r="D215" s="2879"/>
      <c r="E215" s="2879"/>
      <c r="F215" s="2879"/>
      <c r="G215" s="2879"/>
      <c r="H215" s="2210"/>
      <c r="I215" s="2210"/>
      <c r="J215" s="2210"/>
      <c r="K215" s="2210"/>
      <c r="L215" s="201"/>
    </row>
    <row r="216" spans="1:12" ht="15.6" hidden="1" customHeight="1" x14ac:dyDescent="0.25">
      <c r="A216" s="201"/>
      <c r="B216" s="2170"/>
      <c r="C216" s="2170"/>
      <c r="D216" s="2170"/>
      <c r="E216" s="2170"/>
      <c r="F216" s="2170"/>
      <c r="G216" s="2170"/>
      <c r="H216" s="2170"/>
      <c r="I216" s="2043"/>
      <c r="J216" s="2060"/>
      <c r="K216" s="2043"/>
      <c r="L216" s="201"/>
    </row>
    <row r="217" spans="1:12" ht="15.6" hidden="1" customHeight="1" x14ac:dyDescent="0.25">
      <c r="A217" s="201"/>
      <c r="B217" s="2170" t="s">
        <v>2647</v>
      </c>
      <c r="C217" s="2170"/>
      <c r="D217" s="2170"/>
      <c r="E217" s="2170"/>
      <c r="F217" s="2170"/>
      <c r="G217" s="2170"/>
      <c r="H217" s="2170"/>
      <c r="I217" s="2043">
        <v>0</v>
      </c>
      <c r="J217" s="2060"/>
      <c r="K217" s="2043">
        <v>0</v>
      </c>
      <c r="L217" s="201"/>
    </row>
    <row r="218" spans="1:12" ht="62.1" hidden="1" customHeight="1" x14ac:dyDescent="0.25">
      <c r="A218" s="201"/>
      <c r="B218" s="2879" t="s">
        <v>2646</v>
      </c>
      <c r="C218" s="2879"/>
      <c r="D218" s="2879"/>
      <c r="E218" s="2879"/>
      <c r="F218" s="2879"/>
      <c r="G218" s="2879"/>
      <c r="H218" s="2210"/>
      <c r="I218" s="2210"/>
      <c r="J218" s="2210"/>
      <c r="K218" s="2210"/>
      <c r="L218" s="201"/>
    </row>
    <row r="219" spans="1:12" ht="15.6" hidden="1" customHeight="1" x14ac:dyDescent="0.25">
      <c r="A219" s="201"/>
      <c r="B219" s="2170"/>
      <c r="C219" s="2170"/>
      <c r="D219" s="2170"/>
      <c r="E219" s="2170"/>
      <c r="F219" s="2170"/>
      <c r="G219" s="2170"/>
      <c r="H219" s="2170"/>
      <c r="I219" s="2043"/>
      <c r="J219" s="2060"/>
      <c r="K219" s="2043"/>
      <c r="L219" s="201"/>
    </row>
    <row r="220" spans="1:12" ht="15.6" hidden="1" customHeight="1" x14ac:dyDescent="0.25">
      <c r="A220" s="201"/>
      <c r="B220" s="2170" t="s">
        <v>2648</v>
      </c>
      <c r="C220" s="2170"/>
      <c r="D220" s="2170"/>
      <c r="E220" s="2170"/>
      <c r="F220" s="2170"/>
      <c r="G220" s="2170"/>
      <c r="H220" s="2170"/>
      <c r="I220" s="2043">
        <v>0</v>
      </c>
      <c r="J220" s="2060"/>
      <c r="K220" s="2043">
        <v>0</v>
      </c>
      <c r="L220" s="201"/>
    </row>
    <row r="221" spans="1:12" ht="46.5" hidden="1" customHeight="1" x14ac:dyDescent="0.25">
      <c r="A221" s="201"/>
      <c r="B221" s="2879" t="s">
        <v>2649</v>
      </c>
      <c r="C221" s="2879"/>
      <c r="D221" s="2879"/>
      <c r="E221" s="2879"/>
      <c r="F221" s="2879"/>
      <c r="G221" s="2879"/>
      <c r="H221" s="2210"/>
      <c r="I221" s="2210"/>
      <c r="J221" s="2210"/>
      <c r="K221" s="2210"/>
      <c r="L221" s="201"/>
    </row>
    <row r="222" spans="1:12" ht="15.6" hidden="1" customHeight="1" x14ac:dyDescent="0.25">
      <c r="A222" s="201"/>
      <c r="B222" s="2170"/>
      <c r="C222" s="2170"/>
      <c r="D222" s="2170"/>
      <c r="E222" s="2170"/>
      <c r="F222" s="2170"/>
      <c r="G222" s="2170"/>
      <c r="H222" s="2170"/>
      <c r="I222" s="2043"/>
      <c r="J222" s="2060"/>
      <c r="K222" s="2043"/>
      <c r="L222" s="201"/>
    </row>
    <row r="223" spans="1:12" ht="15.6" hidden="1" customHeight="1" x14ac:dyDescent="0.25">
      <c r="A223" s="201"/>
      <c r="B223" s="2170" t="s">
        <v>2650</v>
      </c>
      <c r="C223" s="2170"/>
      <c r="D223" s="2170"/>
      <c r="E223" s="2170"/>
      <c r="F223" s="2170"/>
      <c r="G223" s="2170"/>
      <c r="H223" s="2170"/>
      <c r="I223" s="2043">
        <v>0</v>
      </c>
      <c r="J223" s="2060"/>
      <c r="K223" s="2043">
        <v>0</v>
      </c>
      <c r="L223" s="201"/>
    </row>
    <row r="224" spans="1:12" ht="46.5" hidden="1" customHeight="1" x14ac:dyDescent="0.25">
      <c r="A224" s="201"/>
      <c r="B224" s="2879" t="s">
        <v>2652</v>
      </c>
      <c r="C224" s="2879"/>
      <c r="D224" s="2879"/>
      <c r="E224" s="2879"/>
      <c r="F224" s="2879"/>
      <c r="G224" s="2879"/>
      <c r="H224" s="2210"/>
      <c r="I224" s="2210"/>
      <c r="J224" s="2210"/>
      <c r="K224" s="2210"/>
      <c r="L224" s="201"/>
    </row>
    <row r="225" spans="1:12" ht="15.6" hidden="1" customHeight="1" x14ac:dyDescent="0.25">
      <c r="A225" s="201"/>
      <c r="B225" s="2170"/>
      <c r="C225" s="2170"/>
      <c r="D225" s="2170"/>
      <c r="E225" s="2170"/>
      <c r="F225" s="2170"/>
      <c r="G225" s="2170"/>
      <c r="H225" s="2170"/>
      <c r="I225" s="2043"/>
      <c r="J225" s="2060"/>
      <c r="K225" s="2043"/>
      <c r="L225" s="201"/>
    </row>
    <row r="226" spans="1:12" ht="15.6" hidden="1" customHeight="1" x14ac:dyDescent="0.25">
      <c r="A226" s="201"/>
      <c r="B226" s="2170" t="s">
        <v>2651</v>
      </c>
      <c r="C226" s="2170"/>
      <c r="D226" s="2170"/>
      <c r="E226" s="2170"/>
      <c r="F226" s="2170"/>
      <c r="G226" s="2170"/>
      <c r="H226" s="2170"/>
      <c r="I226" s="2043">
        <v>0</v>
      </c>
      <c r="J226" s="2060"/>
      <c r="K226" s="2043">
        <v>0</v>
      </c>
      <c r="L226" s="201"/>
    </row>
    <row r="227" spans="1:12" ht="46.5" hidden="1" customHeight="1" x14ac:dyDescent="0.25">
      <c r="A227" s="201"/>
      <c r="B227" s="2879" t="s">
        <v>2653</v>
      </c>
      <c r="C227" s="2879"/>
      <c r="D227" s="2879"/>
      <c r="E227" s="2879"/>
      <c r="F227" s="2879"/>
      <c r="G227" s="2879"/>
      <c r="H227" s="2210"/>
      <c r="I227" s="2210"/>
      <c r="J227" s="2210"/>
      <c r="K227" s="2210"/>
      <c r="L227" s="201"/>
    </row>
    <row r="228" spans="1:12" ht="15.6" hidden="1" customHeight="1" x14ac:dyDescent="0.25">
      <c r="A228" s="201"/>
      <c r="B228" s="2170"/>
      <c r="C228" s="2170"/>
      <c r="D228" s="2170"/>
      <c r="E228" s="2170"/>
      <c r="F228" s="2170"/>
      <c r="G228" s="2170"/>
      <c r="H228" s="2170"/>
      <c r="I228" s="2043"/>
      <c r="J228" s="2060"/>
      <c r="K228" s="2043"/>
      <c r="L228" s="201"/>
    </row>
    <row r="229" spans="1:12" ht="15.6" hidden="1" customHeight="1" x14ac:dyDescent="0.25">
      <c r="A229" s="201"/>
      <c r="B229" s="2170" t="s">
        <v>2654</v>
      </c>
      <c r="C229" s="2170"/>
      <c r="D229" s="2170"/>
      <c r="E229" s="2170"/>
      <c r="F229" s="2170"/>
      <c r="G229" s="2170"/>
      <c r="H229" s="2170"/>
      <c r="I229" s="2043">
        <v>0</v>
      </c>
      <c r="J229" s="2060"/>
      <c r="K229" s="2043">
        <v>0</v>
      </c>
      <c r="L229" s="201"/>
    </row>
    <row r="230" spans="1:12" ht="46.5" hidden="1" customHeight="1" x14ac:dyDescent="0.25">
      <c r="A230" s="201"/>
      <c r="B230" s="2879" t="s">
        <v>2655</v>
      </c>
      <c r="C230" s="2879"/>
      <c r="D230" s="2879"/>
      <c r="E230" s="2879"/>
      <c r="F230" s="2879"/>
      <c r="G230" s="2879"/>
      <c r="H230" s="2210"/>
      <c r="I230" s="2210"/>
      <c r="J230" s="2210"/>
      <c r="K230" s="2210"/>
      <c r="L230" s="201"/>
    </row>
    <row r="231" spans="1:12" ht="15.6" hidden="1" customHeight="1" x14ac:dyDescent="0.25">
      <c r="A231" s="201"/>
      <c r="B231" s="2170"/>
      <c r="C231" s="2170"/>
      <c r="D231" s="2170"/>
      <c r="E231" s="2170"/>
      <c r="F231" s="2170"/>
      <c r="G231" s="2170"/>
      <c r="H231" s="2170"/>
      <c r="I231" s="2043"/>
      <c r="J231" s="2060"/>
      <c r="K231" s="2043"/>
      <c r="L231" s="201"/>
    </row>
    <row r="232" spans="1:12" ht="15.6" hidden="1" customHeight="1" x14ac:dyDescent="0.25">
      <c r="A232" s="201"/>
      <c r="B232" s="2170" t="s">
        <v>2656</v>
      </c>
      <c r="C232" s="2170"/>
      <c r="D232" s="2170"/>
      <c r="E232" s="2170"/>
      <c r="F232" s="2170"/>
      <c r="G232" s="2170"/>
      <c r="H232" s="2170"/>
      <c r="I232" s="2043">
        <v>0</v>
      </c>
      <c r="J232" s="2060"/>
      <c r="K232" s="2043">
        <v>0</v>
      </c>
      <c r="L232" s="201"/>
    </row>
    <row r="233" spans="1:12" ht="62.1" hidden="1" customHeight="1" x14ac:dyDescent="0.25">
      <c r="A233" s="201"/>
      <c r="B233" s="2879" t="s">
        <v>2633</v>
      </c>
      <c r="C233" s="2879"/>
      <c r="D233" s="2879"/>
      <c r="E233" s="2879"/>
      <c r="F233" s="2879"/>
      <c r="G233" s="2879"/>
      <c r="H233" s="2210"/>
      <c r="I233" s="2210"/>
      <c r="J233" s="2210"/>
      <c r="K233" s="2210"/>
      <c r="L233" s="201"/>
    </row>
    <row r="234" spans="1:12" ht="15.6" hidden="1" customHeight="1" x14ac:dyDescent="0.25">
      <c r="A234" s="201"/>
      <c r="B234" s="2170"/>
      <c r="C234" s="2170"/>
      <c r="D234" s="2170"/>
      <c r="E234" s="2170"/>
      <c r="F234" s="2170"/>
      <c r="G234" s="2170"/>
      <c r="H234" s="2170"/>
      <c r="I234" s="2043"/>
      <c r="J234" s="2060"/>
      <c r="K234" s="2043"/>
      <c r="L234" s="201"/>
    </row>
    <row r="235" spans="1:12" ht="15.6" hidden="1" customHeight="1" x14ac:dyDescent="0.25">
      <c r="A235" s="201"/>
      <c r="B235" s="2170" t="s">
        <v>2657</v>
      </c>
      <c r="C235" s="2170"/>
      <c r="D235" s="2170"/>
      <c r="E235" s="2170"/>
      <c r="F235" s="2170"/>
      <c r="G235" s="2170"/>
      <c r="H235" s="2170"/>
      <c r="I235" s="2043">
        <v>0</v>
      </c>
      <c r="J235" s="2060"/>
      <c r="K235" s="2043">
        <v>0</v>
      </c>
      <c r="L235" s="201"/>
    </row>
    <row r="236" spans="1:12" ht="46.5" hidden="1" customHeight="1" x14ac:dyDescent="0.25">
      <c r="A236" s="201"/>
      <c r="B236" s="2879" t="s">
        <v>2658</v>
      </c>
      <c r="C236" s="2879"/>
      <c r="D236" s="2879"/>
      <c r="E236" s="2879"/>
      <c r="F236" s="2879"/>
      <c r="G236" s="2879"/>
      <c r="H236" s="2210"/>
      <c r="I236" s="2210"/>
      <c r="J236" s="2210"/>
      <c r="K236" s="2210"/>
      <c r="L236" s="201"/>
    </row>
    <row r="237" spans="1:12" ht="15.6" hidden="1" customHeight="1" x14ac:dyDescent="0.25">
      <c r="A237" s="201"/>
      <c r="B237" s="2170"/>
      <c r="C237" s="2170"/>
      <c r="D237" s="2170"/>
      <c r="E237" s="2170"/>
      <c r="F237" s="2170"/>
      <c r="G237" s="2170"/>
      <c r="H237" s="2170"/>
      <c r="I237" s="2043"/>
      <c r="J237" s="2060"/>
      <c r="K237" s="2043"/>
      <c r="L237" s="201"/>
    </row>
    <row r="238" spans="1:12" ht="15.6" hidden="1" customHeight="1" x14ac:dyDescent="0.25">
      <c r="A238" s="201"/>
      <c r="B238" s="2170" t="s">
        <v>2720</v>
      </c>
      <c r="C238" s="2170"/>
      <c r="D238" s="2170"/>
      <c r="E238" s="2170"/>
      <c r="F238" s="2170"/>
      <c r="G238" s="2170"/>
      <c r="H238" s="2170"/>
      <c r="I238" s="2043">
        <v>0</v>
      </c>
      <c r="J238" s="2060"/>
      <c r="K238" s="2043">
        <v>0</v>
      </c>
      <c r="L238" s="201"/>
    </row>
    <row r="239" spans="1:12" ht="46.5" hidden="1" customHeight="1" x14ac:dyDescent="0.25">
      <c r="A239" s="201"/>
      <c r="B239" s="2879" t="s">
        <v>2659</v>
      </c>
      <c r="C239" s="2879"/>
      <c r="D239" s="2879"/>
      <c r="E239" s="2879"/>
      <c r="F239" s="2879"/>
      <c r="G239" s="2879"/>
      <c r="H239" s="2210"/>
      <c r="I239" s="2210"/>
      <c r="J239" s="2210"/>
      <c r="K239" s="2210"/>
      <c r="L239" s="201"/>
    </row>
    <row r="240" spans="1:12" ht="15.6" hidden="1" customHeight="1" x14ac:dyDescent="0.25">
      <c r="A240" s="201"/>
      <c r="B240" s="201"/>
      <c r="C240" s="201"/>
      <c r="D240" s="201"/>
      <c r="E240" s="201"/>
      <c r="F240" s="201"/>
      <c r="G240" s="201"/>
      <c r="H240" s="201"/>
      <c r="I240" s="58"/>
      <c r="K240" s="58"/>
      <c r="L240" s="201"/>
    </row>
    <row r="241" spans="1:19" ht="15.6" hidden="1" customHeight="1" thickBot="1" x14ac:dyDescent="0.3">
      <c r="A241" s="201"/>
      <c r="B241" s="292" t="s">
        <v>7635</v>
      </c>
      <c r="C241" s="201"/>
      <c r="D241" s="201"/>
      <c r="E241" s="201"/>
      <c r="F241" s="201"/>
      <c r="G241" s="201"/>
      <c r="H241" s="201"/>
      <c r="I241" s="226">
        <f>SUM(I242:I248)</f>
        <v>0</v>
      </c>
      <c r="J241" s="58"/>
      <c r="K241" s="226">
        <f>SUM(K242:K248)</f>
        <v>0</v>
      </c>
      <c r="L241" s="201"/>
      <c r="M241" s="1134"/>
      <c r="N241" s="1147"/>
      <c r="O241" s="1133"/>
      <c r="P241" s="1134"/>
      <c r="Q241" s="48"/>
      <c r="R241" s="1128" t="s">
        <v>3857</v>
      </c>
      <c r="S241" s="48"/>
    </row>
    <row r="242" spans="1:19" ht="15.6" hidden="1" customHeight="1" thickTop="1" x14ac:dyDescent="0.25">
      <c r="A242" s="201"/>
      <c r="B242" s="201"/>
      <c r="C242" s="201"/>
      <c r="D242" s="201"/>
      <c r="E242" s="201"/>
      <c r="F242" s="201"/>
      <c r="G242" s="201"/>
      <c r="H242" s="201"/>
      <c r="I242" s="320"/>
      <c r="K242" s="320"/>
      <c r="L242" s="201"/>
      <c r="P242" s="1133"/>
      <c r="Q242" s="1133"/>
      <c r="S242" s="1133"/>
    </row>
    <row r="243" spans="1:19" ht="15.6" hidden="1" customHeight="1" x14ac:dyDescent="0.25">
      <c r="A243" s="201"/>
      <c r="B243" s="2170" t="s">
        <v>4473</v>
      </c>
      <c r="C243" s="2170"/>
      <c r="D243" s="2170"/>
      <c r="E243" s="2170"/>
      <c r="F243" s="2170"/>
      <c r="G243" s="2170"/>
      <c r="H243" s="2170"/>
      <c r="I243" s="2043">
        <v>0</v>
      </c>
      <c r="J243" s="2060"/>
      <c r="K243" s="2043">
        <v>0</v>
      </c>
      <c r="L243" s="201"/>
      <c r="P243" s="1133"/>
      <c r="Q243" s="1133"/>
      <c r="S243" s="1133"/>
    </row>
    <row r="244" spans="1:19" ht="30.95" hidden="1" customHeight="1" x14ac:dyDescent="0.25">
      <c r="A244" s="201"/>
      <c r="B244" s="2879" t="s">
        <v>4474</v>
      </c>
      <c r="C244" s="2879"/>
      <c r="D244" s="2879"/>
      <c r="E244" s="2879"/>
      <c r="F244" s="2879"/>
      <c r="G244" s="2879"/>
      <c r="H244" s="2210"/>
      <c r="I244" s="2210"/>
      <c r="J244" s="2210"/>
      <c r="K244" s="2210"/>
      <c r="L244" s="201"/>
      <c r="P244" s="1133"/>
      <c r="Q244" s="1133"/>
      <c r="S244" s="1133"/>
    </row>
    <row r="245" spans="1:19" ht="15.6" hidden="1" customHeight="1" x14ac:dyDescent="0.25">
      <c r="A245" s="201"/>
      <c r="B245" s="2170"/>
      <c r="C245" s="2170"/>
      <c r="D245" s="2170"/>
      <c r="E245" s="2170"/>
      <c r="F245" s="2170"/>
      <c r="G245" s="2170"/>
      <c r="H245" s="2170"/>
      <c r="I245" s="2043"/>
      <c r="J245" s="2060"/>
      <c r="K245" s="2043"/>
      <c r="L245" s="201"/>
      <c r="M245" s="1134"/>
      <c r="N245" s="1147"/>
      <c r="O245" s="1133"/>
      <c r="P245" s="1134"/>
      <c r="Q245" s="48"/>
      <c r="S245" s="48"/>
    </row>
    <row r="246" spans="1:19" ht="15.6" hidden="1" customHeight="1" x14ac:dyDescent="0.25">
      <c r="A246" s="201"/>
      <c r="B246" s="2170" t="s">
        <v>4475</v>
      </c>
      <c r="C246" s="2170"/>
      <c r="D246" s="2170"/>
      <c r="E246" s="2170"/>
      <c r="F246" s="2170"/>
      <c r="G246" s="2170"/>
      <c r="H246" s="2170"/>
      <c r="I246" s="2043">
        <v>0</v>
      </c>
      <c r="J246" s="2060"/>
      <c r="K246" s="2043">
        <v>0</v>
      </c>
      <c r="L246" s="201"/>
      <c r="P246" s="1133"/>
      <c r="Q246" s="1133"/>
      <c r="S246" s="1133"/>
    </row>
    <row r="247" spans="1:19" ht="46.5" hidden="1" customHeight="1" x14ac:dyDescent="0.25">
      <c r="A247" s="201"/>
      <c r="B247" s="2879" t="s">
        <v>4476</v>
      </c>
      <c r="C247" s="2879"/>
      <c r="D247" s="2879"/>
      <c r="E247" s="2879"/>
      <c r="F247" s="2879"/>
      <c r="G247" s="2879"/>
      <c r="H247" s="2170"/>
      <c r="I247" s="2209"/>
      <c r="J247" s="2060"/>
      <c r="K247" s="2209"/>
      <c r="L247" s="201"/>
      <c r="M247" s="1134"/>
      <c r="N247" s="1147"/>
      <c r="O247" s="1133"/>
      <c r="P247" s="1134"/>
      <c r="Q247" s="48"/>
      <c r="S247" s="48"/>
    </row>
    <row r="248" spans="1:19" ht="15.6" hidden="1" customHeight="1" x14ac:dyDescent="0.25">
      <c r="A248" s="201"/>
      <c r="B248" s="201"/>
      <c r="C248" s="201"/>
      <c r="D248" s="201"/>
      <c r="E248" s="201"/>
      <c r="F248" s="201"/>
      <c r="G248" s="201"/>
      <c r="H248" s="201"/>
      <c r="I248" s="58"/>
      <c r="K248" s="58"/>
      <c r="L248" s="201"/>
      <c r="M248" s="1134"/>
      <c r="N248" s="1147"/>
      <c r="O248" s="1133"/>
      <c r="P248" s="1134"/>
      <c r="Q248" s="48"/>
      <c r="S248" s="48"/>
    </row>
    <row r="249" spans="1:19" ht="15.6" hidden="1" customHeight="1" thickBot="1" x14ac:dyDescent="0.3">
      <c r="A249" s="201"/>
      <c r="B249" s="292" t="s">
        <v>6893</v>
      </c>
      <c r="C249" s="201"/>
      <c r="D249" s="201"/>
      <c r="E249" s="201"/>
      <c r="F249" s="201"/>
      <c r="G249" s="201"/>
      <c r="H249" s="201"/>
      <c r="I249" s="226">
        <v>0</v>
      </c>
      <c r="J249" s="58"/>
      <c r="K249" s="226">
        <v>0</v>
      </c>
      <c r="L249" s="201"/>
      <c r="M249" s="1644" t="s">
        <v>1256</v>
      </c>
      <c r="N249" s="1147"/>
      <c r="O249" s="1133"/>
      <c r="P249" s="55"/>
      <c r="Q249" s="48"/>
      <c r="R249" s="1128" t="s">
        <v>3857</v>
      </c>
      <c r="S249" s="48"/>
    </row>
    <row r="250" spans="1:19" ht="93" hidden="1" customHeight="1" thickTop="1" x14ac:dyDescent="0.25">
      <c r="A250" s="201"/>
      <c r="B250" s="2879" t="s">
        <v>1257</v>
      </c>
      <c r="C250" s="2879"/>
      <c r="D250" s="2879"/>
      <c r="E250" s="2879"/>
      <c r="F250" s="2879"/>
      <c r="G250" s="2879"/>
      <c r="H250" s="2170"/>
      <c r="I250" s="2212"/>
      <c r="J250" s="2213"/>
      <c r="K250" s="2212"/>
      <c r="L250" s="201"/>
      <c r="M250" s="1134"/>
      <c r="N250" s="1147"/>
      <c r="O250" s="1133"/>
      <c r="P250" s="55"/>
      <c r="Q250" s="48"/>
      <c r="S250" s="48"/>
    </row>
    <row r="251" spans="1:19" ht="15.6" hidden="1" customHeight="1" x14ac:dyDescent="0.25">
      <c r="A251" s="201"/>
      <c r="B251" s="201"/>
      <c r="C251" s="201"/>
      <c r="D251" s="201"/>
      <c r="E251" s="201"/>
      <c r="F251" s="201"/>
      <c r="G251" s="201"/>
      <c r="H251" s="201"/>
      <c r="I251" s="58"/>
      <c r="K251" s="58"/>
      <c r="L251" s="201"/>
      <c r="M251" s="1134"/>
      <c r="N251" s="1147"/>
      <c r="O251" s="1133"/>
      <c r="P251" s="55"/>
      <c r="Q251" s="48"/>
      <c r="S251" s="48"/>
    </row>
    <row r="252" spans="1:19" ht="15.6" hidden="1" customHeight="1" thickBot="1" x14ac:dyDescent="0.3">
      <c r="A252" s="201"/>
      <c r="B252" s="292" t="s">
        <v>6894</v>
      </c>
      <c r="C252" s="201"/>
      <c r="D252" s="201"/>
      <c r="E252" s="201"/>
      <c r="F252" s="201"/>
      <c r="G252" s="201"/>
      <c r="H252" s="201"/>
      <c r="I252" s="226">
        <v>0</v>
      </c>
      <c r="J252" s="58"/>
      <c r="K252" s="226">
        <v>0</v>
      </c>
      <c r="L252" s="201"/>
      <c r="M252" s="1644" t="s">
        <v>1258</v>
      </c>
      <c r="N252" s="1147"/>
      <c r="O252" s="1133"/>
      <c r="P252" s="55"/>
      <c r="Q252" s="48"/>
      <c r="R252" s="1128" t="s">
        <v>3857</v>
      </c>
      <c r="S252" s="48"/>
    </row>
    <row r="253" spans="1:19" ht="46.5" hidden="1" customHeight="1" thickTop="1" x14ac:dyDescent="0.25">
      <c r="A253" s="201"/>
      <c r="B253" s="2879" t="s">
        <v>1259</v>
      </c>
      <c r="C253" s="2879"/>
      <c r="D253" s="2879"/>
      <c r="E253" s="2879"/>
      <c r="F253" s="2879"/>
      <c r="G253" s="2879"/>
      <c r="H253" s="2170"/>
      <c r="I253" s="2212"/>
      <c r="J253" s="2213"/>
      <c r="K253" s="2212"/>
      <c r="L253" s="201"/>
      <c r="M253" s="1134"/>
      <c r="N253" s="1147"/>
      <c r="O253" s="1133"/>
      <c r="P253" s="55"/>
      <c r="Q253" s="48"/>
      <c r="S253" s="48"/>
    </row>
    <row r="254" spans="1:19" ht="15.6" hidden="1" customHeight="1" x14ac:dyDescent="0.25">
      <c r="A254" s="201"/>
      <c r="B254" s="201"/>
      <c r="C254" s="201"/>
      <c r="D254" s="201"/>
      <c r="E254" s="201"/>
      <c r="F254" s="201"/>
      <c r="G254" s="201"/>
      <c r="H254" s="201"/>
      <c r="I254" s="58"/>
      <c r="K254" s="58"/>
      <c r="L254" s="201"/>
      <c r="M254" s="1134"/>
      <c r="N254" s="1147"/>
      <c r="O254" s="1133"/>
      <c r="P254" s="55"/>
      <c r="Q254" s="48"/>
      <c r="S254" s="48"/>
    </row>
    <row r="255" spans="1:19" ht="15.6" hidden="1" customHeight="1" x14ac:dyDescent="0.25">
      <c r="A255" s="201"/>
      <c r="B255" s="201"/>
      <c r="C255" s="201"/>
      <c r="D255" s="201"/>
      <c r="E255" s="201"/>
      <c r="F255" s="201"/>
      <c r="G255" s="201"/>
      <c r="H255" s="201"/>
      <c r="I255" s="58"/>
      <c r="K255" s="58"/>
      <c r="L255" s="201"/>
    </row>
    <row r="256" spans="1:19" ht="15.6" hidden="1" customHeight="1" x14ac:dyDescent="0.25">
      <c r="A256" s="277">
        <v>50</v>
      </c>
      <c r="B256" s="275" t="s">
        <v>1260</v>
      </c>
      <c r="C256" s="201"/>
      <c r="D256" s="201"/>
      <c r="E256" s="201"/>
      <c r="F256" s="201"/>
      <c r="G256" s="201"/>
      <c r="H256" s="201"/>
      <c r="I256" s="58"/>
      <c r="K256" s="58"/>
      <c r="L256" s="201"/>
      <c r="R256" s="1128" t="s">
        <v>3520</v>
      </c>
    </row>
    <row r="257" spans="1:19" ht="15.6" hidden="1" customHeight="1" x14ac:dyDescent="0.25">
      <c r="A257" s="201"/>
      <c r="B257" s="201"/>
      <c r="C257" s="201"/>
      <c r="D257" s="201"/>
      <c r="E257" s="201"/>
      <c r="F257" s="201"/>
      <c r="G257" s="201"/>
      <c r="H257" s="201"/>
      <c r="I257" s="58"/>
      <c r="K257" s="58"/>
      <c r="L257" s="201"/>
    </row>
    <row r="258" spans="1:19" ht="30.95" hidden="1" customHeight="1" x14ac:dyDescent="0.25">
      <c r="A258" s="201"/>
      <c r="B258" s="2900" t="s">
        <v>1261</v>
      </c>
      <c r="C258" s="2990"/>
      <c r="D258" s="2990"/>
      <c r="E258" s="2990"/>
      <c r="F258" s="2990"/>
      <c r="G258" s="2990"/>
      <c r="H258" s="201"/>
      <c r="I258" s="58"/>
      <c r="K258" s="58"/>
      <c r="L258" s="201"/>
      <c r="M258" s="1133"/>
      <c r="N258" s="1147"/>
      <c r="O258" s="1133"/>
      <c r="P258" s="48"/>
      <c r="Q258" s="48"/>
      <c r="S258" s="48"/>
    </row>
    <row r="259" spans="1:19" ht="15.6" hidden="1" customHeight="1" x14ac:dyDescent="0.25">
      <c r="A259" s="201"/>
      <c r="B259" s="201"/>
      <c r="C259" s="201"/>
      <c r="D259" s="201"/>
      <c r="E259" s="201"/>
      <c r="F259" s="201"/>
      <c r="G259" s="201"/>
      <c r="H259" s="201"/>
      <c r="I259" s="58"/>
      <c r="K259" s="58"/>
      <c r="L259" s="201"/>
      <c r="M259" s="1134"/>
      <c r="N259" s="1147"/>
      <c r="O259" s="1133"/>
      <c r="P259" s="55"/>
      <c r="Q259" s="48"/>
      <c r="S259" s="48"/>
    </row>
    <row r="260" spans="1:19" s="50" customFormat="1" ht="15.6" hidden="1" customHeight="1" thickBot="1" x14ac:dyDescent="0.3">
      <c r="A260" s="275"/>
      <c r="B260" s="292" t="s">
        <v>7636</v>
      </c>
      <c r="C260" s="275"/>
      <c r="D260" s="275"/>
      <c r="E260" s="275"/>
      <c r="F260" s="275"/>
      <c r="G260" s="275"/>
      <c r="H260" s="275"/>
      <c r="I260" s="226">
        <f>SUM(I261:I267)</f>
        <v>0</v>
      </c>
      <c r="J260" s="224"/>
      <c r="K260" s="226">
        <f>SUM(K261:K267)</f>
        <v>0</v>
      </c>
      <c r="L260" s="275"/>
      <c r="M260" s="619"/>
      <c r="N260" s="235"/>
      <c r="O260" s="234"/>
      <c r="P260" s="635"/>
      <c r="R260" s="1128" t="s">
        <v>3857</v>
      </c>
    </row>
    <row r="261" spans="1:19" ht="15.6" hidden="1" customHeight="1" thickTop="1" x14ac:dyDescent="0.25">
      <c r="A261" s="201"/>
      <c r="B261" s="201"/>
      <c r="C261" s="201"/>
      <c r="D261" s="201"/>
      <c r="E261" s="201"/>
      <c r="F261" s="201"/>
      <c r="G261" s="201"/>
      <c r="H261" s="201"/>
      <c r="I261" s="320"/>
      <c r="K261" s="320"/>
      <c r="L261" s="201"/>
      <c r="P261" s="1133"/>
      <c r="Q261" s="1133"/>
      <c r="S261" s="1133"/>
    </row>
    <row r="262" spans="1:19" ht="15.6" hidden="1" customHeight="1" x14ac:dyDescent="0.25">
      <c r="A262" s="201"/>
      <c r="B262" s="2170" t="s">
        <v>4479</v>
      </c>
      <c r="C262" s="2170"/>
      <c r="D262" s="2170"/>
      <c r="E262" s="2170"/>
      <c r="F262" s="2170"/>
      <c r="G262" s="2170"/>
      <c r="H262" s="2170"/>
      <c r="I262" s="2043">
        <v>0</v>
      </c>
      <c r="J262" s="2060"/>
      <c r="K262" s="2043">
        <v>0</v>
      </c>
      <c r="L262" s="201"/>
      <c r="P262" s="1133"/>
      <c r="Q262" s="1133"/>
      <c r="S262" s="1133"/>
    </row>
    <row r="263" spans="1:19" ht="46.5" hidden="1" customHeight="1" x14ac:dyDescent="0.25">
      <c r="A263" s="201"/>
      <c r="B263" s="2879" t="s">
        <v>4477</v>
      </c>
      <c r="C263" s="2879"/>
      <c r="D263" s="2879"/>
      <c r="E263" s="2879"/>
      <c r="F263" s="2879"/>
      <c r="G263" s="2879"/>
      <c r="H263" s="2170"/>
      <c r="I263" s="2043"/>
      <c r="J263" s="2060"/>
      <c r="K263" s="2043"/>
      <c r="L263" s="201"/>
      <c r="M263" s="1134"/>
      <c r="N263" s="1147"/>
      <c r="O263" s="1133"/>
      <c r="P263" s="55"/>
      <c r="Q263" s="48"/>
      <c r="S263" s="48"/>
    </row>
    <row r="264" spans="1:19" ht="15" hidden="1" customHeight="1" x14ac:dyDescent="0.25">
      <c r="A264" s="201"/>
      <c r="B264" s="2170"/>
      <c r="C264" s="2170"/>
      <c r="D264" s="2170"/>
      <c r="E264" s="2170"/>
      <c r="F264" s="2170"/>
      <c r="G264" s="2170"/>
      <c r="H264" s="2170"/>
      <c r="I264" s="2043"/>
      <c r="J264" s="2060"/>
      <c r="K264" s="2043"/>
      <c r="L264" s="201"/>
      <c r="M264" s="1134"/>
      <c r="N264" s="1147"/>
      <c r="O264" s="1133"/>
      <c r="P264" s="55"/>
      <c r="Q264" s="48"/>
      <c r="S264" s="48"/>
    </row>
    <row r="265" spans="1:19" ht="15.6" hidden="1" customHeight="1" x14ac:dyDescent="0.25">
      <c r="A265" s="201"/>
      <c r="B265" s="2170" t="s">
        <v>4480</v>
      </c>
      <c r="C265" s="2170"/>
      <c r="D265" s="2170"/>
      <c r="E265" s="2170"/>
      <c r="F265" s="2170"/>
      <c r="G265" s="2170"/>
      <c r="H265" s="2170"/>
      <c r="I265" s="2043">
        <v>0</v>
      </c>
      <c r="J265" s="2060"/>
      <c r="K265" s="2043">
        <v>0</v>
      </c>
      <c r="L265" s="201"/>
      <c r="P265" s="1133"/>
      <c r="Q265" s="1133"/>
      <c r="S265" s="1133"/>
    </row>
    <row r="266" spans="1:19" ht="30.95" hidden="1" customHeight="1" x14ac:dyDescent="0.25">
      <c r="A266" s="201"/>
      <c r="B266" s="2879" t="s">
        <v>4478</v>
      </c>
      <c r="C266" s="2879"/>
      <c r="D266" s="2879"/>
      <c r="E266" s="2879"/>
      <c r="F266" s="2879"/>
      <c r="G266" s="2879"/>
      <c r="H266" s="2170"/>
      <c r="I266" s="2209"/>
      <c r="J266" s="2060"/>
      <c r="K266" s="2209"/>
      <c r="L266" s="201"/>
      <c r="N266" s="1471"/>
      <c r="P266" s="48"/>
      <c r="Q266" s="48"/>
      <c r="S266" s="48"/>
    </row>
    <row r="267" spans="1:19" ht="15.6" hidden="1" customHeight="1" x14ac:dyDescent="0.25">
      <c r="A267" s="201"/>
      <c r="B267" s="201"/>
      <c r="C267" s="201"/>
      <c r="D267" s="201"/>
      <c r="E267" s="201"/>
      <c r="F267" s="201"/>
      <c r="G267" s="201"/>
      <c r="H267" s="201"/>
      <c r="I267" s="58"/>
      <c r="K267" s="58"/>
      <c r="L267" s="201"/>
      <c r="M267" s="1134"/>
      <c r="N267" s="1147"/>
      <c r="O267" s="1133"/>
      <c r="P267" s="55"/>
      <c r="Q267" s="48"/>
      <c r="S267" s="48"/>
    </row>
    <row r="268" spans="1:19" s="50" customFormat="1" ht="15.6" hidden="1" customHeight="1" thickBot="1" x14ac:dyDescent="0.3">
      <c r="A268" s="275"/>
      <c r="B268" s="292" t="s">
        <v>7637</v>
      </c>
      <c r="C268" s="275"/>
      <c r="D268" s="275"/>
      <c r="E268" s="275"/>
      <c r="F268" s="275"/>
      <c r="G268" s="275"/>
      <c r="H268" s="275"/>
      <c r="I268" s="226">
        <f>SUM(I269:I281)</f>
        <v>0</v>
      </c>
      <c r="J268" s="224"/>
      <c r="K268" s="226">
        <f>SUM(K269:K281)</f>
        <v>0</v>
      </c>
      <c r="L268" s="275"/>
      <c r="M268" s="619"/>
      <c r="N268" s="235"/>
      <c r="O268" s="234"/>
      <c r="P268" s="635"/>
      <c r="R268" s="1128" t="s">
        <v>3857</v>
      </c>
    </row>
    <row r="269" spans="1:19" ht="15.6" hidden="1" customHeight="1" thickTop="1" x14ac:dyDescent="0.25">
      <c r="A269" s="201"/>
      <c r="B269" s="201"/>
      <c r="C269" s="201"/>
      <c r="D269" s="201"/>
      <c r="E269" s="201"/>
      <c r="F269" s="201"/>
      <c r="G269" s="201"/>
      <c r="H269" s="201"/>
      <c r="I269" s="320"/>
      <c r="K269" s="320"/>
      <c r="L269" s="201"/>
      <c r="P269" s="1133"/>
      <c r="Q269" s="1133"/>
      <c r="S269" s="1133"/>
    </row>
    <row r="270" spans="1:19" ht="15.6" hidden="1" customHeight="1" x14ac:dyDescent="0.25">
      <c r="A270" s="201"/>
      <c r="B270" s="2170" t="s">
        <v>4481</v>
      </c>
      <c r="C270" s="2170"/>
      <c r="D270" s="2170"/>
      <c r="E270" s="2170"/>
      <c r="F270" s="2170"/>
      <c r="G270" s="2170"/>
      <c r="H270" s="2170"/>
      <c r="I270" s="2043">
        <v>0</v>
      </c>
      <c r="J270" s="2060"/>
      <c r="K270" s="2043">
        <v>0</v>
      </c>
      <c r="L270" s="201"/>
      <c r="P270" s="1133"/>
      <c r="Q270" s="1133"/>
      <c r="S270" s="1133"/>
    </row>
    <row r="271" spans="1:19" ht="30.95" hidden="1" customHeight="1" x14ac:dyDescent="0.25">
      <c r="A271" s="201"/>
      <c r="B271" s="2879" t="s">
        <v>4482</v>
      </c>
      <c r="C271" s="2879"/>
      <c r="D271" s="2879"/>
      <c r="E271" s="2879"/>
      <c r="F271" s="2879"/>
      <c r="G271" s="2879"/>
      <c r="H271" s="2170"/>
      <c r="I271" s="2043"/>
      <c r="J271" s="2060"/>
      <c r="K271" s="2043"/>
      <c r="L271" s="201"/>
    </row>
    <row r="272" spans="1:19" ht="15.6" hidden="1" customHeight="1" x14ac:dyDescent="0.25">
      <c r="A272" s="201"/>
      <c r="B272" s="2170"/>
      <c r="C272" s="2170"/>
      <c r="D272" s="2170"/>
      <c r="E272" s="2170"/>
      <c r="F272" s="2170"/>
      <c r="G272" s="2170"/>
      <c r="H272" s="2170"/>
      <c r="I272" s="2209"/>
      <c r="J272" s="2060"/>
      <c r="K272" s="2209"/>
      <c r="L272" s="201"/>
    </row>
    <row r="273" spans="1:19" ht="15.6" hidden="1" customHeight="1" x14ac:dyDescent="0.25">
      <c r="A273" s="201"/>
      <c r="B273" s="2170" t="s">
        <v>4483</v>
      </c>
      <c r="C273" s="2170"/>
      <c r="D273" s="2170"/>
      <c r="E273" s="2170"/>
      <c r="F273" s="2170"/>
      <c r="G273" s="2170"/>
      <c r="H273" s="2170"/>
      <c r="I273" s="2043">
        <v>0</v>
      </c>
      <c r="J273" s="2060"/>
      <c r="K273" s="2043">
        <v>0</v>
      </c>
      <c r="L273" s="201"/>
      <c r="P273" s="1133"/>
      <c r="Q273" s="1133"/>
      <c r="S273" s="1133"/>
    </row>
    <row r="274" spans="1:19" ht="62.1" hidden="1" customHeight="1" x14ac:dyDescent="0.25">
      <c r="A274" s="201"/>
      <c r="B274" s="2879" t="s">
        <v>4484</v>
      </c>
      <c r="C274" s="2879"/>
      <c r="D274" s="2879"/>
      <c r="E274" s="2879"/>
      <c r="F274" s="2879"/>
      <c r="G274" s="2879"/>
      <c r="H274" s="2170"/>
      <c r="I274" s="2043"/>
      <c r="J274" s="2060"/>
      <c r="K274" s="2043"/>
      <c r="L274" s="201"/>
    </row>
    <row r="275" spans="1:19" ht="15.6" hidden="1" customHeight="1" x14ac:dyDescent="0.25">
      <c r="A275" s="201"/>
      <c r="B275" s="2170"/>
      <c r="C275" s="2170"/>
      <c r="D275" s="2170"/>
      <c r="E275" s="2170"/>
      <c r="F275" s="2170"/>
      <c r="G275" s="2170"/>
      <c r="H275" s="2170"/>
      <c r="I275" s="2209"/>
      <c r="J275" s="2060"/>
      <c r="K275" s="2209"/>
      <c r="L275" s="201"/>
    </row>
    <row r="276" spans="1:19" ht="15.6" hidden="1" customHeight="1" x14ac:dyDescent="0.25">
      <c r="A276" s="201"/>
      <c r="B276" s="2170" t="s">
        <v>4485</v>
      </c>
      <c r="C276" s="2170"/>
      <c r="D276" s="2170"/>
      <c r="E276" s="2170"/>
      <c r="F276" s="2170"/>
      <c r="G276" s="2170"/>
      <c r="H276" s="2170"/>
      <c r="I276" s="2043">
        <v>0</v>
      </c>
      <c r="J276" s="2060"/>
      <c r="K276" s="2043">
        <v>0</v>
      </c>
      <c r="L276" s="201"/>
      <c r="P276" s="1133"/>
      <c r="Q276" s="1133"/>
      <c r="S276" s="1133"/>
    </row>
    <row r="277" spans="1:19" ht="77.45" hidden="1" customHeight="1" x14ac:dyDescent="0.25">
      <c r="A277" s="201"/>
      <c r="B277" s="2879" t="s">
        <v>4486</v>
      </c>
      <c r="C277" s="2879"/>
      <c r="D277" s="2879"/>
      <c r="E277" s="2879"/>
      <c r="F277" s="2879"/>
      <c r="G277" s="2879"/>
      <c r="H277" s="2170"/>
      <c r="I277" s="2043"/>
      <c r="J277" s="2060"/>
      <c r="K277" s="2043"/>
      <c r="L277" s="201"/>
      <c r="M277" s="1134"/>
      <c r="N277" s="1147"/>
      <c r="O277" s="1133"/>
      <c r="P277" s="55"/>
      <c r="Q277" s="48"/>
      <c r="S277" s="48"/>
    </row>
    <row r="278" spans="1:19" ht="15.6" hidden="1" customHeight="1" x14ac:dyDescent="0.25">
      <c r="A278" s="201"/>
      <c r="B278" s="2170"/>
      <c r="C278" s="2170"/>
      <c r="D278" s="2170"/>
      <c r="E278" s="2170"/>
      <c r="F278" s="2170"/>
      <c r="G278" s="2170"/>
      <c r="H278" s="2170"/>
      <c r="I278" s="2043"/>
      <c r="J278" s="2060"/>
      <c r="K278" s="2043"/>
      <c r="L278" s="201"/>
      <c r="M278" s="1134"/>
      <c r="N278" s="1147"/>
      <c r="O278" s="1133"/>
      <c r="P278" s="55"/>
      <c r="Q278" s="48"/>
      <c r="S278" s="48"/>
    </row>
    <row r="279" spans="1:19" ht="15.6" hidden="1" customHeight="1" x14ac:dyDescent="0.25">
      <c r="A279" s="201"/>
      <c r="B279" s="2170" t="s">
        <v>4488</v>
      </c>
      <c r="C279" s="2170"/>
      <c r="D279" s="2170"/>
      <c r="E279" s="2170"/>
      <c r="F279" s="2170"/>
      <c r="G279" s="2170"/>
      <c r="H279" s="2170"/>
      <c r="I279" s="2043">
        <v>0</v>
      </c>
      <c r="J279" s="2060"/>
      <c r="K279" s="2043">
        <v>0</v>
      </c>
      <c r="L279" s="201"/>
      <c r="P279" s="1133"/>
      <c r="Q279" s="1133"/>
      <c r="S279" s="1133"/>
    </row>
    <row r="280" spans="1:19" ht="77.45" hidden="1" customHeight="1" x14ac:dyDescent="0.25">
      <c r="A280" s="201"/>
      <c r="B280" s="2879" t="s">
        <v>4487</v>
      </c>
      <c r="C280" s="2879"/>
      <c r="D280" s="2879"/>
      <c r="E280" s="2879"/>
      <c r="F280" s="2879"/>
      <c r="G280" s="2879"/>
      <c r="H280" s="2170"/>
      <c r="I280" s="2043"/>
      <c r="J280" s="2060"/>
      <c r="K280" s="2043"/>
      <c r="L280" s="201"/>
      <c r="P280" s="60"/>
      <c r="Q280" s="48"/>
      <c r="S280" s="48"/>
    </row>
    <row r="281" spans="1:19" ht="15.6" hidden="1" customHeight="1" x14ac:dyDescent="0.25">
      <c r="A281" s="201"/>
      <c r="B281" s="201"/>
      <c r="C281" s="201"/>
      <c r="D281" s="201"/>
      <c r="E281" s="201"/>
      <c r="F281" s="201"/>
      <c r="G281" s="201"/>
      <c r="H281" s="201"/>
      <c r="I281" s="58"/>
      <c r="K281" s="58"/>
      <c r="L281" s="201"/>
      <c r="P281" s="60"/>
      <c r="Q281" s="48"/>
      <c r="S281" s="48"/>
    </row>
    <row r="282" spans="1:19" s="50" customFormat="1" ht="15.6" hidden="1" customHeight="1" thickBot="1" x14ac:dyDescent="0.3">
      <c r="A282" s="275"/>
      <c r="B282" s="292" t="s">
        <v>7638</v>
      </c>
      <c r="C282" s="275"/>
      <c r="D282" s="275"/>
      <c r="E282" s="275"/>
      <c r="F282" s="275"/>
      <c r="G282" s="275"/>
      <c r="H282" s="275"/>
      <c r="I282" s="226">
        <v>0</v>
      </c>
      <c r="J282" s="224"/>
      <c r="K282" s="226">
        <v>0</v>
      </c>
      <c r="L282" s="275"/>
      <c r="M282" s="1644" t="s">
        <v>1262</v>
      </c>
      <c r="N282" s="235"/>
      <c r="O282" s="234"/>
      <c r="P282" s="635"/>
      <c r="R282" s="1128" t="s">
        <v>3857</v>
      </c>
    </row>
    <row r="283" spans="1:19" ht="46.5" hidden="1" customHeight="1" thickTop="1" x14ac:dyDescent="0.25">
      <c r="A283" s="201"/>
      <c r="B283" s="2879" t="s">
        <v>1263</v>
      </c>
      <c r="C283" s="2879"/>
      <c r="D283" s="2879"/>
      <c r="E283" s="2879"/>
      <c r="F283" s="2879"/>
      <c r="G283" s="2879"/>
      <c r="H283" s="2170"/>
      <c r="I283" s="2212"/>
      <c r="J283" s="2213"/>
      <c r="K283" s="2212"/>
      <c r="L283" s="201"/>
      <c r="M283" s="1134"/>
      <c r="N283" s="1147"/>
      <c r="O283" s="1133"/>
      <c r="P283" s="55"/>
      <c r="Q283" s="48"/>
      <c r="S283" s="48"/>
    </row>
    <row r="284" spans="1:19" ht="15" hidden="1" customHeight="1" x14ac:dyDescent="0.25">
      <c r="A284" s="201"/>
      <c r="B284" s="201"/>
      <c r="C284" s="201"/>
      <c r="D284" s="201"/>
      <c r="E284" s="201"/>
      <c r="F284" s="201"/>
      <c r="G284" s="201"/>
      <c r="H284" s="201"/>
      <c r="I284" s="58"/>
      <c r="K284" s="58"/>
      <c r="L284" s="201"/>
      <c r="M284" s="1134"/>
      <c r="N284" s="1147"/>
      <c r="O284" s="1133"/>
      <c r="P284" s="55"/>
      <c r="Q284" s="48"/>
      <c r="S284" s="48"/>
    </row>
    <row r="285" spans="1:19" ht="15.6" hidden="1" customHeight="1" x14ac:dyDescent="0.25">
      <c r="I285" s="58"/>
      <c r="K285" s="58"/>
    </row>
    <row r="286" spans="1:19" ht="15.6" customHeight="1" x14ac:dyDescent="0.25">
      <c r="A286" s="277">
        <v>51</v>
      </c>
      <c r="B286" s="275" t="s">
        <v>63</v>
      </c>
      <c r="C286" s="201"/>
      <c r="D286" s="201"/>
      <c r="E286" s="201"/>
      <c r="F286" s="201"/>
      <c r="G286" s="201"/>
      <c r="H286" s="201"/>
      <c r="I286" s="58"/>
      <c r="K286" s="58"/>
      <c r="L286" s="201"/>
      <c r="R286" s="1128" t="s">
        <v>3520</v>
      </c>
    </row>
    <row r="287" spans="1:19" ht="15.6" customHeight="1" x14ac:dyDescent="0.25">
      <c r="A287" s="201"/>
      <c r="B287" s="201"/>
      <c r="C287" s="201"/>
      <c r="D287" s="201"/>
      <c r="E287" s="201"/>
      <c r="F287" s="201"/>
      <c r="G287" s="201"/>
      <c r="H287" s="201"/>
      <c r="I287" s="58"/>
      <c r="K287" s="58"/>
      <c r="L287" s="201"/>
    </row>
    <row r="288" spans="1:19" ht="15.6" hidden="1" customHeight="1" x14ac:dyDescent="0.25">
      <c r="A288" s="201"/>
      <c r="B288" s="201" t="s">
        <v>328</v>
      </c>
      <c r="C288" s="201"/>
      <c r="D288" s="201"/>
      <c r="E288" s="201"/>
      <c r="F288" s="201"/>
      <c r="G288" s="201"/>
      <c r="H288" s="201"/>
      <c r="I288" s="58"/>
      <c r="K288" s="58"/>
      <c r="L288" s="201"/>
      <c r="M288" s="1134"/>
      <c r="N288" s="1147"/>
      <c r="O288" s="1133"/>
      <c r="P288" s="55"/>
      <c r="Q288" s="48"/>
      <c r="S288" s="48"/>
    </row>
    <row r="289" spans="1:19" ht="15.6" hidden="1" customHeight="1" x14ac:dyDescent="0.25">
      <c r="A289" s="201"/>
      <c r="B289" s="201"/>
      <c r="C289" s="201"/>
      <c r="D289" s="201"/>
      <c r="E289" s="201"/>
      <c r="F289" s="201"/>
      <c r="G289" s="201"/>
      <c r="H289" s="201"/>
      <c r="I289" s="58"/>
      <c r="K289" s="58"/>
      <c r="L289" s="201"/>
      <c r="M289" s="1134"/>
      <c r="N289" s="1147"/>
      <c r="O289" s="1133"/>
      <c r="P289" s="55"/>
      <c r="Q289" s="48"/>
      <c r="S289" s="48"/>
    </row>
    <row r="290" spans="1:19" ht="15.6" hidden="1" customHeight="1" x14ac:dyDescent="0.25">
      <c r="A290" s="201"/>
      <c r="B290" s="2879" t="s">
        <v>1265</v>
      </c>
      <c r="C290" s="2879"/>
      <c r="D290" s="2879"/>
      <c r="E290" s="2879"/>
      <c r="F290" s="2879"/>
      <c r="G290" s="2879"/>
      <c r="H290" s="2170"/>
      <c r="I290" s="2043"/>
      <c r="J290" s="2060"/>
      <c r="K290" s="2043"/>
      <c r="L290" s="201"/>
      <c r="M290" s="1134"/>
      <c r="N290" s="1147"/>
      <c r="O290" s="1133"/>
      <c r="P290" s="55"/>
      <c r="Q290" s="48"/>
      <c r="S290" s="48"/>
    </row>
    <row r="291" spans="1:19" ht="15.6" customHeight="1" x14ac:dyDescent="0.25">
      <c r="A291" s="201"/>
      <c r="B291" s="2861" t="s">
        <v>1264</v>
      </c>
      <c r="C291" s="2861"/>
      <c r="D291" s="2861"/>
      <c r="E291" s="2861"/>
      <c r="F291" s="2861"/>
      <c r="G291" s="2861"/>
      <c r="H291" s="2861"/>
      <c r="I291" s="2861"/>
      <c r="J291" s="2861"/>
      <c r="K291" s="2861"/>
      <c r="L291" s="201"/>
      <c r="M291" s="1133"/>
      <c r="N291" s="1147"/>
      <c r="O291" s="1133"/>
      <c r="P291" s="48"/>
      <c r="Q291" s="48"/>
      <c r="S291" s="48"/>
    </row>
    <row r="292" spans="1:19" ht="15.6" customHeight="1" x14ac:dyDescent="0.25">
      <c r="A292" s="201"/>
      <c r="B292" s="201"/>
      <c r="C292" s="201"/>
      <c r="D292" s="201"/>
      <c r="E292" s="201"/>
      <c r="F292" s="201"/>
      <c r="G292" s="201"/>
      <c r="H292" s="201"/>
      <c r="I292" s="58"/>
      <c r="K292" s="58"/>
      <c r="L292" s="201"/>
      <c r="M292" s="1134"/>
      <c r="N292" s="1147"/>
      <c r="O292" s="1133"/>
      <c r="P292" s="55"/>
      <c r="Q292" s="48"/>
      <c r="S292" s="48"/>
    </row>
    <row r="293" spans="1:19" ht="15.6" hidden="1" customHeight="1" x14ac:dyDescent="0.25">
      <c r="A293" s="201"/>
      <c r="B293" s="278"/>
      <c r="C293" s="201"/>
      <c r="D293" s="201"/>
      <c r="E293" s="201"/>
      <c r="F293" s="201"/>
      <c r="G293" s="201"/>
      <c r="H293" s="201"/>
      <c r="I293" s="58"/>
      <c r="K293" s="58"/>
      <c r="L293" s="201"/>
    </row>
    <row r="294" spans="1:19" ht="15.6" customHeight="1" x14ac:dyDescent="0.25">
      <c r="A294" s="277">
        <v>52</v>
      </c>
      <c r="B294" s="275" t="s">
        <v>329</v>
      </c>
      <c r="C294" s="201"/>
      <c r="D294" s="201"/>
      <c r="E294" s="201"/>
      <c r="F294" s="201"/>
      <c r="G294" s="201"/>
      <c r="H294" s="201"/>
      <c r="I294" s="58"/>
      <c r="K294" s="58"/>
      <c r="L294" s="201"/>
      <c r="R294" s="1128" t="s">
        <v>3520</v>
      </c>
    </row>
    <row r="295" spans="1:19" ht="15.6" customHeight="1" x14ac:dyDescent="0.25">
      <c r="A295" s="201"/>
      <c r="B295" s="278"/>
      <c r="C295" s="201"/>
      <c r="D295" s="201"/>
      <c r="E295" s="201"/>
      <c r="F295" s="201"/>
      <c r="G295" s="201"/>
      <c r="H295" s="201"/>
      <c r="I295" s="58"/>
      <c r="K295" s="58"/>
      <c r="L295" s="201"/>
    </row>
    <row r="296" spans="1:19" ht="30.95" hidden="1" customHeight="1" x14ac:dyDescent="0.25">
      <c r="A296" s="201"/>
      <c r="B296" s="2988" t="s">
        <v>1305</v>
      </c>
      <c r="C296" s="2988"/>
      <c r="D296" s="2988"/>
      <c r="E296" s="2988"/>
      <c r="F296" s="2988"/>
      <c r="G296" s="2988"/>
      <c r="H296" s="2988"/>
      <c r="I296" s="2988"/>
      <c r="J296" s="2988"/>
      <c r="K296" s="2988"/>
      <c r="L296" s="201"/>
      <c r="N296" s="1147"/>
    </row>
    <row r="297" spans="1:19" ht="15.6" customHeight="1" x14ac:dyDescent="0.25">
      <c r="A297" s="201"/>
      <c r="B297" s="2861" t="s">
        <v>4489</v>
      </c>
      <c r="C297" s="2861"/>
      <c r="D297" s="2861"/>
      <c r="E297" s="2861"/>
      <c r="F297" s="2861"/>
      <c r="G297" s="2861"/>
      <c r="H297" s="2861"/>
      <c r="I297" s="2861"/>
      <c r="J297" s="2861"/>
      <c r="K297" s="2861"/>
      <c r="L297" s="201"/>
      <c r="M297" s="1134"/>
      <c r="N297" s="1147"/>
      <c r="O297" s="1133"/>
      <c r="P297" s="55"/>
      <c r="Q297" s="48"/>
      <c r="S297" s="48"/>
    </row>
    <row r="298" spans="1:19" ht="15.6" customHeight="1" x14ac:dyDescent="0.25">
      <c r="I298" s="58"/>
      <c r="J298" s="200"/>
      <c r="K298" s="58"/>
      <c r="N298" s="1147"/>
    </row>
    <row r="299" spans="1:19" ht="15.6" customHeight="1" x14ac:dyDescent="0.25">
      <c r="A299" s="201"/>
      <c r="B299" s="278"/>
      <c r="C299" s="201"/>
      <c r="D299" s="201"/>
      <c r="E299" s="201"/>
      <c r="F299" s="201"/>
      <c r="G299" s="201"/>
      <c r="H299" s="201"/>
      <c r="I299" s="58"/>
      <c r="K299" s="58"/>
      <c r="L299" s="201"/>
    </row>
    <row r="300" spans="1:19" ht="15.6" customHeight="1" x14ac:dyDescent="0.25">
      <c r="A300" s="277">
        <v>53</v>
      </c>
      <c r="B300" s="275" t="s">
        <v>330</v>
      </c>
      <c r="C300" s="201"/>
      <c r="D300" s="201"/>
      <c r="E300" s="201"/>
      <c r="F300" s="201"/>
      <c r="G300" s="201"/>
      <c r="H300" s="201"/>
      <c r="I300" s="58"/>
      <c r="K300" s="58"/>
      <c r="L300" s="201"/>
      <c r="R300" s="1128" t="s">
        <v>3520</v>
      </c>
    </row>
    <row r="301" spans="1:19" ht="15.6" customHeight="1" x14ac:dyDescent="0.25">
      <c r="A301" s="201"/>
      <c r="B301" s="278"/>
      <c r="C301" s="201"/>
      <c r="D301" s="201"/>
      <c r="E301" s="201"/>
      <c r="F301" s="201"/>
      <c r="G301" s="201"/>
      <c r="H301" s="201"/>
      <c r="I301" s="58"/>
      <c r="K301" s="58"/>
      <c r="L301" s="201"/>
    </row>
    <row r="302" spans="1:19" ht="15.6" customHeight="1" x14ac:dyDescent="0.25">
      <c r="A302" s="201"/>
      <c r="B302" s="2861" t="str">
        <f>"No events having financial implications requiring disclosure occurred subsequent to "&amp;Parameters!C11&amp;"."</f>
        <v>No events having financial implications requiring disclosure occurred subsequent to 30 June 2012.</v>
      </c>
      <c r="C302" s="2861"/>
      <c r="D302" s="2861"/>
      <c r="E302" s="2861"/>
      <c r="F302" s="2861"/>
      <c r="G302" s="2861"/>
      <c r="H302" s="2861"/>
      <c r="I302" s="2861"/>
      <c r="J302" s="2861"/>
      <c r="K302" s="2861"/>
      <c r="L302" s="201"/>
      <c r="M302" s="1482"/>
      <c r="N302" s="1147"/>
      <c r="O302" s="1133"/>
      <c r="P302" s="48"/>
      <c r="Q302" s="48"/>
      <c r="S302" s="48"/>
    </row>
    <row r="303" spans="1:19" ht="15.6" customHeight="1" x14ac:dyDescent="0.25">
      <c r="A303" s="201"/>
      <c r="B303" s="278"/>
      <c r="C303" s="201"/>
      <c r="D303" s="201"/>
      <c r="E303" s="201"/>
      <c r="F303" s="201"/>
      <c r="G303" s="201"/>
      <c r="H303" s="201"/>
      <c r="I303" s="58"/>
      <c r="K303" s="58"/>
      <c r="L303" s="201"/>
      <c r="M303" s="1134"/>
      <c r="N303" s="1147"/>
      <c r="O303" s="1133"/>
      <c r="P303" s="55"/>
      <c r="Q303" s="48"/>
      <c r="S303" s="48"/>
    </row>
    <row r="304" spans="1:19" ht="15.6" hidden="1" customHeight="1" x14ac:dyDescent="0.25">
      <c r="A304" s="201"/>
      <c r="B304" s="2211" t="s">
        <v>7639</v>
      </c>
      <c r="C304" s="2170"/>
      <c r="D304" s="2170"/>
      <c r="E304" s="2170"/>
      <c r="F304" s="2170"/>
      <c r="G304" s="2170"/>
      <c r="H304" s="2170"/>
      <c r="I304" s="2043"/>
      <c r="J304" s="2060"/>
      <c r="K304" s="2043"/>
      <c r="L304" s="201"/>
      <c r="R304" s="1128" t="s">
        <v>3857</v>
      </c>
    </row>
    <row r="305" spans="1:19" ht="62.1" hidden="1" customHeight="1" x14ac:dyDescent="0.25">
      <c r="A305" s="201"/>
      <c r="B305" s="2989" t="s">
        <v>729</v>
      </c>
      <c r="C305" s="2989"/>
      <c r="D305" s="2989"/>
      <c r="E305" s="2989"/>
      <c r="F305" s="2989"/>
      <c r="G305" s="2989"/>
      <c r="H305" s="2989"/>
      <c r="I305" s="2989"/>
      <c r="J305" s="2989"/>
      <c r="K305" s="2989"/>
      <c r="L305" s="201"/>
      <c r="M305" s="1214" t="s">
        <v>2450</v>
      </c>
    </row>
    <row r="306" spans="1:19" ht="15.6" hidden="1" customHeight="1" x14ac:dyDescent="0.25">
      <c r="A306" s="201"/>
      <c r="B306" s="2214"/>
      <c r="C306" s="2170"/>
      <c r="D306" s="2170"/>
      <c r="E306" s="2170"/>
      <c r="F306" s="2170"/>
      <c r="G306" s="2170"/>
      <c r="H306" s="2170"/>
      <c r="I306" s="2043"/>
      <c r="J306" s="2060"/>
      <c r="K306" s="2043"/>
      <c r="L306" s="201"/>
    </row>
    <row r="307" spans="1:19" hidden="1" x14ac:dyDescent="0.25">
      <c r="A307" s="201"/>
      <c r="B307" s="2211" t="s">
        <v>7640</v>
      </c>
      <c r="C307" s="2170"/>
      <c r="D307" s="2170"/>
      <c r="E307" s="2170"/>
      <c r="F307" s="2170"/>
      <c r="G307" s="2170"/>
      <c r="H307" s="2170"/>
      <c r="I307" s="2043"/>
      <c r="J307" s="2060"/>
      <c r="K307" s="2043"/>
      <c r="L307" s="201"/>
      <c r="R307" s="1128" t="s">
        <v>3857</v>
      </c>
    </row>
    <row r="308" spans="1:19" ht="62.1" hidden="1" customHeight="1" x14ac:dyDescent="0.25">
      <c r="A308" s="201"/>
      <c r="B308" s="2989" t="s">
        <v>739</v>
      </c>
      <c r="C308" s="2989"/>
      <c r="D308" s="2989"/>
      <c r="E308" s="2989"/>
      <c r="F308" s="2989"/>
      <c r="G308" s="2989"/>
      <c r="H308" s="2989"/>
      <c r="I308" s="2989"/>
      <c r="J308" s="2989"/>
      <c r="K308" s="2989"/>
      <c r="L308" s="201"/>
      <c r="M308" s="1214" t="s">
        <v>2450</v>
      </c>
    </row>
    <row r="309" spans="1:19" ht="15.6" hidden="1" customHeight="1" x14ac:dyDescent="0.25">
      <c r="A309" s="201"/>
      <c r="B309" s="2214"/>
      <c r="C309" s="2170"/>
      <c r="D309" s="2170"/>
      <c r="E309" s="2170"/>
      <c r="F309" s="2170"/>
      <c r="G309" s="2170"/>
      <c r="H309" s="2170"/>
      <c r="I309" s="2043"/>
      <c r="J309" s="2060"/>
      <c r="K309" s="2043"/>
      <c r="L309" s="201"/>
    </row>
    <row r="310" spans="1:19" s="50" customFormat="1" ht="15.6" hidden="1" customHeight="1" x14ac:dyDescent="0.25">
      <c r="A310" s="275"/>
      <c r="B310" s="2211" t="s">
        <v>7641</v>
      </c>
      <c r="C310" s="2184"/>
      <c r="D310" s="2184"/>
      <c r="E310" s="2184"/>
      <c r="F310" s="2184"/>
      <c r="G310" s="2184"/>
      <c r="H310" s="2184"/>
      <c r="I310" s="2049"/>
      <c r="J310" s="2185"/>
      <c r="K310" s="2049"/>
      <c r="L310" s="275"/>
      <c r="M310" s="619"/>
      <c r="N310" s="235"/>
      <c r="O310" s="234"/>
      <c r="P310" s="635"/>
      <c r="R310" s="1128" t="s">
        <v>3857</v>
      </c>
    </row>
    <row r="311" spans="1:19" ht="46.5" hidden="1" customHeight="1" x14ac:dyDescent="0.25">
      <c r="A311" s="201"/>
      <c r="B311" s="2987" t="s">
        <v>1449</v>
      </c>
      <c r="C311" s="2987"/>
      <c r="D311" s="2987"/>
      <c r="E311" s="2987"/>
      <c r="F311" s="2987"/>
      <c r="G311" s="2987"/>
      <c r="H311" s="2987"/>
      <c r="I311" s="2987"/>
      <c r="J311" s="2987"/>
      <c r="K311" s="2987"/>
      <c r="L311" s="201"/>
      <c r="M311" s="1214" t="s">
        <v>2450</v>
      </c>
      <c r="N311" s="1147"/>
      <c r="O311" s="1133"/>
      <c r="P311" s="48"/>
      <c r="Q311" s="48"/>
      <c r="S311" s="48"/>
    </row>
    <row r="312" spans="1:19" ht="15.6" hidden="1" customHeight="1" x14ac:dyDescent="0.25">
      <c r="A312" s="201"/>
      <c r="B312" s="278"/>
      <c r="C312" s="201"/>
      <c r="D312" s="201"/>
      <c r="E312" s="201"/>
      <c r="F312" s="201"/>
      <c r="G312" s="201"/>
      <c r="H312" s="201"/>
      <c r="I312" s="58"/>
      <c r="K312" s="58"/>
      <c r="L312" s="201"/>
      <c r="M312" s="1133"/>
      <c r="N312" s="1147"/>
      <c r="O312" s="1133"/>
      <c r="P312" s="48"/>
      <c r="Q312" s="48"/>
      <c r="S312" s="48"/>
    </row>
    <row r="313" spans="1:19" ht="15.6" hidden="1" customHeight="1" x14ac:dyDescent="0.25">
      <c r="I313" s="58"/>
      <c r="J313" s="200"/>
      <c r="K313" s="58"/>
      <c r="N313" s="1147"/>
    </row>
    <row r="314" spans="1:19" ht="15.6" customHeight="1" x14ac:dyDescent="0.25">
      <c r="A314" s="277">
        <v>54</v>
      </c>
      <c r="B314" s="275" t="s">
        <v>1333</v>
      </c>
      <c r="C314" s="201"/>
      <c r="D314" s="201"/>
      <c r="E314" s="201"/>
      <c r="F314" s="201"/>
      <c r="G314" s="201"/>
      <c r="H314" s="201"/>
      <c r="I314" s="58"/>
      <c r="K314" s="58"/>
      <c r="L314" s="201"/>
      <c r="R314" s="1128" t="s">
        <v>3520</v>
      </c>
    </row>
    <row r="315" spans="1:19" ht="15.6" customHeight="1" x14ac:dyDescent="0.25">
      <c r="A315" s="201"/>
      <c r="B315" s="201"/>
      <c r="C315" s="201"/>
      <c r="D315" s="201"/>
      <c r="E315" s="201"/>
      <c r="F315" s="201"/>
      <c r="G315" s="201"/>
      <c r="H315" s="201"/>
      <c r="I315" s="58"/>
      <c r="K315" s="58"/>
      <c r="L315" s="201"/>
    </row>
    <row r="316" spans="1:19" ht="15.6" customHeight="1" x14ac:dyDescent="0.25">
      <c r="A316" s="201"/>
      <c r="B316" s="2861" t="str">
        <f>"The comparative figures were restated as a result of the effect of Changes in Accounting Policies (Note 36) and Prior Period Errors (Note 37)."</f>
        <v>The comparative figures were restated as a result of the effect of Changes in Accounting Policies (Note 36) and Prior Period Errors (Note 37).</v>
      </c>
      <c r="C316" s="2861"/>
      <c r="D316" s="2861"/>
      <c r="E316" s="2861"/>
      <c r="F316" s="2861"/>
      <c r="G316" s="2861"/>
      <c r="H316" s="2861"/>
      <c r="I316" s="2861"/>
      <c r="J316" s="2861"/>
      <c r="K316" s="2861"/>
      <c r="L316" s="201"/>
      <c r="M316" s="1482"/>
      <c r="N316" s="1147"/>
      <c r="O316" s="1133"/>
      <c r="P316" s="55"/>
      <c r="Q316" s="48"/>
      <c r="S316" s="48"/>
    </row>
    <row r="317" spans="1:19" ht="15.6" customHeight="1" x14ac:dyDescent="0.25">
      <c r="A317" s="201"/>
      <c r="B317" s="201"/>
      <c r="C317" s="201"/>
      <c r="D317" s="201"/>
      <c r="E317" s="201"/>
      <c r="F317" s="201"/>
      <c r="G317" s="201"/>
      <c r="H317" s="201"/>
      <c r="I317" s="58"/>
      <c r="K317" s="58"/>
      <c r="L317" s="201"/>
      <c r="M317" s="1134"/>
      <c r="N317" s="1147"/>
      <c r="O317" s="1133"/>
      <c r="P317" s="55"/>
      <c r="Q317" s="48"/>
      <c r="S317" s="48"/>
    </row>
    <row r="318" spans="1:19" ht="15.6" customHeight="1" x14ac:dyDescent="0.25">
      <c r="I318" s="58"/>
      <c r="J318" s="200"/>
      <c r="K318" s="58"/>
      <c r="N318" s="1147"/>
      <c r="P318" s="1133"/>
      <c r="Q318" s="1133"/>
      <c r="S318" s="1133"/>
    </row>
    <row r="319" spans="1:19" ht="15.6" customHeight="1" x14ac:dyDescent="0.25">
      <c r="A319" s="277">
        <v>55</v>
      </c>
      <c r="B319" s="275" t="s">
        <v>4092</v>
      </c>
      <c r="C319" s="201"/>
      <c r="D319" s="201"/>
      <c r="E319" s="201"/>
      <c r="F319" s="201"/>
      <c r="G319" s="201"/>
      <c r="H319" s="201"/>
      <c r="I319" s="58"/>
      <c r="K319" s="58"/>
      <c r="L319" s="201"/>
      <c r="N319" s="1147"/>
      <c r="P319" s="1133"/>
      <c r="Q319" s="1133"/>
      <c r="R319" s="1128" t="s">
        <v>3520</v>
      </c>
      <c r="S319" s="1133"/>
    </row>
    <row r="320" spans="1:19" ht="15.6" customHeight="1" x14ac:dyDescent="0.25">
      <c r="I320" s="58"/>
      <c r="J320" s="200"/>
      <c r="K320" s="58"/>
      <c r="N320" s="1147"/>
      <c r="P320" s="1133"/>
      <c r="Q320" s="1133"/>
      <c r="S320" s="1133"/>
    </row>
    <row r="321" spans="1:19" ht="15.6" customHeight="1" x14ac:dyDescent="0.25">
      <c r="A321" s="201"/>
      <c r="B321" s="2861" t="s">
        <v>4093</v>
      </c>
      <c r="C321" s="2861"/>
      <c r="D321" s="2861"/>
      <c r="E321" s="2861"/>
      <c r="F321" s="2861"/>
      <c r="G321" s="2861"/>
      <c r="H321" s="2861"/>
      <c r="I321" s="2861"/>
      <c r="J321" s="2861"/>
      <c r="K321" s="2861"/>
      <c r="L321" s="201"/>
      <c r="M321" s="1482"/>
      <c r="N321" s="1147"/>
      <c r="O321" s="1133"/>
      <c r="P321" s="55"/>
      <c r="Q321" s="48"/>
      <c r="S321" s="48"/>
    </row>
    <row r="322" spans="1:19" ht="15.6" customHeight="1" x14ac:dyDescent="0.25">
      <c r="B322" s="61"/>
      <c r="I322" s="58"/>
      <c r="J322" s="200"/>
      <c r="K322" s="58"/>
      <c r="N322" s="1147"/>
    </row>
    <row r="323" spans="1:19" ht="46.5" customHeight="1" x14ac:dyDescent="0.25">
      <c r="A323" s="201"/>
      <c r="B323" s="2861" t="s">
        <v>8135</v>
      </c>
      <c r="C323" s="2861"/>
      <c r="D323" s="2861"/>
      <c r="E323" s="2861"/>
      <c r="F323" s="2861"/>
      <c r="G323" s="2861"/>
      <c r="H323" s="2861"/>
      <c r="I323" s="2861"/>
      <c r="J323" s="2861"/>
      <c r="K323" s="2861"/>
      <c r="L323" s="201"/>
      <c r="M323" s="1482"/>
      <c r="N323" s="1147"/>
      <c r="O323" s="1133"/>
      <c r="P323" s="55"/>
      <c r="Q323" s="48"/>
      <c r="S323" s="48"/>
    </row>
    <row r="324" spans="1:19" ht="15.6" customHeight="1" x14ac:dyDescent="0.25">
      <c r="B324" s="61"/>
      <c r="I324" s="58"/>
      <c r="J324" s="200"/>
      <c r="K324" s="58"/>
      <c r="N324" s="1147"/>
    </row>
    <row r="325" spans="1:19" ht="30.95" customHeight="1" x14ac:dyDescent="0.25">
      <c r="A325" s="201"/>
      <c r="B325" s="2861" t="s">
        <v>4094</v>
      </c>
      <c r="C325" s="2861"/>
      <c r="D325" s="2861"/>
      <c r="E325" s="2861"/>
      <c r="F325" s="2861"/>
      <c r="G325" s="2861"/>
      <c r="H325" s="2861"/>
      <c r="I325" s="2861"/>
      <c r="J325" s="2861"/>
      <c r="K325" s="2861"/>
      <c r="L325" s="201"/>
      <c r="M325" s="1482"/>
      <c r="N325" s="1147"/>
      <c r="O325" s="1133"/>
      <c r="P325" s="55"/>
      <c r="Q325" s="48"/>
      <c r="S325" s="48"/>
    </row>
    <row r="326" spans="1:19" ht="15.6" customHeight="1" x14ac:dyDescent="0.25">
      <c r="B326" s="61"/>
      <c r="I326" s="58"/>
      <c r="J326" s="200"/>
      <c r="K326" s="58"/>
      <c r="N326" s="1147"/>
    </row>
    <row r="327" spans="1:19" ht="72.75" customHeight="1" x14ac:dyDescent="0.25">
      <c r="A327" s="201"/>
      <c r="B327" s="2861" t="s">
        <v>8137</v>
      </c>
      <c r="C327" s="2861"/>
      <c r="D327" s="2861"/>
      <c r="E327" s="2861"/>
      <c r="F327" s="2861"/>
      <c r="G327" s="2861"/>
      <c r="H327" s="2861"/>
      <c r="I327" s="2861"/>
      <c r="J327" s="2861"/>
      <c r="K327" s="2861"/>
      <c r="L327" s="201"/>
      <c r="M327" s="1482"/>
      <c r="N327" s="1147"/>
      <c r="O327" s="1133"/>
      <c r="P327" s="55"/>
      <c r="Q327" s="48"/>
      <c r="S327" s="48"/>
    </row>
    <row r="328" spans="1:19" x14ac:dyDescent="0.25">
      <c r="B328" s="61"/>
      <c r="I328" s="58"/>
      <c r="J328" s="200"/>
      <c r="K328" s="58"/>
      <c r="N328" s="1147"/>
    </row>
    <row r="329" spans="1:19" ht="62.1" hidden="1" customHeight="1" x14ac:dyDescent="0.25">
      <c r="A329" s="201"/>
      <c r="B329" s="2861" t="s">
        <v>4095</v>
      </c>
      <c r="C329" s="2861"/>
      <c r="D329" s="2861"/>
      <c r="E329" s="2861"/>
      <c r="F329" s="2861"/>
      <c r="G329" s="2861"/>
      <c r="H329" s="2861"/>
      <c r="I329" s="2861"/>
      <c r="J329" s="2861"/>
      <c r="K329" s="2861"/>
      <c r="L329" s="201"/>
      <c r="M329" s="1482"/>
      <c r="N329" s="1147"/>
      <c r="O329" s="1133"/>
      <c r="P329" s="55"/>
      <c r="Q329" s="48"/>
      <c r="S329" s="48"/>
    </row>
    <row r="330" spans="1:19" ht="15.6" hidden="1" customHeight="1" x14ac:dyDescent="0.25">
      <c r="I330" s="58"/>
      <c r="J330" s="200"/>
      <c r="K330" s="58"/>
      <c r="N330" s="1147"/>
    </row>
    <row r="331" spans="1:19" ht="46.5" customHeight="1" x14ac:dyDescent="0.25">
      <c r="A331" s="201"/>
      <c r="B331" s="2861" t="s">
        <v>8136</v>
      </c>
      <c r="C331" s="2861"/>
      <c r="D331" s="2861"/>
      <c r="E331" s="2861"/>
      <c r="F331" s="2861"/>
      <c r="G331" s="2861"/>
      <c r="H331" s="2861"/>
      <c r="I331" s="2861"/>
      <c r="J331" s="2861"/>
      <c r="K331" s="2861"/>
      <c r="L331" s="201"/>
      <c r="M331" s="1482"/>
      <c r="N331" s="1147"/>
      <c r="O331" s="1133"/>
      <c r="P331" s="55"/>
      <c r="Q331" s="48"/>
      <c r="S331" s="48"/>
    </row>
    <row r="332" spans="1:19" ht="15.6" customHeight="1" x14ac:dyDescent="0.25">
      <c r="I332" s="58"/>
      <c r="J332" s="200"/>
      <c r="K332" s="58"/>
      <c r="N332" s="1147"/>
    </row>
    <row r="333" spans="1:19" ht="15.6" customHeight="1" x14ac:dyDescent="0.25">
      <c r="A333" s="201"/>
      <c r="B333" s="2861" t="s">
        <v>4096</v>
      </c>
      <c r="C333" s="2861"/>
      <c r="D333" s="2861"/>
      <c r="E333" s="2861"/>
      <c r="F333" s="2861"/>
      <c r="G333" s="2861"/>
      <c r="H333" s="2861"/>
      <c r="I333" s="2861"/>
      <c r="J333" s="2861"/>
      <c r="K333" s="2861"/>
      <c r="L333" s="201"/>
      <c r="M333" s="1482"/>
      <c r="N333" s="1147"/>
      <c r="O333" s="1133"/>
      <c r="P333" s="55"/>
      <c r="Q333" s="48"/>
      <c r="S333" s="48"/>
    </row>
    <row r="334" spans="1:19" ht="15.6" customHeight="1" x14ac:dyDescent="0.25"/>
  </sheetData>
  <mergeCells count="103">
    <mergeCell ref="B244:G244"/>
    <mergeCell ref="B247:G247"/>
    <mergeCell ref="B323:K323"/>
    <mergeCell ref="B325:K325"/>
    <mergeCell ref="B327:K327"/>
    <mergeCell ref="B329:K329"/>
    <mergeCell ref="B253:G253"/>
    <mergeCell ref="B305:K305"/>
    <mergeCell ref="B290:G290"/>
    <mergeCell ref="B283:G283"/>
    <mergeCell ref="B277:G277"/>
    <mergeCell ref="B258:G258"/>
    <mergeCell ref="B271:G271"/>
    <mergeCell ref="B266:G266"/>
    <mergeCell ref="B263:G263"/>
    <mergeCell ref="B280:G280"/>
    <mergeCell ref="B250:G250"/>
    <mergeCell ref="B274:G274"/>
    <mergeCell ref="B333:K333"/>
    <mergeCell ref="B311:K311"/>
    <mergeCell ref="B296:K296"/>
    <mergeCell ref="B302:K302"/>
    <mergeCell ref="B308:K308"/>
    <mergeCell ref="B291:K291"/>
    <mergeCell ref="B321:K321"/>
    <mergeCell ref="B297:K297"/>
    <mergeCell ref="B331:K331"/>
    <mergeCell ref="B316:K316"/>
    <mergeCell ref="B239:G239"/>
    <mergeCell ref="B145:G145"/>
    <mergeCell ref="B221:G221"/>
    <mergeCell ref="B224:G224"/>
    <mergeCell ref="B230:G230"/>
    <mergeCell ref="B227:G227"/>
    <mergeCell ref="B218:G218"/>
    <mergeCell ref="B167:G167"/>
    <mergeCell ref="B173:G173"/>
    <mergeCell ref="B176:G176"/>
    <mergeCell ref="B194:G194"/>
    <mergeCell ref="B185:G185"/>
    <mergeCell ref="B236:G236"/>
    <mergeCell ref="B182:G182"/>
    <mergeCell ref="B209:G209"/>
    <mergeCell ref="B203:G203"/>
    <mergeCell ref="B159:G159"/>
    <mergeCell ref="B212:G212"/>
    <mergeCell ref="B215:G215"/>
    <mergeCell ref="B162:G162"/>
    <mergeCell ref="B233:G233"/>
    <mergeCell ref="B206:G206"/>
    <mergeCell ref="B170:G170"/>
    <mergeCell ref="B197:G197"/>
    <mergeCell ref="B188:G188"/>
    <mergeCell ref="B200:G200"/>
    <mergeCell ref="B66:K66"/>
    <mergeCell ref="E76:K76"/>
    <mergeCell ref="E80:K80"/>
    <mergeCell ref="A1:L1"/>
    <mergeCell ref="A2:L2"/>
    <mergeCell ref="B26:K26"/>
    <mergeCell ref="B29:K29"/>
    <mergeCell ref="B31:K31"/>
    <mergeCell ref="B11:K11"/>
    <mergeCell ref="B15:K15"/>
    <mergeCell ref="B28:K28"/>
    <mergeCell ref="B9:K9"/>
    <mergeCell ref="B13:K13"/>
    <mergeCell ref="B24:K24"/>
    <mergeCell ref="B20:K20"/>
    <mergeCell ref="B191:G191"/>
    <mergeCell ref="B143:G143"/>
    <mergeCell ref="B179:G179"/>
    <mergeCell ref="B17:K17"/>
    <mergeCell ref="B19:K19"/>
    <mergeCell ref="B22:K22"/>
    <mergeCell ref="B35:K35"/>
    <mergeCell ref="B149:G149"/>
    <mergeCell ref="B141:G141"/>
    <mergeCell ref="E79:K79"/>
    <mergeCell ref="E73:G73"/>
    <mergeCell ref="E78:K78"/>
    <mergeCell ref="B125:K125"/>
    <mergeCell ref="B84:K84"/>
    <mergeCell ref="B108:K108"/>
    <mergeCell ref="B127:G127"/>
    <mergeCell ref="B118:K118"/>
    <mergeCell ref="E74:K74"/>
    <mergeCell ref="B114:K114"/>
    <mergeCell ref="I73:K73"/>
    <mergeCell ref="E77:K77"/>
    <mergeCell ref="B86:K86"/>
    <mergeCell ref="B110:K110"/>
    <mergeCell ref="E75:K75"/>
    <mergeCell ref="E72:K72"/>
    <mergeCell ref="B44:K44"/>
    <mergeCell ref="B21:K21"/>
    <mergeCell ref="B40:K40"/>
    <mergeCell ref="B46:K46"/>
    <mergeCell ref="B42:K42"/>
    <mergeCell ref="B37:K37"/>
    <mergeCell ref="B48:K50"/>
    <mergeCell ref="B55:K57"/>
    <mergeCell ref="B70:K70"/>
  </mergeCells>
  <conditionalFormatting sqref="I283 K283 I250 K250 I253 K253 I115 K115 G115 E115 I87 K87 G87 E87 I109:I111 K109:K111 G109:G111 E109:E111 K152 I152 I71 K71 G71 E71 K78 G78 E78 I78 K298 K296 G298 G296 E298 E296 I298 I296 K80:K81 G80:G81 E80:E81 I80:I81">
    <cfRule type="cellIs" dxfId="17" priority="67"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70" firstPageNumber="59" orientation="portrait" r:id="rId1"/>
  <headerFooter alignWithMargins="0"/>
  <rowBreaks count="2" manualBreakCount="2">
    <brk id="63" max="11" man="1"/>
    <brk id="143"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dimension ref="A1:Q135"/>
  <sheetViews>
    <sheetView view="pageBreakPreview" zoomScale="70" zoomScaleNormal="75" zoomScaleSheetLayoutView="70" workbookViewId="0">
      <selection activeCell="M35" sqref="M35"/>
    </sheetView>
  </sheetViews>
  <sheetFormatPr defaultColWidth="12.5703125" defaultRowHeight="15" x14ac:dyDescent="0.2"/>
  <cols>
    <col min="1" max="1" width="30.7109375" style="321" customWidth="1"/>
    <col min="2" max="2" width="14.7109375" style="321" customWidth="1"/>
    <col min="3" max="3" width="10.7109375" style="323" customWidth="1"/>
    <col min="4" max="4" width="13.7109375" style="324" customWidth="1"/>
    <col min="5" max="5" width="13.7109375" style="323" customWidth="1"/>
    <col min="6" max="9" width="14.7109375" style="321" customWidth="1"/>
    <col min="10" max="10" width="2.7109375" style="321" hidden="1" customWidth="1"/>
    <col min="11" max="12" width="15.7109375" style="321" hidden="1" customWidth="1"/>
    <col min="13" max="13" width="12.85546875" style="321" bestFit="1" customWidth="1"/>
    <col min="14" max="15" width="15.7109375" style="322" customWidth="1"/>
    <col min="16" max="16384" width="12.5703125" style="321"/>
  </cols>
  <sheetData>
    <row r="1" spans="1:15" s="325" customFormat="1" ht="20.100000000000001" customHeight="1" x14ac:dyDescent="0.25">
      <c r="A1" s="2994" t="s">
        <v>668</v>
      </c>
      <c r="B1" s="2994"/>
      <c r="C1" s="2994"/>
      <c r="D1" s="2994"/>
      <c r="E1" s="2994"/>
      <c r="F1" s="2995"/>
      <c r="G1" s="2995"/>
      <c r="H1" s="2995"/>
      <c r="I1" s="2995"/>
      <c r="J1" s="2996"/>
      <c r="K1" s="2996"/>
      <c r="L1" s="2996"/>
      <c r="N1" s="326"/>
      <c r="O1" s="326"/>
    </row>
    <row r="2" spans="1:15" s="325" customFormat="1" ht="18" customHeight="1" x14ac:dyDescent="0.25">
      <c r="A2" s="2997" t="str">
        <f>Parameters!C5</f>
        <v>Mohokare Local Municipality</v>
      </c>
      <c r="B2" s="2997"/>
      <c r="C2" s="2997"/>
      <c r="D2" s="2997"/>
      <c r="E2" s="2997"/>
      <c r="F2" s="2998"/>
      <c r="G2" s="2998"/>
      <c r="H2" s="2998"/>
      <c r="I2" s="2998"/>
      <c r="J2" s="2999"/>
      <c r="K2" s="2999"/>
      <c r="L2" s="2999"/>
      <c r="N2" s="326"/>
      <c r="O2" s="326"/>
    </row>
    <row r="3" spans="1:15" s="325" customFormat="1" ht="18" customHeight="1" thickBot="1" x14ac:dyDescent="0.3">
      <c r="A3" s="2997" t="str">
        <f>"SCHEDULE OF EXTERNAL LOANS AS AT "&amp;Parameters!C6</f>
        <v>SCHEDULE OF EXTERNAL LOANS AS AT 30 JUNE 2012</v>
      </c>
      <c r="B3" s="2997"/>
      <c r="C3" s="2997"/>
      <c r="D3" s="2997"/>
      <c r="E3" s="2997"/>
      <c r="F3" s="2998"/>
      <c r="G3" s="2998"/>
      <c r="H3" s="2998"/>
      <c r="I3" s="2998"/>
      <c r="J3" s="2999"/>
      <c r="K3" s="2999"/>
      <c r="L3" s="2999"/>
      <c r="N3" s="326"/>
      <c r="O3" s="326"/>
    </row>
    <row r="4" spans="1:15" s="331" customFormat="1" ht="15" customHeight="1" x14ac:dyDescent="0.2">
      <c r="A4" s="327"/>
      <c r="B4" s="328" t="s">
        <v>260</v>
      </c>
      <c r="C4" s="328" t="s">
        <v>10</v>
      </c>
      <c r="D4" s="329" t="s">
        <v>670</v>
      </c>
      <c r="E4" s="328"/>
      <c r="F4" s="328" t="s">
        <v>672</v>
      </c>
      <c r="G4" s="328" t="s">
        <v>244</v>
      </c>
      <c r="H4" s="328" t="s">
        <v>678</v>
      </c>
      <c r="I4" s="330" t="s">
        <v>672</v>
      </c>
      <c r="K4" s="332" t="s">
        <v>370</v>
      </c>
      <c r="L4" s="330" t="s">
        <v>373</v>
      </c>
      <c r="N4" s="333" t="s">
        <v>672</v>
      </c>
      <c r="O4" s="333" t="s">
        <v>630</v>
      </c>
    </row>
    <row r="5" spans="1:15" s="331" customFormat="1" ht="15" customHeight="1" x14ac:dyDescent="0.2">
      <c r="A5" s="334" t="s">
        <v>368</v>
      </c>
      <c r="B5" s="335" t="s">
        <v>670</v>
      </c>
      <c r="C5" s="335"/>
      <c r="D5" s="336"/>
      <c r="E5" s="335" t="s">
        <v>669</v>
      </c>
      <c r="F5" s="335"/>
      <c r="G5" s="335" t="s">
        <v>673</v>
      </c>
      <c r="H5" s="335" t="s">
        <v>366</v>
      </c>
      <c r="I5" s="337"/>
      <c r="K5" s="334" t="s">
        <v>371</v>
      </c>
      <c r="L5" s="337" t="s">
        <v>679</v>
      </c>
      <c r="N5" s="333"/>
      <c r="O5" s="333" t="s">
        <v>631</v>
      </c>
    </row>
    <row r="6" spans="1:15" s="331" customFormat="1" ht="15" customHeight="1" thickBot="1" x14ac:dyDescent="0.25">
      <c r="A6" s="338"/>
      <c r="B6" s="339" t="s">
        <v>261</v>
      </c>
      <c r="C6" s="339" t="s">
        <v>11</v>
      </c>
      <c r="D6" s="340" t="s">
        <v>671</v>
      </c>
      <c r="E6" s="339"/>
      <c r="F6" s="341" t="str">
        <f>Parameters!C13</f>
        <v>30 June 2011</v>
      </c>
      <c r="G6" s="339" t="s">
        <v>365</v>
      </c>
      <c r="H6" s="339" t="s">
        <v>367</v>
      </c>
      <c r="I6" s="342" t="str">
        <f>Parameters!C11</f>
        <v>30 June 2012</v>
      </c>
      <c r="K6" s="343" t="s">
        <v>372</v>
      </c>
      <c r="L6" s="342" t="s">
        <v>680</v>
      </c>
      <c r="N6" s="333" t="str">
        <f>Parameters!C9</f>
        <v>30 June 2013</v>
      </c>
      <c r="O6" s="344" t="str">
        <f>Parameters!C23</f>
        <v>2012/13</v>
      </c>
    </row>
    <row r="7" spans="1:15" s="331" customFormat="1" ht="15" customHeight="1" x14ac:dyDescent="0.2">
      <c r="A7" s="345"/>
      <c r="B7" s="346" t="s">
        <v>255</v>
      </c>
      <c r="C7" s="346"/>
      <c r="D7" s="347"/>
      <c r="E7" s="346"/>
      <c r="F7" s="346" t="s">
        <v>255</v>
      </c>
      <c r="G7" s="346" t="s">
        <v>255</v>
      </c>
      <c r="H7" s="346" t="s">
        <v>255</v>
      </c>
      <c r="I7" s="348" t="s">
        <v>255</v>
      </c>
      <c r="K7" s="349" t="s">
        <v>255</v>
      </c>
      <c r="L7" s="350" t="s">
        <v>255</v>
      </c>
      <c r="N7" s="351"/>
      <c r="O7" s="351"/>
    </row>
    <row r="8" spans="1:15" s="864" customFormat="1" ht="15" hidden="1" customHeight="1" x14ac:dyDescent="0.2">
      <c r="A8" s="874" t="s">
        <v>263</v>
      </c>
      <c r="B8" s="857"/>
      <c r="C8" s="875"/>
      <c r="D8" s="859"/>
      <c r="E8" s="875"/>
      <c r="F8" s="857"/>
      <c r="G8" s="857"/>
      <c r="H8" s="857"/>
      <c r="I8" s="860"/>
      <c r="J8" s="861"/>
      <c r="K8" s="862"/>
      <c r="L8" s="863"/>
      <c r="N8" s="719"/>
      <c r="O8" s="719"/>
    </row>
    <row r="9" spans="1:15" s="360" customFormat="1" ht="15" hidden="1" customHeight="1" x14ac:dyDescent="0.2">
      <c r="A9" s="703"/>
      <c r="B9" s="697"/>
      <c r="C9" s="704"/>
      <c r="D9" s="698"/>
      <c r="E9" s="698"/>
      <c r="F9" s="697"/>
      <c r="G9" s="697"/>
      <c r="H9" s="697"/>
      <c r="I9" s="699">
        <f>+F9+G9-H9</f>
        <v>0</v>
      </c>
      <c r="J9" s="700"/>
      <c r="K9" s="701"/>
      <c r="L9" s="702"/>
      <c r="N9" s="351">
        <v>0</v>
      </c>
      <c r="O9" s="351">
        <f>I9-N9</f>
        <v>0</v>
      </c>
    </row>
    <row r="10" spans="1:15" s="864" customFormat="1" ht="15" hidden="1" customHeight="1" x14ac:dyDescent="0.2">
      <c r="A10" s="856"/>
      <c r="B10" s="857"/>
      <c r="C10" s="858"/>
      <c r="D10" s="859"/>
      <c r="E10" s="859"/>
      <c r="F10" s="857"/>
      <c r="G10" s="857"/>
      <c r="H10" s="857"/>
      <c r="I10" s="860"/>
      <c r="J10" s="861"/>
      <c r="K10" s="862"/>
      <c r="L10" s="863"/>
      <c r="N10" s="719"/>
      <c r="O10" s="719"/>
    </row>
    <row r="11" spans="1:15" s="864" customFormat="1" ht="15" hidden="1" customHeight="1" x14ac:dyDescent="0.2">
      <c r="A11" s="865" t="s">
        <v>265</v>
      </c>
      <c r="B11" s="866">
        <f>SUM(B8:B10)</f>
        <v>0</v>
      </c>
      <c r="C11" s="867"/>
      <c r="D11" s="868"/>
      <c r="E11" s="868"/>
      <c r="F11" s="866">
        <f>SUM(F8:F10)</f>
        <v>0</v>
      </c>
      <c r="G11" s="866">
        <f>SUM(G8:G10)</f>
        <v>0</v>
      </c>
      <c r="H11" s="866">
        <f>SUM(H8:H10)</f>
        <v>0</v>
      </c>
      <c r="I11" s="869">
        <f>SUM(I8:I10)</f>
        <v>0</v>
      </c>
      <c r="J11" s="861"/>
      <c r="K11" s="870">
        <f>SUM(K8:K10)</f>
        <v>0</v>
      </c>
      <c r="L11" s="869">
        <f>SUM(L8:L10)</f>
        <v>0</v>
      </c>
      <c r="N11" s="871">
        <f>SUM(N8:N10)</f>
        <v>0</v>
      </c>
      <c r="O11" s="871">
        <f>SUM(O8:O10)</f>
        <v>0</v>
      </c>
    </row>
    <row r="12" spans="1:15" s="864" customFormat="1" ht="15" hidden="1" customHeight="1" x14ac:dyDescent="0.2">
      <c r="A12" s="856"/>
      <c r="B12" s="857"/>
      <c r="C12" s="858"/>
      <c r="D12" s="859"/>
      <c r="E12" s="859"/>
      <c r="F12" s="857"/>
      <c r="G12" s="857"/>
      <c r="H12" s="857"/>
      <c r="I12" s="860"/>
      <c r="J12" s="861"/>
      <c r="K12" s="872"/>
      <c r="L12" s="873"/>
      <c r="N12" s="871"/>
      <c r="O12" s="871"/>
    </row>
    <row r="13" spans="1:15" s="360" customFormat="1" ht="15" hidden="1" customHeight="1" x14ac:dyDescent="0.2">
      <c r="A13" s="352" t="s">
        <v>681</v>
      </c>
      <c r="B13" s="353"/>
      <c r="C13" s="354"/>
      <c r="D13" s="355"/>
      <c r="E13" s="354"/>
      <c r="F13" s="353"/>
      <c r="G13" s="353"/>
      <c r="H13" s="353"/>
      <c r="I13" s="356"/>
      <c r="J13" s="357"/>
      <c r="K13" s="358"/>
      <c r="L13" s="359"/>
      <c r="N13" s="351"/>
      <c r="O13" s="351"/>
    </row>
    <row r="14" spans="1:15" s="360" customFormat="1" ht="15" hidden="1" customHeight="1" x14ac:dyDescent="0.2">
      <c r="A14" s="703" t="s">
        <v>12</v>
      </c>
      <c r="B14" s="697">
        <v>0</v>
      </c>
      <c r="C14" s="704">
        <v>0.05</v>
      </c>
      <c r="D14" s="698" t="s">
        <v>1659</v>
      </c>
      <c r="E14" s="698" t="s">
        <v>1660</v>
      </c>
      <c r="F14" s="697">
        <v>0</v>
      </c>
      <c r="G14" s="697">
        <v>0</v>
      </c>
      <c r="H14" s="697">
        <v>0</v>
      </c>
      <c r="I14" s="699">
        <f>+F14+G14-H14</f>
        <v>0</v>
      </c>
      <c r="J14" s="357"/>
      <c r="K14" s="358"/>
      <c r="L14" s="359"/>
      <c r="M14" s="360">
        <v>0</v>
      </c>
      <c r="N14" s="351">
        <v>0</v>
      </c>
      <c r="O14" s="351">
        <f>I14-N14</f>
        <v>0</v>
      </c>
    </row>
    <row r="15" spans="1:15" s="360" customFormat="1" ht="15" hidden="1" customHeight="1" x14ac:dyDescent="0.2">
      <c r="A15" s="703" t="s">
        <v>12</v>
      </c>
      <c r="B15" s="697">
        <v>0</v>
      </c>
      <c r="C15" s="704">
        <v>0.14249999999999999</v>
      </c>
      <c r="D15" s="698" t="s">
        <v>107</v>
      </c>
      <c r="E15" s="698" t="s">
        <v>456</v>
      </c>
      <c r="F15" s="697">
        <v>0</v>
      </c>
      <c r="G15" s="697">
        <v>0</v>
      </c>
      <c r="H15" s="697">
        <v>0</v>
      </c>
      <c r="I15" s="699">
        <f>+F15+G15-H15</f>
        <v>0</v>
      </c>
      <c r="J15" s="357"/>
      <c r="K15" s="358"/>
      <c r="L15" s="359"/>
      <c r="M15" s="360">
        <v>0</v>
      </c>
      <c r="N15" s="351">
        <v>0</v>
      </c>
      <c r="O15" s="351">
        <f>I15-N15</f>
        <v>0</v>
      </c>
    </row>
    <row r="16" spans="1:15" s="360" customFormat="1" ht="15" hidden="1" customHeight="1" x14ac:dyDescent="0.2">
      <c r="A16" s="361"/>
      <c r="B16" s="353"/>
      <c r="C16" s="362"/>
      <c r="D16" s="355"/>
      <c r="E16" s="355"/>
      <c r="F16" s="353"/>
      <c r="G16" s="353"/>
      <c r="H16" s="353"/>
      <c r="I16" s="356"/>
      <c r="J16" s="357"/>
      <c r="K16" s="358"/>
      <c r="L16" s="359"/>
      <c r="N16" s="351"/>
      <c r="O16" s="351"/>
    </row>
    <row r="17" spans="1:17" s="360" customFormat="1" ht="15" hidden="1" customHeight="1" x14ac:dyDescent="0.2">
      <c r="A17" s="363" t="s">
        <v>369</v>
      </c>
      <c r="B17" s="364">
        <f>SUM(B13:B16)</f>
        <v>0</v>
      </c>
      <c r="C17" s="365"/>
      <c r="D17" s="366"/>
      <c r="E17" s="366"/>
      <c r="F17" s="364">
        <f>SUM(F13:F16)</f>
        <v>0</v>
      </c>
      <c r="G17" s="364">
        <f>SUM(G13:G16)</f>
        <v>0</v>
      </c>
      <c r="H17" s="364">
        <f>SUM(H13:H16)</f>
        <v>0</v>
      </c>
      <c r="I17" s="367">
        <f>SUM(I13:I16)</f>
        <v>0</v>
      </c>
      <c r="J17" s="357"/>
      <c r="K17" s="368">
        <f>SUM(K13:K16)</f>
        <v>0</v>
      </c>
      <c r="L17" s="367">
        <f>SUM(L13:L16)</f>
        <v>0</v>
      </c>
      <c r="N17" s="369">
        <f>SUM(N13:N16)</f>
        <v>0</v>
      </c>
      <c r="O17" s="369">
        <f>SUM(O13:O16)</f>
        <v>0</v>
      </c>
    </row>
    <row r="18" spans="1:17" s="360" customFormat="1" ht="15" hidden="1" customHeight="1" x14ac:dyDescent="0.2">
      <c r="A18" s="361"/>
      <c r="B18" s="353"/>
      <c r="C18" s="362"/>
      <c r="D18" s="355"/>
      <c r="E18" s="355"/>
      <c r="F18" s="353"/>
      <c r="G18" s="353"/>
      <c r="H18" s="353"/>
      <c r="I18" s="356"/>
      <c r="J18" s="357"/>
      <c r="K18" s="370"/>
      <c r="L18" s="371"/>
      <c r="N18" s="369"/>
      <c r="O18" s="369"/>
    </row>
    <row r="19" spans="1:17" s="864" customFormat="1" ht="15" customHeight="1" x14ac:dyDescent="0.2">
      <c r="A19" s="874" t="s">
        <v>264</v>
      </c>
      <c r="B19" s="857"/>
      <c r="C19" s="875"/>
      <c r="D19" s="859"/>
      <c r="E19" s="875"/>
      <c r="F19" s="857"/>
      <c r="G19" s="857"/>
      <c r="H19" s="857"/>
      <c r="I19" s="860"/>
      <c r="J19" s="861"/>
      <c r="K19" s="862"/>
      <c r="L19" s="863"/>
      <c r="N19" s="719"/>
      <c r="O19" s="719"/>
    </row>
    <row r="20" spans="1:17" s="2718" customFormat="1" ht="15" customHeight="1" x14ac:dyDescent="0.2">
      <c r="A20" s="2720" t="s">
        <v>7813</v>
      </c>
      <c r="B20" s="857">
        <v>0</v>
      </c>
      <c r="C20" s="2721" t="s">
        <v>7814</v>
      </c>
      <c r="D20" s="859"/>
      <c r="E20" s="859">
        <v>2014</v>
      </c>
      <c r="F20" s="857">
        <v>864567</v>
      </c>
      <c r="G20" s="857">
        <v>0</v>
      </c>
      <c r="H20" s="857">
        <v>214241</v>
      </c>
      <c r="I20" s="860">
        <f>+F20+G20-H20</f>
        <v>650326</v>
      </c>
      <c r="J20" s="2715"/>
      <c r="K20" s="2716"/>
      <c r="L20" s="2717"/>
      <c r="M20" s="2718">
        <v>650326</v>
      </c>
      <c r="N20" s="2719">
        <v>0</v>
      </c>
      <c r="O20" s="2719">
        <f>I20-N20</f>
        <v>650326</v>
      </c>
      <c r="Q20" s="2718">
        <v>650326</v>
      </c>
    </row>
    <row r="21" spans="1:17" s="864" customFormat="1" ht="15" customHeight="1" x14ac:dyDescent="0.2">
      <c r="A21" s="856"/>
      <c r="B21" s="857"/>
      <c r="C21" s="858"/>
      <c r="D21" s="859"/>
      <c r="E21" s="859"/>
      <c r="F21" s="857"/>
      <c r="G21" s="857"/>
      <c r="H21" s="857"/>
      <c r="I21" s="860"/>
      <c r="J21" s="861"/>
      <c r="K21" s="862"/>
      <c r="L21" s="863"/>
      <c r="N21" s="719"/>
      <c r="O21" s="719"/>
    </row>
    <row r="22" spans="1:17" s="864" customFormat="1" ht="15" customHeight="1" x14ac:dyDescent="0.2">
      <c r="A22" s="865" t="s">
        <v>266</v>
      </c>
      <c r="B22" s="866">
        <f>SUM(B19:B21)</f>
        <v>0</v>
      </c>
      <c r="C22" s="867"/>
      <c r="D22" s="868"/>
      <c r="E22" s="868"/>
      <c r="F22" s="866">
        <f>SUM(F19:F21)</f>
        <v>864567</v>
      </c>
      <c r="G22" s="866">
        <f>SUM(G19:G21)</f>
        <v>0</v>
      </c>
      <c r="H22" s="866">
        <f>SUM(H19:H21)</f>
        <v>214241</v>
      </c>
      <c r="I22" s="869">
        <f>SUM(I19:I21)</f>
        <v>650326</v>
      </c>
      <c r="J22" s="861"/>
      <c r="K22" s="870">
        <f>SUM(K19:K21)</f>
        <v>0</v>
      </c>
      <c r="L22" s="869">
        <f>SUM(L19:L21)</f>
        <v>0</v>
      </c>
      <c r="N22" s="871">
        <f>SUM(N19:N21)</f>
        <v>0</v>
      </c>
      <c r="O22" s="871">
        <f>SUM(O19:O21)</f>
        <v>650326</v>
      </c>
    </row>
    <row r="23" spans="1:17" s="864" customFormat="1" ht="15" customHeight="1" x14ac:dyDescent="0.2">
      <c r="A23" s="856"/>
      <c r="B23" s="857"/>
      <c r="C23" s="858"/>
      <c r="D23" s="859"/>
      <c r="E23" s="859"/>
      <c r="F23" s="857"/>
      <c r="G23" s="857"/>
      <c r="H23" s="857"/>
      <c r="I23" s="860"/>
      <c r="J23" s="861"/>
      <c r="K23" s="872"/>
      <c r="L23" s="873"/>
      <c r="N23" s="871"/>
      <c r="O23" s="871"/>
    </row>
    <row r="24" spans="1:17" s="864" customFormat="1" ht="15" customHeight="1" x14ac:dyDescent="0.2">
      <c r="A24" s="874" t="s">
        <v>267</v>
      </c>
      <c r="B24" s="857"/>
      <c r="C24" s="875"/>
      <c r="D24" s="859"/>
      <c r="E24" s="875"/>
      <c r="F24" s="857"/>
      <c r="G24" s="857"/>
      <c r="H24" s="857"/>
      <c r="I24" s="860"/>
      <c r="J24" s="861"/>
      <c r="K24" s="862"/>
      <c r="L24" s="863"/>
      <c r="N24" s="719"/>
      <c r="O24" s="719"/>
    </row>
    <row r="25" spans="1:17" s="360" customFormat="1" ht="15" customHeight="1" x14ac:dyDescent="0.2">
      <c r="A25" s="2720" t="s">
        <v>7301</v>
      </c>
      <c r="B25" s="857">
        <v>2730000</v>
      </c>
      <c r="C25" s="858"/>
      <c r="D25" s="859">
        <v>1</v>
      </c>
      <c r="E25" s="859">
        <v>2015</v>
      </c>
      <c r="F25" s="857">
        <f>1441412+119181+167857</f>
        <v>1728450</v>
      </c>
      <c r="G25" s="857">
        <f>42247</f>
        <v>42247</v>
      </c>
      <c r="H25" s="857">
        <f>(1441412-1369463)+119181+167857</f>
        <v>358987</v>
      </c>
      <c r="I25" s="860">
        <f>+F25+G25-H25</f>
        <v>1411710</v>
      </c>
      <c r="J25" s="700"/>
      <c r="K25" s="701"/>
      <c r="L25" s="702"/>
      <c r="M25" s="360">
        <f>I25-'Notes II'!I1421</f>
        <v>0.34000000008381903</v>
      </c>
      <c r="N25" s="351">
        <v>0</v>
      </c>
      <c r="O25" s="351">
        <f>I25-N25</f>
        <v>1411710</v>
      </c>
      <c r="Q25" s="360">
        <f>F25+G25-H25</f>
        <v>1411710</v>
      </c>
    </row>
    <row r="26" spans="1:17" s="864" customFormat="1" ht="15" customHeight="1" x14ac:dyDescent="0.2">
      <c r="A26" s="856"/>
      <c r="B26" s="857"/>
      <c r="C26" s="858"/>
      <c r="D26" s="859"/>
      <c r="E26" s="859"/>
      <c r="F26" s="857"/>
      <c r="G26" s="857"/>
      <c r="H26" s="857"/>
      <c r="I26" s="860"/>
      <c r="J26" s="861"/>
      <c r="K26" s="862"/>
      <c r="L26" s="863"/>
      <c r="N26" s="719"/>
      <c r="O26" s="719"/>
    </row>
    <row r="27" spans="1:17" s="864" customFormat="1" ht="15" customHeight="1" x14ac:dyDescent="0.2">
      <c r="A27" s="865" t="s">
        <v>268</v>
      </c>
      <c r="B27" s="866">
        <f>SUM(B24:B26)</f>
        <v>2730000</v>
      </c>
      <c r="C27" s="867"/>
      <c r="D27" s="868"/>
      <c r="E27" s="868"/>
      <c r="F27" s="866">
        <f>SUM(F24:F26)</f>
        <v>1728450</v>
      </c>
      <c r="G27" s="866">
        <f>SUM(G24:G26)</f>
        <v>42247</v>
      </c>
      <c r="H27" s="866">
        <f>SUM(H24:H26)</f>
        <v>358987</v>
      </c>
      <c r="I27" s="869">
        <f>SUM(I24:I26)</f>
        <v>1411710</v>
      </c>
      <c r="J27" s="861"/>
      <c r="K27" s="870">
        <f>SUM(K24:K26)</f>
        <v>0</v>
      </c>
      <c r="L27" s="869">
        <f>SUM(L24:L26)</f>
        <v>0</v>
      </c>
      <c r="N27" s="871">
        <f>SUM(N24:N26)</f>
        <v>0</v>
      </c>
      <c r="O27" s="871">
        <f>SUM(O24:O26)</f>
        <v>1411710</v>
      </c>
    </row>
    <row r="28" spans="1:17" s="864" customFormat="1" ht="15" customHeight="1" x14ac:dyDescent="0.2">
      <c r="A28" s="856"/>
      <c r="B28" s="857"/>
      <c r="C28" s="858"/>
      <c r="D28" s="859"/>
      <c r="E28" s="859"/>
      <c r="F28" s="857"/>
      <c r="G28" s="857"/>
      <c r="H28" s="857"/>
      <c r="I28" s="860"/>
      <c r="J28" s="861"/>
      <c r="K28" s="872"/>
      <c r="L28" s="873"/>
      <c r="N28" s="871"/>
      <c r="O28" s="871"/>
    </row>
    <row r="29" spans="1:17" s="864" customFormat="1" ht="15" customHeight="1" x14ac:dyDescent="0.2">
      <c r="A29" s="874" t="s">
        <v>269</v>
      </c>
      <c r="B29" s="857"/>
      <c r="C29" s="875"/>
      <c r="D29" s="859"/>
      <c r="E29" s="875"/>
      <c r="F29" s="857"/>
      <c r="G29" s="857"/>
      <c r="H29" s="857"/>
      <c r="I29" s="860"/>
      <c r="J29" s="861"/>
      <c r="K29" s="862"/>
      <c r="L29" s="863"/>
      <c r="N29" s="719"/>
      <c r="O29" s="719"/>
    </row>
    <row r="30" spans="1:17" s="2718" customFormat="1" ht="27" customHeight="1" x14ac:dyDescent="0.2">
      <c r="A30" s="2722" t="s">
        <v>7815</v>
      </c>
      <c r="B30" s="2723">
        <v>0</v>
      </c>
      <c r="C30" s="2724">
        <v>0</v>
      </c>
      <c r="D30" s="2725" t="s">
        <v>7816</v>
      </c>
      <c r="E30" s="2726">
        <v>2024</v>
      </c>
      <c r="F30" s="2723">
        <v>1337755</v>
      </c>
      <c r="G30" s="2723">
        <v>0</v>
      </c>
      <c r="H30" s="2723">
        <v>123493</v>
      </c>
      <c r="I30" s="2727">
        <f>+F30+G30-H30</f>
        <v>1214262</v>
      </c>
      <c r="J30" s="2715"/>
      <c r="K30" s="2716"/>
      <c r="L30" s="2717"/>
      <c r="M30" s="2718">
        <v>0</v>
      </c>
      <c r="N30" s="2719">
        <v>0</v>
      </c>
      <c r="O30" s="2719">
        <f>I30-N30</f>
        <v>1214262</v>
      </c>
    </row>
    <row r="31" spans="1:17" s="360" customFormat="1" ht="15" hidden="1" customHeight="1" x14ac:dyDescent="0.2">
      <c r="A31" s="703" t="s">
        <v>14</v>
      </c>
      <c r="B31" s="697">
        <v>0</v>
      </c>
      <c r="C31" s="704">
        <v>0.16500000000000001</v>
      </c>
      <c r="D31" s="859"/>
      <c r="E31" s="698" t="s">
        <v>262</v>
      </c>
      <c r="F31" s="697">
        <v>0</v>
      </c>
      <c r="G31" s="697">
        <v>0</v>
      </c>
      <c r="H31" s="697">
        <v>0</v>
      </c>
      <c r="I31" s="699">
        <f>+F31+G31-H31</f>
        <v>0</v>
      </c>
      <c r="J31" s="357"/>
      <c r="K31" s="358"/>
      <c r="L31" s="359"/>
      <c r="M31" s="360">
        <v>0</v>
      </c>
      <c r="N31" s="351">
        <v>0</v>
      </c>
      <c r="O31" s="351">
        <f>I31-N31</f>
        <v>0</v>
      </c>
    </row>
    <row r="32" spans="1:17" s="864" customFormat="1" ht="15" customHeight="1" x14ac:dyDescent="0.2">
      <c r="A32" s="856"/>
      <c r="B32" s="857"/>
      <c r="C32" s="858"/>
      <c r="D32" s="859"/>
      <c r="E32" s="859"/>
      <c r="F32" s="857"/>
      <c r="G32" s="857"/>
      <c r="H32" s="857"/>
      <c r="I32" s="860"/>
      <c r="J32" s="861"/>
      <c r="K32" s="862"/>
      <c r="L32" s="863"/>
      <c r="N32" s="719"/>
      <c r="O32" s="719"/>
    </row>
    <row r="33" spans="1:16" s="864" customFormat="1" ht="15" customHeight="1" x14ac:dyDescent="0.2">
      <c r="A33" s="865" t="s">
        <v>270</v>
      </c>
      <c r="B33" s="866">
        <f>SUM(B29:B32)</f>
        <v>0</v>
      </c>
      <c r="C33" s="867"/>
      <c r="D33" s="868"/>
      <c r="E33" s="868"/>
      <c r="F33" s="866">
        <f>SUM(F29:F32)</f>
        <v>1337755</v>
      </c>
      <c r="G33" s="866">
        <f>SUM(G29:G32)</f>
        <v>0</v>
      </c>
      <c r="H33" s="866">
        <f>SUM(H29:H32)</f>
        <v>123493</v>
      </c>
      <c r="I33" s="869">
        <f>SUM(I29:I32)</f>
        <v>1214262</v>
      </c>
      <c r="J33" s="861"/>
      <c r="K33" s="870">
        <f>SUM(K29:K32)</f>
        <v>0</v>
      </c>
      <c r="L33" s="869">
        <f>SUM(L29:L32)</f>
        <v>0</v>
      </c>
      <c r="N33" s="871">
        <f>SUM(N29:N32)</f>
        <v>0</v>
      </c>
      <c r="O33" s="871">
        <f>SUM(O29:O32)</f>
        <v>1214262</v>
      </c>
    </row>
    <row r="34" spans="1:16" s="360" customFormat="1" ht="15" customHeight="1" x14ac:dyDescent="0.2">
      <c r="A34" s="361"/>
      <c r="B34" s="353"/>
      <c r="C34" s="362"/>
      <c r="D34" s="355"/>
      <c r="E34" s="355"/>
      <c r="F34" s="353"/>
      <c r="G34" s="353"/>
      <c r="H34" s="353"/>
      <c r="I34" s="356"/>
      <c r="J34" s="357"/>
      <c r="K34" s="370"/>
      <c r="L34" s="371"/>
      <c r="N34" s="369"/>
      <c r="O34" s="369"/>
    </row>
    <row r="35" spans="1:16" s="360" customFormat="1" ht="15" customHeight="1" thickBot="1" x14ac:dyDescent="0.25">
      <c r="A35" s="372" t="s">
        <v>238</v>
      </c>
      <c r="B35" s="373">
        <f>SUM(B11,B17,B22,B27,B33)</f>
        <v>2730000</v>
      </c>
      <c r="C35" s="374"/>
      <c r="D35" s="375"/>
      <c r="E35" s="375"/>
      <c r="F35" s="373">
        <f>SUM(F11,F17,F22,F27,F33)</f>
        <v>3930772</v>
      </c>
      <c r="G35" s="373">
        <f>SUM(G11,G17,G22,G27,G33)</f>
        <v>42247</v>
      </c>
      <c r="H35" s="373">
        <f>SUM(H11,H17,H22,H27,H33)</f>
        <v>696721</v>
      </c>
      <c r="I35" s="376">
        <f>SUM(I11,I17,I22,I27,I33)</f>
        <v>3276298</v>
      </c>
      <c r="J35" s="357"/>
      <c r="K35" s="377">
        <f>SUM(K11,K17,K22,K27,K33)</f>
        <v>0</v>
      </c>
      <c r="L35" s="376">
        <f>SUM(L11,L17,L22,L27,L33)</f>
        <v>0</v>
      </c>
      <c r="M35" s="378">
        <f>SUM(M9:M32)</f>
        <v>650326.34000000008</v>
      </c>
      <c r="N35" s="369">
        <f>SUM(N11,N17,N22,N27,N33)</f>
        <v>0</v>
      </c>
      <c r="O35" s="369">
        <f>SUM(O11,O17,O22,O27,O33)</f>
        <v>3276298</v>
      </c>
    </row>
    <row r="36" spans="1:16" s="331" customFormat="1" ht="15" customHeight="1" x14ac:dyDescent="0.2">
      <c r="A36" s="379"/>
      <c r="C36" s="380"/>
      <c r="D36" s="381"/>
      <c r="E36" s="380"/>
      <c r="F36" s="331">
        <v>0</v>
      </c>
      <c r="I36" s="331">
        <v>0</v>
      </c>
      <c r="N36" s="351"/>
      <c r="O36" s="351"/>
    </row>
    <row r="37" spans="1:16" s="716" customFormat="1" ht="15" hidden="1" customHeight="1" x14ac:dyDescent="0.2">
      <c r="A37" s="2993" t="s">
        <v>2128</v>
      </c>
      <c r="B37" s="2993"/>
      <c r="C37" s="2993"/>
      <c r="D37" s="2993"/>
      <c r="E37" s="2993"/>
      <c r="F37" s="2993"/>
      <c r="G37" s="2993"/>
      <c r="H37" s="2993"/>
      <c r="I37" s="2993"/>
      <c r="J37" s="2993"/>
      <c r="K37" s="2993"/>
      <c r="L37" s="2993"/>
      <c r="M37" s="721"/>
      <c r="O37" s="719"/>
      <c r="P37" s="719"/>
    </row>
    <row r="38" spans="1:16" s="716" customFormat="1" ht="15" hidden="1" customHeight="1" x14ac:dyDescent="0.2">
      <c r="C38" s="717"/>
      <c r="D38" s="718"/>
      <c r="E38" s="717"/>
      <c r="O38" s="719"/>
      <c r="P38" s="719"/>
    </row>
    <row r="39" spans="1:16" s="716" customFormat="1" ht="15" hidden="1" customHeight="1" x14ac:dyDescent="0.2">
      <c r="A39" s="720" t="s">
        <v>1379</v>
      </c>
      <c r="C39" s="717"/>
      <c r="D39" s="718"/>
      <c r="E39" s="717"/>
      <c r="O39" s="719"/>
      <c r="P39" s="719"/>
    </row>
    <row r="40" spans="1:16" s="716" customFormat="1" ht="15" hidden="1" customHeight="1" x14ac:dyDescent="0.2">
      <c r="A40" s="793" t="s">
        <v>1380</v>
      </c>
      <c r="B40" s="794"/>
      <c r="C40" s="795"/>
      <c r="D40" s="796"/>
      <c r="E40" s="795"/>
      <c r="F40" s="794"/>
      <c r="G40" s="794"/>
      <c r="H40" s="794"/>
      <c r="I40" s="794"/>
      <c r="J40" s="794"/>
      <c r="K40" s="794"/>
      <c r="L40" s="794"/>
      <c r="O40" s="719"/>
      <c r="P40" s="719"/>
    </row>
    <row r="41" spans="1:16" s="716" customFormat="1" ht="15" hidden="1" customHeight="1" x14ac:dyDescent="0.2">
      <c r="A41" s="2991" t="s">
        <v>1381</v>
      </c>
      <c r="B41" s="2991"/>
      <c r="C41" s="2991"/>
      <c r="D41" s="2991"/>
      <c r="E41" s="2991"/>
      <c r="F41" s="2991"/>
      <c r="G41" s="2991"/>
      <c r="H41" s="2991"/>
      <c r="I41" s="2991"/>
      <c r="J41" s="2991"/>
      <c r="K41" s="2991"/>
      <c r="L41" s="2991"/>
      <c r="M41" s="721"/>
      <c r="O41" s="719"/>
      <c r="P41" s="719"/>
    </row>
    <row r="42" spans="1:16" s="716" customFormat="1" ht="15" hidden="1" customHeight="1" x14ac:dyDescent="0.2">
      <c r="A42" s="794"/>
      <c r="B42" s="794"/>
      <c r="C42" s="795"/>
      <c r="D42" s="796"/>
      <c r="E42" s="795"/>
      <c r="F42" s="794"/>
      <c r="G42" s="794"/>
      <c r="H42" s="794"/>
      <c r="I42" s="794"/>
      <c r="J42" s="794"/>
      <c r="K42" s="794"/>
      <c r="L42" s="794"/>
      <c r="O42" s="719"/>
      <c r="P42" s="719"/>
    </row>
    <row r="43" spans="1:16" s="716" customFormat="1" ht="15" hidden="1" customHeight="1" x14ac:dyDescent="0.2">
      <c r="A43" s="720" t="s">
        <v>1382</v>
      </c>
      <c r="C43" s="717"/>
      <c r="D43" s="718"/>
      <c r="E43" s="717"/>
      <c r="O43" s="719"/>
      <c r="P43" s="719"/>
    </row>
    <row r="44" spans="1:16" s="716" customFormat="1" ht="30" hidden="1" customHeight="1" x14ac:dyDescent="0.2">
      <c r="A44" s="3000" t="s">
        <v>1681</v>
      </c>
      <c r="B44" s="3000"/>
      <c r="C44" s="3000"/>
      <c r="D44" s="3000"/>
      <c r="E44" s="3000"/>
      <c r="F44" s="3000"/>
      <c r="G44" s="3000"/>
      <c r="H44" s="3000"/>
      <c r="I44" s="3000"/>
      <c r="J44" s="3000"/>
      <c r="K44" s="3000"/>
      <c r="L44" s="3000"/>
      <c r="M44" s="721"/>
      <c r="O44" s="719"/>
      <c r="P44" s="719"/>
    </row>
    <row r="45" spans="1:16" s="716" customFormat="1" ht="15" hidden="1" customHeight="1" x14ac:dyDescent="0.2">
      <c r="C45" s="717"/>
      <c r="D45" s="718"/>
      <c r="E45" s="717"/>
      <c r="O45" s="719"/>
      <c r="P45" s="719"/>
    </row>
    <row r="46" spans="1:16" s="716" customFormat="1" ht="15" hidden="1" customHeight="1" x14ac:dyDescent="0.2">
      <c r="A46" s="793" t="s">
        <v>1382</v>
      </c>
      <c r="B46" s="794"/>
      <c r="C46" s="795"/>
      <c r="D46" s="796"/>
      <c r="E46" s="795"/>
      <c r="F46" s="794"/>
      <c r="G46" s="794"/>
      <c r="H46" s="794"/>
      <c r="I46" s="794"/>
      <c r="J46" s="794"/>
      <c r="K46" s="794"/>
      <c r="L46" s="794"/>
      <c r="O46" s="719"/>
      <c r="P46" s="719"/>
    </row>
    <row r="47" spans="1:16" s="716" customFormat="1" ht="30" hidden="1" customHeight="1" x14ac:dyDescent="0.2">
      <c r="A47" s="2991" t="s">
        <v>1383</v>
      </c>
      <c r="B47" s="2991"/>
      <c r="C47" s="2991"/>
      <c r="D47" s="2991"/>
      <c r="E47" s="2991"/>
      <c r="F47" s="2991"/>
      <c r="G47" s="2991"/>
      <c r="H47" s="2991"/>
      <c r="I47" s="2991"/>
      <c r="J47" s="2991"/>
      <c r="K47" s="2991"/>
      <c r="L47" s="2991"/>
      <c r="M47" s="721"/>
      <c r="O47" s="719"/>
      <c r="P47" s="719"/>
    </row>
    <row r="48" spans="1:16" s="716" customFormat="1" ht="15" hidden="1" customHeight="1" x14ac:dyDescent="0.2">
      <c r="A48" s="794"/>
      <c r="B48" s="794"/>
      <c r="C48" s="795"/>
      <c r="D48" s="796"/>
      <c r="E48" s="795"/>
      <c r="F48" s="794"/>
      <c r="G48" s="794"/>
      <c r="H48" s="794"/>
      <c r="I48" s="794"/>
      <c r="J48" s="794"/>
      <c r="K48" s="794"/>
      <c r="L48" s="794"/>
      <c r="O48" s="719"/>
      <c r="P48" s="719"/>
    </row>
    <row r="49" spans="1:16" s="716" customFormat="1" ht="15" hidden="1" customHeight="1" x14ac:dyDescent="0.2">
      <c r="A49" s="793" t="s">
        <v>1382</v>
      </c>
      <c r="B49" s="794"/>
      <c r="C49" s="795"/>
      <c r="D49" s="796"/>
      <c r="E49" s="795"/>
      <c r="F49" s="794"/>
      <c r="G49" s="794"/>
      <c r="H49" s="794"/>
      <c r="I49" s="794"/>
      <c r="J49" s="794"/>
      <c r="K49" s="794"/>
      <c r="L49" s="794"/>
      <c r="O49" s="719"/>
      <c r="P49" s="719"/>
    </row>
    <row r="50" spans="1:16" s="716" customFormat="1" ht="30" hidden="1" customHeight="1" x14ac:dyDescent="0.2">
      <c r="A50" s="2991" t="s">
        <v>1384</v>
      </c>
      <c r="B50" s="2991"/>
      <c r="C50" s="2991"/>
      <c r="D50" s="2991"/>
      <c r="E50" s="2991"/>
      <c r="F50" s="2991"/>
      <c r="G50" s="2991"/>
      <c r="H50" s="2991"/>
      <c r="I50" s="2991"/>
      <c r="J50" s="2991"/>
      <c r="K50" s="2991"/>
      <c r="L50" s="2991"/>
      <c r="M50" s="721"/>
      <c r="O50" s="719"/>
      <c r="P50" s="719"/>
    </row>
    <row r="51" spans="1:16" s="716" customFormat="1" ht="15" hidden="1" customHeight="1" x14ac:dyDescent="0.2">
      <c r="A51" s="794"/>
      <c r="B51" s="794"/>
      <c r="C51" s="795"/>
      <c r="D51" s="796"/>
      <c r="E51" s="795"/>
      <c r="F51" s="794"/>
      <c r="G51" s="794"/>
      <c r="H51" s="794"/>
      <c r="I51" s="794"/>
      <c r="J51" s="794"/>
      <c r="K51" s="794"/>
      <c r="L51" s="794"/>
      <c r="O51" s="719"/>
      <c r="P51" s="719"/>
    </row>
    <row r="52" spans="1:16" s="716" customFormat="1" ht="15" hidden="1" customHeight="1" x14ac:dyDescent="0.2">
      <c r="A52" s="793" t="s">
        <v>1382</v>
      </c>
      <c r="B52" s="794"/>
      <c r="C52" s="795"/>
      <c r="D52" s="796"/>
      <c r="E52" s="795"/>
      <c r="F52" s="794"/>
      <c r="G52" s="794"/>
      <c r="H52" s="794"/>
      <c r="I52" s="794"/>
      <c r="J52" s="794"/>
      <c r="K52" s="794"/>
      <c r="L52" s="794"/>
      <c r="O52" s="719"/>
      <c r="P52" s="719"/>
    </row>
    <row r="53" spans="1:16" s="716" customFormat="1" ht="30" hidden="1" customHeight="1" x14ac:dyDescent="0.2">
      <c r="A53" s="2991" t="s">
        <v>1385</v>
      </c>
      <c r="B53" s="2991"/>
      <c r="C53" s="2991"/>
      <c r="D53" s="2991"/>
      <c r="E53" s="2991"/>
      <c r="F53" s="2991"/>
      <c r="G53" s="2991"/>
      <c r="H53" s="2991"/>
      <c r="I53" s="2991"/>
      <c r="J53" s="2991"/>
      <c r="K53" s="2991"/>
      <c r="L53" s="2991"/>
      <c r="M53" s="721"/>
      <c r="O53" s="719"/>
      <c r="P53" s="719"/>
    </row>
    <row r="54" spans="1:16" s="716" customFormat="1" ht="15" hidden="1" customHeight="1" x14ac:dyDescent="0.2">
      <c r="A54" s="794"/>
      <c r="B54" s="794"/>
      <c r="C54" s="795"/>
      <c r="D54" s="796"/>
      <c r="E54" s="795"/>
      <c r="F54" s="794"/>
      <c r="G54" s="794"/>
      <c r="H54" s="794"/>
      <c r="I54" s="794"/>
      <c r="J54" s="794"/>
      <c r="K54" s="794"/>
      <c r="L54" s="794"/>
      <c r="O54" s="719"/>
      <c r="P54" s="719"/>
    </row>
    <row r="55" spans="1:16" s="716" customFormat="1" ht="15" hidden="1" customHeight="1" x14ac:dyDescent="0.2">
      <c r="A55" s="793" t="s">
        <v>1382</v>
      </c>
      <c r="B55" s="794"/>
      <c r="C55" s="795"/>
      <c r="D55" s="796"/>
      <c r="E55" s="795"/>
      <c r="F55" s="794"/>
      <c r="G55" s="794"/>
      <c r="H55" s="794"/>
      <c r="I55" s="794"/>
      <c r="J55" s="794"/>
      <c r="K55" s="794"/>
      <c r="L55" s="794"/>
      <c r="O55" s="719"/>
      <c r="P55" s="719"/>
    </row>
    <row r="56" spans="1:16" s="716" customFormat="1" ht="30" hidden="1" customHeight="1" x14ac:dyDescent="0.2">
      <c r="A56" s="2991" t="s">
        <v>1386</v>
      </c>
      <c r="B56" s="2991"/>
      <c r="C56" s="2991"/>
      <c r="D56" s="2991"/>
      <c r="E56" s="2991"/>
      <c r="F56" s="2991"/>
      <c r="G56" s="2991"/>
      <c r="H56" s="2991"/>
      <c r="I56" s="2991"/>
      <c r="J56" s="2991"/>
      <c r="K56" s="2991"/>
      <c r="L56" s="2991"/>
      <c r="M56" s="721"/>
      <c r="O56" s="719"/>
      <c r="P56" s="719"/>
    </row>
    <row r="57" spans="1:16" s="716" customFormat="1" ht="15" hidden="1" customHeight="1" x14ac:dyDescent="0.2">
      <c r="A57" s="794"/>
      <c r="B57" s="794"/>
      <c r="C57" s="795"/>
      <c r="D57" s="796"/>
      <c r="E57" s="795"/>
      <c r="F57" s="794"/>
      <c r="G57" s="794"/>
      <c r="H57" s="794"/>
      <c r="I57" s="794"/>
      <c r="J57" s="794"/>
      <c r="K57" s="794"/>
      <c r="L57" s="794"/>
      <c r="O57" s="719"/>
      <c r="P57" s="719"/>
    </row>
    <row r="58" spans="1:16" s="716" customFormat="1" ht="15" hidden="1" customHeight="1" x14ac:dyDescent="0.2">
      <c r="A58" s="793" t="s">
        <v>1382</v>
      </c>
      <c r="B58" s="794"/>
      <c r="C58" s="795"/>
      <c r="D58" s="796"/>
      <c r="E58" s="795"/>
      <c r="F58" s="794"/>
      <c r="G58" s="794"/>
      <c r="H58" s="794"/>
      <c r="I58" s="794"/>
      <c r="J58" s="794"/>
      <c r="K58" s="794"/>
      <c r="L58" s="794"/>
      <c r="O58" s="719"/>
      <c r="P58" s="719"/>
    </row>
    <row r="59" spans="1:16" s="716" customFormat="1" ht="30" hidden="1" customHeight="1" x14ac:dyDescent="0.2">
      <c r="A59" s="2991" t="s">
        <v>1387</v>
      </c>
      <c r="B59" s="2991"/>
      <c r="C59" s="2991"/>
      <c r="D59" s="2991"/>
      <c r="E59" s="2991"/>
      <c r="F59" s="2991"/>
      <c r="G59" s="2991"/>
      <c r="H59" s="2991"/>
      <c r="I59" s="2991"/>
      <c r="J59" s="2991"/>
      <c r="K59" s="2991"/>
      <c r="L59" s="2991"/>
      <c r="M59" s="721"/>
      <c r="O59" s="719"/>
      <c r="P59" s="719"/>
    </row>
    <row r="60" spans="1:16" s="716" customFormat="1" ht="15" hidden="1" customHeight="1" x14ac:dyDescent="0.2">
      <c r="A60" s="794"/>
      <c r="B60" s="794"/>
      <c r="C60" s="795"/>
      <c r="D60" s="796"/>
      <c r="E60" s="795"/>
      <c r="F60" s="794"/>
      <c r="G60" s="794"/>
      <c r="H60" s="794"/>
      <c r="I60" s="794"/>
      <c r="J60" s="794"/>
      <c r="K60" s="794"/>
      <c r="L60" s="794"/>
      <c r="O60" s="719"/>
      <c r="P60" s="719"/>
    </row>
    <row r="61" spans="1:16" s="716" customFormat="1" ht="15" hidden="1" customHeight="1" x14ac:dyDescent="0.2">
      <c r="A61" s="793" t="s">
        <v>1382</v>
      </c>
      <c r="B61" s="794"/>
      <c r="C61" s="795"/>
      <c r="D61" s="796"/>
      <c r="E61" s="795"/>
      <c r="F61" s="794"/>
      <c r="G61" s="794"/>
      <c r="H61" s="794"/>
      <c r="I61" s="794"/>
      <c r="J61" s="794"/>
      <c r="K61" s="794"/>
      <c r="L61" s="794"/>
      <c r="O61" s="719"/>
      <c r="P61" s="719"/>
    </row>
    <row r="62" spans="1:16" s="716" customFormat="1" ht="30" hidden="1" customHeight="1" x14ac:dyDescent="0.2">
      <c r="A62" s="2991" t="s">
        <v>1388</v>
      </c>
      <c r="B62" s="2991"/>
      <c r="C62" s="2991"/>
      <c r="D62" s="2991"/>
      <c r="E62" s="2991"/>
      <c r="F62" s="2991"/>
      <c r="G62" s="2991"/>
      <c r="H62" s="2991"/>
      <c r="I62" s="2991"/>
      <c r="J62" s="2991"/>
      <c r="K62" s="2991"/>
      <c r="L62" s="2991"/>
      <c r="M62" s="721"/>
      <c r="O62" s="719"/>
      <c r="P62" s="719"/>
    </row>
    <row r="63" spans="1:16" s="716" customFormat="1" ht="15" hidden="1" customHeight="1" x14ac:dyDescent="0.2">
      <c r="A63" s="794"/>
      <c r="B63" s="794"/>
      <c r="C63" s="795"/>
      <c r="D63" s="796"/>
      <c r="E63" s="795"/>
      <c r="F63" s="794"/>
      <c r="G63" s="794"/>
      <c r="H63" s="794"/>
      <c r="I63" s="794"/>
      <c r="J63" s="794"/>
      <c r="K63" s="794"/>
      <c r="L63" s="794"/>
      <c r="O63" s="719"/>
      <c r="P63" s="719"/>
    </row>
    <row r="64" spans="1:16" s="716" customFormat="1" ht="15" hidden="1" customHeight="1" x14ac:dyDescent="0.2">
      <c r="A64" s="793" t="s">
        <v>1382</v>
      </c>
      <c r="B64" s="794"/>
      <c r="C64" s="795"/>
      <c r="D64" s="796"/>
      <c r="E64" s="795"/>
      <c r="F64" s="794"/>
      <c r="G64" s="794"/>
      <c r="H64" s="794"/>
      <c r="I64" s="794"/>
      <c r="J64" s="794"/>
      <c r="K64" s="794"/>
      <c r="L64" s="794"/>
      <c r="O64" s="719"/>
      <c r="P64" s="719"/>
    </row>
    <row r="65" spans="1:16" s="716" customFormat="1" ht="15" hidden="1" customHeight="1" x14ac:dyDescent="0.2">
      <c r="A65" s="2991" t="s">
        <v>1389</v>
      </c>
      <c r="B65" s="2991"/>
      <c r="C65" s="2991"/>
      <c r="D65" s="2991"/>
      <c r="E65" s="2991"/>
      <c r="F65" s="2991"/>
      <c r="G65" s="2991"/>
      <c r="H65" s="2991"/>
      <c r="I65" s="2991"/>
      <c r="J65" s="2991"/>
      <c r="K65" s="2991"/>
      <c r="L65" s="2991"/>
      <c r="M65" s="721"/>
      <c r="O65" s="719"/>
      <c r="P65" s="719"/>
    </row>
    <row r="66" spans="1:16" s="716" customFormat="1" ht="15" hidden="1" customHeight="1" x14ac:dyDescent="0.2">
      <c r="A66" s="794"/>
      <c r="B66" s="794"/>
      <c r="C66" s="795"/>
      <c r="D66" s="796"/>
      <c r="E66" s="795"/>
      <c r="F66" s="794"/>
      <c r="G66" s="794"/>
      <c r="H66" s="794"/>
      <c r="I66" s="794"/>
      <c r="J66" s="794"/>
      <c r="K66" s="794"/>
      <c r="L66" s="794"/>
      <c r="O66" s="719"/>
      <c r="P66" s="719"/>
    </row>
    <row r="67" spans="1:16" s="716" customFormat="1" ht="15" hidden="1" customHeight="1" x14ac:dyDescent="0.2">
      <c r="A67" s="793" t="s">
        <v>1390</v>
      </c>
      <c r="B67" s="794"/>
      <c r="C67" s="795"/>
      <c r="D67" s="796"/>
      <c r="E67" s="795"/>
      <c r="F67" s="794"/>
      <c r="G67" s="794"/>
      <c r="H67" s="794"/>
      <c r="I67" s="794"/>
      <c r="J67" s="794"/>
      <c r="K67" s="794"/>
      <c r="L67" s="794"/>
      <c r="O67" s="719"/>
      <c r="P67" s="719"/>
    </row>
    <row r="68" spans="1:16" s="716" customFormat="1" ht="15" hidden="1" customHeight="1" x14ac:dyDescent="0.2">
      <c r="A68" s="793" t="s">
        <v>1391</v>
      </c>
      <c r="B68" s="794"/>
      <c r="C68" s="795"/>
      <c r="D68" s="796"/>
      <c r="E68" s="795"/>
      <c r="F68" s="794"/>
      <c r="G68" s="794"/>
      <c r="H68" s="794"/>
      <c r="I68" s="794"/>
      <c r="J68" s="794"/>
      <c r="K68" s="794"/>
      <c r="L68" s="794"/>
      <c r="O68" s="719"/>
      <c r="P68" s="719"/>
    </row>
    <row r="69" spans="1:16" s="716" customFormat="1" ht="15" hidden="1" customHeight="1" x14ac:dyDescent="0.2">
      <c r="A69" s="2991" t="s">
        <v>1392</v>
      </c>
      <c r="B69" s="2991"/>
      <c r="C69" s="2991"/>
      <c r="D69" s="2991"/>
      <c r="E69" s="2991"/>
      <c r="F69" s="2991"/>
      <c r="G69" s="2991"/>
      <c r="H69" s="2991"/>
      <c r="I69" s="2991"/>
      <c r="J69" s="2991"/>
      <c r="K69" s="2991"/>
      <c r="L69" s="2991"/>
      <c r="M69" s="721"/>
      <c r="O69" s="719"/>
      <c r="P69" s="719"/>
    </row>
    <row r="70" spans="1:16" s="716" customFormat="1" ht="15" hidden="1" customHeight="1" x14ac:dyDescent="0.2">
      <c r="A70" s="794"/>
      <c r="B70" s="794"/>
      <c r="C70" s="795"/>
      <c r="D70" s="796"/>
      <c r="E70" s="795"/>
      <c r="F70" s="794"/>
      <c r="G70" s="794"/>
      <c r="H70" s="794"/>
      <c r="I70" s="794"/>
      <c r="J70" s="794"/>
      <c r="K70" s="794"/>
      <c r="L70" s="794"/>
      <c r="O70" s="719"/>
      <c r="P70" s="719"/>
    </row>
    <row r="71" spans="1:16" s="716" customFormat="1" ht="15" hidden="1" customHeight="1" x14ac:dyDescent="0.2">
      <c r="A71" s="793" t="s">
        <v>1391</v>
      </c>
      <c r="B71" s="794"/>
      <c r="C71" s="795"/>
      <c r="D71" s="796"/>
      <c r="E71" s="795"/>
      <c r="F71" s="794"/>
      <c r="G71" s="794"/>
      <c r="H71" s="794"/>
      <c r="I71" s="794"/>
      <c r="J71" s="794"/>
      <c r="K71" s="794"/>
      <c r="L71" s="794"/>
      <c r="O71" s="719"/>
      <c r="P71" s="719"/>
    </row>
    <row r="72" spans="1:16" s="716" customFormat="1" ht="15" hidden="1" customHeight="1" x14ac:dyDescent="0.2">
      <c r="A72" s="2991" t="s">
        <v>1393</v>
      </c>
      <c r="B72" s="2991"/>
      <c r="C72" s="2991"/>
      <c r="D72" s="2991"/>
      <c r="E72" s="2991"/>
      <c r="F72" s="2991"/>
      <c r="G72" s="2991"/>
      <c r="H72" s="2991"/>
      <c r="I72" s="2991"/>
      <c r="J72" s="2991"/>
      <c r="K72" s="2991"/>
      <c r="L72" s="2991"/>
      <c r="M72" s="721"/>
      <c r="O72" s="719"/>
      <c r="P72" s="719"/>
    </row>
    <row r="73" spans="1:16" s="716" customFormat="1" ht="15" hidden="1" customHeight="1" x14ac:dyDescent="0.2">
      <c r="A73" s="794"/>
      <c r="B73" s="794"/>
      <c r="C73" s="795"/>
      <c r="D73" s="796"/>
      <c r="E73" s="795"/>
      <c r="F73" s="794"/>
      <c r="G73" s="794"/>
      <c r="H73" s="794"/>
      <c r="I73" s="794"/>
      <c r="J73" s="794"/>
      <c r="K73" s="794"/>
      <c r="L73" s="794"/>
      <c r="O73" s="719"/>
      <c r="P73" s="719"/>
    </row>
    <row r="74" spans="1:16" s="331" customFormat="1" ht="15" hidden="1" customHeight="1" x14ac:dyDescent="0.2">
      <c r="A74" s="793" t="s">
        <v>1267</v>
      </c>
      <c r="B74" s="794"/>
      <c r="C74" s="795"/>
      <c r="D74" s="796"/>
      <c r="E74" s="795"/>
      <c r="F74" s="794"/>
      <c r="G74" s="794"/>
      <c r="H74" s="794"/>
      <c r="I74" s="794"/>
      <c r="J74" s="794"/>
      <c r="K74" s="794"/>
      <c r="L74" s="794"/>
      <c r="M74" s="384"/>
      <c r="O74" s="351"/>
      <c r="P74" s="351"/>
    </row>
    <row r="75" spans="1:16" s="331" customFormat="1" ht="45" hidden="1" customHeight="1" x14ac:dyDescent="0.2">
      <c r="A75" s="2991" t="s">
        <v>1268</v>
      </c>
      <c r="B75" s="2991"/>
      <c r="C75" s="2991"/>
      <c r="D75" s="2991"/>
      <c r="E75" s="2991"/>
      <c r="F75" s="2991"/>
      <c r="G75" s="2991"/>
      <c r="H75" s="2991"/>
      <c r="I75" s="2991"/>
      <c r="J75" s="2991"/>
      <c r="K75" s="2991"/>
      <c r="L75" s="2991"/>
      <c r="M75" s="385"/>
      <c r="O75" s="351"/>
      <c r="P75" s="351"/>
    </row>
    <row r="76" spans="1:16" s="331" customFormat="1" ht="15" hidden="1" customHeight="1" x14ac:dyDescent="0.2">
      <c r="A76" s="794"/>
      <c r="B76" s="794"/>
      <c r="C76" s="795"/>
      <c r="D76" s="796"/>
      <c r="E76" s="795"/>
      <c r="F76" s="794"/>
      <c r="G76" s="794"/>
      <c r="H76" s="794"/>
      <c r="I76" s="794"/>
      <c r="J76" s="794"/>
      <c r="K76" s="794"/>
      <c r="L76" s="794"/>
      <c r="M76" s="384"/>
      <c r="O76" s="351"/>
      <c r="P76" s="351"/>
    </row>
    <row r="77" spans="1:16" s="331" customFormat="1" ht="60" hidden="1" customHeight="1" x14ac:dyDescent="0.2">
      <c r="A77" s="2991" t="s">
        <v>1269</v>
      </c>
      <c r="B77" s="2991"/>
      <c r="C77" s="2991"/>
      <c r="D77" s="2991"/>
      <c r="E77" s="2991"/>
      <c r="F77" s="2991"/>
      <c r="G77" s="2991"/>
      <c r="H77" s="2991"/>
      <c r="I77" s="2991"/>
      <c r="J77" s="2991"/>
      <c r="K77" s="2991"/>
      <c r="L77" s="2991"/>
      <c r="M77" s="385"/>
      <c r="O77" s="351"/>
      <c r="P77" s="351"/>
    </row>
    <row r="78" spans="1:16" s="331" customFormat="1" ht="15" hidden="1" customHeight="1" x14ac:dyDescent="0.2">
      <c r="A78" s="794"/>
      <c r="B78" s="794"/>
      <c r="C78" s="795"/>
      <c r="D78" s="796"/>
      <c r="E78" s="795"/>
      <c r="F78" s="794"/>
      <c r="G78" s="794"/>
      <c r="H78" s="794"/>
      <c r="I78" s="794"/>
      <c r="J78" s="794"/>
      <c r="K78" s="794"/>
      <c r="L78" s="794"/>
      <c r="M78" s="384"/>
      <c r="O78" s="351"/>
      <c r="P78" s="351"/>
    </row>
    <row r="79" spans="1:16" s="331" customFormat="1" ht="15" hidden="1" customHeight="1" x14ac:dyDescent="0.2">
      <c r="A79" s="2991" t="s">
        <v>1270</v>
      </c>
      <c r="B79" s="2991"/>
      <c r="C79" s="2991"/>
      <c r="D79" s="2991"/>
      <c r="E79" s="2991"/>
      <c r="F79" s="2991"/>
      <c r="G79" s="2991"/>
      <c r="H79" s="2991"/>
      <c r="I79" s="2991"/>
      <c r="J79" s="2991"/>
      <c r="K79" s="2991"/>
      <c r="L79" s="2991"/>
      <c r="M79" s="385"/>
      <c r="O79" s="351"/>
      <c r="P79" s="351"/>
    </row>
    <row r="80" spans="1:16" s="331" customFormat="1" ht="15" hidden="1" customHeight="1" x14ac:dyDescent="0.2">
      <c r="A80" s="794"/>
      <c r="B80" s="794"/>
      <c r="C80" s="795"/>
      <c r="D80" s="796"/>
      <c r="E80" s="795"/>
      <c r="F80" s="794"/>
      <c r="G80" s="794"/>
      <c r="H80" s="794"/>
      <c r="I80" s="794"/>
      <c r="J80" s="794"/>
      <c r="K80" s="794"/>
      <c r="L80" s="794"/>
      <c r="M80" s="384"/>
      <c r="O80" s="351"/>
      <c r="P80" s="351"/>
    </row>
    <row r="81" spans="1:16" s="331" customFormat="1" ht="15" hidden="1" customHeight="1" x14ac:dyDescent="0.2">
      <c r="A81" s="793" t="s">
        <v>1271</v>
      </c>
      <c r="B81" s="794"/>
      <c r="C81" s="795"/>
      <c r="D81" s="796"/>
      <c r="E81" s="795"/>
      <c r="F81" s="794"/>
      <c r="G81" s="794"/>
      <c r="H81" s="794"/>
      <c r="I81" s="794"/>
      <c r="J81" s="794"/>
      <c r="K81" s="794"/>
      <c r="L81" s="794"/>
      <c r="M81" s="384"/>
      <c r="O81" s="351"/>
      <c r="P81" s="351"/>
    </row>
    <row r="82" spans="1:16" s="331" customFormat="1" ht="60" hidden="1" customHeight="1" x14ac:dyDescent="0.2">
      <c r="A82" s="2991" t="s">
        <v>1272</v>
      </c>
      <c r="B82" s="2991"/>
      <c r="C82" s="2991"/>
      <c r="D82" s="2991"/>
      <c r="E82" s="2991"/>
      <c r="F82" s="2991"/>
      <c r="G82" s="2991"/>
      <c r="H82" s="2991"/>
      <c r="I82" s="2991"/>
      <c r="J82" s="2991"/>
      <c r="K82" s="2991"/>
      <c r="L82" s="2991"/>
      <c r="M82" s="385"/>
      <c r="O82" s="351"/>
      <c r="P82" s="351"/>
    </row>
    <row r="83" spans="1:16" s="331" customFormat="1" ht="15" hidden="1" customHeight="1" x14ac:dyDescent="0.2">
      <c r="A83" s="794"/>
      <c r="B83" s="794"/>
      <c r="C83" s="795"/>
      <c r="D83" s="796"/>
      <c r="E83" s="795"/>
      <c r="F83" s="794"/>
      <c r="G83" s="794"/>
      <c r="H83" s="794"/>
      <c r="I83" s="794"/>
      <c r="J83" s="794"/>
      <c r="K83" s="794"/>
      <c r="L83" s="794"/>
      <c r="M83" s="384"/>
      <c r="O83" s="351"/>
      <c r="P83" s="351"/>
    </row>
    <row r="84" spans="1:16" s="331" customFormat="1" ht="15" hidden="1" customHeight="1" x14ac:dyDescent="0.2">
      <c r="A84" s="793" t="s">
        <v>1273</v>
      </c>
      <c r="B84" s="794"/>
      <c r="C84" s="795"/>
      <c r="D84" s="796"/>
      <c r="E84" s="795"/>
      <c r="F84" s="794"/>
      <c r="G84" s="794"/>
      <c r="H84" s="794"/>
      <c r="I84" s="794"/>
      <c r="J84" s="794"/>
      <c r="K84" s="794"/>
      <c r="L84" s="794"/>
      <c r="M84" s="384"/>
      <c r="O84" s="351"/>
      <c r="P84" s="351"/>
    </row>
    <row r="85" spans="1:16" s="331" customFormat="1" ht="30" hidden="1" customHeight="1" x14ac:dyDescent="0.2">
      <c r="A85" s="2991" t="s">
        <v>1266</v>
      </c>
      <c r="B85" s="2991"/>
      <c r="C85" s="2991"/>
      <c r="D85" s="2991"/>
      <c r="E85" s="2991"/>
      <c r="F85" s="2991"/>
      <c r="G85" s="2991"/>
      <c r="H85" s="2991"/>
      <c r="I85" s="2991"/>
      <c r="J85" s="2991"/>
      <c r="K85" s="2991"/>
      <c r="L85" s="2991"/>
      <c r="M85" s="385"/>
      <c r="O85" s="351"/>
      <c r="P85" s="351"/>
    </row>
    <row r="86" spans="1:16" s="331" customFormat="1" ht="15" hidden="1" customHeight="1" x14ac:dyDescent="0.2">
      <c r="A86" s="794"/>
      <c r="B86" s="794"/>
      <c r="C86" s="795"/>
      <c r="D86" s="796"/>
      <c r="E86" s="795"/>
      <c r="F86" s="794"/>
      <c r="G86" s="794"/>
      <c r="H86" s="794"/>
      <c r="I86" s="794"/>
      <c r="J86" s="794"/>
      <c r="K86" s="794"/>
      <c r="L86" s="794"/>
      <c r="M86" s="384"/>
      <c r="O86" s="351"/>
      <c r="P86" s="351"/>
    </row>
    <row r="87" spans="1:16" s="331" customFormat="1" ht="75" hidden="1" customHeight="1" x14ac:dyDescent="0.2">
      <c r="A87" s="2991" t="s">
        <v>1274</v>
      </c>
      <c r="B87" s="2991"/>
      <c r="C87" s="2991"/>
      <c r="D87" s="2991"/>
      <c r="E87" s="2991"/>
      <c r="F87" s="2991"/>
      <c r="G87" s="2991"/>
      <c r="H87" s="2991"/>
      <c r="I87" s="2991"/>
      <c r="J87" s="2991"/>
      <c r="K87" s="2991"/>
      <c r="L87" s="2991"/>
      <c r="M87" s="385"/>
      <c r="O87" s="351"/>
      <c r="P87" s="351"/>
    </row>
    <row r="88" spans="1:16" s="331" customFormat="1" ht="15" hidden="1" customHeight="1" x14ac:dyDescent="0.2">
      <c r="A88" s="794"/>
      <c r="B88" s="794"/>
      <c r="C88" s="795"/>
      <c r="D88" s="796"/>
      <c r="E88" s="795"/>
      <c r="F88" s="794"/>
      <c r="G88" s="794"/>
      <c r="H88" s="794"/>
      <c r="I88" s="794"/>
      <c r="J88" s="794"/>
      <c r="K88" s="794"/>
      <c r="L88" s="794"/>
      <c r="M88" s="384"/>
      <c r="O88" s="351"/>
      <c r="P88" s="351"/>
    </row>
    <row r="89" spans="1:16" s="331" customFormat="1" ht="30" hidden="1" customHeight="1" x14ac:dyDescent="0.2">
      <c r="A89" s="2991" t="s">
        <v>1275</v>
      </c>
      <c r="B89" s="2991"/>
      <c r="C89" s="2991"/>
      <c r="D89" s="2991"/>
      <c r="E89" s="2991"/>
      <c r="F89" s="2991"/>
      <c r="G89" s="2991"/>
      <c r="H89" s="2991"/>
      <c r="I89" s="2991"/>
      <c r="J89" s="2991"/>
      <c r="K89" s="2991"/>
      <c r="L89" s="2991"/>
      <c r="M89" s="385"/>
      <c r="O89" s="351"/>
      <c r="P89" s="351"/>
    </row>
    <row r="90" spans="1:16" s="331" customFormat="1" ht="15" hidden="1" customHeight="1" x14ac:dyDescent="0.2">
      <c r="A90" s="794"/>
      <c r="B90" s="794"/>
      <c r="C90" s="795"/>
      <c r="D90" s="796"/>
      <c r="E90" s="795"/>
      <c r="F90" s="794"/>
      <c r="G90" s="794"/>
      <c r="H90" s="794"/>
      <c r="I90" s="794"/>
      <c r="J90" s="794"/>
      <c r="K90" s="794"/>
      <c r="L90" s="794"/>
      <c r="M90" s="384"/>
      <c r="O90" s="351"/>
      <c r="P90" s="351"/>
    </row>
    <row r="91" spans="1:16" s="331" customFormat="1" ht="15" hidden="1" customHeight="1" x14ac:dyDescent="0.2">
      <c r="A91" s="793" t="s">
        <v>1276</v>
      </c>
      <c r="B91" s="794"/>
      <c r="C91" s="795"/>
      <c r="D91" s="796"/>
      <c r="E91" s="795"/>
      <c r="F91" s="794"/>
      <c r="G91" s="794"/>
      <c r="H91" s="794"/>
      <c r="I91" s="794"/>
      <c r="J91" s="794"/>
      <c r="K91" s="794"/>
      <c r="L91" s="794"/>
      <c r="M91" s="384"/>
      <c r="O91" s="351"/>
      <c r="P91" s="351"/>
    </row>
    <row r="92" spans="1:16" s="331" customFormat="1" ht="60" hidden="1" customHeight="1" x14ac:dyDescent="0.2">
      <c r="A92" s="2991" t="s">
        <v>1277</v>
      </c>
      <c r="B92" s="2991"/>
      <c r="C92" s="2991"/>
      <c r="D92" s="2991"/>
      <c r="E92" s="2991"/>
      <c r="F92" s="2991"/>
      <c r="G92" s="2991"/>
      <c r="H92" s="2991"/>
      <c r="I92" s="2991"/>
      <c r="J92" s="2991"/>
      <c r="K92" s="2991"/>
      <c r="L92" s="2991"/>
      <c r="M92" s="385"/>
      <c r="O92" s="351"/>
      <c r="P92" s="351"/>
    </row>
    <row r="93" spans="1:16" s="331" customFormat="1" ht="15" hidden="1" customHeight="1" x14ac:dyDescent="0.2">
      <c r="A93" s="794"/>
      <c r="B93" s="794"/>
      <c r="C93" s="795"/>
      <c r="D93" s="796"/>
      <c r="E93" s="795"/>
      <c r="F93" s="794"/>
      <c r="G93" s="794"/>
      <c r="H93" s="794"/>
      <c r="I93" s="794"/>
      <c r="J93" s="794"/>
      <c r="K93" s="794"/>
      <c r="L93" s="794"/>
      <c r="M93" s="384"/>
      <c r="O93" s="351"/>
      <c r="P93" s="351"/>
    </row>
    <row r="94" spans="1:16" s="331" customFormat="1" ht="60" hidden="1" customHeight="1" x14ac:dyDescent="0.2">
      <c r="A94" s="2991" t="s">
        <v>1278</v>
      </c>
      <c r="B94" s="2991"/>
      <c r="C94" s="2991"/>
      <c r="D94" s="2991"/>
      <c r="E94" s="2991"/>
      <c r="F94" s="2991"/>
      <c r="G94" s="2991"/>
      <c r="H94" s="2991"/>
      <c r="I94" s="2991"/>
      <c r="J94" s="2991"/>
      <c r="K94" s="2991"/>
      <c r="L94" s="2991"/>
      <c r="M94" s="385"/>
      <c r="O94" s="351"/>
      <c r="P94" s="351"/>
    </row>
    <row r="95" spans="1:16" s="331" customFormat="1" ht="15" hidden="1" customHeight="1" x14ac:dyDescent="0.2">
      <c r="A95" s="794"/>
      <c r="B95" s="794"/>
      <c r="C95" s="795"/>
      <c r="D95" s="796"/>
      <c r="E95" s="795"/>
      <c r="F95" s="794"/>
      <c r="G95" s="794"/>
      <c r="H95" s="794"/>
      <c r="I95" s="794"/>
      <c r="J95" s="794"/>
      <c r="K95" s="794"/>
      <c r="L95" s="794"/>
      <c r="M95" s="384"/>
      <c r="O95" s="351"/>
      <c r="P95" s="351"/>
    </row>
    <row r="96" spans="1:16" s="331" customFormat="1" ht="30" hidden="1" customHeight="1" x14ac:dyDescent="0.2">
      <c r="A96" s="2991" t="s">
        <v>1279</v>
      </c>
      <c r="B96" s="2991"/>
      <c r="C96" s="2991"/>
      <c r="D96" s="2991"/>
      <c r="E96" s="2991"/>
      <c r="F96" s="2991"/>
      <c r="G96" s="2991"/>
      <c r="H96" s="2991"/>
      <c r="I96" s="2991"/>
      <c r="J96" s="2991"/>
      <c r="K96" s="2991"/>
      <c r="L96" s="2991"/>
      <c r="M96" s="385"/>
      <c r="O96" s="351"/>
      <c r="P96" s="351"/>
    </row>
    <row r="97" spans="1:16" s="331" customFormat="1" ht="15" hidden="1" customHeight="1" x14ac:dyDescent="0.2">
      <c r="A97" s="794"/>
      <c r="B97" s="794"/>
      <c r="C97" s="795"/>
      <c r="D97" s="796"/>
      <c r="E97" s="795"/>
      <c r="F97" s="794"/>
      <c r="G97" s="794"/>
      <c r="H97" s="794"/>
      <c r="I97" s="794"/>
      <c r="J97" s="794"/>
      <c r="K97" s="794"/>
      <c r="L97" s="794"/>
      <c r="M97" s="384"/>
      <c r="O97" s="351"/>
      <c r="P97" s="351"/>
    </row>
    <row r="98" spans="1:16" s="331" customFormat="1" ht="15" hidden="1" customHeight="1" x14ac:dyDescent="0.2">
      <c r="A98" s="793" t="s">
        <v>1280</v>
      </c>
      <c r="B98" s="794"/>
      <c r="C98" s="795"/>
      <c r="D98" s="796"/>
      <c r="E98" s="795"/>
      <c r="F98" s="794"/>
      <c r="G98" s="794"/>
      <c r="H98" s="794"/>
      <c r="I98" s="794"/>
      <c r="J98" s="794"/>
      <c r="K98" s="794"/>
      <c r="L98" s="794"/>
      <c r="M98" s="384"/>
      <c r="O98" s="351"/>
      <c r="P98" s="351"/>
    </row>
    <row r="99" spans="1:16" s="331" customFormat="1" ht="30" hidden="1" customHeight="1" x14ac:dyDescent="0.2">
      <c r="A99" s="2991" t="s">
        <v>1266</v>
      </c>
      <c r="B99" s="2991"/>
      <c r="C99" s="2991"/>
      <c r="D99" s="2991"/>
      <c r="E99" s="2991"/>
      <c r="F99" s="2991"/>
      <c r="G99" s="2991"/>
      <c r="H99" s="2991"/>
      <c r="I99" s="2991"/>
      <c r="J99" s="2991"/>
      <c r="K99" s="2991"/>
      <c r="L99" s="2991"/>
      <c r="M99" s="385"/>
      <c r="O99" s="351"/>
      <c r="P99" s="351"/>
    </row>
    <row r="100" spans="1:16" s="331" customFormat="1" ht="15" hidden="1" customHeight="1" x14ac:dyDescent="0.2">
      <c r="A100" s="794"/>
      <c r="B100" s="794"/>
      <c r="C100" s="795"/>
      <c r="D100" s="796"/>
      <c r="E100" s="795"/>
      <c r="F100" s="794"/>
      <c r="G100" s="794"/>
      <c r="H100" s="794"/>
      <c r="I100" s="794"/>
      <c r="J100" s="794"/>
      <c r="K100" s="794"/>
      <c r="L100" s="794"/>
      <c r="M100" s="384"/>
      <c r="O100" s="351"/>
      <c r="P100" s="351"/>
    </row>
    <row r="101" spans="1:16" s="331" customFormat="1" ht="15" hidden="1" customHeight="1" x14ac:dyDescent="0.2">
      <c r="A101" s="793" t="s">
        <v>1281</v>
      </c>
      <c r="B101" s="794"/>
      <c r="C101" s="795"/>
      <c r="D101" s="796"/>
      <c r="E101" s="795"/>
      <c r="F101" s="794"/>
      <c r="G101" s="794"/>
      <c r="H101" s="794"/>
      <c r="I101" s="794"/>
      <c r="J101" s="794"/>
      <c r="K101" s="794"/>
      <c r="L101" s="794"/>
      <c r="M101" s="384"/>
      <c r="O101" s="351"/>
      <c r="P101" s="351"/>
    </row>
    <row r="102" spans="1:16" s="331" customFormat="1" ht="30" hidden="1" customHeight="1" x14ac:dyDescent="0.2">
      <c r="A102" s="2991" t="s">
        <v>1266</v>
      </c>
      <c r="B102" s="2991"/>
      <c r="C102" s="2991"/>
      <c r="D102" s="2991"/>
      <c r="E102" s="2991"/>
      <c r="F102" s="2991"/>
      <c r="G102" s="2991"/>
      <c r="H102" s="2991"/>
      <c r="I102" s="2991"/>
      <c r="J102" s="2991"/>
      <c r="K102" s="2991"/>
      <c r="L102" s="2991"/>
      <c r="M102" s="385"/>
      <c r="O102" s="351"/>
      <c r="P102" s="351"/>
    </row>
    <row r="103" spans="1:16" s="331" customFormat="1" ht="15" hidden="1" customHeight="1" x14ac:dyDescent="0.2">
      <c r="A103" s="794"/>
      <c r="B103" s="794"/>
      <c r="C103" s="795"/>
      <c r="D103" s="796"/>
      <c r="E103" s="795"/>
      <c r="F103" s="794"/>
      <c r="G103" s="794"/>
      <c r="H103" s="794"/>
      <c r="I103" s="794"/>
      <c r="J103" s="794"/>
      <c r="K103" s="794"/>
      <c r="L103" s="794"/>
      <c r="M103" s="384"/>
      <c r="O103" s="351"/>
      <c r="P103" s="351"/>
    </row>
    <row r="104" spans="1:16" s="331" customFormat="1" ht="15" hidden="1" customHeight="1" x14ac:dyDescent="0.2">
      <c r="A104" s="793" t="s">
        <v>1282</v>
      </c>
      <c r="B104" s="794"/>
      <c r="C104" s="795"/>
      <c r="D104" s="796"/>
      <c r="E104" s="795"/>
      <c r="F104" s="794"/>
      <c r="G104" s="794"/>
      <c r="H104" s="794"/>
      <c r="I104" s="794"/>
      <c r="J104" s="794"/>
      <c r="K104" s="794"/>
      <c r="L104" s="794"/>
      <c r="M104" s="384"/>
      <c r="O104" s="351"/>
      <c r="P104" s="351"/>
    </row>
    <row r="105" spans="1:16" s="331" customFormat="1" ht="30" hidden="1" customHeight="1" x14ac:dyDescent="0.2">
      <c r="A105" s="2991" t="s">
        <v>1266</v>
      </c>
      <c r="B105" s="2991"/>
      <c r="C105" s="2991"/>
      <c r="D105" s="2991"/>
      <c r="E105" s="2991"/>
      <c r="F105" s="2991"/>
      <c r="G105" s="2991"/>
      <c r="H105" s="2991"/>
      <c r="I105" s="2991"/>
      <c r="J105" s="2991"/>
      <c r="K105" s="2991"/>
      <c r="L105" s="2991"/>
      <c r="M105" s="385"/>
      <c r="O105" s="351"/>
      <c r="P105" s="351"/>
    </row>
    <row r="106" spans="1:16" s="331" customFormat="1" ht="15" hidden="1" customHeight="1" x14ac:dyDescent="0.2">
      <c r="A106" s="794"/>
      <c r="B106" s="794"/>
      <c r="C106" s="795"/>
      <c r="D106" s="796"/>
      <c r="E106" s="795"/>
      <c r="F106" s="794"/>
      <c r="G106" s="794"/>
      <c r="H106" s="794"/>
      <c r="I106" s="794"/>
      <c r="J106" s="794"/>
      <c r="K106" s="794"/>
      <c r="L106" s="794"/>
      <c r="M106" s="384"/>
      <c r="O106" s="351"/>
      <c r="P106" s="351"/>
    </row>
    <row r="107" spans="1:16" s="331" customFormat="1" ht="15" hidden="1" customHeight="1" x14ac:dyDescent="0.2">
      <c r="A107" s="793" t="s">
        <v>1283</v>
      </c>
      <c r="B107" s="794"/>
      <c r="C107" s="795"/>
      <c r="D107" s="796"/>
      <c r="E107" s="795"/>
      <c r="F107" s="794"/>
      <c r="G107" s="794"/>
      <c r="H107" s="794"/>
      <c r="I107" s="794"/>
      <c r="J107" s="794"/>
      <c r="K107" s="794"/>
      <c r="L107" s="794"/>
      <c r="M107" s="384"/>
      <c r="O107" s="351"/>
      <c r="P107" s="351"/>
    </row>
    <row r="108" spans="1:16" s="331" customFormat="1" ht="45" hidden="1" customHeight="1" x14ac:dyDescent="0.2">
      <c r="A108" s="2991" t="s">
        <v>1284</v>
      </c>
      <c r="B108" s="2991"/>
      <c r="C108" s="2991"/>
      <c r="D108" s="2991"/>
      <c r="E108" s="2991"/>
      <c r="F108" s="2991"/>
      <c r="G108" s="2991"/>
      <c r="H108" s="2991"/>
      <c r="I108" s="2991"/>
      <c r="J108" s="2991"/>
      <c r="K108" s="2991"/>
      <c r="L108" s="2991"/>
      <c r="M108" s="385"/>
      <c r="O108" s="351"/>
      <c r="P108" s="351"/>
    </row>
    <row r="109" spans="1:16" s="331" customFormat="1" ht="15" hidden="1" customHeight="1" x14ac:dyDescent="0.2">
      <c r="A109" s="794"/>
      <c r="B109" s="794"/>
      <c r="C109" s="795"/>
      <c r="D109" s="796"/>
      <c r="E109" s="795"/>
      <c r="F109" s="794"/>
      <c r="G109" s="794"/>
      <c r="H109" s="794"/>
      <c r="I109" s="794"/>
      <c r="J109" s="794"/>
      <c r="K109" s="794"/>
      <c r="L109" s="794"/>
      <c r="M109" s="384"/>
      <c r="O109" s="351"/>
      <c r="P109" s="351"/>
    </row>
    <row r="110" spans="1:16" s="331" customFormat="1" ht="30" hidden="1" customHeight="1" x14ac:dyDescent="0.2">
      <c r="A110" s="2991" t="s">
        <v>1285</v>
      </c>
      <c r="B110" s="2991"/>
      <c r="C110" s="2991"/>
      <c r="D110" s="2991"/>
      <c r="E110" s="2991"/>
      <c r="F110" s="2991"/>
      <c r="G110" s="2991"/>
      <c r="H110" s="2991"/>
      <c r="I110" s="2991"/>
      <c r="J110" s="2991"/>
      <c r="K110" s="2991"/>
      <c r="L110" s="2991"/>
      <c r="M110" s="385"/>
      <c r="O110" s="351"/>
      <c r="P110" s="351"/>
    </row>
    <row r="111" spans="1:16" s="331" customFormat="1" ht="15" hidden="1" customHeight="1" x14ac:dyDescent="0.2">
      <c r="A111" s="794"/>
      <c r="B111" s="794"/>
      <c r="C111" s="795"/>
      <c r="D111" s="796"/>
      <c r="E111" s="795"/>
      <c r="F111" s="794"/>
      <c r="G111" s="794"/>
      <c r="H111" s="794"/>
      <c r="I111" s="794"/>
      <c r="J111" s="794"/>
      <c r="K111" s="794"/>
      <c r="L111" s="794"/>
      <c r="M111" s="384"/>
      <c r="O111" s="351"/>
      <c r="P111" s="351"/>
    </row>
    <row r="112" spans="1:16" s="331" customFormat="1" ht="30" hidden="1" customHeight="1" x14ac:dyDescent="0.2">
      <c r="A112" s="2991" t="s">
        <v>1286</v>
      </c>
      <c r="B112" s="2991"/>
      <c r="C112" s="2991"/>
      <c r="D112" s="2991"/>
      <c r="E112" s="2991"/>
      <c r="F112" s="2991"/>
      <c r="G112" s="2991"/>
      <c r="H112" s="2991"/>
      <c r="I112" s="2991"/>
      <c r="J112" s="2991"/>
      <c r="K112" s="2991"/>
      <c r="L112" s="2991"/>
      <c r="M112" s="385"/>
      <c r="O112" s="351"/>
      <c r="P112" s="351"/>
    </row>
    <row r="113" spans="1:16" s="331" customFormat="1" ht="15" hidden="1" customHeight="1" x14ac:dyDescent="0.2">
      <c r="A113" s="794"/>
      <c r="B113" s="794"/>
      <c r="C113" s="795"/>
      <c r="D113" s="796"/>
      <c r="E113" s="795"/>
      <c r="F113" s="794"/>
      <c r="G113" s="794"/>
      <c r="H113" s="794"/>
      <c r="I113" s="794"/>
      <c r="J113" s="794"/>
      <c r="K113" s="794"/>
      <c r="L113" s="794"/>
      <c r="M113" s="384"/>
      <c r="O113" s="351"/>
      <c r="P113" s="351"/>
    </row>
    <row r="114" spans="1:16" s="331" customFormat="1" ht="15" hidden="1" customHeight="1" x14ac:dyDescent="0.2">
      <c r="A114" s="793" t="s">
        <v>1287</v>
      </c>
      <c r="B114" s="794"/>
      <c r="C114" s="795"/>
      <c r="D114" s="796"/>
      <c r="E114" s="795"/>
      <c r="F114" s="794"/>
      <c r="G114" s="794"/>
      <c r="H114" s="794"/>
      <c r="I114" s="794"/>
      <c r="J114" s="794"/>
      <c r="K114" s="794"/>
      <c r="L114" s="794"/>
      <c r="M114" s="384"/>
      <c r="O114" s="351"/>
      <c r="P114" s="351"/>
    </row>
    <row r="115" spans="1:16" s="331" customFormat="1" ht="60" hidden="1" customHeight="1" x14ac:dyDescent="0.2">
      <c r="A115" s="2991" t="s">
        <v>1288</v>
      </c>
      <c r="B115" s="2991"/>
      <c r="C115" s="2991"/>
      <c r="D115" s="2991"/>
      <c r="E115" s="2991"/>
      <c r="F115" s="2991"/>
      <c r="G115" s="2991"/>
      <c r="H115" s="2991"/>
      <c r="I115" s="2991"/>
      <c r="J115" s="2991"/>
      <c r="K115" s="2991"/>
      <c r="L115" s="2991"/>
      <c r="M115" s="385"/>
      <c r="O115" s="351"/>
      <c r="P115" s="351"/>
    </row>
    <row r="116" spans="1:16" s="331" customFormat="1" ht="15" hidden="1" customHeight="1" x14ac:dyDescent="0.2">
      <c r="A116" s="794"/>
      <c r="B116" s="794"/>
      <c r="C116" s="795"/>
      <c r="D116" s="796"/>
      <c r="E116" s="795"/>
      <c r="F116" s="794"/>
      <c r="G116" s="794"/>
      <c r="H116" s="794"/>
      <c r="I116" s="794"/>
      <c r="J116" s="794"/>
      <c r="K116" s="794"/>
      <c r="L116" s="794"/>
      <c r="M116" s="384"/>
      <c r="O116" s="351"/>
      <c r="P116" s="351"/>
    </row>
    <row r="117" spans="1:16" s="331" customFormat="1" ht="15" hidden="1" customHeight="1" x14ac:dyDescent="0.2">
      <c r="A117" s="2991" t="s">
        <v>1289</v>
      </c>
      <c r="B117" s="2991"/>
      <c r="C117" s="2991"/>
      <c r="D117" s="2991"/>
      <c r="E117" s="2991"/>
      <c r="F117" s="2991"/>
      <c r="G117" s="2991"/>
      <c r="H117" s="2991"/>
      <c r="I117" s="2991"/>
      <c r="J117" s="2991"/>
      <c r="K117" s="2991"/>
      <c r="L117" s="2991"/>
      <c r="M117" s="385"/>
      <c r="O117" s="351"/>
      <c r="P117" s="351"/>
    </row>
    <row r="118" spans="1:16" s="331" customFormat="1" ht="15" hidden="1" customHeight="1" x14ac:dyDescent="0.2">
      <c r="A118" s="794"/>
      <c r="B118" s="794"/>
      <c r="C118" s="795"/>
      <c r="D118" s="796"/>
      <c r="E118" s="795"/>
      <c r="F118" s="794"/>
      <c r="G118" s="794"/>
      <c r="H118" s="794"/>
      <c r="I118" s="794"/>
      <c r="J118" s="794"/>
      <c r="K118" s="794"/>
      <c r="L118" s="794"/>
      <c r="M118" s="384"/>
      <c r="O118" s="351"/>
      <c r="P118" s="351"/>
    </row>
    <row r="119" spans="1:16" s="331" customFormat="1" ht="30" hidden="1" customHeight="1" x14ac:dyDescent="0.2">
      <c r="A119" s="2991" t="s">
        <v>1290</v>
      </c>
      <c r="B119" s="2991"/>
      <c r="C119" s="2991"/>
      <c r="D119" s="2991"/>
      <c r="E119" s="2991"/>
      <c r="F119" s="2991"/>
      <c r="G119" s="2991"/>
      <c r="H119" s="2991"/>
      <c r="I119" s="2991"/>
      <c r="J119" s="2991"/>
      <c r="K119" s="2991"/>
      <c r="L119" s="2991"/>
      <c r="M119" s="385"/>
      <c r="O119" s="351"/>
      <c r="P119" s="351"/>
    </row>
    <row r="120" spans="1:16" s="331" customFormat="1" ht="15" hidden="1" customHeight="1" x14ac:dyDescent="0.2">
      <c r="A120" s="794"/>
      <c r="B120" s="794"/>
      <c r="C120" s="795"/>
      <c r="D120" s="796"/>
      <c r="E120" s="795"/>
      <c r="F120" s="794"/>
      <c r="G120" s="794"/>
      <c r="H120" s="794"/>
      <c r="I120" s="794"/>
      <c r="J120" s="794"/>
      <c r="K120" s="794"/>
      <c r="L120" s="794"/>
      <c r="M120" s="384"/>
      <c r="O120" s="351"/>
      <c r="P120" s="351"/>
    </row>
    <row r="121" spans="1:16" s="331" customFormat="1" ht="15" hidden="1" customHeight="1" x14ac:dyDescent="0.2">
      <c r="A121" s="2991" t="s">
        <v>1291</v>
      </c>
      <c r="B121" s="2991"/>
      <c r="C121" s="2991"/>
      <c r="D121" s="2991"/>
      <c r="E121" s="2991"/>
      <c r="F121" s="2991"/>
      <c r="G121" s="2991"/>
      <c r="H121" s="2991"/>
      <c r="I121" s="2991"/>
      <c r="J121" s="2991"/>
      <c r="K121" s="2991"/>
      <c r="L121" s="2991"/>
      <c r="M121" s="385"/>
      <c r="O121" s="351"/>
      <c r="P121" s="351"/>
    </row>
    <row r="122" spans="1:16" s="331" customFormat="1" ht="15" hidden="1" customHeight="1" x14ac:dyDescent="0.2">
      <c r="A122" s="794"/>
      <c r="B122" s="794"/>
      <c r="C122" s="795"/>
      <c r="D122" s="796"/>
      <c r="E122" s="795"/>
      <c r="F122" s="794"/>
      <c r="G122" s="794"/>
      <c r="H122" s="794"/>
      <c r="I122" s="794"/>
      <c r="J122" s="794"/>
      <c r="K122" s="794"/>
      <c r="L122" s="794"/>
      <c r="M122" s="384"/>
      <c r="O122" s="351"/>
      <c r="P122" s="351"/>
    </row>
    <row r="123" spans="1:16" s="331" customFormat="1" ht="15" hidden="1" customHeight="1" x14ac:dyDescent="0.2">
      <c r="A123" s="793" t="s">
        <v>1292</v>
      </c>
      <c r="B123" s="794"/>
      <c r="C123" s="795"/>
      <c r="D123" s="796"/>
      <c r="E123" s="795"/>
      <c r="F123" s="794"/>
      <c r="G123" s="794"/>
      <c r="H123" s="794"/>
      <c r="I123" s="794"/>
      <c r="J123" s="794"/>
      <c r="K123" s="794"/>
      <c r="L123" s="794"/>
      <c r="M123" s="384"/>
      <c r="O123" s="351"/>
      <c r="P123" s="351"/>
    </row>
    <row r="124" spans="1:16" s="331" customFormat="1" ht="45" hidden="1" customHeight="1" x14ac:dyDescent="0.2">
      <c r="A124" s="2991" t="s">
        <v>1293</v>
      </c>
      <c r="B124" s="2991"/>
      <c r="C124" s="2991"/>
      <c r="D124" s="2991"/>
      <c r="E124" s="2991"/>
      <c r="F124" s="2991"/>
      <c r="G124" s="2991"/>
      <c r="H124" s="2991"/>
      <c r="I124" s="2991"/>
      <c r="J124" s="2991"/>
      <c r="K124" s="2991"/>
      <c r="L124" s="2991"/>
      <c r="M124" s="385"/>
      <c r="O124" s="351"/>
      <c r="P124" s="351"/>
    </row>
    <row r="125" spans="1:16" s="331" customFormat="1" ht="15" hidden="1" customHeight="1" x14ac:dyDescent="0.2">
      <c r="A125" s="794"/>
      <c r="B125" s="794"/>
      <c r="C125" s="795"/>
      <c r="D125" s="796"/>
      <c r="E125" s="795"/>
      <c r="F125" s="794"/>
      <c r="G125" s="794"/>
      <c r="H125" s="794"/>
      <c r="I125" s="794"/>
      <c r="J125" s="794"/>
      <c r="K125" s="794"/>
      <c r="L125" s="794"/>
      <c r="M125" s="384"/>
      <c r="O125" s="351"/>
      <c r="P125" s="351"/>
    </row>
    <row r="126" spans="1:16" s="331" customFormat="1" ht="75" hidden="1" customHeight="1" x14ac:dyDescent="0.2">
      <c r="A126" s="2991" t="s">
        <v>1294</v>
      </c>
      <c r="B126" s="2991"/>
      <c r="C126" s="2991"/>
      <c r="D126" s="2991"/>
      <c r="E126" s="2991"/>
      <c r="F126" s="2991"/>
      <c r="G126" s="2991"/>
      <c r="H126" s="2991"/>
      <c r="I126" s="2991"/>
      <c r="J126" s="2991"/>
      <c r="K126" s="2991"/>
      <c r="L126" s="2991"/>
      <c r="M126" s="385"/>
      <c r="O126" s="351"/>
      <c r="P126" s="351"/>
    </row>
    <row r="127" spans="1:16" s="331" customFormat="1" ht="15" hidden="1" customHeight="1" x14ac:dyDescent="0.2">
      <c r="A127" s="794"/>
      <c r="B127" s="794"/>
      <c r="C127" s="795"/>
      <c r="D127" s="796"/>
      <c r="E127" s="795"/>
      <c r="F127" s="794"/>
      <c r="G127" s="794"/>
      <c r="H127" s="794"/>
      <c r="I127" s="794"/>
      <c r="J127" s="794"/>
      <c r="K127" s="794"/>
      <c r="L127" s="794"/>
      <c r="M127" s="384"/>
      <c r="O127" s="351"/>
      <c r="P127" s="351"/>
    </row>
    <row r="128" spans="1:16" s="331" customFormat="1" ht="15" hidden="1" customHeight="1" x14ac:dyDescent="0.2">
      <c r="A128" s="793" t="s">
        <v>1295</v>
      </c>
      <c r="B128" s="794"/>
      <c r="C128" s="795"/>
      <c r="D128" s="796"/>
      <c r="E128" s="795"/>
      <c r="F128" s="794"/>
      <c r="G128" s="794"/>
      <c r="H128" s="794"/>
      <c r="I128" s="794"/>
      <c r="J128" s="794"/>
      <c r="K128" s="794"/>
      <c r="L128" s="794"/>
      <c r="M128" s="384"/>
      <c r="O128" s="351"/>
      <c r="P128" s="351"/>
    </row>
    <row r="129" spans="1:16" s="331" customFormat="1" ht="75" hidden="1" customHeight="1" x14ac:dyDescent="0.2">
      <c r="A129" s="2991" t="s">
        <v>1296</v>
      </c>
      <c r="B129" s="2991"/>
      <c r="C129" s="2991"/>
      <c r="D129" s="2991"/>
      <c r="E129" s="2991"/>
      <c r="F129" s="2991"/>
      <c r="G129" s="2991"/>
      <c r="H129" s="2991"/>
      <c r="I129" s="2991"/>
      <c r="J129" s="2991"/>
      <c r="K129" s="2991"/>
      <c r="L129" s="2991"/>
      <c r="M129" s="385"/>
      <c r="O129" s="351"/>
      <c r="P129" s="351"/>
    </row>
    <row r="130" spans="1:16" s="331" customFormat="1" ht="15" hidden="1" customHeight="1" x14ac:dyDescent="0.2">
      <c r="A130" s="794"/>
      <c r="B130" s="794"/>
      <c r="C130" s="795"/>
      <c r="D130" s="796"/>
      <c r="E130" s="795"/>
      <c r="F130" s="794"/>
      <c r="G130" s="794"/>
      <c r="H130" s="794"/>
      <c r="I130" s="794"/>
      <c r="J130" s="794"/>
      <c r="K130" s="794"/>
      <c r="L130" s="794"/>
      <c r="M130" s="384"/>
      <c r="O130" s="351"/>
      <c r="P130" s="351"/>
    </row>
    <row r="131" spans="1:16" s="331" customFormat="1" ht="30" hidden="1" customHeight="1" x14ac:dyDescent="0.2">
      <c r="A131" s="2991" t="s">
        <v>1297</v>
      </c>
      <c r="B131" s="2991"/>
      <c r="C131" s="2991"/>
      <c r="D131" s="2991"/>
      <c r="E131" s="2991"/>
      <c r="F131" s="2991"/>
      <c r="G131" s="2991"/>
      <c r="H131" s="2991"/>
      <c r="I131" s="2991"/>
      <c r="J131" s="2991"/>
      <c r="K131" s="2991"/>
      <c r="L131" s="2991"/>
      <c r="M131" s="385"/>
      <c r="O131" s="351"/>
      <c r="P131" s="351"/>
    </row>
    <row r="132" spans="1:16" s="331" customFormat="1" ht="15" hidden="1" customHeight="1" x14ac:dyDescent="0.2">
      <c r="A132" s="794"/>
      <c r="B132" s="794"/>
      <c r="C132" s="795"/>
      <c r="D132" s="796"/>
      <c r="E132" s="795"/>
      <c r="F132" s="794"/>
      <c r="G132" s="794"/>
      <c r="H132" s="794"/>
      <c r="I132" s="794"/>
      <c r="J132" s="794"/>
      <c r="K132" s="794"/>
      <c r="L132" s="794"/>
      <c r="M132" s="384"/>
      <c r="O132" s="351"/>
      <c r="P132" s="351"/>
    </row>
    <row r="133" spans="1:16" s="331" customFormat="1" ht="60" hidden="1" customHeight="1" x14ac:dyDescent="0.2">
      <c r="A133" s="2992" t="s">
        <v>1298</v>
      </c>
      <c r="B133" s="2992"/>
      <c r="C133" s="2992"/>
      <c r="D133" s="2992"/>
      <c r="E133" s="2992"/>
      <c r="F133" s="2992"/>
      <c r="G133" s="2992"/>
      <c r="H133" s="2992"/>
      <c r="I133" s="2992"/>
      <c r="J133" s="2992"/>
      <c r="K133" s="2992"/>
      <c r="L133" s="2992"/>
      <c r="M133" s="385"/>
      <c r="O133" s="351"/>
      <c r="P133" s="351"/>
    </row>
    <row r="134" spans="1:16" s="331" customFormat="1" ht="15" hidden="1" customHeight="1" x14ac:dyDescent="0.2">
      <c r="A134" s="794"/>
      <c r="B134" s="794"/>
      <c r="C134" s="795"/>
      <c r="D134" s="796"/>
      <c r="E134" s="795"/>
      <c r="F134" s="794"/>
      <c r="G134" s="794"/>
      <c r="H134" s="794"/>
      <c r="I134" s="794"/>
      <c r="J134" s="794"/>
      <c r="K134" s="794"/>
      <c r="L134" s="794"/>
      <c r="M134" s="384"/>
      <c r="O134" s="351"/>
      <c r="P134" s="351"/>
    </row>
    <row r="135" spans="1:16" s="331" customFormat="1" ht="15" customHeight="1" x14ac:dyDescent="0.2">
      <c r="C135" s="382"/>
      <c r="D135" s="383"/>
      <c r="E135" s="382"/>
      <c r="N135" s="351"/>
      <c r="O135" s="351"/>
    </row>
  </sheetData>
  <mergeCells count="40">
    <mergeCell ref="A92:L92"/>
    <mergeCell ref="A77:L77"/>
    <mergeCell ref="A37:L37"/>
    <mergeCell ref="A1:L1"/>
    <mergeCell ref="A3:L3"/>
    <mergeCell ref="A41:L41"/>
    <mergeCell ref="A44:L44"/>
    <mergeCell ref="A2:L2"/>
    <mergeCell ref="A79:L79"/>
    <mergeCell ref="A82:L82"/>
    <mergeCell ref="A85:L85"/>
    <mergeCell ref="A87:L87"/>
    <mergeCell ref="A89:L89"/>
    <mergeCell ref="A62:L62"/>
    <mergeCell ref="A65:L65"/>
    <mergeCell ref="A69:L69"/>
    <mergeCell ref="A75:L75"/>
    <mergeCell ref="A72:L72"/>
    <mergeCell ref="A47:L47"/>
    <mergeCell ref="A50:L50"/>
    <mergeCell ref="A53:L53"/>
    <mergeCell ref="A56:L56"/>
    <mergeCell ref="A59:L59"/>
    <mergeCell ref="A94:L94"/>
    <mergeCell ref="A96:L96"/>
    <mergeCell ref="A99:L99"/>
    <mergeCell ref="A110:L110"/>
    <mergeCell ref="A129:L129"/>
    <mergeCell ref="A112:L112"/>
    <mergeCell ref="A115:L115"/>
    <mergeCell ref="A117:L117"/>
    <mergeCell ref="A105:L105"/>
    <mergeCell ref="A102:L102"/>
    <mergeCell ref="A108:L108"/>
    <mergeCell ref="A131:L131"/>
    <mergeCell ref="A133:L133"/>
    <mergeCell ref="A119:L119"/>
    <mergeCell ref="A124:L124"/>
    <mergeCell ref="A121:L121"/>
    <mergeCell ref="A126:L126"/>
  </mergeCells>
  <phoneticPr fontId="0" type="noConversion"/>
  <conditionalFormatting sqref="I36 F36">
    <cfRule type="cellIs" dxfId="16" priority="2"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97" firstPageNumber="126" orientation="landscape" useFirstPageNumber="1" r:id="rId1"/>
  <headerFooter alignWithMargins="0"/>
  <colBreaks count="1" manualBreakCount="1">
    <brk id="9" max="13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P317"/>
  <sheetViews>
    <sheetView view="pageBreakPreview" zoomScale="70" zoomScaleNormal="100" zoomScaleSheetLayoutView="70" workbookViewId="0">
      <selection activeCell="N197" sqref="N197"/>
    </sheetView>
  </sheetViews>
  <sheetFormatPr defaultColWidth="9.140625" defaultRowHeight="15" outlineLevelCol="1" x14ac:dyDescent="0.2"/>
  <cols>
    <col min="1" max="1" width="30.7109375" style="1" customWidth="1"/>
    <col min="2" max="2" width="12.7109375" style="788" hidden="1" customWidth="1" outlineLevel="1"/>
    <col min="3" max="3" width="15.7109375" style="3" hidden="1" customWidth="1" outlineLevel="1"/>
    <col min="4" max="6" width="14.7109375" style="3" hidden="1" customWidth="1" outlineLevel="1"/>
    <col min="7" max="8" width="15.7109375" style="3" hidden="1" customWidth="1" outlineLevel="1"/>
    <col min="9" max="11" width="14.7109375" style="3" hidden="1" customWidth="1" outlineLevel="1"/>
    <col min="12" max="12" width="15.7109375" style="3" hidden="1" customWidth="1" outlineLevel="1"/>
    <col min="13" max="13" width="17.7109375" style="3" bestFit="1" customWidth="1" collapsed="1"/>
    <col min="14" max="14" width="16.28515625" style="3" bestFit="1" customWidth="1"/>
    <col min="15" max="15" width="15.7109375" style="3" hidden="1" customWidth="1" outlineLevel="1"/>
    <col min="16" max="17" width="14.7109375" style="3" hidden="1" customWidth="1" outlineLevel="1"/>
    <col min="18" max="18" width="15.7109375" style="3" customWidth="1" collapsed="1"/>
    <col min="19" max="19" width="17.140625" style="3" bestFit="1" customWidth="1"/>
    <col min="20" max="20" width="14.7109375" style="3" customWidth="1"/>
    <col min="21" max="21" width="17.7109375" style="3" bestFit="1" customWidth="1"/>
    <col min="22" max="22" width="15.7109375" style="3" hidden="1" customWidth="1" outlineLevel="1"/>
    <col min="23" max="25" width="14.7109375" style="3" hidden="1" customWidth="1" outlineLevel="1"/>
    <col min="26" max="27" width="15.7109375" style="3" hidden="1" customWidth="1" outlineLevel="1"/>
    <col min="28" max="30" width="14.7109375" style="3" hidden="1" customWidth="1" outlineLevel="1"/>
    <col min="31" max="31" width="15.7109375" style="3" hidden="1" customWidth="1" outlineLevel="1"/>
    <col min="32" max="32" width="17.7109375" style="3" bestFit="1" customWidth="1" collapsed="1"/>
    <col min="33" max="33" width="15.85546875" style="3" bestFit="1" customWidth="1"/>
    <col min="34" max="34" width="16.7109375" style="3" bestFit="1" customWidth="1"/>
    <col min="35" max="35" width="14.7109375" style="3" customWidth="1"/>
    <col min="36" max="37" width="17.28515625" style="3" bestFit="1" customWidth="1"/>
    <col min="38" max="38" width="2.7109375" style="3" customWidth="1"/>
    <col min="39" max="39" width="14.7109375" style="3" hidden="1" customWidth="1"/>
    <col min="40" max="40" width="14" style="1" customWidth="1"/>
    <col min="41" max="41" width="16" style="1" bestFit="1" customWidth="1"/>
    <col min="42" max="42" width="13" style="1" bestFit="1" customWidth="1"/>
    <col min="43" max="16384" width="9.140625" style="1"/>
  </cols>
  <sheetData>
    <row r="1" spans="1:41" ht="18" customHeight="1" x14ac:dyDescent="0.25">
      <c r="A1" s="2808" t="s">
        <v>197</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row>
    <row r="2" spans="1:41" ht="15.95" customHeight="1" x14ac:dyDescent="0.25">
      <c r="A2" s="3008" t="str">
        <f>Parameters!C5</f>
        <v>Mohokare Local Municipality</v>
      </c>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3008"/>
      <c r="Z2" s="3008"/>
      <c r="AA2" s="3008"/>
      <c r="AB2" s="3008"/>
      <c r="AC2" s="3008"/>
      <c r="AD2" s="3008"/>
      <c r="AE2" s="3008"/>
      <c r="AF2" s="3008"/>
      <c r="AG2" s="3008"/>
      <c r="AH2" s="3008"/>
      <c r="AI2" s="3008"/>
      <c r="AJ2" s="3008"/>
      <c r="AK2" s="3008"/>
      <c r="AL2" s="3008"/>
      <c r="AM2" s="3008"/>
    </row>
    <row r="3" spans="1:41" ht="15.95" customHeight="1" thickBot="1" x14ac:dyDescent="0.3">
      <c r="A3" s="3008" t="str">
        <f>"ANALYSIS OF PROPERTY, PLANT AND EQUIPMENT AS AT "&amp;Parameters!C6</f>
        <v>ANALYSIS OF PROPERTY, PLANT AND EQUIPMENT AS AT 30 JUNE 2012</v>
      </c>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08"/>
      <c r="AB3" s="3008"/>
      <c r="AC3" s="3008"/>
      <c r="AD3" s="3008"/>
      <c r="AE3" s="3008"/>
      <c r="AF3" s="3008"/>
      <c r="AG3" s="3008"/>
      <c r="AH3" s="3008"/>
      <c r="AI3" s="3008"/>
      <c r="AJ3" s="3008"/>
      <c r="AK3" s="3008"/>
      <c r="AL3" s="3008"/>
      <c r="AM3" s="3008"/>
    </row>
    <row r="4" spans="1:41" s="109" customFormat="1" ht="15" customHeight="1" x14ac:dyDescent="0.25">
      <c r="A4" s="726"/>
      <c r="B4" s="727" t="s">
        <v>1517</v>
      </c>
      <c r="C4" s="3010" t="s">
        <v>1354</v>
      </c>
      <c r="D4" s="3011"/>
      <c r="E4" s="3011"/>
      <c r="F4" s="3011"/>
      <c r="G4" s="3012"/>
      <c r="H4" s="3010" t="s">
        <v>39</v>
      </c>
      <c r="I4" s="3011"/>
      <c r="J4" s="3011"/>
      <c r="K4" s="3011"/>
      <c r="L4" s="3012"/>
      <c r="M4" s="3013" t="s">
        <v>435</v>
      </c>
      <c r="N4" s="3014"/>
      <c r="O4" s="3014"/>
      <c r="P4" s="3014"/>
      <c r="Q4" s="3014"/>
      <c r="R4" s="3014"/>
      <c r="S4" s="3014"/>
      <c r="T4" s="3014"/>
      <c r="U4" s="3015"/>
      <c r="V4" s="3010" t="s">
        <v>198</v>
      </c>
      <c r="W4" s="3011"/>
      <c r="X4" s="3011"/>
      <c r="Y4" s="3011"/>
      <c r="Z4" s="3012"/>
      <c r="AA4" s="3010" t="s">
        <v>152</v>
      </c>
      <c r="AB4" s="3011"/>
      <c r="AC4" s="3011"/>
      <c r="AD4" s="3011"/>
      <c r="AE4" s="3012"/>
      <c r="AF4" s="3010" t="s">
        <v>153</v>
      </c>
      <c r="AG4" s="3011"/>
      <c r="AH4" s="3011"/>
      <c r="AI4" s="3011"/>
      <c r="AJ4" s="3012"/>
      <c r="AK4" s="391" t="s">
        <v>285</v>
      </c>
      <c r="AL4" s="147"/>
      <c r="AM4" s="392" t="s">
        <v>243</v>
      </c>
    </row>
    <row r="5" spans="1:41" s="109" customFormat="1" ht="15" customHeight="1" x14ac:dyDescent="0.25">
      <c r="A5" s="728" t="s">
        <v>7</v>
      </c>
      <c r="B5" s="729"/>
      <c r="C5" s="393" t="s">
        <v>682</v>
      </c>
      <c r="D5" s="3001" t="s">
        <v>683</v>
      </c>
      <c r="E5" s="3001" t="s">
        <v>763</v>
      </c>
      <c r="F5" s="3001" t="s">
        <v>684</v>
      </c>
      <c r="G5" s="394" t="s">
        <v>195</v>
      </c>
      <c r="H5" s="393" t="s">
        <v>682</v>
      </c>
      <c r="I5" s="3001" t="s">
        <v>683</v>
      </c>
      <c r="J5" s="3001" t="s">
        <v>763</v>
      </c>
      <c r="K5" s="3001" t="s">
        <v>684</v>
      </c>
      <c r="L5" s="394" t="s">
        <v>195</v>
      </c>
      <c r="M5" s="393" t="s">
        <v>682</v>
      </c>
      <c r="N5" s="3001" t="s">
        <v>683</v>
      </c>
      <c r="O5" s="3003" t="s">
        <v>436</v>
      </c>
      <c r="P5" s="3004"/>
      <c r="Q5" s="3005"/>
      <c r="R5" s="3006" t="s">
        <v>436</v>
      </c>
      <c r="S5" s="3001" t="s">
        <v>763</v>
      </c>
      <c r="T5" s="3001" t="s">
        <v>684</v>
      </c>
      <c r="U5" s="394" t="s">
        <v>195</v>
      </c>
      <c r="V5" s="393" t="s">
        <v>682</v>
      </c>
      <c r="W5" s="3001" t="s">
        <v>683</v>
      </c>
      <c r="X5" s="3001" t="s">
        <v>763</v>
      </c>
      <c r="Y5" s="3001" t="s">
        <v>684</v>
      </c>
      <c r="Z5" s="394" t="s">
        <v>195</v>
      </c>
      <c r="AA5" s="393" t="s">
        <v>682</v>
      </c>
      <c r="AB5" s="3001" t="s">
        <v>683</v>
      </c>
      <c r="AC5" s="3001" t="s">
        <v>763</v>
      </c>
      <c r="AD5" s="3001" t="s">
        <v>684</v>
      </c>
      <c r="AE5" s="394" t="s">
        <v>195</v>
      </c>
      <c r="AF5" s="393" t="s">
        <v>682</v>
      </c>
      <c r="AG5" s="3001" t="s">
        <v>683</v>
      </c>
      <c r="AH5" s="3001" t="s">
        <v>763</v>
      </c>
      <c r="AI5" s="3001" t="s">
        <v>684</v>
      </c>
      <c r="AJ5" s="394" t="s">
        <v>195</v>
      </c>
      <c r="AK5" s="395"/>
      <c r="AL5" s="147"/>
      <c r="AM5" s="396" t="s">
        <v>683</v>
      </c>
    </row>
    <row r="6" spans="1:41" s="109" customFormat="1" ht="15" customHeight="1" thickBot="1" x14ac:dyDescent="0.3">
      <c r="A6" s="730"/>
      <c r="B6" s="731" t="s">
        <v>1518</v>
      </c>
      <c r="C6" s="397" t="s">
        <v>245</v>
      </c>
      <c r="D6" s="3002"/>
      <c r="E6" s="3002"/>
      <c r="F6" s="3002"/>
      <c r="G6" s="398" t="s">
        <v>245</v>
      </c>
      <c r="H6" s="397" t="s">
        <v>245</v>
      </c>
      <c r="I6" s="3002"/>
      <c r="J6" s="3002"/>
      <c r="K6" s="3002"/>
      <c r="L6" s="398" t="s">
        <v>245</v>
      </c>
      <c r="M6" s="397" t="s">
        <v>245</v>
      </c>
      <c r="N6" s="3002"/>
      <c r="O6" s="684" t="s">
        <v>1355</v>
      </c>
      <c r="P6" s="684" t="s">
        <v>1356</v>
      </c>
      <c r="Q6" s="684" t="s">
        <v>1357</v>
      </c>
      <c r="R6" s="3007"/>
      <c r="S6" s="3002"/>
      <c r="T6" s="3002"/>
      <c r="U6" s="398" t="s">
        <v>245</v>
      </c>
      <c r="V6" s="397" t="s">
        <v>245</v>
      </c>
      <c r="W6" s="3002"/>
      <c r="X6" s="3002"/>
      <c r="Y6" s="3002"/>
      <c r="Z6" s="398" t="s">
        <v>245</v>
      </c>
      <c r="AA6" s="397" t="s">
        <v>245</v>
      </c>
      <c r="AB6" s="3002"/>
      <c r="AC6" s="3002"/>
      <c r="AD6" s="3002"/>
      <c r="AE6" s="398" t="s">
        <v>245</v>
      </c>
      <c r="AF6" s="397" t="s">
        <v>245</v>
      </c>
      <c r="AG6" s="3002"/>
      <c r="AH6" s="3002"/>
      <c r="AI6" s="3002"/>
      <c r="AJ6" s="398" t="s">
        <v>245</v>
      </c>
      <c r="AK6" s="399" t="s">
        <v>286</v>
      </c>
      <c r="AL6" s="147"/>
      <c r="AM6" s="693">
        <f>Parameters!C17</f>
        <v>2012</v>
      </c>
    </row>
    <row r="7" spans="1:41" s="109" customFormat="1" ht="15" customHeight="1" x14ac:dyDescent="0.25">
      <c r="A7" s="2672"/>
      <c r="B7" s="2673"/>
      <c r="C7" s="2674" t="s">
        <v>255</v>
      </c>
      <c r="D7" s="685" t="s">
        <v>255</v>
      </c>
      <c r="E7" s="685" t="s">
        <v>255</v>
      </c>
      <c r="F7" s="685" t="s">
        <v>255</v>
      </c>
      <c r="G7" s="2675" t="s">
        <v>255</v>
      </c>
      <c r="H7" s="2674" t="s">
        <v>255</v>
      </c>
      <c r="I7" s="685" t="s">
        <v>255</v>
      </c>
      <c r="J7" s="685" t="s">
        <v>255</v>
      </c>
      <c r="K7" s="685" t="s">
        <v>255</v>
      </c>
      <c r="L7" s="2675" t="s">
        <v>255</v>
      </c>
      <c r="M7" s="2674" t="s">
        <v>255</v>
      </c>
      <c r="N7" s="685" t="s">
        <v>255</v>
      </c>
      <c r="O7" s="2674" t="s">
        <v>255</v>
      </c>
      <c r="P7" s="685" t="s">
        <v>255</v>
      </c>
      <c r="Q7" s="685" t="s">
        <v>255</v>
      </c>
      <c r="R7" s="685" t="s">
        <v>255</v>
      </c>
      <c r="S7" s="685" t="s">
        <v>255</v>
      </c>
      <c r="T7" s="685" t="s">
        <v>255</v>
      </c>
      <c r="U7" s="2695" t="s">
        <v>255</v>
      </c>
      <c r="V7" s="2674" t="s">
        <v>255</v>
      </c>
      <c r="W7" s="685" t="s">
        <v>255</v>
      </c>
      <c r="X7" s="685" t="s">
        <v>255</v>
      </c>
      <c r="Y7" s="685" t="s">
        <v>255</v>
      </c>
      <c r="Z7" s="2675" t="s">
        <v>255</v>
      </c>
      <c r="AA7" s="2674" t="s">
        <v>255</v>
      </c>
      <c r="AB7" s="685" t="s">
        <v>255</v>
      </c>
      <c r="AC7" s="685" t="s">
        <v>255</v>
      </c>
      <c r="AD7" s="685" t="s">
        <v>255</v>
      </c>
      <c r="AE7" s="2675" t="s">
        <v>255</v>
      </c>
      <c r="AF7" s="2674" t="s">
        <v>255</v>
      </c>
      <c r="AG7" s="685" t="s">
        <v>255</v>
      </c>
      <c r="AH7" s="685" t="s">
        <v>255</v>
      </c>
      <c r="AI7" s="685" t="s">
        <v>255</v>
      </c>
      <c r="AJ7" s="2695" t="s">
        <v>255</v>
      </c>
      <c r="AK7" s="2702" t="s">
        <v>255</v>
      </c>
      <c r="AL7" s="135"/>
      <c r="AM7" s="406" t="s">
        <v>255</v>
      </c>
    </row>
    <row r="8" spans="1:41" s="109" customFormat="1" ht="15" customHeight="1" x14ac:dyDescent="0.25">
      <c r="A8" s="2676" t="s">
        <v>127</v>
      </c>
      <c r="B8" s="2677"/>
      <c r="C8" s="2678"/>
      <c r="D8" s="686"/>
      <c r="E8" s="686"/>
      <c r="F8" s="686"/>
      <c r="G8" s="2679"/>
      <c r="H8" s="2678"/>
      <c r="I8" s="686"/>
      <c r="J8" s="686"/>
      <c r="K8" s="686"/>
      <c r="L8" s="2679"/>
      <c r="M8" s="2678"/>
      <c r="N8" s="686"/>
      <c r="O8" s="2678"/>
      <c r="P8" s="686"/>
      <c r="Q8" s="686"/>
      <c r="R8" s="686"/>
      <c r="S8" s="686"/>
      <c r="T8" s="686"/>
      <c r="U8" s="2696"/>
      <c r="V8" s="2678"/>
      <c r="W8" s="686"/>
      <c r="X8" s="686"/>
      <c r="Y8" s="686"/>
      <c r="Z8" s="2679"/>
      <c r="AA8" s="2678"/>
      <c r="AB8" s="686"/>
      <c r="AC8" s="686"/>
      <c r="AD8" s="686"/>
      <c r="AE8" s="2679"/>
      <c r="AF8" s="2678"/>
      <c r="AG8" s="686"/>
      <c r="AH8" s="686"/>
      <c r="AI8" s="686"/>
      <c r="AJ8" s="2696"/>
      <c r="AK8" s="2703"/>
      <c r="AL8" s="135"/>
      <c r="AM8" s="414"/>
      <c r="AO8" s="1060"/>
    </row>
    <row r="9" spans="1:41" s="109" customFormat="1" ht="15" hidden="1" customHeight="1" x14ac:dyDescent="0.25">
      <c r="A9" s="789" t="s">
        <v>632</v>
      </c>
      <c r="B9" s="2680"/>
      <c r="C9" s="2681"/>
      <c r="D9" s="186">
        <v>0</v>
      </c>
      <c r="E9" s="186">
        <v>0</v>
      </c>
      <c r="F9" s="186">
        <v>0</v>
      </c>
      <c r="G9" s="2682">
        <f>SUM(C9:F9)</f>
        <v>0</v>
      </c>
      <c r="H9" s="2681">
        <v>0</v>
      </c>
      <c r="I9" s="186">
        <v>0</v>
      </c>
      <c r="J9" s="186">
        <v>0</v>
      </c>
      <c r="K9" s="186">
        <v>0</v>
      </c>
      <c r="L9" s="2682">
        <f>SUM(H9:K9)</f>
        <v>0</v>
      </c>
      <c r="M9" s="2681">
        <f>SUM(C9,H9)</f>
        <v>0</v>
      </c>
      <c r="N9" s="186">
        <f>SUM(D9,I9)</f>
        <v>0</v>
      </c>
      <c r="O9" s="2681">
        <v>0</v>
      </c>
      <c r="P9" s="186">
        <v>0</v>
      </c>
      <c r="Q9" s="186">
        <v>0</v>
      </c>
      <c r="R9" s="186">
        <f t="shared" ref="R9:R24" si="0">SUM(O9:Q9)</f>
        <v>0</v>
      </c>
      <c r="S9" s="186">
        <f>SUM(E9,J9)</f>
        <v>0</v>
      </c>
      <c r="T9" s="186">
        <f>SUM(F9,K9)</f>
        <v>0</v>
      </c>
      <c r="U9" s="2697">
        <f>SUM(M9:N9,R9:T9)</f>
        <v>0</v>
      </c>
      <c r="V9" s="2681">
        <v>0</v>
      </c>
      <c r="W9" s="186">
        <v>0</v>
      </c>
      <c r="X9" s="186">
        <v>0</v>
      </c>
      <c r="Y9" s="186">
        <v>0</v>
      </c>
      <c r="Z9" s="2682">
        <f>SUM(V9:Y9)</f>
        <v>0</v>
      </c>
      <c r="AA9" s="2681">
        <v>0</v>
      </c>
      <c r="AB9" s="186">
        <v>0</v>
      </c>
      <c r="AC9" s="186">
        <v>0</v>
      </c>
      <c r="AD9" s="186">
        <v>0</v>
      </c>
      <c r="AE9" s="2682">
        <f>SUM(AA9:AD9)</f>
        <v>0</v>
      </c>
      <c r="AF9" s="2681">
        <f>SUM(V9,AA9)</f>
        <v>0</v>
      </c>
      <c r="AG9" s="186">
        <f>SUM(W9,AB9)</f>
        <v>0</v>
      </c>
      <c r="AH9" s="186">
        <f>SUM(X9,AC9)</f>
        <v>0</v>
      </c>
      <c r="AI9" s="186">
        <f>SUM(Y9,AD9)</f>
        <v>0</v>
      </c>
      <c r="AJ9" s="2697">
        <f>SUM(AF9:AI9)</f>
        <v>0</v>
      </c>
      <c r="AK9" s="2704">
        <f t="shared" ref="AK9:AK25" si="1">+U9-AJ9</f>
        <v>0</v>
      </c>
      <c r="AL9" s="1264"/>
      <c r="AM9" s="422">
        <v>0</v>
      </c>
      <c r="AO9" s="1060"/>
    </row>
    <row r="10" spans="1:41" s="109" customFormat="1" ht="15" hidden="1" customHeight="1" x14ac:dyDescent="0.25">
      <c r="A10" s="789" t="s">
        <v>633</v>
      </c>
      <c r="B10" s="2680">
        <v>22029</v>
      </c>
      <c r="C10" s="2681"/>
      <c r="D10" s="186">
        <v>0</v>
      </c>
      <c r="E10" s="186">
        <v>0</v>
      </c>
      <c r="F10" s="186">
        <v>0</v>
      </c>
      <c r="G10" s="2682">
        <f t="shared" ref="G10:G25" si="2">SUM(C10:F10)</f>
        <v>0</v>
      </c>
      <c r="H10" s="2681">
        <v>0</v>
      </c>
      <c r="I10" s="186">
        <v>0</v>
      </c>
      <c r="J10" s="186">
        <v>0</v>
      </c>
      <c r="K10" s="186">
        <v>0</v>
      </c>
      <c r="L10" s="2682">
        <f t="shared" ref="L10:L25" si="3">SUM(H10:K10)</f>
        <v>0</v>
      </c>
      <c r="M10" s="2681">
        <f t="shared" ref="M10:M25" si="4">SUM(C10,H10)</f>
        <v>0</v>
      </c>
      <c r="N10" s="186">
        <f t="shared" ref="N10:N25" si="5">SUM(D10,I10)</f>
        <v>0</v>
      </c>
      <c r="O10" s="2681">
        <v>0</v>
      </c>
      <c r="P10" s="186">
        <v>0</v>
      </c>
      <c r="Q10" s="186">
        <v>0</v>
      </c>
      <c r="R10" s="186">
        <f t="shared" si="0"/>
        <v>0</v>
      </c>
      <c r="S10" s="186">
        <f t="shared" ref="S10:S25" si="6">SUM(E10,J10)</f>
        <v>0</v>
      </c>
      <c r="T10" s="186">
        <f t="shared" ref="T10:T25" si="7">SUM(F10,K10)</f>
        <v>0</v>
      </c>
      <c r="U10" s="2697">
        <f t="shared" ref="U10:U25" si="8">SUM(M10:N10,R10:T10)</f>
        <v>0</v>
      </c>
      <c r="V10" s="2681"/>
      <c r="W10" s="186">
        <v>0</v>
      </c>
      <c r="X10" s="186">
        <v>0</v>
      </c>
      <c r="Y10" s="186">
        <v>0</v>
      </c>
      <c r="Z10" s="2682">
        <f t="shared" ref="Z10:Z25" si="9">SUM(V10:Y10)</f>
        <v>0</v>
      </c>
      <c r="AA10" s="2681">
        <v>0</v>
      </c>
      <c r="AB10" s="186">
        <v>0</v>
      </c>
      <c r="AC10" s="186">
        <v>0</v>
      </c>
      <c r="AD10" s="186">
        <v>0</v>
      </c>
      <c r="AE10" s="2682">
        <f t="shared" ref="AE10:AE25" si="10">SUM(AA10:AD10)</f>
        <v>0</v>
      </c>
      <c r="AF10" s="2681">
        <f t="shared" ref="AF10:AF25" si="11">SUM(V10,AA10)</f>
        <v>0</v>
      </c>
      <c r="AG10" s="186">
        <f t="shared" ref="AG10:AG25" si="12">SUM(W10,AB10)</f>
        <v>0</v>
      </c>
      <c r="AH10" s="186">
        <f t="shared" ref="AH10:AH25" si="13">SUM(X10,AC10)</f>
        <v>0</v>
      </c>
      <c r="AI10" s="186">
        <f t="shared" ref="AI10:AI25" si="14">SUM(Y10,AD10)</f>
        <v>0</v>
      </c>
      <c r="AJ10" s="2697">
        <f t="shared" ref="AJ10:AJ25" si="15">SUM(AF10:AI10)</f>
        <v>0</v>
      </c>
      <c r="AK10" s="2704">
        <f t="shared" si="1"/>
        <v>0</v>
      </c>
      <c r="AL10" s="1264"/>
      <c r="AM10" s="422">
        <v>0</v>
      </c>
      <c r="AO10" s="1060"/>
    </row>
    <row r="11" spans="1:41" s="109" customFormat="1" ht="15" hidden="1" customHeight="1" x14ac:dyDescent="0.25">
      <c r="A11" s="789" t="s">
        <v>128</v>
      </c>
      <c r="B11" s="2680"/>
      <c r="C11" s="2681"/>
      <c r="D11" s="186">
        <v>0</v>
      </c>
      <c r="E11" s="186">
        <v>0</v>
      </c>
      <c r="F11" s="186">
        <v>0</v>
      </c>
      <c r="G11" s="2682">
        <f t="shared" si="2"/>
        <v>0</v>
      </c>
      <c r="H11" s="2681">
        <v>0</v>
      </c>
      <c r="I11" s="186">
        <v>0</v>
      </c>
      <c r="J11" s="186">
        <v>0</v>
      </c>
      <c r="K11" s="186">
        <v>0</v>
      </c>
      <c r="L11" s="2682">
        <f t="shared" si="3"/>
        <v>0</v>
      </c>
      <c r="M11" s="2681">
        <f t="shared" si="4"/>
        <v>0</v>
      </c>
      <c r="N11" s="186">
        <f t="shared" si="5"/>
        <v>0</v>
      </c>
      <c r="O11" s="2681">
        <v>0</v>
      </c>
      <c r="P11" s="186">
        <v>0</v>
      </c>
      <c r="Q11" s="186">
        <v>0</v>
      </c>
      <c r="R11" s="186">
        <f t="shared" si="0"/>
        <v>0</v>
      </c>
      <c r="S11" s="186">
        <f t="shared" si="6"/>
        <v>0</v>
      </c>
      <c r="T11" s="186">
        <f t="shared" si="7"/>
        <v>0</v>
      </c>
      <c r="U11" s="2697">
        <f t="shared" si="8"/>
        <v>0</v>
      </c>
      <c r="V11" s="2681"/>
      <c r="W11" s="186">
        <v>0</v>
      </c>
      <c r="X11" s="186">
        <v>0</v>
      </c>
      <c r="Y11" s="186">
        <v>0</v>
      </c>
      <c r="Z11" s="2682">
        <f t="shared" si="9"/>
        <v>0</v>
      </c>
      <c r="AA11" s="2681">
        <v>0</v>
      </c>
      <c r="AB11" s="186">
        <v>0</v>
      </c>
      <c r="AC11" s="186">
        <v>0</v>
      </c>
      <c r="AD11" s="186">
        <v>0</v>
      </c>
      <c r="AE11" s="2682">
        <f t="shared" si="10"/>
        <v>0</v>
      </c>
      <c r="AF11" s="2681">
        <f t="shared" si="11"/>
        <v>0</v>
      </c>
      <c r="AG11" s="186">
        <f t="shared" si="12"/>
        <v>0</v>
      </c>
      <c r="AH11" s="186">
        <f t="shared" si="13"/>
        <v>0</v>
      </c>
      <c r="AI11" s="186">
        <f t="shared" si="14"/>
        <v>0</v>
      </c>
      <c r="AJ11" s="2697">
        <f t="shared" si="15"/>
        <v>0</v>
      </c>
      <c r="AK11" s="2704">
        <f t="shared" si="1"/>
        <v>0</v>
      </c>
      <c r="AL11" s="1264"/>
      <c r="AM11" s="422">
        <v>0</v>
      </c>
      <c r="AO11" s="1060"/>
    </row>
    <row r="12" spans="1:41" s="109" customFormat="1" ht="15" hidden="1" customHeight="1" x14ac:dyDescent="0.25">
      <c r="A12" s="789" t="s">
        <v>634</v>
      </c>
      <c r="B12" s="2680"/>
      <c r="C12" s="2681"/>
      <c r="D12" s="186">
        <v>0</v>
      </c>
      <c r="E12" s="186">
        <v>0</v>
      </c>
      <c r="F12" s="186">
        <v>0</v>
      </c>
      <c r="G12" s="2682">
        <f t="shared" si="2"/>
        <v>0</v>
      </c>
      <c r="H12" s="2681">
        <v>0</v>
      </c>
      <c r="I12" s="186">
        <v>0</v>
      </c>
      <c r="J12" s="186">
        <v>0</v>
      </c>
      <c r="K12" s="186">
        <v>0</v>
      </c>
      <c r="L12" s="2682">
        <f t="shared" si="3"/>
        <v>0</v>
      </c>
      <c r="M12" s="2681">
        <f t="shared" si="4"/>
        <v>0</v>
      </c>
      <c r="N12" s="186">
        <f t="shared" si="5"/>
        <v>0</v>
      </c>
      <c r="O12" s="2681">
        <v>0</v>
      </c>
      <c r="P12" s="186">
        <v>0</v>
      </c>
      <c r="Q12" s="186">
        <v>0</v>
      </c>
      <c r="R12" s="186">
        <f t="shared" si="0"/>
        <v>0</v>
      </c>
      <c r="S12" s="186">
        <f t="shared" si="6"/>
        <v>0</v>
      </c>
      <c r="T12" s="186">
        <f t="shared" si="7"/>
        <v>0</v>
      </c>
      <c r="U12" s="2697">
        <f t="shared" si="8"/>
        <v>0</v>
      </c>
      <c r="V12" s="2681"/>
      <c r="W12" s="186">
        <v>0</v>
      </c>
      <c r="X12" s="186">
        <v>0</v>
      </c>
      <c r="Y12" s="186">
        <v>0</v>
      </c>
      <c r="Z12" s="2682">
        <f t="shared" si="9"/>
        <v>0</v>
      </c>
      <c r="AA12" s="2681">
        <v>0</v>
      </c>
      <c r="AB12" s="186">
        <v>0</v>
      </c>
      <c r="AC12" s="186">
        <v>0</v>
      </c>
      <c r="AD12" s="186">
        <v>0</v>
      </c>
      <c r="AE12" s="2682">
        <f t="shared" si="10"/>
        <v>0</v>
      </c>
      <c r="AF12" s="2681">
        <f t="shared" si="11"/>
        <v>0</v>
      </c>
      <c r="AG12" s="186">
        <f t="shared" si="12"/>
        <v>0</v>
      </c>
      <c r="AH12" s="186">
        <f t="shared" si="13"/>
        <v>0</v>
      </c>
      <c r="AI12" s="186">
        <f t="shared" si="14"/>
        <v>0</v>
      </c>
      <c r="AJ12" s="2697">
        <f t="shared" si="15"/>
        <v>0</v>
      </c>
      <c r="AK12" s="2704">
        <f t="shared" si="1"/>
        <v>0</v>
      </c>
      <c r="AL12" s="1264"/>
      <c r="AM12" s="422">
        <v>0</v>
      </c>
      <c r="AO12" s="1060"/>
    </row>
    <row r="13" spans="1:41" s="109" customFormat="1" ht="15" hidden="1" customHeight="1" x14ac:dyDescent="0.25">
      <c r="A13" s="789" t="s">
        <v>129</v>
      </c>
      <c r="B13" s="2680">
        <v>21005</v>
      </c>
      <c r="C13" s="2681"/>
      <c r="D13" s="186">
        <v>0</v>
      </c>
      <c r="E13" s="186">
        <v>0</v>
      </c>
      <c r="F13" s="186">
        <v>0</v>
      </c>
      <c r="G13" s="2682">
        <f t="shared" si="2"/>
        <v>0</v>
      </c>
      <c r="H13" s="2681">
        <v>0</v>
      </c>
      <c r="I13" s="186">
        <v>0</v>
      </c>
      <c r="J13" s="186">
        <v>0</v>
      </c>
      <c r="K13" s="186">
        <v>0</v>
      </c>
      <c r="L13" s="2682">
        <f t="shared" si="3"/>
        <v>0</v>
      </c>
      <c r="M13" s="2681">
        <f t="shared" si="4"/>
        <v>0</v>
      </c>
      <c r="N13" s="186">
        <f t="shared" si="5"/>
        <v>0</v>
      </c>
      <c r="O13" s="2681">
        <v>0</v>
      </c>
      <c r="P13" s="186">
        <v>0</v>
      </c>
      <c r="Q13" s="186">
        <v>0</v>
      </c>
      <c r="R13" s="186">
        <f t="shared" si="0"/>
        <v>0</v>
      </c>
      <c r="S13" s="186">
        <f t="shared" si="6"/>
        <v>0</v>
      </c>
      <c r="T13" s="186">
        <f t="shared" si="7"/>
        <v>0</v>
      </c>
      <c r="U13" s="2697">
        <f t="shared" si="8"/>
        <v>0</v>
      </c>
      <c r="V13" s="2681"/>
      <c r="W13" s="186">
        <v>0</v>
      </c>
      <c r="X13" s="186">
        <v>0</v>
      </c>
      <c r="Y13" s="186">
        <v>0</v>
      </c>
      <c r="Z13" s="2682">
        <f t="shared" si="9"/>
        <v>0</v>
      </c>
      <c r="AA13" s="2681">
        <v>0</v>
      </c>
      <c r="AB13" s="186">
        <v>0</v>
      </c>
      <c r="AC13" s="186">
        <v>0</v>
      </c>
      <c r="AD13" s="186">
        <v>0</v>
      </c>
      <c r="AE13" s="2682">
        <f t="shared" si="10"/>
        <v>0</v>
      </c>
      <c r="AF13" s="2681">
        <f t="shared" si="11"/>
        <v>0</v>
      </c>
      <c r="AG13" s="186">
        <f t="shared" si="12"/>
        <v>0</v>
      </c>
      <c r="AH13" s="186">
        <f t="shared" si="13"/>
        <v>0</v>
      </c>
      <c r="AI13" s="186">
        <f t="shared" si="14"/>
        <v>0</v>
      </c>
      <c r="AJ13" s="2697">
        <f t="shared" si="15"/>
        <v>0</v>
      </c>
      <c r="AK13" s="2704">
        <f t="shared" si="1"/>
        <v>0</v>
      </c>
      <c r="AL13" s="1264"/>
      <c r="AM13" s="422">
        <v>0</v>
      </c>
      <c r="AO13" s="1060"/>
    </row>
    <row r="14" spans="1:41" s="109" customFormat="1" ht="15" hidden="1" customHeight="1" x14ac:dyDescent="0.25">
      <c r="A14" s="789" t="s">
        <v>130</v>
      </c>
      <c r="B14" s="2680"/>
      <c r="C14" s="2681"/>
      <c r="D14" s="186">
        <v>0</v>
      </c>
      <c r="E14" s="186">
        <v>0</v>
      </c>
      <c r="F14" s="186">
        <v>0</v>
      </c>
      <c r="G14" s="2682">
        <f t="shared" si="2"/>
        <v>0</v>
      </c>
      <c r="H14" s="2681">
        <v>0</v>
      </c>
      <c r="I14" s="186">
        <v>0</v>
      </c>
      <c r="J14" s="186">
        <v>0</v>
      </c>
      <c r="K14" s="186">
        <v>0</v>
      </c>
      <c r="L14" s="2682">
        <f t="shared" si="3"/>
        <v>0</v>
      </c>
      <c r="M14" s="2681">
        <f t="shared" si="4"/>
        <v>0</v>
      </c>
      <c r="N14" s="186">
        <f t="shared" si="5"/>
        <v>0</v>
      </c>
      <c r="O14" s="2681">
        <v>0</v>
      </c>
      <c r="P14" s="186">
        <v>0</v>
      </c>
      <c r="Q14" s="186">
        <v>0</v>
      </c>
      <c r="R14" s="186">
        <f t="shared" si="0"/>
        <v>0</v>
      </c>
      <c r="S14" s="186">
        <f t="shared" si="6"/>
        <v>0</v>
      </c>
      <c r="T14" s="186">
        <f t="shared" si="7"/>
        <v>0</v>
      </c>
      <c r="U14" s="2697">
        <f t="shared" si="8"/>
        <v>0</v>
      </c>
      <c r="V14" s="2681"/>
      <c r="W14" s="186">
        <v>0</v>
      </c>
      <c r="X14" s="186">
        <v>0</v>
      </c>
      <c r="Y14" s="186">
        <v>0</v>
      </c>
      <c r="Z14" s="2682">
        <f t="shared" si="9"/>
        <v>0</v>
      </c>
      <c r="AA14" s="2681">
        <v>0</v>
      </c>
      <c r="AB14" s="186">
        <v>0</v>
      </c>
      <c r="AC14" s="186">
        <v>0</v>
      </c>
      <c r="AD14" s="186">
        <v>0</v>
      </c>
      <c r="AE14" s="2682">
        <f t="shared" si="10"/>
        <v>0</v>
      </c>
      <c r="AF14" s="2681">
        <f t="shared" si="11"/>
        <v>0</v>
      </c>
      <c r="AG14" s="186">
        <f t="shared" si="12"/>
        <v>0</v>
      </c>
      <c r="AH14" s="186">
        <f t="shared" si="13"/>
        <v>0</v>
      </c>
      <c r="AI14" s="186">
        <f t="shared" si="14"/>
        <v>0</v>
      </c>
      <c r="AJ14" s="2697">
        <f t="shared" si="15"/>
        <v>0</v>
      </c>
      <c r="AK14" s="2704">
        <f t="shared" si="1"/>
        <v>0</v>
      </c>
      <c r="AL14" s="1264"/>
      <c r="AM14" s="422">
        <v>0</v>
      </c>
      <c r="AO14" s="1060"/>
    </row>
    <row r="15" spans="1:41" s="2666" customFormat="1" ht="15" customHeight="1" x14ac:dyDescent="0.25">
      <c r="A15" s="789" t="s">
        <v>202</v>
      </c>
      <c r="B15" s="2680">
        <v>21011</v>
      </c>
      <c r="C15" s="2681"/>
      <c r="D15" s="186">
        <v>0</v>
      </c>
      <c r="E15" s="186">
        <v>0</v>
      </c>
      <c r="F15" s="186">
        <v>0</v>
      </c>
      <c r="G15" s="2682">
        <f t="shared" si="2"/>
        <v>0</v>
      </c>
      <c r="H15" s="2681">
        <v>0</v>
      </c>
      <c r="I15" s="186">
        <v>0</v>
      </c>
      <c r="J15" s="186">
        <v>0</v>
      </c>
      <c r="K15" s="186">
        <v>0</v>
      </c>
      <c r="L15" s="2682">
        <f t="shared" si="3"/>
        <v>0</v>
      </c>
      <c r="M15" s="2681">
        <v>18341175.48</v>
      </c>
      <c r="N15" s="186">
        <f t="shared" si="5"/>
        <v>0</v>
      </c>
      <c r="O15" s="2681">
        <v>0</v>
      </c>
      <c r="P15" s="186">
        <v>0</v>
      </c>
      <c r="Q15" s="186">
        <v>0</v>
      </c>
      <c r="R15" s="186">
        <f t="shared" si="0"/>
        <v>0</v>
      </c>
      <c r="S15" s="186">
        <f t="shared" si="6"/>
        <v>0</v>
      </c>
      <c r="T15" s="186">
        <f t="shared" si="7"/>
        <v>0</v>
      </c>
      <c r="U15" s="2697">
        <f t="shared" si="8"/>
        <v>18341175.48</v>
      </c>
      <c r="V15" s="2681"/>
      <c r="W15" s="186">
        <v>0</v>
      </c>
      <c r="X15" s="186">
        <v>0</v>
      </c>
      <c r="Y15" s="186">
        <v>0</v>
      </c>
      <c r="Z15" s="2682">
        <f t="shared" si="9"/>
        <v>0</v>
      </c>
      <c r="AA15" s="2681">
        <v>0</v>
      </c>
      <c r="AB15" s="186">
        <v>0</v>
      </c>
      <c r="AC15" s="186">
        <v>0</v>
      </c>
      <c r="AD15" s="186">
        <v>0</v>
      </c>
      <c r="AE15" s="2682">
        <f t="shared" si="10"/>
        <v>0</v>
      </c>
      <c r="AF15" s="2681">
        <v>6895363.2599999998</v>
      </c>
      <c r="AG15" s="186">
        <v>285501.27488691697</v>
      </c>
      <c r="AH15" s="186">
        <f t="shared" si="13"/>
        <v>0</v>
      </c>
      <c r="AI15" s="186">
        <f t="shared" si="14"/>
        <v>0</v>
      </c>
      <c r="AJ15" s="2697">
        <f t="shared" si="15"/>
        <v>7180864.5348869171</v>
      </c>
      <c r="AK15" s="2704">
        <f t="shared" si="1"/>
        <v>11160310.945113083</v>
      </c>
      <c r="AL15" s="1264"/>
      <c r="AM15" s="2665">
        <v>0</v>
      </c>
      <c r="AO15" s="2667"/>
    </row>
    <row r="16" spans="1:41" s="2666" customFormat="1" ht="15" customHeight="1" x14ac:dyDescent="0.25">
      <c r="A16" s="789" t="s">
        <v>7770</v>
      </c>
      <c r="B16" s="2680"/>
      <c r="C16" s="2681"/>
      <c r="D16" s="186">
        <v>0</v>
      </c>
      <c r="E16" s="186">
        <v>0</v>
      </c>
      <c r="F16" s="186">
        <v>0</v>
      </c>
      <c r="G16" s="2682">
        <f t="shared" si="2"/>
        <v>0</v>
      </c>
      <c r="H16" s="2681">
        <v>0</v>
      </c>
      <c r="I16" s="186">
        <v>0</v>
      </c>
      <c r="J16" s="186">
        <v>0</v>
      </c>
      <c r="K16" s="186">
        <v>0</v>
      </c>
      <c r="L16" s="2682">
        <f t="shared" si="3"/>
        <v>0</v>
      </c>
      <c r="M16" s="2681">
        <f>24713952.77</f>
        <v>24713952.77</v>
      </c>
      <c r="N16" s="186">
        <f t="shared" si="5"/>
        <v>0</v>
      </c>
      <c r="O16" s="2681">
        <v>0</v>
      </c>
      <c r="P16" s="186">
        <v>0</v>
      </c>
      <c r="Q16" s="186">
        <v>0</v>
      </c>
      <c r="R16" s="186">
        <f t="shared" si="0"/>
        <v>0</v>
      </c>
      <c r="S16" s="186">
        <v>0</v>
      </c>
      <c r="T16" s="186">
        <v>-230376.1446</v>
      </c>
      <c r="U16" s="2697">
        <f t="shared" si="8"/>
        <v>24483576.625399999</v>
      </c>
      <c r="V16" s="2681"/>
      <c r="W16" s="186">
        <v>0</v>
      </c>
      <c r="X16" s="186">
        <v>0</v>
      </c>
      <c r="Y16" s="186">
        <v>0</v>
      </c>
      <c r="Z16" s="2682">
        <f t="shared" si="9"/>
        <v>0</v>
      </c>
      <c r="AA16" s="2681">
        <v>0</v>
      </c>
      <c r="AB16" s="186">
        <v>0</v>
      </c>
      <c r="AC16" s="186">
        <v>0</v>
      </c>
      <c r="AD16" s="186">
        <v>0</v>
      </c>
      <c r="AE16" s="2682">
        <f t="shared" si="10"/>
        <v>0</v>
      </c>
      <c r="AF16" s="2681">
        <f>16883742.77</f>
        <v>16883742.77</v>
      </c>
      <c r="AG16" s="186">
        <f>721842.24+137213.59</f>
        <v>859055.83</v>
      </c>
      <c r="AH16" s="186">
        <v>0</v>
      </c>
      <c r="AI16" s="186">
        <v>-99274.16</v>
      </c>
      <c r="AJ16" s="2697">
        <f t="shared" si="15"/>
        <v>17643524.439999998</v>
      </c>
      <c r="AK16" s="2704">
        <f t="shared" si="1"/>
        <v>6840052.1854000017</v>
      </c>
      <c r="AL16" s="1264"/>
      <c r="AM16" s="2665">
        <v>0</v>
      </c>
      <c r="AO16" s="2667"/>
    </row>
    <row r="17" spans="1:41" s="109" customFormat="1" ht="15" hidden="1" customHeight="1" x14ac:dyDescent="0.25">
      <c r="A17" s="789" t="s">
        <v>2093</v>
      </c>
      <c r="B17" s="2680">
        <v>11001</v>
      </c>
      <c r="C17" s="2681"/>
      <c r="D17" s="186">
        <v>0</v>
      </c>
      <c r="E17" s="186">
        <v>0</v>
      </c>
      <c r="F17" s="186">
        <v>0</v>
      </c>
      <c r="G17" s="2682">
        <f t="shared" si="2"/>
        <v>0</v>
      </c>
      <c r="H17" s="2681">
        <v>0</v>
      </c>
      <c r="I17" s="186">
        <v>0</v>
      </c>
      <c r="J17" s="186">
        <v>0</v>
      </c>
      <c r="K17" s="186">
        <v>0</v>
      </c>
      <c r="L17" s="2682">
        <f t="shared" si="3"/>
        <v>0</v>
      </c>
      <c r="M17" s="2681">
        <f t="shared" si="4"/>
        <v>0</v>
      </c>
      <c r="N17" s="186">
        <f t="shared" si="5"/>
        <v>0</v>
      </c>
      <c r="O17" s="2681">
        <v>0</v>
      </c>
      <c r="P17" s="186">
        <v>0</v>
      </c>
      <c r="Q17" s="186">
        <v>0</v>
      </c>
      <c r="R17" s="186">
        <f t="shared" si="0"/>
        <v>0</v>
      </c>
      <c r="S17" s="186">
        <f t="shared" si="6"/>
        <v>0</v>
      </c>
      <c r="T17" s="186">
        <f t="shared" si="7"/>
        <v>0</v>
      </c>
      <c r="U17" s="2697">
        <f t="shared" si="8"/>
        <v>0</v>
      </c>
      <c r="V17" s="2681"/>
      <c r="W17" s="186">
        <v>0</v>
      </c>
      <c r="X17" s="186">
        <v>0</v>
      </c>
      <c r="Y17" s="186">
        <v>0</v>
      </c>
      <c r="Z17" s="2682">
        <f t="shared" si="9"/>
        <v>0</v>
      </c>
      <c r="AA17" s="2681">
        <v>0</v>
      </c>
      <c r="AB17" s="186">
        <v>0</v>
      </c>
      <c r="AC17" s="186">
        <v>0</v>
      </c>
      <c r="AD17" s="186">
        <v>0</v>
      </c>
      <c r="AE17" s="2682">
        <f t="shared" si="10"/>
        <v>0</v>
      </c>
      <c r="AF17" s="2681">
        <f t="shared" si="11"/>
        <v>0</v>
      </c>
      <c r="AG17" s="186">
        <f t="shared" si="12"/>
        <v>0</v>
      </c>
      <c r="AH17" s="186">
        <f t="shared" si="13"/>
        <v>0</v>
      </c>
      <c r="AI17" s="186">
        <f t="shared" si="14"/>
        <v>0</v>
      </c>
      <c r="AJ17" s="2697">
        <f t="shared" si="15"/>
        <v>0</v>
      </c>
      <c r="AK17" s="2704">
        <f t="shared" si="1"/>
        <v>0</v>
      </c>
      <c r="AL17" s="1264"/>
      <c r="AM17" s="422">
        <v>0</v>
      </c>
      <c r="AO17" s="1060"/>
    </row>
    <row r="18" spans="1:41" s="109" customFormat="1" ht="15" hidden="1" customHeight="1" x14ac:dyDescent="0.25">
      <c r="A18" s="789" t="s">
        <v>2094</v>
      </c>
      <c r="B18" s="2680">
        <v>11002</v>
      </c>
      <c r="C18" s="2681"/>
      <c r="D18" s="186">
        <v>0</v>
      </c>
      <c r="E18" s="186">
        <v>0</v>
      </c>
      <c r="F18" s="186">
        <v>0</v>
      </c>
      <c r="G18" s="2682">
        <f>SUM(C18:F18)</f>
        <v>0</v>
      </c>
      <c r="H18" s="2681">
        <v>0</v>
      </c>
      <c r="I18" s="186">
        <v>0</v>
      </c>
      <c r="J18" s="186">
        <v>0</v>
      </c>
      <c r="K18" s="186">
        <v>0</v>
      </c>
      <c r="L18" s="2682">
        <f>SUM(H18:K18)</f>
        <v>0</v>
      </c>
      <c r="M18" s="2681">
        <f>SUM(C18,H18)</f>
        <v>0</v>
      </c>
      <c r="N18" s="186">
        <f>SUM(D18,I18)</f>
        <v>0</v>
      </c>
      <c r="O18" s="2681">
        <v>0</v>
      </c>
      <c r="P18" s="186">
        <v>0</v>
      </c>
      <c r="Q18" s="186">
        <v>0</v>
      </c>
      <c r="R18" s="186">
        <f>SUM(O18:Q18)</f>
        <v>0</v>
      </c>
      <c r="S18" s="186">
        <f>SUM(E18,J18)</f>
        <v>0</v>
      </c>
      <c r="T18" s="186">
        <f>SUM(F18,K18)</f>
        <v>0</v>
      </c>
      <c r="U18" s="2697">
        <f>SUM(M18:N18,R18:T18)</f>
        <v>0</v>
      </c>
      <c r="V18" s="2681"/>
      <c r="W18" s="186">
        <v>0</v>
      </c>
      <c r="X18" s="186">
        <v>0</v>
      </c>
      <c r="Y18" s="186">
        <v>0</v>
      </c>
      <c r="Z18" s="2682">
        <f>SUM(V18:Y18)</f>
        <v>0</v>
      </c>
      <c r="AA18" s="2681">
        <v>0</v>
      </c>
      <c r="AB18" s="186">
        <v>0</v>
      </c>
      <c r="AC18" s="186">
        <v>0</v>
      </c>
      <c r="AD18" s="186">
        <v>0</v>
      </c>
      <c r="AE18" s="2682">
        <f>SUM(AA18:AD18)</f>
        <v>0</v>
      </c>
      <c r="AF18" s="2681">
        <f>SUM(V18,AA18)</f>
        <v>0</v>
      </c>
      <c r="AG18" s="186">
        <f>SUM(W18,AB18)</f>
        <v>0</v>
      </c>
      <c r="AH18" s="186">
        <f>SUM(X18,AC18)</f>
        <v>0</v>
      </c>
      <c r="AI18" s="186">
        <f>SUM(Y18,AD18)</f>
        <v>0</v>
      </c>
      <c r="AJ18" s="2697">
        <f>SUM(AF18:AI18)</f>
        <v>0</v>
      </c>
      <c r="AK18" s="2704">
        <f>+U18-AJ18</f>
        <v>0</v>
      </c>
      <c r="AL18" s="1264"/>
      <c r="AM18" s="422">
        <v>0</v>
      </c>
      <c r="AO18" s="1060"/>
    </row>
    <row r="19" spans="1:41" s="66" customFormat="1" ht="15" hidden="1" customHeight="1" x14ac:dyDescent="0.2">
      <c r="A19" s="789" t="s">
        <v>430</v>
      </c>
      <c r="B19" s="2680">
        <v>22017</v>
      </c>
      <c r="C19" s="2681"/>
      <c r="D19" s="186">
        <v>0</v>
      </c>
      <c r="E19" s="186">
        <v>0</v>
      </c>
      <c r="F19" s="186">
        <v>0</v>
      </c>
      <c r="G19" s="2682">
        <f t="shared" si="2"/>
        <v>0</v>
      </c>
      <c r="H19" s="2681">
        <v>0</v>
      </c>
      <c r="I19" s="186">
        <v>0</v>
      </c>
      <c r="J19" s="186">
        <v>0</v>
      </c>
      <c r="K19" s="186">
        <v>0</v>
      </c>
      <c r="L19" s="2682">
        <f t="shared" si="3"/>
        <v>0</v>
      </c>
      <c r="M19" s="2681">
        <f t="shared" si="4"/>
        <v>0</v>
      </c>
      <c r="N19" s="186">
        <f t="shared" si="5"/>
        <v>0</v>
      </c>
      <c r="O19" s="2681">
        <v>0</v>
      </c>
      <c r="P19" s="186">
        <v>0</v>
      </c>
      <c r="Q19" s="186">
        <v>0</v>
      </c>
      <c r="R19" s="186">
        <f t="shared" si="0"/>
        <v>0</v>
      </c>
      <c r="S19" s="186">
        <f t="shared" si="6"/>
        <v>0</v>
      </c>
      <c r="T19" s="186">
        <f t="shared" si="7"/>
        <v>0</v>
      </c>
      <c r="U19" s="2697">
        <f t="shared" si="8"/>
        <v>0</v>
      </c>
      <c r="V19" s="2681"/>
      <c r="W19" s="186">
        <v>0</v>
      </c>
      <c r="X19" s="186">
        <v>0</v>
      </c>
      <c r="Y19" s="186">
        <v>0</v>
      </c>
      <c r="Z19" s="2682">
        <f t="shared" si="9"/>
        <v>0</v>
      </c>
      <c r="AA19" s="2681">
        <v>0</v>
      </c>
      <c r="AB19" s="186">
        <v>0</v>
      </c>
      <c r="AC19" s="186">
        <v>0</v>
      </c>
      <c r="AD19" s="186">
        <v>0</v>
      </c>
      <c r="AE19" s="2682">
        <f t="shared" si="10"/>
        <v>0</v>
      </c>
      <c r="AF19" s="2681">
        <f t="shared" si="11"/>
        <v>0</v>
      </c>
      <c r="AG19" s="186">
        <f t="shared" si="12"/>
        <v>0</v>
      </c>
      <c r="AH19" s="186">
        <f t="shared" si="13"/>
        <v>0</v>
      </c>
      <c r="AI19" s="186">
        <f t="shared" si="14"/>
        <v>0</v>
      </c>
      <c r="AJ19" s="2697">
        <f t="shared" si="15"/>
        <v>0</v>
      </c>
      <c r="AK19" s="2704">
        <f t="shared" si="1"/>
        <v>0</v>
      </c>
      <c r="AL19" s="199"/>
      <c r="AM19" s="422">
        <v>0</v>
      </c>
      <c r="AO19" s="1060"/>
    </row>
    <row r="20" spans="1:41" s="109" customFormat="1" ht="15" hidden="1" customHeight="1" x14ac:dyDescent="0.25">
      <c r="A20" s="789" t="s">
        <v>635</v>
      </c>
      <c r="B20" s="2680"/>
      <c r="C20" s="2681"/>
      <c r="D20" s="186">
        <v>0</v>
      </c>
      <c r="E20" s="186">
        <v>0</v>
      </c>
      <c r="F20" s="186">
        <v>0</v>
      </c>
      <c r="G20" s="2682">
        <f t="shared" si="2"/>
        <v>0</v>
      </c>
      <c r="H20" s="2681">
        <v>0</v>
      </c>
      <c r="I20" s="186">
        <v>0</v>
      </c>
      <c r="J20" s="186">
        <v>0</v>
      </c>
      <c r="K20" s="186">
        <v>0</v>
      </c>
      <c r="L20" s="2682">
        <f t="shared" si="3"/>
        <v>0</v>
      </c>
      <c r="M20" s="2681">
        <f t="shared" si="4"/>
        <v>0</v>
      </c>
      <c r="N20" s="186">
        <f t="shared" si="5"/>
        <v>0</v>
      </c>
      <c r="O20" s="2681">
        <v>0</v>
      </c>
      <c r="P20" s="186">
        <v>0</v>
      </c>
      <c r="Q20" s="186">
        <v>0</v>
      </c>
      <c r="R20" s="186">
        <f t="shared" si="0"/>
        <v>0</v>
      </c>
      <c r="S20" s="186">
        <f t="shared" si="6"/>
        <v>0</v>
      </c>
      <c r="T20" s="186">
        <f t="shared" si="7"/>
        <v>0</v>
      </c>
      <c r="U20" s="2697">
        <f t="shared" si="8"/>
        <v>0</v>
      </c>
      <c r="V20" s="2681"/>
      <c r="W20" s="186">
        <v>0</v>
      </c>
      <c r="X20" s="186">
        <v>0</v>
      </c>
      <c r="Y20" s="186">
        <v>0</v>
      </c>
      <c r="Z20" s="2682">
        <f t="shared" si="9"/>
        <v>0</v>
      </c>
      <c r="AA20" s="2681">
        <v>0</v>
      </c>
      <c r="AB20" s="186">
        <v>0</v>
      </c>
      <c r="AC20" s="186">
        <v>0</v>
      </c>
      <c r="AD20" s="186">
        <v>0</v>
      </c>
      <c r="AE20" s="2682">
        <f t="shared" si="10"/>
        <v>0</v>
      </c>
      <c r="AF20" s="2681">
        <f t="shared" si="11"/>
        <v>0</v>
      </c>
      <c r="AG20" s="186">
        <f t="shared" si="12"/>
        <v>0</v>
      </c>
      <c r="AH20" s="186">
        <f t="shared" si="13"/>
        <v>0</v>
      </c>
      <c r="AI20" s="186">
        <f t="shared" si="14"/>
        <v>0</v>
      </c>
      <c r="AJ20" s="2697">
        <f t="shared" si="15"/>
        <v>0</v>
      </c>
      <c r="AK20" s="2704">
        <f t="shared" si="1"/>
        <v>0</v>
      </c>
      <c r="AL20" s="1264"/>
      <c r="AM20" s="422">
        <v>0</v>
      </c>
      <c r="AO20" s="1060"/>
    </row>
    <row r="21" spans="1:41" s="109" customFormat="1" ht="15" hidden="1" customHeight="1" x14ac:dyDescent="0.25">
      <c r="A21" s="789" t="s">
        <v>1656</v>
      </c>
      <c r="B21" s="2680"/>
      <c r="C21" s="2681"/>
      <c r="D21" s="186">
        <v>0</v>
      </c>
      <c r="E21" s="186">
        <v>0</v>
      </c>
      <c r="F21" s="186">
        <v>0</v>
      </c>
      <c r="G21" s="2682">
        <f>SUM(C21:F21)</f>
        <v>0</v>
      </c>
      <c r="H21" s="2681">
        <v>0</v>
      </c>
      <c r="I21" s="186">
        <v>0</v>
      </c>
      <c r="J21" s="186">
        <v>0</v>
      </c>
      <c r="K21" s="186">
        <v>0</v>
      </c>
      <c r="L21" s="2682">
        <f>SUM(H21:K21)</f>
        <v>0</v>
      </c>
      <c r="M21" s="2681">
        <f>SUM(C21,H21)</f>
        <v>0</v>
      </c>
      <c r="N21" s="186">
        <f>SUM(D21,I21)</f>
        <v>0</v>
      </c>
      <c r="O21" s="2681">
        <v>0</v>
      </c>
      <c r="P21" s="186">
        <v>0</v>
      </c>
      <c r="Q21" s="186">
        <v>0</v>
      </c>
      <c r="R21" s="186">
        <f>SUM(O21:Q21)</f>
        <v>0</v>
      </c>
      <c r="S21" s="186">
        <f>SUM(E21,J21)</f>
        <v>0</v>
      </c>
      <c r="T21" s="186">
        <f>SUM(F21,K21)</f>
        <v>0</v>
      </c>
      <c r="U21" s="2697">
        <f>SUM(M21:N21,R21:T21)</f>
        <v>0</v>
      </c>
      <c r="V21" s="2681"/>
      <c r="W21" s="186">
        <v>0</v>
      </c>
      <c r="X21" s="186">
        <v>0</v>
      </c>
      <c r="Y21" s="186">
        <v>0</v>
      </c>
      <c r="Z21" s="2682">
        <f>SUM(V21:Y21)</f>
        <v>0</v>
      </c>
      <c r="AA21" s="2681">
        <v>0</v>
      </c>
      <c r="AB21" s="186">
        <v>0</v>
      </c>
      <c r="AC21" s="186">
        <v>0</v>
      </c>
      <c r="AD21" s="186">
        <v>0</v>
      </c>
      <c r="AE21" s="2682">
        <f>SUM(AA21:AD21)</f>
        <v>0</v>
      </c>
      <c r="AF21" s="2681">
        <f>SUM(V21,AA21)</f>
        <v>0</v>
      </c>
      <c r="AG21" s="186">
        <f>SUM(W21,AB21)</f>
        <v>0</v>
      </c>
      <c r="AH21" s="186">
        <f>SUM(X21,AC21)</f>
        <v>0</v>
      </c>
      <c r="AI21" s="186">
        <f>SUM(Y21,AD21)</f>
        <v>0</v>
      </c>
      <c r="AJ21" s="2697">
        <f>SUM(AF21:AI21)</f>
        <v>0</v>
      </c>
      <c r="AK21" s="2704">
        <f>+U21-AJ21</f>
        <v>0</v>
      </c>
      <c r="AL21" s="1264"/>
      <c r="AM21" s="422">
        <v>0</v>
      </c>
      <c r="AO21" s="1060"/>
    </row>
    <row r="22" spans="1:41" s="109" customFormat="1" ht="15" hidden="1" customHeight="1" x14ac:dyDescent="0.25">
      <c r="A22" s="789" t="s">
        <v>636</v>
      </c>
      <c r="B22" s="2680"/>
      <c r="C22" s="2681"/>
      <c r="D22" s="186">
        <v>0</v>
      </c>
      <c r="E22" s="186">
        <v>0</v>
      </c>
      <c r="F22" s="186">
        <v>0</v>
      </c>
      <c r="G22" s="2682">
        <f t="shared" si="2"/>
        <v>0</v>
      </c>
      <c r="H22" s="2681">
        <v>0</v>
      </c>
      <c r="I22" s="186">
        <v>0</v>
      </c>
      <c r="J22" s="186">
        <v>0</v>
      </c>
      <c r="K22" s="186">
        <v>0</v>
      </c>
      <c r="L22" s="2682">
        <f t="shared" si="3"/>
        <v>0</v>
      </c>
      <c r="M22" s="2681">
        <f t="shared" si="4"/>
        <v>0</v>
      </c>
      <c r="N22" s="186">
        <f t="shared" si="5"/>
        <v>0</v>
      </c>
      <c r="O22" s="2681">
        <v>0</v>
      </c>
      <c r="P22" s="186">
        <v>0</v>
      </c>
      <c r="Q22" s="186">
        <v>0</v>
      </c>
      <c r="R22" s="186">
        <f t="shared" si="0"/>
        <v>0</v>
      </c>
      <c r="S22" s="186">
        <f t="shared" si="6"/>
        <v>0</v>
      </c>
      <c r="T22" s="186">
        <f t="shared" si="7"/>
        <v>0</v>
      </c>
      <c r="U22" s="2697">
        <f t="shared" si="8"/>
        <v>0</v>
      </c>
      <c r="V22" s="2681"/>
      <c r="W22" s="186">
        <v>0</v>
      </c>
      <c r="X22" s="186">
        <v>0</v>
      </c>
      <c r="Y22" s="186">
        <v>0</v>
      </c>
      <c r="Z22" s="2682">
        <f t="shared" si="9"/>
        <v>0</v>
      </c>
      <c r="AA22" s="2681">
        <v>0</v>
      </c>
      <c r="AB22" s="186">
        <v>0</v>
      </c>
      <c r="AC22" s="186">
        <v>0</v>
      </c>
      <c r="AD22" s="186">
        <v>0</v>
      </c>
      <c r="AE22" s="2682">
        <f t="shared" si="10"/>
        <v>0</v>
      </c>
      <c r="AF22" s="2681">
        <f t="shared" si="11"/>
        <v>0</v>
      </c>
      <c r="AG22" s="186">
        <f t="shared" si="12"/>
        <v>0</v>
      </c>
      <c r="AH22" s="186">
        <f t="shared" si="13"/>
        <v>0</v>
      </c>
      <c r="AI22" s="186">
        <f t="shared" si="14"/>
        <v>0</v>
      </c>
      <c r="AJ22" s="2697">
        <f t="shared" si="15"/>
        <v>0</v>
      </c>
      <c r="AK22" s="2704">
        <f t="shared" si="1"/>
        <v>0</v>
      </c>
      <c r="AL22" s="1264"/>
      <c r="AM22" s="422">
        <v>0</v>
      </c>
      <c r="AO22" s="1060"/>
    </row>
    <row r="23" spans="1:41" s="109" customFormat="1" ht="15" hidden="1" customHeight="1" x14ac:dyDescent="0.25">
      <c r="A23" s="789" t="s">
        <v>2096</v>
      </c>
      <c r="B23" s="2680">
        <v>22025</v>
      </c>
      <c r="C23" s="2681"/>
      <c r="D23" s="186">
        <v>0</v>
      </c>
      <c r="E23" s="186">
        <v>0</v>
      </c>
      <c r="F23" s="186">
        <v>0</v>
      </c>
      <c r="G23" s="2682">
        <f>SUM(C23:F23)</f>
        <v>0</v>
      </c>
      <c r="H23" s="2681">
        <v>0</v>
      </c>
      <c r="I23" s="186">
        <v>0</v>
      </c>
      <c r="J23" s="186">
        <v>0</v>
      </c>
      <c r="K23" s="186">
        <v>0</v>
      </c>
      <c r="L23" s="2682">
        <f>SUM(H23:K23)</f>
        <v>0</v>
      </c>
      <c r="M23" s="2681">
        <f>SUM(C23,H23)</f>
        <v>0</v>
      </c>
      <c r="N23" s="186">
        <f>SUM(D23,I23)</f>
        <v>0</v>
      </c>
      <c r="O23" s="2681">
        <v>0</v>
      </c>
      <c r="P23" s="186">
        <v>0</v>
      </c>
      <c r="Q23" s="186">
        <v>0</v>
      </c>
      <c r="R23" s="186">
        <f>SUM(O23:Q23)</f>
        <v>0</v>
      </c>
      <c r="S23" s="186">
        <f>SUM(E23,J23)</f>
        <v>0</v>
      </c>
      <c r="T23" s="186">
        <f>SUM(F23,K23)</f>
        <v>0</v>
      </c>
      <c r="U23" s="2697">
        <f>SUM(M23:N23,R23:T23)</f>
        <v>0</v>
      </c>
      <c r="V23" s="2681"/>
      <c r="W23" s="186">
        <v>0</v>
      </c>
      <c r="X23" s="186">
        <v>0</v>
      </c>
      <c r="Y23" s="186">
        <v>0</v>
      </c>
      <c r="Z23" s="2682">
        <f>SUM(V23:Y23)</f>
        <v>0</v>
      </c>
      <c r="AA23" s="2681">
        <v>0</v>
      </c>
      <c r="AB23" s="186">
        <v>0</v>
      </c>
      <c r="AC23" s="186">
        <v>0</v>
      </c>
      <c r="AD23" s="186">
        <v>0</v>
      </c>
      <c r="AE23" s="2682">
        <f>SUM(AA23:AD23)</f>
        <v>0</v>
      </c>
      <c r="AF23" s="2681">
        <f>SUM(V23,AA23)</f>
        <v>0</v>
      </c>
      <c r="AG23" s="186">
        <f>SUM(W23,AB23)</f>
        <v>0</v>
      </c>
      <c r="AH23" s="186">
        <f>SUM(X23,AC23)</f>
        <v>0</v>
      </c>
      <c r="AI23" s="186">
        <f>SUM(Y23,AD23)</f>
        <v>0</v>
      </c>
      <c r="AJ23" s="2697">
        <f>SUM(AF23:AI23)</f>
        <v>0</v>
      </c>
      <c r="AK23" s="2704">
        <f>+U23-AJ23</f>
        <v>0</v>
      </c>
      <c r="AL23" s="1264"/>
      <c r="AM23" s="422">
        <v>0</v>
      </c>
      <c r="AO23" s="1060"/>
    </row>
    <row r="24" spans="1:41" s="109" customFormat="1" ht="15" hidden="1" customHeight="1" x14ac:dyDescent="0.25">
      <c r="A24" s="789" t="s">
        <v>131</v>
      </c>
      <c r="B24" s="2680">
        <v>22030</v>
      </c>
      <c r="C24" s="2681"/>
      <c r="D24" s="186">
        <v>0</v>
      </c>
      <c r="E24" s="186">
        <v>0</v>
      </c>
      <c r="F24" s="186">
        <v>0</v>
      </c>
      <c r="G24" s="2682">
        <f t="shared" si="2"/>
        <v>0</v>
      </c>
      <c r="H24" s="2681">
        <v>0</v>
      </c>
      <c r="I24" s="186">
        <v>0</v>
      </c>
      <c r="J24" s="186">
        <v>0</v>
      </c>
      <c r="K24" s="186">
        <v>0</v>
      </c>
      <c r="L24" s="2682">
        <f t="shared" si="3"/>
        <v>0</v>
      </c>
      <c r="M24" s="2681">
        <f t="shared" si="4"/>
        <v>0</v>
      </c>
      <c r="N24" s="186">
        <f t="shared" si="5"/>
        <v>0</v>
      </c>
      <c r="O24" s="2681">
        <v>0</v>
      </c>
      <c r="P24" s="186">
        <v>0</v>
      </c>
      <c r="Q24" s="186">
        <v>0</v>
      </c>
      <c r="R24" s="186">
        <f t="shared" si="0"/>
        <v>0</v>
      </c>
      <c r="S24" s="186">
        <f t="shared" si="6"/>
        <v>0</v>
      </c>
      <c r="T24" s="186">
        <f t="shared" si="7"/>
        <v>0</v>
      </c>
      <c r="U24" s="2697">
        <f t="shared" si="8"/>
        <v>0</v>
      </c>
      <c r="V24" s="2681"/>
      <c r="W24" s="186">
        <v>0</v>
      </c>
      <c r="X24" s="186">
        <v>0</v>
      </c>
      <c r="Y24" s="186">
        <v>0</v>
      </c>
      <c r="Z24" s="2682">
        <f t="shared" si="9"/>
        <v>0</v>
      </c>
      <c r="AA24" s="2681">
        <v>0</v>
      </c>
      <c r="AB24" s="186">
        <v>0</v>
      </c>
      <c r="AC24" s="186">
        <v>0</v>
      </c>
      <c r="AD24" s="186">
        <v>0</v>
      </c>
      <c r="AE24" s="2682">
        <f t="shared" si="10"/>
        <v>0</v>
      </c>
      <c r="AF24" s="2681">
        <f t="shared" si="11"/>
        <v>0</v>
      </c>
      <c r="AG24" s="186">
        <f t="shared" si="12"/>
        <v>0</v>
      </c>
      <c r="AH24" s="186">
        <f t="shared" si="13"/>
        <v>0</v>
      </c>
      <c r="AI24" s="186">
        <f t="shared" si="14"/>
        <v>0</v>
      </c>
      <c r="AJ24" s="2697">
        <f t="shared" si="15"/>
        <v>0</v>
      </c>
      <c r="AK24" s="2704">
        <f t="shared" si="1"/>
        <v>0</v>
      </c>
      <c r="AL24" s="1264"/>
      <c r="AM24" s="422">
        <v>0</v>
      </c>
      <c r="AO24" s="1060"/>
    </row>
    <row r="25" spans="1:41" s="66" customFormat="1" ht="15" hidden="1" customHeight="1" x14ac:dyDescent="0.2">
      <c r="A25" s="789" t="s">
        <v>2109</v>
      </c>
      <c r="B25" s="2680">
        <v>41002</v>
      </c>
      <c r="C25" s="2681"/>
      <c r="D25" s="186">
        <v>0</v>
      </c>
      <c r="E25" s="186">
        <v>0</v>
      </c>
      <c r="F25" s="186">
        <v>0</v>
      </c>
      <c r="G25" s="2682">
        <f t="shared" si="2"/>
        <v>0</v>
      </c>
      <c r="H25" s="2681">
        <v>0</v>
      </c>
      <c r="I25" s="186">
        <v>0</v>
      </c>
      <c r="J25" s="186">
        <v>0</v>
      </c>
      <c r="K25" s="186">
        <v>0</v>
      </c>
      <c r="L25" s="2682">
        <f t="shared" si="3"/>
        <v>0</v>
      </c>
      <c r="M25" s="2681">
        <f t="shared" si="4"/>
        <v>0</v>
      </c>
      <c r="N25" s="186">
        <f t="shared" si="5"/>
        <v>0</v>
      </c>
      <c r="O25" s="2681">
        <v>0</v>
      </c>
      <c r="P25" s="186">
        <v>0</v>
      </c>
      <c r="Q25" s="186">
        <v>0</v>
      </c>
      <c r="R25" s="186">
        <f>SUM(O25:Q25)</f>
        <v>0</v>
      </c>
      <c r="S25" s="186">
        <f t="shared" si="6"/>
        <v>0</v>
      </c>
      <c r="T25" s="186">
        <f t="shared" si="7"/>
        <v>0</v>
      </c>
      <c r="U25" s="2697">
        <f t="shared" si="8"/>
        <v>0</v>
      </c>
      <c r="V25" s="2681"/>
      <c r="W25" s="186">
        <v>0</v>
      </c>
      <c r="X25" s="186">
        <v>0</v>
      </c>
      <c r="Y25" s="186">
        <v>0</v>
      </c>
      <c r="Z25" s="2682">
        <f t="shared" si="9"/>
        <v>0</v>
      </c>
      <c r="AA25" s="2681">
        <v>0</v>
      </c>
      <c r="AB25" s="186">
        <v>0</v>
      </c>
      <c r="AC25" s="186">
        <v>0</v>
      </c>
      <c r="AD25" s="186">
        <v>0</v>
      </c>
      <c r="AE25" s="2682">
        <f t="shared" si="10"/>
        <v>0</v>
      </c>
      <c r="AF25" s="2681">
        <f t="shared" si="11"/>
        <v>0</v>
      </c>
      <c r="AG25" s="186">
        <f t="shared" si="12"/>
        <v>0</v>
      </c>
      <c r="AH25" s="186">
        <f t="shared" si="13"/>
        <v>0</v>
      </c>
      <c r="AI25" s="186">
        <f t="shared" si="14"/>
        <v>0</v>
      </c>
      <c r="AJ25" s="2697">
        <f t="shared" si="15"/>
        <v>0</v>
      </c>
      <c r="AK25" s="2704">
        <f t="shared" si="1"/>
        <v>0</v>
      </c>
      <c r="AL25" s="199"/>
      <c r="AM25" s="422">
        <v>0</v>
      </c>
      <c r="AO25" s="1060"/>
    </row>
    <row r="26" spans="1:41" s="66" customFormat="1" ht="15" hidden="1" customHeight="1" x14ac:dyDescent="0.2">
      <c r="A26" s="789" t="s">
        <v>2106</v>
      </c>
      <c r="B26" s="2680">
        <v>41008</v>
      </c>
      <c r="C26" s="2681"/>
      <c r="D26" s="186">
        <v>0</v>
      </c>
      <c r="E26" s="186">
        <v>0</v>
      </c>
      <c r="F26" s="186">
        <v>0</v>
      </c>
      <c r="G26" s="2682">
        <f>SUM(C26:F26)</f>
        <v>0</v>
      </c>
      <c r="H26" s="2681">
        <v>0</v>
      </c>
      <c r="I26" s="186">
        <v>0</v>
      </c>
      <c r="J26" s="186">
        <v>0</v>
      </c>
      <c r="K26" s="186">
        <v>0</v>
      </c>
      <c r="L26" s="2682">
        <f>SUM(H26:K26)</f>
        <v>0</v>
      </c>
      <c r="M26" s="2681">
        <f>SUM(C26,H26)</f>
        <v>0</v>
      </c>
      <c r="N26" s="186">
        <f>SUM(D26,I26)</f>
        <v>0</v>
      </c>
      <c r="O26" s="2681">
        <v>0</v>
      </c>
      <c r="P26" s="186">
        <v>0</v>
      </c>
      <c r="Q26" s="186">
        <v>0</v>
      </c>
      <c r="R26" s="186">
        <f>SUM(O26:Q26)</f>
        <v>0</v>
      </c>
      <c r="S26" s="186">
        <f>SUM(E26,J26)</f>
        <v>0</v>
      </c>
      <c r="T26" s="186">
        <f>SUM(F26,K26)</f>
        <v>0</v>
      </c>
      <c r="U26" s="2697">
        <f>SUM(M26:N26,R26:T26)</f>
        <v>0</v>
      </c>
      <c r="V26" s="2681"/>
      <c r="W26" s="186">
        <v>0</v>
      </c>
      <c r="X26" s="186">
        <v>0</v>
      </c>
      <c r="Y26" s="186">
        <v>0</v>
      </c>
      <c r="Z26" s="2682">
        <f>SUM(V26:Y26)</f>
        <v>0</v>
      </c>
      <c r="AA26" s="2681">
        <v>0</v>
      </c>
      <c r="AB26" s="186">
        <v>0</v>
      </c>
      <c r="AC26" s="186">
        <v>0</v>
      </c>
      <c r="AD26" s="186">
        <v>0</v>
      </c>
      <c r="AE26" s="2682">
        <f>SUM(AA26:AD26)</f>
        <v>0</v>
      </c>
      <c r="AF26" s="2681">
        <f>SUM(V26,AA26)</f>
        <v>0</v>
      </c>
      <c r="AG26" s="186">
        <f>SUM(W26,AB26)</f>
        <v>0</v>
      </c>
      <c r="AH26" s="186">
        <f>SUM(X26,AC26)</f>
        <v>0</v>
      </c>
      <c r="AI26" s="186">
        <f>SUM(Y26,AD26)</f>
        <v>0</v>
      </c>
      <c r="AJ26" s="2697">
        <f>SUM(AF26:AI26)</f>
        <v>0</v>
      </c>
      <c r="AK26" s="2704">
        <f>+U26-AJ26</f>
        <v>0</v>
      </c>
      <c r="AL26" s="199"/>
      <c r="AM26" s="422">
        <v>0</v>
      </c>
      <c r="AO26" s="1060"/>
    </row>
    <row r="27" spans="1:41" s="109" customFormat="1" ht="15" customHeight="1" x14ac:dyDescent="0.25">
      <c r="A27" s="789"/>
      <c r="B27" s="2680"/>
      <c r="C27" s="2681"/>
      <c r="D27" s="186"/>
      <c r="E27" s="186"/>
      <c r="F27" s="186"/>
      <c r="G27" s="2682"/>
      <c r="H27" s="2681"/>
      <c r="I27" s="186"/>
      <c r="J27" s="186"/>
      <c r="K27" s="186"/>
      <c r="L27" s="2682"/>
      <c r="M27" s="2681"/>
      <c r="N27" s="186"/>
      <c r="O27" s="2681"/>
      <c r="P27" s="186"/>
      <c r="Q27" s="186"/>
      <c r="R27" s="186"/>
      <c r="S27" s="186"/>
      <c r="T27" s="186"/>
      <c r="U27" s="2697"/>
      <c r="V27" s="2681"/>
      <c r="W27" s="186"/>
      <c r="X27" s="186"/>
      <c r="Y27" s="186"/>
      <c r="Z27" s="2682"/>
      <c r="AA27" s="2681"/>
      <c r="AB27" s="186"/>
      <c r="AC27" s="186"/>
      <c r="AD27" s="186"/>
      <c r="AE27" s="2682"/>
      <c r="AF27" s="2681"/>
      <c r="AG27" s="186"/>
      <c r="AH27" s="186"/>
      <c r="AI27" s="186"/>
      <c r="AJ27" s="2697"/>
      <c r="AK27" s="2704"/>
      <c r="AL27" s="1264"/>
      <c r="AM27" s="422"/>
      <c r="AO27" s="1060"/>
    </row>
    <row r="28" spans="1:41" s="109" customFormat="1" ht="15" customHeight="1" x14ac:dyDescent="0.25">
      <c r="A28" s="789"/>
      <c r="B28" s="2680"/>
      <c r="C28" s="2683">
        <f t="shared" ref="C28:AK28" si="16">SUM(C8:C27)</f>
        <v>0</v>
      </c>
      <c r="D28" s="687">
        <f t="shared" si="16"/>
        <v>0</v>
      </c>
      <c r="E28" s="687">
        <f t="shared" si="16"/>
        <v>0</v>
      </c>
      <c r="F28" s="687">
        <f t="shared" si="16"/>
        <v>0</v>
      </c>
      <c r="G28" s="2684">
        <f t="shared" si="16"/>
        <v>0</v>
      </c>
      <c r="H28" s="2683">
        <f t="shared" si="16"/>
        <v>0</v>
      </c>
      <c r="I28" s="687">
        <f t="shared" si="16"/>
        <v>0</v>
      </c>
      <c r="J28" s="687">
        <f t="shared" si="16"/>
        <v>0</v>
      </c>
      <c r="K28" s="687">
        <f t="shared" si="16"/>
        <v>0</v>
      </c>
      <c r="L28" s="2684">
        <f t="shared" si="16"/>
        <v>0</v>
      </c>
      <c r="M28" s="2683">
        <f t="shared" si="16"/>
        <v>43055128.25</v>
      </c>
      <c r="N28" s="687">
        <f t="shared" si="16"/>
        <v>0</v>
      </c>
      <c r="O28" s="2683">
        <f t="shared" si="16"/>
        <v>0</v>
      </c>
      <c r="P28" s="687">
        <f t="shared" si="16"/>
        <v>0</v>
      </c>
      <c r="Q28" s="687">
        <f t="shared" si="16"/>
        <v>0</v>
      </c>
      <c r="R28" s="687">
        <f t="shared" si="16"/>
        <v>0</v>
      </c>
      <c r="S28" s="687">
        <f t="shared" si="16"/>
        <v>0</v>
      </c>
      <c r="T28" s="687">
        <f t="shared" si="16"/>
        <v>-230376.1446</v>
      </c>
      <c r="U28" s="2698">
        <f t="shared" si="16"/>
        <v>42824752.105399996</v>
      </c>
      <c r="V28" s="2683">
        <f t="shared" si="16"/>
        <v>0</v>
      </c>
      <c r="W28" s="687">
        <f t="shared" si="16"/>
        <v>0</v>
      </c>
      <c r="X28" s="687">
        <f t="shared" si="16"/>
        <v>0</v>
      </c>
      <c r="Y28" s="687">
        <f t="shared" si="16"/>
        <v>0</v>
      </c>
      <c r="Z28" s="2684">
        <f t="shared" si="16"/>
        <v>0</v>
      </c>
      <c r="AA28" s="2683">
        <f t="shared" si="16"/>
        <v>0</v>
      </c>
      <c r="AB28" s="687">
        <f t="shared" si="16"/>
        <v>0</v>
      </c>
      <c r="AC28" s="687">
        <f t="shared" si="16"/>
        <v>0</v>
      </c>
      <c r="AD28" s="687">
        <f t="shared" si="16"/>
        <v>0</v>
      </c>
      <c r="AE28" s="2684">
        <f t="shared" si="16"/>
        <v>0</v>
      </c>
      <c r="AF28" s="2683">
        <f t="shared" si="16"/>
        <v>23779106.030000001</v>
      </c>
      <c r="AG28" s="687">
        <f t="shared" si="16"/>
        <v>1144557.1048869169</v>
      </c>
      <c r="AH28" s="687">
        <f t="shared" si="16"/>
        <v>0</v>
      </c>
      <c r="AI28" s="687">
        <f t="shared" si="16"/>
        <v>-99274.16</v>
      </c>
      <c r="AJ28" s="2698">
        <f t="shared" si="16"/>
        <v>24824388.974886917</v>
      </c>
      <c r="AK28" s="2705">
        <f t="shared" si="16"/>
        <v>18000363.130513087</v>
      </c>
      <c r="AL28" s="1264"/>
      <c r="AM28" s="430">
        <f>SUM(AM8:AM27)</f>
        <v>0</v>
      </c>
      <c r="AO28" s="1060"/>
    </row>
    <row r="29" spans="1:41" s="109" customFormat="1" ht="15" customHeight="1" x14ac:dyDescent="0.25">
      <c r="A29" s="789"/>
      <c r="B29" s="2680"/>
      <c r="C29" s="2685">
        <v>0</v>
      </c>
      <c r="D29" s="688">
        <v>0</v>
      </c>
      <c r="E29" s="688">
        <v>0</v>
      </c>
      <c r="F29" s="688">
        <v>0</v>
      </c>
      <c r="G29" s="2686">
        <v>0</v>
      </c>
      <c r="H29" s="2685">
        <v>0</v>
      </c>
      <c r="I29" s="688">
        <v>0</v>
      </c>
      <c r="J29" s="688">
        <v>0</v>
      </c>
      <c r="K29" s="688">
        <v>0</v>
      </c>
      <c r="L29" s="2686">
        <v>0</v>
      </c>
      <c r="M29" s="2678"/>
      <c r="N29" s="686"/>
      <c r="O29" s="2685">
        <v>0</v>
      </c>
      <c r="P29" s="688">
        <v>0</v>
      </c>
      <c r="Q29" s="688">
        <v>0</v>
      </c>
      <c r="R29" s="688">
        <v>0</v>
      </c>
      <c r="S29" s="686"/>
      <c r="T29" s="686"/>
      <c r="U29" s="2699"/>
      <c r="V29" s="2685">
        <v>0</v>
      </c>
      <c r="W29" s="688">
        <v>0</v>
      </c>
      <c r="X29" s="688">
        <v>0</v>
      </c>
      <c r="Y29" s="688">
        <v>0</v>
      </c>
      <c r="Z29" s="2686">
        <v>0</v>
      </c>
      <c r="AA29" s="2685">
        <v>0</v>
      </c>
      <c r="AB29" s="688">
        <v>0</v>
      </c>
      <c r="AC29" s="688">
        <v>0</v>
      </c>
      <c r="AD29" s="688">
        <v>0</v>
      </c>
      <c r="AE29" s="2686">
        <v>0</v>
      </c>
      <c r="AF29" s="2678"/>
      <c r="AG29" s="686"/>
      <c r="AH29" s="686"/>
      <c r="AI29" s="686"/>
      <c r="AJ29" s="2696"/>
      <c r="AK29" s="2703"/>
      <c r="AL29" s="135"/>
      <c r="AM29" s="431"/>
      <c r="AO29" s="1060"/>
    </row>
    <row r="30" spans="1:41" s="66" customFormat="1" ht="15" customHeight="1" x14ac:dyDescent="0.25">
      <c r="A30" s="2676" t="s">
        <v>239</v>
      </c>
      <c r="B30" s="2677"/>
      <c r="C30" s="2687"/>
      <c r="D30" s="689"/>
      <c r="E30" s="689"/>
      <c r="F30" s="689"/>
      <c r="G30" s="2688"/>
      <c r="H30" s="2687"/>
      <c r="I30" s="689"/>
      <c r="J30" s="689"/>
      <c r="K30" s="689"/>
      <c r="L30" s="2688"/>
      <c r="M30" s="2687"/>
      <c r="N30" s="689"/>
      <c r="O30" s="2687"/>
      <c r="P30" s="689"/>
      <c r="Q30" s="689"/>
      <c r="R30" s="689"/>
      <c r="S30" s="689"/>
      <c r="T30" s="689"/>
      <c r="U30" s="2700"/>
      <c r="V30" s="2687"/>
      <c r="W30" s="689"/>
      <c r="X30" s="689"/>
      <c r="Y30" s="689"/>
      <c r="Z30" s="2688"/>
      <c r="AA30" s="2687"/>
      <c r="AB30" s="689"/>
      <c r="AC30" s="689"/>
      <c r="AD30" s="689"/>
      <c r="AE30" s="2688"/>
      <c r="AF30" s="2687"/>
      <c r="AG30" s="689"/>
      <c r="AH30" s="689"/>
      <c r="AI30" s="689"/>
      <c r="AJ30" s="2700"/>
      <c r="AK30" s="2706"/>
      <c r="AL30" s="57"/>
      <c r="AM30" s="439"/>
      <c r="AO30" s="1060"/>
    </row>
    <row r="31" spans="1:41" s="66" customFormat="1" ht="15" hidden="1" customHeight="1" x14ac:dyDescent="0.2">
      <c r="A31" s="2689" t="s">
        <v>457</v>
      </c>
      <c r="B31" s="2690"/>
      <c r="C31" s="2687"/>
      <c r="D31" s="689"/>
      <c r="E31" s="689"/>
      <c r="F31" s="689"/>
      <c r="G31" s="2688"/>
      <c r="H31" s="2687"/>
      <c r="I31" s="689"/>
      <c r="J31" s="689"/>
      <c r="K31" s="689"/>
      <c r="L31" s="2688"/>
      <c r="M31" s="2687"/>
      <c r="N31" s="689"/>
      <c r="O31" s="2687"/>
      <c r="P31" s="689"/>
      <c r="Q31" s="689"/>
      <c r="R31" s="689"/>
      <c r="S31" s="689"/>
      <c r="T31" s="689"/>
      <c r="U31" s="2700"/>
      <c r="V31" s="2687"/>
      <c r="W31" s="689"/>
      <c r="X31" s="689"/>
      <c r="Y31" s="689"/>
      <c r="Z31" s="2688"/>
      <c r="AA31" s="2687"/>
      <c r="AB31" s="689"/>
      <c r="AC31" s="689"/>
      <c r="AD31" s="689"/>
      <c r="AE31" s="2688"/>
      <c r="AF31" s="2687"/>
      <c r="AG31" s="689"/>
      <c r="AH31" s="689"/>
      <c r="AI31" s="689"/>
      <c r="AJ31" s="2700"/>
      <c r="AK31" s="2706"/>
      <c r="AL31" s="57"/>
      <c r="AM31" s="439"/>
      <c r="AO31" s="1060"/>
    </row>
    <row r="32" spans="1:41" s="66" customFormat="1" ht="15" hidden="1" customHeight="1" x14ac:dyDescent="0.2">
      <c r="A32" s="789" t="s">
        <v>132</v>
      </c>
      <c r="B32" s="2680"/>
      <c r="C32" s="2681">
        <v>0</v>
      </c>
      <c r="D32" s="186">
        <v>0</v>
      </c>
      <c r="E32" s="186">
        <v>0</v>
      </c>
      <c r="F32" s="186">
        <v>0</v>
      </c>
      <c r="G32" s="2682">
        <f>SUM(C32:F32)</f>
        <v>0</v>
      </c>
      <c r="H32" s="2681">
        <v>0</v>
      </c>
      <c r="I32" s="186">
        <v>0</v>
      </c>
      <c r="J32" s="186">
        <v>0</v>
      </c>
      <c r="K32" s="186">
        <v>0</v>
      </c>
      <c r="L32" s="2682">
        <f>SUM(H32:K32)</f>
        <v>0</v>
      </c>
      <c r="M32" s="2681">
        <f t="shared" ref="M32:N35" si="17">SUM(C32,H32)</f>
        <v>0</v>
      </c>
      <c r="N32" s="186">
        <f t="shared" si="17"/>
        <v>0</v>
      </c>
      <c r="O32" s="2681">
        <v>0</v>
      </c>
      <c r="P32" s="186">
        <v>0</v>
      </c>
      <c r="Q32" s="186">
        <v>0</v>
      </c>
      <c r="R32" s="186">
        <f>SUM(O32:Q32)</f>
        <v>0</v>
      </c>
      <c r="S32" s="186">
        <f t="shared" ref="S32:T35" si="18">SUM(E32,J32)</f>
        <v>0</v>
      </c>
      <c r="T32" s="186">
        <f t="shared" si="18"/>
        <v>0</v>
      </c>
      <c r="U32" s="2697">
        <f>SUM(M32:N32,R32:T32)</f>
        <v>0</v>
      </c>
      <c r="V32" s="2681">
        <v>0</v>
      </c>
      <c r="W32" s="186">
        <v>0</v>
      </c>
      <c r="X32" s="186">
        <v>0</v>
      </c>
      <c r="Y32" s="186">
        <v>0</v>
      </c>
      <c r="Z32" s="2682">
        <f>SUM(V32:Y32)</f>
        <v>0</v>
      </c>
      <c r="AA32" s="2681">
        <v>0</v>
      </c>
      <c r="AB32" s="186">
        <v>0</v>
      </c>
      <c r="AC32" s="186">
        <v>0</v>
      </c>
      <c r="AD32" s="186">
        <v>0</v>
      </c>
      <c r="AE32" s="2682">
        <f>SUM(AA32:AD32)</f>
        <v>0</v>
      </c>
      <c r="AF32" s="2681">
        <f t="shared" ref="AF32:AI35" si="19">SUM(V32,AA32)</f>
        <v>0</v>
      </c>
      <c r="AG32" s="186">
        <f t="shared" si="19"/>
        <v>0</v>
      </c>
      <c r="AH32" s="186">
        <f t="shared" si="19"/>
        <v>0</v>
      </c>
      <c r="AI32" s="186">
        <f t="shared" si="19"/>
        <v>0</v>
      </c>
      <c r="AJ32" s="2697">
        <f>SUM(AF32:AI32)</f>
        <v>0</v>
      </c>
      <c r="AK32" s="2704">
        <f>+U32-AJ32</f>
        <v>0</v>
      </c>
      <c r="AL32" s="199"/>
      <c r="AM32" s="424">
        <v>0</v>
      </c>
      <c r="AO32" s="1060"/>
    </row>
    <row r="33" spans="1:42" s="66" customFormat="1" ht="15" hidden="1" customHeight="1" x14ac:dyDescent="0.2">
      <c r="A33" s="789" t="s">
        <v>458</v>
      </c>
      <c r="B33" s="2680"/>
      <c r="C33" s="2681">
        <v>0</v>
      </c>
      <c r="D33" s="186">
        <v>0</v>
      </c>
      <c r="E33" s="186">
        <v>0</v>
      </c>
      <c r="F33" s="186">
        <v>0</v>
      </c>
      <c r="G33" s="2682">
        <f>SUM(C33:F33)</f>
        <v>0</v>
      </c>
      <c r="H33" s="2681">
        <v>0</v>
      </c>
      <c r="I33" s="186">
        <v>0</v>
      </c>
      <c r="J33" s="186">
        <v>0</v>
      </c>
      <c r="K33" s="186">
        <v>0</v>
      </c>
      <c r="L33" s="2682">
        <f>SUM(H33:K33)</f>
        <v>0</v>
      </c>
      <c r="M33" s="2681">
        <f t="shared" si="17"/>
        <v>0</v>
      </c>
      <c r="N33" s="186">
        <f t="shared" si="17"/>
        <v>0</v>
      </c>
      <c r="O33" s="2681">
        <v>0</v>
      </c>
      <c r="P33" s="186">
        <v>0</v>
      </c>
      <c r="Q33" s="186">
        <v>0</v>
      </c>
      <c r="R33" s="186">
        <f>SUM(O33:Q33)</f>
        <v>0</v>
      </c>
      <c r="S33" s="186">
        <f t="shared" si="18"/>
        <v>0</v>
      </c>
      <c r="T33" s="186">
        <f t="shared" si="18"/>
        <v>0</v>
      </c>
      <c r="U33" s="2697">
        <f>SUM(M33:N33,R33:T33)</f>
        <v>0</v>
      </c>
      <c r="V33" s="2681">
        <v>0</v>
      </c>
      <c r="W33" s="186">
        <v>0</v>
      </c>
      <c r="X33" s="186">
        <v>0</v>
      </c>
      <c r="Y33" s="186">
        <v>0</v>
      </c>
      <c r="Z33" s="2682">
        <f>SUM(V33:Y33)</f>
        <v>0</v>
      </c>
      <c r="AA33" s="2681">
        <v>0</v>
      </c>
      <c r="AB33" s="186">
        <v>0</v>
      </c>
      <c r="AC33" s="186">
        <v>0</v>
      </c>
      <c r="AD33" s="186">
        <v>0</v>
      </c>
      <c r="AE33" s="2682">
        <f>SUM(AA33:AD33)</f>
        <v>0</v>
      </c>
      <c r="AF33" s="2681">
        <f t="shared" si="19"/>
        <v>0</v>
      </c>
      <c r="AG33" s="186">
        <f t="shared" si="19"/>
        <v>0</v>
      </c>
      <c r="AH33" s="186">
        <f t="shared" si="19"/>
        <v>0</v>
      </c>
      <c r="AI33" s="186">
        <f t="shared" si="19"/>
        <v>0</v>
      </c>
      <c r="AJ33" s="2697">
        <f>SUM(AF33:AI33)</f>
        <v>0</v>
      </c>
      <c r="AK33" s="2704">
        <f>+U33-AJ33</f>
        <v>0</v>
      </c>
      <c r="AL33" s="199"/>
      <c r="AM33" s="424">
        <v>0</v>
      </c>
      <c r="AO33" s="1060"/>
    </row>
    <row r="34" spans="1:42" s="66" customFormat="1" ht="15" hidden="1" customHeight="1" x14ac:dyDescent="0.2">
      <c r="A34" s="789" t="s">
        <v>137</v>
      </c>
      <c r="B34" s="2680"/>
      <c r="C34" s="2681">
        <v>0</v>
      </c>
      <c r="D34" s="186">
        <v>0</v>
      </c>
      <c r="E34" s="186">
        <v>0</v>
      </c>
      <c r="F34" s="186">
        <v>0</v>
      </c>
      <c r="G34" s="2682">
        <f>SUM(C34:F34)</f>
        <v>0</v>
      </c>
      <c r="H34" s="2681">
        <v>0</v>
      </c>
      <c r="I34" s="186">
        <v>0</v>
      </c>
      <c r="J34" s="186">
        <v>0</v>
      </c>
      <c r="K34" s="186">
        <v>0</v>
      </c>
      <c r="L34" s="2682">
        <f>SUM(H34:K34)</f>
        <v>0</v>
      </c>
      <c r="M34" s="2681">
        <f t="shared" si="17"/>
        <v>0</v>
      </c>
      <c r="N34" s="186">
        <f t="shared" si="17"/>
        <v>0</v>
      </c>
      <c r="O34" s="2681">
        <v>0</v>
      </c>
      <c r="P34" s="186">
        <v>0</v>
      </c>
      <c r="Q34" s="186">
        <v>0</v>
      </c>
      <c r="R34" s="186">
        <f>SUM(O34:Q34)</f>
        <v>0</v>
      </c>
      <c r="S34" s="186">
        <f t="shared" si="18"/>
        <v>0</v>
      </c>
      <c r="T34" s="186">
        <f t="shared" si="18"/>
        <v>0</v>
      </c>
      <c r="U34" s="2697">
        <f>SUM(M34:N34,R34:T34)</f>
        <v>0</v>
      </c>
      <c r="V34" s="2681">
        <v>0</v>
      </c>
      <c r="W34" s="186">
        <v>0</v>
      </c>
      <c r="X34" s="186">
        <v>0</v>
      </c>
      <c r="Y34" s="186">
        <v>0</v>
      </c>
      <c r="Z34" s="2682">
        <f>SUM(V34:Y34)</f>
        <v>0</v>
      </c>
      <c r="AA34" s="2681">
        <v>0</v>
      </c>
      <c r="AB34" s="186">
        <v>0</v>
      </c>
      <c r="AC34" s="186">
        <v>0</v>
      </c>
      <c r="AD34" s="186">
        <v>0</v>
      </c>
      <c r="AE34" s="2682">
        <f>SUM(AA34:AD34)</f>
        <v>0</v>
      </c>
      <c r="AF34" s="2681">
        <f t="shared" si="19"/>
        <v>0</v>
      </c>
      <c r="AG34" s="186">
        <f t="shared" si="19"/>
        <v>0</v>
      </c>
      <c r="AH34" s="186">
        <f t="shared" si="19"/>
        <v>0</v>
      </c>
      <c r="AI34" s="186">
        <f t="shared" si="19"/>
        <v>0</v>
      </c>
      <c r="AJ34" s="2697">
        <f>SUM(AF34:AI34)</f>
        <v>0</v>
      </c>
      <c r="AK34" s="2704">
        <f>+U34-AJ34</f>
        <v>0</v>
      </c>
      <c r="AL34" s="199"/>
      <c r="AM34" s="424">
        <v>0</v>
      </c>
      <c r="AO34" s="1060"/>
    </row>
    <row r="35" spans="1:42" s="66" customFormat="1" ht="15" hidden="1" customHeight="1" x14ac:dyDescent="0.2">
      <c r="A35" s="789" t="s">
        <v>141</v>
      </c>
      <c r="B35" s="2680"/>
      <c r="C35" s="2681">
        <v>0</v>
      </c>
      <c r="D35" s="186">
        <v>0</v>
      </c>
      <c r="E35" s="186">
        <v>0</v>
      </c>
      <c r="F35" s="186">
        <v>0</v>
      </c>
      <c r="G35" s="2682">
        <f>SUM(C35:F35)</f>
        <v>0</v>
      </c>
      <c r="H35" s="2681">
        <v>0</v>
      </c>
      <c r="I35" s="186">
        <v>0</v>
      </c>
      <c r="J35" s="186">
        <v>0</v>
      </c>
      <c r="K35" s="186">
        <v>0</v>
      </c>
      <c r="L35" s="2682">
        <f>SUM(H35:K35)</f>
        <v>0</v>
      </c>
      <c r="M35" s="2681">
        <f t="shared" si="17"/>
        <v>0</v>
      </c>
      <c r="N35" s="186">
        <f t="shared" si="17"/>
        <v>0</v>
      </c>
      <c r="O35" s="2681">
        <v>0</v>
      </c>
      <c r="P35" s="186">
        <v>0</v>
      </c>
      <c r="Q35" s="186">
        <v>0</v>
      </c>
      <c r="R35" s="186">
        <f>SUM(O35:Q35)</f>
        <v>0</v>
      </c>
      <c r="S35" s="186">
        <f t="shared" si="18"/>
        <v>0</v>
      </c>
      <c r="T35" s="186">
        <f t="shared" si="18"/>
        <v>0</v>
      </c>
      <c r="U35" s="2697">
        <f>SUM(M35:N35,R35:T35)</f>
        <v>0</v>
      </c>
      <c r="V35" s="2681">
        <v>0</v>
      </c>
      <c r="W35" s="186">
        <v>0</v>
      </c>
      <c r="X35" s="186">
        <v>0</v>
      </c>
      <c r="Y35" s="186">
        <v>0</v>
      </c>
      <c r="Z35" s="2682">
        <f>SUM(V35:Y35)</f>
        <v>0</v>
      </c>
      <c r="AA35" s="2681">
        <v>0</v>
      </c>
      <c r="AB35" s="186">
        <v>0</v>
      </c>
      <c r="AC35" s="186">
        <v>0</v>
      </c>
      <c r="AD35" s="186">
        <v>0</v>
      </c>
      <c r="AE35" s="2682">
        <f>SUM(AA35:AD35)</f>
        <v>0</v>
      </c>
      <c r="AF35" s="2681">
        <f t="shared" si="19"/>
        <v>0</v>
      </c>
      <c r="AG35" s="186">
        <f t="shared" si="19"/>
        <v>0</v>
      </c>
      <c r="AH35" s="186">
        <f t="shared" si="19"/>
        <v>0</v>
      </c>
      <c r="AI35" s="186">
        <f t="shared" si="19"/>
        <v>0</v>
      </c>
      <c r="AJ35" s="2697">
        <f>SUM(AF35:AI35)</f>
        <v>0</v>
      </c>
      <c r="AK35" s="2704">
        <f>+U35-AJ35</f>
        <v>0</v>
      </c>
      <c r="AL35" s="199"/>
      <c r="AM35" s="424">
        <v>0</v>
      </c>
      <c r="AO35" s="1060"/>
    </row>
    <row r="36" spans="1:42" s="66" customFormat="1" ht="15" hidden="1" customHeight="1" x14ac:dyDescent="0.2">
      <c r="A36" s="789"/>
      <c r="B36" s="2680"/>
      <c r="C36" s="2681"/>
      <c r="D36" s="186"/>
      <c r="E36" s="186"/>
      <c r="F36" s="186"/>
      <c r="G36" s="2682"/>
      <c r="H36" s="2681"/>
      <c r="I36" s="186"/>
      <c r="J36" s="186"/>
      <c r="K36" s="186"/>
      <c r="L36" s="2682"/>
      <c r="M36" s="2681"/>
      <c r="N36" s="186"/>
      <c r="O36" s="2681"/>
      <c r="P36" s="186"/>
      <c r="Q36" s="186"/>
      <c r="R36" s="186"/>
      <c r="S36" s="186"/>
      <c r="T36" s="186"/>
      <c r="U36" s="2697"/>
      <c r="V36" s="2681"/>
      <c r="W36" s="186"/>
      <c r="X36" s="186"/>
      <c r="Y36" s="186"/>
      <c r="Z36" s="2682"/>
      <c r="AA36" s="2681"/>
      <c r="AB36" s="186"/>
      <c r="AC36" s="186"/>
      <c r="AD36" s="186"/>
      <c r="AE36" s="2682"/>
      <c r="AF36" s="2681"/>
      <c r="AG36" s="186"/>
      <c r="AH36" s="186"/>
      <c r="AI36" s="186"/>
      <c r="AJ36" s="2697"/>
      <c r="AK36" s="2704"/>
      <c r="AL36" s="199"/>
      <c r="AM36" s="424"/>
      <c r="AO36" s="1060"/>
    </row>
    <row r="37" spans="1:42" s="66" customFormat="1" ht="15" customHeight="1" x14ac:dyDescent="0.2">
      <c r="A37" s="2689" t="s">
        <v>459</v>
      </c>
      <c r="B37" s="2690"/>
      <c r="C37" s="2687"/>
      <c r="D37" s="689"/>
      <c r="E37" s="689"/>
      <c r="F37" s="689"/>
      <c r="G37" s="2688"/>
      <c r="H37" s="2687"/>
      <c r="I37" s="689"/>
      <c r="J37" s="689"/>
      <c r="K37" s="689"/>
      <c r="L37" s="2688"/>
      <c r="M37" s="2687"/>
      <c r="N37" s="689"/>
      <c r="O37" s="2687"/>
      <c r="P37" s="689"/>
      <c r="Q37" s="689"/>
      <c r="R37" s="689"/>
      <c r="S37" s="689"/>
      <c r="T37" s="689"/>
      <c r="U37" s="2700"/>
      <c r="V37" s="2687"/>
      <c r="W37" s="689"/>
      <c r="X37" s="689"/>
      <c r="Y37" s="689"/>
      <c r="Z37" s="2688"/>
      <c r="AA37" s="2687"/>
      <c r="AB37" s="689"/>
      <c r="AC37" s="689"/>
      <c r="AD37" s="689"/>
      <c r="AE37" s="2688"/>
      <c r="AF37" s="2687"/>
      <c r="AG37" s="689"/>
      <c r="AH37" s="689"/>
      <c r="AI37" s="689"/>
      <c r="AJ37" s="2700"/>
      <c r="AK37" s="2706"/>
      <c r="AL37" s="57"/>
      <c r="AM37" s="439"/>
      <c r="AO37" s="1060"/>
    </row>
    <row r="38" spans="1:42" s="2669" customFormat="1" ht="15" customHeight="1" x14ac:dyDescent="0.2">
      <c r="A38" s="789" t="s">
        <v>7244</v>
      </c>
      <c r="B38" s="2680"/>
      <c r="C38" s="2681">
        <v>0</v>
      </c>
      <c r="D38" s="186">
        <v>0</v>
      </c>
      <c r="E38" s="186">
        <v>0</v>
      </c>
      <c r="F38" s="186">
        <v>0</v>
      </c>
      <c r="G38" s="2682">
        <f t="shared" ref="G38:G47" si="20">SUM(C38:F38)</f>
        <v>0</v>
      </c>
      <c r="H38" s="2681">
        <v>0</v>
      </c>
      <c r="I38" s="186">
        <v>0</v>
      </c>
      <c r="J38" s="186">
        <v>0</v>
      </c>
      <c r="K38" s="186">
        <v>0</v>
      </c>
      <c r="L38" s="2682">
        <f t="shared" ref="L38:L46" si="21">SUM(H38:K38)</f>
        <v>0</v>
      </c>
      <c r="M38" s="2681">
        <v>63615725.25</v>
      </c>
      <c r="N38" s="186">
        <v>1214788</v>
      </c>
      <c r="O38" s="2681">
        <v>0</v>
      </c>
      <c r="P38" s="186">
        <v>0</v>
      </c>
      <c r="Q38" s="186">
        <v>0</v>
      </c>
      <c r="R38" s="186">
        <v>605342</v>
      </c>
      <c r="S38" s="186">
        <f t="shared" ref="S38:S46" si="22">SUM(E38,J38)</f>
        <v>0</v>
      </c>
      <c r="T38" s="186">
        <f t="shared" ref="T38:T46" si="23">SUM(F38,K38)</f>
        <v>0</v>
      </c>
      <c r="U38" s="2697">
        <f>SUM(M38:N38,R38:T38)</f>
        <v>65435855.25</v>
      </c>
      <c r="V38" s="2681">
        <v>0</v>
      </c>
      <c r="W38" s="186">
        <v>0</v>
      </c>
      <c r="X38" s="186">
        <v>0</v>
      </c>
      <c r="Y38" s="186">
        <v>0</v>
      </c>
      <c r="Z38" s="2682">
        <f t="shared" ref="Z38:Z46" si="24">SUM(V38:Y38)</f>
        <v>0</v>
      </c>
      <c r="AA38" s="2681">
        <v>0</v>
      </c>
      <c r="AB38" s="186">
        <v>0</v>
      </c>
      <c r="AC38" s="186">
        <v>0</v>
      </c>
      <c r="AD38" s="186">
        <v>0</v>
      </c>
      <c r="AE38" s="2682">
        <f t="shared" ref="AE38:AE46" si="25">SUM(AA38:AD38)</f>
        <v>0</v>
      </c>
      <c r="AF38" s="2681">
        <v>25753061.23</v>
      </c>
      <c r="AG38" s="186">
        <v>1707367.29</v>
      </c>
      <c r="AH38" s="186">
        <f t="shared" ref="AH38:AH46" si="26">SUM(X38,AC38)</f>
        <v>0</v>
      </c>
      <c r="AI38" s="186">
        <f t="shared" ref="AI38:AI46" si="27">SUM(Y38,AD38)</f>
        <v>0</v>
      </c>
      <c r="AJ38" s="2697">
        <f t="shared" ref="AJ38:AJ46" si="28">SUM(AF38:AI38)</f>
        <v>27460428.52</v>
      </c>
      <c r="AK38" s="2704">
        <f t="shared" ref="AK38:AK46" si="29">+U38-AJ38</f>
        <v>37975426.730000004</v>
      </c>
      <c r="AL38" s="199"/>
      <c r="AM38" s="2668">
        <v>0</v>
      </c>
      <c r="AN38" s="2762">
        <f>SUM(N38:R38)</f>
        <v>1820130</v>
      </c>
      <c r="AO38" s="2667">
        <f>'APPENDIX C'!E74</f>
        <v>1820131</v>
      </c>
      <c r="AP38" s="2763">
        <f>AN38-AO38</f>
        <v>-1</v>
      </c>
    </row>
    <row r="39" spans="1:42" s="66" customFormat="1" ht="15" hidden="1" customHeight="1" x14ac:dyDescent="0.2">
      <c r="A39" s="789" t="s">
        <v>2121</v>
      </c>
      <c r="B39" s="2680">
        <v>31022</v>
      </c>
      <c r="C39" s="2681"/>
      <c r="D39" s="186">
        <v>0</v>
      </c>
      <c r="E39" s="186">
        <v>0</v>
      </c>
      <c r="F39" s="186">
        <v>0</v>
      </c>
      <c r="G39" s="2682">
        <f>SUM(C39:F39)</f>
        <v>0</v>
      </c>
      <c r="H39" s="2681">
        <v>0</v>
      </c>
      <c r="I39" s="186">
        <v>0</v>
      </c>
      <c r="J39" s="186">
        <v>0</v>
      </c>
      <c r="K39" s="186">
        <v>0</v>
      </c>
      <c r="L39" s="2682">
        <f>SUM(H39:K39)</f>
        <v>0</v>
      </c>
      <c r="M39" s="2681">
        <f>SUM(C39,H39)</f>
        <v>0</v>
      </c>
      <c r="N39" s="186">
        <f>SUM(D39,I39)</f>
        <v>0</v>
      </c>
      <c r="O39" s="2681">
        <v>0</v>
      </c>
      <c r="P39" s="186">
        <v>0</v>
      </c>
      <c r="Q39" s="186">
        <v>0</v>
      </c>
      <c r="R39" s="186">
        <f>SUM(O39:Q39)</f>
        <v>0</v>
      </c>
      <c r="S39" s="186">
        <f>SUM(E39,J39)</f>
        <v>0</v>
      </c>
      <c r="T39" s="186">
        <f>SUM(F39,K39)</f>
        <v>0</v>
      </c>
      <c r="U39" s="2697">
        <f>SUM(M39:N39,R39:T39)</f>
        <v>0</v>
      </c>
      <c r="V39" s="2681"/>
      <c r="W39" s="186">
        <v>0</v>
      </c>
      <c r="X39" s="186">
        <v>0</v>
      </c>
      <c r="Y39" s="186">
        <v>0</v>
      </c>
      <c r="Z39" s="2682">
        <f>SUM(V39:Y39)</f>
        <v>0</v>
      </c>
      <c r="AA39" s="2681">
        <v>0</v>
      </c>
      <c r="AB39" s="186">
        <v>0</v>
      </c>
      <c r="AC39" s="186">
        <v>0</v>
      </c>
      <c r="AD39" s="186">
        <v>0</v>
      </c>
      <c r="AE39" s="2682">
        <f>SUM(AA39:AD39)</f>
        <v>0</v>
      </c>
      <c r="AF39" s="2681">
        <f>SUM(V39,AA39)</f>
        <v>0</v>
      </c>
      <c r="AG39" s="186">
        <f>SUM(W39,AB39)</f>
        <v>0</v>
      </c>
      <c r="AH39" s="186">
        <f>SUM(X39,AC39)</f>
        <v>0</v>
      </c>
      <c r="AI39" s="186">
        <f>SUM(Y39,AD39)</f>
        <v>0</v>
      </c>
      <c r="AJ39" s="2697">
        <f>SUM(AF39:AI39)</f>
        <v>0</v>
      </c>
      <c r="AK39" s="2704">
        <f>+U39-AJ39</f>
        <v>0</v>
      </c>
      <c r="AL39" s="199"/>
      <c r="AM39" s="422">
        <v>0</v>
      </c>
      <c r="AN39" s="2762">
        <f t="shared" ref="AN39:AN102" si="30">SUM(N39:R39)</f>
        <v>0</v>
      </c>
      <c r="AO39" s="1060"/>
      <c r="AP39" s="2763">
        <f t="shared" ref="AP39:AP102" si="31">AN39-AO39</f>
        <v>0</v>
      </c>
    </row>
    <row r="40" spans="1:42" s="66" customFormat="1" ht="15" hidden="1" customHeight="1" x14ac:dyDescent="0.2">
      <c r="A40" s="789" t="s">
        <v>383</v>
      </c>
      <c r="B40" s="2680"/>
      <c r="C40" s="2681"/>
      <c r="D40" s="186">
        <v>0</v>
      </c>
      <c r="E40" s="186">
        <v>0</v>
      </c>
      <c r="F40" s="186">
        <v>0</v>
      </c>
      <c r="G40" s="2682">
        <f t="shared" si="20"/>
        <v>0</v>
      </c>
      <c r="H40" s="2681">
        <v>0</v>
      </c>
      <c r="I40" s="186">
        <v>0</v>
      </c>
      <c r="J40" s="186">
        <v>0</v>
      </c>
      <c r="K40" s="186">
        <v>0</v>
      </c>
      <c r="L40" s="2682">
        <f t="shared" si="21"/>
        <v>0</v>
      </c>
      <c r="M40" s="2681">
        <f t="shared" ref="M40:M46" si="32">SUM(C40,H40)</f>
        <v>0</v>
      </c>
      <c r="N40" s="186">
        <f t="shared" ref="N40:N46" si="33">SUM(D40,I40)</f>
        <v>0</v>
      </c>
      <c r="O40" s="2681">
        <v>0</v>
      </c>
      <c r="P40" s="186">
        <v>0</v>
      </c>
      <c r="Q40" s="186">
        <v>0</v>
      </c>
      <c r="R40" s="186">
        <f t="shared" ref="R40:R46" si="34">SUM(O40:Q40)</f>
        <v>0</v>
      </c>
      <c r="S40" s="186">
        <f t="shared" si="22"/>
        <v>0</v>
      </c>
      <c r="T40" s="186">
        <f t="shared" si="23"/>
        <v>0</v>
      </c>
      <c r="U40" s="2697">
        <f t="shared" ref="U40:U46" si="35">SUM(M40:N40,R40:T40)</f>
        <v>0</v>
      </c>
      <c r="V40" s="2681"/>
      <c r="W40" s="186">
        <v>0</v>
      </c>
      <c r="X40" s="186">
        <v>0</v>
      </c>
      <c r="Y40" s="186">
        <v>0</v>
      </c>
      <c r="Z40" s="2682">
        <f t="shared" si="24"/>
        <v>0</v>
      </c>
      <c r="AA40" s="2681">
        <v>0</v>
      </c>
      <c r="AB40" s="186">
        <v>0</v>
      </c>
      <c r="AC40" s="186">
        <v>0</v>
      </c>
      <c r="AD40" s="186">
        <v>0</v>
      </c>
      <c r="AE40" s="2682">
        <f t="shared" si="25"/>
        <v>0</v>
      </c>
      <c r="AF40" s="2681">
        <f t="shared" ref="AF40:AF46" si="36">SUM(V40,AA40)</f>
        <v>0</v>
      </c>
      <c r="AG40" s="186">
        <f t="shared" ref="AG40:AG46" si="37">SUM(W40,AB40)</f>
        <v>0</v>
      </c>
      <c r="AH40" s="186">
        <f t="shared" si="26"/>
        <v>0</v>
      </c>
      <c r="AI40" s="186">
        <f t="shared" si="27"/>
        <v>0</v>
      </c>
      <c r="AJ40" s="2697">
        <f t="shared" si="28"/>
        <v>0</v>
      </c>
      <c r="AK40" s="2704">
        <f t="shared" si="29"/>
        <v>0</v>
      </c>
      <c r="AL40" s="199"/>
      <c r="AM40" s="422">
        <v>0</v>
      </c>
      <c r="AN40" s="2762">
        <f t="shared" si="30"/>
        <v>0</v>
      </c>
      <c r="AO40" s="1060"/>
      <c r="AP40" s="2763">
        <f t="shared" si="31"/>
        <v>0</v>
      </c>
    </row>
    <row r="41" spans="1:42" s="66" customFormat="1" ht="15" hidden="1" customHeight="1" x14ac:dyDescent="0.2">
      <c r="A41" s="789" t="s">
        <v>460</v>
      </c>
      <c r="B41" s="2680">
        <v>31012</v>
      </c>
      <c r="C41" s="2681"/>
      <c r="D41" s="186">
        <v>0</v>
      </c>
      <c r="E41" s="186">
        <v>0</v>
      </c>
      <c r="F41" s="186">
        <v>0</v>
      </c>
      <c r="G41" s="2682">
        <f t="shared" si="20"/>
        <v>0</v>
      </c>
      <c r="H41" s="2681">
        <v>0</v>
      </c>
      <c r="I41" s="186">
        <v>0</v>
      </c>
      <c r="J41" s="186">
        <v>0</v>
      </c>
      <c r="K41" s="186">
        <v>0</v>
      </c>
      <c r="L41" s="2682">
        <f t="shared" si="21"/>
        <v>0</v>
      </c>
      <c r="M41" s="2681">
        <f t="shared" si="32"/>
        <v>0</v>
      </c>
      <c r="N41" s="186">
        <f t="shared" si="33"/>
        <v>0</v>
      </c>
      <c r="O41" s="2681">
        <v>0</v>
      </c>
      <c r="P41" s="186">
        <v>0</v>
      </c>
      <c r="Q41" s="186">
        <v>0</v>
      </c>
      <c r="R41" s="186">
        <f t="shared" si="34"/>
        <v>0</v>
      </c>
      <c r="S41" s="186">
        <f t="shared" si="22"/>
        <v>0</v>
      </c>
      <c r="T41" s="186">
        <f t="shared" si="23"/>
        <v>0</v>
      </c>
      <c r="U41" s="2697">
        <f t="shared" si="35"/>
        <v>0</v>
      </c>
      <c r="V41" s="2681"/>
      <c r="W41" s="186">
        <v>0</v>
      </c>
      <c r="X41" s="186">
        <v>0</v>
      </c>
      <c r="Y41" s="186">
        <v>0</v>
      </c>
      <c r="Z41" s="2682">
        <f t="shared" si="24"/>
        <v>0</v>
      </c>
      <c r="AA41" s="2681">
        <v>0</v>
      </c>
      <c r="AB41" s="186">
        <v>0</v>
      </c>
      <c r="AC41" s="186">
        <v>0</v>
      </c>
      <c r="AD41" s="186">
        <v>0</v>
      </c>
      <c r="AE41" s="2682">
        <f t="shared" si="25"/>
        <v>0</v>
      </c>
      <c r="AF41" s="2681">
        <f t="shared" si="36"/>
        <v>0</v>
      </c>
      <c r="AG41" s="186">
        <f t="shared" si="37"/>
        <v>0</v>
      </c>
      <c r="AH41" s="186">
        <f t="shared" si="26"/>
        <v>0</v>
      </c>
      <c r="AI41" s="186">
        <f t="shared" si="27"/>
        <v>0</v>
      </c>
      <c r="AJ41" s="2697">
        <f t="shared" si="28"/>
        <v>0</v>
      </c>
      <c r="AK41" s="2704">
        <f t="shared" si="29"/>
        <v>0</v>
      </c>
      <c r="AL41" s="199"/>
      <c r="AM41" s="422">
        <v>0</v>
      </c>
      <c r="AN41" s="2762">
        <f t="shared" si="30"/>
        <v>0</v>
      </c>
      <c r="AO41" s="1060"/>
      <c r="AP41" s="2763">
        <f t="shared" si="31"/>
        <v>0</v>
      </c>
    </row>
    <row r="42" spans="1:42" s="66" customFormat="1" ht="15" hidden="1" customHeight="1" x14ac:dyDescent="0.2">
      <c r="A42" s="789" t="s">
        <v>461</v>
      </c>
      <c r="B42" s="2680">
        <v>31003</v>
      </c>
      <c r="C42" s="2681"/>
      <c r="D42" s="186">
        <v>0</v>
      </c>
      <c r="E42" s="186">
        <v>0</v>
      </c>
      <c r="F42" s="186">
        <v>0</v>
      </c>
      <c r="G42" s="2682">
        <f t="shared" si="20"/>
        <v>0</v>
      </c>
      <c r="H42" s="2681">
        <v>0</v>
      </c>
      <c r="I42" s="186">
        <v>0</v>
      </c>
      <c r="J42" s="186">
        <v>0</v>
      </c>
      <c r="K42" s="186">
        <v>0</v>
      </c>
      <c r="L42" s="2682">
        <f t="shared" si="21"/>
        <v>0</v>
      </c>
      <c r="M42" s="2681">
        <f t="shared" si="32"/>
        <v>0</v>
      </c>
      <c r="N42" s="186">
        <f t="shared" si="33"/>
        <v>0</v>
      </c>
      <c r="O42" s="2681">
        <v>0</v>
      </c>
      <c r="P42" s="186">
        <v>0</v>
      </c>
      <c r="Q42" s="186">
        <v>0</v>
      </c>
      <c r="R42" s="186">
        <f t="shared" si="34"/>
        <v>0</v>
      </c>
      <c r="S42" s="186">
        <f t="shared" si="22"/>
        <v>0</v>
      </c>
      <c r="T42" s="186">
        <f t="shared" si="23"/>
        <v>0</v>
      </c>
      <c r="U42" s="2697">
        <f t="shared" si="35"/>
        <v>0</v>
      </c>
      <c r="V42" s="2681"/>
      <c r="W42" s="186">
        <v>0</v>
      </c>
      <c r="X42" s="186">
        <v>0</v>
      </c>
      <c r="Y42" s="186">
        <v>0</v>
      </c>
      <c r="Z42" s="2682">
        <f t="shared" si="24"/>
        <v>0</v>
      </c>
      <c r="AA42" s="2681">
        <v>0</v>
      </c>
      <c r="AB42" s="186">
        <v>0</v>
      </c>
      <c r="AC42" s="186">
        <v>0</v>
      </c>
      <c r="AD42" s="186">
        <v>0</v>
      </c>
      <c r="AE42" s="2682">
        <f t="shared" si="25"/>
        <v>0</v>
      </c>
      <c r="AF42" s="2681">
        <f t="shared" si="36"/>
        <v>0</v>
      </c>
      <c r="AG42" s="186">
        <f t="shared" si="37"/>
        <v>0</v>
      </c>
      <c r="AH42" s="186">
        <f t="shared" si="26"/>
        <v>0</v>
      </c>
      <c r="AI42" s="186">
        <f t="shared" si="27"/>
        <v>0</v>
      </c>
      <c r="AJ42" s="2697">
        <f t="shared" si="28"/>
        <v>0</v>
      </c>
      <c r="AK42" s="2704">
        <f t="shared" si="29"/>
        <v>0</v>
      </c>
      <c r="AL42" s="199"/>
      <c r="AM42" s="422">
        <v>0</v>
      </c>
      <c r="AN42" s="2762">
        <f t="shared" si="30"/>
        <v>0</v>
      </c>
      <c r="AO42" s="1060"/>
      <c r="AP42" s="2763">
        <f t="shared" si="31"/>
        <v>0</v>
      </c>
    </row>
    <row r="43" spans="1:42" s="66" customFormat="1" ht="15" hidden="1" customHeight="1" x14ac:dyDescent="0.2">
      <c r="A43" s="789" t="s">
        <v>2119</v>
      </c>
      <c r="B43" s="2680">
        <v>31015</v>
      </c>
      <c r="C43" s="2681"/>
      <c r="D43" s="186">
        <v>0</v>
      </c>
      <c r="E43" s="186">
        <v>0</v>
      </c>
      <c r="F43" s="186">
        <v>0</v>
      </c>
      <c r="G43" s="2682">
        <f t="shared" si="20"/>
        <v>0</v>
      </c>
      <c r="H43" s="2681">
        <v>0</v>
      </c>
      <c r="I43" s="186">
        <v>0</v>
      </c>
      <c r="J43" s="186">
        <v>0</v>
      </c>
      <c r="K43" s="186">
        <v>0</v>
      </c>
      <c r="L43" s="2682">
        <f t="shared" si="21"/>
        <v>0</v>
      </c>
      <c r="M43" s="2681">
        <f t="shared" si="32"/>
        <v>0</v>
      </c>
      <c r="N43" s="186">
        <f t="shared" si="33"/>
        <v>0</v>
      </c>
      <c r="O43" s="2681">
        <v>0</v>
      </c>
      <c r="P43" s="186">
        <v>0</v>
      </c>
      <c r="Q43" s="186">
        <v>0</v>
      </c>
      <c r="R43" s="186">
        <f t="shared" si="34"/>
        <v>0</v>
      </c>
      <c r="S43" s="186">
        <f t="shared" si="22"/>
        <v>0</v>
      </c>
      <c r="T43" s="186">
        <f t="shared" si="23"/>
        <v>0</v>
      </c>
      <c r="U43" s="2697">
        <f t="shared" si="35"/>
        <v>0</v>
      </c>
      <c r="V43" s="2681"/>
      <c r="W43" s="186">
        <v>0</v>
      </c>
      <c r="X43" s="186">
        <v>0</v>
      </c>
      <c r="Y43" s="186">
        <v>0</v>
      </c>
      <c r="Z43" s="2682">
        <f t="shared" si="24"/>
        <v>0</v>
      </c>
      <c r="AA43" s="2681">
        <v>0</v>
      </c>
      <c r="AB43" s="186">
        <v>0</v>
      </c>
      <c r="AC43" s="186">
        <v>0</v>
      </c>
      <c r="AD43" s="186">
        <v>0</v>
      </c>
      <c r="AE43" s="2682">
        <f t="shared" si="25"/>
        <v>0</v>
      </c>
      <c r="AF43" s="2681">
        <f t="shared" si="36"/>
        <v>0</v>
      </c>
      <c r="AG43" s="186">
        <f t="shared" si="37"/>
        <v>0</v>
      </c>
      <c r="AH43" s="186">
        <f t="shared" si="26"/>
        <v>0</v>
      </c>
      <c r="AI43" s="186">
        <f t="shared" si="27"/>
        <v>0</v>
      </c>
      <c r="AJ43" s="2697">
        <f t="shared" si="28"/>
        <v>0</v>
      </c>
      <c r="AK43" s="2704">
        <f t="shared" si="29"/>
        <v>0</v>
      </c>
      <c r="AL43" s="199"/>
      <c r="AM43" s="422">
        <v>0</v>
      </c>
      <c r="AN43" s="2762">
        <f t="shared" si="30"/>
        <v>0</v>
      </c>
      <c r="AO43" s="1060"/>
      <c r="AP43" s="2763">
        <f t="shared" si="31"/>
        <v>0</v>
      </c>
    </row>
    <row r="44" spans="1:42" s="66" customFormat="1" ht="15" hidden="1" customHeight="1" x14ac:dyDescent="0.2">
      <c r="A44" s="789" t="s">
        <v>462</v>
      </c>
      <c r="B44" s="2680">
        <v>31009</v>
      </c>
      <c r="C44" s="2681"/>
      <c r="D44" s="186">
        <v>0</v>
      </c>
      <c r="E44" s="186">
        <v>0</v>
      </c>
      <c r="F44" s="186">
        <v>0</v>
      </c>
      <c r="G44" s="2682">
        <f t="shared" si="20"/>
        <v>0</v>
      </c>
      <c r="H44" s="2681">
        <v>0</v>
      </c>
      <c r="I44" s="186">
        <v>0</v>
      </c>
      <c r="J44" s="186">
        <v>0</v>
      </c>
      <c r="K44" s="186">
        <v>0</v>
      </c>
      <c r="L44" s="2682">
        <f t="shared" si="21"/>
        <v>0</v>
      </c>
      <c r="M44" s="2681">
        <f t="shared" si="32"/>
        <v>0</v>
      </c>
      <c r="N44" s="186">
        <f t="shared" si="33"/>
        <v>0</v>
      </c>
      <c r="O44" s="2681">
        <v>0</v>
      </c>
      <c r="P44" s="186">
        <v>0</v>
      </c>
      <c r="Q44" s="186">
        <v>0</v>
      </c>
      <c r="R44" s="186">
        <f t="shared" si="34"/>
        <v>0</v>
      </c>
      <c r="S44" s="186">
        <f t="shared" si="22"/>
        <v>0</v>
      </c>
      <c r="T44" s="186">
        <f t="shared" si="23"/>
        <v>0</v>
      </c>
      <c r="U44" s="2697">
        <f t="shared" si="35"/>
        <v>0</v>
      </c>
      <c r="V44" s="2681"/>
      <c r="W44" s="186">
        <v>0</v>
      </c>
      <c r="X44" s="186">
        <v>0</v>
      </c>
      <c r="Y44" s="186">
        <v>0</v>
      </c>
      <c r="Z44" s="2682">
        <f t="shared" si="24"/>
        <v>0</v>
      </c>
      <c r="AA44" s="2681">
        <v>0</v>
      </c>
      <c r="AB44" s="186">
        <v>0</v>
      </c>
      <c r="AC44" s="186">
        <v>0</v>
      </c>
      <c r="AD44" s="186">
        <v>0</v>
      </c>
      <c r="AE44" s="2682">
        <f t="shared" si="25"/>
        <v>0</v>
      </c>
      <c r="AF44" s="2681">
        <f t="shared" si="36"/>
        <v>0</v>
      </c>
      <c r="AG44" s="186">
        <f t="shared" si="37"/>
        <v>0</v>
      </c>
      <c r="AH44" s="186">
        <f t="shared" si="26"/>
        <v>0</v>
      </c>
      <c r="AI44" s="186">
        <f t="shared" si="27"/>
        <v>0</v>
      </c>
      <c r="AJ44" s="2697">
        <f t="shared" si="28"/>
        <v>0</v>
      </c>
      <c r="AK44" s="2704">
        <f t="shared" si="29"/>
        <v>0</v>
      </c>
      <c r="AL44" s="199"/>
      <c r="AM44" s="422">
        <v>0</v>
      </c>
      <c r="AN44" s="2762">
        <f t="shared" si="30"/>
        <v>0</v>
      </c>
      <c r="AO44" s="1060"/>
      <c r="AP44" s="2763">
        <f t="shared" si="31"/>
        <v>0</v>
      </c>
    </row>
    <row r="45" spans="1:42" s="66" customFormat="1" ht="15" hidden="1" customHeight="1" x14ac:dyDescent="0.2">
      <c r="A45" s="789" t="s">
        <v>463</v>
      </c>
      <c r="B45" s="2680"/>
      <c r="C45" s="2681"/>
      <c r="D45" s="186">
        <v>0</v>
      </c>
      <c r="E45" s="186">
        <v>0</v>
      </c>
      <c r="F45" s="186">
        <v>0</v>
      </c>
      <c r="G45" s="2682">
        <f t="shared" si="20"/>
        <v>0</v>
      </c>
      <c r="H45" s="2681">
        <v>0</v>
      </c>
      <c r="I45" s="186">
        <v>0</v>
      </c>
      <c r="J45" s="186">
        <v>0</v>
      </c>
      <c r="K45" s="186">
        <v>0</v>
      </c>
      <c r="L45" s="2682">
        <f t="shared" si="21"/>
        <v>0</v>
      </c>
      <c r="M45" s="2681">
        <f t="shared" si="32"/>
        <v>0</v>
      </c>
      <c r="N45" s="186">
        <f t="shared" si="33"/>
        <v>0</v>
      </c>
      <c r="O45" s="2681">
        <v>0</v>
      </c>
      <c r="P45" s="186">
        <v>0</v>
      </c>
      <c r="Q45" s="186">
        <v>0</v>
      </c>
      <c r="R45" s="186">
        <f t="shared" si="34"/>
        <v>0</v>
      </c>
      <c r="S45" s="186">
        <f t="shared" si="22"/>
        <v>0</v>
      </c>
      <c r="T45" s="186">
        <f t="shared" si="23"/>
        <v>0</v>
      </c>
      <c r="U45" s="2697">
        <f t="shared" si="35"/>
        <v>0</v>
      </c>
      <c r="V45" s="2681"/>
      <c r="W45" s="186">
        <v>0</v>
      </c>
      <c r="X45" s="186">
        <v>0</v>
      </c>
      <c r="Y45" s="186">
        <v>0</v>
      </c>
      <c r="Z45" s="2682">
        <f t="shared" si="24"/>
        <v>0</v>
      </c>
      <c r="AA45" s="2681">
        <v>0</v>
      </c>
      <c r="AB45" s="186">
        <v>0</v>
      </c>
      <c r="AC45" s="186">
        <v>0</v>
      </c>
      <c r="AD45" s="186">
        <v>0</v>
      </c>
      <c r="AE45" s="2682">
        <f t="shared" si="25"/>
        <v>0</v>
      </c>
      <c r="AF45" s="2681">
        <f t="shared" si="36"/>
        <v>0</v>
      </c>
      <c r="AG45" s="186">
        <f t="shared" si="37"/>
        <v>0</v>
      </c>
      <c r="AH45" s="186">
        <f t="shared" si="26"/>
        <v>0</v>
      </c>
      <c r="AI45" s="186">
        <f t="shared" si="27"/>
        <v>0</v>
      </c>
      <c r="AJ45" s="2697">
        <f t="shared" si="28"/>
        <v>0</v>
      </c>
      <c r="AK45" s="2704">
        <f t="shared" si="29"/>
        <v>0</v>
      </c>
      <c r="AL45" s="199"/>
      <c r="AM45" s="422">
        <v>0</v>
      </c>
      <c r="AN45" s="2762">
        <f t="shared" si="30"/>
        <v>0</v>
      </c>
      <c r="AO45" s="1060"/>
      <c r="AP45" s="2763">
        <f t="shared" si="31"/>
        <v>0</v>
      </c>
    </row>
    <row r="46" spans="1:42" s="66" customFormat="1" ht="15" hidden="1" customHeight="1" x14ac:dyDescent="0.2">
      <c r="A46" s="789" t="s">
        <v>2120</v>
      </c>
      <c r="B46" s="2680">
        <v>31010</v>
      </c>
      <c r="C46" s="2681"/>
      <c r="D46" s="186">
        <v>0</v>
      </c>
      <c r="E46" s="186">
        <v>0</v>
      </c>
      <c r="F46" s="186">
        <v>0</v>
      </c>
      <c r="G46" s="2682">
        <f t="shared" si="20"/>
        <v>0</v>
      </c>
      <c r="H46" s="2681">
        <v>0</v>
      </c>
      <c r="I46" s="186">
        <v>0</v>
      </c>
      <c r="J46" s="186">
        <v>0</v>
      </c>
      <c r="K46" s="186">
        <v>0</v>
      </c>
      <c r="L46" s="2682">
        <f t="shared" si="21"/>
        <v>0</v>
      </c>
      <c r="M46" s="2681">
        <f t="shared" si="32"/>
        <v>0</v>
      </c>
      <c r="N46" s="186">
        <f t="shared" si="33"/>
        <v>0</v>
      </c>
      <c r="O46" s="2681">
        <v>0</v>
      </c>
      <c r="P46" s="186">
        <v>0</v>
      </c>
      <c r="Q46" s="186">
        <v>0</v>
      </c>
      <c r="R46" s="186">
        <f t="shared" si="34"/>
        <v>0</v>
      </c>
      <c r="S46" s="186">
        <f t="shared" si="22"/>
        <v>0</v>
      </c>
      <c r="T46" s="186">
        <f t="shared" si="23"/>
        <v>0</v>
      </c>
      <c r="U46" s="2697">
        <f t="shared" si="35"/>
        <v>0</v>
      </c>
      <c r="V46" s="2681"/>
      <c r="W46" s="186">
        <v>0</v>
      </c>
      <c r="X46" s="186">
        <v>0</v>
      </c>
      <c r="Y46" s="186">
        <v>0</v>
      </c>
      <c r="Z46" s="2682">
        <f t="shared" si="24"/>
        <v>0</v>
      </c>
      <c r="AA46" s="2681">
        <v>0</v>
      </c>
      <c r="AB46" s="186">
        <v>0</v>
      </c>
      <c r="AC46" s="186">
        <v>0</v>
      </c>
      <c r="AD46" s="186">
        <v>0</v>
      </c>
      <c r="AE46" s="2682">
        <f t="shared" si="25"/>
        <v>0</v>
      </c>
      <c r="AF46" s="2681">
        <f t="shared" si="36"/>
        <v>0</v>
      </c>
      <c r="AG46" s="186">
        <f t="shared" si="37"/>
        <v>0</v>
      </c>
      <c r="AH46" s="186">
        <f t="shared" si="26"/>
        <v>0</v>
      </c>
      <c r="AI46" s="186">
        <f t="shared" si="27"/>
        <v>0</v>
      </c>
      <c r="AJ46" s="2697">
        <f t="shared" si="28"/>
        <v>0</v>
      </c>
      <c r="AK46" s="2704">
        <f t="shared" si="29"/>
        <v>0</v>
      </c>
      <c r="AL46" s="199"/>
      <c r="AM46" s="422">
        <v>0</v>
      </c>
      <c r="AN46" s="2762">
        <f t="shared" si="30"/>
        <v>0</v>
      </c>
      <c r="AO46" s="1060"/>
      <c r="AP46" s="2763">
        <f t="shared" si="31"/>
        <v>0</v>
      </c>
    </row>
    <row r="47" spans="1:42" s="66" customFormat="1" ht="15" hidden="1" customHeight="1" x14ac:dyDescent="0.2">
      <c r="A47" s="789" t="s">
        <v>2125</v>
      </c>
      <c r="B47" s="2680" t="s">
        <v>2124</v>
      </c>
      <c r="C47" s="2681"/>
      <c r="D47" s="186">
        <v>0</v>
      </c>
      <c r="E47" s="186">
        <v>0</v>
      </c>
      <c r="F47" s="186">
        <v>0</v>
      </c>
      <c r="G47" s="2682">
        <f t="shared" si="20"/>
        <v>0</v>
      </c>
      <c r="H47" s="2681">
        <v>0</v>
      </c>
      <c r="I47" s="186">
        <v>0</v>
      </c>
      <c r="J47" s="186">
        <v>0</v>
      </c>
      <c r="K47" s="186">
        <v>0</v>
      </c>
      <c r="L47" s="2682">
        <f>SUM(H47:K47)</f>
        <v>0</v>
      </c>
      <c r="M47" s="2681">
        <f>SUM(C47,H47)</f>
        <v>0</v>
      </c>
      <c r="N47" s="186">
        <f>SUM(D47,I47)</f>
        <v>0</v>
      </c>
      <c r="O47" s="2681">
        <v>0</v>
      </c>
      <c r="P47" s="186">
        <v>0</v>
      </c>
      <c r="Q47" s="186">
        <v>0</v>
      </c>
      <c r="R47" s="186">
        <f>SUM(O47:Q47)</f>
        <v>0</v>
      </c>
      <c r="S47" s="186">
        <f>SUM(E47,J47)</f>
        <v>0</v>
      </c>
      <c r="T47" s="186">
        <f>SUM(F47,K47)</f>
        <v>0</v>
      </c>
      <c r="U47" s="2697">
        <f>SUM(M47:N47,R47:T47)</f>
        <v>0</v>
      </c>
      <c r="V47" s="2681">
        <v>0</v>
      </c>
      <c r="W47" s="186">
        <v>0</v>
      </c>
      <c r="X47" s="186">
        <v>0</v>
      </c>
      <c r="Y47" s="186">
        <v>0</v>
      </c>
      <c r="Z47" s="2682">
        <f>SUM(V47:Y47)</f>
        <v>0</v>
      </c>
      <c r="AA47" s="2681">
        <v>0</v>
      </c>
      <c r="AB47" s="186">
        <v>0</v>
      </c>
      <c r="AC47" s="186">
        <v>0</v>
      </c>
      <c r="AD47" s="186">
        <v>0</v>
      </c>
      <c r="AE47" s="2682">
        <f>SUM(AA47:AD47)</f>
        <v>0</v>
      </c>
      <c r="AF47" s="2681">
        <f>SUM(V47,AA47)</f>
        <v>0</v>
      </c>
      <c r="AG47" s="186">
        <f>SUM(W47,AB47)</f>
        <v>0</v>
      </c>
      <c r="AH47" s="186">
        <f>SUM(X47,AC47)</f>
        <v>0</v>
      </c>
      <c r="AI47" s="186">
        <f>SUM(Y47,AD47)</f>
        <v>0</v>
      </c>
      <c r="AJ47" s="2697">
        <f>SUM(AF47:AI47)</f>
        <v>0</v>
      </c>
      <c r="AK47" s="2704">
        <f>+U47-AJ47</f>
        <v>0</v>
      </c>
      <c r="AL47" s="199"/>
      <c r="AM47" s="424">
        <v>0</v>
      </c>
      <c r="AN47" s="2762">
        <f t="shared" si="30"/>
        <v>0</v>
      </c>
      <c r="AO47" s="1060"/>
      <c r="AP47" s="2763">
        <f t="shared" si="31"/>
        <v>0</v>
      </c>
    </row>
    <row r="48" spans="1:42" s="66" customFormat="1" ht="15" hidden="1" customHeight="1" x14ac:dyDescent="0.2">
      <c r="A48" s="789"/>
      <c r="B48" s="2680"/>
      <c r="C48" s="2681"/>
      <c r="D48" s="186"/>
      <c r="E48" s="186"/>
      <c r="F48" s="186"/>
      <c r="G48" s="2682"/>
      <c r="H48" s="2681"/>
      <c r="I48" s="186"/>
      <c r="J48" s="186"/>
      <c r="K48" s="186"/>
      <c r="L48" s="2682"/>
      <c r="M48" s="2681"/>
      <c r="N48" s="186"/>
      <c r="O48" s="2681"/>
      <c r="P48" s="186"/>
      <c r="Q48" s="186"/>
      <c r="R48" s="186"/>
      <c r="S48" s="186"/>
      <c r="T48" s="186"/>
      <c r="U48" s="2697"/>
      <c r="V48" s="2681"/>
      <c r="W48" s="186"/>
      <c r="X48" s="186"/>
      <c r="Y48" s="186"/>
      <c r="Z48" s="2682"/>
      <c r="AA48" s="2681"/>
      <c r="AB48" s="186"/>
      <c r="AC48" s="186"/>
      <c r="AD48" s="186"/>
      <c r="AE48" s="2682"/>
      <c r="AF48" s="2681"/>
      <c r="AG48" s="186"/>
      <c r="AH48" s="186"/>
      <c r="AI48" s="186"/>
      <c r="AJ48" s="2697"/>
      <c r="AK48" s="2704"/>
      <c r="AL48" s="199"/>
      <c r="AM48" s="424"/>
      <c r="AN48" s="2762">
        <f t="shared" si="30"/>
        <v>0</v>
      </c>
      <c r="AO48" s="1060"/>
      <c r="AP48" s="2763">
        <f t="shared" si="31"/>
        <v>0</v>
      </c>
    </row>
    <row r="49" spans="1:42" s="66" customFormat="1" ht="15" hidden="1" customHeight="1" x14ac:dyDescent="0.2">
      <c r="A49" s="2689" t="s">
        <v>464</v>
      </c>
      <c r="B49" s="2690"/>
      <c r="C49" s="2687"/>
      <c r="D49" s="689"/>
      <c r="E49" s="689"/>
      <c r="F49" s="689"/>
      <c r="G49" s="2688"/>
      <c r="H49" s="2687"/>
      <c r="I49" s="689"/>
      <c r="J49" s="689"/>
      <c r="K49" s="689"/>
      <c r="L49" s="2688"/>
      <c r="M49" s="2687"/>
      <c r="N49" s="689"/>
      <c r="O49" s="2687"/>
      <c r="P49" s="689"/>
      <c r="Q49" s="689"/>
      <c r="R49" s="689"/>
      <c r="S49" s="689"/>
      <c r="T49" s="689"/>
      <c r="U49" s="2700"/>
      <c r="V49" s="2687"/>
      <c r="W49" s="689"/>
      <c r="X49" s="689"/>
      <c r="Y49" s="689"/>
      <c r="Z49" s="2688"/>
      <c r="AA49" s="2687"/>
      <c r="AB49" s="689"/>
      <c r="AC49" s="689"/>
      <c r="AD49" s="689"/>
      <c r="AE49" s="2688"/>
      <c r="AF49" s="2687"/>
      <c r="AG49" s="689"/>
      <c r="AH49" s="689"/>
      <c r="AI49" s="689"/>
      <c r="AJ49" s="2700"/>
      <c r="AK49" s="2706"/>
      <c r="AL49" s="57"/>
      <c r="AM49" s="439"/>
      <c r="AN49" s="2762">
        <f t="shared" si="30"/>
        <v>0</v>
      </c>
      <c r="AO49" s="1060"/>
      <c r="AP49" s="2763">
        <f t="shared" si="31"/>
        <v>0</v>
      </c>
    </row>
    <row r="50" spans="1:42" s="66" customFormat="1" ht="15" hidden="1" customHeight="1" x14ac:dyDescent="0.2">
      <c r="A50" s="789" t="s">
        <v>460</v>
      </c>
      <c r="B50" s="2680"/>
      <c r="C50" s="2681">
        <v>0</v>
      </c>
      <c r="D50" s="186">
        <v>0</v>
      </c>
      <c r="E50" s="186">
        <v>0</v>
      </c>
      <c r="F50" s="186">
        <v>0</v>
      </c>
      <c r="G50" s="2682">
        <f>SUM(C50:F50)</f>
        <v>0</v>
      </c>
      <c r="H50" s="2681">
        <v>0</v>
      </c>
      <c r="I50" s="186">
        <v>0</v>
      </c>
      <c r="J50" s="186">
        <v>0</v>
      </c>
      <c r="K50" s="186">
        <v>0</v>
      </c>
      <c r="L50" s="2682">
        <f>SUM(H50:K50)</f>
        <v>0</v>
      </c>
      <c r="M50" s="2681">
        <f t="shared" ref="M50:N53" si="38">SUM(C50,H50)</f>
        <v>0</v>
      </c>
      <c r="N50" s="186">
        <f t="shared" si="38"/>
        <v>0</v>
      </c>
      <c r="O50" s="2681">
        <v>0</v>
      </c>
      <c r="P50" s="186">
        <v>0</v>
      </c>
      <c r="Q50" s="186">
        <v>0</v>
      </c>
      <c r="R50" s="186">
        <f>SUM(O50:Q50)</f>
        <v>0</v>
      </c>
      <c r="S50" s="186">
        <f t="shared" ref="S50:T53" si="39">SUM(E50,J50)</f>
        <v>0</v>
      </c>
      <c r="T50" s="186">
        <f t="shared" si="39"/>
        <v>0</v>
      </c>
      <c r="U50" s="2697">
        <f>SUM(M50:N50,R50:T50)</f>
        <v>0</v>
      </c>
      <c r="V50" s="2681">
        <v>0</v>
      </c>
      <c r="W50" s="186">
        <v>0</v>
      </c>
      <c r="X50" s="186">
        <v>0</v>
      </c>
      <c r="Y50" s="186">
        <v>0</v>
      </c>
      <c r="Z50" s="2682">
        <f>SUM(V50:Y50)</f>
        <v>0</v>
      </c>
      <c r="AA50" s="2681">
        <v>0</v>
      </c>
      <c r="AB50" s="186">
        <v>0</v>
      </c>
      <c r="AC50" s="186">
        <v>0</v>
      </c>
      <c r="AD50" s="186">
        <v>0</v>
      </c>
      <c r="AE50" s="2682">
        <f>SUM(AA50:AD50)</f>
        <v>0</v>
      </c>
      <c r="AF50" s="2681">
        <f t="shared" ref="AF50:AI53" si="40">SUM(V50,AA50)</f>
        <v>0</v>
      </c>
      <c r="AG50" s="186">
        <f t="shared" si="40"/>
        <v>0</v>
      </c>
      <c r="AH50" s="186">
        <f t="shared" si="40"/>
        <v>0</v>
      </c>
      <c r="AI50" s="186">
        <f t="shared" si="40"/>
        <v>0</v>
      </c>
      <c r="AJ50" s="2697">
        <f>SUM(AF50:AI50)</f>
        <v>0</v>
      </c>
      <c r="AK50" s="2704">
        <f>+U50-AJ50</f>
        <v>0</v>
      </c>
      <c r="AL50" s="199"/>
      <c r="AM50" s="424">
        <v>0</v>
      </c>
      <c r="AN50" s="2762">
        <f t="shared" si="30"/>
        <v>0</v>
      </c>
      <c r="AO50" s="1060"/>
      <c r="AP50" s="2763">
        <f t="shared" si="31"/>
        <v>0</v>
      </c>
    </row>
    <row r="51" spans="1:42" s="66" customFormat="1" ht="15" hidden="1" customHeight="1" x14ac:dyDescent="0.2">
      <c r="A51" s="789" t="s">
        <v>461</v>
      </c>
      <c r="B51" s="2680"/>
      <c r="C51" s="2681">
        <v>0</v>
      </c>
      <c r="D51" s="186">
        <v>0</v>
      </c>
      <c r="E51" s="186">
        <v>0</v>
      </c>
      <c r="F51" s="186">
        <v>0</v>
      </c>
      <c r="G51" s="2682">
        <f>SUM(C51:F51)</f>
        <v>0</v>
      </c>
      <c r="H51" s="2681">
        <v>0</v>
      </c>
      <c r="I51" s="186">
        <v>0</v>
      </c>
      <c r="J51" s="186">
        <v>0</v>
      </c>
      <c r="K51" s="186">
        <v>0</v>
      </c>
      <c r="L51" s="2682">
        <f>SUM(H51:K51)</f>
        <v>0</v>
      </c>
      <c r="M51" s="2681">
        <f t="shared" si="38"/>
        <v>0</v>
      </c>
      <c r="N51" s="186">
        <f t="shared" si="38"/>
        <v>0</v>
      </c>
      <c r="O51" s="2681">
        <v>0</v>
      </c>
      <c r="P51" s="186">
        <v>0</v>
      </c>
      <c r="Q51" s="186">
        <v>0</v>
      </c>
      <c r="R51" s="186">
        <f>SUM(O51:Q51)</f>
        <v>0</v>
      </c>
      <c r="S51" s="186">
        <f t="shared" si="39"/>
        <v>0</v>
      </c>
      <c r="T51" s="186">
        <f t="shared" si="39"/>
        <v>0</v>
      </c>
      <c r="U51" s="2697">
        <f>SUM(M51:N51,R51:T51)</f>
        <v>0</v>
      </c>
      <c r="V51" s="2681">
        <v>0</v>
      </c>
      <c r="W51" s="186">
        <v>0</v>
      </c>
      <c r="X51" s="186">
        <v>0</v>
      </c>
      <c r="Y51" s="186">
        <v>0</v>
      </c>
      <c r="Z51" s="2682">
        <f>SUM(V51:Y51)</f>
        <v>0</v>
      </c>
      <c r="AA51" s="2681">
        <v>0</v>
      </c>
      <c r="AB51" s="186">
        <v>0</v>
      </c>
      <c r="AC51" s="186">
        <v>0</v>
      </c>
      <c r="AD51" s="186">
        <v>0</v>
      </c>
      <c r="AE51" s="2682">
        <f>SUM(AA51:AD51)</f>
        <v>0</v>
      </c>
      <c r="AF51" s="2681">
        <f t="shared" si="40"/>
        <v>0</v>
      </c>
      <c r="AG51" s="186">
        <f t="shared" si="40"/>
        <v>0</v>
      </c>
      <c r="AH51" s="186">
        <f t="shared" si="40"/>
        <v>0</v>
      </c>
      <c r="AI51" s="186">
        <f t="shared" si="40"/>
        <v>0</v>
      </c>
      <c r="AJ51" s="2697">
        <f>SUM(AF51:AI51)</f>
        <v>0</v>
      </c>
      <c r="AK51" s="2704">
        <f>+U51-AJ51</f>
        <v>0</v>
      </c>
      <c r="AL51" s="199"/>
      <c r="AM51" s="424">
        <v>0</v>
      </c>
      <c r="AN51" s="2762">
        <f t="shared" si="30"/>
        <v>0</v>
      </c>
      <c r="AO51" s="1060"/>
      <c r="AP51" s="2763">
        <f t="shared" si="31"/>
        <v>0</v>
      </c>
    </row>
    <row r="52" spans="1:42" s="66" customFormat="1" ht="15" hidden="1" customHeight="1" x14ac:dyDescent="0.2">
      <c r="A52" s="789" t="s">
        <v>465</v>
      </c>
      <c r="B52" s="2680"/>
      <c r="C52" s="2681">
        <v>0</v>
      </c>
      <c r="D52" s="186">
        <v>0</v>
      </c>
      <c r="E52" s="186">
        <v>0</v>
      </c>
      <c r="F52" s="186">
        <v>0</v>
      </c>
      <c r="G52" s="2682">
        <f>SUM(C52:F52)</f>
        <v>0</v>
      </c>
      <c r="H52" s="2681">
        <v>0</v>
      </c>
      <c r="I52" s="186">
        <v>0</v>
      </c>
      <c r="J52" s="186">
        <v>0</v>
      </c>
      <c r="K52" s="186">
        <v>0</v>
      </c>
      <c r="L52" s="2682">
        <f>SUM(H52:K52)</f>
        <v>0</v>
      </c>
      <c r="M52" s="2681">
        <f t="shared" si="38"/>
        <v>0</v>
      </c>
      <c r="N52" s="186">
        <f t="shared" si="38"/>
        <v>0</v>
      </c>
      <c r="O52" s="2681">
        <v>0</v>
      </c>
      <c r="P52" s="186">
        <v>0</v>
      </c>
      <c r="Q52" s="186">
        <v>0</v>
      </c>
      <c r="R52" s="186">
        <f>SUM(O52:Q52)</f>
        <v>0</v>
      </c>
      <c r="S52" s="186">
        <f t="shared" si="39"/>
        <v>0</v>
      </c>
      <c r="T52" s="186">
        <f t="shared" si="39"/>
        <v>0</v>
      </c>
      <c r="U52" s="2697">
        <f>SUM(M52:N52,R52:T52)</f>
        <v>0</v>
      </c>
      <c r="V52" s="2681">
        <v>0</v>
      </c>
      <c r="W52" s="186">
        <v>0</v>
      </c>
      <c r="X52" s="186">
        <v>0</v>
      </c>
      <c r="Y52" s="186">
        <v>0</v>
      </c>
      <c r="Z52" s="2682">
        <f>SUM(V52:Y52)</f>
        <v>0</v>
      </c>
      <c r="AA52" s="2681">
        <v>0</v>
      </c>
      <c r="AB52" s="186">
        <v>0</v>
      </c>
      <c r="AC52" s="186">
        <v>0</v>
      </c>
      <c r="AD52" s="186">
        <v>0</v>
      </c>
      <c r="AE52" s="2682">
        <f>SUM(AA52:AD52)</f>
        <v>0</v>
      </c>
      <c r="AF52" s="2681">
        <f t="shared" si="40"/>
        <v>0</v>
      </c>
      <c r="AG52" s="186">
        <f t="shared" si="40"/>
        <v>0</v>
      </c>
      <c r="AH52" s="186">
        <f t="shared" si="40"/>
        <v>0</v>
      </c>
      <c r="AI52" s="186">
        <f t="shared" si="40"/>
        <v>0</v>
      </c>
      <c r="AJ52" s="2697">
        <f>SUM(AF52:AI52)</f>
        <v>0</v>
      </c>
      <c r="AK52" s="2704">
        <f>+U52-AJ52</f>
        <v>0</v>
      </c>
      <c r="AL52" s="199"/>
      <c r="AM52" s="424">
        <v>0</v>
      </c>
      <c r="AN52" s="2762">
        <f t="shared" si="30"/>
        <v>0</v>
      </c>
      <c r="AO52" s="1060"/>
      <c r="AP52" s="2763">
        <f t="shared" si="31"/>
        <v>0</v>
      </c>
    </row>
    <row r="53" spans="1:42" s="66" customFormat="1" ht="15" hidden="1" customHeight="1" x14ac:dyDescent="0.2">
      <c r="A53" s="789" t="s">
        <v>462</v>
      </c>
      <c r="B53" s="2680"/>
      <c r="C53" s="2681">
        <v>0</v>
      </c>
      <c r="D53" s="186">
        <v>0</v>
      </c>
      <c r="E53" s="186">
        <v>0</v>
      </c>
      <c r="F53" s="186">
        <v>0</v>
      </c>
      <c r="G53" s="2682">
        <f>SUM(C53:F53)</f>
        <v>0</v>
      </c>
      <c r="H53" s="2681">
        <v>0</v>
      </c>
      <c r="I53" s="186">
        <v>0</v>
      </c>
      <c r="J53" s="186">
        <v>0</v>
      </c>
      <c r="K53" s="186">
        <v>0</v>
      </c>
      <c r="L53" s="2682">
        <f>SUM(H53:K53)</f>
        <v>0</v>
      </c>
      <c r="M53" s="2681">
        <f t="shared" si="38"/>
        <v>0</v>
      </c>
      <c r="N53" s="186">
        <f t="shared" si="38"/>
        <v>0</v>
      </c>
      <c r="O53" s="2681">
        <v>0</v>
      </c>
      <c r="P53" s="186">
        <v>0</v>
      </c>
      <c r="Q53" s="186">
        <v>0</v>
      </c>
      <c r="R53" s="186">
        <f>SUM(O53:Q53)</f>
        <v>0</v>
      </c>
      <c r="S53" s="186">
        <f t="shared" si="39"/>
        <v>0</v>
      </c>
      <c r="T53" s="186">
        <f t="shared" si="39"/>
        <v>0</v>
      </c>
      <c r="U53" s="2697">
        <f>SUM(M53:N53,R53:T53)</f>
        <v>0</v>
      </c>
      <c r="V53" s="2681">
        <v>0</v>
      </c>
      <c r="W53" s="186">
        <v>0</v>
      </c>
      <c r="X53" s="186">
        <v>0</v>
      </c>
      <c r="Y53" s="186">
        <v>0</v>
      </c>
      <c r="Z53" s="2682">
        <f>SUM(V53:Y53)</f>
        <v>0</v>
      </c>
      <c r="AA53" s="2681">
        <v>0</v>
      </c>
      <c r="AB53" s="186">
        <v>0</v>
      </c>
      <c r="AC53" s="186">
        <v>0</v>
      </c>
      <c r="AD53" s="186">
        <v>0</v>
      </c>
      <c r="AE53" s="2682">
        <f>SUM(AA53:AD53)</f>
        <v>0</v>
      </c>
      <c r="AF53" s="2681">
        <f t="shared" si="40"/>
        <v>0</v>
      </c>
      <c r="AG53" s="186">
        <f t="shared" si="40"/>
        <v>0</v>
      </c>
      <c r="AH53" s="186">
        <f t="shared" si="40"/>
        <v>0</v>
      </c>
      <c r="AI53" s="186">
        <f t="shared" si="40"/>
        <v>0</v>
      </c>
      <c r="AJ53" s="2697">
        <f>SUM(AF53:AI53)</f>
        <v>0</v>
      </c>
      <c r="AK53" s="2704">
        <f>+U53-AJ53</f>
        <v>0</v>
      </c>
      <c r="AL53" s="199"/>
      <c r="AM53" s="424">
        <v>0</v>
      </c>
      <c r="AN53" s="2762">
        <f t="shared" si="30"/>
        <v>0</v>
      </c>
      <c r="AO53" s="1060"/>
      <c r="AP53" s="2763">
        <f t="shared" si="31"/>
        <v>0</v>
      </c>
    </row>
    <row r="54" spans="1:42" s="66" customFormat="1" ht="15" hidden="1" customHeight="1" x14ac:dyDescent="0.2">
      <c r="A54" s="789"/>
      <c r="B54" s="2680"/>
      <c r="C54" s="2681"/>
      <c r="D54" s="186"/>
      <c r="E54" s="186"/>
      <c r="F54" s="186"/>
      <c r="G54" s="2682"/>
      <c r="H54" s="2681"/>
      <c r="I54" s="186"/>
      <c r="J54" s="186"/>
      <c r="K54" s="186"/>
      <c r="L54" s="2682"/>
      <c r="M54" s="2681"/>
      <c r="N54" s="186"/>
      <c r="O54" s="2681"/>
      <c r="P54" s="186"/>
      <c r="Q54" s="186"/>
      <c r="R54" s="186"/>
      <c r="S54" s="186"/>
      <c r="T54" s="186"/>
      <c r="U54" s="2697"/>
      <c r="V54" s="2681"/>
      <c r="W54" s="186"/>
      <c r="X54" s="186"/>
      <c r="Y54" s="186"/>
      <c r="Z54" s="2682"/>
      <c r="AA54" s="2681"/>
      <c r="AB54" s="186"/>
      <c r="AC54" s="186"/>
      <c r="AD54" s="186"/>
      <c r="AE54" s="2682"/>
      <c r="AF54" s="2681"/>
      <c r="AG54" s="186"/>
      <c r="AH54" s="186"/>
      <c r="AI54" s="186"/>
      <c r="AJ54" s="2697"/>
      <c r="AK54" s="2704"/>
      <c r="AL54" s="199"/>
      <c r="AM54" s="424"/>
      <c r="AN54" s="2762">
        <f t="shared" si="30"/>
        <v>0</v>
      </c>
      <c r="AO54" s="1060"/>
      <c r="AP54" s="2763">
        <f t="shared" si="31"/>
        <v>0</v>
      </c>
    </row>
    <row r="55" spans="1:42" s="66" customFormat="1" ht="15" hidden="1" customHeight="1" x14ac:dyDescent="0.2">
      <c r="A55" s="2689" t="s">
        <v>466</v>
      </c>
      <c r="B55" s="2690"/>
      <c r="C55" s="2687"/>
      <c r="D55" s="689"/>
      <c r="E55" s="689"/>
      <c r="F55" s="689"/>
      <c r="G55" s="2688"/>
      <c r="H55" s="2687"/>
      <c r="I55" s="689"/>
      <c r="J55" s="689"/>
      <c r="K55" s="689"/>
      <c r="L55" s="2688"/>
      <c r="M55" s="2687"/>
      <c r="N55" s="689"/>
      <c r="O55" s="2687"/>
      <c r="P55" s="689"/>
      <c r="Q55" s="689"/>
      <c r="R55" s="689"/>
      <c r="S55" s="689"/>
      <c r="T55" s="689"/>
      <c r="U55" s="2700"/>
      <c r="V55" s="2687"/>
      <c r="W55" s="689"/>
      <c r="X55" s="689"/>
      <c r="Y55" s="689"/>
      <c r="Z55" s="2688"/>
      <c r="AA55" s="2687"/>
      <c r="AB55" s="689"/>
      <c r="AC55" s="689"/>
      <c r="AD55" s="689"/>
      <c r="AE55" s="2688"/>
      <c r="AF55" s="2687"/>
      <c r="AG55" s="689"/>
      <c r="AH55" s="689"/>
      <c r="AI55" s="689"/>
      <c r="AJ55" s="2700"/>
      <c r="AK55" s="2706"/>
      <c r="AL55" s="57"/>
      <c r="AM55" s="439"/>
      <c r="AN55" s="2762">
        <f t="shared" si="30"/>
        <v>0</v>
      </c>
      <c r="AO55" s="1060"/>
      <c r="AP55" s="2763">
        <f t="shared" si="31"/>
        <v>0</v>
      </c>
    </row>
    <row r="56" spans="1:42" s="66" customFormat="1" ht="15" hidden="1" customHeight="1" x14ac:dyDescent="0.2">
      <c r="A56" s="789" t="s">
        <v>689</v>
      </c>
      <c r="B56" s="2680"/>
      <c r="C56" s="2681">
        <v>0</v>
      </c>
      <c r="D56" s="186">
        <v>0</v>
      </c>
      <c r="E56" s="186">
        <v>0</v>
      </c>
      <c r="F56" s="186">
        <v>0</v>
      </c>
      <c r="G56" s="2682">
        <f>SUM(C56:F56)</f>
        <v>0</v>
      </c>
      <c r="H56" s="2681">
        <v>0</v>
      </c>
      <c r="I56" s="186">
        <v>0</v>
      </c>
      <c r="J56" s="186">
        <v>0</v>
      </c>
      <c r="K56" s="186">
        <v>0</v>
      </c>
      <c r="L56" s="2682">
        <f>SUM(H56:K56)</f>
        <v>0</v>
      </c>
      <c r="M56" s="2681">
        <f t="shared" ref="M56:N58" si="41">SUM(C56,H56)</f>
        <v>0</v>
      </c>
      <c r="N56" s="186">
        <f t="shared" si="41"/>
        <v>0</v>
      </c>
      <c r="O56" s="2681">
        <v>0</v>
      </c>
      <c r="P56" s="186">
        <v>0</v>
      </c>
      <c r="Q56" s="186">
        <v>0</v>
      </c>
      <c r="R56" s="186">
        <f>SUM(O56:Q56)</f>
        <v>0</v>
      </c>
      <c r="S56" s="186">
        <f t="shared" ref="S56:T58" si="42">SUM(E56,J56)</f>
        <v>0</v>
      </c>
      <c r="T56" s="186">
        <f t="shared" si="42"/>
        <v>0</v>
      </c>
      <c r="U56" s="2697">
        <f>SUM(M56:N56,R56:T56)</f>
        <v>0</v>
      </c>
      <c r="V56" s="2681">
        <v>0</v>
      </c>
      <c r="W56" s="186">
        <v>0</v>
      </c>
      <c r="X56" s="186">
        <v>0</v>
      </c>
      <c r="Y56" s="186">
        <v>0</v>
      </c>
      <c r="Z56" s="2682">
        <f>SUM(V56:Y56)</f>
        <v>0</v>
      </c>
      <c r="AA56" s="2681">
        <v>0</v>
      </c>
      <c r="AB56" s="186">
        <v>0</v>
      </c>
      <c r="AC56" s="186">
        <v>0</v>
      </c>
      <c r="AD56" s="186">
        <v>0</v>
      </c>
      <c r="AE56" s="2682">
        <f>SUM(AA56:AD56)</f>
        <v>0</v>
      </c>
      <c r="AF56" s="2681">
        <f t="shared" ref="AF56:AI58" si="43">SUM(V56,AA56)</f>
        <v>0</v>
      </c>
      <c r="AG56" s="186">
        <f t="shared" si="43"/>
        <v>0</v>
      </c>
      <c r="AH56" s="186">
        <f t="shared" si="43"/>
        <v>0</v>
      </c>
      <c r="AI56" s="186">
        <f t="shared" si="43"/>
        <v>0</v>
      </c>
      <c r="AJ56" s="2697">
        <f>SUM(AF56:AI56)</f>
        <v>0</v>
      </c>
      <c r="AK56" s="2704">
        <f>+U56-AJ56</f>
        <v>0</v>
      </c>
      <c r="AL56" s="199"/>
      <c r="AM56" s="424">
        <v>0</v>
      </c>
      <c r="AN56" s="2762">
        <f t="shared" si="30"/>
        <v>0</v>
      </c>
      <c r="AO56" s="1060"/>
      <c r="AP56" s="2763">
        <f t="shared" si="31"/>
        <v>0</v>
      </c>
    </row>
    <row r="57" spans="1:42" s="66" customFormat="1" ht="15" hidden="1" customHeight="1" x14ac:dyDescent="0.2">
      <c r="A57" s="789" t="s">
        <v>177</v>
      </c>
      <c r="B57" s="2680"/>
      <c r="C57" s="2681">
        <v>0</v>
      </c>
      <c r="D57" s="186">
        <v>0</v>
      </c>
      <c r="E57" s="186">
        <v>0</v>
      </c>
      <c r="F57" s="186">
        <v>0</v>
      </c>
      <c r="G57" s="2682">
        <f>SUM(C57:F57)</f>
        <v>0</v>
      </c>
      <c r="H57" s="2681">
        <v>0</v>
      </c>
      <c r="I57" s="186">
        <v>0</v>
      </c>
      <c r="J57" s="186">
        <v>0</v>
      </c>
      <c r="K57" s="186">
        <v>0</v>
      </c>
      <c r="L57" s="2682">
        <f>SUM(H57:K57)</f>
        <v>0</v>
      </c>
      <c r="M57" s="2681">
        <f t="shared" si="41"/>
        <v>0</v>
      </c>
      <c r="N57" s="186">
        <f t="shared" si="41"/>
        <v>0</v>
      </c>
      <c r="O57" s="2681">
        <v>0</v>
      </c>
      <c r="P57" s="186">
        <v>0</v>
      </c>
      <c r="Q57" s="186">
        <v>0</v>
      </c>
      <c r="R57" s="186">
        <f>SUM(O57:Q57)</f>
        <v>0</v>
      </c>
      <c r="S57" s="186">
        <f t="shared" si="42"/>
        <v>0</v>
      </c>
      <c r="T57" s="186">
        <f t="shared" si="42"/>
        <v>0</v>
      </c>
      <c r="U57" s="2697">
        <f>SUM(M57:N57,R57:T57)</f>
        <v>0</v>
      </c>
      <c r="V57" s="2681">
        <v>0</v>
      </c>
      <c r="W57" s="186">
        <v>0</v>
      </c>
      <c r="X57" s="186">
        <v>0</v>
      </c>
      <c r="Y57" s="186">
        <v>0</v>
      </c>
      <c r="Z57" s="2682">
        <f>SUM(V57:Y57)</f>
        <v>0</v>
      </c>
      <c r="AA57" s="2681">
        <v>0</v>
      </c>
      <c r="AB57" s="186">
        <v>0</v>
      </c>
      <c r="AC57" s="186">
        <v>0</v>
      </c>
      <c r="AD57" s="186">
        <v>0</v>
      </c>
      <c r="AE57" s="2682">
        <f>SUM(AA57:AD57)</f>
        <v>0</v>
      </c>
      <c r="AF57" s="2681">
        <f t="shared" si="43"/>
        <v>0</v>
      </c>
      <c r="AG57" s="186">
        <f t="shared" si="43"/>
        <v>0</v>
      </c>
      <c r="AH57" s="186">
        <f t="shared" si="43"/>
        <v>0</v>
      </c>
      <c r="AI57" s="186">
        <f t="shared" si="43"/>
        <v>0</v>
      </c>
      <c r="AJ57" s="2697">
        <f>SUM(AF57:AI57)</f>
        <v>0</v>
      </c>
      <c r="AK57" s="2704">
        <f>+U57-AJ57</f>
        <v>0</v>
      </c>
      <c r="AL57" s="199"/>
      <c r="AM57" s="424">
        <v>0</v>
      </c>
      <c r="AN57" s="2762">
        <f t="shared" si="30"/>
        <v>0</v>
      </c>
      <c r="AO57" s="1060"/>
      <c r="AP57" s="2763">
        <f t="shared" si="31"/>
        <v>0</v>
      </c>
    </row>
    <row r="58" spans="1:42" s="66" customFormat="1" ht="15" hidden="1" customHeight="1" x14ac:dyDescent="0.2">
      <c r="A58" s="789" t="s">
        <v>384</v>
      </c>
      <c r="B58" s="2680"/>
      <c r="C58" s="2681">
        <v>0</v>
      </c>
      <c r="D58" s="186">
        <v>0</v>
      </c>
      <c r="E58" s="186">
        <v>0</v>
      </c>
      <c r="F58" s="186">
        <v>0</v>
      </c>
      <c r="G58" s="2682">
        <f>SUM(C58:F58)</f>
        <v>0</v>
      </c>
      <c r="H58" s="2681">
        <v>0</v>
      </c>
      <c r="I58" s="186">
        <v>0</v>
      </c>
      <c r="J58" s="186">
        <v>0</v>
      </c>
      <c r="K58" s="186">
        <v>0</v>
      </c>
      <c r="L58" s="2682">
        <f>SUM(H58:K58)</f>
        <v>0</v>
      </c>
      <c r="M58" s="2681">
        <f t="shared" si="41"/>
        <v>0</v>
      </c>
      <c r="N58" s="186">
        <f t="shared" si="41"/>
        <v>0</v>
      </c>
      <c r="O58" s="2681">
        <v>0</v>
      </c>
      <c r="P58" s="186">
        <v>0</v>
      </c>
      <c r="Q58" s="186">
        <v>0</v>
      </c>
      <c r="R58" s="186">
        <f>SUM(O58:Q58)</f>
        <v>0</v>
      </c>
      <c r="S58" s="186">
        <f t="shared" si="42"/>
        <v>0</v>
      </c>
      <c r="T58" s="186">
        <f t="shared" si="42"/>
        <v>0</v>
      </c>
      <c r="U58" s="2697">
        <f>SUM(M58:N58,R58:T58)</f>
        <v>0</v>
      </c>
      <c r="V58" s="2681">
        <v>0</v>
      </c>
      <c r="W58" s="186">
        <v>0</v>
      </c>
      <c r="X58" s="186">
        <v>0</v>
      </c>
      <c r="Y58" s="186">
        <v>0</v>
      </c>
      <c r="Z58" s="2682">
        <f>SUM(V58:Y58)</f>
        <v>0</v>
      </c>
      <c r="AA58" s="2681">
        <v>0</v>
      </c>
      <c r="AB58" s="186">
        <v>0</v>
      </c>
      <c r="AC58" s="186">
        <v>0</v>
      </c>
      <c r="AD58" s="186">
        <v>0</v>
      </c>
      <c r="AE58" s="2682">
        <f>SUM(AA58:AD58)</f>
        <v>0</v>
      </c>
      <c r="AF58" s="2681">
        <f t="shared" si="43"/>
        <v>0</v>
      </c>
      <c r="AG58" s="186">
        <f t="shared" si="43"/>
        <v>0</v>
      </c>
      <c r="AH58" s="186">
        <f t="shared" si="43"/>
        <v>0</v>
      </c>
      <c r="AI58" s="186">
        <f t="shared" si="43"/>
        <v>0</v>
      </c>
      <c r="AJ58" s="2697">
        <f>SUM(AF58:AI58)</f>
        <v>0</v>
      </c>
      <c r="AK58" s="2704">
        <f>+U58-AJ58</f>
        <v>0</v>
      </c>
      <c r="AL58" s="199"/>
      <c r="AM58" s="424">
        <v>0</v>
      </c>
      <c r="AN58" s="2762">
        <f t="shared" si="30"/>
        <v>0</v>
      </c>
      <c r="AO58" s="1060"/>
      <c r="AP58" s="2763">
        <f t="shared" si="31"/>
        <v>0</v>
      </c>
    </row>
    <row r="59" spans="1:42" s="66" customFormat="1" ht="15" customHeight="1" x14ac:dyDescent="0.2">
      <c r="A59" s="789"/>
      <c r="B59" s="2680"/>
      <c r="C59" s="2681"/>
      <c r="D59" s="186"/>
      <c r="E59" s="186"/>
      <c r="F59" s="186"/>
      <c r="G59" s="2682"/>
      <c r="H59" s="2681"/>
      <c r="I59" s="186"/>
      <c r="J59" s="186"/>
      <c r="K59" s="186"/>
      <c r="L59" s="2682"/>
      <c r="M59" s="2681"/>
      <c r="N59" s="186"/>
      <c r="O59" s="2681"/>
      <c r="P59" s="186"/>
      <c r="Q59" s="186"/>
      <c r="R59" s="186"/>
      <c r="S59" s="186"/>
      <c r="T59" s="186"/>
      <c r="U59" s="2697"/>
      <c r="V59" s="2681"/>
      <c r="W59" s="186"/>
      <c r="X59" s="186"/>
      <c r="Y59" s="186"/>
      <c r="Z59" s="2682"/>
      <c r="AA59" s="2681"/>
      <c r="AB59" s="186"/>
      <c r="AC59" s="186"/>
      <c r="AD59" s="186"/>
      <c r="AE59" s="2682"/>
      <c r="AF59" s="2681"/>
      <c r="AG59" s="186"/>
      <c r="AH59" s="186"/>
      <c r="AI59" s="186"/>
      <c r="AJ59" s="2697"/>
      <c r="AK59" s="2704"/>
      <c r="AL59" s="199"/>
      <c r="AM59" s="424"/>
      <c r="AN59" s="2762"/>
      <c r="AO59" s="1060"/>
      <c r="AP59" s="2763">
        <f t="shared" si="31"/>
        <v>0</v>
      </c>
    </row>
    <row r="60" spans="1:42" s="66" customFormat="1" ht="15" customHeight="1" x14ac:dyDescent="0.2">
      <c r="A60" s="2689" t="s">
        <v>2112</v>
      </c>
      <c r="B60" s="2690"/>
      <c r="C60" s="2687"/>
      <c r="D60" s="689"/>
      <c r="E60" s="689"/>
      <c r="F60" s="689"/>
      <c r="G60" s="2688"/>
      <c r="H60" s="2687"/>
      <c r="I60" s="689"/>
      <c r="J60" s="689"/>
      <c r="K60" s="689"/>
      <c r="L60" s="2688"/>
      <c r="M60" s="2687"/>
      <c r="N60" s="689"/>
      <c r="O60" s="2687"/>
      <c r="P60" s="689"/>
      <c r="Q60" s="689"/>
      <c r="R60" s="689"/>
      <c r="S60" s="689"/>
      <c r="T60" s="689"/>
      <c r="U60" s="2700"/>
      <c r="V60" s="2687"/>
      <c r="W60" s="689"/>
      <c r="X60" s="689"/>
      <c r="Y60" s="689"/>
      <c r="Z60" s="2688"/>
      <c r="AA60" s="2687"/>
      <c r="AB60" s="689"/>
      <c r="AC60" s="689"/>
      <c r="AD60" s="689"/>
      <c r="AE60" s="2688"/>
      <c r="AF60" s="2687"/>
      <c r="AG60" s="689"/>
      <c r="AH60" s="689"/>
      <c r="AI60" s="689"/>
      <c r="AJ60" s="2700"/>
      <c r="AK60" s="2706"/>
      <c r="AL60" s="57"/>
      <c r="AM60" s="439"/>
      <c r="AN60" s="2762"/>
      <c r="AO60" s="1060"/>
      <c r="AP60" s="2763">
        <f t="shared" si="31"/>
        <v>0</v>
      </c>
    </row>
    <row r="61" spans="1:42" s="2669" customFormat="1" ht="15" customHeight="1" x14ac:dyDescent="0.2">
      <c r="A61" s="789" t="s">
        <v>7219</v>
      </c>
      <c r="B61" s="2680"/>
      <c r="C61" s="2681">
        <v>0</v>
      </c>
      <c r="D61" s="186">
        <v>0</v>
      </c>
      <c r="E61" s="186">
        <v>0</v>
      </c>
      <c r="F61" s="186">
        <v>0</v>
      </c>
      <c r="G61" s="2682">
        <f t="shared" ref="G61:G80" si="44">SUM(C61:F61)</f>
        <v>0</v>
      </c>
      <c r="H61" s="2681">
        <v>0</v>
      </c>
      <c r="I61" s="186">
        <v>0</v>
      </c>
      <c r="J61" s="186">
        <v>0</v>
      </c>
      <c r="K61" s="186">
        <v>0</v>
      </c>
      <c r="L61" s="2682">
        <f t="shared" ref="L61:L80" si="45">SUM(H61:K61)</f>
        <v>0</v>
      </c>
      <c r="M61" s="2681">
        <v>121234547.8</v>
      </c>
      <c r="N61" s="186">
        <f>10556946.04+574928</f>
        <v>11131874.039999999</v>
      </c>
      <c r="O61" s="2681">
        <v>0</v>
      </c>
      <c r="P61" s="186">
        <v>0</v>
      </c>
      <c r="Q61" s="186">
        <v>0</v>
      </c>
      <c r="R61" s="186">
        <f>3760898-654700.52-629.26</f>
        <v>3105568.22</v>
      </c>
      <c r="S61" s="186">
        <f t="shared" ref="S61:S80" si="46">SUM(E61,J61)</f>
        <v>0</v>
      </c>
      <c r="T61" s="186">
        <f t="shared" ref="T61:T80" si="47">SUM(F61,K61)</f>
        <v>0</v>
      </c>
      <c r="U61" s="2697">
        <f t="shared" ref="U61:U80" si="48">SUM(M61:N61,R61:T61)</f>
        <v>135471990.06</v>
      </c>
      <c r="V61" s="2681">
        <v>0</v>
      </c>
      <c r="W61" s="186">
        <v>0</v>
      </c>
      <c r="X61" s="186">
        <v>0</v>
      </c>
      <c r="Y61" s="186">
        <v>0</v>
      </c>
      <c r="Z61" s="2682">
        <f t="shared" ref="Z61:Z80" si="49">SUM(V61:Y61)</f>
        <v>0</v>
      </c>
      <c r="AA61" s="2681">
        <v>0</v>
      </c>
      <c r="AB61" s="186">
        <v>0</v>
      </c>
      <c r="AC61" s="186">
        <v>0</v>
      </c>
      <c r="AD61" s="186">
        <v>0</v>
      </c>
      <c r="AE61" s="2682">
        <f t="shared" ref="AE61:AE80" si="50">SUM(AA61:AD61)</f>
        <v>0</v>
      </c>
      <c r="AF61" s="2681">
        <v>74539435.280000001</v>
      </c>
      <c r="AG61" s="186">
        <v>5747430.7000000002</v>
      </c>
      <c r="AH61" s="186">
        <f t="shared" ref="AH61:AH80" si="51">SUM(X61,AC61)</f>
        <v>0</v>
      </c>
      <c r="AI61" s="186">
        <f t="shared" ref="AI61:AI80" si="52">SUM(Y61,AD61)</f>
        <v>0</v>
      </c>
      <c r="AJ61" s="2697">
        <f t="shared" ref="AJ61:AJ80" si="53">SUM(AF61:AI61)</f>
        <v>80286865.980000004</v>
      </c>
      <c r="AK61" s="2704">
        <f t="shared" ref="AK61:AK80" si="54">+U61-AJ61</f>
        <v>55185124.079999998</v>
      </c>
      <c r="AL61" s="199"/>
      <c r="AM61" s="2668">
        <v>0</v>
      </c>
      <c r="AN61" s="2762">
        <f>SUM(N61:R61)</f>
        <v>14237442.26</v>
      </c>
      <c r="AO61" s="2667">
        <f>'APPENDIX C'!E63</f>
        <v>14237442.26</v>
      </c>
      <c r="AP61" s="2763">
        <f t="shared" si="31"/>
        <v>0</v>
      </c>
    </row>
    <row r="62" spans="1:42" s="66" customFormat="1" ht="15" hidden="1" customHeight="1" x14ac:dyDescent="0.2">
      <c r="A62" s="789" t="s">
        <v>637</v>
      </c>
      <c r="B62" s="2680"/>
      <c r="C62" s="2681">
        <v>0</v>
      </c>
      <c r="D62" s="186">
        <v>0</v>
      </c>
      <c r="E62" s="186">
        <v>0</v>
      </c>
      <c r="F62" s="186">
        <v>0</v>
      </c>
      <c r="G62" s="2682">
        <f t="shared" si="44"/>
        <v>0</v>
      </c>
      <c r="H62" s="2681">
        <v>0</v>
      </c>
      <c r="I62" s="186">
        <v>0</v>
      </c>
      <c r="J62" s="186">
        <v>0</v>
      </c>
      <c r="K62" s="186">
        <v>0</v>
      </c>
      <c r="L62" s="2682">
        <f t="shared" si="45"/>
        <v>0</v>
      </c>
      <c r="M62" s="2681">
        <f t="shared" ref="M62:M80" si="55">SUM(C62,H62)</f>
        <v>0</v>
      </c>
      <c r="N62" s="186">
        <f t="shared" ref="N62:N80" si="56">SUM(D62,I62)</f>
        <v>0</v>
      </c>
      <c r="O62" s="2681">
        <v>0</v>
      </c>
      <c r="P62" s="186">
        <v>0</v>
      </c>
      <c r="Q62" s="186">
        <v>0</v>
      </c>
      <c r="R62" s="186">
        <f t="shared" ref="R62:R80" si="57">SUM(O62:Q62)</f>
        <v>0</v>
      </c>
      <c r="S62" s="186">
        <f t="shared" si="46"/>
        <v>0</v>
      </c>
      <c r="T62" s="186">
        <f t="shared" si="47"/>
        <v>0</v>
      </c>
      <c r="U62" s="2697">
        <f t="shared" si="48"/>
        <v>0</v>
      </c>
      <c r="V62" s="2681">
        <v>0</v>
      </c>
      <c r="W62" s="186">
        <v>0</v>
      </c>
      <c r="X62" s="186">
        <v>0</v>
      </c>
      <c r="Y62" s="186">
        <v>0</v>
      </c>
      <c r="Z62" s="2682">
        <f t="shared" si="49"/>
        <v>0</v>
      </c>
      <c r="AA62" s="2681">
        <v>0</v>
      </c>
      <c r="AB62" s="186">
        <v>0</v>
      </c>
      <c r="AC62" s="186">
        <v>0</v>
      </c>
      <c r="AD62" s="186">
        <v>0</v>
      </c>
      <c r="AE62" s="2682">
        <f t="shared" si="50"/>
        <v>0</v>
      </c>
      <c r="AF62" s="2681">
        <f t="shared" ref="AF62:AF80" si="58">SUM(V62,AA62)</f>
        <v>0</v>
      </c>
      <c r="AG62" s="186">
        <f t="shared" ref="AG62:AG80" si="59">SUM(W62,AB62)</f>
        <v>0</v>
      </c>
      <c r="AH62" s="186">
        <f t="shared" si="51"/>
        <v>0</v>
      </c>
      <c r="AI62" s="186">
        <f t="shared" si="52"/>
        <v>0</v>
      </c>
      <c r="AJ62" s="2697">
        <f t="shared" si="53"/>
        <v>0</v>
      </c>
      <c r="AK62" s="2704">
        <f t="shared" si="54"/>
        <v>0</v>
      </c>
      <c r="AL62" s="199"/>
      <c r="AM62" s="424"/>
      <c r="AN62" s="2762">
        <f t="shared" si="30"/>
        <v>0</v>
      </c>
      <c r="AO62" s="1060"/>
      <c r="AP62" s="2763">
        <f t="shared" si="31"/>
        <v>0</v>
      </c>
    </row>
    <row r="63" spans="1:42" s="66" customFormat="1" ht="15" hidden="1" customHeight="1" x14ac:dyDescent="0.2">
      <c r="A63" s="789" t="s">
        <v>133</v>
      </c>
      <c r="B63" s="2680">
        <v>22003</v>
      </c>
      <c r="C63" s="2681"/>
      <c r="D63" s="186">
        <v>0</v>
      </c>
      <c r="E63" s="186">
        <v>0</v>
      </c>
      <c r="F63" s="186">
        <v>0</v>
      </c>
      <c r="G63" s="2682">
        <f t="shared" si="44"/>
        <v>0</v>
      </c>
      <c r="H63" s="2681">
        <v>0</v>
      </c>
      <c r="I63" s="186">
        <v>0</v>
      </c>
      <c r="J63" s="186">
        <v>0</v>
      </c>
      <c r="K63" s="186">
        <v>0</v>
      </c>
      <c r="L63" s="2682">
        <f t="shared" si="45"/>
        <v>0</v>
      </c>
      <c r="M63" s="2681">
        <f t="shared" si="55"/>
        <v>0</v>
      </c>
      <c r="N63" s="186">
        <f t="shared" si="56"/>
        <v>0</v>
      </c>
      <c r="O63" s="2681">
        <v>0</v>
      </c>
      <c r="P63" s="186">
        <v>0</v>
      </c>
      <c r="Q63" s="186">
        <v>0</v>
      </c>
      <c r="R63" s="186">
        <f t="shared" si="57"/>
        <v>0</v>
      </c>
      <c r="S63" s="186">
        <f t="shared" si="46"/>
        <v>0</v>
      </c>
      <c r="T63" s="186">
        <f t="shared" si="47"/>
        <v>0</v>
      </c>
      <c r="U63" s="2697">
        <f t="shared" si="48"/>
        <v>0</v>
      </c>
      <c r="V63" s="2681"/>
      <c r="W63" s="186">
        <v>0</v>
      </c>
      <c r="X63" s="186">
        <v>0</v>
      </c>
      <c r="Y63" s="186">
        <v>0</v>
      </c>
      <c r="Z63" s="2682">
        <f t="shared" si="49"/>
        <v>0</v>
      </c>
      <c r="AA63" s="2681">
        <v>0</v>
      </c>
      <c r="AB63" s="186">
        <v>0</v>
      </c>
      <c r="AC63" s="186">
        <v>0</v>
      </c>
      <c r="AD63" s="186">
        <v>0</v>
      </c>
      <c r="AE63" s="2682">
        <f t="shared" si="50"/>
        <v>0</v>
      </c>
      <c r="AF63" s="2681">
        <f t="shared" si="58"/>
        <v>0</v>
      </c>
      <c r="AG63" s="186">
        <f t="shared" si="59"/>
        <v>0</v>
      </c>
      <c r="AH63" s="186">
        <f t="shared" si="51"/>
        <v>0</v>
      </c>
      <c r="AI63" s="186">
        <f t="shared" si="52"/>
        <v>0</v>
      </c>
      <c r="AJ63" s="2697">
        <f t="shared" si="53"/>
        <v>0</v>
      </c>
      <c r="AK63" s="2704">
        <f t="shared" si="54"/>
        <v>0</v>
      </c>
      <c r="AL63" s="199"/>
      <c r="AM63" s="422">
        <v>0</v>
      </c>
      <c r="AN63" s="2762">
        <f t="shared" si="30"/>
        <v>0</v>
      </c>
      <c r="AO63" s="1060"/>
      <c r="AP63" s="2763">
        <f t="shared" si="31"/>
        <v>0</v>
      </c>
    </row>
    <row r="64" spans="1:42" s="66" customFormat="1" ht="15" hidden="1" customHeight="1" x14ac:dyDescent="0.2">
      <c r="A64" s="789" t="s">
        <v>181</v>
      </c>
      <c r="B64" s="2680"/>
      <c r="C64" s="2681"/>
      <c r="D64" s="186">
        <v>0</v>
      </c>
      <c r="E64" s="186">
        <v>0</v>
      </c>
      <c r="F64" s="186">
        <v>0</v>
      </c>
      <c r="G64" s="2682">
        <f t="shared" si="44"/>
        <v>0</v>
      </c>
      <c r="H64" s="2681">
        <v>0</v>
      </c>
      <c r="I64" s="186">
        <v>0</v>
      </c>
      <c r="J64" s="186">
        <v>0</v>
      </c>
      <c r="K64" s="186">
        <v>0</v>
      </c>
      <c r="L64" s="2682">
        <f t="shared" si="45"/>
        <v>0</v>
      </c>
      <c r="M64" s="2681">
        <f t="shared" si="55"/>
        <v>0</v>
      </c>
      <c r="N64" s="186">
        <f t="shared" si="56"/>
        <v>0</v>
      </c>
      <c r="O64" s="2681">
        <v>0</v>
      </c>
      <c r="P64" s="186">
        <v>0</v>
      </c>
      <c r="Q64" s="186">
        <v>0</v>
      </c>
      <c r="R64" s="186">
        <f t="shared" si="57"/>
        <v>0</v>
      </c>
      <c r="S64" s="186">
        <f t="shared" si="46"/>
        <v>0</v>
      </c>
      <c r="T64" s="186">
        <f t="shared" si="47"/>
        <v>0</v>
      </c>
      <c r="U64" s="2697">
        <f t="shared" si="48"/>
        <v>0</v>
      </c>
      <c r="V64" s="2681"/>
      <c r="W64" s="186">
        <v>0</v>
      </c>
      <c r="X64" s="186">
        <v>0</v>
      </c>
      <c r="Y64" s="186">
        <v>0</v>
      </c>
      <c r="Z64" s="2682">
        <f t="shared" si="49"/>
        <v>0</v>
      </c>
      <c r="AA64" s="2681">
        <v>0</v>
      </c>
      <c r="AB64" s="186">
        <v>0</v>
      </c>
      <c r="AC64" s="186">
        <v>0</v>
      </c>
      <c r="AD64" s="186">
        <v>0</v>
      </c>
      <c r="AE64" s="2682">
        <f t="shared" si="50"/>
        <v>0</v>
      </c>
      <c r="AF64" s="2681">
        <f t="shared" si="58"/>
        <v>0</v>
      </c>
      <c r="AG64" s="186">
        <f t="shared" si="59"/>
        <v>0</v>
      </c>
      <c r="AH64" s="186">
        <f t="shared" si="51"/>
        <v>0</v>
      </c>
      <c r="AI64" s="186">
        <f t="shared" si="52"/>
        <v>0</v>
      </c>
      <c r="AJ64" s="2697">
        <f t="shared" si="53"/>
        <v>0</v>
      </c>
      <c r="AK64" s="2704">
        <f t="shared" si="54"/>
        <v>0</v>
      </c>
      <c r="AL64" s="199"/>
      <c r="AM64" s="422">
        <v>0</v>
      </c>
      <c r="AN64" s="2762">
        <f t="shared" si="30"/>
        <v>0</v>
      </c>
      <c r="AO64" s="1060"/>
      <c r="AP64" s="2763">
        <f t="shared" si="31"/>
        <v>0</v>
      </c>
    </row>
    <row r="65" spans="1:42" s="66" customFormat="1" ht="15" hidden="1" customHeight="1" x14ac:dyDescent="0.2">
      <c r="A65" s="789" t="s">
        <v>690</v>
      </c>
      <c r="B65" s="2680"/>
      <c r="C65" s="2681"/>
      <c r="D65" s="186">
        <v>0</v>
      </c>
      <c r="E65" s="186">
        <v>0</v>
      </c>
      <c r="F65" s="186">
        <v>0</v>
      </c>
      <c r="G65" s="2682">
        <f t="shared" si="44"/>
        <v>0</v>
      </c>
      <c r="H65" s="2681">
        <v>0</v>
      </c>
      <c r="I65" s="186">
        <v>0</v>
      </c>
      <c r="J65" s="186">
        <v>0</v>
      </c>
      <c r="K65" s="186">
        <v>0</v>
      </c>
      <c r="L65" s="2682">
        <f t="shared" si="45"/>
        <v>0</v>
      </c>
      <c r="M65" s="2681">
        <f t="shared" si="55"/>
        <v>0</v>
      </c>
      <c r="N65" s="186">
        <f t="shared" si="56"/>
        <v>0</v>
      </c>
      <c r="O65" s="2681">
        <v>0</v>
      </c>
      <c r="P65" s="186">
        <v>0</v>
      </c>
      <c r="Q65" s="186">
        <v>0</v>
      </c>
      <c r="R65" s="186">
        <f t="shared" si="57"/>
        <v>0</v>
      </c>
      <c r="S65" s="186">
        <f t="shared" si="46"/>
        <v>0</v>
      </c>
      <c r="T65" s="186">
        <f t="shared" si="47"/>
        <v>0</v>
      </c>
      <c r="U65" s="2697">
        <f t="shared" si="48"/>
        <v>0</v>
      </c>
      <c r="V65" s="2681"/>
      <c r="W65" s="186">
        <v>0</v>
      </c>
      <c r="X65" s="186">
        <v>0</v>
      </c>
      <c r="Y65" s="186">
        <v>0</v>
      </c>
      <c r="Z65" s="2682">
        <f t="shared" si="49"/>
        <v>0</v>
      </c>
      <c r="AA65" s="2681">
        <v>0</v>
      </c>
      <c r="AB65" s="186">
        <v>0</v>
      </c>
      <c r="AC65" s="186">
        <v>0</v>
      </c>
      <c r="AD65" s="186">
        <v>0</v>
      </c>
      <c r="AE65" s="2682">
        <f t="shared" si="50"/>
        <v>0</v>
      </c>
      <c r="AF65" s="2681">
        <f t="shared" si="58"/>
        <v>0</v>
      </c>
      <c r="AG65" s="186">
        <f t="shared" si="59"/>
        <v>0</v>
      </c>
      <c r="AH65" s="186">
        <f t="shared" si="51"/>
        <v>0</v>
      </c>
      <c r="AI65" s="186">
        <f t="shared" si="52"/>
        <v>0</v>
      </c>
      <c r="AJ65" s="2697">
        <f t="shared" si="53"/>
        <v>0</v>
      </c>
      <c r="AK65" s="2704">
        <f t="shared" si="54"/>
        <v>0</v>
      </c>
      <c r="AL65" s="199"/>
      <c r="AM65" s="422"/>
      <c r="AN65" s="2762">
        <f t="shared" si="30"/>
        <v>0</v>
      </c>
      <c r="AO65" s="1060"/>
      <c r="AP65" s="2763">
        <f t="shared" si="31"/>
        <v>0</v>
      </c>
    </row>
    <row r="66" spans="1:42" s="66" customFormat="1" ht="15" hidden="1" customHeight="1" x14ac:dyDescent="0.2">
      <c r="A66" s="789" t="s">
        <v>135</v>
      </c>
      <c r="B66" s="2680"/>
      <c r="C66" s="2681"/>
      <c r="D66" s="186">
        <v>0</v>
      </c>
      <c r="E66" s="186">
        <v>0</v>
      </c>
      <c r="F66" s="186">
        <v>0</v>
      </c>
      <c r="G66" s="2682">
        <f t="shared" si="44"/>
        <v>0</v>
      </c>
      <c r="H66" s="2681">
        <v>0</v>
      </c>
      <c r="I66" s="186">
        <v>0</v>
      </c>
      <c r="J66" s="186">
        <v>0</v>
      </c>
      <c r="K66" s="186">
        <v>0</v>
      </c>
      <c r="L66" s="2682">
        <f t="shared" si="45"/>
        <v>0</v>
      </c>
      <c r="M66" s="2681">
        <f t="shared" si="55"/>
        <v>0</v>
      </c>
      <c r="N66" s="186">
        <f t="shared" si="56"/>
        <v>0</v>
      </c>
      <c r="O66" s="2681">
        <v>0</v>
      </c>
      <c r="P66" s="186">
        <v>0</v>
      </c>
      <c r="Q66" s="186">
        <v>0</v>
      </c>
      <c r="R66" s="186">
        <f t="shared" si="57"/>
        <v>0</v>
      </c>
      <c r="S66" s="186">
        <f t="shared" si="46"/>
        <v>0</v>
      </c>
      <c r="T66" s="186">
        <f t="shared" si="47"/>
        <v>0</v>
      </c>
      <c r="U66" s="2697">
        <f t="shared" si="48"/>
        <v>0</v>
      </c>
      <c r="V66" s="2681"/>
      <c r="W66" s="186">
        <v>0</v>
      </c>
      <c r="X66" s="186">
        <v>0</v>
      </c>
      <c r="Y66" s="186">
        <v>0</v>
      </c>
      <c r="Z66" s="2682">
        <f t="shared" si="49"/>
        <v>0</v>
      </c>
      <c r="AA66" s="2681">
        <v>0</v>
      </c>
      <c r="AB66" s="186">
        <v>0</v>
      </c>
      <c r="AC66" s="186">
        <v>0</v>
      </c>
      <c r="AD66" s="186">
        <v>0</v>
      </c>
      <c r="AE66" s="2682">
        <f t="shared" si="50"/>
        <v>0</v>
      </c>
      <c r="AF66" s="2681">
        <f t="shared" si="58"/>
        <v>0</v>
      </c>
      <c r="AG66" s="186">
        <f t="shared" si="59"/>
        <v>0</v>
      </c>
      <c r="AH66" s="186">
        <f t="shared" si="51"/>
        <v>0</v>
      </c>
      <c r="AI66" s="186">
        <f t="shared" si="52"/>
        <v>0</v>
      </c>
      <c r="AJ66" s="2697">
        <f t="shared" si="53"/>
        <v>0</v>
      </c>
      <c r="AK66" s="2704">
        <f t="shared" si="54"/>
        <v>0</v>
      </c>
      <c r="AL66" s="199"/>
      <c r="AM66" s="422"/>
      <c r="AN66" s="2762">
        <f t="shared" si="30"/>
        <v>0</v>
      </c>
      <c r="AO66" s="1060"/>
      <c r="AP66" s="2763">
        <f t="shared" si="31"/>
        <v>0</v>
      </c>
    </row>
    <row r="67" spans="1:42" s="66" customFormat="1" ht="15" hidden="1" customHeight="1" x14ac:dyDescent="0.2">
      <c r="A67" s="789" t="s">
        <v>2118</v>
      </c>
      <c r="B67" s="2680">
        <v>32400</v>
      </c>
      <c r="C67" s="2681"/>
      <c r="D67" s="186">
        <v>0</v>
      </c>
      <c r="E67" s="186">
        <v>0</v>
      </c>
      <c r="F67" s="186">
        <v>0</v>
      </c>
      <c r="G67" s="2682">
        <f>SUM(C67:F67)</f>
        <v>0</v>
      </c>
      <c r="H67" s="2681">
        <v>0</v>
      </c>
      <c r="I67" s="186">
        <v>0</v>
      </c>
      <c r="J67" s="186">
        <v>0</v>
      </c>
      <c r="K67" s="186">
        <v>0</v>
      </c>
      <c r="L67" s="2682">
        <f>SUM(H67:K67)</f>
        <v>0</v>
      </c>
      <c r="M67" s="2681">
        <f t="shared" ref="M67:N69" si="60">SUM(C67,H67)</f>
        <v>0</v>
      </c>
      <c r="N67" s="186">
        <f t="shared" si="60"/>
        <v>0</v>
      </c>
      <c r="O67" s="2681"/>
      <c r="P67" s="186">
        <v>0</v>
      </c>
      <c r="Q67" s="186">
        <v>0</v>
      </c>
      <c r="R67" s="186">
        <f>SUM(O67:Q67)</f>
        <v>0</v>
      </c>
      <c r="S67" s="186">
        <f t="shared" ref="S67:T69" si="61">SUM(E67,J67)</f>
        <v>0</v>
      </c>
      <c r="T67" s="186">
        <f t="shared" si="61"/>
        <v>0</v>
      </c>
      <c r="U67" s="2697">
        <f>SUM(M67:N67,R67:T67)</f>
        <v>0</v>
      </c>
      <c r="V67" s="2681"/>
      <c r="W67" s="186">
        <v>0</v>
      </c>
      <c r="X67" s="186">
        <v>0</v>
      </c>
      <c r="Y67" s="186">
        <v>0</v>
      </c>
      <c r="Z67" s="2682">
        <f>SUM(V67:Y67)</f>
        <v>0</v>
      </c>
      <c r="AA67" s="2681">
        <v>0</v>
      </c>
      <c r="AB67" s="186">
        <v>0</v>
      </c>
      <c r="AC67" s="186">
        <v>0</v>
      </c>
      <c r="AD67" s="186">
        <v>0</v>
      </c>
      <c r="AE67" s="2682">
        <f>SUM(AA67:AD67)</f>
        <v>0</v>
      </c>
      <c r="AF67" s="2681">
        <f t="shared" ref="AF67:AI69" si="62">SUM(V67,AA67)</f>
        <v>0</v>
      </c>
      <c r="AG67" s="186">
        <f t="shared" si="62"/>
        <v>0</v>
      </c>
      <c r="AH67" s="186">
        <f t="shared" si="62"/>
        <v>0</v>
      </c>
      <c r="AI67" s="186">
        <f t="shared" si="62"/>
        <v>0</v>
      </c>
      <c r="AJ67" s="2697">
        <f>SUM(AF67:AI67)</f>
        <v>0</v>
      </c>
      <c r="AK67" s="2704">
        <f>+U67-AJ67</f>
        <v>0</v>
      </c>
      <c r="AL67" s="199"/>
      <c r="AM67" s="422"/>
      <c r="AN67" s="2762">
        <f t="shared" si="30"/>
        <v>0</v>
      </c>
      <c r="AO67" s="1060"/>
      <c r="AP67" s="2763">
        <f t="shared" si="31"/>
        <v>0</v>
      </c>
    </row>
    <row r="68" spans="1:42" s="66" customFormat="1" ht="15" hidden="1" customHeight="1" x14ac:dyDescent="0.2">
      <c r="A68" s="789" t="s">
        <v>2117</v>
      </c>
      <c r="B68" s="2680">
        <v>32301</v>
      </c>
      <c r="C68" s="2681"/>
      <c r="D68" s="186">
        <v>0</v>
      </c>
      <c r="E68" s="186">
        <v>0</v>
      </c>
      <c r="F68" s="186">
        <v>0</v>
      </c>
      <c r="G68" s="2682">
        <f>SUM(C68:F68)</f>
        <v>0</v>
      </c>
      <c r="H68" s="2681">
        <v>0</v>
      </c>
      <c r="I68" s="186">
        <v>0</v>
      </c>
      <c r="J68" s="186">
        <v>0</v>
      </c>
      <c r="K68" s="186">
        <v>0</v>
      </c>
      <c r="L68" s="2682">
        <f>SUM(H68:K68)</f>
        <v>0</v>
      </c>
      <c r="M68" s="2681">
        <f t="shared" si="60"/>
        <v>0</v>
      </c>
      <c r="N68" s="186">
        <f t="shared" si="60"/>
        <v>0</v>
      </c>
      <c r="O68" s="2681"/>
      <c r="P68" s="186">
        <v>0</v>
      </c>
      <c r="Q68" s="186">
        <v>0</v>
      </c>
      <c r="R68" s="186">
        <f>SUM(O68:Q68)</f>
        <v>0</v>
      </c>
      <c r="S68" s="186">
        <f t="shared" si="61"/>
        <v>0</v>
      </c>
      <c r="T68" s="186">
        <f t="shared" si="61"/>
        <v>0</v>
      </c>
      <c r="U68" s="2697">
        <f>SUM(M68:N68,R68:T68)</f>
        <v>0</v>
      </c>
      <c r="V68" s="2681"/>
      <c r="W68" s="186">
        <v>0</v>
      </c>
      <c r="X68" s="186">
        <v>0</v>
      </c>
      <c r="Y68" s="186">
        <v>0</v>
      </c>
      <c r="Z68" s="2682">
        <f>SUM(V68:Y68)</f>
        <v>0</v>
      </c>
      <c r="AA68" s="2681">
        <v>0</v>
      </c>
      <c r="AB68" s="186">
        <v>0</v>
      </c>
      <c r="AC68" s="186">
        <v>0</v>
      </c>
      <c r="AD68" s="186">
        <v>0</v>
      </c>
      <c r="AE68" s="2682">
        <f>SUM(AA68:AD68)</f>
        <v>0</v>
      </c>
      <c r="AF68" s="2681">
        <f t="shared" si="62"/>
        <v>0</v>
      </c>
      <c r="AG68" s="186">
        <f t="shared" si="62"/>
        <v>0</v>
      </c>
      <c r="AH68" s="186">
        <f t="shared" si="62"/>
        <v>0</v>
      </c>
      <c r="AI68" s="186">
        <f t="shared" si="62"/>
        <v>0</v>
      </c>
      <c r="AJ68" s="2697">
        <f>SUM(AF68:AI68)</f>
        <v>0</v>
      </c>
      <c r="AK68" s="2704">
        <f>+U68-AJ68</f>
        <v>0</v>
      </c>
      <c r="AL68" s="199"/>
      <c r="AM68" s="422"/>
      <c r="AN68" s="2762">
        <f t="shared" si="30"/>
        <v>0</v>
      </c>
      <c r="AO68" s="1060"/>
      <c r="AP68" s="2763">
        <f t="shared" si="31"/>
        <v>0</v>
      </c>
    </row>
    <row r="69" spans="1:42" s="66" customFormat="1" ht="15" hidden="1" customHeight="1" x14ac:dyDescent="0.2">
      <c r="A69" s="789" t="s">
        <v>2588</v>
      </c>
      <c r="B69" s="2680">
        <v>32303</v>
      </c>
      <c r="C69" s="2681"/>
      <c r="D69" s="186">
        <v>0</v>
      </c>
      <c r="E69" s="186">
        <v>0</v>
      </c>
      <c r="F69" s="186">
        <v>0</v>
      </c>
      <c r="G69" s="2682">
        <f>SUM(C69:F69)</f>
        <v>0</v>
      </c>
      <c r="H69" s="2681">
        <v>0</v>
      </c>
      <c r="I69" s="186">
        <v>0</v>
      </c>
      <c r="J69" s="186">
        <v>0</v>
      </c>
      <c r="K69" s="186">
        <v>0</v>
      </c>
      <c r="L69" s="2682">
        <f>SUM(H69:K69)</f>
        <v>0</v>
      </c>
      <c r="M69" s="2681">
        <f t="shared" si="60"/>
        <v>0</v>
      </c>
      <c r="N69" s="186">
        <f t="shared" si="60"/>
        <v>0</v>
      </c>
      <c r="O69" s="2681"/>
      <c r="P69" s="186">
        <v>0</v>
      </c>
      <c r="Q69" s="186">
        <v>0</v>
      </c>
      <c r="R69" s="186">
        <f>SUM(O69:Q69)</f>
        <v>0</v>
      </c>
      <c r="S69" s="186">
        <f t="shared" si="61"/>
        <v>0</v>
      </c>
      <c r="T69" s="186">
        <f t="shared" si="61"/>
        <v>0</v>
      </c>
      <c r="U69" s="2697">
        <f>SUM(M69:N69,R69:T69)</f>
        <v>0</v>
      </c>
      <c r="V69" s="2681"/>
      <c r="W69" s="186">
        <v>0</v>
      </c>
      <c r="X69" s="186">
        <v>0</v>
      </c>
      <c r="Y69" s="186">
        <v>0</v>
      </c>
      <c r="Z69" s="2682">
        <f>SUM(V69:Y69)</f>
        <v>0</v>
      </c>
      <c r="AA69" s="2681">
        <v>0</v>
      </c>
      <c r="AB69" s="186">
        <v>0</v>
      </c>
      <c r="AC69" s="186">
        <v>0</v>
      </c>
      <c r="AD69" s="186">
        <v>0</v>
      </c>
      <c r="AE69" s="2682">
        <f>SUM(AA69:AD69)</f>
        <v>0</v>
      </c>
      <c r="AF69" s="2681">
        <f t="shared" si="62"/>
        <v>0</v>
      </c>
      <c r="AG69" s="186">
        <f t="shared" si="62"/>
        <v>0</v>
      </c>
      <c r="AH69" s="186">
        <f t="shared" si="62"/>
        <v>0</v>
      </c>
      <c r="AI69" s="186">
        <f t="shared" si="62"/>
        <v>0</v>
      </c>
      <c r="AJ69" s="2697">
        <f>SUM(AF69:AI69)</f>
        <v>0</v>
      </c>
      <c r="AK69" s="2704">
        <f>+U69-AJ69</f>
        <v>0</v>
      </c>
      <c r="AL69" s="199"/>
      <c r="AM69" s="422"/>
      <c r="AN69" s="2762">
        <f t="shared" si="30"/>
        <v>0</v>
      </c>
      <c r="AO69" s="1060"/>
      <c r="AP69" s="2763">
        <f t="shared" si="31"/>
        <v>0</v>
      </c>
    </row>
    <row r="70" spans="1:42" s="66" customFormat="1" ht="15" hidden="1" customHeight="1" x14ac:dyDescent="0.2">
      <c r="A70" s="789" t="s">
        <v>638</v>
      </c>
      <c r="B70" s="2680">
        <v>32305</v>
      </c>
      <c r="C70" s="2681"/>
      <c r="D70" s="186">
        <v>0</v>
      </c>
      <c r="E70" s="186">
        <v>0</v>
      </c>
      <c r="F70" s="186">
        <v>0</v>
      </c>
      <c r="G70" s="2682">
        <f t="shared" si="44"/>
        <v>0</v>
      </c>
      <c r="H70" s="2681">
        <v>0</v>
      </c>
      <c r="I70" s="186">
        <v>0</v>
      </c>
      <c r="J70" s="186">
        <v>0</v>
      </c>
      <c r="K70" s="186">
        <v>0</v>
      </c>
      <c r="L70" s="2682">
        <f t="shared" si="45"/>
        <v>0</v>
      </c>
      <c r="M70" s="2681">
        <f t="shared" si="55"/>
        <v>0</v>
      </c>
      <c r="N70" s="186">
        <f t="shared" si="56"/>
        <v>0</v>
      </c>
      <c r="O70" s="2681"/>
      <c r="P70" s="186">
        <v>0</v>
      </c>
      <c r="Q70" s="186">
        <v>0</v>
      </c>
      <c r="R70" s="186">
        <f t="shared" si="57"/>
        <v>0</v>
      </c>
      <c r="S70" s="186">
        <f t="shared" si="46"/>
        <v>0</v>
      </c>
      <c r="T70" s="186">
        <f t="shared" si="47"/>
        <v>0</v>
      </c>
      <c r="U70" s="2697">
        <f t="shared" si="48"/>
        <v>0</v>
      </c>
      <c r="V70" s="2681"/>
      <c r="W70" s="186">
        <v>0</v>
      </c>
      <c r="X70" s="186">
        <v>0</v>
      </c>
      <c r="Y70" s="186">
        <v>0</v>
      </c>
      <c r="Z70" s="2682">
        <f t="shared" si="49"/>
        <v>0</v>
      </c>
      <c r="AA70" s="2681">
        <v>0</v>
      </c>
      <c r="AB70" s="186">
        <v>0</v>
      </c>
      <c r="AC70" s="186">
        <v>0</v>
      </c>
      <c r="AD70" s="186">
        <v>0</v>
      </c>
      <c r="AE70" s="2682">
        <f t="shared" si="50"/>
        <v>0</v>
      </c>
      <c r="AF70" s="2681">
        <f t="shared" si="58"/>
        <v>0</v>
      </c>
      <c r="AG70" s="186">
        <f t="shared" si="59"/>
        <v>0</v>
      </c>
      <c r="AH70" s="186">
        <f t="shared" si="51"/>
        <v>0</v>
      </c>
      <c r="AI70" s="186">
        <f t="shared" si="52"/>
        <v>0</v>
      </c>
      <c r="AJ70" s="2697">
        <f t="shared" si="53"/>
        <v>0</v>
      </c>
      <c r="AK70" s="2704">
        <f t="shared" si="54"/>
        <v>0</v>
      </c>
      <c r="AL70" s="199"/>
      <c r="AM70" s="422"/>
      <c r="AN70" s="2762">
        <f t="shared" si="30"/>
        <v>0</v>
      </c>
      <c r="AO70" s="1060"/>
      <c r="AP70" s="2763">
        <f t="shared" si="31"/>
        <v>0</v>
      </c>
    </row>
    <row r="71" spans="1:42" s="66" customFormat="1" ht="15" hidden="1" customHeight="1" x14ac:dyDescent="0.2">
      <c r="A71" s="789" t="s">
        <v>2589</v>
      </c>
      <c r="B71" s="2680">
        <v>32316</v>
      </c>
      <c r="C71" s="2681"/>
      <c r="D71" s="186">
        <v>0</v>
      </c>
      <c r="E71" s="186">
        <v>0</v>
      </c>
      <c r="F71" s="186">
        <v>0</v>
      </c>
      <c r="G71" s="2682">
        <f t="shared" si="44"/>
        <v>0</v>
      </c>
      <c r="H71" s="2681">
        <v>0</v>
      </c>
      <c r="I71" s="186">
        <v>0</v>
      </c>
      <c r="J71" s="186">
        <v>0</v>
      </c>
      <c r="K71" s="186">
        <v>0</v>
      </c>
      <c r="L71" s="2682">
        <f t="shared" si="45"/>
        <v>0</v>
      </c>
      <c r="M71" s="2681">
        <f t="shared" si="55"/>
        <v>0</v>
      </c>
      <c r="N71" s="186">
        <f t="shared" si="56"/>
        <v>0</v>
      </c>
      <c r="O71" s="2681"/>
      <c r="P71" s="186">
        <v>0</v>
      </c>
      <c r="Q71" s="186">
        <v>0</v>
      </c>
      <c r="R71" s="186">
        <f t="shared" si="57"/>
        <v>0</v>
      </c>
      <c r="S71" s="186">
        <f t="shared" si="46"/>
        <v>0</v>
      </c>
      <c r="T71" s="186">
        <f t="shared" si="47"/>
        <v>0</v>
      </c>
      <c r="U71" s="2697">
        <f t="shared" si="48"/>
        <v>0</v>
      </c>
      <c r="V71" s="2681"/>
      <c r="W71" s="186">
        <v>0</v>
      </c>
      <c r="X71" s="186">
        <v>0</v>
      </c>
      <c r="Y71" s="186">
        <v>0</v>
      </c>
      <c r="Z71" s="2682">
        <f t="shared" si="49"/>
        <v>0</v>
      </c>
      <c r="AA71" s="2681">
        <v>0</v>
      </c>
      <c r="AB71" s="186">
        <v>0</v>
      </c>
      <c r="AC71" s="186">
        <v>0</v>
      </c>
      <c r="AD71" s="186">
        <v>0</v>
      </c>
      <c r="AE71" s="2682">
        <f t="shared" si="50"/>
        <v>0</v>
      </c>
      <c r="AF71" s="2681">
        <f t="shared" si="58"/>
        <v>0</v>
      </c>
      <c r="AG71" s="186">
        <f t="shared" si="59"/>
        <v>0</v>
      </c>
      <c r="AH71" s="186">
        <f t="shared" si="51"/>
        <v>0</v>
      </c>
      <c r="AI71" s="186">
        <f t="shared" si="52"/>
        <v>0</v>
      </c>
      <c r="AJ71" s="2697">
        <f t="shared" si="53"/>
        <v>0</v>
      </c>
      <c r="AK71" s="2704">
        <f t="shared" si="54"/>
        <v>0</v>
      </c>
      <c r="AL71" s="199"/>
      <c r="AM71" s="422"/>
      <c r="AN71" s="2762">
        <f t="shared" si="30"/>
        <v>0</v>
      </c>
      <c r="AO71" s="1060"/>
      <c r="AP71" s="2763">
        <f t="shared" si="31"/>
        <v>0</v>
      </c>
    </row>
    <row r="72" spans="1:42" s="66" customFormat="1" ht="15" hidden="1" customHeight="1" x14ac:dyDescent="0.2">
      <c r="A72" s="789" t="s">
        <v>139</v>
      </c>
      <c r="B72" s="2680">
        <v>32200</v>
      </c>
      <c r="C72" s="2681"/>
      <c r="D72" s="186">
        <v>0</v>
      </c>
      <c r="E72" s="186">
        <v>0</v>
      </c>
      <c r="F72" s="186">
        <v>0</v>
      </c>
      <c r="G72" s="2682">
        <f t="shared" si="44"/>
        <v>0</v>
      </c>
      <c r="H72" s="2681">
        <v>0</v>
      </c>
      <c r="I72" s="186">
        <v>0</v>
      </c>
      <c r="J72" s="186">
        <v>0</v>
      </c>
      <c r="K72" s="186">
        <v>0</v>
      </c>
      <c r="L72" s="2682">
        <f t="shared" si="45"/>
        <v>0</v>
      </c>
      <c r="M72" s="2681">
        <f t="shared" si="55"/>
        <v>0</v>
      </c>
      <c r="N72" s="186">
        <f t="shared" si="56"/>
        <v>0</v>
      </c>
      <c r="O72" s="2681"/>
      <c r="P72" s="186">
        <v>0</v>
      </c>
      <c r="Q72" s="186">
        <v>0</v>
      </c>
      <c r="R72" s="186">
        <f t="shared" si="57"/>
        <v>0</v>
      </c>
      <c r="S72" s="186">
        <f t="shared" si="46"/>
        <v>0</v>
      </c>
      <c r="T72" s="186">
        <f t="shared" si="47"/>
        <v>0</v>
      </c>
      <c r="U72" s="2697">
        <f t="shared" si="48"/>
        <v>0</v>
      </c>
      <c r="V72" s="2681"/>
      <c r="W72" s="186">
        <v>0</v>
      </c>
      <c r="X72" s="186">
        <v>0</v>
      </c>
      <c r="Y72" s="186">
        <v>0</v>
      </c>
      <c r="Z72" s="2682">
        <f t="shared" si="49"/>
        <v>0</v>
      </c>
      <c r="AA72" s="2681">
        <v>0</v>
      </c>
      <c r="AB72" s="186">
        <v>0</v>
      </c>
      <c r="AC72" s="186">
        <v>0</v>
      </c>
      <c r="AD72" s="186">
        <v>0</v>
      </c>
      <c r="AE72" s="2682">
        <f t="shared" si="50"/>
        <v>0</v>
      </c>
      <c r="AF72" s="2681">
        <f t="shared" si="58"/>
        <v>0</v>
      </c>
      <c r="AG72" s="186">
        <f t="shared" si="59"/>
        <v>0</v>
      </c>
      <c r="AH72" s="186">
        <f t="shared" si="51"/>
        <v>0</v>
      </c>
      <c r="AI72" s="186">
        <f t="shared" si="52"/>
        <v>0</v>
      </c>
      <c r="AJ72" s="2697">
        <f t="shared" si="53"/>
        <v>0</v>
      </c>
      <c r="AK72" s="2704">
        <f t="shared" si="54"/>
        <v>0</v>
      </c>
      <c r="AL72" s="199"/>
      <c r="AM72" s="422"/>
      <c r="AN72" s="2762">
        <f t="shared" si="30"/>
        <v>0</v>
      </c>
      <c r="AO72" s="1060"/>
      <c r="AP72" s="2763">
        <f t="shared" si="31"/>
        <v>0</v>
      </c>
    </row>
    <row r="73" spans="1:42" s="66" customFormat="1" ht="15" hidden="1" customHeight="1" x14ac:dyDescent="0.2">
      <c r="A73" s="789" t="s">
        <v>140</v>
      </c>
      <c r="B73" s="2680"/>
      <c r="C73" s="2681"/>
      <c r="D73" s="186">
        <v>0</v>
      </c>
      <c r="E73" s="186">
        <v>0</v>
      </c>
      <c r="F73" s="186">
        <v>0</v>
      </c>
      <c r="G73" s="2682">
        <f t="shared" si="44"/>
        <v>0</v>
      </c>
      <c r="H73" s="2681">
        <v>0</v>
      </c>
      <c r="I73" s="186">
        <v>0</v>
      </c>
      <c r="J73" s="186">
        <v>0</v>
      </c>
      <c r="K73" s="186">
        <v>0</v>
      </c>
      <c r="L73" s="2682">
        <f t="shared" si="45"/>
        <v>0</v>
      </c>
      <c r="M73" s="2681">
        <f t="shared" si="55"/>
        <v>0</v>
      </c>
      <c r="N73" s="186">
        <f t="shared" si="56"/>
        <v>0</v>
      </c>
      <c r="O73" s="2681">
        <v>0</v>
      </c>
      <c r="P73" s="186">
        <v>0</v>
      </c>
      <c r="Q73" s="186">
        <v>0</v>
      </c>
      <c r="R73" s="186">
        <f t="shared" si="57"/>
        <v>0</v>
      </c>
      <c r="S73" s="186">
        <f t="shared" si="46"/>
        <v>0</v>
      </c>
      <c r="T73" s="186">
        <f t="shared" si="47"/>
        <v>0</v>
      </c>
      <c r="U73" s="2697">
        <f t="shared" si="48"/>
        <v>0</v>
      </c>
      <c r="V73" s="2681"/>
      <c r="W73" s="186">
        <v>0</v>
      </c>
      <c r="X73" s="186">
        <v>0</v>
      </c>
      <c r="Y73" s="186">
        <v>0</v>
      </c>
      <c r="Z73" s="2682">
        <f t="shared" si="49"/>
        <v>0</v>
      </c>
      <c r="AA73" s="2681">
        <v>0</v>
      </c>
      <c r="AB73" s="186">
        <v>0</v>
      </c>
      <c r="AC73" s="186">
        <v>0</v>
      </c>
      <c r="AD73" s="186">
        <v>0</v>
      </c>
      <c r="AE73" s="2682">
        <f t="shared" si="50"/>
        <v>0</v>
      </c>
      <c r="AF73" s="2681">
        <f t="shared" si="58"/>
        <v>0</v>
      </c>
      <c r="AG73" s="186">
        <f t="shared" si="59"/>
        <v>0</v>
      </c>
      <c r="AH73" s="186">
        <f t="shared" si="51"/>
        <v>0</v>
      </c>
      <c r="AI73" s="186">
        <f t="shared" si="52"/>
        <v>0</v>
      </c>
      <c r="AJ73" s="2697">
        <f t="shared" si="53"/>
        <v>0</v>
      </c>
      <c r="AK73" s="2704">
        <f t="shared" si="54"/>
        <v>0</v>
      </c>
      <c r="AL73" s="199"/>
      <c r="AM73" s="422"/>
      <c r="AN73" s="2762">
        <f t="shared" si="30"/>
        <v>0</v>
      </c>
      <c r="AO73" s="1060"/>
      <c r="AP73" s="2763">
        <f t="shared" si="31"/>
        <v>0</v>
      </c>
    </row>
    <row r="74" spans="1:42" s="66" customFormat="1" ht="15" hidden="1" customHeight="1" x14ac:dyDescent="0.2">
      <c r="A74" s="789" t="s">
        <v>182</v>
      </c>
      <c r="B74" s="2680"/>
      <c r="C74" s="2681"/>
      <c r="D74" s="186">
        <v>0</v>
      </c>
      <c r="E74" s="186">
        <v>0</v>
      </c>
      <c r="F74" s="186">
        <v>0</v>
      </c>
      <c r="G74" s="2682">
        <f t="shared" si="44"/>
        <v>0</v>
      </c>
      <c r="H74" s="2681">
        <v>0</v>
      </c>
      <c r="I74" s="186">
        <v>0</v>
      </c>
      <c r="J74" s="186">
        <v>0</v>
      </c>
      <c r="K74" s="186">
        <v>0</v>
      </c>
      <c r="L74" s="2682">
        <f t="shared" si="45"/>
        <v>0</v>
      </c>
      <c r="M74" s="2681">
        <f t="shared" si="55"/>
        <v>0</v>
      </c>
      <c r="N74" s="186">
        <f t="shared" si="56"/>
        <v>0</v>
      </c>
      <c r="O74" s="2681">
        <v>0</v>
      </c>
      <c r="P74" s="186">
        <v>0</v>
      </c>
      <c r="Q74" s="186">
        <v>0</v>
      </c>
      <c r="R74" s="186">
        <f t="shared" si="57"/>
        <v>0</v>
      </c>
      <c r="S74" s="186">
        <f t="shared" si="46"/>
        <v>0</v>
      </c>
      <c r="T74" s="186">
        <f t="shared" si="47"/>
        <v>0</v>
      </c>
      <c r="U74" s="2697">
        <f t="shared" si="48"/>
        <v>0</v>
      </c>
      <c r="V74" s="2681"/>
      <c r="W74" s="186">
        <v>0</v>
      </c>
      <c r="X74" s="186">
        <v>0</v>
      </c>
      <c r="Y74" s="186">
        <v>0</v>
      </c>
      <c r="Z74" s="2682">
        <f t="shared" si="49"/>
        <v>0</v>
      </c>
      <c r="AA74" s="2681">
        <v>0</v>
      </c>
      <c r="AB74" s="186">
        <v>0</v>
      </c>
      <c r="AC74" s="186">
        <v>0</v>
      </c>
      <c r="AD74" s="186">
        <v>0</v>
      </c>
      <c r="AE74" s="2682">
        <f t="shared" si="50"/>
        <v>0</v>
      </c>
      <c r="AF74" s="2681">
        <f t="shared" si="58"/>
        <v>0</v>
      </c>
      <c r="AG74" s="186">
        <f t="shared" si="59"/>
        <v>0</v>
      </c>
      <c r="AH74" s="186">
        <f t="shared" si="51"/>
        <v>0</v>
      </c>
      <c r="AI74" s="186">
        <f t="shared" si="52"/>
        <v>0</v>
      </c>
      <c r="AJ74" s="2697">
        <f t="shared" si="53"/>
        <v>0</v>
      </c>
      <c r="AK74" s="2704">
        <f t="shared" si="54"/>
        <v>0</v>
      </c>
      <c r="AL74" s="199"/>
      <c r="AM74" s="422"/>
      <c r="AN74" s="2762">
        <f t="shared" si="30"/>
        <v>0</v>
      </c>
      <c r="AO74" s="1060"/>
      <c r="AP74" s="2763">
        <f t="shared" si="31"/>
        <v>0</v>
      </c>
    </row>
    <row r="75" spans="1:42" s="66" customFormat="1" ht="15" hidden="1" customHeight="1" x14ac:dyDescent="0.2">
      <c r="A75" s="789" t="s">
        <v>639</v>
      </c>
      <c r="B75" s="2680"/>
      <c r="C75" s="2681"/>
      <c r="D75" s="186">
        <v>0</v>
      </c>
      <c r="E75" s="186">
        <v>0</v>
      </c>
      <c r="F75" s="186">
        <v>0</v>
      </c>
      <c r="G75" s="2682">
        <f t="shared" si="44"/>
        <v>0</v>
      </c>
      <c r="H75" s="2681">
        <v>0</v>
      </c>
      <c r="I75" s="186">
        <v>0</v>
      </c>
      <c r="J75" s="186">
        <v>0</v>
      </c>
      <c r="K75" s="186">
        <v>0</v>
      </c>
      <c r="L75" s="2682">
        <f t="shared" si="45"/>
        <v>0</v>
      </c>
      <c r="M75" s="2681">
        <f t="shared" si="55"/>
        <v>0</v>
      </c>
      <c r="N75" s="186">
        <f t="shared" si="56"/>
        <v>0</v>
      </c>
      <c r="O75" s="2681">
        <v>0</v>
      </c>
      <c r="P75" s="186">
        <v>0</v>
      </c>
      <c r="Q75" s="186">
        <v>0</v>
      </c>
      <c r="R75" s="186">
        <f t="shared" si="57"/>
        <v>0</v>
      </c>
      <c r="S75" s="186">
        <f t="shared" si="46"/>
        <v>0</v>
      </c>
      <c r="T75" s="186">
        <f t="shared" si="47"/>
        <v>0</v>
      </c>
      <c r="U75" s="2697">
        <f t="shared" si="48"/>
        <v>0</v>
      </c>
      <c r="V75" s="2681"/>
      <c r="W75" s="186">
        <v>0</v>
      </c>
      <c r="X75" s="186">
        <v>0</v>
      </c>
      <c r="Y75" s="186">
        <v>0</v>
      </c>
      <c r="Z75" s="2682">
        <f t="shared" si="49"/>
        <v>0</v>
      </c>
      <c r="AA75" s="2681">
        <v>0</v>
      </c>
      <c r="AB75" s="186">
        <v>0</v>
      </c>
      <c r="AC75" s="186">
        <v>0</v>
      </c>
      <c r="AD75" s="186">
        <v>0</v>
      </c>
      <c r="AE75" s="2682">
        <f t="shared" si="50"/>
        <v>0</v>
      </c>
      <c r="AF75" s="2681">
        <f t="shared" si="58"/>
        <v>0</v>
      </c>
      <c r="AG75" s="186">
        <f t="shared" si="59"/>
        <v>0</v>
      </c>
      <c r="AH75" s="186">
        <f t="shared" si="51"/>
        <v>0</v>
      </c>
      <c r="AI75" s="186">
        <f t="shared" si="52"/>
        <v>0</v>
      </c>
      <c r="AJ75" s="2697">
        <f t="shared" si="53"/>
        <v>0</v>
      </c>
      <c r="AK75" s="2704">
        <f t="shared" si="54"/>
        <v>0</v>
      </c>
      <c r="AL75" s="199"/>
      <c r="AM75" s="422"/>
      <c r="AN75" s="2762">
        <f t="shared" si="30"/>
        <v>0</v>
      </c>
      <c r="AO75" s="1060"/>
      <c r="AP75" s="2763">
        <f t="shared" si="31"/>
        <v>0</v>
      </c>
    </row>
    <row r="76" spans="1:42" s="66" customFormat="1" ht="15" hidden="1" customHeight="1" x14ac:dyDescent="0.2">
      <c r="A76" s="789" t="s">
        <v>2111</v>
      </c>
      <c r="B76" s="2680">
        <v>37002</v>
      </c>
      <c r="C76" s="2681"/>
      <c r="D76" s="186">
        <v>0</v>
      </c>
      <c r="E76" s="186">
        <v>0</v>
      </c>
      <c r="F76" s="186">
        <v>0</v>
      </c>
      <c r="G76" s="2682">
        <f>SUM(C76:F76)</f>
        <v>0</v>
      </c>
      <c r="H76" s="2681">
        <v>0</v>
      </c>
      <c r="I76" s="186">
        <v>0</v>
      </c>
      <c r="J76" s="186">
        <v>0</v>
      </c>
      <c r="K76" s="186">
        <v>0</v>
      </c>
      <c r="L76" s="2682">
        <f>SUM(H76:K76)</f>
        <v>0</v>
      </c>
      <c r="M76" s="2681">
        <f t="shared" ref="M76:N78" si="63">SUM(C76,H76)</f>
        <v>0</v>
      </c>
      <c r="N76" s="186">
        <f t="shared" si="63"/>
        <v>0</v>
      </c>
      <c r="O76" s="2681">
        <v>0</v>
      </c>
      <c r="P76" s="186">
        <v>0</v>
      </c>
      <c r="Q76" s="186">
        <v>0</v>
      </c>
      <c r="R76" s="186">
        <f>SUM(O76:Q76)</f>
        <v>0</v>
      </c>
      <c r="S76" s="186">
        <f t="shared" ref="S76:T78" si="64">SUM(E76,J76)</f>
        <v>0</v>
      </c>
      <c r="T76" s="186">
        <f t="shared" si="64"/>
        <v>0</v>
      </c>
      <c r="U76" s="2697">
        <f>SUM(M76:N76,R76:T76)</f>
        <v>0</v>
      </c>
      <c r="V76" s="2681"/>
      <c r="W76" s="186">
        <v>0</v>
      </c>
      <c r="X76" s="186">
        <v>0</v>
      </c>
      <c r="Y76" s="186">
        <v>0</v>
      </c>
      <c r="Z76" s="2682">
        <f>SUM(V76:Y76)</f>
        <v>0</v>
      </c>
      <c r="AA76" s="2681">
        <v>0</v>
      </c>
      <c r="AB76" s="186">
        <v>0</v>
      </c>
      <c r="AC76" s="186">
        <v>0</v>
      </c>
      <c r="AD76" s="186">
        <v>0</v>
      </c>
      <c r="AE76" s="2682">
        <f>SUM(AA76:AD76)</f>
        <v>0</v>
      </c>
      <c r="AF76" s="2681">
        <f t="shared" ref="AF76:AI78" si="65">SUM(V76,AA76)</f>
        <v>0</v>
      </c>
      <c r="AG76" s="186">
        <f t="shared" si="65"/>
        <v>0</v>
      </c>
      <c r="AH76" s="186">
        <f t="shared" si="65"/>
        <v>0</v>
      </c>
      <c r="AI76" s="186">
        <f t="shared" si="65"/>
        <v>0</v>
      </c>
      <c r="AJ76" s="2697">
        <f>SUM(AF76:AI76)</f>
        <v>0</v>
      </c>
      <c r="AK76" s="2704">
        <f>+U76-AJ76</f>
        <v>0</v>
      </c>
      <c r="AL76" s="199"/>
      <c r="AM76" s="422"/>
      <c r="AN76" s="2762">
        <f t="shared" si="30"/>
        <v>0</v>
      </c>
      <c r="AO76" s="1060"/>
      <c r="AP76" s="2763">
        <f t="shared" si="31"/>
        <v>0</v>
      </c>
    </row>
    <row r="77" spans="1:42" s="66" customFormat="1" ht="15" hidden="1" customHeight="1" x14ac:dyDescent="0.2">
      <c r="A77" s="789" t="s">
        <v>2095</v>
      </c>
      <c r="B77" s="2680">
        <v>22023</v>
      </c>
      <c r="C77" s="2681"/>
      <c r="D77" s="186">
        <v>0</v>
      </c>
      <c r="E77" s="186">
        <v>0</v>
      </c>
      <c r="F77" s="186">
        <v>0</v>
      </c>
      <c r="G77" s="2682">
        <f>SUM(C77:F77)</f>
        <v>0</v>
      </c>
      <c r="H77" s="2681">
        <v>0</v>
      </c>
      <c r="I77" s="186">
        <v>0</v>
      </c>
      <c r="J77" s="186">
        <v>0</v>
      </c>
      <c r="K77" s="186">
        <v>0</v>
      </c>
      <c r="L77" s="2682">
        <f>SUM(H77:K77)</f>
        <v>0</v>
      </c>
      <c r="M77" s="2681">
        <f t="shared" si="63"/>
        <v>0</v>
      </c>
      <c r="N77" s="186">
        <f t="shared" si="63"/>
        <v>0</v>
      </c>
      <c r="O77" s="2681">
        <v>0</v>
      </c>
      <c r="P77" s="186">
        <v>0</v>
      </c>
      <c r="Q77" s="186">
        <v>0</v>
      </c>
      <c r="R77" s="186">
        <f>SUM(O77:Q77)</f>
        <v>0</v>
      </c>
      <c r="S77" s="186">
        <f t="shared" si="64"/>
        <v>0</v>
      </c>
      <c r="T77" s="186">
        <f t="shared" si="64"/>
        <v>0</v>
      </c>
      <c r="U77" s="2697">
        <f>SUM(M77:N77,R77:T77)</f>
        <v>0</v>
      </c>
      <c r="V77" s="2681"/>
      <c r="W77" s="186">
        <v>0</v>
      </c>
      <c r="X77" s="186">
        <v>0</v>
      </c>
      <c r="Y77" s="186">
        <v>0</v>
      </c>
      <c r="Z77" s="2682">
        <f>SUM(V77:Y77)</f>
        <v>0</v>
      </c>
      <c r="AA77" s="2681">
        <v>0</v>
      </c>
      <c r="AB77" s="186">
        <v>0</v>
      </c>
      <c r="AC77" s="186">
        <v>0</v>
      </c>
      <c r="AD77" s="186">
        <v>0</v>
      </c>
      <c r="AE77" s="2682">
        <f>SUM(AA77:AD77)</f>
        <v>0</v>
      </c>
      <c r="AF77" s="2681">
        <f t="shared" si="65"/>
        <v>0</v>
      </c>
      <c r="AG77" s="186">
        <f t="shared" si="65"/>
        <v>0</v>
      </c>
      <c r="AH77" s="186">
        <f t="shared" si="65"/>
        <v>0</v>
      </c>
      <c r="AI77" s="186">
        <f t="shared" si="65"/>
        <v>0</v>
      </c>
      <c r="AJ77" s="2697">
        <f>SUM(AF77:AI77)</f>
        <v>0</v>
      </c>
      <c r="AK77" s="2704">
        <f>+U77-AJ77</f>
        <v>0</v>
      </c>
      <c r="AL77" s="199"/>
      <c r="AM77" s="422"/>
      <c r="AN77" s="2762">
        <f t="shared" si="30"/>
        <v>0</v>
      </c>
      <c r="AO77" s="1060"/>
      <c r="AP77" s="2763">
        <f t="shared" si="31"/>
        <v>0</v>
      </c>
    </row>
    <row r="78" spans="1:42" s="66" customFormat="1" ht="15" hidden="1" customHeight="1" x14ac:dyDescent="0.2">
      <c r="A78" s="789" t="s">
        <v>2110</v>
      </c>
      <c r="B78" s="2680">
        <v>39501</v>
      </c>
      <c r="C78" s="2681"/>
      <c r="D78" s="186">
        <v>0</v>
      </c>
      <c r="E78" s="186">
        <v>0</v>
      </c>
      <c r="F78" s="186">
        <v>0</v>
      </c>
      <c r="G78" s="2682">
        <f>SUM(C78:F78)</f>
        <v>0</v>
      </c>
      <c r="H78" s="2681">
        <v>0</v>
      </c>
      <c r="I78" s="186">
        <v>0</v>
      </c>
      <c r="J78" s="186">
        <v>0</v>
      </c>
      <c r="K78" s="186">
        <v>0</v>
      </c>
      <c r="L78" s="2682">
        <f>SUM(H78:K78)</f>
        <v>0</v>
      </c>
      <c r="M78" s="2681">
        <f t="shared" si="63"/>
        <v>0</v>
      </c>
      <c r="N78" s="186">
        <f t="shared" si="63"/>
        <v>0</v>
      </c>
      <c r="O78" s="2681">
        <v>0</v>
      </c>
      <c r="P78" s="186">
        <v>0</v>
      </c>
      <c r="Q78" s="186">
        <v>0</v>
      </c>
      <c r="R78" s="186">
        <f>SUM(O78:Q78)</f>
        <v>0</v>
      </c>
      <c r="S78" s="186">
        <f t="shared" si="64"/>
        <v>0</v>
      </c>
      <c r="T78" s="186">
        <f t="shared" si="64"/>
        <v>0</v>
      </c>
      <c r="U78" s="2697">
        <f>SUM(M78:N78,R78:T78)</f>
        <v>0</v>
      </c>
      <c r="V78" s="2681"/>
      <c r="W78" s="186">
        <v>0</v>
      </c>
      <c r="X78" s="186">
        <v>0</v>
      </c>
      <c r="Y78" s="186">
        <v>0</v>
      </c>
      <c r="Z78" s="2682">
        <f>SUM(V78:Y78)</f>
        <v>0</v>
      </c>
      <c r="AA78" s="2681">
        <v>0</v>
      </c>
      <c r="AB78" s="186">
        <v>0</v>
      </c>
      <c r="AC78" s="186">
        <v>0</v>
      </c>
      <c r="AD78" s="186">
        <v>0</v>
      </c>
      <c r="AE78" s="2682">
        <f>SUM(AA78:AD78)</f>
        <v>0</v>
      </c>
      <c r="AF78" s="2681">
        <f t="shared" si="65"/>
        <v>0</v>
      </c>
      <c r="AG78" s="186">
        <f t="shared" si="65"/>
        <v>0</v>
      </c>
      <c r="AH78" s="186">
        <f t="shared" si="65"/>
        <v>0</v>
      </c>
      <c r="AI78" s="186">
        <f t="shared" si="65"/>
        <v>0</v>
      </c>
      <c r="AJ78" s="2697">
        <f>SUM(AF78:AI78)</f>
        <v>0</v>
      </c>
      <c r="AK78" s="2704">
        <f>+U78-AJ78</f>
        <v>0</v>
      </c>
      <c r="AL78" s="199"/>
      <c r="AM78" s="422"/>
      <c r="AN78" s="2762">
        <f t="shared" si="30"/>
        <v>0</v>
      </c>
      <c r="AO78" s="1060"/>
      <c r="AP78" s="2763">
        <f t="shared" si="31"/>
        <v>0</v>
      </c>
    </row>
    <row r="79" spans="1:42" s="66" customFormat="1" ht="15" hidden="1" customHeight="1" x14ac:dyDescent="0.2">
      <c r="A79" s="789" t="s">
        <v>467</v>
      </c>
      <c r="B79" s="2680"/>
      <c r="C79" s="2681"/>
      <c r="D79" s="186">
        <v>0</v>
      </c>
      <c r="E79" s="186">
        <v>0</v>
      </c>
      <c r="F79" s="186">
        <v>0</v>
      </c>
      <c r="G79" s="2682">
        <f t="shared" si="44"/>
        <v>0</v>
      </c>
      <c r="H79" s="2681">
        <v>0</v>
      </c>
      <c r="I79" s="186">
        <v>0</v>
      </c>
      <c r="J79" s="186">
        <v>0</v>
      </c>
      <c r="K79" s="186">
        <v>0</v>
      </c>
      <c r="L79" s="2682">
        <f t="shared" si="45"/>
        <v>0</v>
      </c>
      <c r="M79" s="2681">
        <f t="shared" si="55"/>
        <v>0</v>
      </c>
      <c r="N79" s="186">
        <f t="shared" si="56"/>
        <v>0</v>
      </c>
      <c r="O79" s="2681">
        <v>0</v>
      </c>
      <c r="P79" s="186">
        <v>0</v>
      </c>
      <c r="Q79" s="186">
        <v>0</v>
      </c>
      <c r="R79" s="186">
        <f t="shared" si="57"/>
        <v>0</v>
      </c>
      <c r="S79" s="186">
        <f t="shared" si="46"/>
        <v>0</v>
      </c>
      <c r="T79" s="186">
        <f t="shared" si="47"/>
        <v>0</v>
      </c>
      <c r="U79" s="2697">
        <f t="shared" si="48"/>
        <v>0</v>
      </c>
      <c r="V79" s="2681"/>
      <c r="W79" s="186">
        <v>0</v>
      </c>
      <c r="X79" s="186">
        <v>0</v>
      </c>
      <c r="Y79" s="186">
        <v>0</v>
      </c>
      <c r="Z79" s="2682">
        <f t="shared" si="49"/>
        <v>0</v>
      </c>
      <c r="AA79" s="2681">
        <v>0</v>
      </c>
      <c r="AB79" s="186">
        <v>0</v>
      </c>
      <c r="AC79" s="186">
        <v>0</v>
      </c>
      <c r="AD79" s="186">
        <v>0</v>
      </c>
      <c r="AE79" s="2682">
        <f t="shared" si="50"/>
        <v>0</v>
      </c>
      <c r="AF79" s="2681">
        <f t="shared" si="58"/>
        <v>0</v>
      </c>
      <c r="AG79" s="186">
        <f t="shared" si="59"/>
        <v>0</v>
      </c>
      <c r="AH79" s="186">
        <f t="shared" si="51"/>
        <v>0</v>
      </c>
      <c r="AI79" s="186">
        <f t="shared" si="52"/>
        <v>0</v>
      </c>
      <c r="AJ79" s="2697">
        <f t="shared" si="53"/>
        <v>0</v>
      </c>
      <c r="AK79" s="2704">
        <f t="shared" si="54"/>
        <v>0</v>
      </c>
      <c r="AL79" s="199"/>
      <c r="AM79" s="422"/>
      <c r="AN79" s="2762">
        <f t="shared" si="30"/>
        <v>0</v>
      </c>
      <c r="AO79" s="1060"/>
      <c r="AP79" s="2763">
        <f t="shared" si="31"/>
        <v>0</v>
      </c>
    </row>
    <row r="80" spans="1:42" s="66" customFormat="1" ht="15" hidden="1" customHeight="1" x14ac:dyDescent="0.2">
      <c r="A80" s="789" t="s">
        <v>468</v>
      </c>
      <c r="B80" s="2680"/>
      <c r="C80" s="2681"/>
      <c r="D80" s="186">
        <v>0</v>
      </c>
      <c r="E80" s="186">
        <v>0</v>
      </c>
      <c r="F80" s="186">
        <v>0</v>
      </c>
      <c r="G80" s="2682">
        <f t="shared" si="44"/>
        <v>0</v>
      </c>
      <c r="H80" s="2681">
        <v>0</v>
      </c>
      <c r="I80" s="186">
        <v>0</v>
      </c>
      <c r="J80" s="186">
        <v>0</v>
      </c>
      <c r="K80" s="186">
        <v>0</v>
      </c>
      <c r="L80" s="2682">
        <f t="shared" si="45"/>
        <v>0</v>
      </c>
      <c r="M80" s="2681">
        <f t="shared" si="55"/>
        <v>0</v>
      </c>
      <c r="N80" s="186">
        <f t="shared" si="56"/>
        <v>0</v>
      </c>
      <c r="O80" s="2681">
        <v>0</v>
      </c>
      <c r="P80" s="186">
        <v>0</v>
      </c>
      <c r="Q80" s="186">
        <v>0</v>
      </c>
      <c r="R80" s="186">
        <f t="shared" si="57"/>
        <v>0</v>
      </c>
      <c r="S80" s="186">
        <f t="shared" si="46"/>
        <v>0</v>
      </c>
      <c r="T80" s="186">
        <f t="shared" si="47"/>
        <v>0</v>
      </c>
      <c r="U80" s="2697">
        <f t="shared" si="48"/>
        <v>0</v>
      </c>
      <c r="V80" s="2681"/>
      <c r="W80" s="186">
        <v>0</v>
      </c>
      <c r="X80" s="186">
        <v>0</v>
      </c>
      <c r="Y80" s="186">
        <v>0</v>
      </c>
      <c r="Z80" s="2682">
        <f t="shared" si="49"/>
        <v>0</v>
      </c>
      <c r="AA80" s="2681">
        <v>0</v>
      </c>
      <c r="AB80" s="186">
        <v>0</v>
      </c>
      <c r="AC80" s="186">
        <v>0</v>
      </c>
      <c r="AD80" s="186">
        <v>0</v>
      </c>
      <c r="AE80" s="2682">
        <f t="shared" si="50"/>
        <v>0</v>
      </c>
      <c r="AF80" s="2681">
        <f t="shared" si="58"/>
        <v>0</v>
      </c>
      <c r="AG80" s="186">
        <f t="shared" si="59"/>
        <v>0</v>
      </c>
      <c r="AH80" s="186">
        <f t="shared" si="51"/>
        <v>0</v>
      </c>
      <c r="AI80" s="186">
        <f t="shared" si="52"/>
        <v>0</v>
      </c>
      <c r="AJ80" s="2697">
        <f t="shared" si="53"/>
        <v>0</v>
      </c>
      <c r="AK80" s="2704">
        <f t="shared" si="54"/>
        <v>0</v>
      </c>
      <c r="AL80" s="199"/>
      <c r="AM80" s="422"/>
      <c r="AN80" s="2762">
        <f t="shared" si="30"/>
        <v>0</v>
      </c>
      <c r="AO80" s="1060"/>
      <c r="AP80" s="2763">
        <f t="shared" si="31"/>
        <v>0</v>
      </c>
    </row>
    <row r="81" spans="1:42" s="66" customFormat="1" ht="15" customHeight="1" x14ac:dyDescent="0.2">
      <c r="A81" s="789"/>
      <c r="B81" s="2680"/>
      <c r="C81" s="2681"/>
      <c r="D81" s="186"/>
      <c r="E81" s="186"/>
      <c r="F81" s="186"/>
      <c r="G81" s="2682"/>
      <c r="H81" s="2681"/>
      <c r="I81" s="186"/>
      <c r="J81" s="186"/>
      <c r="K81" s="186"/>
      <c r="L81" s="2682"/>
      <c r="M81" s="2681"/>
      <c r="N81" s="186"/>
      <c r="O81" s="2681"/>
      <c r="P81" s="186"/>
      <c r="Q81" s="186"/>
      <c r="R81" s="186"/>
      <c r="S81" s="186"/>
      <c r="T81" s="186"/>
      <c r="U81" s="2697"/>
      <c r="V81" s="2681"/>
      <c r="W81" s="186"/>
      <c r="X81" s="186"/>
      <c r="Y81" s="186"/>
      <c r="Z81" s="2682"/>
      <c r="AA81" s="2681"/>
      <c r="AB81" s="186"/>
      <c r="AC81" s="186"/>
      <c r="AD81" s="186"/>
      <c r="AE81" s="2682"/>
      <c r="AF81" s="2681"/>
      <c r="AG81" s="186"/>
      <c r="AH81" s="186"/>
      <c r="AI81" s="186"/>
      <c r="AJ81" s="2697"/>
      <c r="AK81" s="2704"/>
      <c r="AL81" s="199"/>
      <c r="AM81" s="422"/>
      <c r="AN81" s="2762"/>
      <c r="AO81" s="1060"/>
      <c r="AP81" s="2763">
        <f t="shared" si="31"/>
        <v>0</v>
      </c>
    </row>
    <row r="82" spans="1:42" s="66" customFormat="1" ht="15" customHeight="1" x14ac:dyDescent="0.2">
      <c r="A82" s="2689" t="s">
        <v>469</v>
      </c>
      <c r="B82" s="2690"/>
      <c r="C82" s="2687"/>
      <c r="D82" s="689"/>
      <c r="E82" s="689"/>
      <c r="F82" s="689"/>
      <c r="G82" s="2688"/>
      <c r="H82" s="2687"/>
      <c r="I82" s="689"/>
      <c r="J82" s="689"/>
      <c r="K82" s="689"/>
      <c r="L82" s="2688"/>
      <c r="M82" s="2687"/>
      <c r="N82" s="689"/>
      <c r="O82" s="2687"/>
      <c r="P82" s="689"/>
      <c r="Q82" s="689"/>
      <c r="R82" s="689"/>
      <c r="S82" s="689"/>
      <c r="T82" s="689"/>
      <c r="U82" s="2700"/>
      <c r="V82" s="2687"/>
      <c r="W82" s="689"/>
      <c r="X82" s="689"/>
      <c r="Y82" s="689"/>
      <c r="Z82" s="2688"/>
      <c r="AA82" s="2687"/>
      <c r="AB82" s="689"/>
      <c r="AC82" s="689"/>
      <c r="AD82" s="689"/>
      <c r="AE82" s="2688"/>
      <c r="AF82" s="2687"/>
      <c r="AG82" s="689"/>
      <c r="AH82" s="689"/>
      <c r="AI82" s="689"/>
      <c r="AJ82" s="2700"/>
      <c r="AK82" s="2706"/>
      <c r="AL82" s="57"/>
      <c r="AM82" s="422"/>
      <c r="AN82" s="2762"/>
      <c r="AO82" s="1060"/>
      <c r="AP82" s="2763">
        <f t="shared" si="31"/>
        <v>0</v>
      </c>
    </row>
    <row r="83" spans="1:42" s="2669" customFormat="1" ht="15" customHeight="1" x14ac:dyDescent="0.2">
      <c r="A83" s="789" t="s">
        <v>7772</v>
      </c>
      <c r="B83" s="2680"/>
      <c r="C83" s="2681"/>
      <c r="D83" s="186">
        <v>0</v>
      </c>
      <c r="E83" s="186">
        <v>0</v>
      </c>
      <c r="F83" s="186">
        <v>0</v>
      </c>
      <c r="G83" s="2682">
        <f>SUM(C83:F83)</f>
        <v>0</v>
      </c>
      <c r="H83" s="2681">
        <v>0</v>
      </c>
      <c r="I83" s="186">
        <v>0</v>
      </c>
      <c r="J83" s="186">
        <v>0</v>
      </c>
      <c r="K83" s="186">
        <v>0</v>
      </c>
      <c r="L83" s="2682">
        <f>SUM(H83:K83)</f>
        <v>0</v>
      </c>
      <c r="M83" s="2681">
        <v>130873296.25</v>
      </c>
      <c r="N83" s="186">
        <v>8124883.5</v>
      </c>
      <c r="O83" s="2681">
        <v>0</v>
      </c>
      <c r="P83" s="186">
        <v>0</v>
      </c>
      <c r="Q83" s="186">
        <v>0</v>
      </c>
      <c r="R83" s="186">
        <v>2193676</v>
      </c>
      <c r="S83" s="186">
        <f>SUM(E83,J83)</f>
        <v>0</v>
      </c>
      <c r="T83" s="186">
        <f>SUM(F83,K83)</f>
        <v>0</v>
      </c>
      <c r="U83" s="2697">
        <f>SUM(M83:N83,R83:T83)</f>
        <v>141191855.75</v>
      </c>
      <c r="V83" s="2681"/>
      <c r="W83" s="186">
        <v>0</v>
      </c>
      <c r="X83" s="186">
        <v>0</v>
      </c>
      <c r="Y83" s="186">
        <v>0</v>
      </c>
      <c r="Z83" s="2682">
        <f>SUM(V83:Y83)</f>
        <v>0</v>
      </c>
      <c r="AA83" s="2681">
        <v>0</v>
      </c>
      <c r="AB83" s="186">
        <v>0</v>
      </c>
      <c r="AC83" s="186">
        <v>0</v>
      </c>
      <c r="AD83" s="186">
        <v>0</v>
      </c>
      <c r="AE83" s="2682">
        <f>SUM(AA83:AD83)</f>
        <v>0</v>
      </c>
      <c r="AF83" s="2681">
        <v>78695245.310000002</v>
      </c>
      <c r="AG83" s="186">
        <v>3223854.41</v>
      </c>
      <c r="AH83" s="186">
        <f t="shared" ref="AF83:AI84" si="66">SUM(X83,AC83)</f>
        <v>0</v>
      </c>
      <c r="AI83" s="186">
        <f t="shared" si="66"/>
        <v>0</v>
      </c>
      <c r="AJ83" s="2697">
        <f>SUM(AF83:AI83)</f>
        <v>81919099.719999999</v>
      </c>
      <c r="AK83" s="2704">
        <f>+U83-AJ83</f>
        <v>59272756.030000001</v>
      </c>
      <c r="AL83" s="199"/>
      <c r="AM83" s="2665"/>
      <c r="AN83" s="2762">
        <f t="shared" si="30"/>
        <v>10318559.5</v>
      </c>
      <c r="AO83" s="2667">
        <f>'APPENDIX C'!E58</f>
        <v>10318562</v>
      </c>
      <c r="AP83" s="2763">
        <f t="shared" si="31"/>
        <v>-2.5</v>
      </c>
    </row>
    <row r="84" spans="1:42" s="66" customFormat="1" ht="15" hidden="1" customHeight="1" x14ac:dyDescent="0.2">
      <c r="A84" s="789" t="s">
        <v>2067</v>
      </c>
      <c r="B84" s="2680">
        <v>36200</v>
      </c>
      <c r="C84" s="2681"/>
      <c r="D84" s="186">
        <v>0</v>
      </c>
      <c r="E84" s="186">
        <v>0</v>
      </c>
      <c r="F84" s="186">
        <v>0</v>
      </c>
      <c r="G84" s="2682">
        <f>SUM(C84:F84)</f>
        <v>0</v>
      </c>
      <c r="H84" s="2681">
        <v>0</v>
      </c>
      <c r="I84" s="186">
        <v>0</v>
      </c>
      <c r="J84" s="186">
        <v>0</v>
      </c>
      <c r="K84" s="186">
        <v>0</v>
      </c>
      <c r="L84" s="2682">
        <f>SUM(H84:K84)</f>
        <v>0</v>
      </c>
      <c r="M84" s="2681">
        <f>SUM(C84,H84)</f>
        <v>0</v>
      </c>
      <c r="N84" s="186">
        <f>SUM(D84,I84)</f>
        <v>0</v>
      </c>
      <c r="O84" s="2681">
        <v>0</v>
      </c>
      <c r="P84" s="186">
        <v>0</v>
      </c>
      <c r="Q84" s="186">
        <v>0</v>
      </c>
      <c r="R84" s="186">
        <f>SUM(O84:Q84)</f>
        <v>0</v>
      </c>
      <c r="S84" s="186">
        <f>SUM(E84,J84)</f>
        <v>0</v>
      </c>
      <c r="T84" s="186">
        <f>SUM(F84,K84)</f>
        <v>0</v>
      </c>
      <c r="U84" s="2697">
        <f>SUM(M84:N84,R84:T84)</f>
        <v>0</v>
      </c>
      <c r="V84" s="2681"/>
      <c r="W84" s="186">
        <v>0</v>
      </c>
      <c r="X84" s="186">
        <v>0</v>
      </c>
      <c r="Y84" s="186">
        <v>0</v>
      </c>
      <c r="Z84" s="2682">
        <f>SUM(V84:Y84)</f>
        <v>0</v>
      </c>
      <c r="AA84" s="2681">
        <v>0</v>
      </c>
      <c r="AB84" s="186">
        <v>0</v>
      </c>
      <c r="AC84" s="186">
        <v>0</v>
      </c>
      <c r="AD84" s="186">
        <v>0</v>
      </c>
      <c r="AE84" s="2682">
        <f>SUM(AA84:AD84)</f>
        <v>0</v>
      </c>
      <c r="AF84" s="2681">
        <f t="shared" si="66"/>
        <v>0</v>
      </c>
      <c r="AG84" s="186">
        <f t="shared" si="66"/>
        <v>0</v>
      </c>
      <c r="AH84" s="186">
        <f t="shared" si="66"/>
        <v>0</v>
      </c>
      <c r="AI84" s="186">
        <f t="shared" si="66"/>
        <v>0</v>
      </c>
      <c r="AJ84" s="2697">
        <f>SUM(AF84:AI84)</f>
        <v>0</v>
      </c>
      <c r="AK84" s="2704">
        <f>+U84-AJ84</f>
        <v>0</v>
      </c>
      <c r="AL84" s="199"/>
      <c r="AM84" s="422"/>
      <c r="AN84" s="2762">
        <f t="shared" si="30"/>
        <v>0</v>
      </c>
      <c r="AO84" s="1060"/>
      <c r="AP84" s="2763">
        <f t="shared" si="31"/>
        <v>0</v>
      </c>
    </row>
    <row r="85" spans="1:42" s="66" customFormat="1" ht="15" customHeight="1" x14ac:dyDescent="0.2">
      <c r="A85" s="789"/>
      <c r="B85" s="2680"/>
      <c r="C85" s="2681"/>
      <c r="D85" s="186"/>
      <c r="E85" s="186"/>
      <c r="F85" s="186"/>
      <c r="G85" s="2682"/>
      <c r="H85" s="2681"/>
      <c r="I85" s="186"/>
      <c r="J85" s="186"/>
      <c r="K85" s="186"/>
      <c r="L85" s="2682"/>
      <c r="M85" s="2681"/>
      <c r="N85" s="186"/>
      <c r="O85" s="2681"/>
      <c r="P85" s="186"/>
      <c r="Q85" s="186"/>
      <c r="R85" s="186"/>
      <c r="S85" s="186"/>
      <c r="T85" s="186"/>
      <c r="U85" s="2697"/>
      <c r="V85" s="2681"/>
      <c r="W85" s="186"/>
      <c r="X85" s="186"/>
      <c r="Y85" s="186"/>
      <c r="Z85" s="2682"/>
      <c r="AA85" s="2681"/>
      <c r="AB85" s="186"/>
      <c r="AC85" s="186"/>
      <c r="AD85" s="186"/>
      <c r="AE85" s="2682"/>
      <c r="AF85" s="2681"/>
      <c r="AG85" s="186"/>
      <c r="AH85" s="186"/>
      <c r="AI85" s="186"/>
      <c r="AJ85" s="2697"/>
      <c r="AK85" s="2704"/>
      <c r="AL85" s="199"/>
      <c r="AM85" s="424"/>
      <c r="AN85" s="2762"/>
      <c r="AO85" s="1060"/>
      <c r="AP85" s="2763">
        <f t="shared" si="31"/>
        <v>0</v>
      </c>
    </row>
    <row r="86" spans="1:42" s="66" customFormat="1" ht="15" hidden="1" customHeight="1" x14ac:dyDescent="0.2">
      <c r="A86" s="2689" t="s">
        <v>470</v>
      </c>
      <c r="B86" s="2690"/>
      <c r="C86" s="2687"/>
      <c r="D86" s="689"/>
      <c r="E86" s="689"/>
      <c r="F86" s="689"/>
      <c r="G86" s="2688"/>
      <c r="H86" s="2687"/>
      <c r="I86" s="689"/>
      <c r="J86" s="689"/>
      <c r="K86" s="689"/>
      <c r="L86" s="2688"/>
      <c r="M86" s="2687"/>
      <c r="N86" s="689"/>
      <c r="O86" s="2687"/>
      <c r="P86" s="689"/>
      <c r="Q86" s="689"/>
      <c r="R86" s="689"/>
      <c r="S86" s="689"/>
      <c r="T86" s="689"/>
      <c r="U86" s="2700"/>
      <c r="V86" s="2687"/>
      <c r="W86" s="689"/>
      <c r="X86" s="689"/>
      <c r="Y86" s="689"/>
      <c r="Z86" s="2688"/>
      <c r="AA86" s="2687"/>
      <c r="AB86" s="689"/>
      <c r="AC86" s="689"/>
      <c r="AD86" s="689"/>
      <c r="AE86" s="2688"/>
      <c r="AF86" s="2687"/>
      <c r="AG86" s="689"/>
      <c r="AH86" s="689"/>
      <c r="AI86" s="689"/>
      <c r="AJ86" s="2700"/>
      <c r="AK86" s="2706"/>
      <c r="AL86" s="57"/>
      <c r="AM86" s="439"/>
      <c r="AN86" s="2762"/>
      <c r="AO86" s="1060"/>
      <c r="AP86" s="2763">
        <f t="shared" si="31"/>
        <v>0</v>
      </c>
    </row>
    <row r="87" spans="1:42" s="66" customFormat="1" ht="15" hidden="1" customHeight="1" x14ac:dyDescent="0.2">
      <c r="A87" s="789" t="s">
        <v>180</v>
      </c>
      <c r="B87" s="2680"/>
      <c r="C87" s="2681"/>
      <c r="D87" s="186">
        <v>0</v>
      </c>
      <c r="E87" s="186">
        <v>0</v>
      </c>
      <c r="F87" s="186">
        <v>0</v>
      </c>
      <c r="G87" s="2682">
        <f>SUM(C87:F87)</f>
        <v>0</v>
      </c>
      <c r="H87" s="2681">
        <v>0</v>
      </c>
      <c r="I87" s="186">
        <v>0</v>
      </c>
      <c r="J87" s="186">
        <v>0</v>
      </c>
      <c r="K87" s="186">
        <v>0</v>
      </c>
      <c r="L87" s="2682">
        <f>SUM(H87:K87)</f>
        <v>0</v>
      </c>
      <c r="M87" s="2681">
        <f t="shared" ref="M87:N89" si="67">SUM(C87,H87)</f>
        <v>0</v>
      </c>
      <c r="N87" s="186">
        <f t="shared" si="67"/>
        <v>0</v>
      </c>
      <c r="O87" s="2681">
        <v>0</v>
      </c>
      <c r="P87" s="186">
        <v>0</v>
      </c>
      <c r="Q87" s="186">
        <v>0</v>
      </c>
      <c r="R87" s="186">
        <f>SUM(O87:Q87)</f>
        <v>0</v>
      </c>
      <c r="S87" s="186">
        <f t="shared" ref="S87:T89" si="68">SUM(E87,J87)</f>
        <v>0</v>
      </c>
      <c r="T87" s="186">
        <f t="shared" si="68"/>
        <v>0</v>
      </c>
      <c r="U87" s="2697">
        <f>SUM(M87:N87,R87:T87)</f>
        <v>0</v>
      </c>
      <c r="V87" s="2681">
        <v>0</v>
      </c>
      <c r="W87" s="186">
        <v>0</v>
      </c>
      <c r="X87" s="186">
        <v>0</v>
      </c>
      <c r="Y87" s="186">
        <v>0</v>
      </c>
      <c r="Z87" s="2682">
        <f>SUM(V87:Y87)</f>
        <v>0</v>
      </c>
      <c r="AA87" s="2681">
        <v>0</v>
      </c>
      <c r="AB87" s="186">
        <v>0</v>
      </c>
      <c r="AC87" s="186">
        <v>0</v>
      </c>
      <c r="AD87" s="186">
        <v>0</v>
      </c>
      <c r="AE87" s="2682">
        <f>SUM(AA87:AD87)</f>
        <v>0</v>
      </c>
      <c r="AF87" s="2681">
        <f t="shared" ref="AF87:AI89" si="69">SUM(V87,AA87)</f>
        <v>0</v>
      </c>
      <c r="AG87" s="186">
        <f t="shared" si="69"/>
        <v>0</v>
      </c>
      <c r="AH87" s="186">
        <f t="shared" si="69"/>
        <v>0</v>
      </c>
      <c r="AI87" s="186">
        <f t="shared" si="69"/>
        <v>0</v>
      </c>
      <c r="AJ87" s="2697">
        <f>SUM(AF87:AI87)</f>
        <v>0</v>
      </c>
      <c r="AK87" s="2704">
        <f>+U87-AJ87</f>
        <v>0</v>
      </c>
      <c r="AL87" s="199"/>
      <c r="AM87" s="424"/>
      <c r="AN87" s="2762"/>
      <c r="AO87" s="1060"/>
      <c r="AP87" s="2763">
        <f t="shared" si="31"/>
        <v>0</v>
      </c>
    </row>
    <row r="88" spans="1:42" s="66" customFormat="1" ht="15" hidden="1" customHeight="1" x14ac:dyDescent="0.2">
      <c r="A88" s="789" t="s">
        <v>688</v>
      </c>
      <c r="B88" s="2680"/>
      <c r="C88" s="2681"/>
      <c r="D88" s="186">
        <v>0</v>
      </c>
      <c r="E88" s="186">
        <v>0</v>
      </c>
      <c r="F88" s="186">
        <v>0</v>
      </c>
      <c r="G88" s="2682">
        <f>SUM(C88:F88)</f>
        <v>0</v>
      </c>
      <c r="H88" s="2681">
        <v>0</v>
      </c>
      <c r="I88" s="186">
        <v>0</v>
      </c>
      <c r="J88" s="186">
        <v>0</v>
      </c>
      <c r="K88" s="186">
        <v>0</v>
      </c>
      <c r="L88" s="2682">
        <f>SUM(H88:K88)</f>
        <v>0</v>
      </c>
      <c r="M88" s="2681">
        <f t="shared" si="67"/>
        <v>0</v>
      </c>
      <c r="N88" s="186">
        <f t="shared" si="67"/>
        <v>0</v>
      </c>
      <c r="O88" s="2681">
        <v>0</v>
      </c>
      <c r="P88" s="186">
        <v>0</v>
      </c>
      <c r="Q88" s="186">
        <v>0</v>
      </c>
      <c r="R88" s="186">
        <f>SUM(O88:Q88)</f>
        <v>0</v>
      </c>
      <c r="S88" s="186">
        <f t="shared" si="68"/>
        <v>0</v>
      </c>
      <c r="T88" s="186">
        <f t="shared" si="68"/>
        <v>0</v>
      </c>
      <c r="U88" s="2697">
        <f>SUM(M88:N88,R88:T88)</f>
        <v>0</v>
      </c>
      <c r="V88" s="2681">
        <v>0</v>
      </c>
      <c r="W88" s="186">
        <v>0</v>
      </c>
      <c r="X88" s="186">
        <v>0</v>
      </c>
      <c r="Y88" s="186">
        <v>0</v>
      </c>
      <c r="Z88" s="2682">
        <f>SUM(V88:Y88)</f>
        <v>0</v>
      </c>
      <c r="AA88" s="2681">
        <v>0</v>
      </c>
      <c r="AB88" s="186">
        <v>0</v>
      </c>
      <c r="AC88" s="186">
        <v>0</v>
      </c>
      <c r="AD88" s="186">
        <v>0</v>
      </c>
      <c r="AE88" s="2682">
        <f>SUM(AA88:AD88)</f>
        <v>0</v>
      </c>
      <c r="AF88" s="2681">
        <f t="shared" si="69"/>
        <v>0</v>
      </c>
      <c r="AG88" s="186">
        <f t="shared" si="69"/>
        <v>0</v>
      </c>
      <c r="AH88" s="186">
        <f t="shared" si="69"/>
        <v>0</v>
      </c>
      <c r="AI88" s="186">
        <f t="shared" si="69"/>
        <v>0</v>
      </c>
      <c r="AJ88" s="2697">
        <f>SUM(AF88:AI88)</f>
        <v>0</v>
      </c>
      <c r="AK88" s="2704">
        <f>+U88-AJ88</f>
        <v>0</v>
      </c>
      <c r="AL88" s="199"/>
      <c r="AM88" s="424"/>
      <c r="AN88" s="2762"/>
      <c r="AO88" s="1060"/>
      <c r="AP88" s="2763">
        <f t="shared" si="31"/>
        <v>0</v>
      </c>
    </row>
    <row r="89" spans="1:42" s="66" customFormat="1" ht="15" hidden="1" customHeight="1" x14ac:dyDescent="0.2">
      <c r="A89" s="789" t="s">
        <v>138</v>
      </c>
      <c r="B89" s="2680"/>
      <c r="C89" s="2681"/>
      <c r="D89" s="186">
        <v>0</v>
      </c>
      <c r="E89" s="186">
        <v>0</v>
      </c>
      <c r="F89" s="186">
        <v>0</v>
      </c>
      <c r="G89" s="2682">
        <f>SUM(C89:F89)</f>
        <v>0</v>
      </c>
      <c r="H89" s="2681">
        <v>0</v>
      </c>
      <c r="I89" s="186">
        <v>0</v>
      </c>
      <c r="J89" s="186">
        <v>0</v>
      </c>
      <c r="K89" s="186">
        <v>0</v>
      </c>
      <c r="L89" s="2682">
        <f>SUM(H89:K89)</f>
        <v>0</v>
      </c>
      <c r="M89" s="2681">
        <f t="shared" si="67"/>
        <v>0</v>
      </c>
      <c r="N89" s="186">
        <f t="shared" si="67"/>
        <v>0</v>
      </c>
      <c r="O89" s="2681">
        <v>0</v>
      </c>
      <c r="P89" s="186">
        <v>0</v>
      </c>
      <c r="Q89" s="186">
        <v>0</v>
      </c>
      <c r="R89" s="186">
        <f>SUM(O89:Q89)</f>
        <v>0</v>
      </c>
      <c r="S89" s="186">
        <f t="shared" si="68"/>
        <v>0</v>
      </c>
      <c r="T89" s="186">
        <f t="shared" si="68"/>
        <v>0</v>
      </c>
      <c r="U89" s="2697">
        <f>SUM(M89:N89,R89:T89)</f>
        <v>0</v>
      </c>
      <c r="V89" s="2681">
        <v>0</v>
      </c>
      <c r="W89" s="186">
        <v>0</v>
      </c>
      <c r="X89" s="186">
        <v>0</v>
      </c>
      <c r="Y89" s="186">
        <v>0</v>
      </c>
      <c r="Z89" s="2682">
        <f>SUM(V89:Y89)</f>
        <v>0</v>
      </c>
      <c r="AA89" s="2681">
        <v>0</v>
      </c>
      <c r="AB89" s="186">
        <v>0</v>
      </c>
      <c r="AC89" s="186">
        <v>0</v>
      </c>
      <c r="AD89" s="186">
        <v>0</v>
      </c>
      <c r="AE89" s="2682">
        <f>SUM(AA89:AD89)</f>
        <v>0</v>
      </c>
      <c r="AF89" s="2681">
        <f t="shared" si="69"/>
        <v>0</v>
      </c>
      <c r="AG89" s="186">
        <f t="shared" si="69"/>
        <v>0</v>
      </c>
      <c r="AH89" s="186">
        <f t="shared" si="69"/>
        <v>0</v>
      </c>
      <c r="AI89" s="186">
        <f t="shared" si="69"/>
        <v>0</v>
      </c>
      <c r="AJ89" s="2697">
        <f>SUM(AF89:AI89)</f>
        <v>0</v>
      </c>
      <c r="AK89" s="2704">
        <f>+U89-AJ89</f>
        <v>0</v>
      </c>
      <c r="AL89" s="199"/>
      <c r="AM89" s="424"/>
      <c r="AN89" s="2762"/>
      <c r="AO89" s="1060"/>
      <c r="AP89" s="2763">
        <f t="shared" si="31"/>
        <v>0</v>
      </c>
    </row>
    <row r="90" spans="1:42" s="66" customFormat="1" ht="15" hidden="1" customHeight="1" x14ac:dyDescent="0.2">
      <c r="A90" s="789"/>
      <c r="B90" s="2680"/>
      <c r="C90" s="2681"/>
      <c r="D90" s="186"/>
      <c r="E90" s="186"/>
      <c r="F90" s="186"/>
      <c r="G90" s="2682"/>
      <c r="H90" s="2681"/>
      <c r="I90" s="186"/>
      <c r="J90" s="186"/>
      <c r="K90" s="186"/>
      <c r="L90" s="2682"/>
      <c r="M90" s="2681"/>
      <c r="N90" s="186"/>
      <c r="O90" s="2681"/>
      <c r="P90" s="186"/>
      <c r="Q90" s="186"/>
      <c r="R90" s="186"/>
      <c r="S90" s="186"/>
      <c r="T90" s="186"/>
      <c r="U90" s="2697"/>
      <c r="V90" s="2681"/>
      <c r="W90" s="186"/>
      <c r="X90" s="186"/>
      <c r="Y90" s="186"/>
      <c r="Z90" s="2682"/>
      <c r="AA90" s="2681"/>
      <c r="AB90" s="186"/>
      <c r="AC90" s="186"/>
      <c r="AD90" s="186"/>
      <c r="AE90" s="2682"/>
      <c r="AF90" s="2681"/>
      <c r="AG90" s="186"/>
      <c r="AH90" s="186"/>
      <c r="AI90" s="186"/>
      <c r="AJ90" s="2697"/>
      <c r="AK90" s="2704"/>
      <c r="AL90" s="199"/>
      <c r="AM90" s="424"/>
      <c r="AN90" s="2762"/>
      <c r="AO90" s="1060"/>
      <c r="AP90" s="2763">
        <f t="shared" si="31"/>
        <v>0</v>
      </c>
    </row>
    <row r="91" spans="1:42" s="66" customFormat="1" ht="15" hidden="1" customHeight="1" x14ac:dyDescent="0.2">
      <c r="A91" s="2689" t="s">
        <v>471</v>
      </c>
      <c r="B91" s="2690"/>
      <c r="C91" s="2687"/>
      <c r="D91" s="689"/>
      <c r="E91" s="689"/>
      <c r="F91" s="689"/>
      <c r="G91" s="2688"/>
      <c r="H91" s="2687"/>
      <c r="I91" s="689"/>
      <c r="J91" s="689"/>
      <c r="K91" s="689"/>
      <c r="L91" s="2688"/>
      <c r="M91" s="2687"/>
      <c r="N91" s="689"/>
      <c r="O91" s="2687"/>
      <c r="P91" s="689"/>
      <c r="Q91" s="689"/>
      <c r="R91" s="689"/>
      <c r="S91" s="689"/>
      <c r="T91" s="689"/>
      <c r="U91" s="2700"/>
      <c r="V91" s="2687"/>
      <c r="W91" s="689"/>
      <c r="X91" s="689"/>
      <c r="Y91" s="689"/>
      <c r="Z91" s="2688"/>
      <c r="AA91" s="2687"/>
      <c r="AB91" s="689"/>
      <c r="AC91" s="689"/>
      <c r="AD91" s="689"/>
      <c r="AE91" s="2688"/>
      <c r="AF91" s="2687"/>
      <c r="AG91" s="689"/>
      <c r="AH91" s="689"/>
      <c r="AI91" s="689"/>
      <c r="AJ91" s="2700"/>
      <c r="AK91" s="2706"/>
      <c r="AL91" s="57"/>
      <c r="AM91" s="439"/>
      <c r="AN91" s="2762"/>
      <c r="AO91" s="1060"/>
      <c r="AP91" s="2763">
        <f t="shared" si="31"/>
        <v>0</v>
      </c>
    </row>
    <row r="92" spans="1:42" s="66" customFormat="1" ht="15" hidden="1" customHeight="1" x14ac:dyDescent="0.2">
      <c r="A92" s="789" t="s">
        <v>2114</v>
      </c>
      <c r="B92" s="2680">
        <v>35100</v>
      </c>
      <c r="C92" s="2681"/>
      <c r="D92" s="186">
        <v>0</v>
      </c>
      <c r="E92" s="186">
        <v>0</v>
      </c>
      <c r="F92" s="186">
        <v>0</v>
      </c>
      <c r="G92" s="2682">
        <f>SUM(C92:F92)</f>
        <v>0</v>
      </c>
      <c r="H92" s="2681">
        <v>0</v>
      </c>
      <c r="I92" s="186">
        <v>0</v>
      </c>
      <c r="J92" s="186">
        <v>0</v>
      </c>
      <c r="K92" s="186">
        <v>0</v>
      </c>
      <c r="L92" s="2682">
        <f>SUM(H92:K92)</f>
        <v>0</v>
      </c>
      <c r="M92" s="2681">
        <f>SUM(C92,H92)</f>
        <v>0</v>
      </c>
      <c r="N92" s="186">
        <f>SUM(D92,I92)</f>
        <v>0</v>
      </c>
      <c r="O92" s="2681">
        <v>0</v>
      </c>
      <c r="P92" s="186">
        <v>0</v>
      </c>
      <c r="Q92" s="186">
        <v>0</v>
      </c>
      <c r="R92" s="186">
        <f>SUM(O92:Q92)</f>
        <v>0</v>
      </c>
      <c r="S92" s="186">
        <f>SUM(E92,J92)</f>
        <v>0</v>
      </c>
      <c r="T92" s="186">
        <f>SUM(F92,K92)</f>
        <v>0</v>
      </c>
      <c r="U92" s="2697">
        <f>SUM(M92:N92,R92:T92)</f>
        <v>0</v>
      </c>
      <c r="V92" s="2681"/>
      <c r="W92" s="186">
        <v>0</v>
      </c>
      <c r="X92" s="186">
        <v>0</v>
      </c>
      <c r="Y92" s="186">
        <v>0</v>
      </c>
      <c r="Z92" s="2682">
        <f>SUM(V92:Y92)</f>
        <v>0</v>
      </c>
      <c r="AA92" s="2681">
        <v>0</v>
      </c>
      <c r="AB92" s="186">
        <v>0</v>
      </c>
      <c r="AC92" s="186">
        <v>0</v>
      </c>
      <c r="AD92" s="186">
        <v>0</v>
      </c>
      <c r="AE92" s="2682">
        <f>SUM(AA92:AD92)</f>
        <v>0</v>
      </c>
      <c r="AF92" s="2681">
        <f>SUM(V92,AA92)</f>
        <v>0</v>
      </c>
      <c r="AG92" s="186">
        <f>SUM(W92,AB92)</f>
        <v>0</v>
      </c>
      <c r="AH92" s="186">
        <f>SUM(X92,AC92)</f>
        <v>0</v>
      </c>
      <c r="AI92" s="186">
        <f>SUM(Y92,AD92)</f>
        <v>0</v>
      </c>
      <c r="AJ92" s="2697">
        <f>SUM(AF92:AI92)</f>
        <v>0</v>
      </c>
      <c r="AK92" s="2704">
        <f>+U92-AJ92</f>
        <v>0</v>
      </c>
      <c r="AL92" s="199"/>
      <c r="AM92" s="422"/>
      <c r="AN92" s="2762"/>
      <c r="AO92" s="1060"/>
      <c r="AP92" s="2763">
        <f t="shared" si="31"/>
        <v>0</v>
      </c>
    </row>
    <row r="93" spans="1:42" s="66" customFormat="1" ht="15" hidden="1" customHeight="1" x14ac:dyDescent="0.2">
      <c r="A93" s="789" t="s">
        <v>134</v>
      </c>
      <c r="B93" s="2680"/>
      <c r="C93" s="2681"/>
      <c r="D93" s="186">
        <v>0</v>
      </c>
      <c r="E93" s="186">
        <v>0</v>
      </c>
      <c r="F93" s="186">
        <v>0</v>
      </c>
      <c r="G93" s="2682">
        <f t="shared" ref="G93:G98" si="70">SUM(C93:F93)</f>
        <v>0</v>
      </c>
      <c r="H93" s="2681">
        <v>0</v>
      </c>
      <c r="I93" s="186">
        <v>0</v>
      </c>
      <c r="J93" s="186">
        <v>0</v>
      </c>
      <c r="K93" s="186">
        <v>0</v>
      </c>
      <c r="L93" s="2682">
        <f t="shared" ref="L93:L98" si="71">SUM(H93:K93)</f>
        <v>0</v>
      </c>
      <c r="M93" s="2681">
        <f t="shared" ref="M93:M98" si="72">SUM(C93,H93)</f>
        <v>0</v>
      </c>
      <c r="N93" s="186">
        <f t="shared" ref="N93:N98" si="73">SUM(D93,I93)</f>
        <v>0</v>
      </c>
      <c r="O93" s="2681">
        <v>0</v>
      </c>
      <c r="P93" s="186">
        <v>0</v>
      </c>
      <c r="Q93" s="186">
        <v>0</v>
      </c>
      <c r="R93" s="186">
        <f t="shared" ref="R93:R98" si="74">SUM(O93:Q93)</f>
        <v>0</v>
      </c>
      <c r="S93" s="186">
        <f t="shared" ref="S93:S98" si="75">SUM(E93,J93)</f>
        <v>0</v>
      </c>
      <c r="T93" s="186">
        <f t="shared" ref="T93:T98" si="76">SUM(F93,K93)</f>
        <v>0</v>
      </c>
      <c r="U93" s="2697">
        <f t="shared" ref="U93:U98" si="77">SUM(M93:N93,R93:T93)</f>
        <v>0</v>
      </c>
      <c r="V93" s="2681"/>
      <c r="W93" s="186">
        <v>0</v>
      </c>
      <c r="X93" s="186">
        <v>0</v>
      </c>
      <c r="Y93" s="186">
        <v>0</v>
      </c>
      <c r="Z93" s="2682">
        <f t="shared" ref="Z93:Z98" si="78">SUM(V93:Y93)</f>
        <v>0</v>
      </c>
      <c r="AA93" s="2681">
        <v>0</v>
      </c>
      <c r="AB93" s="186">
        <v>0</v>
      </c>
      <c r="AC93" s="186">
        <v>0</v>
      </c>
      <c r="AD93" s="186">
        <v>0</v>
      </c>
      <c r="AE93" s="2682">
        <f t="shared" ref="AE93:AE98" si="79">SUM(AA93:AD93)</f>
        <v>0</v>
      </c>
      <c r="AF93" s="2681">
        <f t="shared" ref="AF93:AF98" si="80">SUM(V93,AA93)</f>
        <v>0</v>
      </c>
      <c r="AG93" s="186">
        <f t="shared" ref="AG93:AG98" si="81">SUM(W93,AB93)</f>
        <v>0</v>
      </c>
      <c r="AH93" s="186">
        <f t="shared" ref="AH93:AH98" si="82">SUM(X93,AC93)</f>
        <v>0</v>
      </c>
      <c r="AI93" s="186">
        <f t="shared" ref="AI93:AI98" si="83">SUM(Y93,AD93)</f>
        <v>0</v>
      </c>
      <c r="AJ93" s="2697">
        <f t="shared" ref="AJ93:AJ98" si="84">SUM(AF93:AI93)</f>
        <v>0</v>
      </c>
      <c r="AK93" s="2704">
        <f t="shared" ref="AK93:AK98" si="85">+U93-AJ93</f>
        <v>0</v>
      </c>
      <c r="AL93" s="199"/>
      <c r="AM93" s="422"/>
      <c r="AN93" s="2762"/>
      <c r="AO93" s="1060"/>
      <c r="AP93" s="2763">
        <f t="shared" si="31"/>
        <v>0</v>
      </c>
    </row>
    <row r="94" spans="1:42" s="66" customFormat="1" ht="15" hidden="1" customHeight="1" x14ac:dyDescent="0.2">
      <c r="A94" s="789" t="s">
        <v>640</v>
      </c>
      <c r="B94" s="2680">
        <v>35200</v>
      </c>
      <c r="C94" s="2681"/>
      <c r="D94" s="186">
        <v>0</v>
      </c>
      <c r="E94" s="186">
        <v>0</v>
      </c>
      <c r="F94" s="186">
        <v>0</v>
      </c>
      <c r="G94" s="2682">
        <f t="shared" si="70"/>
        <v>0</v>
      </c>
      <c r="H94" s="2681">
        <v>0</v>
      </c>
      <c r="I94" s="186">
        <v>0</v>
      </c>
      <c r="J94" s="186">
        <v>0</v>
      </c>
      <c r="K94" s="186">
        <v>0</v>
      </c>
      <c r="L94" s="2682">
        <f t="shared" si="71"/>
        <v>0</v>
      </c>
      <c r="M94" s="2681">
        <f t="shared" si="72"/>
        <v>0</v>
      </c>
      <c r="N94" s="186">
        <f t="shared" si="73"/>
        <v>0</v>
      </c>
      <c r="O94" s="2681"/>
      <c r="P94" s="186">
        <v>0</v>
      </c>
      <c r="Q94" s="186">
        <v>0</v>
      </c>
      <c r="R94" s="186">
        <f t="shared" si="74"/>
        <v>0</v>
      </c>
      <c r="S94" s="186">
        <f t="shared" si="75"/>
        <v>0</v>
      </c>
      <c r="T94" s="186">
        <f t="shared" si="76"/>
        <v>0</v>
      </c>
      <c r="U94" s="2697">
        <f t="shared" si="77"/>
        <v>0</v>
      </c>
      <c r="V94" s="2681"/>
      <c r="W94" s="186">
        <v>0</v>
      </c>
      <c r="X94" s="186">
        <v>0</v>
      </c>
      <c r="Y94" s="186">
        <v>0</v>
      </c>
      <c r="Z94" s="2682">
        <f t="shared" si="78"/>
        <v>0</v>
      </c>
      <c r="AA94" s="2681">
        <v>0</v>
      </c>
      <c r="AB94" s="186">
        <v>0</v>
      </c>
      <c r="AC94" s="186">
        <v>0</v>
      </c>
      <c r="AD94" s="186">
        <v>0</v>
      </c>
      <c r="AE94" s="2682">
        <f t="shared" si="79"/>
        <v>0</v>
      </c>
      <c r="AF94" s="2681">
        <f t="shared" si="80"/>
        <v>0</v>
      </c>
      <c r="AG94" s="186">
        <f t="shared" si="81"/>
        <v>0</v>
      </c>
      <c r="AH94" s="186">
        <f t="shared" si="82"/>
        <v>0</v>
      </c>
      <c r="AI94" s="186">
        <f t="shared" si="83"/>
        <v>0</v>
      </c>
      <c r="AJ94" s="2697">
        <f t="shared" si="84"/>
        <v>0</v>
      </c>
      <c r="AK94" s="2704">
        <f t="shared" si="85"/>
        <v>0</v>
      </c>
      <c r="AL94" s="199"/>
      <c r="AM94" s="422"/>
      <c r="AN94" s="2762"/>
      <c r="AO94" s="1060"/>
      <c r="AP94" s="2763">
        <f t="shared" si="31"/>
        <v>0</v>
      </c>
    </row>
    <row r="95" spans="1:42" s="66" customFormat="1" ht="15" hidden="1" customHeight="1" x14ac:dyDescent="0.2">
      <c r="A95" s="789" t="s">
        <v>472</v>
      </c>
      <c r="B95" s="2680"/>
      <c r="C95" s="2681"/>
      <c r="D95" s="186">
        <v>0</v>
      </c>
      <c r="E95" s="186">
        <v>0</v>
      </c>
      <c r="F95" s="186">
        <v>0</v>
      </c>
      <c r="G95" s="2682">
        <f t="shared" si="70"/>
        <v>0</v>
      </c>
      <c r="H95" s="2681">
        <v>0</v>
      </c>
      <c r="I95" s="186">
        <v>0</v>
      </c>
      <c r="J95" s="186">
        <v>0</v>
      </c>
      <c r="K95" s="186">
        <v>0</v>
      </c>
      <c r="L95" s="2682">
        <f t="shared" si="71"/>
        <v>0</v>
      </c>
      <c r="M95" s="2681">
        <f t="shared" si="72"/>
        <v>0</v>
      </c>
      <c r="N95" s="186">
        <f t="shared" si="73"/>
        <v>0</v>
      </c>
      <c r="O95" s="2681"/>
      <c r="P95" s="186">
        <v>0</v>
      </c>
      <c r="Q95" s="186">
        <v>0</v>
      </c>
      <c r="R95" s="186">
        <f t="shared" si="74"/>
        <v>0</v>
      </c>
      <c r="S95" s="186">
        <f t="shared" si="75"/>
        <v>0</v>
      </c>
      <c r="T95" s="186">
        <f t="shared" si="76"/>
        <v>0</v>
      </c>
      <c r="U95" s="2697">
        <f t="shared" si="77"/>
        <v>0</v>
      </c>
      <c r="V95" s="2681"/>
      <c r="W95" s="186">
        <v>0</v>
      </c>
      <c r="X95" s="186">
        <v>0</v>
      </c>
      <c r="Y95" s="186">
        <v>0</v>
      </c>
      <c r="Z95" s="2682">
        <f t="shared" si="78"/>
        <v>0</v>
      </c>
      <c r="AA95" s="2681">
        <v>0</v>
      </c>
      <c r="AB95" s="186">
        <v>0</v>
      </c>
      <c r="AC95" s="186">
        <v>0</v>
      </c>
      <c r="AD95" s="186">
        <v>0</v>
      </c>
      <c r="AE95" s="2682">
        <f t="shared" si="79"/>
        <v>0</v>
      </c>
      <c r="AF95" s="2681">
        <f t="shared" si="80"/>
        <v>0</v>
      </c>
      <c r="AG95" s="186">
        <f t="shared" si="81"/>
        <v>0</v>
      </c>
      <c r="AH95" s="186">
        <f t="shared" si="82"/>
        <v>0</v>
      </c>
      <c r="AI95" s="186">
        <f t="shared" si="83"/>
        <v>0</v>
      </c>
      <c r="AJ95" s="2697">
        <f t="shared" si="84"/>
        <v>0</v>
      </c>
      <c r="AK95" s="2704">
        <f t="shared" si="85"/>
        <v>0</v>
      </c>
      <c r="AL95" s="199"/>
      <c r="AM95" s="422"/>
      <c r="AN95" s="2762"/>
      <c r="AO95" s="1060"/>
      <c r="AP95" s="2763">
        <f t="shared" si="31"/>
        <v>0</v>
      </c>
    </row>
    <row r="96" spans="1:42" s="66" customFormat="1" ht="15" hidden="1" customHeight="1" x14ac:dyDescent="0.2">
      <c r="A96" s="789" t="s">
        <v>136</v>
      </c>
      <c r="B96" s="2680">
        <v>35300</v>
      </c>
      <c r="C96" s="2681"/>
      <c r="D96" s="186">
        <v>0</v>
      </c>
      <c r="E96" s="186">
        <v>0</v>
      </c>
      <c r="F96" s="186">
        <v>0</v>
      </c>
      <c r="G96" s="2682">
        <f t="shared" si="70"/>
        <v>0</v>
      </c>
      <c r="H96" s="2681">
        <v>0</v>
      </c>
      <c r="I96" s="186">
        <v>0</v>
      </c>
      <c r="J96" s="186">
        <v>0</v>
      </c>
      <c r="K96" s="186">
        <v>0</v>
      </c>
      <c r="L96" s="2682">
        <f t="shared" si="71"/>
        <v>0</v>
      </c>
      <c r="M96" s="2681">
        <f t="shared" si="72"/>
        <v>0</v>
      </c>
      <c r="N96" s="186">
        <f t="shared" si="73"/>
        <v>0</v>
      </c>
      <c r="O96" s="2681"/>
      <c r="P96" s="186">
        <v>0</v>
      </c>
      <c r="Q96" s="186">
        <v>0</v>
      </c>
      <c r="R96" s="186">
        <f t="shared" si="74"/>
        <v>0</v>
      </c>
      <c r="S96" s="186">
        <f t="shared" si="75"/>
        <v>0</v>
      </c>
      <c r="T96" s="186">
        <f t="shared" si="76"/>
        <v>0</v>
      </c>
      <c r="U96" s="2697">
        <f t="shared" si="77"/>
        <v>0</v>
      </c>
      <c r="V96" s="2681"/>
      <c r="W96" s="186">
        <v>0</v>
      </c>
      <c r="X96" s="186">
        <v>0</v>
      </c>
      <c r="Y96" s="186">
        <v>0</v>
      </c>
      <c r="Z96" s="2682">
        <f t="shared" si="78"/>
        <v>0</v>
      </c>
      <c r="AA96" s="2681">
        <v>0</v>
      </c>
      <c r="AB96" s="186">
        <v>0</v>
      </c>
      <c r="AC96" s="186">
        <v>0</v>
      </c>
      <c r="AD96" s="186">
        <v>0</v>
      </c>
      <c r="AE96" s="2682">
        <f t="shared" si="79"/>
        <v>0</v>
      </c>
      <c r="AF96" s="2681">
        <f t="shared" si="80"/>
        <v>0</v>
      </c>
      <c r="AG96" s="186">
        <f t="shared" si="81"/>
        <v>0</v>
      </c>
      <c r="AH96" s="186">
        <f t="shared" si="82"/>
        <v>0</v>
      </c>
      <c r="AI96" s="186">
        <f t="shared" si="83"/>
        <v>0</v>
      </c>
      <c r="AJ96" s="2697">
        <f t="shared" si="84"/>
        <v>0</v>
      </c>
      <c r="AK96" s="2704">
        <f t="shared" si="85"/>
        <v>0</v>
      </c>
      <c r="AL96" s="199"/>
      <c r="AM96" s="422"/>
      <c r="AN96" s="2762"/>
      <c r="AO96" s="1060"/>
      <c r="AP96" s="2763">
        <f t="shared" si="31"/>
        <v>0</v>
      </c>
    </row>
    <row r="97" spans="1:42" s="66" customFormat="1" ht="15" hidden="1" customHeight="1" x14ac:dyDescent="0.2">
      <c r="A97" s="789" t="s">
        <v>2113</v>
      </c>
      <c r="B97" s="2680">
        <v>35001</v>
      </c>
      <c r="C97" s="2681"/>
      <c r="D97" s="186">
        <v>0</v>
      </c>
      <c r="E97" s="186">
        <v>0</v>
      </c>
      <c r="F97" s="186">
        <v>0</v>
      </c>
      <c r="G97" s="2682">
        <f t="shared" si="70"/>
        <v>0</v>
      </c>
      <c r="H97" s="2681">
        <v>0</v>
      </c>
      <c r="I97" s="186">
        <v>0</v>
      </c>
      <c r="J97" s="186">
        <v>0</v>
      </c>
      <c r="K97" s="186">
        <v>0</v>
      </c>
      <c r="L97" s="2682">
        <f t="shared" si="71"/>
        <v>0</v>
      </c>
      <c r="M97" s="2681">
        <f t="shared" si="72"/>
        <v>0</v>
      </c>
      <c r="N97" s="186">
        <f t="shared" si="73"/>
        <v>0</v>
      </c>
      <c r="O97" s="2681"/>
      <c r="P97" s="186">
        <v>0</v>
      </c>
      <c r="Q97" s="186">
        <v>0</v>
      </c>
      <c r="R97" s="186">
        <f t="shared" si="74"/>
        <v>0</v>
      </c>
      <c r="S97" s="186">
        <f t="shared" si="75"/>
        <v>0</v>
      </c>
      <c r="T97" s="186">
        <f t="shared" si="76"/>
        <v>0</v>
      </c>
      <c r="U97" s="2697">
        <f t="shared" si="77"/>
        <v>0</v>
      </c>
      <c r="V97" s="2681"/>
      <c r="W97" s="186">
        <v>0</v>
      </c>
      <c r="X97" s="186">
        <v>0</v>
      </c>
      <c r="Y97" s="186">
        <v>0</v>
      </c>
      <c r="Z97" s="2682">
        <f t="shared" si="78"/>
        <v>0</v>
      </c>
      <c r="AA97" s="2681">
        <v>0</v>
      </c>
      <c r="AB97" s="186">
        <v>0</v>
      </c>
      <c r="AC97" s="186">
        <v>0</v>
      </c>
      <c r="AD97" s="186">
        <v>0</v>
      </c>
      <c r="AE97" s="2682">
        <f t="shared" si="79"/>
        <v>0</v>
      </c>
      <c r="AF97" s="2681">
        <f t="shared" si="80"/>
        <v>0</v>
      </c>
      <c r="AG97" s="186">
        <f t="shared" si="81"/>
        <v>0</v>
      </c>
      <c r="AH97" s="186">
        <f t="shared" si="82"/>
        <v>0</v>
      </c>
      <c r="AI97" s="186">
        <f t="shared" si="83"/>
        <v>0</v>
      </c>
      <c r="AJ97" s="2697">
        <f t="shared" si="84"/>
        <v>0</v>
      </c>
      <c r="AK97" s="2704">
        <f t="shared" si="85"/>
        <v>0</v>
      </c>
      <c r="AL97" s="199"/>
      <c r="AM97" s="422"/>
      <c r="AN97" s="2762"/>
      <c r="AO97" s="1060"/>
      <c r="AP97" s="2763">
        <f t="shared" si="31"/>
        <v>0</v>
      </c>
    </row>
    <row r="98" spans="1:42" s="66" customFormat="1" ht="15" hidden="1" customHeight="1" x14ac:dyDescent="0.2">
      <c r="A98" s="789" t="s">
        <v>473</v>
      </c>
      <c r="B98" s="2680"/>
      <c r="C98" s="2681"/>
      <c r="D98" s="186">
        <v>0</v>
      </c>
      <c r="E98" s="186">
        <v>0</v>
      </c>
      <c r="F98" s="186">
        <v>0</v>
      </c>
      <c r="G98" s="2682">
        <f t="shared" si="70"/>
        <v>0</v>
      </c>
      <c r="H98" s="2681">
        <v>0</v>
      </c>
      <c r="I98" s="186">
        <v>0</v>
      </c>
      <c r="J98" s="186">
        <v>0</v>
      </c>
      <c r="K98" s="186">
        <v>0</v>
      </c>
      <c r="L98" s="2682">
        <f t="shared" si="71"/>
        <v>0</v>
      </c>
      <c r="M98" s="2681">
        <f t="shared" si="72"/>
        <v>0</v>
      </c>
      <c r="N98" s="186">
        <f t="shared" si="73"/>
        <v>0</v>
      </c>
      <c r="O98" s="2681"/>
      <c r="P98" s="186">
        <v>0</v>
      </c>
      <c r="Q98" s="186">
        <v>0</v>
      </c>
      <c r="R98" s="186">
        <f t="shared" si="74"/>
        <v>0</v>
      </c>
      <c r="S98" s="186">
        <f t="shared" si="75"/>
        <v>0</v>
      </c>
      <c r="T98" s="186">
        <f t="shared" si="76"/>
        <v>0</v>
      </c>
      <c r="U98" s="2697">
        <f t="shared" si="77"/>
        <v>0</v>
      </c>
      <c r="V98" s="2681"/>
      <c r="W98" s="186">
        <v>0</v>
      </c>
      <c r="X98" s="186">
        <v>0</v>
      </c>
      <c r="Y98" s="186">
        <v>0</v>
      </c>
      <c r="Z98" s="2682">
        <f t="shared" si="78"/>
        <v>0</v>
      </c>
      <c r="AA98" s="2681">
        <v>0</v>
      </c>
      <c r="AB98" s="186">
        <v>0</v>
      </c>
      <c r="AC98" s="186">
        <v>0</v>
      </c>
      <c r="AD98" s="186">
        <v>0</v>
      </c>
      <c r="AE98" s="2682">
        <f t="shared" si="79"/>
        <v>0</v>
      </c>
      <c r="AF98" s="2681">
        <f t="shared" si="80"/>
        <v>0</v>
      </c>
      <c r="AG98" s="186">
        <f t="shared" si="81"/>
        <v>0</v>
      </c>
      <c r="AH98" s="186">
        <f t="shared" si="82"/>
        <v>0</v>
      </c>
      <c r="AI98" s="186">
        <f t="shared" si="83"/>
        <v>0</v>
      </c>
      <c r="AJ98" s="2697">
        <f t="shared" si="84"/>
        <v>0</v>
      </c>
      <c r="AK98" s="2704">
        <f t="shared" si="85"/>
        <v>0</v>
      </c>
      <c r="AL98" s="199"/>
      <c r="AM98" s="422"/>
      <c r="AN98" s="2762"/>
      <c r="AO98" s="1060"/>
      <c r="AP98" s="2763">
        <f t="shared" si="31"/>
        <v>0</v>
      </c>
    </row>
    <row r="99" spans="1:42" s="66" customFormat="1" ht="15" hidden="1" customHeight="1" thickBot="1" x14ac:dyDescent="0.25">
      <c r="A99" s="2691"/>
      <c r="B99" s="2692"/>
      <c r="C99" s="2693"/>
      <c r="D99" s="839"/>
      <c r="E99" s="839"/>
      <c r="F99" s="839"/>
      <c r="G99" s="2694"/>
      <c r="H99" s="2693"/>
      <c r="I99" s="839"/>
      <c r="J99" s="839"/>
      <c r="K99" s="839"/>
      <c r="L99" s="2694"/>
      <c r="M99" s="2693"/>
      <c r="N99" s="839"/>
      <c r="O99" s="2693"/>
      <c r="P99" s="839"/>
      <c r="Q99" s="839"/>
      <c r="R99" s="839"/>
      <c r="S99" s="839"/>
      <c r="T99" s="839"/>
      <c r="U99" s="2701"/>
      <c r="V99" s="2693"/>
      <c r="W99" s="839"/>
      <c r="X99" s="839"/>
      <c r="Y99" s="839"/>
      <c r="Z99" s="2694"/>
      <c r="AA99" s="2693"/>
      <c r="AB99" s="839"/>
      <c r="AC99" s="839"/>
      <c r="AD99" s="839"/>
      <c r="AE99" s="2694"/>
      <c r="AF99" s="2693"/>
      <c r="AG99" s="839"/>
      <c r="AH99" s="839"/>
      <c r="AI99" s="839"/>
      <c r="AJ99" s="2701"/>
      <c r="AK99" s="2707"/>
      <c r="AL99" s="199"/>
      <c r="AM99" s="972"/>
      <c r="AN99" s="2762"/>
      <c r="AO99" s="1060"/>
      <c r="AP99" s="2763">
        <f t="shared" si="31"/>
        <v>0</v>
      </c>
    </row>
    <row r="100" spans="1:42" s="66" customFormat="1" ht="15" customHeight="1" x14ac:dyDescent="0.2">
      <c r="A100" s="2689" t="s">
        <v>474</v>
      </c>
      <c r="B100" s="2690"/>
      <c r="C100" s="2687"/>
      <c r="D100" s="689"/>
      <c r="E100" s="689"/>
      <c r="F100" s="689"/>
      <c r="G100" s="2688"/>
      <c r="H100" s="2687"/>
      <c r="I100" s="689"/>
      <c r="J100" s="689"/>
      <c r="K100" s="689"/>
      <c r="L100" s="2688"/>
      <c r="M100" s="2687"/>
      <c r="N100" s="689"/>
      <c r="O100" s="2687"/>
      <c r="P100" s="689"/>
      <c r="Q100" s="689"/>
      <c r="R100" s="689"/>
      <c r="S100" s="689"/>
      <c r="T100" s="689"/>
      <c r="U100" s="2700"/>
      <c r="V100" s="2687"/>
      <c r="W100" s="689"/>
      <c r="X100" s="689"/>
      <c r="Y100" s="689"/>
      <c r="Z100" s="2688"/>
      <c r="AA100" s="2687"/>
      <c r="AB100" s="689"/>
      <c r="AC100" s="689"/>
      <c r="AD100" s="689"/>
      <c r="AE100" s="2688"/>
      <c r="AF100" s="2687"/>
      <c r="AG100" s="689"/>
      <c r="AH100" s="689"/>
      <c r="AI100" s="689"/>
      <c r="AJ100" s="2700"/>
      <c r="AK100" s="2706"/>
      <c r="AL100" s="57"/>
      <c r="AM100" s="439"/>
      <c r="AN100" s="2762"/>
      <c r="AO100" s="1060"/>
      <c r="AP100" s="2763">
        <f t="shared" si="31"/>
        <v>0</v>
      </c>
    </row>
    <row r="101" spans="1:42" s="2669" customFormat="1" ht="15" customHeight="1" x14ac:dyDescent="0.2">
      <c r="A101" s="789" t="s">
        <v>7773</v>
      </c>
      <c r="B101" s="2680">
        <v>34006</v>
      </c>
      <c r="C101" s="2681"/>
      <c r="D101" s="186">
        <v>0</v>
      </c>
      <c r="E101" s="186">
        <v>0</v>
      </c>
      <c r="F101" s="186">
        <v>0</v>
      </c>
      <c r="G101" s="2682">
        <f t="shared" ref="G101:G112" si="86">SUM(C101:F101)</f>
        <v>0</v>
      </c>
      <c r="H101" s="2681">
        <v>0</v>
      </c>
      <c r="I101" s="186">
        <v>0</v>
      </c>
      <c r="J101" s="186">
        <v>0</v>
      </c>
      <c r="K101" s="186">
        <v>0</v>
      </c>
      <c r="L101" s="2682">
        <f t="shared" ref="L101:L112" si="87">SUM(H101:K101)</f>
        <v>0</v>
      </c>
      <c r="M101" s="2681">
        <f>135950096.1</f>
        <v>135950096.09999999</v>
      </c>
      <c r="N101" s="186">
        <f>4304202-3447167.23</f>
        <v>857034.77</v>
      </c>
      <c r="O101" s="2681"/>
      <c r="P101" s="186">
        <v>0</v>
      </c>
      <c r="Q101" s="186">
        <v>0</v>
      </c>
      <c r="R101" s="186">
        <f>19914007+3023831</f>
        <v>22937838</v>
      </c>
      <c r="S101" s="186">
        <f t="shared" ref="S101:S112" si="88">SUM(E101,J101)</f>
        <v>0</v>
      </c>
      <c r="T101" s="186">
        <f t="shared" ref="T101:T112" si="89">SUM(F101,K101)</f>
        <v>0</v>
      </c>
      <c r="U101" s="2697">
        <f t="shared" ref="U101:U112" si="90">SUM(M101:N101,R101:T101)</f>
        <v>159744968.87</v>
      </c>
      <c r="V101" s="2681"/>
      <c r="W101" s="186">
        <v>0</v>
      </c>
      <c r="X101" s="186">
        <v>0</v>
      </c>
      <c r="Y101" s="186">
        <v>0</v>
      </c>
      <c r="Z101" s="2682">
        <f t="shared" ref="Z101:Z112" si="91">SUM(V101:Y101)</f>
        <v>0</v>
      </c>
      <c r="AA101" s="2681">
        <v>0</v>
      </c>
      <c r="AB101" s="186">
        <v>0</v>
      </c>
      <c r="AC101" s="186">
        <v>0</v>
      </c>
      <c r="AD101" s="186">
        <v>0</v>
      </c>
      <c r="AE101" s="2682">
        <f t="shared" ref="AE101:AE112" si="92">SUM(AA101:AD101)</f>
        <v>0</v>
      </c>
      <c r="AF101" s="2681">
        <v>78103107.670000002</v>
      </c>
      <c r="AG101" s="186">
        <v>4433078.8499999996</v>
      </c>
      <c r="AH101" s="186">
        <f t="shared" ref="AH101:AH112" si="93">SUM(X101,AC101)</f>
        <v>0</v>
      </c>
      <c r="AI101" s="186">
        <f t="shared" ref="AI101:AI112" si="94">SUM(Y101,AD101)</f>
        <v>0</v>
      </c>
      <c r="AJ101" s="2697">
        <f t="shared" ref="AJ101:AJ112" si="95">SUM(AF101:AI101)</f>
        <v>82536186.519999996</v>
      </c>
      <c r="AK101" s="2704">
        <f t="shared" ref="AK101:AK112" si="96">+U101-AJ101</f>
        <v>77208782.350000009</v>
      </c>
      <c r="AL101" s="199"/>
      <c r="AM101" s="2665"/>
      <c r="AN101" s="2762">
        <f t="shared" si="30"/>
        <v>23794872.77</v>
      </c>
      <c r="AO101" s="2667">
        <f>'APPENDIX C'!E68</f>
        <v>23794872.120000001</v>
      </c>
      <c r="AP101" s="2763">
        <f t="shared" si="31"/>
        <v>0.64999999850988388</v>
      </c>
    </row>
    <row r="102" spans="1:42" s="66" customFormat="1" ht="15" hidden="1" customHeight="1" x14ac:dyDescent="0.2">
      <c r="A102" s="789" t="s">
        <v>641</v>
      </c>
      <c r="B102" s="2680"/>
      <c r="C102" s="2681"/>
      <c r="D102" s="186">
        <v>0</v>
      </c>
      <c r="E102" s="186">
        <v>0</v>
      </c>
      <c r="F102" s="186">
        <v>0</v>
      </c>
      <c r="G102" s="2682">
        <f t="shared" si="86"/>
        <v>0</v>
      </c>
      <c r="H102" s="2681">
        <v>0</v>
      </c>
      <c r="I102" s="186">
        <v>0</v>
      </c>
      <c r="J102" s="186">
        <v>0</v>
      </c>
      <c r="K102" s="186">
        <v>0</v>
      </c>
      <c r="L102" s="2682">
        <f t="shared" si="87"/>
        <v>0</v>
      </c>
      <c r="M102" s="2681">
        <f t="shared" ref="M102:M112" si="97">SUM(C102,H102)</f>
        <v>0</v>
      </c>
      <c r="N102" s="186">
        <f t="shared" ref="N102:N112" si="98">SUM(D102,I102)</f>
        <v>0</v>
      </c>
      <c r="O102" s="2681"/>
      <c r="P102" s="186">
        <v>0</v>
      </c>
      <c r="Q102" s="186">
        <v>0</v>
      </c>
      <c r="R102" s="186">
        <f t="shared" ref="R102:R112" si="99">SUM(O102:Q102)</f>
        <v>0</v>
      </c>
      <c r="S102" s="186">
        <f t="shared" si="88"/>
        <v>0</v>
      </c>
      <c r="T102" s="186">
        <f t="shared" si="89"/>
        <v>0</v>
      </c>
      <c r="U102" s="2697">
        <f t="shared" si="90"/>
        <v>0</v>
      </c>
      <c r="V102" s="2681"/>
      <c r="W102" s="186">
        <v>0</v>
      </c>
      <c r="X102" s="186">
        <v>0</v>
      </c>
      <c r="Y102" s="186">
        <v>0</v>
      </c>
      <c r="Z102" s="2682">
        <f t="shared" si="91"/>
        <v>0</v>
      </c>
      <c r="AA102" s="2681">
        <v>0</v>
      </c>
      <c r="AB102" s="186">
        <v>0</v>
      </c>
      <c r="AC102" s="186">
        <v>0</v>
      </c>
      <c r="AD102" s="186">
        <v>0</v>
      </c>
      <c r="AE102" s="2682">
        <f t="shared" si="92"/>
        <v>0</v>
      </c>
      <c r="AF102" s="2681">
        <f t="shared" ref="AF102:AF112" si="100">SUM(V102,AA102)</f>
        <v>0</v>
      </c>
      <c r="AG102" s="186">
        <f t="shared" ref="AG102:AG112" si="101">SUM(W102,AB102)</f>
        <v>0</v>
      </c>
      <c r="AH102" s="186">
        <f t="shared" si="93"/>
        <v>0</v>
      </c>
      <c r="AI102" s="186">
        <f t="shared" si="94"/>
        <v>0</v>
      </c>
      <c r="AJ102" s="2697">
        <f t="shared" si="95"/>
        <v>0</v>
      </c>
      <c r="AK102" s="2704">
        <f t="shared" si="96"/>
        <v>0</v>
      </c>
      <c r="AL102" s="199"/>
      <c r="AM102" s="422"/>
      <c r="AN102" s="2762">
        <f t="shared" si="30"/>
        <v>0</v>
      </c>
      <c r="AO102" s="1060"/>
      <c r="AP102" s="2763">
        <f t="shared" si="31"/>
        <v>0</v>
      </c>
    </row>
    <row r="103" spans="1:42" s="66" customFormat="1" ht="15" hidden="1" customHeight="1" x14ac:dyDescent="0.2">
      <c r="A103" s="789" t="s">
        <v>2590</v>
      </c>
      <c r="B103" s="2680">
        <v>34100</v>
      </c>
      <c r="C103" s="2681"/>
      <c r="D103" s="186">
        <v>0</v>
      </c>
      <c r="E103" s="186">
        <v>0</v>
      </c>
      <c r="F103" s="186">
        <v>0</v>
      </c>
      <c r="G103" s="2682">
        <f>SUM(C103:F103)</f>
        <v>0</v>
      </c>
      <c r="H103" s="2681">
        <v>0</v>
      </c>
      <c r="I103" s="186">
        <v>0</v>
      </c>
      <c r="J103" s="186">
        <v>0</v>
      </c>
      <c r="K103" s="186">
        <v>0</v>
      </c>
      <c r="L103" s="2682">
        <f>SUM(H103:K103)</f>
        <v>0</v>
      </c>
      <c r="M103" s="2681">
        <f>SUM(C103,H103)</f>
        <v>0</v>
      </c>
      <c r="N103" s="186">
        <f>SUM(D103,I103)</f>
        <v>0</v>
      </c>
      <c r="O103" s="2681"/>
      <c r="P103" s="186">
        <v>0</v>
      </c>
      <c r="Q103" s="186">
        <v>0</v>
      </c>
      <c r="R103" s="186">
        <f>SUM(O103:Q103)</f>
        <v>0</v>
      </c>
      <c r="S103" s="186">
        <f>SUM(E103,J103)</f>
        <v>0</v>
      </c>
      <c r="T103" s="186">
        <f>SUM(F103,K103)</f>
        <v>0</v>
      </c>
      <c r="U103" s="2697">
        <f>SUM(M103:N103,R103:T103)</f>
        <v>0</v>
      </c>
      <c r="V103" s="2681"/>
      <c r="W103" s="186">
        <v>0</v>
      </c>
      <c r="X103" s="186">
        <v>0</v>
      </c>
      <c r="Y103" s="186">
        <v>0</v>
      </c>
      <c r="Z103" s="2682">
        <f>SUM(V103:Y103)</f>
        <v>0</v>
      </c>
      <c r="AA103" s="2681">
        <v>0</v>
      </c>
      <c r="AB103" s="186">
        <v>0</v>
      </c>
      <c r="AC103" s="186">
        <v>0</v>
      </c>
      <c r="AD103" s="186">
        <v>0</v>
      </c>
      <c r="AE103" s="2682">
        <f>SUM(AA103:AD103)</f>
        <v>0</v>
      </c>
      <c r="AF103" s="2681">
        <f>SUM(V103,AA103)</f>
        <v>0</v>
      </c>
      <c r="AG103" s="186">
        <f>SUM(W103,AB103)</f>
        <v>0</v>
      </c>
      <c r="AH103" s="186">
        <f>SUM(X103,AC103)</f>
        <v>0</v>
      </c>
      <c r="AI103" s="186">
        <f>SUM(Y103,AD103)</f>
        <v>0</v>
      </c>
      <c r="AJ103" s="2697">
        <f>SUM(AF103:AI103)</f>
        <v>0</v>
      </c>
      <c r="AK103" s="2704">
        <f>+U103-AJ103</f>
        <v>0</v>
      </c>
      <c r="AL103" s="199"/>
      <c r="AM103" s="422"/>
      <c r="AN103" s="2762">
        <f t="shared" ref="AN103:AN112" si="102">SUM(N103:R103)</f>
        <v>0</v>
      </c>
      <c r="AO103" s="1060"/>
      <c r="AP103" s="2763">
        <f t="shared" ref="AP103:AP112" si="103">AN103-AO103</f>
        <v>0</v>
      </c>
    </row>
    <row r="104" spans="1:42" s="66" customFormat="1" ht="15" hidden="1" customHeight="1" x14ac:dyDescent="0.2">
      <c r="A104" s="789" t="s">
        <v>460</v>
      </c>
      <c r="B104" s="2680"/>
      <c r="C104" s="2681"/>
      <c r="D104" s="186">
        <v>0</v>
      </c>
      <c r="E104" s="186">
        <v>0</v>
      </c>
      <c r="F104" s="186">
        <v>0</v>
      </c>
      <c r="G104" s="2682">
        <f t="shared" si="86"/>
        <v>0</v>
      </c>
      <c r="H104" s="2681">
        <v>0</v>
      </c>
      <c r="I104" s="186">
        <v>0</v>
      </c>
      <c r="J104" s="186">
        <v>0</v>
      </c>
      <c r="K104" s="186">
        <v>0</v>
      </c>
      <c r="L104" s="2682">
        <f t="shared" si="87"/>
        <v>0</v>
      </c>
      <c r="M104" s="2681">
        <f t="shared" si="97"/>
        <v>0</v>
      </c>
      <c r="N104" s="186">
        <f t="shared" si="98"/>
        <v>0</v>
      </c>
      <c r="O104" s="2681"/>
      <c r="P104" s="186">
        <v>0</v>
      </c>
      <c r="Q104" s="186">
        <v>0</v>
      </c>
      <c r="R104" s="186">
        <f t="shared" si="99"/>
        <v>0</v>
      </c>
      <c r="S104" s="186">
        <f t="shared" si="88"/>
        <v>0</v>
      </c>
      <c r="T104" s="186">
        <f t="shared" si="89"/>
        <v>0</v>
      </c>
      <c r="U104" s="2697">
        <f t="shared" si="90"/>
        <v>0</v>
      </c>
      <c r="V104" s="2681"/>
      <c r="W104" s="186">
        <v>0</v>
      </c>
      <c r="X104" s="186">
        <v>0</v>
      </c>
      <c r="Y104" s="186">
        <v>0</v>
      </c>
      <c r="Z104" s="2682">
        <f t="shared" si="91"/>
        <v>0</v>
      </c>
      <c r="AA104" s="2681">
        <v>0</v>
      </c>
      <c r="AB104" s="186">
        <v>0</v>
      </c>
      <c r="AC104" s="186">
        <v>0</v>
      </c>
      <c r="AD104" s="186">
        <v>0</v>
      </c>
      <c r="AE104" s="2682">
        <f t="shared" si="92"/>
        <v>0</v>
      </c>
      <c r="AF104" s="2681">
        <f t="shared" si="100"/>
        <v>0</v>
      </c>
      <c r="AG104" s="186">
        <f t="shared" si="101"/>
        <v>0</v>
      </c>
      <c r="AH104" s="186">
        <f t="shared" si="93"/>
        <v>0</v>
      </c>
      <c r="AI104" s="186">
        <f t="shared" si="94"/>
        <v>0</v>
      </c>
      <c r="AJ104" s="2697">
        <f t="shared" si="95"/>
        <v>0</v>
      </c>
      <c r="AK104" s="2704">
        <f t="shared" si="96"/>
        <v>0</v>
      </c>
      <c r="AL104" s="199"/>
      <c r="AM104" s="422"/>
      <c r="AN104" s="2762">
        <f t="shared" si="102"/>
        <v>0</v>
      </c>
      <c r="AO104" s="1060"/>
      <c r="AP104" s="2763">
        <f t="shared" si="103"/>
        <v>0</v>
      </c>
    </row>
    <row r="105" spans="1:42" s="66" customFormat="1" ht="15" hidden="1" customHeight="1" x14ac:dyDescent="0.2">
      <c r="A105" s="789" t="s">
        <v>461</v>
      </c>
      <c r="B105" s="2680">
        <v>34001</v>
      </c>
      <c r="C105" s="2681"/>
      <c r="D105" s="186">
        <v>0</v>
      </c>
      <c r="E105" s="186">
        <v>0</v>
      </c>
      <c r="F105" s="186">
        <v>0</v>
      </c>
      <c r="G105" s="2682">
        <f t="shared" si="86"/>
        <v>0</v>
      </c>
      <c r="H105" s="2681">
        <v>0</v>
      </c>
      <c r="I105" s="186">
        <v>0</v>
      </c>
      <c r="J105" s="186">
        <v>0</v>
      </c>
      <c r="K105" s="186">
        <v>0</v>
      </c>
      <c r="L105" s="2682">
        <f t="shared" si="87"/>
        <v>0</v>
      </c>
      <c r="M105" s="2681">
        <f t="shared" si="97"/>
        <v>0</v>
      </c>
      <c r="N105" s="186">
        <f t="shared" si="98"/>
        <v>0</v>
      </c>
      <c r="O105" s="2681"/>
      <c r="P105" s="186">
        <v>0</v>
      </c>
      <c r="Q105" s="186">
        <v>0</v>
      </c>
      <c r="R105" s="186">
        <f t="shared" si="99"/>
        <v>0</v>
      </c>
      <c r="S105" s="186">
        <f t="shared" si="88"/>
        <v>0</v>
      </c>
      <c r="T105" s="186">
        <f t="shared" si="89"/>
        <v>0</v>
      </c>
      <c r="U105" s="2697">
        <f t="shared" si="90"/>
        <v>0</v>
      </c>
      <c r="V105" s="2681"/>
      <c r="W105" s="186">
        <v>0</v>
      </c>
      <c r="X105" s="186">
        <v>0</v>
      </c>
      <c r="Y105" s="186">
        <v>0</v>
      </c>
      <c r="Z105" s="2682">
        <f t="shared" si="91"/>
        <v>0</v>
      </c>
      <c r="AA105" s="2681">
        <v>0</v>
      </c>
      <c r="AB105" s="186">
        <v>0</v>
      </c>
      <c r="AC105" s="186">
        <v>0</v>
      </c>
      <c r="AD105" s="186">
        <v>0</v>
      </c>
      <c r="AE105" s="2682">
        <f t="shared" si="92"/>
        <v>0</v>
      </c>
      <c r="AF105" s="2681">
        <f t="shared" si="100"/>
        <v>0</v>
      </c>
      <c r="AG105" s="186">
        <f t="shared" si="101"/>
        <v>0</v>
      </c>
      <c r="AH105" s="186">
        <f t="shared" si="93"/>
        <v>0</v>
      </c>
      <c r="AI105" s="186">
        <f t="shared" si="94"/>
        <v>0</v>
      </c>
      <c r="AJ105" s="2697">
        <f t="shared" si="95"/>
        <v>0</v>
      </c>
      <c r="AK105" s="2704">
        <f t="shared" si="96"/>
        <v>0</v>
      </c>
      <c r="AL105" s="199"/>
      <c r="AM105" s="422"/>
      <c r="AN105" s="2762">
        <f t="shared" si="102"/>
        <v>0</v>
      </c>
      <c r="AO105" s="1060"/>
      <c r="AP105" s="2763">
        <f t="shared" si="103"/>
        <v>0</v>
      </c>
    </row>
    <row r="106" spans="1:42" s="66" customFormat="1" ht="15" hidden="1" customHeight="1" x14ac:dyDescent="0.2">
      <c r="A106" s="789" t="s">
        <v>640</v>
      </c>
      <c r="B106" s="2680">
        <v>34200</v>
      </c>
      <c r="C106" s="2681"/>
      <c r="D106" s="186">
        <v>0</v>
      </c>
      <c r="E106" s="186">
        <v>0</v>
      </c>
      <c r="F106" s="186">
        <v>0</v>
      </c>
      <c r="G106" s="2682">
        <f t="shared" si="86"/>
        <v>0</v>
      </c>
      <c r="H106" s="2681">
        <v>0</v>
      </c>
      <c r="I106" s="186">
        <v>0</v>
      </c>
      <c r="J106" s="186">
        <v>0</v>
      </c>
      <c r="K106" s="186">
        <v>0</v>
      </c>
      <c r="L106" s="2682">
        <f t="shared" si="87"/>
        <v>0</v>
      </c>
      <c r="M106" s="2681">
        <f t="shared" si="97"/>
        <v>0</v>
      </c>
      <c r="N106" s="186">
        <f t="shared" si="98"/>
        <v>0</v>
      </c>
      <c r="O106" s="2681"/>
      <c r="P106" s="186">
        <v>0</v>
      </c>
      <c r="Q106" s="186">
        <v>0</v>
      </c>
      <c r="R106" s="186">
        <f t="shared" si="99"/>
        <v>0</v>
      </c>
      <c r="S106" s="186">
        <f t="shared" si="88"/>
        <v>0</v>
      </c>
      <c r="T106" s="186">
        <f t="shared" si="89"/>
        <v>0</v>
      </c>
      <c r="U106" s="2697">
        <f t="shared" si="90"/>
        <v>0</v>
      </c>
      <c r="V106" s="2681"/>
      <c r="W106" s="186">
        <v>0</v>
      </c>
      <c r="X106" s="186">
        <v>0</v>
      </c>
      <c r="Y106" s="186">
        <v>0</v>
      </c>
      <c r="Z106" s="2682">
        <f t="shared" si="91"/>
        <v>0</v>
      </c>
      <c r="AA106" s="2681">
        <v>0</v>
      </c>
      <c r="AB106" s="186">
        <v>0</v>
      </c>
      <c r="AC106" s="186">
        <v>0</v>
      </c>
      <c r="AD106" s="186">
        <v>0</v>
      </c>
      <c r="AE106" s="2682">
        <f t="shared" si="92"/>
        <v>0</v>
      </c>
      <c r="AF106" s="2681">
        <f t="shared" si="100"/>
        <v>0</v>
      </c>
      <c r="AG106" s="186">
        <f t="shared" si="101"/>
        <v>0</v>
      </c>
      <c r="AH106" s="186">
        <f t="shared" si="93"/>
        <v>0</v>
      </c>
      <c r="AI106" s="186">
        <f t="shared" si="94"/>
        <v>0</v>
      </c>
      <c r="AJ106" s="2697">
        <f t="shared" si="95"/>
        <v>0</v>
      </c>
      <c r="AK106" s="2704">
        <f t="shared" si="96"/>
        <v>0</v>
      </c>
      <c r="AL106" s="199"/>
      <c r="AM106" s="422"/>
      <c r="AN106" s="2762">
        <f t="shared" si="102"/>
        <v>0</v>
      </c>
      <c r="AO106" s="1060"/>
      <c r="AP106" s="2763">
        <f t="shared" si="103"/>
        <v>0</v>
      </c>
    </row>
    <row r="107" spans="1:42" s="66" customFormat="1" ht="15" hidden="1" customHeight="1" x14ac:dyDescent="0.2">
      <c r="A107" s="789" t="s">
        <v>642</v>
      </c>
      <c r="B107" s="2680">
        <v>34500</v>
      </c>
      <c r="C107" s="2681"/>
      <c r="D107" s="186">
        <v>0</v>
      </c>
      <c r="E107" s="186">
        <v>0</v>
      </c>
      <c r="F107" s="186">
        <v>0</v>
      </c>
      <c r="G107" s="2682">
        <f t="shared" si="86"/>
        <v>0</v>
      </c>
      <c r="H107" s="2681">
        <v>0</v>
      </c>
      <c r="I107" s="186">
        <v>0</v>
      </c>
      <c r="J107" s="186">
        <v>0</v>
      </c>
      <c r="K107" s="186">
        <v>0</v>
      </c>
      <c r="L107" s="2682">
        <f t="shared" si="87"/>
        <v>0</v>
      </c>
      <c r="M107" s="2681">
        <f t="shared" si="97"/>
        <v>0</v>
      </c>
      <c r="N107" s="186">
        <f t="shared" si="98"/>
        <v>0</v>
      </c>
      <c r="O107" s="2681"/>
      <c r="P107" s="186">
        <v>0</v>
      </c>
      <c r="Q107" s="186">
        <v>0</v>
      </c>
      <c r="R107" s="186">
        <f t="shared" si="99"/>
        <v>0</v>
      </c>
      <c r="S107" s="186">
        <f t="shared" si="88"/>
        <v>0</v>
      </c>
      <c r="T107" s="186">
        <f t="shared" si="89"/>
        <v>0</v>
      </c>
      <c r="U107" s="2697">
        <f t="shared" si="90"/>
        <v>0</v>
      </c>
      <c r="V107" s="2681"/>
      <c r="W107" s="186">
        <v>0</v>
      </c>
      <c r="X107" s="186">
        <v>0</v>
      </c>
      <c r="Y107" s="186">
        <v>0</v>
      </c>
      <c r="Z107" s="2682">
        <f t="shared" si="91"/>
        <v>0</v>
      </c>
      <c r="AA107" s="2681">
        <v>0</v>
      </c>
      <c r="AB107" s="186">
        <v>0</v>
      </c>
      <c r="AC107" s="186">
        <v>0</v>
      </c>
      <c r="AD107" s="186">
        <v>0</v>
      </c>
      <c r="AE107" s="2682">
        <f t="shared" si="92"/>
        <v>0</v>
      </c>
      <c r="AF107" s="2681">
        <f t="shared" si="100"/>
        <v>0</v>
      </c>
      <c r="AG107" s="186">
        <f t="shared" si="101"/>
        <v>0</v>
      </c>
      <c r="AH107" s="186">
        <f t="shared" si="93"/>
        <v>0</v>
      </c>
      <c r="AI107" s="186">
        <f t="shared" si="94"/>
        <v>0</v>
      </c>
      <c r="AJ107" s="2697">
        <f t="shared" si="95"/>
        <v>0</v>
      </c>
      <c r="AK107" s="2704">
        <f t="shared" si="96"/>
        <v>0</v>
      </c>
      <c r="AL107" s="199"/>
      <c r="AM107" s="422"/>
      <c r="AN107" s="2762">
        <f t="shared" si="102"/>
        <v>0</v>
      </c>
      <c r="AO107" s="1060"/>
      <c r="AP107" s="2763">
        <f t="shared" si="103"/>
        <v>0</v>
      </c>
    </row>
    <row r="108" spans="1:42" s="66" customFormat="1" ht="15" hidden="1" customHeight="1" x14ac:dyDescent="0.2">
      <c r="A108" s="789" t="s">
        <v>475</v>
      </c>
      <c r="B108" s="2680">
        <v>34300</v>
      </c>
      <c r="C108" s="2681"/>
      <c r="D108" s="186">
        <v>0</v>
      </c>
      <c r="E108" s="186">
        <v>0</v>
      </c>
      <c r="F108" s="186">
        <v>0</v>
      </c>
      <c r="G108" s="2682">
        <f t="shared" si="86"/>
        <v>0</v>
      </c>
      <c r="H108" s="2681">
        <v>0</v>
      </c>
      <c r="I108" s="186">
        <v>0</v>
      </c>
      <c r="J108" s="186">
        <v>0</v>
      </c>
      <c r="K108" s="186">
        <v>0</v>
      </c>
      <c r="L108" s="2682">
        <f t="shared" si="87"/>
        <v>0</v>
      </c>
      <c r="M108" s="2681">
        <f t="shared" si="97"/>
        <v>0</v>
      </c>
      <c r="N108" s="186">
        <f t="shared" si="98"/>
        <v>0</v>
      </c>
      <c r="O108" s="2681"/>
      <c r="P108" s="186">
        <v>0</v>
      </c>
      <c r="Q108" s="186">
        <v>0</v>
      </c>
      <c r="R108" s="186">
        <f t="shared" si="99"/>
        <v>0</v>
      </c>
      <c r="S108" s="186">
        <f t="shared" si="88"/>
        <v>0</v>
      </c>
      <c r="T108" s="186">
        <f t="shared" si="89"/>
        <v>0</v>
      </c>
      <c r="U108" s="2697">
        <f t="shared" si="90"/>
        <v>0</v>
      </c>
      <c r="V108" s="2681"/>
      <c r="W108" s="186">
        <v>0</v>
      </c>
      <c r="X108" s="186">
        <v>0</v>
      </c>
      <c r="Y108" s="186">
        <v>0</v>
      </c>
      <c r="Z108" s="2682">
        <f t="shared" si="91"/>
        <v>0</v>
      </c>
      <c r="AA108" s="2681">
        <v>0</v>
      </c>
      <c r="AB108" s="186">
        <v>0</v>
      </c>
      <c r="AC108" s="186">
        <v>0</v>
      </c>
      <c r="AD108" s="186">
        <v>0</v>
      </c>
      <c r="AE108" s="2682">
        <f t="shared" si="92"/>
        <v>0</v>
      </c>
      <c r="AF108" s="2681">
        <f t="shared" si="100"/>
        <v>0</v>
      </c>
      <c r="AG108" s="186">
        <f t="shared" si="101"/>
        <v>0</v>
      </c>
      <c r="AH108" s="186">
        <f t="shared" si="93"/>
        <v>0</v>
      </c>
      <c r="AI108" s="186">
        <f t="shared" si="94"/>
        <v>0</v>
      </c>
      <c r="AJ108" s="2697">
        <f t="shared" si="95"/>
        <v>0</v>
      </c>
      <c r="AK108" s="2704">
        <f t="shared" si="96"/>
        <v>0</v>
      </c>
      <c r="AL108" s="199"/>
      <c r="AM108" s="422"/>
      <c r="AN108" s="2762">
        <f t="shared" si="102"/>
        <v>0</v>
      </c>
      <c r="AO108" s="1060"/>
      <c r="AP108" s="2763">
        <f t="shared" si="103"/>
        <v>0</v>
      </c>
    </row>
    <row r="109" spans="1:42" s="66" customFormat="1" ht="15" hidden="1" customHeight="1" x14ac:dyDescent="0.2">
      <c r="A109" s="789" t="s">
        <v>2591</v>
      </c>
      <c r="B109" s="2680">
        <v>34003</v>
      </c>
      <c r="C109" s="2681"/>
      <c r="D109" s="186">
        <v>0</v>
      </c>
      <c r="E109" s="186">
        <v>0</v>
      </c>
      <c r="F109" s="186">
        <v>0</v>
      </c>
      <c r="G109" s="2682">
        <f>SUM(C109:F109)</f>
        <v>0</v>
      </c>
      <c r="H109" s="2681">
        <v>0</v>
      </c>
      <c r="I109" s="186">
        <v>0</v>
      </c>
      <c r="J109" s="186">
        <v>0</v>
      </c>
      <c r="K109" s="186">
        <v>0</v>
      </c>
      <c r="L109" s="2682">
        <f>SUM(H109:K109)</f>
        <v>0</v>
      </c>
      <c r="M109" s="2681">
        <f>SUM(C109,H109)</f>
        <v>0</v>
      </c>
      <c r="N109" s="186">
        <f>SUM(D109,I109)</f>
        <v>0</v>
      </c>
      <c r="O109" s="2681"/>
      <c r="P109" s="186">
        <v>0</v>
      </c>
      <c r="Q109" s="186">
        <v>0</v>
      </c>
      <c r="R109" s="186">
        <f>SUM(O109:Q109)</f>
        <v>0</v>
      </c>
      <c r="S109" s="186">
        <f>SUM(E109,J109)</f>
        <v>0</v>
      </c>
      <c r="T109" s="186">
        <f>SUM(F109,K109)</f>
        <v>0</v>
      </c>
      <c r="U109" s="2697">
        <f>SUM(M109:N109,R109:T109)</f>
        <v>0</v>
      </c>
      <c r="V109" s="2681"/>
      <c r="W109" s="186">
        <v>0</v>
      </c>
      <c r="X109" s="186">
        <v>0</v>
      </c>
      <c r="Y109" s="186">
        <v>0</v>
      </c>
      <c r="Z109" s="2682">
        <f>SUM(V109:Y109)</f>
        <v>0</v>
      </c>
      <c r="AA109" s="2681">
        <v>0</v>
      </c>
      <c r="AB109" s="186">
        <v>0</v>
      </c>
      <c r="AC109" s="186">
        <v>0</v>
      </c>
      <c r="AD109" s="186">
        <v>0</v>
      </c>
      <c r="AE109" s="2682">
        <f>SUM(AA109:AD109)</f>
        <v>0</v>
      </c>
      <c r="AF109" s="2681">
        <f t="shared" ref="AF109:AI110" si="104">SUM(V109,AA109)</f>
        <v>0</v>
      </c>
      <c r="AG109" s="186">
        <f t="shared" si="104"/>
        <v>0</v>
      </c>
      <c r="AH109" s="186">
        <f t="shared" si="104"/>
        <v>0</v>
      </c>
      <c r="AI109" s="186">
        <f t="shared" si="104"/>
        <v>0</v>
      </c>
      <c r="AJ109" s="2697">
        <f>SUM(AF109:AI109)</f>
        <v>0</v>
      </c>
      <c r="AK109" s="2704">
        <f>+U109-AJ109</f>
        <v>0</v>
      </c>
      <c r="AL109" s="199"/>
      <c r="AM109" s="422"/>
      <c r="AN109" s="2762">
        <f t="shared" si="102"/>
        <v>0</v>
      </c>
      <c r="AO109" s="1060"/>
      <c r="AP109" s="2763">
        <f t="shared" si="103"/>
        <v>0</v>
      </c>
    </row>
    <row r="110" spans="1:42" s="66" customFormat="1" ht="15" hidden="1" customHeight="1" x14ac:dyDescent="0.2">
      <c r="A110" s="789" t="s">
        <v>2115</v>
      </c>
      <c r="B110" s="2680">
        <v>34002</v>
      </c>
      <c r="C110" s="2681"/>
      <c r="D110" s="186">
        <v>0</v>
      </c>
      <c r="E110" s="186">
        <v>0</v>
      </c>
      <c r="F110" s="186">
        <v>0</v>
      </c>
      <c r="G110" s="2682">
        <f>SUM(C110:F110)</f>
        <v>0</v>
      </c>
      <c r="H110" s="2681">
        <v>0</v>
      </c>
      <c r="I110" s="186">
        <v>0</v>
      </c>
      <c r="J110" s="186">
        <v>0</v>
      </c>
      <c r="K110" s="186">
        <v>0</v>
      </c>
      <c r="L110" s="2682">
        <f>SUM(H110:K110)</f>
        <v>0</v>
      </c>
      <c r="M110" s="2681">
        <f>SUM(C110,H110)</f>
        <v>0</v>
      </c>
      <c r="N110" s="186">
        <f>SUM(D110,I110)</f>
        <v>0</v>
      </c>
      <c r="O110" s="2681"/>
      <c r="P110" s="186">
        <v>0</v>
      </c>
      <c r="Q110" s="186">
        <v>0</v>
      </c>
      <c r="R110" s="186">
        <f>SUM(O110:Q110)</f>
        <v>0</v>
      </c>
      <c r="S110" s="186">
        <f>SUM(E110,J110)</f>
        <v>0</v>
      </c>
      <c r="T110" s="186">
        <f>SUM(F110,K110)</f>
        <v>0</v>
      </c>
      <c r="U110" s="2697">
        <f>SUM(M110:N110,R110:T110)</f>
        <v>0</v>
      </c>
      <c r="V110" s="2681"/>
      <c r="W110" s="186">
        <v>0</v>
      </c>
      <c r="X110" s="186">
        <v>0</v>
      </c>
      <c r="Y110" s="186">
        <v>0</v>
      </c>
      <c r="Z110" s="2682">
        <f>SUM(V110:Y110)</f>
        <v>0</v>
      </c>
      <c r="AA110" s="2681">
        <v>0</v>
      </c>
      <c r="AB110" s="186">
        <v>0</v>
      </c>
      <c r="AC110" s="186">
        <v>0</v>
      </c>
      <c r="AD110" s="186">
        <v>0</v>
      </c>
      <c r="AE110" s="2682">
        <f>SUM(AA110:AD110)</f>
        <v>0</v>
      </c>
      <c r="AF110" s="2681">
        <f t="shared" si="104"/>
        <v>0</v>
      </c>
      <c r="AG110" s="186">
        <f t="shared" si="104"/>
        <v>0</v>
      </c>
      <c r="AH110" s="186">
        <f t="shared" si="104"/>
        <v>0</v>
      </c>
      <c r="AI110" s="186">
        <f t="shared" si="104"/>
        <v>0</v>
      </c>
      <c r="AJ110" s="2697">
        <f>SUM(AF110:AI110)</f>
        <v>0</v>
      </c>
      <c r="AK110" s="2704">
        <f>+U110-AJ110</f>
        <v>0</v>
      </c>
      <c r="AL110" s="199"/>
      <c r="AM110" s="422"/>
      <c r="AN110" s="2762">
        <f t="shared" si="102"/>
        <v>0</v>
      </c>
      <c r="AO110" s="1060"/>
      <c r="AP110" s="2763">
        <f t="shared" si="103"/>
        <v>0</v>
      </c>
    </row>
    <row r="111" spans="1:42" s="66" customFormat="1" ht="15" hidden="1" customHeight="1" x14ac:dyDescent="0.2">
      <c r="A111" s="789" t="s">
        <v>462</v>
      </c>
      <c r="B111" s="2680">
        <v>34004</v>
      </c>
      <c r="C111" s="2681"/>
      <c r="D111" s="186">
        <v>0</v>
      </c>
      <c r="E111" s="186">
        <v>0</v>
      </c>
      <c r="F111" s="186">
        <v>0</v>
      </c>
      <c r="G111" s="2682">
        <f t="shared" si="86"/>
        <v>0</v>
      </c>
      <c r="H111" s="2681">
        <v>0</v>
      </c>
      <c r="I111" s="186">
        <v>0</v>
      </c>
      <c r="J111" s="186">
        <v>0</v>
      </c>
      <c r="K111" s="186">
        <v>0</v>
      </c>
      <c r="L111" s="2682">
        <f t="shared" si="87"/>
        <v>0</v>
      </c>
      <c r="M111" s="2681">
        <f t="shared" si="97"/>
        <v>0</v>
      </c>
      <c r="N111" s="186">
        <f t="shared" si="98"/>
        <v>0</v>
      </c>
      <c r="O111" s="2681"/>
      <c r="P111" s="186">
        <v>0</v>
      </c>
      <c r="Q111" s="186">
        <v>0</v>
      </c>
      <c r="R111" s="186">
        <f t="shared" si="99"/>
        <v>0</v>
      </c>
      <c r="S111" s="186">
        <f t="shared" si="88"/>
        <v>0</v>
      </c>
      <c r="T111" s="186">
        <f t="shared" si="89"/>
        <v>0</v>
      </c>
      <c r="U111" s="2697">
        <f t="shared" si="90"/>
        <v>0</v>
      </c>
      <c r="V111" s="2681"/>
      <c r="W111" s="186">
        <v>0</v>
      </c>
      <c r="X111" s="186">
        <v>0</v>
      </c>
      <c r="Y111" s="186">
        <v>0</v>
      </c>
      <c r="Z111" s="2682">
        <f t="shared" si="91"/>
        <v>0</v>
      </c>
      <c r="AA111" s="2681">
        <v>0</v>
      </c>
      <c r="AB111" s="186">
        <v>0</v>
      </c>
      <c r="AC111" s="186">
        <v>0</v>
      </c>
      <c r="AD111" s="186">
        <v>0</v>
      </c>
      <c r="AE111" s="2682">
        <f t="shared" si="92"/>
        <v>0</v>
      </c>
      <c r="AF111" s="2681">
        <f t="shared" si="100"/>
        <v>0</v>
      </c>
      <c r="AG111" s="186">
        <f t="shared" si="101"/>
        <v>0</v>
      </c>
      <c r="AH111" s="186">
        <f t="shared" si="93"/>
        <v>0</v>
      </c>
      <c r="AI111" s="186">
        <f t="shared" si="94"/>
        <v>0</v>
      </c>
      <c r="AJ111" s="2697">
        <f t="shared" si="95"/>
        <v>0</v>
      </c>
      <c r="AK111" s="2704">
        <f t="shared" si="96"/>
        <v>0</v>
      </c>
      <c r="AL111" s="199"/>
      <c r="AM111" s="422"/>
      <c r="AN111" s="2762">
        <f t="shared" si="102"/>
        <v>0</v>
      </c>
      <c r="AO111" s="1060"/>
      <c r="AP111" s="2763">
        <f t="shared" si="103"/>
        <v>0</v>
      </c>
    </row>
    <row r="112" spans="1:42" s="66" customFormat="1" ht="15" hidden="1" customHeight="1" x14ac:dyDescent="0.2">
      <c r="A112" s="789" t="s">
        <v>2116</v>
      </c>
      <c r="B112" s="2680">
        <v>34005</v>
      </c>
      <c r="C112" s="2681"/>
      <c r="D112" s="186">
        <v>0</v>
      </c>
      <c r="E112" s="186">
        <v>0</v>
      </c>
      <c r="F112" s="186">
        <v>0</v>
      </c>
      <c r="G112" s="2682">
        <f t="shared" si="86"/>
        <v>0</v>
      </c>
      <c r="H112" s="2681">
        <v>0</v>
      </c>
      <c r="I112" s="186">
        <v>0</v>
      </c>
      <c r="J112" s="186">
        <v>0</v>
      </c>
      <c r="K112" s="186">
        <v>0</v>
      </c>
      <c r="L112" s="2682">
        <f t="shared" si="87"/>
        <v>0</v>
      </c>
      <c r="M112" s="2681">
        <f t="shared" si="97"/>
        <v>0</v>
      </c>
      <c r="N112" s="186">
        <f t="shared" si="98"/>
        <v>0</v>
      </c>
      <c r="O112" s="2681">
        <v>0</v>
      </c>
      <c r="P112" s="186">
        <v>0</v>
      </c>
      <c r="Q112" s="186">
        <v>0</v>
      </c>
      <c r="R112" s="186">
        <f t="shared" si="99"/>
        <v>0</v>
      </c>
      <c r="S112" s="186">
        <f t="shared" si="88"/>
        <v>0</v>
      </c>
      <c r="T112" s="186">
        <f t="shared" si="89"/>
        <v>0</v>
      </c>
      <c r="U112" s="2697">
        <f t="shared" si="90"/>
        <v>0</v>
      </c>
      <c r="V112" s="2681"/>
      <c r="W112" s="186">
        <v>0</v>
      </c>
      <c r="X112" s="186">
        <v>0</v>
      </c>
      <c r="Y112" s="186">
        <v>0</v>
      </c>
      <c r="Z112" s="2682">
        <f t="shared" si="91"/>
        <v>0</v>
      </c>
      <c r="AA112" s="2681">
        <v>0</v>
      </c>
      <c r="AB112" s="186">
        <v>0</v>
      </c>
      <c r="AC112" s="186">
        <v>0</v>
      </c>
      <c r="AD112" s="186">
        <v>0</v>
      </c>
      <c r="AE112" s="2682">
        <f t="shared" si="92"/>
        <v>0</v>
      </c>
      <c r="AF112" s="2681">
        <f t="shared" si="100"/>
        <v>0</v>
      </c>
      <c r="AG112" s="186">
        <f t="shared" si="101"/>
        <v>0</v>
      </c>
      <c r="AH112" s="186">
        <f t="shared" si="93"/>
        <v>0</v>
      </c>
      <c r="AI112" s="186">
        <f t="shared" si="94"/>
        <v>0</v>
      </c>
      <c r="AJ112" s="2697">
        <f t="shared" si="95"/>
        <v>0</v>
      </c>
      <c r="AK112" s="2704">
        <f t="shared" si="96"/>
        <v>0</v>
      </c>
      <c r="AL112" s="199"/>
      <c r="AM112" s="422"/>
      <c r="AN112" s="2762">
        <f t="shared" si="102"/>
        <v>0</v>
      </c>
      <c r="AO112" s="1060"/>
      <c r="AP112" s="2763">
        <f t="shared" si="103"/>
        <v>0</v>
      </c>
    </row>
    <row r="113" spans="1:41" s="66" customFormat="1" ht="15" customHeight="1" x14ac:dyDescent="0.2">
      <c r="A113" s="789"/>
      <c r="B113" s="2680"/>
      <c r="C113" s="2681"/>
      <c r="D113" s="186"/>
      <c r="E113" s="186"/>
      <c r="F113" s="186"/>
      <c r="G113" s="2682"/>
      <c r="H113" s="2681"/>
      <c r="I113" s="186"/>
      <c r="J113" s="186"/>
      <c r="K113" s="186"/>
      <c r="L113" s="2682"/>
      <c r="M113" s="2681"/>
      <c r="N113" s="186"/>
      <c r="O113" s="2681"/>
      <c r="P113" s="186"/>
      <c r="Q113" s="186"/>
      <c r="R113" s="186"/>
      <c r="S113" s="186"/>
      <c r="T113" s="186"/>
      <c r="U113" s="2697"/>
      <c r="V113" s="2681"/>
      <c r="W113" s="186"/>
      <c r="X113" s="186"/>
      <c r="Y113" s="186"/>
      <c r="Z113" s="2682"/>
      <c r="AA113" s="2681"/>
      <c r="AB113" s="186"/>
      <c r="AC113" s="186"/>
      <c r="AD113" s="186"/>
      <c r="AE113" s="2682"/>
      <c r="AF113" s="2681"/>
      <c r="AG113" s="186"/>
      <c r="AH113" s="186"/>
      <c r="AI113" s="186"/>
      <c r="AJ113" s="2697"/>
      <c r="AK113" s="2704"/>
      <c r="AL113" s="199"/>
      <c r="AM113" s="424"/>
      <c r="AO113" s="1060"/>
    </row>
    <row r="114" spans="1:41" s="66" customFormat="1" ht="15" customHeight="1" x14ac:dyDescent="0.25">
      <c r="A114" s="789"/>
      <c r="B114" s="2680"/>
      <c r="C114" s="2683">
        <f t="shared" ref="C114:L114" si="105">SUM(C31:C113)</f>
        <v>0</v>
      </c>
      <c r="D114" s="687">
        <f t="shared" si="105"/>
        <v>0</v>
      </c>
      <c r="E114" s="687">
        <f t="shared" si="105"/>
        <v>0</v>
      </c>
      <c r="F114" s="687">
        <f t="shared" si="105"/>
        <v>0</v>
      </c>
      <c r="G114" s="2684">
        <f t="shared" si="105"/>
        <v>0</v>
      </c>
      <c r="H114" s="2683">
        <f t="shared" si="105"/>
        <v>0</v>
      </c>
      <c r="I114" s="687">
        <f t="shared" si="105"/>
        <v>0</v>
      </c>
      <c r="J114" s="687">
        <f t="shared" si="105"/>
        <v>0</v>
      </c>
      <c r="K114" s="687">
        <f t="shared" si="105"/>
        <v>0</v>
      </c>
      <c r="L114" s="2684">
        <f t="shared" si="105"/>
        <v>0</v>
      </c>
      <c r="M114" s="2683">
        <f t="shared" ref="M114:Z114" si="106">SUM(M31:M113)</f>
        <v>451673665.39999998</v>
      </c>
      <c r="N114" s="687">
        <f t="shared" si="106"/>
        <v>21328580.309999999</v>
      </c>
      <c r="O114" s="2683">
        <f>SUM(O31:O113)</f>
        <v>0</v>
      </c>
      <c r="P114" s="687">
        <f>SUM(P31:P113)</f>
        <v>0</v>
      </c>
      <c r="Q114" s="687">
        <f>SUM(Q31:Q113)</f>
        <v>0</v>
      </c>
      <c r="R114" s="687">
        <f>SUM(R31:R113)</f>
        <v>28842424.219999999</v>
      </c>
      <c r="S114" s="687">
        <f t="shared" si="106"/>
        <v>0</v>
      </c>
      <c r="T114" s="687">
        <f t="shared" si="106"/>
        <v>0</v>
      </c>
      <c r="U114" s="2698">
        <f t="shared" si="106"/>
        <v>501844669.93000001</v>
      </c>
      <c r="V114" s="2683">
        <f t="shared" si="106"/>
        <v>0</v>
      </c>
      <c r="W114" s="687">
        <f t="shared" si="106"/>
        <v>0</v>
      </c>
      <c r="X114" s="687">
        <f t="shared" si="106"/>
        <v>0</v>
      </c>
      <c r="Y114" s="687">
        <f t="shared" si="106"/>
        <v>0</v>
      </c>
      <c r="Z114" s="2684">
        <f t="shared" si="106"/>
        <v>0</v>
      </c>
      <c r="AA114" s="2683">
        <f t="shared" ref="AA114:AK114" si="107">SUM(AA31:AA113)</f>
        <v>0</v>
      </c>
      <c r="AB114" s="687">
        <f t="shared" si="107"/>
        <v>0</v>
      </c>
      <c r="AC114" s="687">
        <f t="shared" si="107"/>
        <v>0</v>
      </c>
      <c r="AD114" s="687">
        <f t="shared" si="107"/>
        <v>0</v>
      </c>
      <c r="AE114" s="2684">
        <f t="shared" si="107"/>
        <v>0</v>
      </c>
      <c r="AF114" s="2683">
        <f t="shared" si="107"/>
        <v>257090849.49000001</v>
      </c>
      <c r="AG114" s="687">
        <f t="shared" si="107"/>
        <v>15111731.25</v>
      </c>
      <c r="AH114" s="687">
        <f t="shared" si="107"/>
        <v>0</v>
      </c>
      <c r="AI114" s="687">
        <f t="shared" si="107"/>
        <v>0</v>
      </c>
      <c r="AJ114" s="2698">
        <f t="shared" si="107"/>
        <v>272202580.74000001</v>
      </c>
      <c r="AK114" s="2705">
        <f t="shared" si="107"/>
        <v>229642089.19</v>
      </c>
      <c r="AL114" s="251"/>
      <c r="AM114" s="430">
        <f>SUM(AM31:AM113)</f>
        <v>0</v>
      </c>
      <c r="AO114" s="1060"/>
    </row>
    <row r="115" spans="1:41" s="109" customFormat="1" ht="15" customHeight="1" x14ac:dyDescent="0.25">
      <c r="A115" s="789"/>
      <c r="B115" s="2680"/>
      <c r="C115" s="2685">
        <v>0</v>
      </c>
      <c r="D115" s="688">
        <v>0</v>
      </c>
      <c r="E115" s="688">
        <v>1.4901161193847656E-8</v>
      </c>
      <c r="F115" s="688">
        <v>0</v>
      </c>
      <c r="G115" s="2686">
        <v>0</v>
      </c>
      <c r="H115" s="2685">
        <v>0</v>
      </c>
      <c r="I115" s="688">
        <v>0</v>
      </c>
      <c r="J115" s="688">
        <v>0</v>
      </c>
      <c r="K115" s="688">
        <v>0</v>
      </c>
      <c r="L115" s="2686">
        <v>0</v>
      </c>
      <c r="M115" s="2678"/>
      <c r="N115" s="686"/>
      <c r="O115" s="2685">
        <v>0</v>
      </c>
      <c r="P115" s="688">
        <v>0</v>
      </c>
      <c r="Q115" s="688">
        <v>0</v>
      </c>
      <c r="R115" s="688">
        <v>0</v>
      </c>
      <c r="S115" s="686"/>
      <c r="T115" s="686"/>
      <c r="U115" s="2699"/>
      <c r="V115" s="2685">
        <v>0</v>
      </c>
      <c r="W115" s="688">
        <v>0</v>
      </c>
      <c r="X115" s="688">
        <v>0</v>
      </c>
      <c r="Y115" s="688">
        <v>0</v>
      </c>
      <c r="Z115" s="2686">
        <v>0</v>
      </c>
      <c r="AA115" s="2685">
        <v>0</v>
      </c>
      <c r="AB115" s="688">
        <v>0</v>
      </c>
      <c r="AC115" s="688">
        <v>0</v>
      </c>
      <c r="AD115" s="688">
        <v>0</v>
      </c>
      <c r="AE115" s="2686">
        <v>0</v>
      </c>
      <c r="AF115" s="2678"/>
      <c r="AG115" s="686"/>
      <c r="AH115" s="686"/>
      <c r="AI115" s="686"/>
      <c r="AJ115" s="2696"/>
      <c r="AK115" s="2703"/>
      <c r="AL115" s="135"/>
      <c r="AM115" s="431"/>
      <c r="AO115" s="1060"/>
    </row>
    <row r="116" spans="1:41" s="66" customFormat="1" ht="15" customHeight="1" x14ac:dyDescent="0.25">
      <c r="A116" s="2676" t="s">
        <v>196</v>
      </c>
      <c r="B116" s="2677"/>
      <c r="C116" s="2681"/>
      <c r="D116" s="186"/>
      <c r="E116" s="186"/>
      <c r="F116" s="186"/>
      <c r="G116" s="2682"/>
      <c r="H116" s="2681"/>
      <c r="I116" s="186"/>
      <c r="J116" s="186"/>
      <c r="K116" s="186"/>
      <c r="L116" s="2682"/>
      <c r="M116" s="2681"/>
      <c r="N116" s="186"/>
      <c r="O116" s="2681"/>
      <c r="P116" s="186"/>
      <c r="Q116" s="186"/>
      <c r="R116" s="186"/>
      <c r="S116" s="186"/>
      <c r="T116" s="186"/>
      <c r="U116" s="2697"/>
      <c r="V116" s="2681"/>
      <c r="W116" s="186"/>
      <c r="X116" s="186"/>
      <c r="Y116" s="186"/>
      <c r="Z116" s="2682"/>
      <c r="AA116" s="2681"/>
      <c r="AB116" s="186"/>
      <c r="AC116" s="186"/>
      <c r="AD116" s="186"/>
      <c r="AE116" s="2682"/>
      <c r="AF116" s="2681"/>
      <c r="AG116" s="186"/>
      <c r="AH116" s="186"/>
      <c r="AI116" s="186"/>
      <c r="AJ116" s="2697"/>
      <c r="AK116" s="2704"/>
      <c r="AL116" s="199"/>
      <c r="AM116" s="424"/>
      <c r="AO116" s="1060"/>
    </row>
    <row r="117" spans="1:41" s="66" customFormat="1" ht="15" hidden="1" customHeight="1" x14ac:dyDescent="0.2">
      <c r="A117" s="2689" t="s">
        <v>476</v>
      </c>
      <c r="B117" s="2690"/>
      <c r="C117" s="2687"/>
      <c r="D117" s="689"/>
      <c r="E117" s="689"/>
      <c r="F117" s="689"/>
      <c r="G117" s="2688"/>
      <c r="H117" s="2687"/>
      <c r="I117" s="689"/>
      <c r="J117" s="689"/>
      <c r="K117" s="689"/>
      <c r="L117" s="2688"/>
      <c r="M117" s="2687"/>
      <c r="N117" s="689"/>
      <c r="O117" s="2687"/>
      <c r="P117" s="689"/>
      <c r="Q117" s="689"/>
      <c r="R117" s="689"/>
      <c r="S117" s="689"/>
      <c r="T117" s="689"/>
      <c r="U117" s="2700"/>
      <c r="V117" s="2687"/>
      <c r="W117" s="689"/>
      <c r="X117" s="689"/>
      <c r="Y117" s="689"/>
      <c r="Z117" s="2688"/>
      <c r="AA117" s="2687"/>
      <c r="AB117" s="689"/>
      <c r="AC117" s="689"/>
      <c r="AD117" s="689"/>
      <c r="AE117" s="2688"/>
      <c r="AF117" s="2687"/>
      <c r="AG117" s="689"/>
      <c r="AH117" s="689"/>
      <c r="AI117" s="689"/>
      <c r="AJ117" s="2700"/>
      <c r="AK117" s="2706"/>
      <c r="AL117" s="57"/>
      <c r="AM117" s="439"/>
      <c r="AO117" s="1060"/>
    </row>
    <row r="118" spans="1:41" s="66" customFormat="1" ht="15" hidden="1" customHeight="1" x14ac:dyDescent="0.2">
      <c r="A118" s="789" t="s">
        <v>477</v>
      </c>
      <c r="B118" s="2680"/>
      <c r="C118" s="2681">
        <v>0</v>
      </c>
      <c r="D118" s="186">
        <v>0</v>
      </c>
      <c r="E118" s="186">
        <v>0</v>
      </c>
      <c r="F118" s="186">
        <v>0</v>
      </c>
      <c r="G118" s="2682">
        <f t="shared" ref="G118:G143" si="108">SUM(C118:F118)</f>
        <v>0</v>
      </c>
      <c r="H118" s="2681">
        <v>0</v>
      </c>
      <c r="I118" s="186">
        <v>0</v>
      </c>
      <c r="J118" s="186">
        <v>0</v>
      </c>
      <c r="K118" s="186">
        <v>0</v>
      </c>
      <c r="L118" s="2682">
        <f t="shared" ref="L118:L143" si="109">SUM(H118:K118)</f>
        <v>0</v>
      </c>
      <c r="M118" s="2681">
        <f t="shared" ref="M118:M143" si="110">SUM(C118,H118)</f>
        <v>0</v>
      </c>
      <c r="N118" s="186">
        <f t="shared" ref="N118:N143" si="111">SUM(D118,I118)</f>
        <v>0</v>
      </c>
      <c r="O118" s="2681">
        <v>0</v>
      </c>
      <c r="P118" s="186">
        <v>0</v>
      </c>
      <c r="Q118" s="186">
        <v>0</v>
      </c>
      <c r="R118" s="186">
        <f t="shared" ref="R118:R143" si="112">SUM(O118:Q118)</f>
        <v>0</v>
      </c>
      <c r="S118" s="186">
        <f t="shared" ref="S118:S143" si="113">SUM(E118,J118)</f>
        <v>0</v>
      </c>
      <c r="T118" s="186">
        <f t="shared" ref="T118:T143" si="114">SUM(F118,K118)</f>
        <v>0</v>
      </c>
      <c r="U118" s="2697">
        <f t="shared" ref="U118:U143" si="115">SUM(M118:N118,R118:T118)</f>
        <v>0</v>
      </c>
      <c r="V118" s="2681">
        <v>0</v>
      </c>
      <c r="W118" s="186">
        <v>0</v>
      </c>
      <c r="X118" s="186">
        <v>0</v>
      </c>
      <c r="Y118" s="186">
        <v>0</v>
      </c>
      <c r="Z118" s="2682">
        <f t="shared" ref="Z118:Z143" si="116">SUM(V118:Y118)</f>
        <v>0</v>
      </c>
      <c r="AA118" s="2681">
        <v>0</v>
      </c>
      <c r="AB118" s="186">
        <v>0</v>
      </c>
      <c r="AC118" s="186">
        <v>0</v>
      </c>
      <c r="AD118" s="186">
        <v>0</v>
      </c>
      <c r="AE118" s="2682">
        <f t="shared" ref="AE118:AE143" si="117">SUM(AA118:AD118)</f>
        <v>0</v>
      </c>
      <c r="AF118" s="2681">
        <f t="shared" ref="AF118:AF143" si="118">SUM(V118,AA118)</f>
        <v>0</v>
      </c>
      <c r="AG118" s="186">
        <f t="shared" ref="AG118:AG143" si="119">SUM(W118,AB118)</f>
        <v>0</v>
      </c>
      <c r="AH118" s="186">
        <f t="shared" ref="AH118:AH143" si="120">SUM(X118,AC118)</f>
        <v>0</v>
      </c>
      <c r="AI118" s="186">
        <f t="shared" ref="AI118:AI143" si="121">SUM(Y118,AD118)</f>
        <v>0</v>
      </c>
      <c r="AJ118" s="2697">
        <f>+AF118+AG118+AH118-AI118</f>
        <v>0</v>
      </c>
      <c r="AK118" s="2704">
        <f t="shared" ref="AK118:AK143" si="122">+U118-AJ118</f>
        <v>0</v>
      </c>
      <c r="AL118" s="199"/>
      <c r="AM118" s="424">
        <v>0</v>
      </c>
      <c r="AO118" s="1060"/>
    </row>
    <row r="119" spans="1:41" s="66" customFormat="1" ht="15" hidden="1" customHeight="1" x14ac:dyDescent="0.2">
      <c r="A119" s="789" t="s">
        <v>643</v>
      </c>
      <c r="B119" s="2680"/>
      <c r="C119" s="2681">
        <v>0</v>
      </c>
      <c r="D119" s="186">
        <v>0</v>
      </c>
      <c r="E119" s="186">
        <v>0</v>
      </c>
      <c r="F119" s="186">
        <v>0</v>
      </c>
      <c r="G119" s="2682">
        <f t="shared" si="108"/>
        <v>0</v>
      </c>
      <c r="H119" s="2681">
        <v>0</v>
      </c>
      <c r="I119" s="186">
        <v>0</v>
      </c>
      <c r="J119" s="186">
        <v>0</v>
      </c>
      <c r="K119" s="186">
        <v>0</v>
      </c>
      <c r="L119" s="2682">
        <f t="shared" si="109"/>
        <v>0</v>
      </c>
      <c r="M119" s="2681">
        <f t="shared" si="110"/>
        <v>0</v>
      </c>
      <c r="N119" s="186">
        <f t="shared" si="111"/>
        <v>0</v>
      </c>
      <c r="O119" s="2681">
        <v>0</v>
      </c>
      <c r="P119" s="186">
        <v>0</v>
      </c>
      <c r="Q119" s="186">
        <v>0</v>
      </c>
      <c r="R119" s="186">
        <f t="shared" si="112"/>
        <v>0</v>
      </c>
      <c r="S119" s="186">
        <f t="shared" si="113"/>
        <v>0</v>
      </c>
      <c r="T119" s="186">
        <f t="shared" si="114"/>
        <v>0</v>
      </c>
      <c r="U119" s="2697">
        <f t="shared" si="115"/>
        <v>0</v>
      </c>
      <c r="V119" s="2681">
        <v>0</v>
      </c>
      <c r="W119" s="186">
        <v>0</v>
      </c>
      <c r="X119" s="186">
        <v>0</v>
      </c>
      <c r="Y119" s="186">
        <v>0</v>
      </c>
      <c r="Z119" s="2682">
        <f t="shared" si="116"/>
        <v>0</v>
      </c>
      <c r="AA119" s="2681">
        <v>0</v>
      </c>
      <c r="AB119" s="186">
        <v>0</v>
      </c>
      <c r="AC119" s="186">
        <v>0</v>
      </c>
      <c r="AD119" s="186">
        <v>0</v>
      </c>
      <c r="AE119" s="2682">
        <f t="shared" si="117"/>
        <v>0</v>
      </c>
      <c r="AF119" s="2681">
        <f t="shared" si="118"/>
        <v>0</v>
      </c>
      <c r="AG119" s="186">
        <f t="shared" si="119"/>
        <v>0</v>
      </c>
      <c r="AH119" s="186">
        <f t="shared" si="120"/>
        <v>0</v>
      </c>
      <c r="AI119" s="186">
        <f t="shared" si="121"/>
        <v>0</v>
      </c>
      <c r="AJ119" s="2697">
        <f t="shared" ref="AJ119:AJ143" si="123">SUM(AF119:AI119)</f>
        <v>0</v>
      </c>
      <c r="AK119" s="2704">
        <f t="shared" si="122"/>
        <v>0</v>
      </c>
      <c r="AL119" s="199"/>
      <c r="AM119" s="424">
        <v>0</v>
      </c>
      <c r="AO119" s="1060"/>
    </row>
    <row r="120" spans="1:41" s="66" customFormat="1" ht="15" hidden="1" customHeight="1" x14ac:dyDescent="0.2">
      <c r="A120" s="789" t="s">
        <v>478</v>
      </c>
      <c r="B120" s="2680"/>
      <c r="C120" s="2681">
        <v>0</v>
      </c>
      <c r="D120" s="186">
        <v>0</v>
      </c>
      <c r="E120" s="186">
        <v>0</v>
      </c>
      <c r="F120" s="186">
        <v>0</v>
      </c>
      <c r="G120" s="2682">
        <f t="shared" si="108"/>
        <v>0</v>
      </c>
      <c r="H120" s="2681">
        <v>0</v>
      </c>
      <c r="I120" s="186">
        <v>0</v>
      </c>
      <c r="J120" s="186">
        <v>0</v>
      </c>
      <c r="K120" s="186">
        <v>0</v>
      </c>
      <c r="L120" s="2682">
        <f t="shared" si="109"/>
        <v>0</v>
      </c>
      <c r="M120" s="2681">
        <f t="shared" si="110"/>
        <v>0</v>
      </c>
      <c r="N120" s="186">
        <f t="shared" si="111"/>
        <v>0</v>
      </c>
      <c r="O120" s="2681">
        <v>0</v>
      </c>
      <c r="P120" s="186">
        <v>0</v>
      </c>
      <c r="Q120" s="186">
        <v>0</v>
      </c>
      <c r="R120" s="186">
        <f t="shared" si="112"/>
        <v>0</v>
      </c>
      <c r="S120" s="186">
        <f t="shared" si="113"/>
        <v>0</v>
      </c>
      <c r="T120" s="186">
        <f t="shared" si="114"/>
        <v>0</v>
      </c>
      <c r="U120" s="2697">
        <f t="shared" si="115"/>
        <v>0</v>
      </c>
      <c r="V120" s="2681">
        <v>0</v>
      </c>
      <c r="W120" s="186">
        <v>0</v>
      </c>
      <c r="X120" s="186">
        <v>0</v>
      </c>
      <c r="Y120" s="186">
        <v>0</v>
      </c>
      <c r="Z120" s="2682">
        <f t="shared" si="116"/>
        <v>0</v>
      </c>
      <c r="AA120" s="2681">
        <v>0</v>
      </c>
      <c r="AB120" s="186">
        <v>0</v>
      </c>
      <c r="AC120" s="186">
        <v>0</v>
      </c>
      <c r="AD120" s="186">
        <v>0</v>
      </c>
      <c r="AE120" s="2682">
        <f t="shared" si="117"/>
        <v>0</v>
      </c>
      <c r="AF120" s="2681">
        <f t="shared" si="118"/>
        <v>0</v>
      </c>
      <c r="AG120" s="186">
        <f t="shared" si="119"/>
        <v>0</v>
      </c>
      <c r="AH120" s="186">
        <f t="shared" si="120"/>
        <v>0</v>
      </c>
      <c r="AI120" s="186">
        <f t="shared" si="121"/>
        <v>0</v>
      </c>
      <c r="AJ120" s="2697">
        <f t="shared" si="123"/>
        <v>0</v>
      </c>
      <c r="AK120" s="2704">
        <f t="shared" si="122"/>
        <v>0</v>
      </c>
      <c r="AL120" s="199"/>
      <c r="AM120" s="424">
        <v>0</v>
      </c>
      <c r="AO120" s="1060"/>
    </row>
    <row r="121" spans="1:41" s="66" customFormat="1" ht="15" hidden="1" customHeight="1" x14ac:dyDescent="0.2">
      <c r="A121" s="789" t="s">
        <v>479</v>
      </c>
      <c r="B121" s="2680"/>
      <c r="C121" s="2681">
        <v>0</v>
      </c>
      <c r="D121" s="186">
        <v>0</v>
      </c>
      <c r="E121" s="186">
        <v>0</v>
      </c>
      <c r="F121" s="186">
        <v>0</v>
      </c>
      <c r="G121" s="2682">
        <f t="shared" si="108"/>
        <v>0</v>
      </c>
      <c r="H121" s="2681">
        <v>0</v>
      </c>
      <c r="I121" s="186">
        <v>0</v>
      </c>
      <c r="J121" s="186">
        <v>0</v>
      </c>
      <c r="K121" s="186">
        <v>0</v>
      </c>
      <c r="L121" s="2682">
        <f t="shared" si="109"/>
        <v>0</v>
      </c>
      <c r="M121" s="2681">
        <f t="shared" si="110"/>
        <v>0</v>
      </c>
      <c r="N121" s="186">
        <f t="shared" si="111"/>
        <v>0</v>
      </c>
      <c r="O121" s="2681">
        <v>0</v>
      </c>
      <c r="P121" s="186">
        <v>0</v>
      </c>
      <c r="Q121" s="186">
        <v>0</v>
      </c>
      <c r="R121" s="186">
        <f t="shared" si="112"/>
        <v>0</v>
      </c>
      <c r="S121" s="186">
        <f t="shared" si="113"/>
        <v>0</v>
      </c>
      <c r="T121" s="186">
        <f t="shared" si="114"/>
        <v>0</v>
      </c>
      <c r="U121" s="2697">
        <f t="shared" si="115"/>
        <v>0</v>
      </c>
      <c r="V121" s="2681">
        <v>0</v>
      </c>
      <c r="W121" s="186">
        <v>0</v>
      </c>
      <c r="X121" s="186">
        <v>0</v>
      </c>
      <c r="Y121" s="186">
        <v>0</v>
      </c>
      <c r="Z121" s="2682">
        <f t="shared" si="116"/>
        <v>0</v>
      </c>
      <c r="AA121" s="2681">
        <v>0</v>
      </c>
      <c r="AB121" s="186">
        <v>0</v>
      </c>
      <c r="AC121" s="186">
        <v>0</v>
      </c>
      <c r="AD121" s="186">
        <v>0</v>
      </c>
      <c r="AE121" s="2682">
        <f t="shared" si="117"/>
        <v>0</v>
      </c>
      <c r="AF121" s="2681">
        <f t="shared" si="118"/>
        <v>0</v>
      </c>
      <c r="AG121" s="186">
        <f t="shared" si="119"/>
        <v>0</v>
      </c>
      <c r="AH121" s="186">
        <f t="shared" si="120"/>
        <v>0</v>
      </c>
      <c r="AI121" s="186">
        <f t="shared" si="121"/>
        <v>0</v>
      </c>
      <c r="AJ121" s="2697">
        <f t="shared" si="123"/>
        <v>0</v>
      </c>
      <c r="AK121" s="2704">
        <f t="shared" si="122"/>
        <v>0</v>
      </c>
      <c r="AL121" s="199"/>
      <c r="AM121" s="424">
        <v>0</v>
      </c>
      <c r="AO121" s="1060"/>
    </row>
    <row r="122" spans="1:41" s="66" customFormat="1" ht="15" hidden="1" customHeight="1" x14ac:dyDescent="0.2">
      <c r="A122" s="789" t="s">
        <v>480</v>
      </c>
      <c r="B122" s="2680"/>
      <c r="C122" s="2681">
        <v>0</v>
      </c>
      <c r="D122" s="186">
        <v>0</v>
      </c>
      <c r="E122" s="186">
        <v>0</v>
      </c>
      <c r="F122" s="186">
        <v>0</v>
      </c>
      <c r="G122" s="2682">
        <f t="shared" si="108"/>
        <v>0</v>
      </c>
      <c r="H122" s="2681">
        <v>0</v>
      </c>
      <c r="I122" s="186">
        <v>0</v>
      </c>
      <c r="J122" s="186">
        <v>0</v>
      </c>
      <c r="K122" s="186">
        <v>0</v>
      </c>
      <c r="L122" s="2682">
        <f t="shared" si="109"/>
        <v>0</v>
      </c>
      <c r="M122" s="2681">
        <f t="shared" si="110"/>
        <v>0</v>
      </c>
      <c r="N122" s="186">
        <f t="shared" si="111"/>
        <v>0</v>
      </c>
      <c r="O122" s="2681">
        <v>0</v>
      </c>
      <c r="P122" s="186">
        <v>0</v>
      </c>
      <c r="Q122" s="186">
        <v>0</v>
      </c>
      <c r="R122" s="186">
        <f t="shared" si="112"/>
        <v>0</v>
      </c>
      <c r="S122" s="186">
        <f t="shared" si="113"/>
        <v>0</v>
      </c>
      <c r="T122" s="186">
        <f t="shared" si="114"/>
        <v>0</v>
      </c>
      <c r="U122" s="2697">
        <f t="shared" si="115"/>
        <v>0</v>
      </c>
      <c r="V122" s="2681">
        <v>0</v>
      </c>
      <c r="W122" s="186">
        <v>0</v>
      </c>
      <c r="X122" s="186">
        <v>0</v>
      </c>
      <c r="Y122" s="186">
        <v>0</v>
      </c>
      <c r="Z122" s="2682">
        <f t="shared" si="116"/>
        <v>0</v>
      </c>
      <c r="AA122" s="2681">
        <v>0</v>
      </c>
      <c r="AB122" s="186">
        <v>0</v>
      </c>
      <c r="AC122" s="186">
        <v>0</v>
      </c>
      <c r="AD122" s="186">
        <v>0</v>
      </c>
      <c r="AE122" s="2682">
        <f t="shared" si="117"/>
        <v>0</v>
      </c>
      <c r="AF122" s="2681">
        <f t="shared" si="118"/>
        <v>0</v>
      </c>
      <c r="AG122" s="186">
        <f t="shared" si="119"/>
        <v>0</v>
      </c>
      <c r="AH122" s="186">
        <f t="shared" si="120"/>
        <v>0</v>
      </c>
      <c r="AI122" s="186">
        <f t="shared" si="121"/>
        <v>0</v>
      </c>
      <c r="AJ122" s="2697">
        <f t="shared" si="123"/>
        <v>0</v>
      </c>
      <c r="AK122" s="2704">
        <f t="shared" si="122"/>
        <v>0</v>
      </c>
      <c r="AL122" s="199"/>
      <c r="AM122" s="424">
        <v>0</v>
      </c>
      <c r="AO122" s="1060"/>
    </row>
    <row r="123" spans="1:41" s="2669" customFormat="1" ht="15" customHeight="1" x14ac:dyDescent="0.2">
      <c r="A123" s="789" t="s">
        <v>7771</v>
      </c>
      <c r="B123" s="2680"/>
      <c r="C123" s="2681">
        <v>0</v>
      </c>
      <c r="D123" s="186">
        <v>0</v>
      </c>
      <c r="E123" s="186">
        <v>0</v>
      </c>
      <c r="F123" s="186">
        <v>0</v>
      </c>
      <c r="G123" s="2682">
        <f t="shared" si="108"/>
        <v>0</v>
      </c>
      <c r="H123" s="2681">
        <v>0</v>
      </c>
      <c r="I123" s="186">
        <v>0</v>
      </c>
      <c r="J123" s="186">
        <v>0</v>
      </c>
      <c r="K123" s="186">
        <v>0</v>
      </c>
      <c r="L123" s="2682">
        <f t="shared" si="109"/>
        <v>0</v>
      </c>
      <c r="M123" s="2681">
        <v>54617583.530000001</v>
      </c>
      <c r="N123" s="186">
        <f t="shared" si="111"/>
        <v>0</v>
      </c>
      <c r="O123" s="2681">
        <v>0</v>
      </c>
      <c r="P123" s="186">
        <v>0</v>
      </c>
      <c r="Q123" s="186">
        <v>0</v>
      </c>
      <c r="R123" s="186">
        <f t="shared" si="112"/>
        <v>0</v>
      </c>
      <c r="S123" s="186">
        <f t="shared" si="113"/>
        <v>0</v>
      </c>
      <c r="T123" s="186">
        <f t="shared" si="114"/>
        <v>0</v>
      </c>
      <c r="U123" s="2697">
        <f t="shared" si="115"/>
        <v>54617583.530000001</v>
      </c>
      <c r="V123" s="2681">
        <v>0</v>
      </c>
      <c r="W123" s="186">
        <v>0</v>
      </c>
      <c r="X123" s="186">
        <v>0</v>
      </c>
      <c r="Y123" s="186">
        <v>0</v>
      </c>
      <c r="Z123" s="2682">
        <f t="shared" si="116"/>
        <v>0</v>
      </c>
      <c r="AA123" s="2681">
        <v>0</v>
      </c>
      <c r="AB123" s="186">
        <v>0</v>
      </c>
      <c r="AC123" s="186">
        <v>0</v>
      </c>
      <c r="AD123" s="186">
        <v>0</v>
      </c>
      <c r="AE123" s="2682">
        <f t="shared" si="117"/>
        <v>0</v>
      </c>
      <c r="AF123" s="2681">
        <v>30420018.859999999</v>
      </c>
      <c r="AG123" s="186">
        <v>2042415.05</v>
      </c>
      <c r="AH123" s="186">
        <f t="shared" si="120"/>
        <v>0</v>
      </c>
      <c r="AI123" s="186">
        <f t="shared" si="121"/>
        <v>0</v>
      </c>
      <c r="AJ123" s="2697">
        <f t="shared" si="123"/>
        <v>32462433.91</v>
      </c>
      <c r="AK123" s="2704">
        <f t="shared" si="122"/>
        <v>22155149.620000001</v>
      </c>
      <c r="AL123" s="199"/>
      <c r="AM123" s="2668">
        <v>0</v>
      </c>
      <c r="AO123" s="2667"/>
    </row>
    <row r="124" spans="1:41" s="66" customFormat="1" ht="15" hidden="1" customHeight="1" x14ac:dyDescent="0.2">
      <c r="A124" s="789" t="s">
        <v>481</v>
      </c>
      <c r="B124" s="2680"/>
      <c r="C124" s="2681">
        <v>0</v>
      </c>
      <c r="D124" s="186">
        <v>0</v>
      </c>
      <c r="E124" s="186">
        <v>0</v>
      </c>
      <c r="F124" s="186">
        <v>0</v>
      </c>
      <c r="G124" s="2682">
        <f t="shared" si="108"/>
        <v>0</v>
      </c>
      <c r="H124" s="2681">
        <v>0</v>
      </c>
      <c r="I124" s="186">
        <v>0</v>
      </c>
      <c r="J124" s="186">
        <v>0</v>
      </c>
      <c r="K124" s="186">
        <v>0</v>
      </c>
      <c r="L124" s="2682">
        <f t="shared" si="109"/>
        <v>0</v>
      </c>
      <c r="M124" s="2681">
        <f t="shared" si="110"/>
        <v>0</v>
      </c>
      <c r="N124" s="186">
        <f t="shared" si="111"/>
        <v>0</v>
      </c>
      <c r="O124" s="2681">
        <v>0</v>
      </c>
      <c r="P124" s="186">
        <v>0</v>
      </c>
      <c r="Q124" s="186">
        <v>0</v>
      </c>
      <c r="R124" s="186">
        <f t="shared" si="112"/>
        <v>0</v>
      </c>
      <c r="S124" s="186">
        <f t="shared" si="113"/>
        <v>0</v>
      </c>
      <c r="T124" s="186">
        <f t="shared" si="114"/>
        <v>0</v>
      </c>
      <c r="U124" s="2697">
        <f t="shared" si="115"/>
        <v>0</v>
      </c>
      <c r="V124" s="2681">
        <v>0</v>
      </c>
      <c r="W124" s="186">
        <v>0</v>
      </c>
      <c r="X124" s="186">
        <v>0</v>
      </c>
      <c r="Y124" s="186">
        <v>0</v>
      </c>
      <c r="Z124" s="2682">
        <f t="shared" si="116"/>
        <v>0</v>
      </c>
      <c r="AA124" s="2681">
        <v>0</v>
      </c>
      <c r="AB124" s="186">
        <v>0</v>
      </c>
      <c r="AC124" s="186">
        <v>0</v>
      </c>
      <c r="AD124" s="186">
        <v>0</v>
      </c>
      <c r="AE124" s="2682">
        <f t="shared" si="117"/>
        <v>0</v>
      </c>
      <c r="AF124" s="2681">
        <f t="shared" si="118"/>
        <v>0</v>
      </c>
      <c r="AG124" s="186">
        <f t="shared" si="119"/>
        <v>0</v>
      </c>
      <c r="AH124" s="186">
        <f t="shared" si="120"/>
        <v>0</v>
      </c>
      <c r="AI124" s="186">
        <f t="shared" si="121"/>
        <v>0</v>
      </c>
      <c r="AJ124" s="2697">
        <f t="shared" si="123"/>
        <v>0</v>
      </c>
      <c r="AK124" s="2704">
        <f t="shared" si="122"/>
        <v>0</v>
      </c>
      <c r="AL124" s="199"/>
      <c r="AM124" s="424">
        <v>0</v>
      </c>
      <c r="AO124" s="1060"/>
    </row>
    <row r="125" spans="1:41" s="66" customFormat="1" ht="15" hidden="1" customHeight="1" x14ac:dyDescent="0.2">
      <c r="A125" s="789" t="s">
        <v>143</v>
      </c>
      <c r="B125" s="2680"/>
      <c r="C125" s="2681">
        <v>0</v>
      </c>
      <c r="D125" s="186">
        <v>0</v>
      </c>
      <c r="E125" s="186">
        <v>0</v>
      </c>
      <c r="F125" s="186">
        <v>0</v>
      </c>
      <c r="G125" s="2682">
        <f t="shared" si="108"/>
        <v>0</v>
      </c>
      <c r="H125" s="2681">
        <v>0</v>
      </c>
      <c r="I125" s="186">
        <v>0</v>
      </c>
      <c r="J125" s="186">
        <v>0</v>
      </c>
      <c r="K125" s="186">
        <v>0</v>
      </c>
      <c r="L125" s="2682">
        <f t="shared" si="109"/>
        <v>0</v>
      </c>
      <c r="M125" s="2681">
        <f t="shared" si="110"/>
        <v>0</v>
      </c>
      <c r="N125" s="186">
        <f t="shared" si="111"/>
        <v>0</v>
      </c>
      <c r="O125" s="2681">
        <v>0</v>
      </c>
      <c r="P125" s="186">
        <v>0</v>
      </c>
      <c r="Q125" s="186">
        <v>0</v>
      </c>
      <c r="R125" s="186">
        <f t="shared" si="112"/>
        <v>0</v>
      </c>
      <c r="S125" s="186">
        <f t="shared" si="113"/>
        <v>0</v>
      </c>
      <c r="T125" s="186">
        <f t="shared" si="114"/>
        <v>0</v>
      </c>
      <c r="U125" s="2697">
        <f t="shared" si="115"/>
        <v>0</v>
      </c>
      <c r="V125" s="2681">
        <v>0</v>
      </c>
      <c r="W125" s="186">
        <v>0</v>
      </c>
      <c r="X125" s="186">
        <v>0</v>
      </c>
      <c r="Y125" s="186">
        <v>0</v>
      </c>
      <c r="Z125" s="2682">
        <f t="shared" si="116"/>
        <v>0</v>
      </c>
      <c r="AA125" s="2681">
        <v>0</v>
      </c>
      <c r="AB125" s="186">
        <v>0</v>
      </c>
      <c r="AC125" s="186">
        <v>0</v>
      </c>
      <c r="AD125" s="186">
        <v>0</v>
      </c>
      <c r="AE125" s="2682">
        <f t="shared" si="117"/>
        <v>0</v>
      </c>
      <c r="AF125" s="2681">
        <f t="shared" si="118"/>
        <v>0</v>
      </c>
      <c r="AG125" s="186">
        <f t="shared" si="119"/>
        <v>0</v>
      </c>
      <c r="AH125" s="186">
        <f t="shared" si="120"/>
        <v>0</v>
      </c>
      <c r="AI125" s="186">
        <f t="shared" si="121"/>
        <v>0</v>
      </c>
      <c r="AJ125" s="2697">
        <f t="shared" si="123"/>
        <v>0</v>
      </c>
      <c r="AK125" s="2704">
        <f t="shared" si="122"/>
        <v>0</v>
      </c>
      <c r="AL125" s="199"/>
      <c r="AM125" s="424">
        <v>0</v>
      </c>
      <c r="AO125" s="1060"/>
    </row>
    <row r="126" spans="1:41" s="66" customFormat="1" ht="15" hidden="1" customHeight="1" x14ac:dyDescent="0.2">
      <c r="A126" s="789" t="s">
        <v>692</v>
      </c>
      <c r="B126" s="2680"/>
      <c r="C126" s="2681">
        <v>0</v>
      </c>
      <c r="D126" s="186">
        <v>0</v>
      </c>
      <c r="E126" s="186">
        <v>0</v>
      </c>
      <c r="F126" s="186">
        <v>0</v>
      </c>
      <c r="G126" s="2682">
        <f t="shared" si="108"/>
        <v>0</v>
      </c>
      <c r="H126" s="2681">
        <v>0</v>
      </c>
      <c r="I126" s="186">
        <v>0</v>
      </c>
      <c r="J126" s="186">
        <v>0</v>
      </c>
      <c r="K126" s="186">
        <v>0</v>
      </c>
      <c r="L126" s="2682">
        <f t="shared" si="109"/>
        <v>0</v>
      </c>
      <c r="M126" s="2681">
        <f t="shared" si="110"/>
        <v>0</v>
      </c>
      <c r="N126" s="186">
        <f t="shared" si="111"/>
        <v>0</v>
      </c>
      <c r="O126" s="2681">
        <v>0</v>
      </c>
      <c r="P126" s="186">
        <v>0</v>
      </c>
      <c r="Q126" s="186">
        <v>0</v>
      </c>
      <c r="R126" s="186">
        <f t="shared" si="112"/>
        <v>0</v>
      </c>
      <c r="S126" s="186">
        <f t="shared" si="113"/>
        <v>0</v>
      </c>
      <c r="T126" s="186">
        <f t="shared" si="114"/>
        <v>0</v>
      </c>
      <c r="U126" s="2697">
        <f t="shared" si="115"/>
        <v>0</v>
      </c>
      <c r="V126" s="2681">
        <v>0</v>
      </c>
      <c r="W126" s="186">
        <v>0</v>
      </c>
      <c r="X126" s="186">
        <v>0</v>
      </c>
      <c r="Y126" s="186">
        <v>0</v>
      </c>
      <c r="Z126" s="2682">
        <f t="shared" si="116"/>
        <v>0</v>
      </c>
      <c r="AA126" s="2681">
        <v>0</v>
      </c>
      <c r="AB126" s="186">
        <v>0</v>
      </c>
      <c r="AC126" s="186">
        <v>0</v>
      </c>
      <c r="AD126" s="186">
        <v>0</v>
      </c>
      <c r="AE126" s="2682">
        <f t="shared" si="117"/>
        <v>0</v>
      </c>
      <c r="AF126" s="2681">
        <f t="shared" si="118"/>
        <v>0</v>
      </c>
      <c r="AG126" s="186">
        <f t="shared" si="119"/>
        <v>0</v>
      </c>
      <c r="AH126" s="186">
        <f t="shared" si="120"/>
        <v>0</v>
      </c>
      <c r="AI126" s="186">
        <f t="shared" si="121"/>
        <v>0</v>
      </c>
      <c r="AJ126" s="2697">
        <f t="shared" si="123"/>
        <v>0</v>
      </c>
      <c r="AK126" s="2704">
        <f t="shared" si="122"/>
        <v>0</v>
      </c>
      <c r="AL126" s="199"/>
      <c r="AM126" s="424">
        <v>0</v>
      </c>
      <c r="AO126" s="1060"/>
    </row>
    <row r="127" spans="1:41" s="66" customFormat="1" ht="15" hidden="1" customHeight="1" x14ac:dyDescent="0.2">
      <c r="A127" s="789" t="s">
        <v>145</v>
      </c>
      <c r="B127" s="2680"/>
      <c r="C127" s="2681">
        <v>0</v>
      </c>
      <c r="D127" s="186">
        <v>0</v>
      </c>
      <c r="E127" s="186">
        <v>0</v>
      </c>
      <c r="F127" s="186">
        <v>0</v>
      </c>
      <c r="G127" s="2682">
        <f t="shared" si="108"/>
        <v>0</v>
      </c>
      <c r="H127" s="2681">
        <v>0</v>
      </c>
      <c r="I127" s="186">
        <v>0</v>
      </c>
      <c r="J127" s="186">
        <v>0</v>
      </c>
      <c r="K127" s="186">
        <v>0</v>
      </c>
      <c r="L127" s="2682">
        <f t="shared" si="109"/>
        <v>0</v>
      </c>
      <c r="M127" s="2681">
        <f t="shared" si="110"/>
        <v>0</v>
      </c>
      <c r="N127" s="186">
        <f t="shared" si="111"/>
        <v>0</v>
      </c>
      <c r="O127" s="2681">
        <v>0</v>
      </c>
      <c r="P127" s="186">
        <v>0</v>
      </c>
      <c r="Q127" s="186">
        <v>0</v>
      </c>
      <c r="R127" s="186">
        <f t="shared" si="112"/>
        <v>0</v>
      </c>
      <c r="S127" s="186">
        <f t="shared" si="113"/>
        <v>0</v>
      </c>
      <c r="T127" s="186">
        <f t="shared" si="114"/>
        <v>0</v>
      </c>
      <c r="U127" s="2697">
        <f t="shared" si="115"/>
        <v>0</v>
      </c>
      <c r="V127" s="2681">
        <v>0</v>
      </c>
      <c r="W127" s="186">
        <v>0</v>
      </c>
      <c r="X127" s="186">
        <v>0</v>
      </c>
      <c r="Y127" s="186">
        <v>0</v>
      </c>
      <c r="Z127" s="2682">
        <f t="shared" si="116"/>
        <v>0</v>
      </c>
      <c r="AA127" s="2681">
        <v>0</v>
      </c>
      <c r="AB127" s="186">
        <v>0</v>
      </c>
      <c r="AC127" s="186">
        <v>0</v>
      </c>
      <c r="AD127" s="186">
        <v>0</v>
      </c>
      <c r="AE127" s="2682">
        <f t="shared" si="117"/>
        <v>0</v>
      </c>
      <c r="AF127" s="2681">
        <f t="shared" si="118"/>
        <v>0</v>
      </c>
      <c r="AG127" s="186">
        <f t="shared" si="119"/>
        <v>0</v>
      </c>
      <c r="AH127" s="186">
        <f t="shared" si="120"/>
        <v>0</v>
      </c>
      <c r="AI127" s="186">
        <f t="shared" si="121"/>
        <v>0</v>
      </c>
      <c r="AJ127" s="2697">
        <f t="shared" si="123"/>
        <v>0</v>
      </c>
      <c r="AK127" s="2704">
        <f t="shared" si="122"/>
        <v>0</v>
      </c>
      <c r="AL127" s="199"/>
      <c r="AM127" s="424">
        <v>0</v>
      </c>
      <c r="AO127" s="1060"/>
    </row>
    <row r="128" spans="1:41" s="66" customFormat="1" ht="15" hidden="1" customHeight="1" x14ac:dyDescent="0.2">
      <c r="A128" s="789" t="s">
        <v>424</v>
      </c>
      <c r="B128" s="2680"/>
      <c r="C128" s="2681">
        <v>0</v>
      </c>
      <c r="D128" s="186">
        <v>0</v>
      </c>
      <c r="E128" s="186">
        <v>0</v>
      </c>
      <c r="F128" s="186">
        <v>0</v>
      </c>
      <c r="G128" s="2682">
        <f t="shared" si="108"/>
        <v>0</v>
      </c>
      <c r="H128" s="2681">
        <v>0</v>
      </c>
      <c r="I128" s="186">
        <v>0</v>
      </c>
      <c r="J128" s="186">
        <v>0</v>
      </c>
      <c r="K128" s="186">
        <v>0</v>
      </c>
      <c r="L128" s="2682">
        <f t="shared" si="109"/>
        <v>0</v>
      </c>
      <c r="M128" s="2681">
        <f t="shared" si="110"/>
        <v>0</v>
      </c>
      <c r="N128" s="186">
        <f t="shared" si="111"/>
        <v>0</v>
      </c>
      <c r="O128" s="2681">
        <v>0</v>
      </c>
      <c r="P128" s="186">
        <v>0</v>
      </c>
      <c r="Q128" s="186">
        <v>0</v>
      </c>
      <c r="R128" s="186">
        <f t="shared" si="112"/>
        <v>0</v>
      </c>
      <c r="S128" s="186">
        <f t="shared" si="113"/>
        <v>0</v>
      </c>
      <c r="T128" s="186">
        <f t="shared" si="114"/>
        <v>0</v>
      </c>
      <c r="U128" s="2697">
        <f t="shared" si="115"/>
        <v>0</v>
      </c>
      <c r="V128" s="2681">
        <v>0</v>
      </c>
      <c r="W128" s="186">
        <v>0</v>
      </c>
      <c r="X128" s="186">
        <v>0</v>
      </c>
      <c r="Y128" s="186">
        <v>0</v>
      </c>
      <c r="Z128" s="2682">
        <f t="shared" si="116"/>
        <v>0</v>
      </c>
      <c r="AA128" s="2681">
        <v>0</v>
      </c>
      <c r="AB128" s="186">
        <v>0</v>
      </c>
      <c r="AC128" s="186">
        <v>0</v>
      </c>
      <c r="AD128" s="186">
        <v>0</v>
      </c>
      <c r="AE128" s="2682">
        <f t="shared" si="117"/>
        <v>0</v>
      </c>
      <c r="AF128" s="2681">
        <f t="shared" si="118"/>
        <v>0</v>
      </c>
      <c r="AG128" s="186">
        <f t="shared" si="119"/>
        <v>0</v>
      </c>
      <c r="AH128" s="186">
        <f t="shared" si="120"/>
        <v>0</v>
      </c>
      <c r="AI128" s="186">
        <f t="shared" si="121"/>
        <v>0</v>
      </c>
      <c r="AJ128" s="2697">
        <f t="shared" si="123"/>
        <v>0</v>
      </c>
      <c r="AK128" s="2704">
        <f t="shared" si="122"/>
        <v>0</v>
      </c>
      <c r="AL128" s="199"/>
      <c r="AM128" s="424">
        <v>0</v>
      </c>
      <c r="AO128" s="1060"/>
    </row>
    <row r="129" spans="1:41" s="66" customFormat="1" ht="15" hidden="1" customHeight="1" x14ac:dyDescent="0.2">
      <c r="A129" s="789" t="s">
        <v>482</v>
      </c>
      <c r="B129" s="2680"/>
      <c r="C129" s="2681">
        <v>0</v>
      </c>
      <c r="D129" s="186">
        <v>0</v>
      </c>
      <c r="E129" s="186">
        <v>0</v>
      </c>
      <c r="F129" s="186">
        <v>0</v>
      </c>
      <c r="G129" s="2682">
        <f t="shared" si="108"/>
        <v>0</v>
      </c>
      <c r="H129" s="2681">
        <v>0</v>
      </c>
      <c r="I129" s="186">
        <v>0</v>
      </c>
      <c r="J129" s="186">
        <v>0</v>
      </c>
      <c r="K129" s="186">
        <v>0</v>
      </c>
      <c r="L129" s="2682">
        <f t="shared" si="109"/>
        <v>0</v>
      </c>
      <c r="M129" s="2681">
        <f t="shared" si="110"/>
        <v>0</v>
      </c>
      <c r="N129" s="186">
        <f t="shared" si="111"/>
        <v>0</v>
      </c>
      <c r="O129" s="2681">
        <v>0</v>
      </c>
      <c r="P129" s="186">
        <v>0</v>
      </c>
      <c r="Q129" s="186">
        <v>0</v>
      </c>
      <c r="R129" s="186">
        <f t="shared" si="112"/>
        <v>0</v>
      </c>
      <c r="S129" s="186">
        <f t="shared" si="113"/>
        <v>0</v>
      </c>
      <c r="T129" s="186">
        <f t="shared" si="114"/>
        <v>0</v>
      </c>
      <c r="U129" s="2697">
        <f t="shared" si="115"/>
        <v>0</v>
      </c>
      <c r="V129" s="2681">
        <v>0</v>
      </c>
      <c r="W129" s="186">
        <v>0</v>
      </c>
      <c r="X129" s="186">
        <v>0</v>
      </c>
      <c r="Y129" s="186">
        <v>0</v>
      </c>
      <c r="Z129" s="2682">
        <f t="shared" si="116"/>
        <v>0</v>
      </c>
      <c r="AA129" s="2681">
        <v>0</v>
      </c>
      <c r="AB129" s="186">
        <v>0</v>
      </c>
      <c r="AC129" s="186">
        <v>0</v>
      </c>
      <c r="AD129" s="186">
        <v>0</v>
      </c>
      <c r="AE129" s="2682">
        <f t="shared" si="117"/>
        <v>0</v>
      </c>
      <c r="AF129" s="2681">
        <f t="shared" si="118"/>
        <v>0</v>
      </c>
      <c r="AG129" s="186">
        <f t="shared" si="119"/>
        <v>0</v>
      </c>
      <c r="AH129" s="186">
        <f t="shared" si="120"/>
        <v>0</v>
      </c>
      <c r="AI129" s="186">
        <f t="shared" si="121"/>
        <v>0</v>
      </c>
      <c r="AJ129" s="2697">
        <f t="shared" si="123"/>
        <v>0</v>
      </c>
      <c r="AK129" s="2704">
        <f t="shared" si="122"/>
        <v>0</v>
      </c>
      <c r="AL129" s="199"/>
      <c r="AM129" s="424">
        <v>0</v>
      </c>
      <c r="AO129" s="1060"/>
    </row>
    <row r="130" spans="1:41" s="66" customFormat="1" ht="15" hidden="1" customHeight="1" x14ac:dyDescent="0.2">
      <c r="A130" s="789" t="s">
        <v>425</v>
      </c>
      <c r="B130" s="2680"/>
      <c r="C130" s="2681">
        <v>0</v>
      </c>
      <c r="D130" s="186">
        <v>0</v>
      </c>
      <c r="E130" s="186">
        <v>0</v>
      </c>
      <c r="F130" s="186">
        <v>0</v>
      </c>
      <c r="G130" s="2682">
        <f t="shared" si="108"/>
        <v>0</v>
      </c>
      <c r="H130" s="2681">
        <v>0</v>
      </c>
      <c r="I130" s="186">
        <v>0</v>
      </c>
      <c r="J130" s="186">
        <v>0</v>
      </c>
      <c r="K130" s="186">
        <v>0</v>
      </c>
      <c r="L130" s="2682">
        <f t="shared" si="109"/>
        <v>0</v>
      </c>
      <c r="M130" s="2681">
        <f t="shared" si="110"/>
        <v>0</v>
      </c>
      <c r="N130" s="186">
        <f t="shared" si="111"/>
        <v>0</v>
      </c>
      <c r="O130" s="2681">
        <v>0</v>
      </c>
      <c r="P130" s="186">
        <v>0</v>
      </c>
      <c r="Q130" s="186">
        <v>0</v>
      </c>
      <c r="R130" s="186">
        <f t="shared" si="112"/>
        <v>0</v>
      </c>
      <c r="S130" s="186">
        <f t="shared" si="113"/>
        <v>0</v>
      </c>
      <c r="T130" s="186">
        <f t="shared" si="114"/>
        <v>0</v>
      </c>
      <c r="U130" s="2697">
        <f t="shared" si="115"/>
        <v>0</v>
      </c>
      <c r="V130" s="2681">
        <v>0</v>
      </c>
      <c r="W130" s="186">
        <v>0</v>
      </c>
      <c r="X130" s="186">
        <v>0</v>
      </c>
      <c r="Y130" s="186">
        <v>0</v>
      </c>
      <c r="Z130" s="2682">
        <f t="shared" si="116"/>
        <v>0</v>
      </c>
      <c r="AA130" s="2681">
        <v>0</v>
      </c>
      <c r="AB130" s="186">
        <v>0</v>
      </c>
      <c r="AC130" s="186">
        <v>0</v>
      </c>
      <c r="AD130" s="186">
        <v>0</v>
      </c>
      <c r="AE130" s="2682">
        <f t="shared" si="117"/>
        <v>0</v>
      </c>
      <c r="AF130" s="2681">
        <f t="shared" si="118"/>
        <v>0</v>
      </c>
      <c r="AG130" s="186">
        <f t="shared" si="119"/>
        <v>0</v>
      </c>
      <c r="AH130" s="186">
        <f t="shared" si="120"/>
        <v>0</v>
      </c>
      <c r="AI130" s="186">
        <f t="shared" si="121"/>
        <v>0</v>
      </c>
      <c r="AJ130" s="2697">
        <f t="shared" si="123"/>
        <v>0</v>
      </c>
      <c r="AK130" s="2704">
        <f t="shared" si="122"/>
        <v>0</v>
      </c>
      <c r="AL130" s="199"/>
      <c r="AM130" s="424">
        <v>0</v>
      </c>
      <c r="AO130" s="1060"/>
    </row>
    <row r="131" spans="1:41" s="66" customFormat="1" ht="15" hidden="1" customHeight="1" x14ac:dyDescent="0.2">
      <c r="A131" s="789" t="s">
        <v>426</v>
      </c>
      <c r="B131" s="2680"/>
      <c r="C131" s="2681">
        <v>0</v>
      </c>
      <c r="D131" s="186">
        <v>0</v>
      </c>
      <c r="E131" s="186">
        <v>0</v>
      </c>
      <c r="F131" s="186">
        <v>0</v>
      </c>
      <c r="G131" s="2682">
        <f t="shared" si="108"/>
        <v>0</v>
      </c>
      <c r="H131" s="2681">
        <v>0</v>
      </c>
      <c r="I131" s="186">
        <v>0</v>
      </c>
      <c r="J131" s="186">
        <v>0</v>
      </c>
      <c r="K131" s="186">
        <v>0</v>
      </c>
      <c r="L131" s="2682">
        <f t="shared" si="109"/>
        <v>0</v>
      </c>
      <c r="M131" s="2681">
        <f t="shared" si="110"/>
        <v>0</v>
      </c>
      <c r="N131" s="186">
        <f t="shared" si="111"/>
        <v>0</v>
      </c>
      <c r="O131" s="2681">
        <v>0</v>
      </c>
      <c r="P131" s="186">
        <v>0</v>
      </c>
      <c r="Q131" s="186">
        <v>0</v>
      </c>
      <c r="R131" s="186">
        <f t="shared" si="112"/>
        <v>0</v>
      </c>
      <c r="S131" s="186">
        <f t="shared" si="113"/>
        <v>0</v>
      </c>
      <c r="T131" s="186">
        <f t="shared" si="114"/>
        <v>0</v>
      </c>
      <c r="U131" s="2697">
        <f t="shared" si="115"/>
        <v>0</v>
      </c>
      <c r="V131" s="2681">
        <v>0</v>
      </c>
      <c r="W131" s="186">
        <v>0</v>
      </c>
      <c r="X131" s="186">
        <v>0</v>
      </c>
      <c r="Y131" s="186">
        <v>0</v>
      </c>
      <c r="Z131" s="2682">
        <f t="shared" si="116"/>
        <v>0</v>
      </c>
      <c r="AA131" s="2681">
        <v>0</v>
      </c>
      <c r="AB131" s="186">
        <v>0</v>
      </c>
      <c r="AC131" s="186">
        <v>0</v>
      </c>
      <c r="AD131" s="186">
        <v>0</v>
      </c>
      <c r="AE131" s="2682">
        <f t="shared" si="117"/>
        <v>0</v>
      </c>
      <c r="AF131" s="2681">
        <f t="shared" si="118"/>
        <v>0</v>
      </c>
      <c r="AG131" s="186">
        <f t="shared" si="119"/>
        <v>0</v>
      </c>
      <c r="AH131" s="186">
        <f t="shared" si="120"/>
        <v>0</v>
      </c>
      <c r="AI131" s="186">
        <f t="shared" si="121"/>
        <v>0</v>
      </c>
      <c r="AJ131" s="2697">
        <f t="shared" si="123"/>
        <v>0</v>
      </c>
      <c r="AK131" s="2704">
        <f t="shared" si="122"/>
        <v>0</v>
      </c>
      <c r="AL131" s="199"/>
      <c r="AM131" s="424">
        <v>0</v>
      </c>
      <c r="AO131" s="1060"/>
    </row>
    <row r="132" spans="1:41" s="66" customFormat="1" ht="15" hidden="1" customHeight="1" x14ac:dyDescent="0.2">
      <c r="A132" s="789" t="s">
        <v>427</v>
      </c>
      <c r="B132" s="2680"/>
      <c r="C132" s="2681">
        <v>0</v>
      </c>
      <c r="D132" s="186">
        <v>0</v>
      </c>
      <c r="E132" s="186">
        <v>0</v>
      </c>
      <c r="F132" s="186">
        <v>0</v>
      </c>
      <c r="G132" s="2682">
        <f t="shared" si="108"/>
        <v>0</v>
      </c>
      <c r="H132" s="2681">
        <v>0</v>
      </c>
      <c r="I132" s="186">
        <v>0</v>
      </c>
      <c r="J132" s="186">
        <v>0</v>
      </c>
      <c r="K132" s="186">
        <v>0</v>
      </c>
      <c r="L132" s="2682">
        <f t="shared" si="109"/>
        <v>0</v>
      </c>
      <c r="M132" s="2681">
        <f t="shared" si="110"/>
        <v>0</v>
      </c>
      <c r="N132" s="186">
        <f t="shared" si="111"/>
        <v>0</v>
      </c>
      <c r="O132" s="2681">
        <v>0</v>
      </c>
      <c r="P132" s="186">
        <v>0</v>
      </c>
      <c r="Q132" s="186">
        <v>0</v>
      </c>
      <c r="R132" s="186">
        <f t="shared" si="112"/>
        <v>0</v>
      </c>
      <c r="S132" s="186">
        <f t="shared" si="113"/>
        <v>0</v>
      </c>
      <c r="T132" s="186">
        <f t="shared" si="114"/>
        <v>0</v>
      </c>
      <c r="U132" s="2697">
        <f t="shared" si="115"/>
        <v>0</v>
      </c>
      <c r="V132" s="2681">
        <v>0</v>
      </c>
      <c r="W132" s="186">
        <v>0</v>
      </c>
      <c r="X132" s="186">
        <v>0</v>
      </c>
      <c r="Y132" s="186">
        <v>0</v>
      </c>
      <c r="Z132" s="2682">
        <f t="shared" si="116"/>
        <v>0</v>
      </c>
      <c r="AA132" s="2681">
        <v>0</v>
      </c>
      <c r="AB132" s="186">
        <v>0</v>
      </c>
      <c r="AC132" s="186">
        <v>0</v>
      </c>
      <c r="AD132" s="186">
        <v>0</v>
      </c>
      <c r="AE132" s="2682">
        <f t="shared" si="117"/>
        <v>0</v>
      </c>
      <c r="AF132" s="2681">
        <f t="shared" si="118"/>
        <v>0</v>
      </c>
      <c r="AG132" s="186">
        <f t="shared" si="119"/>
        <v>0</v>
      </c>
      <c r="AH132" s="186">
        <f t="shared" si="120"/>
        <v>0</v>
      </c>
      <c r="AI132" s="186">
        <f t="shared" si="121"/>
        <v>0</v>
      </c>
      <c r="AJ132" s="2697">
        <f t="shared" si="123"/>
        <v>0</v>
      </c>
      <c r="AK132" s="2704">
        <f t="shared" si="122"/>
        <v>0</v>
      </c>
      <c r="AL132" s="199"/>
      <c r="AM132" s="424">
        <v>0</v>
      </c>
      <c r="AO132" s="1060"/>
    </row>
    <row r="133" spans="1:41" s="66" customFormat="1" ht="15" hidden="1" customHeight="1" x14ac:dyDescent="0.2">
      <c r="A133" s="789" t="s">
        <v>488</v>
      </c>
      <c r="B133" s="2680">
        <v>22016</v>
      </c>
      <c r="C133" s="2681"/>
      <c r="D133" s="186">
        <v>0</v>
      </c>
      <c r="E133" s="186">
        <v>0</v>
      </c>
      <c r="F133" s="186">
        <v>0</v>
      </c>
      <c r="G133" s="2682">
        <f t="shared" si="108"/>
        <v>0</v>
      </c>
      <c r="H133" s="2681">
        <v>0</v>
      </c>
      <c r="I133" s="186">
        <v>0</v>
      </c>
      <c r="J133" s="186">
        <v>0</v>
      </c>
      <c r="K133" s="186">
        <v>0</v>
      </c>
      <c r="L133" s="2682">
        <f t="shared" si="109"/>
        <v>0</v>
      </c>
      <c r="M133" s="2681">
        <f t="shared" si="110"/>
        <v>0</v>
      </c>
      <c r="N133" s="186">
        <f t="shared" si="111"/>
        <v>0</v>
      </c>
      <c r="O133" s="2681">
        <v>0</v>
      </c>
      <c r="P133" s="186">
        <v>0</v>
      </c>
      <c r="Q133" s="186">
        <v>0</v>
      </c>
      <c r="R133" s="186">
        <f t="shared" si="112"/>
        <v>0</v>
      </c>
      <c r="S133" s="186">
        <f t="shared" si="113"/>
        <v>0</v>
      </c>
      <c r="T133" s="186">
        <f t="shared" si="114"/>
        <v>0</v>
      </c>
      <c r="U133" s="2697">
        <f t="shared" si="115"/>
        <v>0</v>
      </c>
      <c r="V133" s="2681"/>
      <c r="W133" s="186">
        <v>0</v>
      </c>
      <c r="X133" s="186">
        <v>0</v>
      </c>
      <c r="Y133" s="186">
        <v>0</v>
      </c>
      <c r="Z133" s="2682">
        <f t="shared" si="116"/>
        <v>0</v>
      </c>
      <c r="AA133" s="2681">
        <v>0</v>
      </c>
      <c r="AB133" s="186">
        <v>0</v>
      </c>
      <c r="AC133" s="186">
        <v>0</v>
      </c>
      <c r="AD133" s="186">
        <v>0</v>
      </c>
      <c r="AE133" s="2682">
        <f t="shared" si="117"/>
        <v>0</v>
      </c>
      <c r="AF133" s="2681">
        <f t="shared" si="118"/>
        <v>0</v>
      </c>
      <c r="AG133" s="186">
        <f t="shared" si="119"/>
        <v>0</v>
      </c>
      <c r="AH133" s="186">
        <f t="shared" si="120"/>
        <v>0</v>
      </c>
      <c r="AI133" s="186">
        <f t="shared" si="121"/>
        <v>0</v>
      </c>
      <c r="AJ133" s="2697">
        <f t="shared" si="123"/>
        <v>0</v>
      </c>
      <c r="AK133" s="2704">
        <f t="shared" si="122"/>
        <v>0</v>
      </c>
      <c r="AL133" s="199"/>
      <c r="AM133" s="422">
        <v>0</v>
      </c>
      <c r="AO133" s="1060"/>
    </row>
    <row r="134" spans="1:41" s="66" customFormat="1" ht="15" hidden="1" customHeight="1" x14ac:dyDescent="0.2">
      <c r="A134" s="789" t="s">
        <v>483</v>
      </c>
      <c r="B134" s="2680"/>
      <c r="C134" s="2681"/>
      <c r="D134" s="186">
        <v>0</v>
      </c>
      <c r="E134" s="186">
        <v>0</v>
      </c>
      <c r="F134" s="186">
        <v>0</v>
      </c>
      <c r="G134" s="2682">
        <f t="shared" si="108"/>
        <v>0</v>
      </c>
      <c r="H134" s="2681">
        <v>0</v>
      </c>
      <c r="I134" s="186">
        <v>0</v>
      </c>
      <c r="J134" s="186">
        <v>0</v>
      </c>
      <c r="K134" s="186">
        <v>0</v>
      </c>
      <c r="L134" s="2682">
        <f t="shared" si="109"/>
        <v>0</v>
      </c>
      <c r="M134" s="2681">
        <f t="shared" si="110"/>
        <v>0</v>
      </c>
      <c r="N134" s="186">
        <f t="shared" si="111"/>
        <v>0</v>
      </c>
      <c r="O134" s="2681">
        <v>0</v>
      </c>
      <c r="P134" s="186">
        <v>0</v>
      </c>
      <c r="Q134" s="186">
        <v>0</v>
      </c>
      <c r="R134" s="186">
        <f t="shared" si="112"/>
        <v>0</v>
      </c>
      <c r="S134" s="186">
        <f t="shared" si="113"/>
        <v>0</v>
      </c>
      <c r="T134" s="186">
        <f t="shared" si="114"/>
        <v>0</v>
      </c>
      <c r="U134" s="2697">
        <f t="shared" si="115"/>
        <v>0</v>
      </c>
      <c r="V134" s="2681"/>
      <c r="W134" s="186">
        <v>0</v>
      </c>
      <c r="X134" s="186">
        <v>0</v>
      </c>
      <c r="Y134" s="186">
        <v>0</v>
      </c>
      <c r="Z134" s="2682">
        <f t="shared" si="116"/>
        <v>0</v>
      </c>
      <c r="AA134" s="2681">
        <v>0</v>
      </c>
      <c r="AB134" s="186">
        <v>0</v>
      </c>
      <c r="AC134" s="186">
        <v>0</v>
      </c>
      <c r="AD134" s="186">
        <v>0</v>
      </c>
      <c r="AE134" s="2682">
        <f t="shared" si="117"/>
        <v>0</v>
      </c>
      <c r="AF134" s="2681">
        <f t="shared" si="118"/>
        <v>0</v>
      </c>
      <c r="AG134" s="186">
        <f t="shared" si="119"/>
        <v>0</v>
      </c>
      <c r="AH134" s="186">
        <f t="shared" si="120"/>
        <v>0</v>
      </c>
      <c r="AI134" s="186">
        <f t="shared" si="121"/>
        <v>0</v>
      </c>
      <c r="AJ134" s="2697">
        <f t="shared" si="123"/>
        <v>0</v>
      </c>
      <c r="AK134" s="2704">
        <f t="shared" si="122"/>
        <v>0</v>
      </c>
      <c r="AL134" s="199"/>
      <c r="AM134" s="422">
        <v>0</v>
      </c>
      <c r="AO134" s="1060"/>
    </row>
    <row r="135" spans="1:41" s="66" customFormat="1" ht="15" hidden="1" customHeight="1" x14ac:dyDescent="0.2">
      <c r="A135" s="789" t="s">
        <v>431</v>
      </c>
      <c r="B135" s="2680"/>
      <c r="C135" s="2681"/>
      <c r="D135" s="186">
        <v>0</v>
      </c>
      <c r="E135" s="186">
        <v>0</v>
      </c>
      <c r="F135" s="186">
        <v>0</v>
      </c>
      <c r="G135" s="2682">
        <f t="shared" si="108"/>
        <v>0</v>
      </c>
      <c r="H135" s="2681">
        <v>0</v>
      </c>
      <c r="I135" s="186">
        <v>0</v>
      </c>
      <c r="J135" s="186">
        <v>0</v>
      </c>
      <c r="K135" s="186">
        <v>0</v>
      </c>
      <c r="L135" s="2682">
        <f t="shared" si="109"/>
        <v>0</v>
      </c>
      <c r="M135" s="2681">
        <f t="shared" si="110"/>
        <v>0</v>
      </c>
      <c r="N135" s="186">
        <f t="shared" si="111"/>
        <v>0</v>
      </c>
      <c r="O135" s="2681">
        <v>0</v>
      </c>
      <c r="P135" s="186">
        <v>0</v>
      </c>
      <c r="Q135" s="186">
        <v>0</v>
      </c>
      <c r="R135" s="186">
        <f t="shared" si="112"/>
        <v>0</v>
      </c>
      <c r="S135" s="186">
        <f t="shared" si="113"/>
        <v>0</v>
      </c>
      <c r="T135" s="186">
        <f t="shared" si="114"/>
        <v>0</v>
      </c>
      <c r="U135" s="2697">
        <f t="shared" si="115"/>
        <v>0</v>
      </c>
      <c r="V135" s="2681"/>
      <c r="W135" s="186">
        <v>0</v>
      </c>
      <c r="X135" s="186">
        <v>0</v>
      </c>
      <c r="Y135" s="186">
        <v>0</v>
      </c>
      <c r="Z135" s="2682">
        <f t="shared" si="116"/>
        <v>0</v>
      </c>
      <c r="AA135" s="2681">
        <v>0</v>
      </c>
      <c r="AB135" s="186">
        <v>0</v>
      </c>
      <c r="AC135" s="186">
        <v>0</v>
      </c>
      <c r="AD135" s="186">
        <v>0</v>
      </c>
      <c r="AE135" s="2682">
        <f t="shared" si="117"/>
        <v>0</v>
      </c>
      <c r="AF135" s="2681">
        <f t="shared" si="118"/>
        <v>0</v>
      </c>
      <c r="AG135" s="186">
        <f t="shared" si="119"/>
        <v>0</v>
      </c>
      <c r="AH135" s="186">
        <f t="shared" si="120"/>
        <v>0</v>
      </c>
      <c r="AI135" s="186">
        <f t="shared" si="121"/>
        <v>0</v>
      </c>
      <c r="AJ135" s="2697">
        <f t="shared" si="123"/>
        <v>0</v>
      </c>
      <c r="AK135" s="2704">
        <f t="shared" si="122"/>
        <v>0</v>
      </c>
      <c r="AL135" s="199"/>
      <c r="AM135" s="422">
        <v>0</v>
      </c>
      <c r="AO135" s="1060"/>
    </row>
    <row r="136" spans="1:41" s="66" customFormat="1" ht="15" hidden="1" customHeight="1" x14ac:dyDescent="0.2">
      <c r="A136" s="789" t="s">
        <v>693</v>
      </c>
      <c r="B136" s="2680"/>
      <c r="C136" s="2681"/>
      <c r="D136" s="186">
        <v>0</v>
      </c>
      <c r="E136" s="186">
        <v>0</v>
      </c>
      <c r="F136" s="186">
        <v>0</v>
      </c>
      <c r="G136" s="2682">
        <f t="shared" si="108"/>
        <v>0</v>
      </c>
      <c r="H136" s="2681">
        <v>0</v>
      </c>
      <c r="I136" s="186">
        <v>0</v>
      </c>
      <c r="J136" s="186">
        <v>0</v>
      </c>
      <c r="K136" s="186">
        <v>0</v>
      </c>
      <c r="L136" s="2682">
        <f t="shared" si="109"/>
        <v>0</v>
      </c>
      <c r="M136" s="2681">
        <f t="shared" si="110"/>
        <v>0</v>
      </c>
      <c r="N136" s="186">
        <f t="shared" si="111"/>
        <v>0</v>
      </c>
      <c r="O136" s="2681">
        <v>0</v>
      </c>
      <c r="P136" s="186">
        <v>0</v>
      </c>
      <c r="Q136" s="186">
        <v>0</v>
      </c>
      <c r="R136" s="186">
        <f t="shared" si="112"/>
        <v>0</v>
      </c>
      <c r="S136" s="186">
        <f t="shared" si="113"/>
        <v>0</v>
      </c>
      <c r="T136" s="186">
        <f t="shared" si="114"/>
        <v>0</v>
      </c>
      <c r="U136" s="2697">
        <f t="shared" si="115"/>
        <v>0</v>
      </c>
      <c r="V136" s="2681"/>
      <c r="W136" s="186">
        <v>0</v>
      </c>
      <c r="X136" s="186">
        <v>0</v>
      </c>
      <c r="Y136" s="186">
        <v>0</v>
      </c>
      <c r="Z136" s="2682">
        <f t="shared" si="116"/>
        <v>0</v>
      </c>
      <c r="AA136" s="2681">
        <v>0</v>
      </c>
      <c r="AB136" s="186">
        <v>0</v>
      </c>
      <c r="AC136" s="186">
        <v>0</v>
      </c>
      <c r="AD136" s="186">
        <v>0</v>
      </c>
      <c r="AE136" s="2682">
        <f t="shared" si="117"/>
        <v>0</v>
      </c>
      <c r="AF136" s="2681">
        <f t="shared" si="118"/>
        <v>0</v>
      </c>
      <c r="AG136" s="186">
        <f t="shared" si="119"/>
        <v>0</v>
      </c>
      <c r="AH136" s="186">
        <f t="shared" si="120"/>
        <v>0</v>
      </c>
      <c r="AI136" s="186">
        <f t="shared" si="121"/>
        <v>0</v>
      </c>
      <c r="AJ136" s="2697">
        <f t="shared" si="123"/>
        <v>0</v>
      </c>
      <c r="AK136" s="2704">
        <f t="shared" si="122"/>
        <v>0</v>
      </c>
      <c r="AL136" s="199"/>
      <c r="AM136" s="422">
        <v>0</v>
      </c>
      <c r="AO136" s="1060"/>
    </row>
    <row r="137" spans="1:41" s="66" customFormat="1" ht="15" hidden="1" customHeight="1" x14ac:dyDescent="0.2">
      <c r="A137" s="789" t="s">
        <v>433</v>
      </c>
      <c r="B137" s="2680"/>
      <c r="C137" s="2681"/>
      <c r="D137" s="186">
        <v>0</v>
      </c>
      <c r="E137" s="186">
        <v>0</v>
      </c>
      <c r="F137" s="186">
        <v>0</v>
      </c>
      <c r="G137" s="2682">
        <f t="shared" si="108"/>
        <v>0</v>
      </c>
      <c r="H137" s="2681">
        <v>0</v>
      </c>
      <c r="I137" s="186">
        <v>0</v>
      </c>
      <c r="J137" s="186">
        <v>0</v>
      </c>
      <c r="K137" s="186">
        <v>0</v>
      </c>
      <c r="L137" s="2682">
        <f t="shared" si="109"/>
        <v>0</v>
      </c>
      <c r="M137" s="2681">
        <f t="shared" si="110"/>
        <v>0</v>
      </c>
      <c r="N137" s="186">
        <f t="shared" si="111"/>
        <v>0</v>
      </c>
      <c r="O137" s="2681">
        <v>0</v>
      </c>
      <c r="P137" s="186">
        <v>0</v>
      </c>
      <c r="Q137" s="186">
        <v>0</v>
      </c>
      <c r="R137" s="186">
        <f t="shared" si="112"/>
        <v>0</v>
      </c>
      <c r="S137" s="186">
        <f t="shared" si="113"/>
        <v>0</v>
      </c>
      <c r="T137" s="186">
        <f t="shared" si="114"/>
        <v>0</v>
      </c>
      <c r="U137" s="2697">
        <f t="shared" si="115"/>
        <v>0</v>
      </c>
      <c r="V137" s="2681"/>
      <c r="W137" s="186">
        <v>0</v>
      </c>
      <c r="X137" s="186">
        <v>0</v>
      </c>
      <c r="Y137" s="186">
        <v>0</v>
      </c>
      <c r="Z137" s="2682">
        <f t="shared" si="116"/>
        <v>0</v>
      </c>
      <c r="AA137" s="2681">
        <v>0</v>
      </c>
      <c r="AB137" s="186">
        <v>0</v>
      </c>
      <c r="AC137" s="186">
        <v>0</v>
      </c>
      <c r="AD137" s="186">
        <v>0</v>
      </c>
      <c r="AE137" s="2682">
        <f t="shared" si="117"/>
        <v>0</v>
      </c>
      <c r="AF137" s="2681">
        <f t="shared" si="118"/>
        <v>0</v>
      </c>
      <c r="AG137" s="186">
        <f t="shared" si="119"/>
        <v>0</v>
      </c>
      <c r="AH137" s="186">
        <f t="shared" si="120"/>
        <v>0</v>
      </c>
      <c r="AI137" s="186">
        <f t="shared" si="121"/>
        <v>0</v>
      </c>
      <c r="AJ137" s="2697">
        <f t="shared" si="123"/>
        <v>0</v>
      </c>
      <c r="AK137" s="2704">
        <f t="shared" si="122"/>
        <v>0</v>
      </c>
      <c r="AL137" s="199"/>
      <c r="AM137" s="422">
        <v>0</v>
      </c>
      <c r="AO137" s="1060"/>
    </row>
    <row r="138" spans="1:41" s="66" customFormat="1" ht="15" hidden="1" customHeight="1" x14ac:dyDescent="0.2">
      <c r="A138" s="789" t="s">
        <v>644</v>
      </c>
      <c r="B138" s="2680"/>
      <c r="C138" s="2681"/>
      <c r="D138" s="186">
        <v>0</v>
      </c>
      <c r="E138" s="186">
        <v>0</v>
      </c>
      <c r="F138" s="186">
        <v>0</v>
      </c>
      <c r="G138" s="2682">
        <f t="shared" si="108"/>
        <v>0</v>
      </c>
      <c r="H138" s="2681">
        <v>0</v>
      </c>
      <c r="I138" s="186">
        <v>0</v>
      </c>
      <c r="J138" s="186">
        <v>0</v>
      </c>
      <c r="K138" s="186">
        <v>0</v>
      </c>
      <c r="L138" s="2682">
        <f t="shared" si="109"/>
        <v>0</v>
      </c>
      <c r="M138" s="2681">
        <f t="shared" si="110"/>
        <v>0</v>
      </c>
      <c r="N138" s="186">
        <f t="shared" si="111"/>
        <v>0</v>
      </c>
      <c r="O138" s="2681">
        <v>0</v>
      </c>
      <c r="P138" s="186">
        <v>0</v>
      </c>
      <c r="Q138" s="186">
        <v>0</v>
      </c>
      <c r="R138" s="186">
        <f t="shared" si="112"/>
        <v>0</v>
      </c>
      <c r="S138" s="186">
        <f t="shared" si="113"/>
        <v>0</v>
      </c>
      <c r="T138" s="186">
        <f t="shared" si="114"/>
        <v>0</v>
      </c>
      <c r="U138" s="2697">
        <f t="shared" si="115"/>
        <v>0</v>
      </c>
      <c r="V138" s="2681"/>
      <c r="W138" s="186">
        <v>0</v>
      </c>
      <c r="X138" s="186">
        <v>0</v>
      </c>
      <c r="Y138" s="186">
        <v>0</v>
      </c>
      <c r="Z138" s="2682">
        <f t="shared" si="116"/>
        <v>0</v>
      </c>
      <c r="AA138" s="2681">
        <v>0</v>
      </c>
      <c r="AB138" s="186">
        <v>0</v>
      </c>
      <c r="AC138" s="186">
        <v>0</v>
      </c>
      <c r="AD138" s="186">
        <v>0</v>
      </c>
      <c r="AE138" s="2682">
        <f t="shared" si="117"/>
        <v>0</v>
      </c>
      <c r="AF138" s="2681">
        <f t="shared" si="118"/>
        <v>0</v>
      </c>
      <c r="AG138" s="186">
        <f t="shared" si="119"/>
        <v>0</v>
      </c>
      <c r="AH138" s="186">
        <f t="shared" si="120"/>
        <v>0</v>
      </c>
      <c r="AI138" s="186">
        <f t="shared" si="121"/>
        <v>0</v>
      </c>
      <c r="AJ138" s="2697">
        <f t="shared" si="123"/>
        <v>0</v>
      </c>
      <c r="AK138" s="2704">
        <f t="shared" si="122"/>
        <v>0</v>
      </c>
      <c r="AL138" s="199"/>
      <c r="AM138" s="422">
        <v>0</v>
      </c>
      <c r="AO138" s="1060"/>
    </row>
    <row r="139" spans="1:41" s="2669" customFormat="1" ht="15" customHeight="1" x14ac:dyDescent="0.2">
      <c r="A139" s="789" t="s">
        <v>2123</v>
      </c>
      <c r="B139" s="2680">
        <v>22026</v>
      </c>
      <c r="C139" s="2681"/>
      <c r="D139" s="186">
        <v>0</v>
      </c>
      <c r="E139" s="186">
        <v>0</v>
      </c>
      <c r="F139" s="186">
        <v>0</v>
      </c>
      <c r="G139" s="2682">
        <f>SUM(C139:F139)</f>
        <v>0</v>
      </c>
      <c r="H139" s="2681">
        <v>0</v>
      </c>
      <c r="I139" s="186">
        <v>0</v>
      </c>
      <c r="J139" s="186">
        <v>0</v>
      </c>
      <c r="K139" s="186">
        <v>0</v>
      </c>
      <c r="L139" s="2682">
        <f>SUM(H139:K139)</f>
        <v>0</v>
      </c>
      <c r="M139" s="2681">
        <v>35730767.479999997</v>
      </c>
      <c r="N139" s="186">
        <f>SUM(D139,I139)</f>
        <v>0</v>
      </c>
      <c r="O139" s="2681"/>
      <c r="P139" s="186">
        <v>0</v>
      </c>
      <c r="Q139" s="186">
        <v>0</v>
      </c>
      <c r="R139" s="186">
        <f>SUM(O139:Q139)</f>
        <v>0</v>
      </c>
      <c r="S139" s="186">
        <f>SUM(E139,J139)</f>
        <v>0</v>
      </c>
      <c r="T139" s="186">
        <f>SUM(F139,K139)</f>
        <v>0</v>
      </c>
      <c r="U139" s="2697">
        <f>SUM(M139:N139,R139:T139)</f>
        <v>35730767.479999997</v>
      </c>
      <c r="V139" s="2681"/>
      <c r="W139" s="186">
        <v>0</v>
      </c>
      <c r="X139" s="186">
        <v>0</v>
      </c>
      <c r="Y139" s="186">
        <v>0</v>
      </c>
      <c r="Z139" s="2682">
        <f>SUM(V139:Y139)</f>
        <v>0</v>
      </c>
      <c r="AA139" s="2681">
        <v>0</v>
      </c>
      <c r="AB139" s="186">
        <v>0</v>
      </c>
      <c r="AC139" s="186">
        <v>0</v>
      </c>
      <c r="AD139" s="186">
        <v>0</v>
      </c>
      <c r="AE139" s="2682">
        <f>SUM(AA139:AD139)</f>
        <v>0</v>
      </c>
      <c r="AF139" s="2681">
        <v>1897253.67</v>
      </c>
      <c r="AG139" s="186">
        <f>SUM(W139,AB139)</f>
        <v>0</v>
      </c>
      <c r="AH139" s="186">
        <f>SUM(X139,AC139)</f>
        <v>0</v>
      </c>
      <c r="AI139" s="186">
        <f>SUM(Y139,AD139)</f>
        <v>0</v>
      </c>
      <c r="AJ139" s="2697">
        <f>SUM(AF139:AI139)</f>
        <v>1897253.67</v>
      </c>
      <c r="AK139" s="2704">
        <f>+U139-AJ139</f>
        <v>33833513.809999995</v>
      </c>
      <c r="AL139" s="199"/>
      <c r="AM139" s="2665"/>
      <c r="AO139" s="2667"/>
    </row>
    <row r="140" spans="1:41" s="66" customFormat="1" ht="15" hidden="1" customHeight="1" x14ac:dyDescent="0.2">
      <c r="A140" s="789" t="s">
        <v>77</v>
      </c>
      <c r="B140" s="2680">
        <v>22022</v>
      </c>
      <c r="C140" s="2681"/>
      <c r="D140" s="186">
        <v>0</v>
      </c>
      <c r="E140" s="186">
        <v>0</v>
      </c>
      <c r="F140" s="186">
        <v>0</v>
      </c>
      <c r="G140" s="2682">
        <f t="shared" si="108"/>
        <v>0</v>
      </c>
      <c r="H140" s="2681">
        <v>0</v>
      </c>
      <c r="I140" s="186">
        <v>0</v>
      </c>
      <c r="J140" s="186">
        <v>0</v>
      </c>
      <c r="K140" s="186">
        <v>0</v>
      </c>
      <c r="L140" s="2682">
        <f t="shared" si="109"/>
        <v>0</v>
      </c>
      <c r="M140" s="2681">
        <f t="shared" si="110"/>
        <v>0</v>
      </c>
      <c r="N140" s="186">
        <f t="shared" si="111"/>
        <v>0</v>
      </c>
      <c r="O140" s="2681">
        <v>0</v>
      </c>
      <c r="P140" s="186">
        <v>0</v>
      </c>
      <c r="Q140" s="186">
        <v>0</v>
      </c>
      <c r="R140" s="186">
        <f t="shared" si="112"/>
        <v>0</v>
      </c>
      <c r="S140" s="186">
        <f t="shared" si="113"/>
        <v>0</v>
      </c>
      <c r="T140" s="186">
        <f t="shared" si="114"/>
        <v>0</v>
      </c>
      <c r="U140" s="2697">
        <f t="shared" si="115"/>
        <v>0</v>
      </c>
      <c r="V140" s="2681"/>
      <c r="W140" s="186">
        <v>0</v>
      </c>
      <c r="X140" s="186">
        <v>0</v>
      </c>
      <c r="Y140" s="186">
        <v>0</v>
      </c>
      <c r="Z140" s="2682">
        <f t="shared" si="116"/>
        <v>0</v>
      </c>
      <c r="AA140" s="2681">
        <v>0</v>
      </c>
      <c r="AB140" s="186">
        <v>0</v>
      </c>
      <c r="AC140" s="186">
        <v>0</v>
      </c>
      <c r="AD140" s="186">
        <v>0</v>
      </c>
      <c r="AE140" s="2682">
        <f t="shared" si="117"/>
        <v>0</v>
      </c>
      <c r="AF140" s="2681">
        <f t="shared" si="118"/>
        <v>0</v>
      </c>
      <c r="AG140" s="186">
        <f t="shared" si="119"/>
        <v>0</v>
      </c>
      <c r="AH140" s="186">
        <f t="shared" si="120"/>
        <v>0</v>
      </c>
      <c r="AI140" s="186">
        <f t="shared" si="121"/>
        <v>0</v>
      </c>
      <c r="AJ140" s="2697">
        <f t="shared" si="123"/>
        <v>0</v>
      </c>
      <c r="AK140" s="2704">
        <f t="shared" si="122"/>
        <v>0</v>
      </c>
      <c r="AL140" s="199"/>
      <c r="AM140" s="422"/>
      <c r="AO140" s="1060"/>
    </row>
    <row r="141" spans="1:41" s="66" customFormat="1" ht="15" hidden="1" customHeight="1" x14ac:dyDescent="0.2">
      <c r="A141" s="789" t="s">
        <v>621</v>
      </c>
      <c r="B141" s="2680"/>
      <c r="C141" s="2681"/>
      <c r="D141" s="186">
        <v>0</v>
      </c>
      <c r="E141" s="186">
        <v>0</v>
      </c>
      <c r="F141" s="186">
        <v>0</v>
      </c>
      <c r="G141" s="2682">
        <f t="shared" si="108"/>
        <v>0</v>
      </c>
      <c r="H141" s="2681">
        <v>0</v>
      </c>
      <c r="I141" s="186">
        <v>0</v>
      </c>
      <c r="J141" s="186">
        <v>0</v>
      </c>
      <c r="K141" s="186">
        <v>0</v>
      </c>
      <c r="L141" s="2682">
        <f t="shared" si="109"/>
        <v>0</v>
      </c>
      <c r="M141" s="2681">
        <f t="shared" si="110"/>
        <v>0</v>
      </c>
      <c r="N141" s="186">
        <f t="shared" si="111"/>
        <v>0</v>
      </c>
      <c r="O141" s="2681">
        <v>0</v>
      </c>
      <c r="P141" s="186">
        <v>0</v>
      </c>
      <c r="Q141" s="186">
        <v>0</v>
      </c>
      <c r="R141" s="186">
        <f t="shared" si="112"/>
        <v>0</v>
      </c>
      <c r="S141" s="186">
        <f t="shared" si="113"/>
        <v>0</v>
      </c>
      <c r="T141" s="186">
        <f t="shared" si="114"/>
        <v>0</v>
      </c>
      <c r="U141" s="2697">
        <f t="shared" si="115"/>
        <v>0</v>
      </c>
      <c r="V141" s="2681"/>
      <c r="W141" s="186">
        <v>0</v>
      </c>
      <c r="X141" s="186">
        <v>0</v>
      </c>
      <c r="Y141" s="186">
        <v>0</v>
      </c>
      <c r="Z141" s="2682">
        <f t="shared" si="116"/>
        <v>0</v>
      </c>
      <c r="AA141" s="2681">
        <v>0</v>
      </c>
      <c r="AB141" s="186">
        <v>0</v>
      </c>
      <c r="AC141" s="186">
        <v>0</v>
      </c>
      <c r="AD141" s="186">
        <v>0</v>
      </c>
      <c r="AE141" s="2682">
        <f t="shared" si="117"/>
        <v>0</v>
      </c>
      <c r="AF141" s="2681">
        <f t="shared" si="118"/>
        <v>0</v>
      </c>
      <c r="AG141" s="186">
        <f t="shared" si="119"/>
        <v>0</v>
      </c>
      <c r="AH141" s="186">
        <f t="shared" si="120"/>
        <v>0</v>
      </c>
      <c r="AI141" s="186">
        <f t="shared" si="121"/>
        <v>0</v>
      </c>
      <c r="AJ141" s="2697">
        <f t="shared" si="123"/>
        <v>0</v>
      </c>
      <c r="AK141" s="2704">
        <f t="shared" si="122"/>
        <v>0</v>
      </c>
      <c r="AL141" s="199"/>
      <c r="AM141" s="424"/>
      <c r="AO141" s="1060"/>
    </row>
    <row r="142" spans="1:41" s="66" customFormat="1" ht="15" hidden="1" customHeight="1" x14ac:dyDescent="0.2">
      <c r="A142" s="789" t="s">
        <v>622</v>
      </c>
      <c r="B142" s="2680"/>
      <c r="C142" s="2681"/>
      <c r="D142" s="186">
        <v>0</v>
      </c>
      <c r="E142" s="186">
        <v>0</v>
      </c>
      <c r="F142" s="186">
        <v>0</v>
      </c>
      <c r="G142" s="2682">
        <f t="shared" si="108"/>
        <v>0</v>
      </c>
      <c r="H142" s="2681">
        <v>0</v>
      </c>
      <c r="I142" s="186">
        <v>0</v>
      </c>
      <c r="J142" s="186">
        <v>0</v>
      </c>
      <c r="K142" s="186">
        <v>0</v>
      </c>
      <c r="L142" s="2682">
        <f t="shared" si="109"/>
        <v>0</v>
      </c>
      <c r="M142" s="2681">
        <f t="shared" si="110"/>
        <v>0</v>
      </c>
      <c r="N142" s="186">
        <f t="shared" si="111"/>
        <v>0</v>
      </c>
      <c r="O142" s="2681">
        <v>0</v>
      </c>
      <c r="P142" s="186">
        <v>0</v>
      </c>
      <c r="Q142" s="186">
        <v>0</v>
      </c>
      <c r="R142" s="186">
        <f t="shared" si="112"/>
        <v>0</v>
      </c>
      <c r="S142" s="186">
        <f t="shared" si="113"/>
        <v>0</v>
      </c>
      <c r="T142" s="186">
        <f t="shared" si="114"/>
        <v>0</v>
      </c>
      <c r="U142" s="2697">
        <f t="shared" si="115"/>
        <v>0</v>
      </c>
      <c r="V142" s="2681"/>
      <c r="W142" s="186">
        <v>0</v>
      </c>
      <c r="X142" s="186">
        <v>0</v>
      </c>
      <c r="Y142" s="186">
        <v>0</v>
      </c>
      <c r="Z142" s="2682">
        <f t="shared" si="116"/>
        <v>0</v>
      </c>
      <c r="AA142" s="2681">
        <v>0</v>
      </c>
      <c r="AB142" s="186">
        <v>0</v>
      </c>
      <c r="AC142" s="186">
        <v>0</v>
      </c>
      <c r="AD142" s="186">
        <v>0</v>
      </c>
      <c r="AE142" s="2682">
        <f t="shared" si="117"/>
        <v>0</v>
      </c>
      <c r="AF142" s="2681">
        <f t="shared" si="118"/>
        <v>0</v>
      </c>
      <c r="AG142" s="186">
        <f t="shared" si="119"/>
        <v>0</v>
      </c>
      <c r="AH142" s="186">
        <f t="shared" si="120"/>
        <v>0</v>
      </c>
      <c r="AI142" s="186">
        <f t="shared" si="121"/>
        <v>0</v>
      </c>
      <c r="AJ142" s="2697">
        <f t="shared" si="123"/>
        <v>0</v>
      </c>
      <c r="AK142" s="2704">
        <f t="shared" si="122"/>
        <v>0</v>
      </c>
      <c r="AL142" s="199"/>
      <c r="AM142" s="424"/>
      <c r="AO142" s="1060"/>
    </row>
    <row r="143" spans="1:41" s="66" customFormat="1" ht="15" hidden="1" customHeight="1" x14ac:dyDescent="0.2">
      <c r="A143" s="789" t="s">
        <v>484</v>
      </c>
      <c r="B143" s="2680"/>
      <c r="C143" s="2681"/>
      <c r="D143" s="186">
        <v>0</v>
      </c>
      <c r="E143" s="186">
        <v>0</v>
      </c>
      <c r="F143" s="186">
        <v>0</v>
      </c>
      <c r="G143" s="2682">
        <f t="shared" si="108"/>
        <v>0</v>
      </c>
      <c r="H143" s="2681">
        <v>0</v>
      </c>
      <c r="I143" s="186">
        <v>0</v>
      </c>
      <c r="J143" s="186">
        <v>0</v>
      </c>
      <c r="K143" s="186">
        <v>0</v>
      </c>
      <c r="L143" s="2682">
        <f t="shared" si="109"/>
        <v>0</v>
      </c>
      <c r="M143" s="2681">
        <f t="shared" si="110"/>
        <v>0</v>
      </c>
      <c r="N143" s="186">
        <f t="shared" si="111"/>
        <v>0</v>
      </c>
      <c r="O143" s="2681">
        <v>0</v>
      </c>
      <c r="P143" s="186">
        <v>0</v>
      </c>
      <c r="Q143" s="186">
        <v>0</v>
      </c>
      <c r="R143" s="186">
        <f t="shared" si="112"/>
        <v>0</v>
      </c>
      <c r="S143" s="186">
        <f t="shared" si="113"/>
        <v>0</v>
      </c>
      <c r="T143" s="186">
        <f t="shared" si="114"/>
        <v>0</v>
      </c>
      <c r="U143" s="2697">
        <f t="shared" si="115"/>
        <v>0</v>
      </c>
      <c r="V143" s="2681"/>
      <c r="W143" s="186">
        <v>0</v>
      </c>
      <c r="X143" s="186">
        <v>0</v>
      </c>
      <c r="Y143" s="186">
        <v>0</v>
      </c>
      <c r="Z143" s="2682">
        <f t="shared" si="116"/>
        <v>0</v>
      </c>
      <c r="AA143" s="2681">
        <v>0</v>
      </c>
      <c r="AB143" s="186">
        <v>0</v>
      </c>
      <c r="AC143" s="186">
        <v>0</v>
      </c>
      <c r="AD143" s="186">
        <v>0</v>
      </c>
      <c r="AE143" s="2682">
        <f t="shared" si="117"/>
        <v>0</v>
      </c>
      <c r="AF143" s="2681">
        <f t="shared" si="118"/>
        <v>0</v>
      </c>
      <c r="AG143" s="186">
        <f t="shared" si="119"/>
        <v>0</v>
      </c>
      <c r="AH143" s="186">
        <f t="shared" si="120"/>
        <v>0</v>
      </c>
      <c r="AI143" s="186">
        <f t="shared" si="121"/>
        <v>0</v>
      </c>
      <c r="AJ143" s="2697">
        <f t="shared" si="123"/>
        <v>0</v>
      </c>
      <c r="AK143" s="2704">
        <f t="shared" si="122"/>
        <v>0</v>
      </c>
      <c r="AL143" s="199"/>
      <c r="AM143" s="424"/>
      <c r="AO143" s="1060"/>
    </row>
    <row r="144" spans="1:41" s="66" customFormat="1" ht="15" hidden="1" customHeight="1" x14ac:dyDescent="0.2">
      <c r="A144" s="789"/>
      <c r="B144" s="2680"/>
      <c r="C144" s="2681"/>
      <c r="D144" s="186"/>
      <c r="E144" s="186"/>
      <c r="F144" s="186"/>
      <c r="G144" s="2682"/>
      <c r="H144" s="2681"/>
      <c r="I144" s="186"/>
      <c r="J144" s="186"/>
      <c r="K144" s="186"/>
      <c r="L144" s="2682"/>
      <c r="M144" s="2681"/>
      <c r="N144" s="186"/>
      <c r="O144" s="2681"/>
      <c r="P144" s="186"/>
      <c r="Q144" s="186"/>
      <c r="R144" s="186"/>
      <c r="S144" s="186"/>
      <c r="T144" s="186"/>
      <c r="U144" s="2697"/>
      <c r="V144" s="2681"/>
      <c r="W144" s="186"/>
      <c r="X144" s="186"/>
      <c r="Y144" s="186"/>
      <c r="Z144" s="2682"/>
      <c r="AA144" s="2681"/>
      <c r="AB144" s="186"/>
      <c r="AC144" s="186"/>
      <c r="AD144" s="186"/>
      <c r="AE144" s="2682"/>
      <c r="AF144" s="2681"/>
      <c r="AG144" s="186"/>
      <c r="AH144" s="186"/>
      <c r="AI144" s="186"/>
      <c r="AJ144" s="2697"/>
      <c r="AK144" s="2704"/>
      <c r="AL144" s="199"/>
      <c r="AM144" s="424"/>
      <c r="AO144" s="1060"/>
    </row>
    <row r="145" spans="1:41" s="66" customFormat="1" ht="15" hidden="1" customHeight="1" x14ac:dyDescent="0.2">
      <c r="A145" s="2689" t="s">
        <v>485</v>
      </c>
      <c r="B145" s="2690"/>
      <c r="C145" s="2687"/>
      <c r="D145" s="689"/>
      <c r="E145" s="689"/>
      <c r="F145" s="689"/>
      <c r="G145" s="2688"/>
      <c r="H145" s="2687"/>
      <c r="I145" s="689"/>
      <c r="J145" s="689"/>
      <c r="K145" s="689"/>
      <c r="L145" s="2688"/>
      <c r="M145" s="2687"/>
      <c r="N145" s="689"/>
      <c r="O145" s="2687"/>
      <c r="P145" s="689"/>
      <c r="Q145" s="689"/>
      <c r="R145" s="689"/>
      <c r="S145" s="689"/>
      <c r="T145" s="689"/>
      <c r="U145" s="2700"/>
      <c r="V145" s="2687"/>
      <c r="W145" s="689"/>
      <c r="X145" s="689"/>
      <c r="Y145" s="689"/>
      <c r="Z145" s="2688"/>
      <c r="AA145" s="2687"/>
      <c r="AB145" s="689"/>
      <c r="AC145" s="689"/>
      <c r="AD145" s="689"/>
      <c r="AE145" s="2688"/>
      <c r="AF145" s="2687"/>
      <c r="AG145" s="689"/>
      <c r="AH145" s="689"/>
      <c r="AI145" s="689"/>
      <c r="AJ145" s="2700"/>
      <c r="AK145" s="2706"/>
      <c r="AL145" s="57"/>
      <c r="AM145" s="439"/>
      <c r="AO145" s="1060"/>
    </row>
    <row r="146" spans="1:41" s="66" customFormat="1" ht="15" hidden="1" customHeight="1" x14ac:dyDescent="0.2">
      <c r="A146" s="789" t="s">
        <v>142</v>
      </c>
      <c r="B146" s="2680"/>
      <c r="C146" s="2681"/>
      <c r="D146" s="186">
        <v>0</v>
      </c>
      <c r="E146" s="186">
        <v>0</v>
      </c>
      <c r="F146" s="186">
        <v>0</v>
      </c>
      <c r="G146" s="2682">
        <f t="shared" ref="G146:G160" si="124">SUM(C146:F146)</f>
        <v>0</v>
      </c>
      <c r="H146" s="2681">
        <v>0</v>
      </c>
      <c r="I146" s="186">
        <v>0</v>
      </c>
      <c r="J146" s="186">
        <v>0</v>
      </c>
      <c r="K146" s="186">
        <v>0</v>
      </c>
      <c r="L146" s="2682">
        <f t="shared" ref="L146:L160" si="125">SUM(H146:K146)</f>
        <v>0</v>
      </c>
      <c r="M146" s="2681">
        <f t="shared" ref="M146:M162" si="126">SUM(C146,H146)</f>
        <v>0</v>
      </c>
      <c r="N146" s="186">
        <f t="shared" ref="N146:N162" si="127">SUM(D146,I146)</f>
        <v>0</v>
      </c>
      <c r="O146" s="2681">
        <v>0</v>
      </c>
      <c r="P146" s="186">
        <v>0</v>
      </c>
      <c r="Q146" s="186">
        <v>0</v>
      </c>
      <c r="R146" s="186">
        <f t="shared" ref="R146:R160" si="128">SUM(O146:Q146)</f>
        <v>0</v>
      </c>
      <c r="S146" s="186">
        <f t="shared" ref="S146:S162" si="129">SUM(E146,J146)</f>
        <v>0</v>
      </c>
      <c r="T146" s="186">
        <f t="shared" ref="T146:T162" si="130">SUM(F146,K146)</f>
        <v>0</v>
      </c>
      <c r="U146" s="2697">
        <f t="shared" ref="U146:U160" si="131">SUM(M146:N146,R146:T146)</f>
        <v>0</v>
      </c>
      <c r="V146" s="2681"/>
      <c r="W146" s="186">
        <v>0</v>
      </c>
      <c r="X146" s="186">
        <v>0</v>
      </c>
      <c r="Y146" s="186">
        <v>0</v>
      </c>
      <c r="Z146" s="2682">
        <f t="shared" ref="Z146:Z160" si="132">SUM(V146:Y146)</f>
        <v>0</v>
      </c>
      <c r="AA146" s="2681">
        <v>0</v>
      </c>
      <c r="AB146" s="186">
        <v>0</v>
      </c>
      <c r="AC146" s="186">
        <v>0</v>
      </c>
      <c r="AD146" s="186">
        <v>0</v>
      </c>
      <c r="AE146" s="2682">
        <f t="shared" ref="AE146:AE160" si="133">SUM(AA146:AD146)</f>
        <v>0</v>
      </c>
      <c r="AF146" s="2681">
        <f t="shared" ref="AF146:AF162" si="134">SUM(V146,AA146)</f>
        <v>0</v>
      </c>
      <c r="AG146" s="186">
        <f t="shared" ref="AG146:AG162" si="135">SUM(W146,AB146)</f>
        <v>0</v>
      </c>
      <c r="AH146" s="186">
        <f t="shared" ref="AH146:AH162" si="136">SUM(X146,AC146)</f>
        <v>0</v>
      </c>
      <c r="AI146" s="186">
        <f t="shared" ref="AI146:AI162" si="137">SUM(Y146,AD146)</f>
        <v>0</v>
      </c>
      <c r="AJ146" s="2697">
        <f t="shared" ref="AJ146:AJ160" si="138">SUM(AF146:AI146)</f>
        <v>0</v>
      </c>
      <c r="AK146" s="2704">
        <f t="shared" ref="AK146:AK160" si="139">+U146-AJ146</f>
        <v>0</v>
      </c>
      <c r="AL146" s="199"/>
      <c r="AM146" s="424"/>
      <c r="AO146" s="1060"/>
    </row>
    <row r="147" spans="1:41" s="66" customFormat="1" ht="15" hidden="1" customHeight="1" x14ac:dyDescent="0.2">
      <c r="A147" s="789" t="s">
        <v>486</v>
      </c>
      <c r="B147" s="2680"/>
      <c r="C147" s="2681"/>
      <c r="D147" s="186">
        <v>0</v>
      </c>
      <c r="E147" s="186">
        <v>0</v>
      </c>
      <c r="F147" s="186">
        <v>0</v>
      </c>
      <c r="G147" s="2682">
        <f t="shared" si="124"/>
        <v>0</v>
      </c>
      <c r="H147" s="2681">
        <v>0</v>
      </c>
      <c r="I147" s="186">
        <v>0</v>
      </c>
      <c r="J147" s="186">
        <v>0</v>
      </c>
      <c r="K147" s="186">
        <v>0</v>
      </c>
      <c r="L147" s="2682">
        <f t="shared" si="125"/>
        <v>0</v>
      </c>
      <c r="M147" s="2681">
        <f t="shared" si="126"/>
        <v>0</v>
      </c>
      <c r="N147" s="186">
        <f t="shared" si="127"/>
        <v>0</v>
      </c>
      <c r="O147" s="2681">
        <v>0</v>
      </c>
      <c r="P147" s="186">
        <v>0</v>
      </c>
      <c r="Q147" s="186">
        <v>0</v>
      </c>
      <c r="R147" s="186">
        <f t="shared" si="128"/>
        <v>0</v>
      </c>
      <c r="S147" s="186">
        <f t="shared" si="129"/>
        <v>0</v>
      </c>
      <c r="T147" s="186">
        <f t="shared" si="130"/>
        <v>0</v>
      </c>
      <c r="U147" s="2697">
        <f t="shared" si="131"/>
        <v>0</v>
      </c>
      <c r="V147" s="2681"/>
      <c r="W147" s="186">
        <v>0</v>
      </c>
      <c r="X147" s="186">
        <v>0</v>
      </c>
      <c r="Y147" s="186">
        <v>0</v>
      </c>
      <c r="Z147" s="2682">
        <f t="shared" si="132"/>
        <v>0</v>
      </c>
      <c r="AA147" s="2681">
        <v>0</v>
      </c>
      <c r="AB147" s="186">
        <v>0</v>
      </c>
      <c r="AC147" s="186">
        <v>0</v>
      </c>
      <c r="AD147" s="186">
        <v>0</v>
      </c>
      <c r="AE147" s="2682">
        <f t="shared" si="133"/>
        <v>0</v>
      </c>
      <c r="AF147" s="2681">
        <f t="shared" si="134"/>
        <v>0</v>
      </c>
      <c r="AG147" s="186">
        <f t="shared" si="135"/>
        <v>0</v>
      </c>
      <c r="AH147" s="186">
        <f t="shared" si="136"/>
        <v>0</v>
      </c>
      <c r="AI147" s="186">
        <f t="shared" si="137"/>
        <v>0</v>
      </c>
      <c r="AJ147" s="2697">
        <f t="shared" si="138"/>
        <v>0</v>
      </c>
      <c r="AK147" s="2704">
        <f t="shared" si="139"/>
        <v>0</v>
      </c>
      <c r="AL147" s="199"/>
      <c r="AM147" s="424"/>
      <c r="AO147" s="1060"/>
    </row>
    <row r="148" spans="1:41" s="66" customFormat="1" ht="15" hidden="1" customHeight="1" x14ac:dyDescent="0.2">
      <c r="A148" s="789" t="s">
        <v>183</v>
      </c>
      <c r="B148" s="2680"/>
      <c r="C148" s="2681"/>
      <c r="D148" s="186">
        <v>0</v>
      </c>
      <c r="E148" s="186">
        <v>0</v>
      </c>
      <c r="F148" s="186">
        <v>0</v>
      </c>
      <c r="G148" s="2682">
        <f t="shared" si="124"/>
        <v>0</v>
      </c>
      <c r="H148" s="2681">
        <v>0</v>
      </c>
      <c r="I148" s="186">
        <v>0</v>
      </c>
      <c r="J148" s="186">
        <v>0</v>
      </c>
      <c r="K148" s="186">
        <v>0</v>
      </c>
      <c r="L148" s="2682">
        <f t="shared" si="125"/>
        <v>0</v>
      </c>
      <c r="M148" s="2681">
        <f t="shared" si="126"/>
        <v>0</v>
      </c>
      <c r="N148" s="186">
        <f t="shared" si="127"/>
        <v>0</v>
      </c>
      <c r="O148" s="2681">
        <v>0</v>
      </c>
      <c r="P148" s="186">
        <v>0</v>
      </c>
      <c r="Q148" s="186">
        <v>0</v>
      </c>
      <c r="R148" s="186">
        <f t="shared" si="128"/>
        <v>0</v>
      </c>
      <c r="S148" s="186">
        <f t="shared" si="129"/>
        <v>0</v>
      </c>
      <c r="T148" s="186">
        <f t="shared" si="130"/>
        <v>0</v>
      </c>
      <c r="U148" s="2697">
        <f t="shared" si="131"/>
        <v>0</v>
      </c>
      <c r="V148" s="2681"/>
      <c r="W148" s="186">
        <v>0</v>
      </c>
      <c r="X148" s="186">
        <v>0</v>
      </c>
      <c r="Y148" s="186">
        <v>0</v>
      </c>
      <c r="Z148" s="2682">
        <f t="shared" si="132"/>
        <v>0</v>
      </c>
      <c r="AA148" s="2681">
        <v>0</v>
      </c>
      <c r="AB148" s="186">
        <v>0</v>
      </c>
      <c r="AC148" s="186">
        <v>0</v>
      </c>
      <c r="AD148" s="186">
        <v>0</v>
      </c>
      <c r="AE148" s="2682">
        <f t="shared" si="133"/>
        <v>0</v>
      </c>
      <c r="AF148" s="2681">
        <f t="shared" si="134"/>
        <v>0</v>
      </c>
      <c r="AG148" s="186">
        <f t="shared" si="135"/>
        <v>0</v>
      </c>
      <c r="AH148" s="186">
        <f t="shared" si="136"/>
        <v>0</v>
      </c>
      <c r="AI148" s="186">
        <f t="shared" si="137"/>
        <v>0</v>
      </c>
      <c r="AJ148" s="2697">
        <f t="shared" si="138"/>
        <v>0</v>
      </c>
      <c r="AK148" s="2704">
        <f t="shared" si="139"/>
        <v>0</v>
      </c>
      <c r="AL148" s="199"/>
      <c r="AM148" s="424"/>
      <c r="AO148" s="1060"/>
    </row>
    <row r="149" spans="1:41" s="66" customFormat="1" ht="15" hidden="1" customHeight="1" x14ac:dyDescent="0.2">
      <c r="A149" s="789" t="s">
        <v>691</v>
      </c>
      <c r="B149" s="2680">
        <v>39001</v>
      </c>
      <c r="C149" s="2681"/>
      <c r="D149" s="186">
        <v>0</v>
      </c>
      <c r="E149" s="186">
        <v>0</v>
      </c>
      <c r="F149" s="186">
        <v>0</v>
      </c>
      <c r="G149" s="2682">
        <f t="shared" si="124"/>
        <v>0</v>
      </c>
      <c r="H149" s="2681">
        <v>0</v>
      </c>
      <c r="I149" s="186">
        <v>0</v>
      </c>
      <c r="J149" s="186">
        <v>0</v>
      </c>
      <c r="K149" s="186">
        <v>0</v>
      </c>
      <c r="L149" s="2682">
        <f t="shared" si="125"/>
        <v>0</v>
      </c>
      <c r="M149" s="2681">
        <f t="shared" si="126"/>
        <v>0</v>
      </c>
      <c r="N149" s="186">
        <f t="shared" si="127"/>
        <v>0</v>
      </c>
      <c r="O149" s="2681">
        <v>0</v>
      </c>
      <c r="P149" s="186">
        <v>0</v>
      </c>
      <c r="Q149" s="186">
        <v>0</v>
      </c>
      <c r="R149" s="186">
        <f t="shared" si="128"/>
        <v>0</v>
      </c>
      <c r="S149" s="186">
        <f t="shared" si="129"/>
        <v>0</v>
      </c>
      <c r="T149" s="186">
        <f t="shared" si="130"/>
        <v>0</v>
      </c>
      <c r="U149" s="2697">
        <f t="shared" si="131"/>
        <v>0</v>
      </c>
      <c r="V149" s="2681"/>
      <c r="W149" s="186">
        <v>0</v>
      </c>
      <c r="X149" s="186">
        <v>0</v>
      </c>
      <c r="Y149" s="186">
        <v>0</v>
      </c>
      <c r="Z149" s="2682">
        <f t="shared" si="132"/>
        <v>0</v>
      </c>
      <c r="AA149" s="2681">
        <v>0</v>
      </c>
      <c r="AB149" s="186">
        <v>0</v>
      </c>
      <c r="AC149" s="186">
        <v>0</v>
      </c>
      <c r="AD149" s="186">
        <v>0</v>
      </c>
      <c r="AE149" s="2682">
        <f t="shared" si="133"/>
        <v>0</v>
      </c>
      <c r="AF149" s="2681">
        <f t="shared" si="134"/>
        <v>0</v>
      </c>
      <c r="AG149" s="186">
        <f t="shared" si="135"/>
        <v>0</v>
      </c>
      <c r="AH149" s="186">
        <f t="shared" si="136"/>
        <v>0</v>
      </c>
      <c r="AI149" s="186">
        <f t="shared" si="137"/>
        <v>0</v>
      </c>
      <c r="AJ149" s="2697">
        <f t="shared" si="138"/>
        <v>0</v>
      </c>
      <c r="AK149" s="2704">
        <f t="shared" si="139"/>
        <v>0</v>
      </c>
      <c r="AL149" s="199"/>
      <c r="AM149" s="422"/>
      <c r="AO149" s="1060"/>
    </row>
    <row r="150" spans="1:41" s="66" customFormat="1" ht="15" hidden="1" customHeight="1" x14ac:dyDescent="0.2">
      <c r="A150" s="789" t="s">
        <v>144</v>
      </c>
      <c r="B150" s="2680"/>
      <c r="C150" s="2681"/>
      <c r="D150" s="186">
        <v>0</v>
      </c>
      <c r="E150" s="186">
        <v>0</v>
      </c>
      <c r="F150" s="186">
        <v>0</v>
      </c>
      <c r="G150" s="2682">
        <f t="shared" si="124"/>
        <v>0</v>
      </c>
      <c r="H150" s="2681">
        <v>0</v>
      </c>
      <c r="I150" s="186">
        <v>0</v>
      </c>
      <c r="J150" s="186">
        <v>0</v>
      </c>
      <c r="K150" s="186">
        <v>0</v>
      </c>
      <c r="L150" s="2682">
        <f t="shared" si="125"/>
        <v>0</v>
      </c>
      <c r="M150" s="2681">
        <f t="shared" si="126"/>
        <v>0</v>
      </c>
      <c r="N150" s="186">
        <f t="shared" si="127"/>
        <v>0</v>
      </c>
      <c r="O150" s="2681">
        <v>0</v>
      </c>
      <c r="P150" s="186">
        <v>0</v>
      </c>
      <c r="Q150" s="186">
        <v>0</v>
      </c>
      <c r="R150" s="186">
        <f t="shared" si="128"/>
        <v>0</v>
      </c>
      <c r="S150" s="186">
        <f t="shared" si="129"/>
        <v>0</v>
      </c>
      <c r="T150" s="186">
        <f t="shared" si="130"/>
        <v>0</v>
      </c>
      <c r="U150" s="2697">
        <f t="shared" si="131"/>
        <v>0</v>
      </c>
      <c r="V150" s="2681"/>
      <c r="W150" s="186">
        <v>0</v>
      </c>
      <c r="X150" s="186">
        <v>0</v>
      </c>
      <c r="Y150" s="186">
        <v>0</v>
      </c>
      <c r="Z150" s="2682">
        <f t="shared" si="132"/>
        <v>0</v>
      </c>
      <c r="AA150" s="2681">
        <v>0</v>
      </c>
      <c r="AB150" s="186">
        <v>0</v>
      </c>
      <c r="AC150" s="186">
        <v>0</v>
      </c>
      <c r="AD150" s="186">
        <v>0</v>
      </c>
      <c r="AE150" s="2682">
        <f t="shared" si="133"/>
        <v>0</v>
      </c>
      <c r="AF150" s="2681">
        <f t="shared" si="134"/>
        <v>0</v>
      </c>
      <c r="AG150" s="186">
        <f t="shared" si="135"/>
        <v>0</v>
      </c>
      <c r="AH150" s="186">
        <f t="shared" si="136"/>
        <v>0</v>
      </c>
      <c r="AI150" s="186">
        <f t="shared" si="137"/>
        <v>0</v>
      </c>
      <c r="AJ150" s="2697">
        <f t="shared" si="138"/>
        <v>0</v>
      </c>
      <c r="AK150" s="2704">
        <f t="shared" si="139"/>
        <v>0</v>
      </c>
      <c r="AL150" s="199"/>
      <c r="AM150" s="422"/>
      <c r="AO150" s="1060"/>
    </row>
    <row r="151" spans="1:41" s="66" customFormat="1" ht="15" hidden="1" customHeight="1" x14ac:dyDescent="0.2">
      <c r="A151" s="789" t="s">
        <v>184</v>
      </c>
      <c r="B151" s="2680">
        <v>22007</v>
      </c>
      <c r="C151" s="2681"/>
      <c r="D151" s="186">
        <v>0</v>
      </c>
      <c r="E151" s="186">
        <v>0</v>
      </c>
      <c r="F151" s="186">
        <v>0</v>
      </c>
      <c r="G151" s="2682">
        <f t="shared" si="124"/>
        <v>0</v>
      </c>
      <c r="H151" s="2681">
        <v>0</v>
      </c>
      <c r="I151" s="186">
        <v>0</v>
      </c>
      <c r="J151" s="186">
        <v>0</v>
      </c>
      <c r="K151" s="186">
        <v>0</v>
      </c>
      <c r="L151" s="2682">
        <f t="shared" si="125"/>
        <v>0</v>
      </c>
      <c r="M151" s="2681">
        <f t="shared" si="126"/>
        <v>0</v>
      </c>
      <c r="N151" s="186">
        <f t="shared" si="127"/>
        <v>0</v>
      </c>
      <c r="O151" s="2681">
        <v>0</v>
      </c>
      <c r="P151" s="186">
        <v>0</v>
      </c>
      <c r="Q151" s="186">
        <v>0</v>
      </c>
      <c r="R151" s="186">
        <f t="shared" si="128"/>
        <v>0</v>
      </c>
      <c r="S151" s="186">
        <f t="shared" si="129"/>
        <v>0</v>
      </c>
      <c r="T151" s="186">
        <f t="shared" si="130"/>
        <v>0</v>
      </c>
      <c r="U151" s="2697">
        <f t="shared" si="131"/>
        <v>0</v>
      </c>
      <c r="V151" s="2681"/>
      <c r="W151" s="186">
        <v>0</v>
      </c>
      <c r="X151" s="186">
        <v>0</v>
      </c>
      <c r="Y151" s="186">
        <v>0</v>
      </c>
      <c r="Z151" s="2682">
        <f t="shared" si="132"/>
        <v>0</v>
      </c>
      <c r="AA151" s="2681">
        <v>0</v>
      </c>
      <c r="AB151" s="186">
        <v>0</v>
      </c>
      <c r="AC151" s="186">
        <v>0</v>
      </c>
      <c r="AD151" s="186">
        <v>0</v>
      </c>
      <c r="AE151" s="2682">
        <f t="shared" si="133"/>
        <v>0</v>
      </c>
      <c r="AF151" s="2681">
        <f t="shared" si="134"/>
        <v>0</v>
      </c>
      <c r="AG151" s="186">
        <f t="shared" si="135"/>
        <v>0</v>
      </c>
      <c r="AH151" s="186">
        <f t="shared" si="136"/>
        <v>0</v>
      </c>
      <c r="AI151" s="186">
        <f t="shared" si="137"/>
        <v>0</v>
      </c>
      <c r="AJ151" s="2697">
        <f t="shared" si="138"/>
        <v>0</v>
      </c>
      <c r="AK151" s="2704">
        <f t="shared" si="139"/>
        <v>0</v>
      </c>
      <c r="AL151" s="199"/>
      <c r="AM151" s="422"/>
      <c r="AO151" s="1060"/>
    </row>
    <row r="152" spans="1:41" s="66" customFormat="1" ht="15" hidden="1" customHeight="1" x14ac:dyDescent="0.2">
      <c r="A152" s="789" t="s">
        <v>185</v>
      </c>
      <c r="B152" s="2680">
        <v>22009</v>
      </c>
      <c r="C152" s="2681"/>
      <c r="D152" s="186">
        <v>0</v>
      </c>
      <c r="E152" s="186">
        <v>0</v>
      </c>
      <c r="F152" s="186">
        <v>0</v>
      </c>
      <c r="G152" s="2682">
        <f t="shared" si="124"/>
        <v>0</v>
      </c>
      <c r="H152" s="2681">
        <v>0</v>
      </c>
      <c r="I152" s="186">
        <v>0</v>
      </c>
      <c r="J152" s="186">
        <v>0</v>
      </c>
      <c r="K152" s="186">
        <v>0</v>
      </c>
      <c r="L152" s="2682">
        <f t="shared" si="125"/>
        <v>0</v>
      </c>
      <c r="M152" s="2681">
        <f t="shared" si="126"/>
        <v>0</v>
      </c>
      <c r="N152" s="186">
        <f t="shared" si="127"/>
        <v>0</v>
      </c>
      <c r="O152" s="2681">
        <v>0</v>
      </c>
      <c r="P152" s="186">
        <v>0</v>
      </c>
      <c r="Q152" s="186">
        <v>0</v>
      </c>
      <c r="R152" s="186">
        <f t="shared" si="128"/>
        <v>0</v>
      </c>
      <c r="S152" s="186">
        <f t="shared" si="129"/>
        <v>0</v>
      </c>
      <c r="T152" s="186">
        <f t="shared" si="130"/>
        <v>0</v>
      </c>
      <c r="U152" s="2697">
        <f t="shared" si="131"/>
        <v>0</v>
      </c>
      <c r="V152" s="2681"/>
      <c r="W152" s="186">
        <v>0</v>
      </c>
      <c r="X152" s="186">
        <v>0</v>
      </c>
      <c r="Y152" s="186">
        <v>0</v>
      </c>
      <c r="Z152" s="2682">
        <f t="shared" si="132"/>
        <v>0</v>
      </c>
      <c r="AA152" s="2681">
        <v>0</v>
      </c>
      <c r="AB152" s="186">
        <v>0</v>
      </c>
      <c r="AC152" s="186">
        <v>0</v>
      </c>
      <c r="AD152" s="186">
        <v>0</v>
      </c>
      <c r="AE152" s="2682">
        <f t="shared" si="133"/>
        <v>0</v>
      </c>
      <c r="AF152" s="2681">
        <f t="shared" si="134"/>
        <v>0</v>
      </c>
      <c r="AG152" s="186">
        <f t="shared" si="135"/>
        <v>0</v>
      </c>
      <c r="AH152" s="186">
        <f t="shared" si="136"/>
        <v>0</v>
      </c>
      <c r="AI152" s="186">
        <f t="shared" si="137"/>
        <v>0</v>
      </c>
      <c r="AJ152" s="2697">
        <f t="shared" si="138"/>
        <v>0</v>
      </c>
      <c r="AK152" s="2704">
        <f t="shared" si="139"/>
        <v>0</v>
      </c>
      <c r="AL152" s="199"/>
      <c r="AM152" s="422"/>
      <c r="AO152" s="1060"/>
    </row>
    <row r="153" spans="1:41" s="66" customFormat="1" ht="15" hidden="1" customHeight="1" x14ac:dyDescent="0.2">
      <c r="A153" s="789" t="s">
        <v>228</v>
      </c>
      <c r="B153" s="2680">
        <v>22014</v>
      </c>
      <c r="C153" s="2681"/>
      <c r="D153" s="186">
        <v>0</v>
      </c>
      <c r="E153" s="186">
        <v>0</v>
      </c>
      <c r="F153" s="186">
        <v>0</v>
      </c>
      <c r="G153" s="2682">
        <f t="shared" si="124"/>
        <v>0</v>
      </c>
      <c r="H153" s="2681">
        <v>0</v>
      </c>
      <c r="I153" s="186">
        <v>0</v>
      </c>
      <c r="J153" s="186">
        <v>0</v>
      </c>
      <c r="K153" s="186">
        <v>0</v>
      </c>
      <c r="L153" s="2682">
        <f t="shared" si="125"/>
        <v>0</v>
      </c>
      <c r="M153" s="2681">
        <f t="shared" si="126"/>
        <v>0</v>
      </c>
      <c r="N153" s="186">
        <f t="shared" si="127"/>
        <v>0</v>
      </c>
      <c r="O153" s="2681"/>
      <c r="P153" s="186">
        <v>0</v>
      </c>
      <c r="Q153" s="186">
        <v>0</v>
      </c>
      <c r="R153" s="186">
        <f t="shared" si="128"/>
        <v>0</v>
      </c>
      <c r="S153" s="186">
        <f t="shared" si="129"/>
        <v>0</v>
      </c>
      <c r="T153" s="186">
        <f t="shared" si="130"/>
        <v>0</v>
      </c>
      <c r="U153" s="2697">
        <f t="shared" si="131"/>
        <v>0</v>
      </c>
      <c r="V153" s="2681"/>
      <c r="W153" s="186">
        <v>0</v>
      </c>
      <c r="X153" s="186">
        <v>0</v>
      </c>
      <c r="Y153" s="186">
        <v>0</v>
      </c>
      <c r="Z153" s="2682">
        <f t="shared" si="132"/>
        <v>0</v>
      </c>
      <c r="AA153" s="2681">
        <v>0</v>
      </c>
      <c r="AB153" s="186">
        <v>0</v>
      </c>
      <c r="AC153" s="186">
        <v>0</v>
      </c>
      <c r="AD153" s="186">
        <v>0</v>
      </c>
      <c r="AE153" s="2682">
        <f t="shared" si="133"/>
        <v>0</v>
      </c>
      <c r="AF153" s="2681">
        <f t="shared" si="134"/>
        <v>0</v>
      </c>
      <c r="AG153" s="186">
        <f t="shared" si="135"/>
        <v>0</v>
      </c>
      <c r="AH153" s="186">
        <f t="shared" si="136"/>
        <v>0</v>
      </c>
      <c r="AI153" s="186">
        <f t="shared" si="137"/>
        <v>0</v>
      </c>
      <c r="AJ153" s="2697">
        <f t="shared" si="138"/>
        <v>0</v>
      </c>
      <c r="AK153" s="2704">
        <f t="shared" si="139"/>
        <v>0</v>
      </c>
      <c r="AL153" s="199"/>
      <c r="AM153" s="422"/>
      <c r="AO153" s="1060"/>
    </row>
    <row r="154" spans="1:41" s="66" customFormat="1" ht="15" hidden="1" customHeight="1" x14ac:dyDescent="0.2">
      <c r="A154" s="789" t="s">
        <v>428</v>
      </c>
      <c r="B154" s="2680">
        <v>22031</v>
      </c>
      <c r="C154" s="2681"/>
      <c r="D154" s="186">
        <v>0</v>
      </c>
      <c r="E154" s="186">
        <v>0</v>
      </c>
      <c r="F154" s="186">
        <v>0</v>
      </c>
      <c r="G154" s="2682">
        <f t="shared" si="124"/>
        <v>0</v>
      </c>
      <c r="H154" s="2681">
        <v>0</v>
      </c>
      <c r="I154" s="186">
        <v>0</v>
      </c>
      <c r="J154" s="186">
        <v>0</v>
      </c>
      <c r="K154" s="186">
        <v>0</v>
      </c>
      <c r="L154" s="2682">
        <f t="shared" si="125"/>
        <v>0</v>
      </c>
      <c r="M154" s="2681">
        <f t="shared" si="126"/>
        <v>0</v>
      </c>
      <c r="N154" s="186">
        <f t="shared" si="127"/>
        <v>0</v>
      </c>
      <c r="O154" s="2681">
        <v>0</v>
      </c>
      <c r="P154" s="186">
        <v>0</v>
      </c>
      <c r="Q154" s="186">
        <v>0</v>
      </c>
      <c r="R154" s="186">
        <f t="shared" si="128"/>
        <v>0</v>
      </c>
      <c r="S154" s="186">
        <f t="shared" si="129"/>
        <v>0</v>
      </c>
      <c r="T154" s="186">
        <f t="shared" si="130"/>
        <v>0</v>
      </c>
      <c r="U154" s="2697">
        <f t="shared" si="131"/>
        <v>0</v>
      </c>
      <c r="V154" s="2681"/>
      <c r="W154" s="186">
        <v>0</v>
      </c>
      <c r="X154" s="186">
        <v>0</v>
      </c>
      <c r="Y154" s="186">
        <v>0</v>
      </c>
      <c r="Z154" s="2682">
        <f t="shared" si="132"/>
        <v>0</v>
      </c>
      <c r="AA154" s="2681">
        <v>0</v>
      </c>
      <c r="AB154" s="186">
        <v>0</v>
      </c>
      <c r="AC154" s="186">
        <v>0</v>
      </c>
      <c r="AD154" s="186">
        <v>0</v>
      </c>
      <c r="AE154" s="2682">
        <f t="shared" si="133"/>
        <v>0</v>
      </c>
      <c r="AF154" s="2681">
        <f t="shared" si="134"/>
        <v>0</v>
      </c>
      <c r="AG154" s="186">
        <f t="shared" si="135"/>
        <v>0</v>
      </c>
      <c r="AH154" s="186">
        <f t="shared" si="136"/>
        <v>0</v>
      </c>
      <c r="AI154" s="186">
        <f t="shared" si="137"/>
        <v>0</v>
      </c>
      <c r="AJ154" s="2697">
        <f t="shared" si="138"/>
        <v>0</v>
      </c>
      <c r="AK154" s="2704">
        <f t="shared" si="139"/>
        <v>0</v>
      </c>
      <c r="AL154" s="199"/>
      <c r="AM154" s="422"/>
      <c r="AO154" s="1060"/>
    </row>
    <row r="155" spans="1:41" s="66" customFormat="1" ht="15" hidden="1" customHeight="1" x14ac:dyDescent="0.2">
      <c r="A155" s="789" t="s">
        <v>429</v>
      </c>
      <c r="B155" s="2680">
        <v>22033</v>
      </c>
      <c r="C155" s="2681"/>
      <c r="D155" s="186">
        <v>0</v>
      </c>
      <c r="E155" s="186">
        <v>0</v>
      </c>
      <c r="F155" s="186">
        <v>0</v>
      </c>
      <c r="G155" s="2682">
        <f t="shared" si="124"/>
        <v>0</v>
      </c>
      <c r="H155" s="2681">
        <v>0</v>
      </c>
      <c r="I155" s="186">
        <v>0</v>
      </c>
      <c r="J155" s="186">
        <v>0</v>
      </c>
      <c r="K155" s="186">
        <v>0</v>
      </c>
      <c r="L155" s="2682">
        <f t="shared" si="125"/>
        <v>0</v>
      </c>
      <c r="M155" s="2681">
        <f t="shared" si="126"/>
        <v>0</v>
      </c>
      <c r="N155" s="186">
        <f t="shared" si="127"/>
        <v>0</v>
      </c>
      <c r="O155" s="2681">
        <v>0</v>
      </c>
      <c r="P155" s="186">
        <v>0</v>
      </c>
      <c r="Q155" s="186">
        <v>0</v>
      </c>
      <c r="R155" s="186">
        <f t="shared" si="128"/>
        <v>0</v>
      </c>
      <c r="S155" s="186">
        <f t="shared" si="129"/>
        <v>0</v>
      </c>
      <c r="T155" s="186">
        <f t="shared" si="130"/>
        <v>0</v>
      </c>
      <c r="U155" s="2697">
        <f t="shared" si="131"/>
        <v>0</v>
      </c>
      <c r="V155" s="2681"/>
      <c r="W155" s="186">
        <v>0</v>
      </c>
      <c r="X155" s="186">
        <v>0</v>
      </c>
      <c r="Y155" s="186">
        <v>0</v>
      </c>
      <c r="Z155" s="2682">
        <f t="shared" si="132"/>
        <v>0</v>
      </c>
      <c r="AA155" s="2681">
        <v>0</v>
      </c>
      <c r="AB155" s="186">
        <v>0</v>
      </c>
      <c r="AC155" s="186">
        <v>0</v>
      </c>
      <c r="AD155" s="186">
        <v>0</v>
      </c>
      <c r="AE155" s="2682">
        <f t="shared" si="133"/>
        <v>0</v>
      </c>
      <c r="AF155" s="2681">
        <f t="shared" si="134"/>
        <v>0</v>
      </c>
      <c r="AG155" s="186">
        <f t="shared" si="135"/>
        <v>0</v>
      </c>
      <c r="AH155" s="186">
        <f t="shared" si="136"/>
        <v>0</v>
      </c>
      <c r="AI155" s="186">
        <f t="shared" si="137"/>
        <v>0</v>
      </c>
      <c r="AJ155" s="2697">
        <f t="shared" si="138"/>
        <v>0</v>
      </c>
      <c r="AK155" s="2704">
        <f t="shared" si="139"/>
        <v>0</v>
      </c>
      <c r="AL155" s="199"/>
      <c r="AM155" s="422">
        <v>0</v>
      </c>
      <c r="AO155" s="1060"/>
    </row>
    <row r="156" spans="1:41" s="66" customFormat="1" ht="15" hidden="1" customHeight="1" x14ac:dyDescent="0.2">
      <c r="A156" s="789" t="s">
        <v>108</v>
      </c>
      <c r="B156" s="2680">
        <v>21004</v>
      </c>
      <c r="C156" s="2681"/>
      <c r="D156" s="186">
        <v>0</v>
      </c>
      <c r="E156" s="186">
        <v>0</v>
      </c>
      <c r="F156" s="186">
        <v>0</v>
      </c>
      <c r="G156" s="2682">
        <f t="shared" si="124"/>
        <v>0</v>
      </c>
      <c r="H156" s="2681">
        <v>0</v>
      </c>
      <c r="I156" s="186">
        <v>0</v>
      </c>
      <c r="J156" s="186">
        <v>0</v>
      </c>
      <c r="K156" s="186">
        <v>0</v>
      </c>
      <c r="L156" s="2682">
        <f t="shared" si="125"/>
        <v>0</v>
      </c>
      <c r="M156" s="2681">
        <f t="shared" si="126"/>
        <v>0</v>
      </c>
      <c r="N156" s="186">
        <f t="shared" si="127"/>
        <v>0</v>
      </c>
      <c r="O156" s="2681">
        <v>0</v>
      </c>
      <c r="P156" s="186">
        <v>0</v>
      </c>
      <c r="Q156" s="186">
        <v>0</v>
      </c>
      <c r="R156" s="186">
        <f t="shared" si="128"/>
        <v>0</v>
      </c>
      <c r="S156" s="186">
        <f t="shared" si="129"/>
        <v>0</v>
      </c>
      <c r="T156" s="186">
        <f t="shared" si="130"/>
        <v>0</v>
      </c>
      <c r="U156" s="2697">
        <f t="shared" si="131"/>
        <v>0</v>
      </c>
      <c r="V156" s="2681"/>
      <c r="W156" s="186">
        <v>0</v>
      </c>
      <c r="X156" s="186">
        <v>0</v>
      </c>
      <c r="Y156" s="186">
        <v>0</v>
      </c>
      <c r="Z156" s="2682">
        <f t="shared" si="132"/>
        <v>0</v>
      </c>
      <c r="AA156" s="2681">
        <v>0</v>
      </c>
      <c r="AB156" s="186">
        <v>0</v>
      </c>
      <c r="AC156" s="186">
        <v>0</v>
      </c>
      <c r="AD156" s="186">
        <v>0</v>
      </c>
      <c r="AE156" s="2682">
        <f t="shared" si="133"/>
        <v>0</v>
      </c>
      <c r="AF156" s="2681">
        <f t="shared" si="134"/>
        <v>0</v>
      </c>
      <c r="AG156" s="186">
        <f t="shared" si="135"/>
        <v>0</v>
      </c>
      <c r="AH156" s="186">
        <f t="shared" si="136"/>
        <v>0</v>
      </c>
      <c r="AI156" s="186">
        <f t="shared" si="137"/>
        <v>0</v>
      </c>
      <c r="AJ156" s="2697">
        <f t="shared" si="138"/>
        <v>0</v>
      </c>
      <c r="AK156" s="2704">
        <f t="shared" si="139"/>
        <v>0</v>
      </c>
      <c r="AL156" s="199"/>
      <c r="AM156" s="422">
        <v>0</v>
      </c>
      <c r="AO156" s="1060"/>
    </row>
    <row r="157" spans="1:41" s="66" customFormat="1" ht="15" hidden="1" customHeight="1" x14ac:dyDescent="0.2">
      <c r="A157" s="789" t="s">
        <v>432</v>
      </c>
      <c r="B157" s="2680">
        <v>22028</v>
      </c>
      <c r="C157" s="2681"/>
      <c r="D157" s="186">
        <v>0</v>
      </c>
      <c r="E157" s="186">
        <v>0</v>
      </c>
      <c r="F157" s="186">
        <v>0</v>
      </c>
      <c r="G157" s="2682">
        <f t="shared" si="124"/>
        <v>0</v>
      </c>
      <c r="H157" s="2681">
        <v>0</v>
      </c>
      <c r="I157" s="186">
        <v>0</v>
      </c>
      <c r="J157" s="186">
        <v>0</v>
      </c>
      <c r="K157" s="186">
        <v>0</v>
      </c>
      <c r="L157" s="2682">
        <f t="shared" si="125"/>
        <v>0</v>
      </c>
      <c r="M157" s="2681">
        <f t="shared" si="126"/>
        <v>0</v>
      </c>
      <c r="N157" s="186">
        <f t="shared" si="127"/>
        <v>0</v>
      </c>
      <c r="O157" s="2681">
        <v>0</v>
      </c>
      <c r="P157" s="186">
        <v>0</v>
      </c>
      <c r="Q157" s="186">
        <v>0</v>
      </c>
      <c r="R157" s="186">
        <f t="shared" si="128"/>
        <v>0</v>
      </c>
      <c r="S157" s="186">
        <f t="shared" si="129"/>
        <v>0</v>
      </c>
      <c r="T157" s="186">
        <f t="shared" si="130"/>
        <v>0</v>
      </c>
      <c r="U157" s="2697">
        <f t="shared" si="131"/>
        <v>0</v>
      </c>
      <c r="V157" s="2681"/>
      <c r="W157" s="186">
        <v>0</v>
      </c>
      <c r="X157" s="186">
        <v>0</v>
      </c>
      <c r="Y157" s="186">
        <v>0</v>
      </c>
      <c r="Z157" s="2682">
        <f t="shared" si="132"/>
        <v>0</v>
      </c>
      <c r="AA157" s="2681">
        <v>0</v>
      </c>
      <c r="AB157" s="186">
        <v>0</v>
      </c>
      <c r="AC157" s="186">
        <v>0</v>
      </c>
      <c r="AD157" s="186">
        <v>0</v>
      </c>
      <c r="AE157" s="2682">
        <f t="shared" si="133"/>
        <v>0</v>
      </c>
      <c r="AF157" s="2681">
        <f t="shared" si="134"/>
        <v>0</v>
      </c>
      <c r="AG157" s="186">
        <f t="shared" si="135"/>
        <v>0</v>
      </c>
      <c r="AH157" s="186">
        <f t="shared" si="136"/>
        <v>0</v>
      </c>
      <c r="AI157" s="186">
        <f t="shared" si="137"/>
        <v>0</v>
      </c>
      <c r="AJ157" s="2697">
        <f t="shared" si="138"/>
        <v>0</v>
      </c>
      <c r="AK157" s="2704">
        <f t="shared" si="139"/>
        <v>0</v>
      </c>
      <c r="AL157" s="199"/>
      <c r="AM157" s="422">
        <v>0</v>
      </c>
      <c r="AO157" s="1060"/>
    </row>
    <row r="158" spans="1:41" s="66" customFormat="1" ht="15" hidden="1" customHeight="1" x14ac:dyDescent="0.2">
      <c r="A158" s="789" t="s">
        <v>487</v>
      </c>
      <c r="B158" s="2680"/>
      <c r="C158" s="2681"/>
      <c r="D158" s="186">
        <v>0</v>
      </c>
      <c r="E158" s="186">
        <v>0</v>
      </c>
      <c r="F158" s="186">
        <v>0</v>
      </c>
      <c r="G158" s="2682">
        <f t="shared" si="124"/>
        <v>0</v>
      </c>
      <c r="H158" s="2681">
        <v>0</v>
      </c>
      <c r="I158" s="186">
        <v>0</v>
      </c>
      <c r="J158" s="186">
        <v>0</v>
      </c>
      <c r="K158" s="186">
        <v>0</v>
      </c>
      <c r="L158" s="2682">
        <f t="shared" si="125"/>
        <v>0</v>
      </c>
      <c r="M158" s="2681">
        <f t="shared" si="126"/>
        <v>0</v>
      </c>
      <c r="N158" s="186">
        <f t="shared" si="127"/>
        <v>0</v>
      </c>
      <c r="O158" s="2681">
        <v>0</v>
      </c>
      <c r="P158" s="186">
        <v>0</v>
      </c>
      <c r="Q158" s="186">
        <v>0</v>
      </c>
      <c r="R158" s="186">
        <f t="shared" si="128"/>
        <v>0</v>
      </c>
      <c r="S158" s="186">
        <f t="shared" si="129"/>
        <v>0</v>
      </c>
      <c r="T158" s="186">
        <f t="shared" si="130"/>
        <v>0</v>
      </c>
      <c r="U158" s="2697">
        <f t="shared" si="131"/>
        <v>0</v>
      </c>
      <c r="V158" s="2681"/>
      <c r="W158" s="186">
        <v>0</v>
      </c>
      <c r="X158" s="186">
        <v>0</v>
      </c>
      <c r="Y158" s="186">
        <v>0</v>
      </c>
      <c r="Z158" s="2682">
        <f t="shared" si="132"/>
        <v>0</v>
      </c>
      <c r="AA158" s="2681">
        <v>0</v>
      </c>
      <c r="AB158" s="186">
        <v>0</v>
      </c>
      <c r="AC158" s="186">
        <v>0</v>
      </c>
      <c r="AD158" s="186">
        <v>0</v>
      </c>
      <c r="AE158" s="2682">
        <f t="shared" si="133"/>
        <v>0</v>
      </c>
      <c r="AF158" s="2681">
        <f t="shared" si="134"/>
        <v>0</v>
      </c>
      <c r="AG158" s="186">
        <f t="shared" si="135"/>
        <v>0</v>
      </c>
      <c r="AH158" s="186">
        <f t="shared" si="136"/>
        <v>0</v>
      </c>
      <c r="AI158" s="186">
        <f t="shared" si="137"/>
        <v>0</v>
      </c>
      <c r="AJ158" s="2697">
        <f t="shared" si="138"/>
        <v>0</v>
      </c>
      <c r="AK158" s="2704">
        <f t="shared" si="139"/>
        <v>0</v>
      </c>
      <c r="AL158" s="199"/>
      <c r="AM158" s="422">
        <v>0</v>
      </c>
      <c r="AO158" s="1060"/>
    </row>
    <row r="159" spans="1:41" s="66" customFormat="1" ht="15" hidden="1" customHeight="1" x14ac:dyDescent="0.2">
      <c r="A159" s="789" t="s">
        <v>80</v>
      </c>
      <c r="B159" s="2680"/>
      <c r="C159" s="2681"/>
      <c r="D159" s="186">
        <v>0</v>
      </c>
      <c r="E159" s="186">
        <v>0</v>
      </c>
      <c r="F159" s="186">
        <v>0</v>
      </c>
      <c r="G159" s="2682">
        <f t="shared" si="124"/>
        <v>0</v>
      </c>
      <c r="H159" s="2681">
        <v>0</v>
      </c>
      <c r="I159" s="186">
        <v>0</v>
      </c>
      <c r="J159" s="186">
        <v>0</v>
      </c>
      <c r="K159" s="186">
        <v>0</v>
      </c>
      <c r="L159" s="2682">
        <f t="shared" si="125"/>
        <v>0</v>
      </c>
      <c r="M159" s="2681">
        <f t="shared" si="126"/>
        <v>0</v>
      </c>
      <c r="N159" s="186">
        <f t="shared" si="127"/>
        <v>0</v>
      </c>
      <c r="O159" s="2681">
        <v>0</v>
      </c>
      <c r="P159" s="186">
        <v>0</v>
      </c>
      <c r="Q159" s="186">
        <v>0</v>
      </c>
      <c r="R159" s="186">
        <f t="shared" si="128"/>
        <v>0</v>
      </c>
      <c r="S159" s="186">
        <f t="shared" si="129"/>
        <v>0</v>
      </c>
      <c r="T159" s="186">
        <f t="shared" si="130"/>
        <v>0</v>
      </c>
      <c r="U159" s="2697">
        <f t="shared" si="131"/>
        <v>0</v>
      </c>
      <c r="V159" s="2681"/>
      <c r="W159" s="186">
        <v>0</v>
      </c>
      <c r="X159" s="186">
        <v>0</v>
      </c>
      <c r="Y159" s="186">
        <v>0</v>
      </c>
      <c r="Z159" s="2682">
        <f t="shared" si="132"/>
        <v>0</v>
      </c>
      <c r="AA159" s="2681">
        <v>0</v>
      </c>
      <c r="AB159" s="186">
        <v>0</v>
      </c>
      <c r="AC159" s="186">
        <v>0</v>
      </c>
      <c r="AD159" s="186">
        <v>0</v>
      </c>
      <c r="AE159" s="2682">
        <f t="shared" si="133"/>
        <v>0</v>
      </c>
      <c r="AF159" s="2681">
        <f t="shared" si="134"/>
        <v>0</v>
      </c>
      <c r="AG159" s="186">
        <f t="shared" si="135"/>
        <v>0</v>
      </c>
      <c r="AH159" s="186">
        <f t="shared" si="136"/>
        <v>0</v>
      </c>
      <c r="AI159" s="186">
        <f t="shared" si="137"/>
        <v>0</v>
      </c>
      <c r="AJ159" s="2697">
        <f t="shared" si="138"/>
        <v>0</v>
      </c>
      <c r="AK159" s="2704">
        <f t="shared" si="139"/>
        <v>0</v>
      </c>
      <c r="AL159" s="199"/>
      <c r="AM159" s="422">
        <v>0</v>
      </c>
      <c r="AO159" s="1060"/>
    </row>
    <row r="160" spans="1:41" s="66" customFormat="1" ht="15" hidden="1" customHeight="1" x14ac:dyDescent="0.2">
      <c r="A160" s="789" t="s">
        <v>645</v>
      </c>
      <c r="B160" s="2680">
        <v>22008</v>
      </c>
      <c r="C160" s="2681"/>
      <c r="D160" s="186">
        <v>0</v>
      </c>
      <c r="E160" s="186">
        <v>0</v>
      </c>
      <c r="F160" s="186">
        <v>0</v>
      </c>
      <c r="G160" s="2682">
        <f t="shared" si="124"/>
        <v>0</v>
      </c>
      <c r="H160" s="2681">
        <v>0</v>
      </c>
      <c r="I160" s="186">
        <v>0</v>
      </c>
      <c r="J160" s="186">
        <v>0</v>
      </c>
      <c r="K160" s="186">
        <v>0</v>
      </c>
      <c r="L160" s="2682">
        <f t="shared" si="125"/>
        <v>0</v>
      </c>
      <c r="M160" s="2681">
        <f t="shared" si="126"/>
        <v>0</v>
      </c>
      <c r="N160" s="186">
        <f t="shared" si="127"/>
        <v>0</v>
      </c>
      <c r="O160" s="2681">
        <v>0</v>
      </c>
      <c r="P160" s="186">
        <v>0</v>
      </c>
      <c r="Q160" s="186">
        <v>0</v>
      </c>
      <c r="R160" s="186">
        <f t="shared" si="128"/>
        <v>0</v>
      </c>
      <c r="S160" s="186">
        <f t="shared" si="129"/>
        <v>0</v>
      </c>
      <c r="T160" s="186">
        <f t="shared" si="130"/>
        <v>0</v>
      </c>
      <c r="U160" s="2697">
        <f t="shared" si="131"/>
        <v>0</v>
      </c>
      <c r="V160" s="2681"/>
      <c r="W160" s="186">
        <v>0</v>
      </c>
      <c r="X160" s="186">
        <v>0</v>
      </c>
      <c r="Y160" s="186">
        <v>0</v>
      </c>
      <c r="Z160" s="2682">
        <f t="shared" si="132"/>
        <v>0</v>
      </c>
      <c r="AA160" s="2681">
        <v>0</v>
      </c>
      <c r="AB160" s="186">
        <v>0</v>
      </c>
      <c r="AC160" s="186">
        <v>0</v>
      </c>
      <c r="AD160" s="186">
        <v>0</v>
      </c>
      <c r="AE160" s="2682">
        <f t="shared" si="133"/>
        <v>0</v>
      </c>
      <c r="AF160" s="2681">
        <f t="shared" si="134"/>
        <v>0</v>
      </c>
      <c r="AG160" s="186">
        <f t="shared" si="135"/>
        <v>0</v>
      </c>
      <c r="AH160" s="186">
        <f t="shared" si="136"/>
        <v>0</v>
      </c>
      <c r="AI160" s="186">
        <f t="shared" si="137"/>
        <v>0</v>
      </c>
      <c r="AJ160" s="2697">
        <f t="shared" si="138"/>
        <v>0</v>
      </c>
      <c r="AK160" s="2704">
        <f t="shared" si="139"/>
        <v>0</v>
      </c>
      <c r="AL160" s="199"/>
      <c r="AM160" s="422">
        <v>0</v>
      </c>
      <c r="AO160" s="1060"/>
    </row>
    <row r="161" spans="1:41" s="66" customFormat="1" ht="15" hidden="1" customHeight="1" x14ac:dyDescent="0.2">
      <c r="A161" s="789" t="s">
        <v>2122</v>
      </c>
      <c r="B161" s="2680">
        <v>22027</v>
      </c>
      <c r="C161" s="2681"/>
      <c r="D161" s="186">
        <v>0</v>
      </c>
      <c r="E161" s="186">
        <v>0</v>
      </c>
      <c r="F161" s="186">
        <v>0</v>
      </c>
      <c r="G161" s="2682">
        <f>SUM(C161:F161)</f>
        <v>0</v>
      </c>
      <c r="H161" s="2681">
        <v>0</v>
      </c>
      <c r="I161" s="186">
        <v>0</v>
      </c>
      <c r="J161" s="186">
        <v>0</v>
      </c>
      <c r="K161" s="186">
        <v>0</v>
      </c>
      <c r="L161" s="2682">
        <f>SUM(H161:K161)</f>
        <v>0</v>
      </c>
      <c r="M161" s="2681">
        <f t="shared" si="126"/>
        <v>0</v>
      </c>
      <c r="N161" s="186">
        <f t="shared" si="127"/>
        <v>0</v>
      </c>
      <c r="O161" s="2681">
        <v>0</v>
      </c>
      <c r="P161" s="186">
        <v>0</v>
      </c>
      <c r="Q161" s="186">
        <v>0</v>
      </c>
      <c r="R161" s="186">
        <f>SUM(O161:Q161)</f>
        <v>0</v>
      </c>
      <c r="S161" s="186">
        <f t="shared" si="129"/>
        <v>0</v>
      </c>
      <c r="T161" s="186">
        <f t="shared" si="130"/>
        <v>0</v>
      </c>
      <c r="U161" s="2697">
        <f>SUM(M161:N161,R161:T161)</f>
        <v>0</v>
      </c>
      <c r="V161" s="2681"/>
      <c r="W161" s="186">
        <v>0</v>
      </c>
      <c r="X161" s="186">
        <v>0</v>
      </c>
      <c r="Y161" s="186">
        <v>0</v>
      </c>
      <c r="Z161" s="2682">
        <f>SUM(V161:Y161)</f>
        <v>0</v>
      </c>
      <c r="AA161" s="2681">
        <v>0</v>
      </c>
      <c r="AB161" s="186">
        <v>0</v>
      </c>
      <c r="AC161" s="186">
        <v>0</v>
      </c>
      <c r="AD161" s="186">
        <v>0</v>
      </c>
      <c r="AE161" s="2682">
        <f>SUM(AA161:AD161)</f>
        <v>0</v>
      </c>
      <c r="AF161" s="2681">
        <f t="shared" si="134"/>
        <v>0</v>
      </c>
      <c r="AG161" s="186">
        <f t="shared" si="135"/>
        <v>0</v>
      </c>
      <c r="AH161" s="186">
        <f t="shared" si="136"/>
        <v>0</v>
      </c>
      <c r="AI161" s="186">
        <f t="shared" si="137"/>
        <v>0</v>
      </c>
      <c r="AJ161" s="2697">
        <f>SUM(AF161:AI161)</f>
        <v>0</v>
      </c>
      <c r="AK161" s="2704">
        <f>+U161-AJ161</f>
        <v>0</v>
      </c>
      <c r="AL161" s="199"/>
      <c r="AM161" s="422">
        <v>0</v>
      </c>
      <c r="AO161" s="1060"/>
    </row>
    <row r="162" spans="1:41" s="66" customFormat="1" ht="15" hidden="1" customHeight="1" x14ac:dyDescent="0.2">
      <c r="A162" s="789" t="s">
        <v>138</v>
      </c>
      <c r="B162" s="2680">
        <v>41029</v>
      </c>
      <c r="C162" s="2681"/>
      <c r="D162" s="186">
        <v>0</v>
      </c>
      <c r="E162" s="186">
        <v>0</v>
      </c>
      <c r="F162" s="186">
        <v>0</v>
      </c>
      <c r="G162" s="2682">
        <f>SUM(C162:F162)</f>
        <v>0</v>
      </c>
      <c r="H162" s="2681">
        <v>0</v>
      </c>
      <c r="I162" s="186">
        <v>0</v>
      </c>
      <c r="J162" s="186">
        <v>0</v>
      </c>
      <c r="K162" s="186">
        <v>0</v>
      </c>
      <c r="L162" s="2682">
        <f>SUM(H162:K162)</f>
        <v>0</v>
      </c>
      <c r="M162" s="2681">
        <f t="shared" si="126"/>
        <v>0</v>
      </c>
      <c r="N162" s="186">
        <f t="shared" si="127"/>
        <v>0</v>
      </c>
      <c r="O162" s="2681">
        <v>0</v>
      </c>
      <c r="P162" s="186">
        <v>0</v>
      </c>
      <c r="Q162" s="186">
        <v>0</v>
      </c>
      <c r="R162" s="186">
        <f>SUM(O162:Q162)</f>
        <v>0</v>
      </c>
      <c r="S162" s="186">
        <f t="shared" si="129"/>
        <v>0</v>
      </c>
      <c r="T162" s="186">
        <f t="shared" si="130"/>
        <v>0</v>
      </c>
      <c r="U162" s="2697">
        <f>SUM(M162:N162,R162:T162)</f>
        <v>0</v>
      </c>
      <c r="V162" s="2681"/>
      <c r="W162" s="186">
        <v>0</v>
      </c>
      <c r="X162" s="186">
        <v>0</v>
      </c>
      <c r="Y162" s="186">
        <v>0</v>
      </c>
      <c r="Z162" s="2682">
        <f>SUM(V162:Y162)</f>
        <v>0</v>
      </c>
      <c r="AA162" s="2681">
        <v>0</v>
      </c>
      <c r="AB162" s="186">
        <v>0</v>
      </c>
      <c r="AC162" s="186">
        <v>0</v>
      </c>
      <c r="AD162" s="186">
        <v>0</v>
      </c>
      <c r="AE162" s="2682">
        <f>SUM(AA162:AD162)</f>
        <v>0</v>
      </c>
      <c r="AF162" s="2681">
        <f t="shared" si="134"/>
        <v>0</v>
      </c>
      <c r="AG162" s="186">
        <f t="shared" si="135"/>
        <v>0</v>
      </c>
      <c r="AH162" s="186">
        <f t="shared" si="136"/>
        <v>0</v>
      </c>
      <c r="AI162" s="186">
        <f t="shared" si="137"/>
        <v>0</v>
      </c>
      <c r="AJ162" s="2697">
        <f>SUM(AF162:AI162)</f>
        <v>0</v>
      </c>
      <c r="AK162" s="2704">
        <f>+U162-AJ162</f>
        <v>0</v>
      </c>
      <c r="AL162" s="199"/>
      <c r="AM162" s="422">
        <v>0</v>
      </c>
      <c r="AO162" s="1060"/>
    </row>
    <row r="163" spans="1:41" s="66" customFormat="1" ht="15" customHeight="1" x14ac:dyDescent="0.2">
      <c r="A163" s="789"/>
      <c r="B163" s="2680"/>
      <c r="C163" s="2681"/>
      <c r="D163" s="186"/>
      <c r="E163" s="186"/>
      <c r="F163" s="186"/>
      <c r="G163" s="2682"/>
      <c r="H163" s="2681"/>
      <c r="I163" s="186"/>
      <c r="J163" s="186"/>
      <c r="K163" s="186"/>
      <c r="L163" s="2682"/>
      <c r="M163" s="2681"/>
      <c r="N163" s="186"/>
      <c r="O163" s="2681"/>
      <c r="P163" s="186"/>
      <c r="Q163" s="186"/>
      <c r="R163" s="186"/>
      <c r="S163" s="186"/>
      <c r="T163" s="186"/>
      <c r="U163" s="2697"/>
      <c r="V163" s="2681"/>
      <c r="W163" s="186"/>
      <c r="X163" s="186"/>
      <c r="Y163" s="186"/>
      <c r="Z163" s="2682"/>
      <c r="AA163" s="2681"/>
      <c r="AB163" s="186"/>
      <c r="AC163" s="186"/>
      <c r="AD163" s="186"/>
      <c r="AE163" s="2682"/>
      <c r="AF163" s="2681"/>
      <c r="AG163" s="186"/>
      <c r="AH163" s="186"/>
      <c r="AI163" s="186"/>
      <c r="AJ163" s="2697"/>
      <c r="AK163" s="2704"/>
      <c r="AL163" s="199"/>
      <c r="AM163" s="424"/>
      <c r="AO163" s="1060"/>
    </row>
    <row r="164" spans="1:41" s="66" customFormat="1" ht="15" customHeight="1" x14ac:dyDescent="0.25">
      <c r="A164" s="789"/>
      <c r="B164" s="2680"/>
      <c r="C164" s="2683">
        <f t="shared" ref="C164:L164" si="140">SUM(C117:C163)</f>
        <v>0</v>
      </c>
      <c r="D164" s="687">
        <f t="shared" si="140"/>
        <v>0</v>
      </c>
      <c r="E164" s="687">
        <f t="shared" si="140"/>
        <v>0</v>
      </c>
      <c r="F164" s="687">
        <f t="shared" si="140"/>
        <v>0</v>
      </c>
      <c r="G164" s="2684">
        <f t="shared" si="140"/>
        <v>0</v>
      </c>
      <c r="H164" s="2683">
        <f t="shared" si="140"/>
        <v>0</v>
      </c>
      <c r="I164" s="687">
        <f t="shared" si="140"/>
        <v>0</v>
      </c>
      <c r="J164" s="687">
        <f t="shared" si="140"/>
        <v>0</v>
      </c>
      <c r="K164" s="687">
        <f t="shared" si="140"/>
        <v>0</v>
      </c>
      <c r="L164" s="2684">
        <f t="shared" si="140"/>
        <v>0</v>
      </c>
      <c r="M164" s="2683">
        <f t="shared" ref="M164:Z164" si="141">SUM(M117:M163)</f>
        <v>90348351.00999999</v>
      </c>
      <c r="N164" s="687">
        <f t="shared" si="141"/>
        <v>0</v>
      </c>
      <c r="O164" s="2683">
        <f>SUM(O117:O163)</f>
        <v>0</v>
      </c>
      <c r="P164" s="687">
        <f>SUM(P117:P163)</f>
        <v>0</v>
      </c>
      <c r="Q164" s="687">
        <f>SUM(Q117:Q163)</f>
        <v>0</v>
      </c>
      <c r="R164" s="687">
        <f>SUM(R117:R163)</f>
        <v>0</v>
      </c>
      <c r="S164" s="687">
        <f t="shared" si="141"/>
        <v>0</v>
      </c>
      <c r="T164" s="687">
        <f t="shared" si="141"/>
        <v>0</v>
      </c>
      <c r="U164" s="2698">
        <f t="shared" si="141"/>
        <v>90348351.00999999</v>
      </c>
      <c r="V164" s="2683">
        <f t="shared" si="141"/>
        <v>0</v>
      </c>
      <c r="W164" s="687">
        <f t="shared" si="141"/>
        <v>0</v>
      </c>
      <c r="X164" s="687">
        <f t="shared" si="141"/>
        <v>0</v>
      </c>
      <c r="Y164" s="687">
        <f t="shared" si="141"/>
        <v>0</v>
      </c>
      <c r="Z164" s="2684">
        <f t="shared" si="141"/>
        <v>0</v>
      </c>
      <c r="AA164" s="2683">
        <f t="shared" ref="AA164:AK164" si="142">SUM(AA117:AA163)</f>
        <v>0</v>
      </c>
      <c r="AB164" s="687">
        <f t="shared" si="142"/>
        <v>0</v>
      </c>
      <c r="AC164" s="687">
        <f t="shared" si="142"/>
        <v>0</v>
      </c>
      <c r="AD164" s="687">
        <f t="shared" si="142"/>
        <v>0</v>
      </c>
      <c r="AE164" s="2684">
        <f t="shared" si="142"/>
        <v>0</v>
      </c>
      <c r="AF164" s="2683">
        <f t="shared" si="142"/>
        <v>32317272.530000001</v>
      </c>
      <c r="AG164" s="687">
        <f t="shared" si="142"/>
        <v>2042415.05</v>
      </c>
      <c r="AH164" s="687">
        <f t="shared" si="142"/>
        <v>0</v>
      </c>
      <c r="AI164" s="687">
        <f t="shared" si="142"/>
        <v>0</v>
      </c>
      <c r="AJ164" s="2698">
        <f t="shared" si="142"/>
        <v>34359687.579999998</v>
      </c>
      <c r="AK164" s="2705">
        <f t="shared" si="142"/>
        <v>55988663.429999992</v>
      </c>
      <c r="AL164" s="251"/>
      <c r="AM164" s="430">
        <f>SUM(AM117:AM163)</f>
        <v>0</v>
      </c>
      <c r="AO164" s="1060"/>
    </row>
    <row r="165" spans="1:41" s="66" customFormat="1" ht="15" customHeight="1" x14ac:dyDescent="0.2">
      <c r="A165" s="789"/>
      <c r="B165" s="2680"/>
      <c r="C165" s="2685">
        <v>0</v>
      </c>
      <c r="D165" s="688">
        <v>0</v>
      </c>
      <c r="E165" s="688">
        <v>0</v>
      </c>
      <c r="F165" s="688">
        <v>0</v>
      </c>
      <c r="G165" s="2686">
        <v>0</v>
      </c>
      <c r="H165" s="2685">
        <v>0</v>
      </c>
      <c r="I165" s="688">
        <v>0</v>
      </c>
      <c r="J165" s="688">
        <v>0</v>
      </c>
      <c r="K165" s="688">
        <v>0</v>
      </c>
      <c r="L165" s="2686">
        <v>0</v>
      </c>
      <c r="M165" s="2681"/>
      <c r="N165" s="186"/>
      <c r="O165" s="2685">
        <v>0</v>
      </c>
      <c r="P165" s="688">
        <v>0</v>
      </c>
      <c r="Q165" s="688">
        <v>0</v>
      </c>
      <c r="R165" s="688">
        <v>0</v>
      </c>
      <c r="S165" s="186"/>
      <c r="T165" s="186"/>
      <c r="U165" s="2699"/>
      <c r="V165" s="2685">
        <v>0</v>
      </c>
      <c r="W165" s="688">
        <v>0</v>
      </c>
      <c r="X165" s="688">
        <v>0</v>
      </c>
      <c r="Y165" s="688">
        <v>0</v>
      </c>
      <c r="Z165" s="2686">
        <v>0</v>
      </c>
      <c r="AA165" s="2685">
        <v>0</v>
      </c>
      <c r="AB165" s="688">
        <v>0</v>
      </c>
      <c r="AC165" s="688">
        <v>0</v>
      </c>
      <c r="AD165" s="688">
        <v>0</v>
      </c>
      <c r="AE165" s="2686">
        <v>0</v>
      </c>
      <c r="AF165" s="2681"/>
      <c r="AG165" s="186"/>
      <c r="AH165" s="186"/>
      <c r="AI165" s="186"/>
      <c r="AJ165" s="2697"/>
      <c r="AK165" s="2704"/>
      <c r="AL165" s="199"/>
      <c r="AM165" s="424"/>
      <c r="AO165" s="1060"/>
    </row>
    <row r="166" spans="1:41" s="66" customFormat="1" ht="15" hidden="1" customHeight="1" x14ac:dyDescent="0.25">
      <c r="A166" s="2676" t="s">
        <v>202</v>
      </c>
      <c r="B166" s="2677"/>
      <c r="C166" s="2681"/>
      <c r="D166" s="186"/>
      <c r="E166" s="186"/>
      <c r="F166" s="186"/>
      <c r="G166" s="2682"/>
      <c r="H166" s="2681"/>
      <c r="I166" s="186"/>
      <c r="J166" s="186"/>
      <c r="K166" s="186"/>
      <c r="L166" s="2682"/>
      <c r="M166" s="2681"/>
      <c r="N166" s="186"/>
      <c r="O166" s="2681"/>
      <c r="P166" s="186"/>
      <c r="Q166" s="186"/>
      <c r="R166" s="186"/>
      <c r="S166" s="186"/>
      <c r="T166" s="186"/>
      <c r="U166" s="2697"/>
      <c r="V166" s="2681"/>
      <c r="W166" s="186"/>
      <c r="X166" s="186"/>
      <c r="Y166" s="186"/>
      <c r="Z166" s="2682"/>
      <c r="AA166" s="2681"/>
      <c r="AB166" s="186"/>
      <c r="AC166" s="186"/>
      <c r="AD166" s="186"/>
      <c r="AE166" s="2682"/>
      <c r="AF166" s="2681"/>
      <c r="AG166" s="186"/>
      <c r="AH166" s="186"/>
      <c r="AI166" s="186"/>
      <c r="AJ166" s="2697"/>
      <c r="AK166" s="2704"/>
      <c r="AL166" s="199"/>
      <c r="AM166" s="424"/>
      <c r="AO166" s="1060"/>
    </row>
    <row r="167" spans="1:41" s="66" customFormat="1" ht="15" hidden="1" customHeight="1" x14ac:dyDescent="0.2">
      <c r="A167" s="789" t="s">
        <v>624</v>
      </c>
      <c r="B167" s="2680"/>
      <c r="C167" s="2681">
        <v>0</v>
      </c>
      <c r="D167" s="186">
        <v>0</v>
      </c>
      <c r="E167" s="186">
        <v>0</v>
      </c>
      <c r="F167" s="186">
        <v>0</v>
      </c>
      <c r="G167" s="2682">
        <f>SUM(C167:F167)</f>
        <v>0</v>
      </c>
      <c r="H167" s="2681">
        <v>0</v>
      </c>
      <c r="I167" s="186">
        <v>0</v>
      </c>
      <c r="J167" s="186">
        <v>0</v>
      </c>
      <c r="K167" s="186">
        <v>0</v>
      </c>
      <c r="L167" s="2682">
        <f>SUM(H167:K167)</f>
        <v>0</v>
      </c>
      <c r="M167" s="2681">
        <f>SUM(C167,H167)</f>
        <v>0</v>
      </c>
      <c r="N167" s="186">
        <f>SUM(D167,I167)</f>
        <v>0</v>
      </c>
      <c r="O167" s="2681">
        <v>0</v>
      </c>
      <c r="P167" s="186">
        <v>0</v>
      </c>
      <c r="Q167" s="186">
        <v>0</v>
      </c>
      <c r="R167" s="186">
        <f>SUM(O167:Q167)</f>
        <v>0</v>
      </c>
      <c r="S167" s="186">
        <f>SUM(E167,J167)</f>
        <v>0</v>
      </c>
      <c r="T167" s="186">
        <f>SUM(F167,K167)</f>
        <v>0</v>
      </c>
      <c r="U167" s="2697">
        <f>SUM(M167:N167,R167:T167)</f>
        <v>0</v>
      </c>
      <c r="V167" s="2681">
        <v>0</v>
      </c>
      <c r="W167" s="186">
        <v>0</v>
      </c>
      <c r="X167" s="186">
        <v>0</v>
      </c>
      <c r="Y167" s="186">
        <v>0</v>
      </c>
      <c r="Z167" s="2682">
        <f>SUM(V167:Y167)</f>
        <v>0</v>
      </c>
      <c r="AA167" s="2681">
        <v>0</v>
      </c>
      <c r="AB167" s="186">
        <v>0</v>
      </c>
      <c r="AC167" s="186">
        <v>0</v>
      </c>
      <c r="AD167" s="186">
        <v>0</v>
      </c>
      <c r="AE167" s="2682">
        <f>SUM(AA167:AD167)</f>
        <v>0</v>
      </c>
      <c r="AF167" s="2681">
        <f>SUM(V167,AA167)</f>
        <v>0</v>
      </c>
      <c r="AG167" s="186">
        <f>SUM(W167,AB167)</f>
        <v>0</v>
      </c>
      <c r="AH167" s="186">
        <f>SUM(X167,AC167)</f>
        <v>0</v>
      </c>
      <c r="AI167" s="186">
        <f>SUM(Y167,AD167)</f>
        <v>0</v>
      </c>
      <c r="AJ167" s="2697">
        <f>SUM(AF167:AI167)</f>
        <v>0</v>
      </c>
      <c r="AK167" s="2704">
        <f>+U167-AJ167</f>
        <v>0</v>
      </c>
      <c r="AL167" s="199"/>
      <c r="AM167" s="424">
        <v>0</v>
      </c>
      <c r="AO167" s="1060"/>
    </row>
    <row r="168" spans="1:41" s="66" customFormat="1" ht="15" hidden="1" customHeight="1" x14ac:dyDescent="0.2">
      <c r="A168" s="789"/>
      <c r="B168" s="2680"/>
      <c r="C168" s="2681"/>
      <c r="D168" s="186"/>
      <c r="E168" s="186"/>
      <c r="F168" s="186"/>
      <c r="G168" s="2682"/>
      <c r="H168" s="2681"/>
      <c r="I168" s="186"/>
      <c r="J168" s="186"/>
      <c r="K168" s="186"/>
      <c r="L168" s="2682"/>
      <c r="M168" s="2681"/>
      <c r="N168" s="186"/>
      <c r="O168" s="2681"/>
      <c r="P168" s="186"/>
      <c r="Q168" s="186"/>
      <c r="R168" s="186"/>
      <c r="S168" s="186"/>
      <c r="T168" s="186"/>
      <c r="U168" s="2697"/>
      <c r="V168" s="2681"/>
      <c r="W168" s="186"/>
      <c r="X168" s="186"/>
      <c r="Y168" s="186"/>
      <c r="Z168" s="2682"/>
      <c r="AA168" s="2681"/>
      <c r="AB168" s="186"/>
      <c r="AC168" s="186"/>
      <c r="AD168" s="186"/>
      <c r="AE168" s="2682"/>
      <c r="AF168" s="2681"/>
      <c r="AG168" s="186"/>
      <c r="AH168" s="186"/>
      <c r="AI168" s="186"/>
      <c r="AJ168" s="2697"/>
      <c r="AK168" s="2704"/>
      <c r="AL168" s="199"/>
      <c r="AM168" s="424"/>
      <c r="AO168" s="1060"/>
    </row>
    <row r="169" spans="1:41" s="66" customFormat="1" ht="15" hidden="1" customHeight="1" x14ac:dyDescent="0.25">
      <c r="A169" s="789"/>
      <c r="B169" s="2680"/>
      <c r="C169" s="2683">
        <f t="shared" ref="C169:L169" si="143">SUM(C167:C168)</f>
        <v>0</v>
      </c>
      <c r="D169" s="687">
        <f t="shared" si="143"/>
        <v>0</v>
      </c>
      <c r="E169" s="687">
        <f t="shared" si="143"/>
        <v>0</v>
      </c>
      <c r="F169" s="687">
        <f t="shared" si="143"/>
        <v>0</v>
      </c>
      <c r="G169" s="2684">
        <f t="shared" si="143"/>
        <v>0</v>
      </c>
      <c r="H169" s="2683">
        <f t="shared" si="143"/>
        <v>0</v>
      </c>
      <c r="I169" s="687">
        <f t="shared" si="143"/>
        <v>0</v>
      </c>
      <c r="J169" s="687">
        <f t="shared" si="143"/>
        <v>0</v>
      </c>
      <c r="K169" s="687">
        <f t="shared" si="143"/>
        <v>0</v>
      </c>
      <c r="L169" s="2684">
        <f t="shared" si="143"/>
        <v>0</v>
      </c>
      <c r="M169" s="2683">
        <f t="shared" ref="M169:Z169" si="144">SUM(M167:M168)</f>
        <v>0</v>
      </c>
      <c r="N169" s="687">
        <f t="shared" si="144"/>
        <v>0</v>
      </c>
      <c r="O169" s="2683">
        <f>SUM(O167:O168)</f>
        <v>0</v>
      </c>
      <c r="P169" s="687">
        <f>SUM(P167:P168)</f>
        <v>0</v>
      </c>
      <c r="Q169" s="687">
        <f>SUM(Q167:Q168)</f>
        <v>0</v>
      </c>
      <c r="R169" s="687">
        <f>SUM(R167:R168)</f>
        <v>0</v>
      </c>
      <c r="S169" s="687">
        <f t="shared" si="144"/>
        <v>0</v>
      </c>
      <c r="T169" s="687">
        <f t="shared" si="144"/>
        <v>0</v>
      </c>
      <c r="U169" s="2698">
        <f t="shared" si="144"/>
        <v>0</v>
      </c>
      <c r="V169" s="2683">
        <f t="shared" si="144"/>
        <v>0</v>
      </c>
      <c r="W169" s="687">
        <f t="shared" si="144"/>
        <v>0</v>
      </c>
      <c r="X169" s="687">
        <f t="shared" si="144"/>
        <v>0</v>
      </c>
      <c r="Y169" s="687">
        <f t="shared" si="144"/>
        <v>0</v>
      </c>
      <c r="Z169" s="2684">
        <f t="shared" si="144"/>
        <v>0</v>
      </c>
      <c r="AA169" s="2683">
        <f t="shared" ref="AA169:AK169" si="145">SUM(AA167:AA168)</f>
        <v>0</v>
      </c>
      <c r="AB169" s="687">
        <f t="shared" si="145"/>
        <v>0</v>
      </c>
      <c r="AC169" s="687">
        <f t="shared" si="145"/>
        <v>0</v>
      </c>
      <c r="AD169" s="687">
        <f t="shared" si="145"/>
        <v>0</v>
      </c>
      <c r="AE169" s="2684">
        <f t="shared" si="145"/>
        <v>0</v>
      </c>
      <c r="AF169" s="2683">
        <f t="shared" si="145"/>
        <v>0</v>
      </c>
      <c r="AG169" s="687">
        <f t="shared" si="145"/>
        <v>0</v>
      </c>
      <c r="AH169" s="687">
        <f t="shared" si="145"/>
        <v>0</v>
      </c>
      <c r="AI169" s="687">
        <f t="shared" si="145"/>
        <v>0</v>
      </c>
      <c r="AJ169" s="2698">
        <f t="shared" si="145"/>
        <v>0</v>
      </c>
      <c r="AK169" s="2705">
        <f t="shared" si="145"/>
        <v>0</v>
      </c>
      <c r="AL169" s="251"/>
      <c r="AM169" s="430">
        <f>SUM(AM167:AM168)</f>
        <v>0</v>
      </c>
      <c r="AO169" s="1060"/>
    </row>
    <row r="170" spans="1:41" s="66" customFormat="1" ht="15" hidden="1" customHeight="1" x14ac:dyDescent="0.2">
      <c r="A170" s="789"/>
      <c r="B170" s="2680"/>
      <c r="C170" s="2685">
        <v>0</v>
      </c>
      <c r="D170" s="688">
        <v>0</v>
      </c>
      <c r="E170" s="688">
        <v>0</v>
      </c>
      <c r="F170" s="688">
        <v>0</v>
      </c>
      <c r="G170" s="2686">
        <v>0</v>
      </c>
      <c r="H170" s="2685">
        <v>0</v>
      </c>
      <c r="I170" s="688">
        <v>0</v>
      </c>
      <c r="J170" s="688">
        <v>0</v>
      </c>
      <c r="K170" s="688">
        <v>0</v>
      </c>
      <c r="L170" s="2686">
        <v>0</v>
      </c>
      <c r="M170" s="2681"/>
      <c r="N170" s="186"/>
      <c r="O170" s="2685">
        <v>0</v>
      </c>
      <c r="P170" s="688">
        <v>0</v>
      </c>
      <c r="Q170" s="688">
        <v>0</v>
      </c>
      <c r="R170" s="688">
        <v>0</v>
      </c>
      <c r="S170" s="186"/>
      <c r="T170" s="186"/>
      <c r="U170" s="2699"/>
      <c r="V170" s="2685">
        <v>0</v>
      </c>
      <c r="W170" s="688">
        <v>0</v>
      </c>
      <c r="X170" s="688">
        <v>0</v>
      </c>
      <c r="Y170" s="688">
        <v>0</v>
      </c>
      <c r="Z170" s="2686">
        <v>0</v>
      </c>
      <c r="AA170" s="2685">
        <v>0</v>
      </c>
      <c r="AB170" s="688">
        <v>0</v>
      </c>
      <c r="AC170" s="688">
        <v>0</v>
      </c>
      <c r="AD170" s="688">
        <v>0</v>
      </c>
      <c r="AE170" s="2686">
        <v>0</v>
      </c>
      <c r="AF170" s="2681"/>
      <c r="AG170" s="186"/>
      <c r="AH170" s="186"/>
      <c r="AI170" s="186"/>
      <c r="AJ170" s="2697"/>
      <c r="AK170" s="2704"/>
      <c r="AL170" s="199"/>
      <c r="AM170" s="424"/>
      <c r="AO170" s="1060"/>
    </row>
    <row r="171" spans="1:41" s="66" customFormat="1" ht="15" customHeight="1" x14ac:dyDescent="0.25">
      <c r="A171" s="2676" t="s">
        <v>437</v>
      </c>
      <c r="B171" s="2677"/>
      <c r="C171" s="2681"/>
      <c r="D171" s="186"/>
      <c r="E171" s="186"/>
      <c r="F171" s="186"/>
      <c r="G171" s="2682"/>
      <c r="H171" s="2681"/>
      <c r="I171" s="186"/>
      <c r="J171" s="186"/>
      <c r="K171" s="186"/>
      <c r="L171" s="2682"/>
      <c r="M171" s="2681"/>
      <c r="N171" s="186"/>
      <c r="O171" s="2681"/>
      <c r="P171" s="186"/>
      <c r="Q171" s="186"/>
      <c r="R171" s="186"/>
      <c r="S171" s="186"/>
      <c r="T171" s="186"/>
      <c r="U171" s="2697"/>
      <c r="V171" s="2681"/>
      <c r="W171" s="186"/>
      <c r="X171" s="186"/>
      <c r="Y171" s="186"/>
      <c r="Z171" s="2682"/>
      <c r="AA171" s="2681"/>
      <c r="AB171" s="186"/>
      <c r="AC171" s="186"/>
      <c r="AD171" s="186"/>
      <c r="AE171" s="2682"/>
      <c r="AF171" s="2681"/>
      <c r="AG171" s="186"/>
      <c r="AH171" s="186"/>
      <c r="AI171" s="186"/>
      <c r="AJ171" s="2697"/>
      <c r="AK171" s="2704"/>
      <c r="AL171" s="199"/>
      <c r="AM171" s="424"/>
      <c r="AO171" s="1060"/>
    </row>
    <row r="172" spans="1:41" s="66" customFormat="1" ht="15" customHeight="1" x14ac:dyDescent="0.2">
      <c r="A172" s="789" t="s">
        <v>7774</v>
      </c>
      <c r="B172" s="2680"/>
      <c r="C172" s="2681">
        <v>0</v>
      </c>
      <c r="D172" s="186">
        <v>0</v>
      </c>
      <c r="E172" s="186">
        <v>0</v>
      </c>
      <c r="F172" s="186">
        <v>0</v>
      </c>
      <c r="G172" s="2682">
        <f>SUM(C172:F172)</f>
        <v>0</v>
      </c>
      <c r="H172" s="2681">
        <v>0</v>
      </c>
      <c r="I172" s="186">
        <v>0</v>
      </c>
      <c r="J172" s="186">
        <v>0</v>
      </c>
      <c r="K172" s="186">
        <v>0</v>
      </c>
      <c r="L172" s="2682">
        <f>SUM(H172:K172)</f>
        <v>0</v>
      </c>
      <c r="M172" s="2681">
        <f>SUM(C172,H172)</f>
        <v>0</v>
      </c>
      <c r="N172" s="186">
        <f>SUM(D172,I172)</f>
        <v>0</v>
      </c>
      <c r="O172" s="2681">
        <v>0</v>
      </c>
      <c r="P172" s="186">
        <v>0</v>
      </c>
      <c r="Q172" s="186">
        <v>0</v>
      </c>
      <c r="R172" s="186">
        <f>SUM(O172:Q172)</f>
        <v>0</v>
      </c>
      <c r="S172" s="186">
        <f>SUM(E172,J172)</f>
        <v>0</v>
      </c>
      <c r="T172" s="186">
        <f>SUM(F172,K172)</f>
        <v>0</v>
      </c>
      <c r="U172" s="2697">
        <f>SUM(M172:N172,R172:T172)</f>
        <v>0</v>
      </c>
      <c r="V172" s="2681">
        <v>0</v>
      </c>
      <c r="W172" s="186">
        <v>0</v>
      </c>
      <c r="X172" s="186">
        <v>0</v>
      </c>
      <c r="Y172" s="186">
        <v>0</v>
      </c>
      <c r="Z172" s="2682">
        <f>SUM(V172:Y172)</f>
        <v>0</v>
      </c>
      <c r="AA172" s="2681">
        <v>0</v>
      </c>
      <c r="AB172" s="186">
        <v>0</v>
      </c>
      <c r="AC172" s="186">
        <v>0</v>
      </c>
      <c r="AD172" s="186">
        <v>0</v>
      </c>
      <c r="AE172" s="2682">
        <f>SUM(AA172:AD172)</f>
        <v>0</v>
      </c>
      <c r="AF172" s="2681">
        <f>SUM(V172,AA172)</f>
        <v>0</v>
      </c>
      <c r="AG172" s="186">
        <f>SUM(W172,AB172)</f>
        <v>0</v>
      </c>
      <c r="AH172" s="186">
        <f>SUM(X172,AC172)</f>
        <v>0</v>
      </c>
      <c r="AI172" s="186">
        <f>SUM(Y172,AD172)</f>
        <v>0</v>
      </c>
      <c r="AJ172" s="2697">
        <f>SUM(AF172:AI172)</f>
        <v>0</v>
      </c>
      <c r="AK172" s="2704">
        <f>+U172-AJ172</f>
        <v>0</v>
      </c>
      <c r="AL172" s="199"/>
      <c r="AM172" s="424">
        <v>0</v>
      </c>
      <c r="AO172" s="1060"/>
    </row>
    <row r="173" spans="1:41" s="66" customFormat="1" ht="15" customHeight="1" x14ac:dyDescent="0.2">
      <c r="A173" s="789"/>
      <c r="B173" s="2680"/>
      <c r="C173" s="2681"/>
      <c r="D173" s="186"/>
      <c r="E173" s="186"/>
      <c r="F173" s="186"/>
      <c r="G173" s="2682"/>
      <c r="H173" s="2681"/>
      <c r="I173" s="186"/>
      <c r="J173" s="186"/>
      <c r="K173" s="186"/>
      <c r="L173" s="2682"/>
      <c r="M173" s="2681"/>
      <c r="N173" s="186"/>
      <c r="O173" s="2681"/>
      <c r="P173" s="186"/>
      <c r="Q173" s="186"/>
      <c r="R173" s="186"/>
      <c r="S173" s="186"/>
      <c r="T173" s="186"/>
      <c r="U173" s="2697"/>
      <c r="V173" s="2681"/>
      <c r="W173" s="186"/>
      <c r="X173" s="186"/>
      <c r="Y173" s="186"/>
      <c r="Z173" s="2682"/>
      <c r="AA173" s="2681"/>
      <c r="AB173" s="186"/>
      <c r="AC173" s="186"/>
      <c r="AD173" s="186"/>
      <c r="AE173" s="2682"/>
      <c r="AF173" s="2681"/>
      <c r="AG173" s="186"/>
      <c r="AH173" s="186"/>
      <c r="AI173" s="186"/>
      <c r="AJ173" s="2697"/>
      <c r="AK173" s="2704"/>
      <c r="AL173" s="199"/>
      <c r="AM173" s="424"/>
      <c r="AO173" s="1060"/>
    </row>
    <row r="174" spans="1:41" s="66" customFormat="1" ht="15" customHeight="1" x14ac:dyDescent="0.25">
      <c r="A174" s="789"/>
      <c r="B174" s="2680"/>
      <c r="C174" s="2683">
        <f t="shared" ref="C174:L174" si="146">SUM(C172:C173)</f>
        <v>0</v>
      </c>
      <c r="D174" s="687">
        <f t="shared" si="146"/>
        <v>0</v>
      </c>
      <c r="E174" s="687">
        <f t="shared" si="146"/>
        <v>0</v>
      </c>
      <c r="F174" s="687">
        <f t="shared" si="146"/>
        <v>0</v>
      </c>
      <c r="G174" s="2684">
        <f t="shared" si="146"/>
        <v>0</v>
      </c>
      <c r="H174" s="2683">
        <f t="shared" si="146"/>
        <v>0</v>
      </c>
      <c r="I174" s="687">
        <f t="shared" si="146"/>
        <v>0</v>
      </c>
      <c r="J174" s="687">
        <f t="shared" si="146"/>
        <v>0</v>
      </c>
      <c r="K174" s="687">
        <f t="shared" si="146"/>
        <v>0</v>
      </c>
      <c r="L174" s="2684">
        <f t="shared" si="146"/>
        <v>0</v>
      </c>
      <c r="M174" s="2683">
        <f>SUM(M172:M173)</f>
        <v>0</v>
      </c>
      <c r="N174" s="687">
        <f t="shared" ref="N174:Z174" si="147">SUM(N172:N173)</f>
        <v>0</v>
      </c>
      <c r="O174" s="2683">
        <f>SUM(O172:O173)</f>
        <v>0</v>
      </c>
      <c r="P174" s="687">
        <f>SUM(P172:P173)</f>
        <v>0</v>
      </c>
      <c r="Q174" s="687">
        <f>SUM(Q172:Q173)</f>
        <v>0</v>
      </c>
      <c r="R174" s="687">
        <f>SUM(R172:R173)</f>
        <v>0</v>
      </c>
      <c r="S174" s="687">
        <f t="shared" si="147"/>
        <v>0</v>
      </c>
      <c r="T174" s="687">
        <f t="shared" si="147"/>
        <v>0</v>
      </c>
      <c r="U174" s="2698">
        <f t="shared" si="147"/>
        <v>0</v>
      </c>
      <c r="V174" s="2683">
        <f t="shared" si="147"/>
        <v>0</v>
      </c>
      <c r="W174" s="687">
        <f t="shared" si="147"/>
        <v>0</v>
      </c>
      <c r="X174" s="687">
        <f t="shared" si="147"/>
        <v>0</v>
      </c>
      <c r="Y174" s="687">
        <f t="shared" si="147"/>
        <v>0</v>
      </c>
      <c r="Z174" s="2684">
        <f t="shared" si="147"/>
        <v>0</v>
      </c>
      <c r="AA174" s="2683">
        <f t="shared" ref="AA174:AK174" si="148">SUM(AA172:AA173)</f>
        <v>0</v>
      </c>
      <c r="AB174" s="687">
        <f t="shared" si="148"/>
        <v>0</v>
      </c>
      <c r="AC174" s="687">
        <f t="shared" si="148"/>
        <v>0</v>
      </c>
      <c r="AD174" s="687">
        <f t="shared" si="148"/>
        <v>0</v>
      </c>
      <c r="AE174" s="2684">
        <f t="shared" si="148"/>
        <v>0</v>
      </c>
      <c r="AF174" s="2683">
        <f t="shared" si="148"/>
        <v>0</v>
      </c>
      <c r="AG174" s="687">
        <f t="shared" si="148"/>
        <v>0</v>
      </c>
      <c r="AH174" s="687">
        <f t="shared" si="148"/>
        <v>0</v>
      </c>
      <c r="AI174" s="687">
        <f t="shared" si="148"/>
        <v>0</v>
      </c>
      <c r="AJ174" s="2698">
        <f t="shared" si="148"/>
        <v>0</v>
      </c>
      <c r="AK174" s="2705">
        <f t="shared" si="148"/>
        <v>0</v>
      </c>
      <c r="AL174" s="251"/>
      <c r="AM174" s="430">
        <f>SUM(AM172:AM173)</f>
        <v>0</v>
      </c>
      <c r="AO174" s="1060"/>
    </row>
    <row r="175" spans="1:41" s="66" customFormat="1" ht="15" customHeight="1" x14ac:dyDescent="0.2">
      <c r="A175" s="789"/>
      <c r="B175" s="2680"/>
      <c r="C175" s="2685">
        <v>0</v>
      </c>
      <c r="D175" s="688">
        <v>0</v>
      </c>
      <c r="E175" s="688">
        <v>0</v>
      </c>
      <c r="F175" s="688">
        <v>0</v>
      </c>
      <c r="G175" s="2686">
        <v>0</v>
      </c>
      <c r="H175" s="2685">
        <v>0</v>
      </c>
      <c r="I175" s="688">
        <v>0</v>
      </c>
      <c r="J175" s="688">
        <v>0</v>
      </c>
      <c r="K175" s="688">
        <v>0</v>
      </c>
      <c r="L175" s="2686">
        <v>0</v>
      </c>
      <c r="M175" s="2681"/>
      <c r="N175" s="186"/>
      <c r="O175" s="2685">
        <v>0</v>
      </c>
      <c r="P175" s="688">
        <v>0</v>
      </c>
      <c r="Q175" s="688">
        <v>0</v>
      </c>
      <c r="R175" s="688">
        <v>0</v>
      </c>
      <c r="S175" s="186"/>
      <c r="T175" s="186"/>
      <c r="U175" s="2699"/>
      <c r="V175" s="2685">
        <v>0</v>
      </c>
      <c r="W175" s="688">
        <v>0</v>
      </c>
      <c r="X175" s="688">
        <v>0</v>
      </c>
      <c r="Y175" s="688">
        <v>0</v>
      </c>
      <c r="Z175" s="2686">
        <v>0</v>
      </c>
      <c r="AA175" s="2685">
        <v>0</v>
      </c>
      <c r="AB175" s="688">
        <v>0</v>
      </c>
      <c r="AC175" s="688">
        <v>0</v>
      </c>
      <c r="AD175" s="688">
        <v>0</v>
      </c>
      <c r="AE175" s="2686">
        <v>0</v>
      </c>
      <c r="AF175" s="2681"/>
      <c r="AG175" s="186"/>
      <c r="AH175" s="186"/>
      <c r="AI175" s="186"/>
      <c r="AJ175" s="2697"/>
      <c r="AK175" s="2704"/>
      <c r="AL175" s="199"/>
      <c r="AM175" s="424"/>
      <c r="AO175" s="1060"/>
    </row>
    <row r="176" spans="1:41" s="66" customFormat="1" ht="15" customHeight="1" x14ac:dyDescent="0.25">
      <c r="A176" s="2676" t="s">
        <v>199</v>
      </c>
      <c r="B176" s="2677"/>
      <c r="C176" s="2681"/>
      <c r="D176" s="186"/>
      <c r="E176" s="186"/>
      <c r="F176" s="186"/>
      <c r="G176" s="2682"/>
      <c r="H176" s="2681"/>
      <c r="I176" s="186"/>
      <c r="J176" s="186"/>
      <c r="K176" s="186"/>
      <c r="L176" s="2682"/>
      <c r="M176" s="2681"/>
      <c r="N176" s="186"/>
      <c r="O176" s="2681"/>
      <c r="P176" s="186"/>
      <c r="Q176" s="186"/>
      <c r="R176" s="186"/>
      <c r="S176" s="186"/>
      <c r="T176" s="186"/>
      <c r="U176" s="2697"/>
      <c r="V176" s="2681"/>
      <c r="W176" s="186"/>
      <c r="X176" s="186"/>
      <c r="Y176" s="186"/>
      <c r="Z176" s="2682"/>
      <c r="AA176" s="2681"/>
      <c r="AB176" s="186"/>
      <c r="AC176" s="186"/>
      <c r="AD176" s="186"/>
      <c r="AE176" s="2682"/>
      <c r="AF176" s="2681"/>
      <c r="AG176" s="186"/>
      <c r="AH176" s="186"/>
      <c r="AI176" s="186"/>
      <c r="AJ176" s="2697"/>
      <c r="AK176" s="2704"/>
      <c r="AL176" s="199"/>
      <c r="AM176" s="424"/>
      <c r="AO176" s="1060"/>
    </row>
    <row r="177" spans="1:41" s="66" customFormat="1" ht="15" hidden="1" customHeight="1" x14ac:dyDescent="0.2">
      <c r="A177" s="2689" t="s">
        <v>558</v>
      </c>
      <c r="B177" s="2690"/>
      <c r="C177" s="2687"/>
      <c r="D177" s="689"/>
      <c r="E177" s="689"/>
      <c r="F177" s="689"/>
      <c r="G177" s="2688"/>
      <c r="H177" s="2687"/>
      <c r="I177" s="689"/>
      <c r="J177" s="689"/>
      <c r="K177" s="689"/>
      <c r="L177" s="2688"/>
      <c r="M177" s="2687"/>
      <c r="N177" s="689"/>
      <c r="O177" s="2687"/>
      <c r="P177" s="689"/>
      <c r="Q177" s="689"/>
      <c r="R177" s="689"/>
      <c r="S177" s="689"/>
      <c r="T177" s="689"/>
      <c r="U177" s="2700"/>
      <c r="V177" s="2687"/>
      <c r="W177" s="689"/>
      <c r="X177" s="689"/>
      <c r="Y177" s="689"/>
      <c r="Z177" s="2688"/>
      <c r="AA177" s="2687"/>
      <c r="AB177" s="689"/>
      <c r="AC177" s="689"/>
      <c r="AD177" s="689"/>
      <c r="AE177" s="2688"/>
      <c r="AF177" s="2687"/>
      <c r="AG177" s="689"/>
      <c r="AH177" s="689"/>
      <c r="AI177" s="689"/>
      <c r="AJ177" s="2700"/>
      <c r="AK177" s="2706"/>
      <c r="AL177" s="57"/>
      <c r="AM177" s="439"/>
      <c r="AO177" s="1060"/>
    </row>
    <row r="178" spans="1:41" s="66" customFormat="1" ht="15" hidden="1" customHeight="1" x14ac:dyDescent="0.2">
      <c r="A178" s="789" t="s">
        <v>557</v>
      </c>
      <c r="B178" s="2680"/>
      <c r="C178" s="2681">
        <v>0</v>
      </c>
      <c r="D178" s="186">
        <v>0</v>
      </c>
      <c r="E178" s="186">
        <v>0</v>
      </c>
      <c r="F178" s="186">
        <v>0</v>
      </c>
      <c r="G178" s="2682">
        <f>SUM(C178:F178)</f>
        <v>0</v>
      </c>
      <c r="H178" s="2681">
        <v>0</v>
      </c>
      <c r="I178" s="186">
        <v>0</v>
      </c>
      <c r="J178" s="186">
        <v>0</v>
      </c>
      <c r="K178" s="186">
        <v>0</v>
      </c>
      <c r="L178" s="2682">
        <f>SUM(H178:K178)</f>
        <v>0</v>
      </c>
      <c r="M178" s="2681">
        <f>SUM(C178,H178)</f>
        <v>0</v>
      </c>
      <c r="N178" s="186">
        <f>SUM(D178,I178)</f>
        <v>0</v>
      </c>
      <c r="O178" s="2681">
        <v>0</v>
      </c>
      <c r="P178" s="186">
        <v>0</v>
      </c>
      <c r="Q178" s="186">
        <v>0</v>
      </c>
      <c r="R178" s="186">
        <f>SUM(O178:Q178)</f>
        <v>0</v>
      </c>
      <c r="S178" s="186">
        <f>SUM(E178,J178)</f>
        <v>0</v>
      </c>
      <c r="T178" s="186">
        <f>SUM(F178,K178)</f>
        <v>0</v>
      </c>
      <c r="U178" s="2697">
        <f>SUM(M178:N178,R178:T178)</f>
        <v>0</v>
      </c>
      <c r="V178" s="2681">
        <v>0</v>
      </c>
      <c r="W178" s="186">
        <v>0</v>
      </c>
      <c r="X178" s="186">
        <v>0</v>
      </c>
      <c r="Y178" s="186">
        <v>0</v>
      </c>
      <c r="Z178" s="2682">
        <f>SUM(V178:Y178)</f>
        <v>0</v>
      </c>
      <c r="AA178" s="2681">
        <v>0</v>
      </c>
      <c r="AB178" s="186">
        <v>0</v>
      </c>
      <c r="AC178" s="186">
        <v>0</v>
      </c>
      <c r="AD178" s="186">
        <v>0</v>
      </c>
      <c r="AE178" s="2682">
        <f>SUM(AA178:AD178)</f>
        <v>0</v>
      </c>
      <c r="AF178" s="2681">
        <f>SUM(V178,AA178)</f>
        <v>0</v>
      </c>
      <c r="AG178" s="186">
        <f>SUM(W178,AB178)</f>
        <v>0</v>
      </c>
      <c r="AH178" s="186">
        <f>SUM(X178,AC178)</f>
        <v>0</v>
      </c>
      <c r="AI178" s="186">
        <f>SUM(Y178,AD178)</f>
        <v>0</v>
      </c>
      <c r="AJ178" s="2697">
        <f>SUM(AF178:AI178)</f>
        <v>0</v>
      </c>
      <c r="AK178" s="2704">
        <f>+U178-AJ178</f>
        <v>0</v>
      </c>
      <c r="AL178" s="199"/>
      <c r="AM178" s="424">
        <v>0</v>
      </c>
      <c r="AO178" s="1060"/>
    </row>
    <row r="179" spans="1:41" s="66" customFormat="1" ht="15" hidden="1" customHeight="1" x14ac:dyDescent="0.2">
      <c r="A179" s="789"/>
      <c r="B179" s="2680"/>
      <c r="C179" s="2681"/>
      <c r="D179" s="186"/>
      <c r="E179" s="186"/>
      <c r="F179" s="186"/>
      <c r="G179" s="2682"/>
      <c r="H179" s="2681"/>
      <c r="I179" s="186"/>
      <c r="J179" s="186"/>
      <c r="K179" s="186"/>
      <c r="L179" s="2682"/>
      <c r="M179" s="2681"/>
      <c r="N179" s="186"/>
      <c r="O179" s="2681"/>
      <c r="P179" s="186"/>
      <c r="Q179" s="186"/>
      <c r="R179" s="186"/>
      <c r="S179" s="186"/>
      <c r="T179" s="186"/>
      <c r="U179" s="2697"/>
      <c r="V179" s="2681"/>
      <c r="W179" s="186"/>
      <c r="X179" s="186"/>
      <c r="Y179" s="186"/>
      <c r="Z179" s="2682"/>
      <c r="AA179" s="2681"/>
      <c r="AB179" s="186"/>
      <c r="AC179" s="186"/>
      <c r="AD179" s="186"/>
      <c r="AE179" s="2682"/>
      <c r="AF179" s="2681"/>
      <c r="AG179" s="186"/>
      <c r="AH179" s="186"/>
      <c r="AI179" s="186"/>
      <c r="AJ179" s="2697"/>
      <c r="AK179" s="2704"/>
      <c r="AL179" s="199"/>
      <c r="AM179" s="424"/>
      <c r="AO179" s="1060"/>
    </row>
    <row r="180" spans="1:41" s="2669" customFormat="1" ht="15" customHeight="1" x14ac:dyDescent="0.2">
      <c r="A180" s="2689" t="s">
        <v>559</v>
      </c>
      <c r="B180" s="2690"/>
      <c r="C180" s="2687"/>
      <c r="D180" s="689"/>
      <c r="E180" s="689"/>
      <c r="F180" s="689"/>
      <c r="G180" s="2688"/>
      <c r="H180" s="2687"/>
      <c r="I180" s="689"/>
      <c r="J180" s="689"/>
      <c r="K180" s="689"/>
      <c r="L180" s="2688"/>
      <c r="M180" s="2687"/>
      <c r="N180" s="689"/>
      <c r="O180" s="2687"/>
      <c r="P180" s="689"/>
      <c r="Q180" s="689"/>
      <c r="R180" s="689"/>
      <c r="S180" s="689"/>
      <c r="T180" s="689"/>
      <c r="U180" s="2700"/>
      <c r="V180" s="2687"/>
      <c r="W180" s="689"/>
      <c r="X180" s="689"/>
      <c r="Y180" s="689"/>
      <c r="Z180" s="2688"/>
      <c r="AA180" s="2687"/>
      <c r="AB180" s="689"/>
      <c r="AC180" s="689"/>
      <c r="AD180" s="689"/>
      <c r="AE180" s="2688"/>
      <c r="AF180" s="2687"/>
      <c r="AG180" s="689"/>
      <c r="AH180" s="689"/>
      <c r="AI180" s="689"/>
      <c r="AJ180" s="2700"/>
      <c r="AK180" s="2706"/>
      <c r="AL180" s="57"/>
      <c r="AM180" s="2670"/>
      <c r="AO180" s="2667"/>
    </row>
    <row r="181" spans="1:41" s="2669" customFormat="1" ht="15" customHeight="1" x14ac:dyDescent="0.2">
      <c r="A181" s="789" t="s">
        <v>7775</v>
      </c>
      <c r="B181" s="2680"/>
      <c r="C181" s="2681">
        <v>0</v>
      </c>
      <c r="D181" s="186">
        <v>0</v>
      </c>
      <c r="E181" s="186">
        <v>0</v>
      </c>
      <c r="F181" s="186">
        <v>0</v>
      </c>
      <c r="G181" s="2682">
        <f>SUM(C181:F181)</f>
        <v>0</v>
      </c>
      <c r="H181" s="2681">
        <v>0</v>
      </c>
      <c r="I181" s="186">
        <v>0</v>
      </c>
      <c r="J181" s="186">
        <v>0</v>
      </c>
      <c r="K181" s="186">
        <v>0</v>
      </c>
      <c r="L181" s="2682">
        <f>SUM(H181:K181)</f>
        <v>0</v>
      </c>
      <c r="M181" s="2681">
        <v>81260</v>
      </c>
      <c r="N181" s="186">
        <f t="shared" ref="M181:N183" si="149">SUM(D181,I181)</f>
        <v>0</v>
      </c>
      <c r="O181" s="2681">
        <v>0</v>
      </c>
      <c r="P181" s="186">
        <v>0</v>
      </c>
      <c r="Q181" s="186">
        <v>0</v>
      </c>
      <c r="R181" s="186">
        <f>SUM(O181:Q181)</f>
        <v>0</v>
      </c>
      <c r="S181" s="186">
        <f t="shared" ref="S181:T183" si="150">SUM(E181,J181)</f>
        <v>0</v>
      </c>
      <c r="T181" s="186">
        <f t="shared" si="150"/>
        <v>0</v>
      </c>
      <c r="U181" s="2697">
        <f>SUM(M181:N181,R181:T181)</f>
        <v>81260</v>
      </c>
      <c r="V181" s="2681">
        <v>0</v>
      </c>
      <c r="W181" s="186">
        <v>0</v>
      </c>
      <c r="X181" s="186">
        <v>0</v>
      </c>
      <c r="Y181" s="186">
        <v>0</v>
      </c>
      <c r="Z181" s="2682">
        <f>SUM(V181:Y181)</f>
        <v>0</v>
      </c>
      <c r="AA181" s="2681">
        <v>0</v>
      </c>
      <c r="AB181" s="186">
        <v>0</v>
      </c>
      <c r="AC181" s="186">
        <v>0</v>
      </c>
      <c r="AD181" s="186">
        <v>0</v>
      </c>
      <c r="AE181" s="2682">
        <f>SUM(AA181:AD181)</f>
        <v>0</v>
      </c>
      <c r="AF181" s="2681">
        <v>20112</v>
      </c>
      <c r="AG181" s="186">
        <v>14627</v>
      </c>
      <c r="AH181" s="186">
        <f t="shared" ref="AF181:AI183" si="151">SUM(X181,AC181)</f>
        <v>0</v>
      </c>
      <c r="AI181" s="186">
        <f t="shared" si="151"/>
        <v>0</v>
      </c>
      <c r="AJ181" s="2697">
        <f>SUM(AF181:AI181)</f>
        <v>34739</v>
      </c>
      <c r="AK181" s="2704">
        <f>+U181-AJ181</f>
        <v>46521</v>
      </c>
      <c r="AL181" s="199"/>
      <c r="AM181" s="2668">
        <v>0</v>
      </c>
      <c r="AO181" s="2667"/>
    </row>
    <row r="182" spans="1:41" s="2669" customFormat="1" ht="15" customHeight="1" x14ac:dyDescent="0.2">
      <c r="A182" s="789" t="s">
        <v>7776</v>
      </c>
      <c r="B182" s="2680">
        <v>36002</v>
      </c>
      <c r="C182" s="2681"/>
      <c r="D182" s="186">
        <v>0</v>
      </c>
      <c r="E182" s="186">
        <v>0</v>
      </c>
      <c r="F182" s="186">
        <v>0</v>
      </c>
      <c r="G182" s="2682">
        <f>SUM(C182:F182)</f>
        <v>0</v>
      </c>
      <c r="H182" s="2681">
        <v>0</v>
      </c>
      <c r="I182" s="186">
        <v>0</v>
      </c>
      <c r="J182" s="186">
        <v>0</v>
      </c>
      <c r="K182" s="186">
        <v>0</v>
      </c>
      <c r="L182" s="2682">
        <f>SUM(H182:K182)</f>
        <v>0</v>
      </c>
      <c r="M182" s="2681">
        <v>19183</v>
      </c>
      <c r="N182" s="186">
        <f t="shared" si="149"/>
        <v>0</v>
      </c>
      <c r="O182" s="2681">
        <v>0</v>
      </c>
      <c r="P182" s="186">
        <v>0</v>
      </c>
      <c r="Q182" s="186">
        <v>0</v>
      </c>
      <c r="R182" s="186">
        <f>SUM(O182:Q182)</f>
        <v>0</v>
      </c>
      <c r="S182" s="186">
        <f t="shared" si="150"/>
        <v>0</v>
      </c>
      <c r="T182" s="186">
        <f t="shared" si="150"/>
        <v>0</v>
      </c>
      <c r="U182" s="2697">
        <f>SUM(M182:N182,R182:T182)</f>
        <v>19183</v>
      </c>
      <c r="V182" s="2681"/>
      <c r="W182" s="186">
        <v>0</v>
      </c>
      <c r="X182" s="186">
        <v>0</v>
      </c>
      <c r="Y182" s="186">
        <v>0</v>
      </c>
      <c r="Z182" s="2682">
        <f>SUM(V182:Y182)</f>
        <v>0</v>
      </c>
      <c r="AA182" s="2681">
        <v>0</v>
      </c>
      <c r="AB182" s="186">
        <v>0</v>
      </c>
      <c r="AC182" s="186">
        <v>0</v>
      </c>
      <c r="AD182" s="186">
        <v>0</v>
      </c>
      <c r="AE182" s="2682">
        <f>SUM(AA182:AD182)</f>
        <v>0</v>
      </c>
      <c r="AF182" s="2681">
        <v>4097</v>
      </c>
      <c r="AG182" s="186">
        <v>3849</v>
      </c>
      <c r="AH182" s="186">
        <f>SUM(X182,AC182)</f>
        <v>0</v>
      </c>
      <c r="AI182" s="186">
        <f>SUM(Y182,AD182)</f>
        <v>0</v>
      </c>
      <c r="AJ182" s="2697">
        <f>SUM(AF182:AI182)</f>
        <v>7946</v>
      </c>
      <c r="AK182" s="2704">
        <f>+U182-AJ182</f>
        <v>11237</v>
      </c>
      <c r="AL182" s="199"/>
      <c r="AM182" s="2665"/>
      <c r="AO182" s="2667"/>
    </row>
    <row r="183" spans="1:41" s="66" customFormat="1" ht="15" hidden="1" customHeight="1" x14ac:dyDescent="0.2">
      <c r="A183" s="789" t="s">
        <v>626</v>
      </c>
      <c r="B183" s="2680"/>
      <c r="C183" s="2681"/>
      <c r="D183" s="186">
        <v>0</v>
      </c>
      <c r="E183" s="186">
        <v>0</v>
      </c>
      <c r="F183" s="186">
        <v>0</v>
      </c>
      <c r="G183" s="2682">
        <f>SUM(C183:F183)</f>
        <v>0</v>
      </c>
      <c r="H183" s="2681">
        <v>0</v>
      </c>
      <c r="I183" s="186">
        <v>0</v>
      </c>
      <c r="J183" s="186">
        <v>0</v>
      </c>
      <c r="K183" s="186">
        <v>0</v>
      </c>
      <c r="L183" s="2682">
        <f>SUM(H183:K183)</f>
        <v>0</v>
      </c>
      <c r="M183" s="2681">
        <f t="shared" si="149"/>
        <v>0</v>
      </c>
      <c r="N183" s="186">
        <f t="shared" si="149"/>
        <v>0</v>
      </c>
      <c r="O183" s="2681">
        <v>0</v>
      </c>
      <c r="P183" s="186">
        <v>0</v>
      </c>
      <c r="Q183" s="186">
        <v>0</v>
      </c>
      <c r="R183" s="186">
        <f>SUM(O183:Q183)</f>
        <v>0</v>
      </c>
      <c r="S183" s="186">
        <f t="shared" si="150"/>
        <v>0</v>
      </c>
      <c r="T183" s="186">
        <f t="shared" si="150"/>
        <v>0</v>
      </c>
      <c r="U183" s="2697">
        <f>SUM(M183:N183,R183:T183)</f>
        <v>0</v>
      </c>
      <c r="V183" s="2681"/>
      <c r="W183" s="186">
        <v>0</v>
      </c>
      <c r="X183" s="186">
        <v>0</v>
      </c>
      <c r="Y183" s="186">
        <v>0</v>
      </c>
      <c r="Z183" s="2682">
        <f>SUM(V183:Y183)</f>
        <v>0</v>
      </c>
      <c r="AA183" s="2681">
        <v>0</v>
      </c>
      <c r="AB183" s="186">
        <v>0</v>
      </c>
      <c r="AC183" s="186">
        <v>0</v>
      </c>
      <c r="AD183" s="186">
        <v>0</v>
      </c>
      <c r="AE183" s="2682">
        <f>SUM(AA183:AD183)</f>
        <v>0</v>
      </c>
      <c r="AF183" s="2681">
        <f t="shared" si="151"/>
        <v>0</v>
      </c>
      <c r="AG183" s="186">
        <f t="shared" si="151"/>
        <v>0</v>
      </c>
      <c r="AH183" s="186">
        <f t="shared" si="151"/>
        <v>0</v>
      </c>
      <c r="AI183" s="186">
        <f t="shared" si="151"/>
        <v>0</v>
      </c>
      <c r="AJ183" s="2697">
        <f>SUM(AF183:AI183)</f>
        <v>0</v>
      </c>
      <c r="AK183" s="2704">
        <f>+U183-AJ183</f>
        <v>0</v>
      </c>
      <c r="AL183" s="199"/>
      <c r="AM183" s="424">
        <v>0</v>
      </c>
      <c r="AO183" s="1060"/>
    </row>
    <row r="184" spans="1:41" s="66" customFormat="1" ht="15" customHeight="1" x14ac:dyDescent="0.2">
      <c r="A184" s="789"/>
      <c r="B184" s="2680"/>
      <c r="C184" s="2681"/>
      <c r="D184" s="186"/>
      <c r="E184" s="186"/>
      <c r="F184" s="186"/>
      <c r="G184" s="2682"/>
      <c r="H184" s="2681"/>
      <c r="I184" s="186"/>
      <c r="J184" s="186"/>
      <c r="K184" s="186"/>
      <c r="L184" s="2682"/>
      <c r="M184" s="2681"/>
      <c r="N184" s="186"/>
      <c r="O184" s="2681"/>
      <c r="P184" s="186"/>
      <c r="Q184" s="186"/>
      <c r="R184" s="186"/>
      <c r="S184" s="186"/>
      <c r="T184" s="186"/>
      <c r="U184" s="2697"/>
      <c r="V184" s="2681"/>
      <c r="W184" s="186"/>
      <c r="X184" s="186"/>
      <c r="Y184" s="186"/>
      <c r="Z184" s="2682"/>
      <c r="AA184" s="2681"/>
      <c r="AB184" s="186"/>
      <c r="AC184" s="186"/>
      <c r="AD184" s="186"/>
      <c r="AE184" s="2682"/>
      <c r="AF184" s="2681"/>
      <c r="AG184" s="186"/>
      <c r="AH184" s="186"/>
      <c r="AI184" s="186"/>
      <c r="AJ184" s="2697"/>
      <c r="AK184" s="2704"/>
      <c r="AL184" s="199"/>
      <c r="AM184" s="424"/>
      <c r="AO184" s="1060"/>
    </row>
    <row r="185" spans="1:41" s="66" customFormat="1" ht="15" hidden="1" customHeight="1" x14ac:dyDescent="0.2">
      <c r="A185" s="2689" t="s">
        <v>559</v>
      </c>
      <c r="B185" s="2690"/>
      <c r="C185" s="2687"/>
      <c r="D185" s="689"/>
      <c r="E185" s="689"/>
      <c r="F185" s="689"/>
      <c r="G185" s="2688"/>
      <c r="H185" s="2687"/>
      <c r="I185" s="689"/>
      <c r="J185" s="689"/>
      <c r="K185" s="689"/>
      <c r="L185" s="2688"/>
      <c r="M185" s="2687"/>
      <c r="N185" s="689"/>
      <c r="O185" s="2687"/>
      <c r="P185" s="689"/>
      <c r="Q185" s="689"/>
      <c r="R185" s="689"/>
      <c r="S185" s="689"/>
      <c r="T185" s="689"/>
      <c r="U185" s="2700"/>
      <c r="V185" s="2687"/>
      <c r="W185" s="689"/>
      <c r="X185" s="689"/>
      <c r="Y185" s="689"/>
      <c r="Z185" s="2688"/>
      <c r="AA185" s="2687"/>
      <c r="AB185" s="689"/>
      <c r="AC185" s="689"/>
      <c r="AD185" s="689"/>
      <c r="AE185" s="2688"/>
      <c r="AF185" s="2687"/>
      <c r="AG185" s="689"/>
      <c r="AH185" s="689"/>
      <c r="AI185" s="689"/>
      <c r="AJ185" s="2700"/>
      <c r="AK185" s="2706"/>
      <c r="AL185" s="57"/>
      <c r="AM185" s="439"/>
      <c r="AO185" s="1060"/>
    </row>
    <row r="186" spans="1:41" s="66" customFormat="1" ht="15" hidden="1" customHeight="1" x14ac:dyDescent="0.2">
      <c r="A186" s="789" t="s">
        <v>560</v>
      </c>
      <c r="B186" s="2680"/>
      <c r="C186" s="2681"/>
      <c r="D186" s="186">
        <v>0</v>
      </c>
      <c r="E186" s="186">
        <v>0</v>
      </c>
      <c r="F186" s="186">
        <v>0</v>
      </c>
      <c r="G186" s="2682">
        <f>SUM(C186:F186)</f>
        <v>0</v>
      </c>
      <c r="H186" s="2681">
        <v>0</v>
      </c>
      <c r="I186" s="186">
        <v>0</v>
      </c>
      <c r="J186" s="186">
        <v>0</v>
      </c>
      <c r="K186" s="186">
        <v>0</v>
      </c>
      <c r="L186" s="2682">
        <f>SUM(H186:K186)</f>
        <v>0</v>
      </c>
      <c r="M186" s="2681">
        <f t="shared" ref="M186:N190" si="152">SUM(C186,H186)</f>
        <v>0</v>
      </c>
      <c r="N186" s="186">
        <f t="shared" si="152"/>
        <v>0</v>
      </c>
      <c r="O186" s="2681">
        <v>0</v>
      </c>
      <c r="P186" s="186">
        <v>0</v>
      </c>
      <c r="Q186" s="186">
        <v>0</v>
      </c>
      <c r="R186" s="186">
        <f>SUM(O186:Q186)</f>
        <v>0</v>
      </c>
      <c r="S186" s="186">
        <f t="shared" ref="S186:T190" si="153">SUM(E186,J186)</f>
        <v>0</v>
      </c>
      <c r="T186" s="186">
        <f t="shared" si="153"/>
        <v>0</v>
      </c>
      <c r="U186" s="2697">
        <f>SUM(M186:N186,R186:T186)</f>
        <v>0</v>
      </c>
      <c r="V186" s="2681"/>
      <c r="W186" s="186">
        <v>0</v>
      </c>
      <c r="X186" s="186">
        <v>0</v>
      </c>
      <c r="Y186" s="186">
        <v>0</v>
      </c>
      <c r="Z186" s="2682">
        <f>SUM(V186:Y186)</f>
        <v>0</v>
      </c>
      <c r="AA186" s="2681">
        <v>0</v>
      </c>
      <c r="AB186" s="186">
        <v>0</v>
      </c>
      <c r="AC186" s="186">
        <v>0</v>
      </c>
      <c r="AD186" s="186">
        <v>0</v>
      </c>
      <c r="AE186" s="2682">
        <f>SUM(AA186:AD186)</f>
        <v>0</v>
      </c>
      <c r="AF186" s="2681">
        <f t="shared" ref="AF186:AI190" si="154">SUM(V186,AA186)</f>
        <v>0</v>
      </c>
      <c r="AG186" s="186">
        <f t="shared" si="154"/>
        <v>0</v>
      </c>
      <c r="AH186" s="186">
        <f t="shared" si="154"/>
        <v>0</v>
      </c>
      <c r="AI186" s="186">
        <f t="shared" si="154"/>
        <v>0</v>
      </c>
      <c r="AJ186" s="2697">
        <f>SUM(AF186:AI186)</f>
        <v>0</v>
      </c>
      <c r="AK186" s="2704">
        <f>+U186-AJ186</f>
        <v>0</v>
      </c>
      <c r="AL186" s="199"/>
      <c r="AM186" s="424">
        <v>0</v>
      </c>
      <c r="AO186" s="1060"/>
    </row>
    <row r="187" spans="1:41" s="66" customFormat="1" ht="15" hidden="1" customHeight="1" x14ac:dyDescent="0.2">
      <c r="A187" s="789" t="s">
        <v>561</v>
      </c>
      <c r="B187" s="2680"/>
      <c r="C187" s="2681"/>
      <c r="D187" s="186">
        <v>0</v>
      </c>
      <c r="E187" s="186">
        <v>0</v>
      </c>
      <c r="F187" s="186">
        <v>0</v>
      </c>
      <c r="G187" s="2682">
        <f>SUM(C187:F187)</f>
        <v>0</v>
      </c>
      <c r="H187" s="2681">
        <v>0</v>
      </c>
      <c r="I187" s="186">
        <v>0</v>
      </c>
      <c r="J187" s="186">
        <v>0</v>
      </c>
      <c r="K187" s="186">
        <v>0</v>
      </c>
      <c r="L187" s="2682">
        <f>SUM(H187:K187)</f>
        <v>0</v>
      </c>
      <c r="M187" s="2681">
        <f t="shared" si="152"/>
        <v>0</v>
      </c>
      <c r="N187" s="186">
        <f t="shared" si="152"/>
        <v>0</v>
      </c>
      <c r="O187" s="2681">
        <v>0</v>
      </c>
      <c r="P187" s="186">
        <v>0</v>
      </c>
      <c r="Q187" s="186">
        <v>0</v>
      </c>
      <c r="R187" s="186">
        <f>SUM(O187:Q187)</f>
        <v>0</v>
      </c>
      <c r="S187" s="186">
        <f t="shared" si="153"/>
        <v>0</v>
      </c>
      <c r="T187" s="186">
        <f t="shared" si="153"/>
        <v>0</v>
      </c>
      <c r="U187" s="2697">
        <f>SUM(M187:N187,R187:T187)</f>
        <v>0</v>
      </c>
      <c r="V187" s="2681"/>
      <c r="W187" s="186">
        <v>0</v>
      </c>
      <c r="X187" s="186">
        <v>0</v>
      </c>
      <c r="Y187" s="186">
        <v>0</v>
      </c>
      <c r="Z187" s="2682">
        <f>SUM(V187:Y187)</f>
        <v>0</v>
      </c>
      <c r="AA187" s="2681">
        <v>0</v>
      </c>
      <c r="AB187" s="186">
        <v>0</v>
      </c>
      <c r="AC187" s="186">
        <v>0</v>
      </c>
      <c r="AD187" s="186">
        <v>0</v>
      </c>
      <c r="AE187" s="2682">
        <f>SUM(AA187:AD187)</f>
        <v>0</v>
      </c>
      <c r="AF187" s="2681">
        <f t="shared" si="154"/>
        <v>0</v>
      </c>
      <c r="AG187" s="186">
        <f t="shared" si="154"/>
        <v>0</v>
      </c>
      <c r="AH187" s="186">
        <f t="shared" si="154"/>
        <v>0</v>
      </c>
      <c r="AI187" s="186">
        <f t="shared" si="154"/>
        <v>0</v>
      </c>
      <c r="AJ187" s="2697">
        <f>SUM(AF187:AI187)</f>
        <v>0</v>
      </c>
      <c r="AK187" s="2704">
        <f>+U187-AJ187</f>
        <v>0</v>
      </c>
      <c r="AL187" s="199"/>
      <c r="AM187" s="424">
        <v>0</v>
      </c>
      <c r="AO187" s="1060"/>
    </row>
    <row r="188" spans="1:41" s="66" customFormat="1" ht="15" hidden="1" customHeight="1" x14ac:dyDescent="0.2">
      <c r="A188" s="789" t="s">
        <v>2107</v>
      </c>
      <c r="B188" s="2680">
        <v>41007</v>
      </c>
      <c r="C188" s="2681"/>
      <c r="D188" s="186">
        <v>0</v>
      </c>
      <c r="E188" s="186">
        <v>0</v>
      </c>
      <c r="F188" s="186">
        <v>0</v>
      </c>
      <c r="G188" s="2682">
        <f>SUM(C188:F188)</f>
        <v>0</v>
      </c>
      <c r="H188" s="2681">
        <v>0</v>
      </c>
      <c r="I188" s="186">
        <v>0</v>
      </c>
      <c r="J188" s="186">
        <v>0</v>
      </c>
      <c r="K188" s="186">
        <v>0</v>
      </c>
      <c r="L188" s="2682">
        <f>SUM(H188:K188)</f>
        <v>0</v>
      </c>
      <c r="M188" s="2681">
        <f>SUM(C188,H188)</f>
        <v>0</v>
      </c>
      <c r="N188" s="186">
        <f>SUM(D188,I188)</f>
        <v>0</v>
      </c>
      <c r="O188" s="2681">
        <v>0</v>
      </c>
      <c r="P188" s="186">
        <v>0</v>
      </c>
      <c r="Q188" s="186">
        <v>0</v>
      </c>
      <c r="R188" s="186">
        <f>SUM(O188:Q188)</f>
        <v>0</v>
      </c>
      <c r="S188" s="186">
        <f>SUM(E188,J188)</f>
        <v>0</v>
      </c>
      <c r="T188" s="186">
        <f>SUM(F188,K188)</f>
        <v>0</v>
      </c>
      <c r="U188" s="2697">
        <f>SUM(M188:N188,R188:T188)</f>
        <v>0</v>
      </c>
      <c r="V188" s="2681"/>
      <c r="W188" s="186">
        <v>0</v>
      </c>
      <c r="X188" s="186">
        <v>0</v>
      </c>
      <c r="Y188" s="186">
        <v>0</v>
      </c>
      <c r="Z188" s="2682">
        <f>SUM(V188:Y188)</f>
        <v>0</v>
      </c>
      <c r="AA188" s="2681">
        <v>0</v>
      </c>
      <c r="AB188" s="186">
        <v>0</v>
      </c>
      <c r="AC188" s="186">
        <v>0</v>
      </c>
      <c r="AD188" s="186">
        <v>0</v>
      </c>
      <c r="AE188" s="2682">
        <f>SUM(AA188:AD188)</f>
        <v>0</v>
      </c>
      <c r="AF188" s="2681">
        <f t="shared" si="154"/>
        <v>0</v>
      </c>
      <c r="AG188" s="186">
        <f t="shared" si="154"/>
        <v>0</v>
      </c>
      <c r="AH188" s="186">
        <f t="shared" si="154"/>
        <v>0</v>
      </c>
      <c r="AI188" s="186">
        <f t="shared" si="154"/>
        <v>0</v>
      </c>
      <c r="AJ188" s="2697">
        <f>SUM(AF188:AI188)</f>
        <v>0</v>
      </c>
      <c r="AK188" s="2704">
        <f>+U188-AJ188</f>
        <v>0</v>
      </c>
      <c r="AL188" s="199"/>
      <c r="AM188" s="422">
        <v>0</v>
      </c>
      <c r="AO188" s="1060"/>
    </row>
    <row r="189" spans="1:41" s="66" customFormat="1" ht="15" hidden="1" customHeight="1" x14ac:dyDescent="0.2">
      <c r="A189" s="789" t="s">
        <v>562</v>
      </c>
      <c r="B189" s="2680"/>
      <c r="C189" s="2681"/>
      <c r="D189" s="186">
        <v>0</v>
      </c>
      <c r="E189" s="186">
        <v>0</v>
      </c>
      <c r="F189" s="186">
        <v>0</v>
      </c>
      <c r="G189" s="2682">
        <f>SUM(C189:F189)</f>
        <v>0</v>
      </c>
      <c r="H189" s="2681">
        <v>0</v>
      </c>
      <c r="I189" s="186">
        <v>0</v>
      </c>
      <c r="J189" s="186">
        <v>0</v>
      </c>
      <c r="K189" s="186">
        <v>0</v>
      </c>
      <c r="L189" s="2682">
        <f>SUM(H189:K189)</f>
        <v>0</v>
      </c>
      <c r="M189" s="2681">
        <f t="shared" si="152"/>
        <v>0</v>
      </c>
      <c r="N189" s="186">
        <f t="shared" si="152"/>
        <v>0</v>
      </c>
      <c r="O189" s="2681">
        <v>0</v>
      </c>
      <c r="P189" s="186">
        <v>0</v>
      </c>
      <c r="Q189" s="186">
        <v>0</v>
      </c>
      <c r="R189" s="186">
        <f>SUM(O189:Q189)</f>
        <v>0</v>
      </c>
      <c r="S189" s="186">
        <f t="shared" si="153"/>
        <v>0</v>
      </c>
      <c r="T189" s="186">
        <f t="shared" si="153"/>
        <v>0</v>
      </c>
      <c r="U189" s="2697">
        <f>SUM(M189:N189,R189:T189)</f>
        <v>0</v>
      </c>
      <c r="V189" s="2681"/>
      <c r="W189" s="186">
        <v>0</v>
      </c>
      <c r="X189" s="186">
        <v>0</v>
      </c>
      <c r="Y189" s="186">
        <v>0</v>
      </c>
      <c r="Z189" s="2682">
        <f>SUM(V189:Y189)</f>
        <v>0</v>
      </c>
      <c r="AA189" s="2681">
        <v>0</v>
      </c>
      <c r="AB189" s="186">
        <v>0</v>
      </c>
      <c r="AC189" s="186">
        <v>0</v>
      </c>
      <c r="AD189" s="186">
        <v>0</v>
      </c>
      <c r="AE189" s="2682">
        <f>SUM(AA189:AD189)</f>
        <v>0</v>
      </c>
      <c r="AF189" s="2681">
        <f t="shared" si="154"/>
        <v>0</v>
      </c>
      <c r="AG189" s="186">
        <f t="shared" si="154"/>
        <v>0</v>
      </c>
      <c r="AH189" s="186">
        <f t="shared" si="154"/>
        <v>0</v>
      </c>
      <c r="AI189" s="186">
        <f t="shared" si="154"/>
        <v>0</v>
      </c>
      <c r="AJ189" s="2697">
        <f>SUM(AF189:AI189)</f>
        <v>0</v>
      </c>
      <c r="AK189" s="2704">
        <f>+U189-AJ189</f>
        <v>0</v>
      </c>
      <c r="AL189" s="199"/>
      <c r="AM189" s="424">
        <v>0</v>
      </c>
      <c r="AO189" s="1060"/>
    </row>
    <row r="190" spans="1:41" s="66" customFormat="1" ht="15" hidden="1" customHeight="1" x14ac:dyDescent="0.2">
      <c r="A190" s="789" t="s">
        <v>563</v>
      </c>
      <c r="B190" s="2680"/>
      <c r="C190" s="2681"/>
      <c r="D190" s="186">
        <v>0</v>
      </c>
      <c r="E190" s="186">
        <v>0</v>
      </c>
      <c r="F190" s="186">
        <v>0</v>
      </c>
      <c r="G190" s="2682">
        <f>SUM(C190:F190)</f>
        <v>0</v>
      </c>
      <c r="H190" s="2681">
        <v>0</v>
      </c>
      <c r="I190" s="186">
        <v>0</v>
      </c>
      <c r="J190" s="186">
        <v>0</v>
      </c>
      <c r="K190" s="186">
        <v>0</v>
      </c>
      <c r="L190" s="2682">
        <f>SUM(H190:K190)</f>
        <v>0</v>
      </c>
      <c r="M190" s="2681">
        <f t="shared" si="152"/>
        <v>0</v>
      </c>
      <c r="N190" s="186">
        <f t="shared" si="152"/>
        <v>0</v>
      </c>
      <c r="O190" s="2681">
        <v>0</v>
      </c>
      <c r="P190" s="186">
        <v>0</v>
      </c>
      <c r="Q190" s="186">
        <v>0</v>
      </c>
      <c r="R190" s="186">
        <f>SUM(O190:Q190)</f>
        <v>0</v>
      </c>
      <c r="S190" s="186">
        <f t="shared" si="153"/>
        <v>0</v>
      </c>
      <c r="T190" s="186">
        <f t="shared" si="153"/>
        <v>0</v>
      </c>
      <c r="U190" s="2697">
        <f>SUM(M190:N190,R190:T190)</f>
        <v>0</v>
      </c>
      <c r="V190" s="2681"/>
      <c r="W190" s="186">
        <v>0</v>
      </c>
      <c r="X190" s="186">
        <v>0</v>
      </c>
      <c r="Y190" s="186">
        <v>0</v>
      </c>
      <c r="Z190" s="2682">
        <f>SUM(V190:Y190)</f>
        <v>0</v>
      </c>
      <c r="AA190" s="2681">
        <v>0</v>
      </c>
      <c r="AB190" s="186">
        <v>0</v>
      </c>
      <c r="AC190" s="186">
        <v>0</v>
      </c>
      <c r="AD190" s="186">
        <v>0</v>
      </c>
      <c r="AE190" s="2682">
        <f>SUM(AA190:AD190)</f>
        <v>0</v>
      </c>
      <c r="AF190" s="2681">
        <f t="shared" si="154"/>
        <v>0</v>
      </c>
      <c r="AG190" s="186">
        <f t="shared" si="154"/>
        <v>0</v>
      </c>
      <c r="AH190" s="186">
        <f t="shared" si="154"/>
        <v>0</v>
      </c>
      <c r="AI190" s="186">
        <f t="shared" si="154"/>
        <v>0</v>
      </c>
      <c r="AJ190" s="2697">
        <f>SUM(AF190:AI190)</f>
        <v>0</v>
      </c>
      <c r="AK190" s="2704">
        <f>+U190-AJ190</f>
        <v>0</v>
      </c>
      <c r="AL190" s="199"/>
      <c r="AM190" s="424">
        <v>0</v>
      </c>
      <c r="AO190" s="1060"/>
    </row>
    <row r="191" spans="1:41" s="66" customFormat="1" ht="15" hidden="1" customHeight="1" thickBot="1" x14ac:dyDescent="0.25">
      <c r="A191" s="2691"/>
      <c r="B191" s="2692"/>
      <c r="C191" s="2693"/>
      <c r="D191" s="839"/>
      <c r="E191" s="839"/>
      <c r="F191" s="839"/>
      <c r="G191" s="2694"/>
      <c r="H191" s="2693"/>
      <c r="I191" s="839"/>
      <c r="J191" s="839"/>
      <c r="K191" s="839"/>
      <c r="L191" s="2694"/>
      <c r="M191" s="2693"/>
      <c r="N191" s="839"/>
      <c r="O191" s="2693"/>
      <c r="P191" s="839"/>
      <c r="Q191" s="839"/>
      <c r="R191" s="839"/>
      <c r="S191" s="839"/>
      <c r="T191" s="839"/>
      <c r="U191" s="2701"/>
      <c r="V191" s="2693"/>
      <c r="W191" s="839"/>
      <c r="X191" s="839"/>
      <c r="Y191" s="839"/>
      <c r="Z191" s="2694"/>
      <c r="AA191" s="2693"/>
      <c r="AB191" s="839"/>
      <c r="AC191" s="839"/>
      <c r="AD191" s="839"/>
      <c r="AE191" s="2694"/>
      <c r="AF191" s="2693"/>
      <c r="AG191" s="839"/>
      <c r="AH191" s="839"/>
      <c r="AI191" s="839"/>
      <c r="AJ191" s="2701"/>
      <c r="AK191" s="2707"/>
      <c r="AL191" s="199"/>
      <c r="AM191" s="972"/>
      <c r="AO191" s="1060"/>
    </row>
    <row r="192" spans="1:41" s="2669" customFormat="1" ht="15" customHeight="1" x14ac:dyDescent="0.2">
      <c r="A192" s="2689" t="s">
        <v>564</v>
      </c>
      <c r="B192" s="2690"/>
      <c r="C192" s="2687"/>
      <c r="D192" s="689"/>
      <c r="E192" s="689"/>
      <c r="F192" s="689"/>
      <c r="G192" s="2688"/>
      <c r="H192" s="2687"/>
      <c r="I192" s="689"/>
      <c r="J192" s="689"/>
      <c r="K192" s="689"/>
      <c r="L192" s="2688"/>
      <c r="M192" s="2687"/>
      <c r="N192" s="689"/>
      <c r="O192" s="2687"/>
      <c r="P192" s="689"/>
      <c r="Q192" s="689"/>
      <c r="R192" s="689"/>
      <c r="S192" s="689"/>
      <c r="T192" s="689"/>
      <c r="U192" s="2700"/>
      <c r="V192" s="2687"/>
      <c r="W192" s="689"/>
      <c r="X192" s="689"/>
      <c r="Y192" s="689"/>
      <c r="Z192" s="2688"/>
      <c r="AA192" s="2687"/>
      <c r="AB192" s="689"/>
      <c r="AC192" s="689"/>
      <c r="AD192" s="689"/>
      <c r="AE192" s="2688"/>
      <c r="AF192" s="2687"/>
      <c r="AG192" s="689"/>
      <c r="AH192" s="689"/>
      <c r="AI192" s="689"/>
      <c r="AJ192" s="2700"/>
      <c r="AK192" s="2706"/>
      <c r="AL192" s="57"/>
      <c r="AM192" s="2670"/>
      <c r="AO192" s="2667"/>
    </row>
    <row r="193" spans="1:41" s="2669" customFormat="1" ht="15" customHeight="1" x14ac:dyDescent="0.2">
      <c r="A193" s="789" t="s">
        <v>7777</v>
      </c>
      <c r="B193" s="2680"/>
      <c r="C193" s="2681"/>
      <c r="D193" s="186">
        <v>0</v>
      </c>
      <c r="E193" s="186">
        <v>0</v>
      </c>
      <c r="F193" s="186">
        <v>0</v>
      </c>
      <c r="G193" s="2682">
        <f t="shared" ref="G193:G198" si="155">SUM(C193:F193)</f>
        <v>0</v>
      </c>
      <c r="H193" s="2681">
        <v>0</v>
      </c>
      <c r="I193" s="186">
        <v>0</v>
      </c>
      <c r="J193" s="186">
        <v>0</v>
      </c>
      <c r="K193" s="186">
        <v>0</v>
      </c>
      <c r="L193" s="2682">
        <f t="shared" ref="L193:L198" si="156">SUM(H193:K193)</f>
        <v>0</v>
      </c>
      <c r="M193" s="2681">
        <f>443757+354388</f>
        <v>798145</v>
      </c>
      <c r="N193" s="186" t="s">
        <v>7798</v>
      </c>
      <c r="O193" s="2681">
        <v>0</v>
      </c>
      <c r="P193" s="186">
        <v>0</v>
      </c>
      <c r="Q193" s="186">
        <v>0</v>
      </c>
      <c r="R193" s="186">
        <f t="shared" ref="R193:R198" si="157">SUM(O193:Q193)</f>
        <v>0</v>
      </c>
      <c r="S193" s="186">
        <f t="shared" ref="S193:T198" si="158">SUM(E193,J193)</f>
        <v>0</v>
      </c>
      <c r="T193" s="186">
        <f t="shared" si="158"/>
        <v>0</v>
      </c>
      <c r="U193" s="2697">
        <f t="shared" ref="U193:U198" si="159">SUM(M193:N193,R193:T193)</f>
        <v>798145</v>
      </c>
      <c r="V193" s="2681"/>
      <c r="W193" s="186">
        <v>0</v>
      </c>
      <c r="X193" s="186">
        <v>0</v>
      </c>
      <c r="Y193" s="186">
        <v>0</v>
      </c>
      <c r="Z193" s="2682">
        <f t="shared" ref="Z193:Z198" si="160">SUM(V193:Y193)</f>
        <v>0</v>
      </c>
      <c r="AA193" s="2681">
        <v>0</v>
      </c>
      <c r="AB193" s="186">
        <v>0</v>
      </c>
      <c r="AC193" s="186">
        <v>0</v>
      </c>
      <c r="AD193" s="186">
        <v>0</v>
      </c>
      <c r="AE193" s="2682">
        <f t="shared" ref="AE193:AE198" si="161">SUM(AA193:AD193)</f>
        <v>0</v>
      </c>
      <c r="AF193" s="2681">
        <v>151850</v>
      </c>
      <c r="AG193" s="186">
        <v>60992</v>
      </c>
      <c r="AH193" s="186">
        <f t="shared" ref="AH193:AI198" si="162">SUM(X193,AC193)</f>
        <v>0</v>
      </c>
      <c r="AI193" s="186">
        <f t="shared" si="162"/>
        <v>0</v>
      </c>
      <c r="AJ193" s="2697">
        <f t="shared" ref="AJ193:AJ198" si="163">SUM(AF193:AI193)</f>
        <v>212842</v>
      </c>
      <c r="AK193" s="2704">
        <f t="shared" ref="AK193:AK198" si="164">+U193-AJ193</f>
        <v>585303</v>
      </c>
      <c r="AL193" s="199"/>
      <c r="AM193" s="2668">
        <v>0</v>
      </c>
      <c r="AO193" s="2667"/>
    </row>
    <row r="194" spans="1:41" s="2669" customFormat="1" ht="15" customHeight="1" x14ac:dyDescent="0.2">
      <c r="A194" s="789" t="s">
        <v>7778</v>
      </c>
      <c r="B194" s="2680"/>
      <c r="C194" s="2681"/>
      <c r="D194" s="186">
        <v>0</v>
      </c>
      <c r="E194" s="186">
        <v>0</v>
      </c>
      <c r="F194" s="186">
        <v>0</v>
      </c>
      <c r="G194" s="2682">
        <f t="shared" si="155"/>
        <v>0</v>
      </c>
      <c r="H194" s="2681">
        <v>0</v>
      </c>
      <c r="I194" s="186">
        <v>0</v>
      </c>
      <c r="J194" s="186">
        <v>0</v>
      </c>
      <c r="K194" s="186">
        <v>0</v>
      </c>
      <c r="L194" s="2682">
        <f t="shared" si="156"/>
        <v>0</v>
      </c>
      <c r="M194" s="2681">
        <v>731587</v>
      </c>
      <c r="N194" s="186" t="s">
        <v>7798</v>
      </c>
      <c r="O194" s="2681">
        <v>0</v>
      </c>
      <c r="P194" s="186">
        <v>0</v>
      </c>
      <c r="Q194" s="186">
        <v>0</v>
      </c>
      <c r="R194" s="186">
        <f t="shared" si="157"/>
        <v>0</v>
      </c>
      <c r="S194" s="186">
        <f t="shared" si="158"/>
        <v>0</v>
      </c>
      <c r="T194" s="186">
        <f t="shared" si="158"/>
        <v>0</v>
      </c>
      <c r="U194" s="2697">
        <f t="shared" si="159"/>
        <v>731587</v>
      </c>
      <c r="V194" s="2681"/>
      <c r="W194" s="186">
        <v>0</v>
      </c>
      <c r="X194" s="186">
        <v>0</v>
      </c>
      <c r="Y194" s="186">
        <v>0</v>
      </c>
      <c r="Z194" s="2682">
        <f t="shared" si="160"/>
        <v>0</v>
      </c>
      <c r="AA194" s="2681">
        <v>0</v>
      </c>
      <c r="AB194" s="186">
        <v>0</v>
      </c>
      <c r="AC194" s="186">
        <v>0</v>
      </c>
      <c r="AD194" s="186">
        <v>0</v>
      </c>
      <c r="AE194" s="2682">
        <f t="shared" si="161"/>
        <v>0</v>
      </c>
      <c r="AF194" s="2681">
        <v>364383</v>
      </c>
      <c r="AG194" s="186">
        <v>99098</v>
      </c>
      <c r="AH194" s="186">
        <f t="shared" si="162"/>
        <v>0</v>
      </c>
      <c r="AI194" s="186">
        <f t="shared" si="162"/>
        <v>0</v>
      </c>
      <c r="AJ194" s="2697">
        <f t="shared" si="163"/>
        <v>463481</v>
      </c>
      <c r="AK194" s="2704">
        <f t="shared" si="164"/>
        <v>268106</v>
      </c>
      <c r="AL194" s="199"/>
      <c r="AM194" s="2668">
        <v>0</v>
      </c>
      <c r="AO194" s="2667"/>
    </row>
    <row r="195" spans="1:41" s="2669" customFormat="1" ht="15" customHeight="1" x14ac:dyDescent="0.2">
      <c r="A195" s="789" t="s">
        <v>7779</v>
      </c>
      <c r="B195" s="2680">
        <v>42004</v>
      </c>
      <c r="C195" s="2681"/>
      <c r="D195" s="186">
        <v>0</v>
      </c>
      <c r="E195" s="186">
        <v>0</v>
      </c>
      <c r="F195" s="186">
        <v>0</v>
      </c>
      <c r="G195" s="2682">
        <f t="shared" si="155"/>
        <v>0</v>
      </c>
      <c r="H195" s="2681">
        <v>0</v>
      </c>
      <c r="I195" s="186">
        <v>0</v>
      </c>
      <c r="J195" s="186">
        <v>0</v>
      </c>
      <c r="K195" s="186">
        <v>0</v>
      </c>
      <c r="L195" s="2682">
        <f t="shared" si="156"/>
        <v>0</v>
      </c>
      <c r="M195" s="2681">
        <v>410915</v>
      </c>
      <c r="N195" s="186" t="s">
        <v>7798</v>
      </c>
      <c r="O195" s="2681">
        <v>0</v>
      </c>
      <c r="P195" s="186">
        <v>0</v>
      </c>
      <c r="Q195" s="186">
        <v>0</v>
      </c>
      <c r="R195" s="186">
        <f t="shared" si="157"/>
        <v>0</v>
      </c>
      <c r="S195" s="186">
        <f t="shared" si="158"/>
        <v>0</v>
      </c>
      <c r="T195" s="186">
        <f t="shared" si="158"/>
        <v>0</v>
      </c>
      <c r="U195" s="2697">
        <f t="shared" si="159"/>
        <v>410915</v>
      </c>
      <c r="V195" s="2681"/>
      <c r="W195" s="186">
        <v>0</v>
      </c>
      <c r="X195" s="186">
        <v>0</v>
      </c>
      <c r="Y195" s="186">
        <v>0</v>
      </c>
      <c r="Z195" s="2682">
        <f t="shared" si="160"/>
        <v>0</v>
      </c>
      <c r="AA195" s="2681">
        <v>0</v>
      </c>
      <c r="AB195" s="186">
        <v>0</v>
      </c>
      <c r="AC195" s="186">
        <v>0</v>
      </c>
      <c r="AD195" s="186">
        <v>0</v>
      </c>
      <c r="AE195" s="2682">
        <f t="shared" si="161"/>
        <v>0</v>
      </c>
      <c r="AF195" s="2681">
        <v>128781</v>
      </c>
      <c r="AG195" s="186">
        <v>53756</v>
      </c>
      <c r="AH195" s="186">
        <f t="shared" si="162"/>
        <v>0</v>
      </c>
      <c r="AI195" s="186">
        <f t="shared" si="162"/>
        <v>0</v>
      </c>
      <c r="AJ195" s="2697">
        <f t="shared" si="163"/>
        <v>182537</v>
      </c>
      <c r="AK195" s="2704">
        <f t="shared" si="164"/>
        <v>228378</v>
      </c>
      <c r="AL195" s="199"/>
      <c r="AM195" s="2665">
        <v>0</v>
      </c>
      <c r="AO195" s="2667"/>
    </row>
    <row r="196" spans="1:41" s="2669" customFormat="1" ht="15" customHeight="1" x14ac:dyDescent="0.2">
      <c r="A196" s="789" t="s">
        <v>7780</v>
      </c>
      <c r="B196" s="2680">
        <v>41013</v>
      </c>
      <c r="C196" s="2681"/>
      <c r="D196" s="186">
        <v>0</v>
      </c>
      <c r="E196" s="186">
        <v>0</v>
      </c>
      <c r="F196" s="186">
        <v>0</v>
      </c>
      <c r="G196" s="2682">
        <f t="shared" si="155"/>
        <v>0</v>
      </c>
      <c r="H196" s="2681">
        <v>0</v>
      </c>
      <c r="I196" s="186">
        <v>0</v>
      </c>
      <c r="J196" s="186">
        <v>0</v>
      </c>
      <c r="K196" s="186">
        <v>0</v>
      </c>
      <c r="L196" s="2682">
        <f t="shared" si="156"/>
        <v>0</v>
      </c>
      <c r="M196" s="2681">
        <v>137027</v>
      </c>
      <c r="N196" s="186">
        <f>'APPENDIX C'!D13</f>
        <v>0</v>
      </c>
      <c r="O196" s="2681">
        <v>0</v>
      </c>
      <c r="P196" s="186">
        <v>0</v>
      </c>
      <c r="Q196" s="186">
        <v>0</v>
      </c>
      <c r="R196" s="186">
        <f t="shared" si="157"/>
        <v>0</v>
      </c>
      <c r="S196" s="186">
        <f>SUM(E196,J196)</f>
        <v>0</v>
      </c>
      <c r="T196" s="186">
        <f>SUM(F196,K196)</f>
        <v>0</v>
      </c>
      <c r="U196" s="2697">
        <f t="shared" si="159"/>
        <v>137027</v>
      </c>
      <c r="V196" s="2681"/>
      <c r="W196" s="186">
        <v>0</v>
      </c>
      <c r="X196" s="186">
        <v>0</v>
      </c>
      <c r="Y196" s="186">
        <v>0</v>
      </c>
      <c r="Z196" s="2682">
        <f t="shared" si="160"/>
        <v>0</v>
      </c>
      <c r="AA196" s="2681">
        <v>0</v>
      </c>
      <c r="AB196" s="186">
        <v>0</v>
      </c>
      <c r="AC196" s="186">
        <v>0</v>
      </c>
      <c r="AD196" s="186">
        <v>0</v>
      </c>
      <c r="AE196" s="2682">
        <f t="shared" si="161"/>
        <v>0</v>
      </c>
      <c r="AF196" s="2681">
        <v>46726</v>
      </c>
      <c r="AG196" s="186">
        <v>22777</v>
      </c>
      <c r="AH196" s="186">
        <f>SUM(X196,AC196)</f>
        <v>0</v>
      </c>
      <c r="AI196" s="186">
        <f>SUM(Y196,AD196)</f>
        <v>0</v>
      </c>
      <c r="AJ196" s="2697">
        <f t="shared" si="163"/>
        <v>69503</v>
      </c>
      <c r="AK196" s="2704">
        <f t="shared" si="164"/>
        <v>67524</v>
      </c>
      <c r="AL196" s="199"/>
      <c r="AM196" s="2665"/>
      <c r="AO196" s="2667"/>
    </row>
    <row r="197" spans="1:41" s="2669" customFormat="1" ht="15" customHeight="1" x14ac:dyDescent="0.2">
      <c r="A197" s="789" t="s">
        <v>7781</v>
      </c>
      <c r="B197" s="2680">
        <v>42007</v>
      </c>
      <c r="C197" s="2681"/>
      <c r="D197" s="186">
        <v>0</v>
      </c>
      <c r="E197" s="186">
        <v>0</v>
      </c>
      <c r="F197" s="186">
        <v>0</v>
      </c>
      <c r="G197" s="2682">
        <f t="shared" si="155"/>
        <v>0</v>
      </c>
      <c r="H197" s="2681">
        <v>0</v>
      </c>
      <c r="I197" s="186">
        <v>0</v>
      </c>
      <c r="J197" s="186">
        <v>0</v>
      </c>
      <c r="K197" s="186">
        <v>0</v>
      </c>
      <c r="L197" s="2682">
        <f t="shared" si="156"/>
        <v>0</v>
      </c>
      <c r="M197" s="2681">
        <v>37375</v>
      </c>
      <c r="N197" s="186" t="s">
        <v>7798</v>
      </c>
      <c r="O197" s="2681">
        <v>0</v>
      </c>
      <c r="P197" s="186">
        <v>0</v>
      </c>
      <c r="Q197" s="186">
        <v>0</v>
      </c>
      <c r="R197" s="186">
        <f t="shared" si="157"/>
        <v>0</v>
      </c>
      <c r="S197" s="186">
        <f t="shared" si="158"/>
        <v>0</v>
      </c>
      <c r="T197" s="186">
        <f t="shared" si="158"/>
        <v>0</v>
      </c>
      <c r="U197" s="2697">
        <f t="shared" si="159"/>
        <v>37375</v>
      </c>
      <c r="V197" s="2681"/>
      <c r="W197" s="186">
        <v>0</v>
      </c>
      <c r="X197" s="186">
        <v>0</v>
      </c>
      <c r="Y197" s="186">
        <v>0</v>
      </c>
      <c r="Z197" s="2682">
        <f t="shared" si="160"/>
        <v>0</v>
      </c>
      <c r="AA197" s="2681">
        <v>0</v>
      </c>
      <c r="AB197" s="186">
        <v>0</v>
      </c>
      <c r="AC197" s="186">
        <v>0</v>
      </c>
      <c r="AD197" s="186">
        <v>0</v>
      </c>
      <c r="AE197" s="2682">
        <f t="shared" si="161"/>
        <v>0</v>
      </c>
      <c r="AF197" s="2681">
        <v>13196</v>
      </c>
      <c r="AG197" s="186">
        <v>4805</v>
      </c>
      <c r="AH197" s="186">
        <f t="shared" si="162"/>
        <v>0</v>
      </c>
      <c r="AI197" s="186">
        <f t="shared" si="162"/>
        <v>0</v>
      </c>
      <c r="AJ197" s="2697">
        <f t="shared" si="163"/>
        <v>18001</v>
      </c>
      <c r="AK197" s="2704">
        <f t="shared" si="164"/>
        <v>19374</v>
      </c>
      <c r="AL197" s="199"/>
      <c r="AM197" s="2665"/>
      <c r="AO197" s="2667"/>
    </row>
    <row r="198" spans="1:41" s="2669" customFormat="1" ht="15" customHeight="1" x14ac:dyDescent="0.2">
      <c r="A198" s="789" t="s">
        <v>7782</v>
      </c>
      <c r="B198" s="2680"/>
      <c r="C198" s="2681"/>
      <c r="D198" s="186">
        <v>0</v>
      </c>
      <c r="E198" s="186">
        <v>0</v>
      </c>
      <c r="F198" s="186">
        <v>0</v>
      </c>
      <c r="G198" s="2682">
        <f t="shared" si="155"/>
        <v>0</v>
      </c>
      <c r="H198" s="2681">
        <v>0</v>
      </c>
      <c r="I198" s="186">
        <v>0</v>
      </c>
      <c r="J198" s="186">
        <v>0</v>
      </c>
      <c r="K198" s="186">
        <v>0</v>
      </c>
      <c r="L198" s="2682">
        <f t="shared" si="156"/>
        <v>0</v>
      </c>
      <c r="M198" s="2681">
        <v>656</v>
      </c>
      <c r="N198" s="186" t="s">
        <v>7798</v>
      </c>
      <c r="O198" s="2681">
        <v>0</v>
      </c>
      <c r="P198" s="186">
        <v>0</v>
      </c>
      <c r="Q198" s="186">
        <v>0</v>
      </c>
      <c r="R198" s="186">
        <f t="shared" si="157"/>
        <v>0</v>
      </c>
      <c r="S198" s="186">
        <f t="shared" si="158"/>
        <v>0</v>
      </c>
      <c r="T198" s="186">
        <f t="shared" si="158"/>
        <v>0</v>
      </c>
      <c r="U198" s="2697">
        <f t="shared" si="159"/>
        <v>656</v>
      </c>
      <c r="V198" s="2681"/>
      <c r="W198" s="186">
        <v>0</v>
      </c>
      <c r="X198" s="186">
        <v>0</v>
      </c>
      <c r="Y198" s="186">
        <v>0</v>
      </c>
      <c r="Z198" s="2682">
        <f t="shared" si="160"/>
        <v>0</v>
      </c>
      <c r="AA198" s="2681">
        <v>0</v>
      </c>
      <c r="AB198" s="186">
        <v>0</v>
      </c>
      <c r="AC198" s="186">
        <v>0</v>
      </c>
      <c r="AD198" s="186">
        <v>0</v>
      </c>
      <c r="AE198" s="2682">
        <f t="shared" si="161"/>
        <v>0</v>
      </c>
      <c r="AF198" s="2681">
        <v>325</v>
      </c>
      <c r="AG198" s="186">
        <v>118</v>
      </c>
      <c r="AH198" s="186">
        <f t="shared" si="162"/>
        <v>0</v>
      </c>
      <c r="AI198" s="186">
        <f t="shared" si="162"/>
        <v>0</v>
      </c>
      <c r="AJ198" s="2697">
        <f t="shared" si="163"/>
        <v>443</v>
      </c>
      <c r="AK198" s="2704">
        <f t="shared" si="164"/>
        <v>213</v>
      </c>
      <c r="AL198" s="199"/>
      <c r="AM198" s="2665"/>
      <c r="AO198" s="2667"/>
    </row>
    <row r="199" spans="1:41" s="66" customFormat="1" ht="15" customHeight="1" x14ac:dyDescent="0.2">
      <c r="A199" s="789"/>
      <c r="B199" s="2680"/>
      <c r="C199" s="2681"/>
      <c r="D199" s="186"/>
      <c r="E199" s="186"/>
      <c r="F199" s="186"/>
      <c r="G199" s="2682"/>
      <c r="H199" s="2681"/>
      <c r="I199" s="186"/>
      <c r="J199" s="186"/>
      <c r="K199" s="186"/>
      <c r="L199" s="2682"/>
      <c r="M199" s="2681"/>
      <c r="N199" s="186"/>
      <c r="O199" s="2681"/>
      <c r="P199" s="186"/>
      <c r="Q199" s="186"/>
      <c r="R199" s="186"/>
      <c r="S199" s="186"/>
      <c r="T199" s="186"/>
      <c r="U199" s="2697"/>
      <c r="V199" s="2681"/>
      <c r="W199" s="186"/>
      <c r="X199" s="186"/>
      <c r="Y199" s="186"/>
      <c r="Z199" s="2682"/>
      <c r="AA199" s="2681"/>
      <c r="AB199" s="186"/>
      <c r="AC199" s="186"/>
      <c r="AD199" s="186"/>
      <c r="AE199" s="2682"/>
      <c r="AF199" s="2681"/>
      <c r="AG199" s="186"/>
      <c r="AH199" s="186"/>
      <c r="AI199" s="186"/>
      <c r="AJ199" s="2697"/>
      <c r="AK199" s="2704"/>
      <c r="AL199" s="199"/>
      <c r="AM199" s="424"/>
      <c r="AO199" s="1060"/>
    </row>
    <row r="200" spans="1:41" s="2669" customFormat="1" ht="15" customHeight="1" x14ac:dyDescent="0.2">
      <c r="A200" s="2689" t="s">
        <v>565</v>
      </c>
      <c r="B200" s="2690"/>
      <c r="C200" s="2687"/>
      <c r="D200" s="689"/>
      <c r="E200" s="689"/>
      <c r="F200" s="689"/>
      <c r="G200" s="2688"/>
      <c r="H200" s="2687"/>
      <c r="I200" s="689"/>
      <c r="J200" s="689"/>
      <c r="K200" s="689"/>
      <c r="L200" s="2688"/>
      <c r="M200" s="2687"/>
      <c r="N200" s="689"/>
      <c r="O200" s="2687"/>
      <c r="P200" s="689"/>
      <c r="Q200" s="689"/>
      <c r="R200" s="689"/>
      <c r="S200" s="689"/>
      <c r="T200" s="689"/>
      <c r="U200" s="2700"/>
      <c r="V200" s="2687"/>
      <c r="W200" s="689"/>
      <c r="X200" s="689"/>
      <c r="Y200" s="689"/>
      <c r="Z200" s="2688"/>
      <c r="AA200" s="2687"/>
      <c r="AB200" s="689"/>
      <c r="AC200" s="689"/>
      <c r="AD200" s="689"/>
      <c r="AE200" s="2688"/>
      <c r="AF200" s="2687"/>
      <c r="AG200" s="689"/>
      <c r="AH200" s="689"/>
      <c r="AI200" s="689"/>
      <c r="AJ200" s="2700"/>
      <c r="AK200" s="2706"/>
      <c r="AL200" s="57"/>
      <c r="AM200" s="2665"/>
      <c r="AO200" s="2667"/>
    </row>
    <row r="201" spans="1:41" s="2669" customFormat="1" ht="15" customHeight="1" x14ac:dyDescent="0.2">
      <c r="A201" s="789" t="s">
        <v>7783</v>
      </c>
      <c r="B201" s="2680"/>
      <c r="C201" s="2681"/>
      <c r="D201" s="186">
        <v>0</v>
      </c>
      <c r="E201" s="186">
        <v>0</v>
      </c>
      <c r="F201" s="186">
        <v>0</v>
      </c>
      <c r="G201" s="2682">
        <f t="shared" ref="G201:G206" si="165">SUM(C201:F201)</f>
        <v>0</v>
      </c>
      <c r="H201" s="2681">
        <v>0</v>
      </c>
      <c r="I201" s="186">
        <v>0</v>
      </c>
      <c r="J201" s="186">
        <v>0</v>
      </c>
      <c r="K201" s="186">
        <v>0</v>
      </c>
      <c r="L201" s="2682">
        <f t="shared" ref="L201:L206" si="166">SUM(H201:K201)</f>
        <v>0</v>
      </c>
      <c r="M201" s="2681">
        <v>331200</v>
      </c>
      <c r="N201" s="186">
        <f t="shared" ref="M201:N206" si="167">SUM(D201,I201)</f>
        <v>0</v>
      </c>
      <c r="O201" s="2681">
        <v>0</v>
      </c>
      <c r="P201" s="186">
        <v>0</v>
      </c>
      <c r="Q201" s="186">
        <v>0</v>
      </c>
      <c r="R201" s="186">
        <f t="shared" ref="R201:R206" si="168">SUM(O201:Q201)</f>
        <v>0</v>
      </c>
      <c r="S201" s="186">
        <f t="shared" ref="S201:T206" si="169">SUM(E201,J201)</f>
        <v>0</v>
      </c>
      <c r="T201" s="186">
        <f t="shared" si="169"/>
        <v>0</v>
      </c>
      <c r="U201" s="2697">
        <f t="shared" ref="U201:U206" si="170">SUM(M201:N201,R201:T201)</f>
        <v>331200</v>
      </c>
      <c r="V201" s="2681"/>
      <c r="W201" s="186">
        <v>0</v>
      </c>
      <c r="X201" s="186">
        <v>0</v>
      </c>
      <c r="Y201" s="186">
        <v>0</v>
      </c>
      <c r="Z201" s="2682">
        <f t="shared" ref="Z201:Z206" si="171">SUM(V201:Y201)</f>
        <v>0</v>
      </c>
      <c r="AA201" s="2681">
        <v>0</v>
      </c>
      <c r="AB201" s="186">
        <v>0</v>
      </c>
      <c r="AC201" s="186">
        <v>0</v>
      </c>
      <c r="AD201" s="186">
        <v>0</v>
      </c>
      <c r="AE201" s="2682">
        <f t="shared" ref="AE201:AE206" si="172">SUM(AA201:AD201)</f>
        <v>0</v>
      </c>
      <c r="AF201" s="2681">
        <v>75733</v>
      </c>
      <c r="AG201" s="186">
        <v>15898</v>
      </c>
      <c r="AH201" s="186">
        <f t="shared" ref="AF201:AI206" si="173">SUM(X201,AC201)</f>
        <v>0</v>
      </c>
      <c r="AI201" s="186">
        <f t="shared" si="173"/>
        <v>0</v>
      </c>
      <c r="AJ201" s="2697">
        <f t="shared" ref="AJ201:AJ206" si="174">SUM(AF201:AI201)</f>
        <v>91631</v>
      </c>
      <c r="AK201" s="2704">
        <f t="shared" ref="AK201:AK206" si="175">+U201-AJ201</f>
        <v>239569</v>
      </c>
      <c r="AL201" s="199"/>
      <c r="AM201" s="2665"/>
      <c r="AO201" s="2667"/>
    </row>
    <row r="202" spans="1:41" s="2669" customFormat="1" ht="15" customHeight="1" x14ac:dyDescent="0.2">
      <c r="A202" s="789" t="s">
        <v>7784</v>
      </c>
      <c r="B202" s="2680">
        <v>44008</v>
      </c>
      <c r="C202" s="2681"/>
      <c r="D202" s="186">
        <v>0</v>
      </c>
      <c r="E202" s="186">
        <v>0</v>
      </c>
      <c r="F202" s="186">
        <v>0</v>
      </c>
      <c r="G202" s="2682">
        <f t="shared" si="165"/>
        <v>0</v>
      </c>
      <c r="H202" s="2681">
        <v>0</v>
      </c>
      <c r="I202" s="186">
        <v>0</v>
      </c>
      <c r="J202" s="186">
        <v>0</v>
      </c>
      <c r="K202" s="186">
        <v>0</v>
      </c>
      <c r="L202" s="2682">
        <f t="shared" si="166"/>
        <v>0</v>
      </c>
      <c r="M202" s="2681">
        <v>367800</v>
      </c>
      <c r="N202" s="186">
        <f t="shared" si="167"/>
        <v>0</v>
      </c>
      <c r="O202" s="2681">
        <v>0</v>
      </c>
      <c r="P202" s="186">
        <v>0</v>
      </c>
      <c r="Q202" s="186">
        <v>0</v>
      </c>
      <c r="R202" s="186">
        <f t="shared" si="168"/>
        <v>0</v>
      </c>
      <c r="S202" s="186">
        <f t="shared" si="169"/>
        <v>0</v>
      </c>
      <c r="T202" s="186">
        <f t="shared" si="169"/>
        <v>0</v>
      </c>
      <c r="U202" s="2697">
        <f t="shared" si="170"/>
        <v>367800</v>
      </c>
      <c r="V202" s="2681"/>
      <c r="W202" s="186">
        <v>0</v>
      </c>
      <c r="X202" s="186">
        <v>0</v>
      </c>
      <c r="Y202" s="186">
        <v>0</v>
      </c>
      <c r="Z202" s="2682">
        <f t="shared" si="171"/>
        <v>0</v>
      </c>
      <c r="AA202" s="2681">
        <v>0</v>
      </c>
      <c r="AB202" s="186">
        <v>0</v>
      </c>
      <c r="AC202" s="186">
        <v>0</v>
      </c>
      <c r="AD202" s="186">
        <v>0</v>
      </c>
      <c r="AE202" s="2682">
        <f t="shared" si="172"/>
        <v>0</v>
      </c>
      <c r="AF202" s="2681">
        <v>41170</v>
      </c>
      <c r="AG202" s="186">
        <v>12969</v>
      </c>
      <c r="AH202" s="186">
        <f t="shared" si="173"/>
        <v>0</v>
      </c>
      <c r="AI202" s="186">
        <f t="shared" si="173"/>
        <v>0</v>
      </c>
      <c r="AJ202" s="2697">
        <f t="shared" si="174"/>
        <v>54139</v>
      </c>
      <c r="AK202" s="2704">
        <f t="shared" si="175"/>
        <v>313661</v>
      </c>
      <c r="AL202" s="199"/>
      <c r="AM202" s="2665"/>
      <c r="AO202" s="2667"/>
    </row>
    <row r="203" spans="1:41" s="2669" customFormat="1" ht="15" customHeight="1" x14ac:dyDescent="0.2">
      <c r="A203" s="789" t="s">
        <v>312</v>
      </c>
      <c r="B203" s="2680"/>
      <c r="C203" s="2681"/>
      <c r="D203" s="186">
        <v>0</v>
      </c>
      <c r="E203" s="186">
        <v>0</v>
      </c>
      <c r="F203" s="186">
        <v>0</v>
      </c>
      <c r="G203" s="2682">
        <f t="shared" si="165"/>
        <v>0</v>
      </c>
      <c r="H203" s="2681">
        <v>0</v>
      </c>
      <c r="I203" s="186">
        <v>0</v>
      </c>
      <c r="J203" s="186">
        <v>0</v>
      </c>
      <c r="K203" s="186">
        <v>0</v>
      </c>
      <c r="L203" s="2682">
        <f t="shared" si="166"/>
        <v>0</v>
      </c>
      <c r="M203" s="2681">
        <v>707750</v>
      </c>
      <c r="N203" s="186">
        <f t="shared" si="167"/>
        <v>0</v>
      </c>
      <c r="O203" s="2681">
        <v>0</v>
      </c>
      <c r="P203" s="186">
        <v>0</v>
      </c>
      <c r="Q203" s="186">
        <v>0</v>
      </c>
      <c r="R203" s="186">
        <f t="shared" si="168"/>
        <v>0</v>
      </c>
      <c r="S203" s="186">
        <f t="shared" si="169"/>
        <v>0</v>
      </c>
      <c r="T203" s="186">
        <f t="shared" si="169"/>
        <v>0</v>
      </c>
      <c r="U203" s="2697">
        <f t="shared" si="170"/>
        <v>707750</v>
      </c>
      <c r="V203" s="2681"/>
      <c r="W203" s="186">
        <v>0</v>
      </c>
      <c r="X203" s="186">
        <v>0</v>
      </c>
      <c r="Y203" s="186">
        <v>0</v>
      </c>
      <c r="Z203" s="2682">
        <f t="shared" si="171"/>
        <v>0</v>
      </c>
      <c r="AA203" s="2681">
        <v>0</v>
      </c>
      <c r="AB203" s="186">
        <v>0</v>
      </c>
      <c r="AC203" s="186">
        <v>0</v>
      </c>
      <c r="AD203" s="186">
        <v>0</v>
      </c>
      <c r="AE203" s="2682">
        <f t="shared" si="172"/>
        <v>0</v>
      </c>
      <c r="AF203" s="2681">
        <v>80510</v>
      </c>
      <c r="AG203" s="186">
        <v>22648</v>
      </c>
      <c r="AH203" s="186">
        <f t="shared" si="173"/>
        <v>0</v>
      </c>
      <c r="AI203" s="186">
        <f t="shared" si="173"/>
        <v>0</v>
      </c>
      <c r="AJ203" s="2697">
        <f t="shared" si="174"/>
        <v>103158</v>
      </c>
      <c r="AK203" s="2704">
        <f t="shared" si="175"/>
        <v>604592</v>
      </c>
      <c r="AL203" s="199"/>
      <c r="AM203" s="2665"/>
      <c r="AO203" s="2667"/>
    </row>
    <row r="204" spans="1:41" s="2669" customFormat="1" ht="15" customHeight="1" x14ac:dyDescent="0.2">
      <c r="A204" s="789" t="s">
        <v>7785</v>
      </c>
      <c r="B204" s="2680"/>
      <c r="C204" s="2681"/>
      <c r="D204" s="186">
        <v>0</v>
      </c>
      <c r="E204" s="186">
        <v>0</v>
      </c>
      <c r="F204" s="186">
        <v>0</v>
      </c>
      <c r="G204" s="2682">
        <f t="shared" si="165"/>
        <v>0</v>
      </c>
      <c r="H204" s="2681">
        <v>0</v>
      </c>
      <c r="I204" s="186">
        <v>0</v>
      </c>
      <c r="J204" s="186">
        <v>0</v>
      </c>
      <c r="K204" s="186">
        <v>0</v>
      </c>
      <c r="L204" s="2682">
        <f t="shared" si="166"/>
        <v>0</v>
      </c>
      <c r="M204" s="2681">
        <v>859600</v>
      </c>
      <c r="N204" s="186">
        <f>SUM(D204,I204)</f>
        <v>0</v>
      </c>
      <c r="O204" s="2681">
        <v>0</v>
      </c>
      <c r="P204" s="186">
        <v>0</v>
      </c>
      <c r="Q204" s="186">
        <v>0</v>
      </c>
      <c r="R204" s="186">
        <f t="shared" si="168"/>
        <v>0</v>
      </c>
      <c r="S204" s="186">
        <f>SUM(E204,J204)</f>
        <v>0</v>
      </c>
      <c r="T204" s="186">
        <f>SUM(F204,K204)</f>
        <v>0</v>
      </c>
      <c r="U204" s="2697">
        <f t="shared" si="170"/>
        <v>859600</v>
      </c>
      <c r="V204" s="2681"/>
      <c r="W204" s="186">
        <v>0</v>
      </c>
      <c r="X204" s="186">
        <v>0</v>
      </c>
      <c r="Y204" s="186">
        <v>0</v>
      </c>
      <c r="Z204" s="2682">
        <f t="shared" si="171"/>
        <v>0</v>
      </c>
      <c r="AA204" s="2681">
        <v>0</v>
      </c>
      <c r="AB204" s="186">
        <v>0</v>
      </c>
      <c r="AC204" s="186">
        <v>0</v>
      </c>
      <c r="AD204" s="186">
        <v>0</v>
      </c>
      <c r="AE204" s="2682">
        <f t="shared" si="172"/>
        <v>0</v>
      </c>
      <c r="AF204" s="2681">
        <v>167506</v>
      </c>
      <c r="AG204" s="186">
        <v>58944</v>
      </c>
      <c r="AH204" s="186">
        <f t="shared" ref="AF204:AI205" si="176">SUM(X204,AC204)</f>
        <v>0</v>
      </c>
      <c r="AI204" s="186">
        <f t="shared" si="176"/>
        <v>0</v>
      </c>
      <c r="AJ204" s="2697">
        <f t="shared" si="174"/>
        <v>226450</v>
      </c>
      <c r="AK204" s="2704">
        <f t="shared" si="175"/>
        <v>633150</v>
      </c>
      <c r="AL204" s="199"/>
      <c r="AM204" s="2665"/>
      <c r="AO204" s="2667"/>
    </row>
    <row r="205" spans="1:41" s="66" customFormat="1" ht="15" hidden="1" customHeight="1" x14ac:dyDescent="0.2">
      <c r="A205" s="789" t="s">
        <v>1654</v>
      </c>
      <c r="B205" s="2680">
        <v>44012</v>
      </c>
      <c r="C205" s="2681"/>
      <c r="D205" s="186">
        <v>0</v>
      </c>
      <c r="E205" s="186">
        <v>0</v>
      </c>
      <c r="F205" s="186">
        <v>0</v>
      </c>
      <c r="G205" s="2682">
        <f t="shared" si="165"/>
        <v>0</v>
      </c>
      <c r="H205" s="2681">
        <v>0</v>
      </c>
      <c r="I205" s="186">
        <v>0</v>
      </c>
      <c r="J205" s="186">
        <v>0</v>
      </c>
      <c r="K205" s="186">
        <v>0</v>
      </c>
      <c r="L205" s="2682">
        <f t="shared" si="166"/>
        <v>0</v>
      </c>
      <c r="M205" s="2681">
        <f>SUM(C205,H205)</f>
        <v>0</v>
      </c>
      <c r="N205" s="186">
        <f>SUM(D205,I205)</f>
        <v>0</v>
      </c>
      <c r="O205" s="2681">
        <v>0</v>
      </c>
      <c r="P205" s="186">
        <v>0</v>
      </c>
      <c r="Q205" s="186">
        <v>0</v>
      </c>
      <c r="R205" s="186">
        <f t="shared" si="168"/>
        <v>0</v>
      </c>
      <c r="S205" s="186">
        <f>SUM(E205,J205)</f>
        <v>0</v>
      </c>
      <c r="T205" s="186">
        <f>SUM(F205,K205)</f>
        <v>0</v>
      </c>
      <c r="U205" s="2697">
        <f t="shared" si="170"/>
        <v>0</v>
      </c>
      <c r="V205" s="2681"/>
      <c r="W205" s="186">
        <v>0</v>
      </c>
      <c r="X205" s="186">
        <v>0</v>
      </c>
      <c r="Y205" s="186">
        <v>0</v>
      </c>
      <c r="Z205" s="2682">
        <f t="shared" si="171"/>
        <v>0</v>
      </c>
      <c r="AA205" s="2681">
        <v>0</v>
      </c>
      <c r="AB205" s="186">
        <v>0</v>
      </c>
      <c r="AC205" s="186">
        <v>0</v>
      </c>
      <c r="AD205" s="186">
        <v>0</v>
      </c>
      <c r="AE205" s="2682">
        <f t="shared" si="172"/>
        <v>0</v>
      </c>
      <c r="AF205" s="2681">
        <f t="shared" si="176"/>
        <v>0</v>
      </c>
      <c r="AG205" s="186">
        <f t="shared" si="176"/>
        <v>0</v>
      </c>
      <c r="AH205" s="186">
        <f t="shared" si="176"/>
        <v>0</v>
      </c>
      <c r="AI205" s="186">
        <f t="shared" si="176"/>
        <v>0</v>
      </c>
      <c r="AJ205" s="2697">
        <f t="shared" si="174"/>
        <v>0</v>
      </c>
      <c r="AK205" s="2704">
        <f t="shared" si="175"/>
        <v>0</v>
      </c>
      <c r="AL205" s="199"/>
      <c r="AM205" s="422"/>
      <c r="AO205" s="1060"/>
    </row>
    <row r="206" spans="1:41" s="66" customFormat="1" ht="15" hidden="1" customHeight="1" x14ac:dyDescent="0.2">
      <c r="A206" s="789" t="s">
        <v>567</v>
      </c>
      <c r="B206" s="2680">
        <v>44013</v>
      </c>
      <c r="C206" s="2681"/>
      <c r="D206" s="186">
        <v>0</v>
      </c>
      <c r="E206" s="186">
        <v>0</v>
      </c>
      <c r="F206" s="186">
        <v>0</v>
      </c>
      <c r="G206" s="2682">
        <f t="shared" si="165"/>
        <v>0</v>
      </c>
      <c r="H206" s="2681">
        <v>0</v>
      </c>
      <c r="I206" s="186">
        <v>0</v>
      </c>
      <c r="J206" s="186">
        <v>0</v>
      </c>
      <c r="K206" s="186">
        <v>0</v>
      </c>
      <c r="L206" s="2682">
        <f t="shared" si="166"/>
        <v>0</v>
      </c>
      <c r="M206" s="2681">
        <f t="shared" si="167"/>
        <v>0</v>
      </c>
      <c r="N206" s="186">
        <f t="shared" si="167"/>
        <v>0</v>
      </c>
      <c r="O206" s="2681">
        <v>0</v>
      </c>
      <c r="P206" s="186">
        <v>0</v>
      </c>
      <c r="Q206" s="186">
        <v>0</v>
      </c>
      <c r="R206" s="186">
        <f t="shared" si="168"/>
        <v>0</v>
      </c>
      <c r="S206" s="186">
        <f t="shared" si="169"/>
        <v>0</v>
      </c>
      <c r="T206" s="186">
        <f t="shared" si="169"/>
        <v>0</v>
      </c>
      <c r="U206" s="2697">
        <f t="shared" si="170"/>
        <v>0</v>
      </c>
      <c r="V206" s="2681"/>
      <c r="W206" s="186">
        <v>0</v>
      </c>
      <c r="X206" s="186">
        <v>0</v>
      </c>
      <c r="Y206" s="186">
        <v>0</v>
      </c>
      <c r="Z206" s="2682">
        <f t="shared" si="171"/>
        <v>0</v>
      </c>
      <c r="AA206" s="2681"/>
      <c r="AB206" s="186">
        <v>0</v>
      </c>
      <c r="AC206" s="186">
        <v>0</v>
      </c>
      <c r="AD206" s="186">
        <v>0</v>
      </c>
      <c r="AE206" s="2682">
        <f t="shared" si="172"/>
        <v>0</v>
      </c>
      <c r="AF206" s="2681">
        <f t="shared" si="173"/>
        <v>0</v>
      </c>
      <c r="AG206" s="186">
        <f t="shared" si="173"/>
        <v>0</v>
      </c>
      <c r="AH206" s="186">
        <f t="shared" si="173"/>
        <v>0</v>
      </c>
      <c r="AI206" s="186">
        <f t="shared" si="173"/>
        <v>0</v>
      </c>
      <c r="AJ206" s="2697">
        <f t="shared" si="174"/>
        <v>0</v>
      </c>
      <c r="AK206" s="2704">
        <f t="shared" si="175"/>
        <v>0</v>
      </c>
      <c r="AL206" s="199"/>
      <c r="AM206" s="422"/>
      <c r="AO206" s="1060"/>
    </row>
    <row r="207" spans="1:41" s="66" customFormat="1" ht="15" customHeight="1" x14ac:dyDescent="0.2">
      <c r="A207" s="789"/>
      <c r="B207" s="2680"/>
      <c r="C207" s="2681"/>
      <c r="D207" s="186"/>
      <c r="E207" s="186"/>
      <c r="F207" s="186"/>
      <c r="G207" s="2682"/>
      <c r="H207" s="2681"/>
      <c r="I207" s="186"/>
      <c r="J207" s="186"/>
      <c r="K207" s="186"/>
      <c r="L207" s="2682"/>
      <c r="M207" s="2681"/>
      <c r="N207" s="186"/>
      <c r="O207" s="2681"/>
      <c r="P207" s="186"/>
      <c r="Q207" s="186"/>
      <c r="R207" s="186"/>
      <c r="S207" s="186"/>
      <c r="T207" s="186"/>
      <c r="U207" s="2697"/>
      <c r="V207" s="2681"/>
      <c r="W207" s="186"/>
      <c r="X207" s="186"/>
      <c r="Y207" s="186"/>
      <c r="Z207" s="2682"/>
      <c r="AA207" s="2681"/>
      <c r="AB207" s="186"/>
      <c r="AC207" s="186"/>
      <c r="AD207" s="186"/>
      <c r="AE207" s="2682"/>
      <c r="AF207" s="2681"/>
      <c r="AG207" s="186"/>
      <c r="AH207" s="186"/>
      <c r="AI207" s="186"/>
      <c r="AJ207" s="2697"/>
      <c r="AK207" s="2704"/>
      <c r="AL207" s="199"/>
      <c r="AM207" s="422"/>
      <c r="AO207" s="1060"/>
    </row>
    <row r="208" spans="1:41" s="2669" customFormat="1" ht="15" customHeight="1" x14ac:dyDescent="0.2">
      <c r="A208" s="2689" t="s">
        <v>568</v>
      </c>
      <c r="B208" s="2690"/>
      <c r="C208" s="2687"/>
      <c r="D208" s="689"/>
      <c r="E208" s="689"/>
      <c r="F208" s="689"/>
      <c r="G208" s="2688"/>
      <c r="H208" s="2687"/>
      <c r="I208" s="689"/>
      <c r="J208" s="689"/>
      <c r="K208" s="689"/>
      <c r="L208" s="2688"/>
      <c r="M208" s="2687"/>
      <c r="N208" s="689"/>
      <c r="O208" s="2687"/>
      <c r="P208" s="689"/>
      <c r="Q208" s="689"/>
      <c r="R208" s="689"/>
      <c r="S208" s="689"/>
      <c r="T208" s="689"/>
      <c r="U208" s="2700"/>
      <c r="V208" s="2687"/>
      <c r="W208" s="689"/>
      <c r="X208" s="689"/>
      <c r="Y208" s="689"/>
      <c r="Z208" s="2688"/>
      <c r="AA208" s="2687"/>
      <c r="AB208" s="689"/>
      <c r="AC208" s="689"/>
      <c r="AD208" s="689"/>
      <c r="AE208" s="2688"/>
      <c r="AF208" s="2687"/>
      <c r="AG208" s="689"/>
      <c r="AH208" s="689"/>
      <c r="AI208" s="689"/>
      <c r="AJ208" s="2700"/>
      <c r="AK208" s="2706"/>
      <c r="AL208" s="57"/>
      <c r="AM208" s="2665"/>
      <c r="AO208" s="2667"/>
    </row>
    <row r="209" spans="1:41" s="2669" customFormat="1" ht="15" customHeight="1" x14ac:dyDescent="0.2">
      <c r="A209" s="789" t="s">
        <v>7786</v>
      </c>
      <c r="B209" s="2680">
        <v>42001</v>
      </c>
      <c r="C209" s="2681"/>
      <c r="D209" s="186">
        <v>0</v>
      </c>
      <c r="E209" s="186">
        <v>0</v>
      </c>
      <c r="F209" s="186">
        <v>0</v>
      </c>
      <c r="G209" s="2682">
        <f>SUM(C209:F209)</f>
        <v>0</v>
      </c>
      <c r="H209" s="2681">
        <v>0</v>
      </c>
      <c r="I209" s="186">
        <v>0</v>
      </c>
      <c r="J209" s="186">
        <v>0</v>
      </c>
      <c r="K209" s="186">
        <v>0</v>
      </c>
      <c r="L209" s="2682">
        <f>SUM(H209:K209)</f>
        <v>0</v>
      </c>
      <c r="M209" s="2681">
        <v>64438</v>
      </c>
      <c r="N209" s="186">
        <f>SUM(D209,I209)</f>
        <v>0</v>
      </c>
      <c r="O209" s="2681">
        <v>0</v>
      </c>
      <c r="P209" s="186">
        <v>0</v>
      </c>
      <c r="Q209" s="186">
        <v>0</v>
      </c>
      <c r="R209" s="186">
        <f>SUM(O209:Q209)</f>
        <v>0</v>
      </c>
      <c r="S209" s="186">
        <f>SUM(E209,J209)</f>
        <v>0</v>
      </c>
      <c r="T209" s="186">
        <f>SUM(F209,K209)</f>
        <v>0</v>
      </c>
      <c r="U209" s="2697">
        <f>SUM(M209:N209,R209:T209)</f>
        <v>64438</v>
      </c>
      <c r="V209" s="2681"/>
      <c r="W209" s="186">
        <v>0</v>
      </c>
      <c r="X209" s="186">
        <v>0</v>
      </c>
      <c r="Y209" s="186">
        <v>0</v>
      </c>
      <c r="Z209" s="2682">
        <f>SUM(V209:Y209)</f>
        <v>0</v>
      </c>
      <c r="AA209" s="2681">
        <v>0</v>
      </c>
      <c r="AB209" s="186">
        <v>0</v>
      </c>
      <c r="AC209" s="186">
        <v>0</v>
      </c>
      <c r="AD209" s="186">
        <v>0</v>
      </c>
      <c r="AE209" s="2682">
        <f>SUM(AA209:AD209)</f>
        <v>0</v>
      </c>
      <c r="AF209" s="2681">
        <v>28011</v>
      </c>
      <c r="AG209" s="186">
        <v>12192</v>
      </c>
      <c r="AH209" s="186">
        <f>SUM(X209,AC209)</f>
        <v>0</v>
      </c>
      <c r="AI209" s="186">
        <f>SUM(Y209,AD209)</f>
        <v>0</v>
      </c>
      <c r="AJ209" s="2697">
        <f>SUM(AF209:AI209)</f>
        <v>40203</v>
      </c>
      <c r="AK209" s="2704">
        <f>+U209-AJ209</f>
        <v>24235</v>
      </c>
      <c r="AL209" s="199"/>
      <c r="AM209" s="2665"/>
      <c r="AO209" s="2667"/>
    </row>
    <row r="210" spans="1:41" s="2669" customFormat="1" ht="15" customHeight="1" x14ac:dyDescent="0.2">
      <c r="A210" s="789" t="s">
        <v>7787</v>
      </c>
      <c r="B210" s="2680">
        <v>42002</v>
      </c>
      <c r="C210" s="2681"/>
      <c r="D210" s="186">
        <v>0</v>
      </c>
      <c r="E210" s="186">
        <v>0</v>
      </c>
      <c r="F210" s="186">
        <v>0</v>
      </c>
      <c r="G210" s="2682">
        <f t="shared" ref="G210:G215" si="177">SUM(C210:F210)</f>
        <v>0</v>
      </c>
      <c r="H210" s="2681">
        <v>0</v>
      </c>
      <c r="I210" s="186">
        <v>0</v>
      </c>
      <c r="J210" s="186">
        <v>0</v>
      </c>
      <c r="K210" s="186">
        <v>0</v>
      </c>
      <c r="L210" s="2682">
        <f t="shared" ref="L210:L215" si="178">SUM(H210:K210)</f>
        <v>0</v>
      </c>
      <c r="M210" s="2681">
        <v>2042460</v>
      </c>
      <c r="N210" s="186">
        <f t="shared" ref="N210:N213" si="179">SUM(D210,I210)</f>
        <v>0</v>
      </c>
      <c r="O210" s="2681">
        <v>0</v>
      </c>
      <c r="P210" s="186">
        <v>0</v>
      </c>
      <c r="Q210" s="186">
        <v>0</v>
      </c>
      <c r="R210" s="186">
        <f t="shared" ref="R210:R215" si="180">SUM(O210:Q210)</f>
        <v>0</v>
      </c>
      <c r="S210" s="186">
        <f t="shared" ref="S210:T213" si="181">SUM(E210,J210)</f>
        <v>0</v>
      </c>
      <c r="T210" s="186">
        <f t="shared" si="181"/>
        <v>0</v>
      </c>
      <c r="U210" s="2697">
        <f t="shared" ref="U210:U215" si="182">SUM(M210:N210,R210:T210)</f>
        <v>2042460</v>
      </c>
      <c r="V210" s="2681"/>
      <c r="W210" s="186">
        <v>0</v>
      </c>
      <c r="X210" s="186">
        <v>0</v>
      </c>
      <c r="Y210" s="186">
        <v>0</v>
      </c>
      <c r="Z210" s="2682">
        <f t="shared" ref="Z210:Z215" si="183">SUM(V210:Y210)</f>
        <v>0</v>
      </c>
      <c r="AA210" s="2681">
        <v>0</v>
      </c>
      <c r="AB210" s="186">
        <v>0</v>
      </c>
      <c r="AC210" s="186">
        <v>0</v>
      </c>
      <c r="AD210" s="186">
        <v>0</v>
      </c>
      <c r="AE210" s="2682">
        <f t="shared" ref="AE210:AE215" si="184">SUM(AA210:AD210)</f>
        <v>0</v>
      </c>
      <c r="AF210" s="2681">
        <v>761968</v>
      </c>
      <c r="AG210" s="186">
        <v>505727</v>
      </c>
      <c r="AH210" s="186">
        <f t="shared" ref="AH210:AI213" si="185">SUM(X210,AC210)</f>
        <v>0</v>
      </c>
      <c r="AI210" s="186">
        <f t="shared" si="185"/>
        <v>0</v>
      </c>
      <c r="AJ210" s="2697">
        <f t="shared" ref="AJ210:AJ215" si="186">SUM(AF210:AI210)</f>
        <v>1267695</v>
      </c>
      <c r="AK210" s="2704">
        <f t="shared" ref="AK210:AK215" si="187">+U210-AJ210</f>
        <v>774765</v>
      </c>
      <c r="AL210" s="199"/>
      <c r="AM210" s="2665"/>
      <c r="AO210" s="2667"/>
    </row>
    <row r="211" spans="1:41" s="2669" customFormat="1" ht="15" customHeight="1" x14ac:dyDescent="0.2">
      <c r="A211" s="789" t="s">
        <v>7788</v>
      </c>
      <c r="B211" s="2680">
        <v>41001</v>
      </c>
      <c r="C211" s="2681"/>
      <c r="D211" s="186">
        <v>0</v>
      </c>
      <c r="E211" s="186">
        <v>0</v>
      </c>
      <c r="F211" s="186">
        <v>0</v>
      </c>
      <c r="G211" s="2682">
        <f t="shared" si="177"/>
        <v>0</v>
      </c>
      <c r="H211" s="2681">
        <v>0</v>
      </c>
      <c r="I211" s="186">
        <v>0</v>
      </c>
      <c r="J211" s="186">
        <v>0</v>
      </c>
      <c r="K211" s="186">
        <v>0</v>
      </c>
      <c r="L211" s="2682">
        <f t="shared" si="178"/>
        <v>0</v>
      </c>
      <c r="M211" s="2681">
        <v>133185</v>
      </c>
      <c r="N211" s="186">
        <f t="shared" si="179"/>
        <v>0</v>
      </c>
      <c r="O211" s="2681">
        <v>0</v>
      </c>
      <c r="P211" s="186">
        <v>0</v>
      </c>
      <c r="Q211" s="186">
        <v>0</v>
      </c>
      <c r="R211" s="186">
        <f t="shared" si="180"/>
        <v>0</v>
      </c>
      <c r="S211" s="186">
        <f t="shared" si="181"/>
        <v>0</v>
      </c>
      <c r="T211" s="186">
        <f t="shared" si="181"/>
        <v>0</v>
      </c>
      <c r="U211" s="2697">
        <f t="shared" si="182"/>
        <v>133185</v>
      </c>
      <c r="V211" s="2681"/>
      <c r="W211" s="186">
        <v>0</v>
      </c>
      <c r="X211" s="186">
        <v>0</v>
      </c>
      <c r="Y211" s="186">
        <v>0</v>
      </c>
      <c r="Z211" s="2682">
        <f t="shared" si="183"/>
        <v>0</v>
      </c>
      <c r="AA211" s="2681">
        <v>0</v>
      </c>
      <c r="AB211" s="186">
        <v>0</v>
      </c>
      <c r="AC211" s="186">
        <v>0</v>
      </c>
      <c r="AD211" s="186">
        <v>0</v>
      </c>
      <c r="AE211" s="2682">
        <f t="shared" si="184"/>
        <v>0</v>
      </c>
      <c r="AF211" s="2681">
        <v>27671</v>
      </c>
      <c r="AG211" s="186">
        <v>24895</v>
      </c>
      <c r="AH211" s="186">
        <f t="shared" si="185"/>
        <v>0</v>
      </c>
      <c r="AI211" s="186">
        <f t="shared" si="185"/>
        <v>0</v>
      </c>
      <c r="AJ211" s="2697">
        <f t="shared" si="186"/>
        <v>52566</v>
      </c>
      <c r="AK211" s="2704">
        <f t="shared" si="187"/>
        <v>80619</v>
      </c>
      <c r="AL211" s="199"/>
      <c r="AM211" s="2665"/>
      <c r="AO211" s="2667"/>
    </row>
    <row r="212" spans="1:41" s="2669" customFormat="1" ht="15" customHeight="1" x14ac:dyDescent="0.2">
      <c r="A212" s="789" t="s">
        <v>7789</v>
      </c>
      <c r="B212" s="2680">
        <v>43001</v>
      </c>
      <c r="C212" s="2681"/>
      <c r="D212" s="186">
        <v>0</v>
      </c>
      <c r="E212" s="186">
        <v>0</v>
      </c>
      <c r="F212" s="186">
        <v>0</v>
      </c>
      <c r="G212" s="2682">
        <f t="shared" si="177"/>
        <v>0</v>
      </c>
      <c r="H212" s="2681">
        <v>0</v>
      </c>
      <c r="I212" s="186">
        <v>0</v>
      </c>
      <c r="J212" s="186">
        <v>0</v>
      </c>
      <c r="K212" s="186">
        <v>0</v>
      </c>
      <c r="L212" s="2682">
        <f t="shared" si="178"/>
        <v>0</v>
      </c>
      <c r="M212" s="2681">
        <v>36892</v>
      </c>
      <c r="N212" s="186">
        <f t="shared" si="179"/>
        <v>0</v>
      </c>
      <c r="O212" s="2681"/>
      <c r="P212" s="186">
        <v>0</v>
      </c>
      <c r="Q212" s="186">
        <v>0</v>
      </c>
      <c r="R212" s="186">
        <f t="shared" si="180"/>
        <v>0</v>
      </c>
      <c r="S212" s="186">
        <f t="shared" si="181"/>
        <v>0</v>
      </c>
      <c r="T212" s="186">
        <f t="shared" si="181"/>
        <v>0</v>
      </c>
      <c r="U212" s="2697">
        <f t="shared" si="182"/>
        <v>36892</v>
      </c>
      <c r="V212" s="2681"/>
      <c r="W212" s="186">
        <v>0</v>
      </c>
      <c r="X212" s="186">
        <v>0</v>
      </c>
      <c r="Y212" s="186">
        <v>0</v>
      </c>
      <c r="Z212" s="2682">
        <f t="shared" si="183"/>
        <v>0</v>
      </c>
      <c r="AA212" s="2681">
        <v>0</v>
      </c>
      <c r="AB212" s="186">
        <v>0</v>
      </c>
      <c r="AC212" s="186">
        <v>0</v>
      </c>
      <c r="AD212" s="186">
        <v>0</v>
      </c>
      <c r="AE212" s="2682">
        <f t="shared" si="184"/>
        <v>0</v>
      </c>
      <c r="AF212" s="2681">
        <v>11761</v>
      </c>
      <c r="AG212" s="186">
        <v>6788</v>
      </c>
      <c r="AH212" s="186">
        <f t="shared" si="185"/>
        <v>0</v>
      </c>
      <c r="AI212" s="186">
        <f t="shared" si="185"/>
        <v>0</v>
      </c>
      <c r="AJ212" s="2697">
        <f t="shared" si="186"/>
        <v>18549</v>
      </c>
      <c r="AK212" s="2704">
        <f t="shared" si="187"/>
        <v>18343</v>
      </c>
      <c r="AL212" s="199"/>
      <c r="AM212" s="2665"/>
      <c r="AO212" s="2667"/>
    </row>
    <row r="213" spans="1:41" s="2669" customFormat="1" ht="15" customHeight="1" x14ac:dyDescent="0.2">
      <c r="A213" s="789" t="s">
        <v>7790</v>
      </c>
      <c r="B213" s="2680"/>
      <c r="C213" s="2681"/>
      <c r="D213" s="186">
        <v>0</v>
      </c>
      <c r="E213" s="186">
        <v>0</v>
      </c>
      <c r="F213" s="186">
        <v>0</v>
      </c>
      <c r="G213" s="2682">
        <f t="shared" si="177"/>
        <v>0</v>
      </c>
      <c r="H213" s="2681">
        <v>0</v>
      </c>
      <c r="I213" s="186">
        <v>0</v>
      </c>
      <c r="J213" s="186">
        <v>0</v>
      </c>
      <c r="K213" s="186">
        <v>0</v>
      </c>
      <c r="L213" s="2682">
        <f t="shared" si="178"/>
        <v>0</v>
      </c>
      <c r="M213" s="2681">
        <v>43064</v>
      </c>
      <c r="N213" s="186">
        <f t="shared" si="179"/>
        <v>0</v>
      </c>
      <c r="O213" s="2681">
        <v>0</v>
      </c>
      <c r="P213" s="186">
        <v>0</v>
      </c>
      <c r="Q213" s="186">
        <v>0</v>
      </c>
      <c r="R213" s="186">
        <f t="shared" si="180"/>
        <v>0</v>
      </c>
      <c r="S213" s="186">
        <f t="shared" si="181"/>
        <v>0</v>
      </c>
      <c r="T213" s="186">
        <f t="shared" si="181"/>
        <v>0</v>
      </c>
      <c r="U213" s="2697">
        <f t="shared" si="182"/>
        <v>43064</v>
      </c>
      <c r="V213" s="2681"/>
      <c r="W213" s="186">
        <v>0</v>
      </c>
      <c r="X213" s="186">
        <v>0</v>
      </c>
      <c r="Y213" s="186">
        <v>0</v>
      </c>
      <c r="Z213" s="2682">
        <f t="shared" si="183"/>
        <v>0</v>
      </c>
      <c r="AA213" s="2681">
        <v>0</v>
      </c>
      <c r="AB213" s="186">
        <v>0</v>
      </c>
      <c r="AC213" s="186">
        <v>0</v>
      </c>
      <c r="AD213" s="186">
        <v>0</v>
      </c>
      <c r="AE213" s="2682">
        <f t="shared" si="184"/>
        <v>0</v>
      </c>
      <c r="AF213" s="2681">
        <v>14703</v>
      </c>
      <c r="AG213" s="186">
        <v>7924</v>
      </c>
      <c r="AH213" s="186">
        <f t="shared" si="185"/>
        <v>0</v>
      </c>
      <c r="AI213" s="186">
        <f t="shared" si="185"/>
        <v>0</v>
      </c>
      <c r="AJ213" s="2697">
        <f t="shared" si="186"/>
        <v>22627</v>
      </c>
      <c r="AK213" s="2704">
        <f t="shared" si="187"/>
        <v>20437</v>
      </c>
      <c r="AL213" s="199"/>
      <c r="AM213" s="2665"/>
      <c r="AO213" s="2667"/>
    </row>
    <row r="214" spans="1:41" s="2669" customFormat="1" ht="15" customHeight="1" x14ac:dyDescent="0.2">
      <c r="A214" s="789" t="s">
        <v>7791</v>
      </c>
      <c r="B214" s="2680">
        <v>42006</v>
      </c>
      <c r="C214" s="2681"/>
      <c r="D214" s="186">
        <v>0</v>
      </c>
      <c r="E214" s="186">
        <v>0</v>
      </c>
      <c r="F214" s="186">
        <v>0</v>
      </c>
      <c r="G214" s="2682">
        <f t="shared" si="177"/>
        <v>0</v>
      </c>
      <c r="H214" s="2681">
        <v>0</v>
      </c>
      <c r="I214" s="186">
        <v>0</v>
      </c>
      <c r="J214" s="186">
        <v>0</v>
      </c>
      <c r="K214" s="186">
        <v>0</v>
      </c>
      <c r="L214" s="2682">
        <f t="shared" si="178"/>
        <v>0</v>
      </c>
      <c r="M214" s="2681">
        <v>59249</v>
      </c>
      <c r="N214" s="186">
        <f>SUM(D214,I214)</f>
        <v>0</v>
      </c>
      <c r="O214" s="2681">
        <v>0</v>
      </c>
      <c r="P214" s="186">
        <v>0</v>
      </c>
      <c r="Q214" s="186">
        <v>0</v>
      </c>
      <c r="R214" s="186">
        <f t="shared" si="180"/>
        <v>0</v>
      </c>
      <c r="S214" s="186">
        <f>SUM(E214,J214)</f>
        <v>0</v>
      </c>
      <c r="T214" s="186">
        <f>SUM(F214,K214)</f>
        <v>0</v>
      </c>
      <c r="U214" s="2697">
        <f t="shared" si="182"/>
        <v>59249</v>
      </c>
      <c r="V214" s="2681"/>
      <c r="W214" s="186">
        <v>0</v>
      </c>
      <c r="X214" s="186">
        <v>0</v>
      </c>
      <c r="Y214" s="186">
        <v>0</v>
      </c>
      <c r="Z214" s="2682">
        <f t="shared" si="183"/>
        <v>0</v>
      </c>
      <c r="AA214" s="2681">
        <v>0</v>
      </c>
      <c r="AB214" s="186">
        <v>0</v>
      </c>
      <c r="AC214" s="186">
        <v>0</v>
      </c>
      <c r="AD214" s="186">
        <v>0</v>
      </c>
      <c r="AE214" s="2682">
        <f t="shared" si="184"/>
        <v>0</v>
      </c>
      <c r="AF214" s="2681">
        <v>17267</v>
      </c>
      <c r="AG214" s="186">
        <v>13627</v>
      </c>
      <c r="AH214" s="186">
        <f t="shared" ref="AH214:AI215" si="188">SUM(X214,AC214)</f>
        <v>0</v>
      </c>
      <c r="AI214" s="186">
        <f t="shared" si="188"/>
        <v>0</v>
      </c>
      <c r="AJ214" s="2697">
        <f t="shared" si="186"/>
        <v>30894</v>
      </c>
      <c r="AK214" s="2704">
        <f t="shared" si="187"/>
        <v>28355</v>
      </c>
      <c r="AL214" s="199"/>
      <c r="AM214" s="2665"/>
      <c r="AO214" s="2667"/>
    </row>
    <row r="215" spans="1:41" s="2669" customFormat="1" ht="15" customHeight="1" x14ac:dyDescent="0.2">
      <c r="A215" s="789" t="s">
        <v>7792</v>
      </c>
      <c r="B215" s="2680">
        <v>42008</v>
      </c>
      <c r="C215" s="2681"/>
      <c r="D215" s="186">
        <v>0</v>
      </c>
      <c r="E215" s="186">
        <v>0</v>
      </c>
      <c r="F215" s="186">
        <v>0</v>
      </c>
      <c r="G215" s="2682">
        <f t="shared" si="177"/>
        <v>0</v>
      </c>
      <c r="H215" s="2681">
        <v>0</v>
      </c>
      <c r="I215" s="186">
        <v>0</v>
      </c>
      <c r="J215" s="186">
        <v>0</v>
      </c>
      <c r="K215" s="186">
        <v>0</v>
      </c>
      <c r="L215" s="2682">
        <f t="shared" si="178"/>
        <v>0</v>
      </c>
      <c r="M215" s="2681">
        <v>34500</v>
      </c>
      <c r="N215" s="186">
        <f>SUM(D215,I215)</f>
        <v>0</v>
      </c>
      <c r="O215" s="2681">
        <v>0</v>
      </c>
      <c r="P215" s="186">
        <v>0</v>
      </c>
      <c r="Q215" s="186">
        <v>0</v>
      </c>
      <c r="R215" s="186">
        <f t="shared" si="180"/>
        <v>0</v>
      </c>
      <c r="S215" s="186">
        <f>SUM(E215,J215)</f>
        <v>0</v>
      </c>
      <c r="T215" s="186">
        <f>SUM(F215,K215)</f>
        <v>0</v>
      </c>
      <c r="U215" s="2697">
        <f t="shared" si="182"/>
        <v>34500</v>
      </c>
      <c r="V215" s="2681"/>
      <c r="W215" s="186">
        <v>0</v>
      </c>
      <c r="X215" s="186">
        <v>0</v>
      </c>
      <c r="Y215" s="186">
        <v>0</v>
      </c>
      <c r="Z215" s="2682">
        <f t="shared" si="183"/>
        <v>0</v>
      </c>
      <c r="AA215" s="2681">
        <v>0</v>
      </c>
      <c r="AB215" s="186">
        <v>0</v>
      </c>
      <c r="AC215" s="186">
        <v>0</v>
      </c>
      <c r="AD215" s="186">
        <v>0</v>
      </c>
      <c r="AE215" s="2682">
        <f t="shared" si="184"/>
        <v>0</v>
      </c>
      <c r="AF215" s="2681">
        <v>15341</v>
      </c>
      <c r="AG215" s="186">
        <v>2116</v>
      </c>
      <c r="AH215" s="186">
        <f t="shared" si="188"/>
        <v>0</v>
      </c>
      <c r="AI215" s="186">
        <f t="shared" si="188"/>
        <v>0</v>
      </c>
      <c r="AJ215" s="2697">
        <f t="shared" si="186"/>
        <v>17457</v>
      </c>
      <c r="AK215" s="2704">
        <f t="shared" si="187"/>
        <v>17043</v>
      </c>
      <c r="AL215" s="199"/>
      <c r="AM215" s="2665"/>
      <c r="AO215" s="2667"/>
    </row>
    <row r="216" spans="1:41" s="66" customFormat="1" ht="15" customHeight="1" x14ac:dyDescent="0.2">
      <c r="A216" s="789"/>
      <c r="B216" s="2680"/>
      <c r="C216" s="2681"/>
      <c r="D216" s="186"/>
      <c r="E216" s="186"/>
      <c r="F216" s="186"/>
      <c r="G216" s="2682"/>
      <c r="H216" s="2681"/>
      <c r="I216" s="186"/>
      <c r="J216" s="186"/>
      <c r="K216" s="186"/>
      <c r="L216" s="2682"/>
      <c r="M216" s="2681"/>
      <c r="N216" s="186"/>
      <c r="O216" s="2681"/>
      <c r="P216" s="186"/>
      <c r="Q216" s="186"/>
      <c r="R216" s="186"/>
      <c r="S216" s="186"/>
      <c r="T216" s="186"/>
      <c r="U216" s="2697"/>
      <c r="V216" s="2681"/>
      <c r="W216" s="186"/>
      <c r="X216" s="186"/>
      <c r="Y216" s="186"/>
      <c r="Z216" s="2682"/>
      <c r="AA216" s="2681"/>
      <c r="AB216" s="186"/>
      <c r="AC216" s="186"/>
      <c r="AD216" s="186"/>
      <c r="AE216" s="2682"/>
      <c r="AF216" s="2681"/>
      <c r="AG216" s="186"/>
      <c r="AH216" s="186"/>
      <c r="AI216" s="186"/>
      <c r="AJ216" s="2697"/>
      <c r="AK216" s="2704"/>
      <c r="AL216" s="199"/>
      <c r="AM216" s="422"/>
      <c r="AO216" s="1060"/>
    </row>
    <row r="217" spans="1:41" s="2669" customFormat="1" ht="15" customHeight="1" x14ac:dyDescent="0.2">
      <c r="A217" s="2689" t="s">
        <v>569</v>
      </c>
      <c r="B217" s="2690"/>
      <c r="C217" s="2687"/>
      <c r="D217" s="689"/>
      <c r="E217" s="689"/>
      <c r="F217" s="689"/>
      <c r="G217" s="2688"/>
      <c r="H217" s="2687"/>
      <c r="I217" s="689"/>
      <c r="J217" s="689"/>
      <c r="K217" s="689"/>
      <c r="L217" s="2688"/>
      <c r="M217" s="2687"/>
      <c r="N217" s="689"/>
      <c r="O217" s="2687"/>
      <c r="P217" s="689"/>
      <c r="Q217" s="689"/>
      <c r="R217" s="689"/>
      <c r="S217" s="689"/>
      <c r="T217" s="689"/>
      <c r="U217" s="2700"/>
      <c r="V217" s="2687"/>
      <c r="W217" s="689"/>
      <c r="X217" s="689"/>
      <c r="Y217" s="689"/>
      <c r="Z217" s="2688"/>
      <c r="AA217" s="2687"/>
      <c r="AB217" s="689"/>
      <c r="AC217" s="689"/>
      <c r="AD217" s="689"/>
      <c r="AE217" s="2688"/>
      <c r="AF217" s="2687"/>
      <c r="AG217" s="689"/>
      <c r="AH217" s="689"/>
      <c r="AI217" s="689"/>
      <c r="AJ217" s="2700"/>
      <c r="AK217" s="2706"/>
      <c r="AL217" s="57"/>
      <c r="AM217" s="2670"/>
      <c r="AO217" s="2667"/>
    </row>
    <row r="218" spans="1:41" s="2669" customFormat="1" ht="15" customHeight="1" x14ac:dyDescent="0.2">
      <c r="A218" s="789" t="s">
        <v>7793</v>
      </c>
      <c r="B218" s="2680"/>
      <c r="C218" s="2681"/>
      <c r="D218" s="186">
        <v>0</v>
      </c>
      <c r="E218" s="186">
        <v>0</v>
      </c>
      <c r="F218" s="186">
        <v>0</v>
      </c>
      <c r="G218" s="2682">
        <f t="shared" ref="G218:G242" si="189">SUM(C218:F218)</f>
        <v>0</v>
      </c>
      <c r="H218" s="2681">
        <v>0</v>
      </c>
      <c r="I218" s="186">
        <v>0</v>
      </c>
      <c r="J218" s="186">
        <v>0</v>
      </c>
      <c r="K218" s="186">
        <v>0</v>
      </c>
      <c r="L218" s="2682">
        <f t="shared" ref="L218:L242" si="190">SUM(H218:K218)</f>
        <v>0</v>
      </c>
      <c r="M218" s="2681">
        <v>255164</v>
      </c>
      <c r="N218" s="186">
        <f t="shared" ref="N218:N243" si="191">SUM(D218,I218)</f>
        <v>0</v>
      </c>
      <c r="O218" s="2681">
        <v>0</v>
      </c>
      <c r="P218" s="186">
        <v>0</v>
      </c>
      <c r="Q218" s="186">
        <v>0</v>
      </c>
      <c r="R218" s="186">
        <f t="shared" ref="R218:R242" si="192">SUM(O218:Q218)</f>
        <v>0</v>
      </c>
      <c r="S218" s="186">
        <f t="shared" ref="S218:S243" si="193">SUM(E218,J218)</f>
        <v>0</v>
      </c>
      <c r="T218" s="186">
        <f t="shared" ref="T218:T243" si="194">SUM(F218,K218)</f>
        <v>0</v>
      </c>
      <c r="U218" s="2697">
        <f t="shared" ref="U218:U242" si="195">SUM(M218:N218,R218:T218)</f>
        <v>255164</v>
      </c>
      <c r="V218" s="2681"/>
      <c r="W218" s="186">
        <v>0</v>
      </c>
      <c r="X218" s="186">
        <v>0</v>
      </c>
      <c r="Y218" s="186">
        <v>0</v>
      </c>
      <c r="Z218" s="2682">
        <f t="shared" ref="Z218:Z242" si="196">SUM(V218:Y218)</f>
        <v>0</v>
      </c>
      <c r="AA218" s="2681">
        <v>0</v>
      </c>
      <c r="AB218" s="186">
        <v>0</v>
      </c>
      <c r="AC218" s="186">
        <v>0</v>
      </c>
      <c r="AD218" s="186">
        <v>0</v>
      </c>
      <c r="AE218" s="2682">
        <f t="shared" ref="AE218:AE242" si="197">SUM(AA218:AD218)</f>
        <v>0</v>
      </c>
      <c r="AF218" s="2681">
        <v>49325</v>
      </c>
      <c r="AG218" s="186">
        <v>57412</v>
      </c>
      <c r="AH218" s="186">
        <f t="shared" ref="AH218:AH243" si="198">SUM(X218,AC218)</f>
        <v>0</v>
      </c>
      <c r="AI218" s="186">
        <f t="shared" ref="AI218:AI243" si="199">SUM(Y218,AD218)</f>
        <v>0</v>
      </c>
      <c r="AJ218" s="2697">
        <f t="shared" ref="AJ218:AJ242" si="200">SUM(AF218:AI218)</f>
        <v>106737</v>
      </c>
      <c r="AK218" s="2704">
        <f t="shared" ref="AK218:AK242" si="201">+U218-AJ218</f>
        <v>148427</v>
      </c>
      <c r="AL218" s="199"/>
      <c r="AM218" s="2668"/>
      <c r="AO218" s="2667"/>
    </row>
    <row r="219" spans="1:41" s="2669" customFormat="1" ht="15" customHeight="1" x14ac:dyDescent="0.2">
      <c r="A219" s="789" t="s">
        <v>7794</v>
      </c>
      <c r="B219" s="2680"/>
      <c r="C219" s="2681"/>
      <c r="D219" s="186">
        <v>0</v>
      </c>
      <c r="E219" s="186">
        <v>0</v>
      </c>
      <c r="F219" s="186">
        <v>0</v>
      </c>
      <c r="G219" s="2682">
        <f t="shared" si="189"/>
        <v>0</v>
      </c>
      <c r="H219" s="2681">
        <v>0</v>
      </c>
      <c r="I219" s="186">
        <v>0</v>
      </c>
      <c r="J219" s="186">
        <v>0</v>
      </c>
      <c r="K219" s="186">
        <v>0</v>
      </c>
      <c r="L219" s="2682">
        <f t="shared" si="190"/>
        <v>0</v>
      </c>
      <c r="M219" s="2681">
        <v>925073</v>
      </c>
      <c r="N219" s="186">
        <f t="shared" si="191"/>
        <v>0</v>
      </c>
      <c r="O219" s="2681">
        <v>0</v>
      </c>
      <c r="P219" s="186">
        <v>0</v>
      </c>
      <c r="Q219" s="186">
        <v>0</v>
      </c>
      <c r="R219" s="186">
        <f t="shared" si="192"/>
        <v>0</v>
      </c>
      <c r="S219" s="186">
        <f t="shared" si="193"/>
        <v>0</v>
      </c>
      <c r="T219" s="186">
        <f t="shared" si="194"/>
        <v>0</v>
      </c>
      <c r="U219" s="2697">
        <f t="shared" si="195"/>
        <v>925073</v>
      </c>
      <c r="V219" s="2681"/>
      <c r="W219" s="186">
        <v>0</v>
      </c>
      <c r="X219" s="186">
        <v>0</v>
      </c>
      <c r="Y219" s="186">
        <v>0</v>
      </c>
      <c r="Z219" s="2682">
        <f t="shared" si="196"/>
        <v>0</v>
      </c>
      <c r="AA219" s="2681">
        <v>0</v>
      </c>
      <c r="AB219" s="186">
        <v>0</v>
      </c>
      <c r="AC219" s="186">
        <v>0</v>
      </c>
      <c r="AD219" s="186">
        <v>0</v>
      </c>
      <c r="AE219" s="2682">
        <f t="shared" si="197"/>
        <v>0</v>
      </c>
      <c r="AF219" s="2681">
        <v>317145</v>
      </c>
      <c r="AG219" s="186">
        <v>118938</v>
      </c>
      <c r="AH219" s="186">
        <f t="shared" si="198"/>
        <v>0</v>
      </c>
      <c r="AI219" s="186">
        <f t="shared" si="199"/>
        <v>0</v>
      </c>
      <c r="AJ219" s="2697">
        <f t="shared" si="200"/>
        <v>436083</v>
      </c>
      <c r="AK219" s="2704">
        <f t="shared" si="201"/>
        <v>488990</v>
      </c>
      <c r="AL219" s="199"/>
      <c r="AM219" s="2668"/>
      <c r="AO219" s="2667"/>
    </row>
    <row r="220" spans="1:41" s="2669" customFormat="1" ht="15" customHeight="1" x14ac:dyDescent="0.2">
      <c r="A220" s="789" t="s">
        <v>7795</v>
      </c>
      <c r="B220" s="2680"/>
      <c r="C220" s="2681"/>
      <c r="D220" s="186">
        <v>0</v>
      </c>
      <c r="E220" s="186">
        <v>0</v>
      </c>
      <c r="F220" s="186">
        <v>0</v>
      </c>
      <c r="G220" s="2682">
        <f t="shared" si="189"/>
        <v>0</v>
      </c>
      <c r="H220" s="2681">
        <v>0</v>
      </c>
      <c r="I220" s="186">
        <v>0</v>
      </c>
      <c r="J220" s="186">
        <v>0</v>
      </c>
      <c r="K220" s="186">
        <v>0</v>
      </c>
      <c r="L220" s="2682">
        <f t="shared" si="190"/>
        <v>0</v>
      </c>
      <c r="M220" s="2681">
        <v>34920</v>
      </c>
      <c r="N220" s="186">
        <f t="shared" si="191"/>
        <v>0</v>
      </c>
      <c r="O220" s="2681">
        <v>0</v>
      </c>
      <c r="P220" s="186">
        <v>0</v>
      </c>
      <c r="Q220" s="186">
        <v>0</v>
      </c>
      <c r="R220" s="186">
        <f t="shared" si="192"/>
        <v>0</v>
      </c>
      <c r="S220" s="186">
        <f t="shared" si="193"/>
        <v>0</v>
      </c>
      <c r="T220" s="186">
        <f t="shared" si="194"/>
        <v>0</v>
      </c>
      <c r="U220" s="2697">
        <f t="shared" si="195"/>
        <v>34920</v>
      </c>
      <c r="V220" s="2681"/>
      <c r="W220" s="186">
        <v>0</v>
      </c>
      <c r="X220" s="186">
        <v>0</v>
      </c>
      <c r="Y220" s="186">
        <v>0</v>
      </c>
      <c r="Z220" s="2682">
        <f t="shared" si="196"/>
        <v>0</v>
      </c>
      <c r="AA220" s="2681">
        <v>0</v>
      </c>
      <c r="AB220" s="186">
        <v>0</v>
      </c>
      <c r="AC220" s="186">
        <v>0</v>
      </c>
      <c r="AD220" s="186">
        <v>0</v>
      </c>
      <c r="AE220" s="2682">
        <f t="shared" si="197"/>
        <v>0</v>
      </c>
      <c r="AF220" s="2681">
        <v>11508</v>
      </c>
      <c r="AG220" s="186">
        <v>6286</v>
      </c>
      <c r="AH220" s="186">
        <f t="shared" si="198"/>
        <v>0</v>
      </c>
      <c r="AI220" s="186">
        <f t="shared" si="199"/>
        <v>0</v>
      </c>
      <c r="AJ220" s="2697">
        <f t="shared" si="200"/>
        <v>17794</v>
      </c>
      <c r="AK220" s="2704">
        <f t="shared" si="201"/>
        <v>17126</v>
      </c>
      <c r="AL220" s="199"/>
      <c r="AM220" s="2668"/>
      <c r="AO220" s="2667"/>
    </row>
    <row r="221" spans="1:41" s="2669" customFormat="1" ht="15" customHeight="1" x14ac:dyDescent="0.2">
      <c r="A221" s="789" t="s">
        <v>570</v>
      </c>
      <c r="B221" s="2680"/>
      <c r="C221" s="2681"/>
      <c r="D221" s="186">
        <v>0</v>
      </c>
      <c r="E221" s="186">
        <v>0</v>
      </c>
      <c r="F221" s="186">
        <v>0</v>
      </c>
      <c r="G221" s="2682">
        <f t="shared" si="189"/>
        <v>0</v>
      </c>
      <c r="H221" s="2681">
        <v>0</v>
      </c>
      <c r="I221" s="186">
        <v>0</v>
      </c>
      <c r="J221" s="186">
        <v>0</v>
      </c>
      <c r="K221" s="186">
        <v>0</v>
      </c>
      <c r="L221" s="2682">
        <f t="shared" si="190"/>
        <v>0</v>
      </c>
      <c r="M221" s="2681">
        <v>24990</v>
      </c>
      <c r="N221" s="186">
        <f t="shared" si="191"/>
        <v>0</v>
      </c>
      <c r="O221" s="2681">
        <v>0</v>
      </c>
      <c r="P221" s="186">
        <v>0</v>
      </c>
      <c r="Q221" s="186">
        <v>0</v>
      </c>
      <c r="R221" s="186">
        <f t="shared" si="192"/>
        <v>0</v>
      </c>
      <c r="S221" s="186">
        <f t="shared" si="193"/>
        <v>0</v>
      </c>
      <c r="T221" s="186">
        <f t="shared" si="194"/>
        <v>0</v>
      </c>
      <c r="U221" s="2697">
        <f t="shared" si="195"/>
        <v>24990</v>
      </c>
      <c r="V221" s="2681"/>
      <c r="W221" s="186">
        <v>0</v>
      </c>
      <c r="X221" s="186">
        <v>0</v>
      </c>
      <c r="Y221" s="186">
        <v>0</v>
      </c>
      <c r="Z221" s="2682">
        <f t="shared" si="196"/>
        <v>0</v>
      </c>
      <c r="AA221" s="2681">
        <v>0</v>
      </c>
      <c r="AB221" s="186">
        <v>0</v>
      </c>
      <c r="AC221" s="186">
        <v>0</v>
      </c>
      <c r="AD221" s="186">
        <v>0</v>
      </c>
      <c r="AE221" s="2682">
        <f t="shared" si="197"/>
        <v>0</v>
      </c>
      <c r="AF221" s="2681">
        <v>13611</v>
      </c>
      <c r="AG221" s="186">
        <v>3213</v>
      </c>
      <c r="AH221" s="186">
        <f t="shared" si="198"/>
        <v>0</v>
      </c>
      <c r="AI221" s="186">
        <f t="shared" si="199"/>
        <v>0</v>
      </c>
      <c r="AJ221" s="2697">
        <f t="shared" si="200"/>
        <v>16824</v>
      </c>
      <c r="AK221" s="2704">
        <f t="shared" si="201"/>
        <v>8166</v>
      </c>
      <c r="AL221" s="199"/>
      <c r="AM221" s="2668"/>
      <c r="AO221" s="2667"/>
    </row>
    <row r="222" spans="1:41" s="2669" customFormat="1" ht="15" customHeight="1" x14ac:dyDescent="0.2">
      <c r="A222" s="789" t="s">
        <v>7796</v>
      </c>
      <c r="B222" s="2680">
        <v>41005</v>
      </c>
      <c r="C222" s="2681"/>
      <c r="D222" s="186">
        <v>0</v>
      </c>
      <c r="E222" s="186">
        <v>0</v>
      </c>
      <c r="F222" s="186">
        <v>0</v>
      </c>
      <c r="G222" s="2682">
        <f>SUM(C222:F222)</f>
        <v>0</v>
      </c>
      <c r="H222" s="2681">
        <v>0</v>
      </c>
      <c r="I222" s="186">
        <v>0</v>
      </c>
      <c r="J222" s="186">
        <v>0</v>
      </c>
      <c r="K222" s="186">
        <v>0</v>
      </c>
      <c r="L222" s="2682">
        <f>SUM(H222:K222)</f>
        <v>0</v>
      </c>
      <c r="M222" s="2681">
        <v>9682</v>
      </c>
      <c r="N222" s="186">
        <f t="shared" ref="M222:N224" si="202">SUM(D222,I222)</f>
        <v>0</v>
      </c>
      <c r="O222" s="2681">
        <v>0</v>
      </c>
      <c r="P222" s="186">
        <v>0</v>
      </c>
      <c r="Q222" s="186">
        <v>0</v>
      </c>
      <c r="R222" s="186">
        <f>SUM(O222:Q222)</f>
        <v>0</v>
      </c>
      <c r="S222" s="186">
        <f t="shared" ref="S222:T224" si="203">SUM(E222,J222)</f>
        <v>0</v>
      </c>
      <c r="T222" s="186">
        <f t="shared" si="203"/>
        <v>0</v>
      </c>
      <c r="U222" s="2697">
        <f>SUM(M222:N222,R222:T222)</f>
        <v>9682</v>
      </c>
      <c r="V222" s="2681"/>
      <c r="W222" s="186">
        <v>0</v>
      </c>
      <c r="X222" s="186">
        <v>0</v>
      </c>
      <c r="Y222" s="186">
        <v>0</v>
      </c>
      <c r="Z222" s="2682">
        <f>SUM(V222:Y222)</f>
        <v>0</v>
      </c>
      <c r="AA222" s="2681">
        <v>0</v>
      </c>
      <c r="AB222" s="186">
        <v>0</v>
      </c>
      <c r="AC222" s="186">
        <v>0</v>
      </c>
      <c r="AD222" s="186">
        <v>0</v>
      </c>
      <c r="AE222" s="2682">
        <f>SUM(AA222:AD222)</f>
        <v>0</v>
      </c>
      <c r="AF222" s="2681">
        <v>4792</v>
      </c>
      <c r="AG222" s="186">
        <v>1743</v>
      </c>
      <c r="AH222" s="186">
        <f t="shared" ref="AF222:AI224" si="204">SUM(X222,AC222)</f>
        <v>0</v>
      </c>
      <c r="AI222" s="186">
        <f t="shared" si="204"/>
        <v>0</v>
      </c>
      <c r="AJ222" s="2697">
        <f>SUM(AF222:AI222)</f>
        <v>6535</v>
      </c>
      <c r="AK222" s="2704">
        <f>+U222-AJ222</f>
        <v>3147</v>
      </c>
      <c r="AL222" s="199"/>
      <c r="AM222" s="2665"/>
      <c r="AO222" s="2667"/>
    </row>
    <row r="223" spans="1:41" s="2669" customFormat="1" ht="15" customHeight="1" x14ac:dyDescent="0.2">
      <c r="A223" s="789" t="s">
        <v>7797</v>
      </c>
      <c r="B223" s="2680"/>
      <c r="C223" s="2681"/>
      <c r="D223" s="186">
        <v>0</v>
      </c>
      <c r="E223" s="186">
        <v>0</v>
      </c>
      <c r="F223" s="186">
        <v>0</v>
      </c>
      <c r="G223" s="2682">
        <f>SUM(C223:F223)</f>
        <v>0</v>
      </c>
      <c r="H223" s="2681">
        <v>0</v>
      </c>
      <c r="I223" s="186">
        <v>0</v>
      </c>
      <c r="J223" s="186">
        <v>0</v>
      </c>
      <c r="K223" s="186">
        <v>0</v>
      </c>
      <c r="L223" s="2682">
        <f>SUM(H223:K223)</f>
        <v>0</v>
      </c>
      <c r="M223" s="2681">
        <v>234067</v>
      </c>
      <c r="N223" s="186">
        <f t="shared" si="202"/>
        <v>0</v>
      </c>
      <c r="O223" s="2681">
        <v>0</v>
      </c>
      <c r="P223" s="186">
        <v>0</v>
      </c>
      <c r="Q223" s="186">
        <v>0</v>
      </c>
      <c r="R223" s="186">
        <f>SUM(O223:Q223)</f>
        <v>0</v>
      </c>
      <c r="S223" s="186">
        <f t="shared" si="203"/>
        <v>0</v>
      </c>
      <c r="T223" s="186">
        <f t="shared" si="203"/>
        <v>0</v>
      </c>
      <c r="U223" s="2697">
        <f>SUM(M223:N223,R223:T223)</f>
        <v>234067</v>
      </c>
      <c r="V223" s="2681"/>
      <c r="W223" s="186">
        <v>0</v>
      </c>
      <c r="X223" s="186">
        <v>0</v>
      </c>
      <c r="Y223" s="186">
        <v>0</v>
      </c>
      <c r="Z223" s="2682">
        <f>SUM(V223:Y223)</f>
        <v>0</v>
      </c>
      <c r="AA223" s="2681">
        <v>0</v>
      </c>
      <c r="AB223" s="186">
        <v>0</v>
      </c>
      <c r="AC223" s="186">
        <v>0</v>
      </c>
      <c r="AD223" s="186">
        <v>0</v>
      </c>
      <c r="AE223" s="2682">
        <f>SUM(AA223:AD223)</f>
        <v>0</v>
      </c>
      <c r="AF223" s="2681">
        <v>64607</v>
      </c>
      <c r="AG223" s="186">
        <v>42132</v>
      </c>
      <c r="AH223" s="186">
        <f t="shared" si="204"/>
        <v>0</v>
      </c>
      <c r="AI223" s="186">
        <f t="shared" si="204"/>
        <v>0</v>
      </c>
      <c r="AJ223" s="2697">
        <f>SUM(AF223:AI223)</f>
        <v>106739</v>
      </c>
      <c r="AK223" s="2704">
        <f>+U223-AJ223</f>
        <v>127328</v>
      </c>
      <c r="AL223" s="199"/>
      <c r="AM223" s="2665"/>
      <c r="AO223" s="2667"/>
    </row>
    <row r="224" spans="1:41" s="66" customFormat="1" ht="15" hidden="1" customHeight="1" x14ac:dyDescent="0.2">
      <c r="A224" s="733" t="s">
        <v>2108</v>
      </c>
      <c r="B224" s="784">
        <v>41006</v>
      </c>
      <c r="C224" s="418"/>
      <c r="D224" s="419">
        <v>0</v>
      </c>
      <c r="E224" s="419">
        <v>0</v>
      </c>
      <c r="F224" s="419">
        <v>0</v>
      </c>
      <c r="G224" s="417">
        <f>SUM(C224:F224)</f>
        <v>0</v>
      </c>
      <c r="H224" s="418">
        <v>0</v>
      </c>
      <c r="I224" s="419">
        <v>0</v>
      </c>
      <c r="J224" s="419">
        <v>0</v>
      </c>
      <c r="K224" s="419">
        <v>0</v>
      </c>
      <c r="L224" s="417">
        <f>SUM(H224:K224)</f>
        <v>0</v>
      </c>
      <c r="M224" s="416">
        <f t="shared" si="202"/>
        <v>0</v>
      </c>
      <c r="N224" s="111">
        <f t="shared" si="202"/>
        <v>0</v>
      </c>
      <c r="O224" s="418">
        <v>0</v>
      </c>
      <c r="P224" s="419">
        <v>0</v>
      </c>
      <c r="Q224" s="419">
        <v>0</v>
      </c>
      <c r="R224" s="186">
        <f>SUM(O224:Q224)</f>
        <v>0</v>
      </c>
      <c r="S224" s="111">
        <f t="shared" si="203"/>
        <v>0</v>
      </c>
      <c r="T224" s="111">
        <f t="shared" si="203"/>
        <v>0</v>
      </c>
      <c r="U224" s="417">
        <f>SUM(M224:N224,R224:T224)</f>
        <v>0</v>
      </c>
      <c r="V224" s="418"/>
      <c r="W224" s="419">
        <v>0</v>
      </c>
      <c r="X224" s="419">
        <v>0</v>
      </c>
      <c r="Y224" s="419">
        <v>0</v>
      </c>
      <c r="Z224" s="417">
        <f>SUM(V224:Y224)</f>
        <v>0</v>
      </c>
      <c r="AA224" s="418">
        <v>0</v>
      </c>
      <c r="AB224" s="419">
        <v>0</v>
      </c>
      <c r="AC224" s="419">
        <v>0</v>
      </c>
      <c r="AD224" s="419">
        <v>0</v>
      </c>
      <c r="AE224" s="417">
        <f>SUM(AA224:AD224)</f>
        <v>0</v>
      </c>
      <c r="AF224" s="416">
        <f t="shared" si="204"/>
        <v>0</v>
      </c>
      <c r="AG224" s="111">
        <f t="shared" si="204"/>
        <v>0</v>
      </c>
      <c r="AH224" s="111">
        <f t="shared" si="204"/>
        <v>0</v>
      </c>
      <c r="AI224" s="111">
        <f t="shared" si="204"/>
        <v>0</v>
      </c>
      <c r="AJ224" s="417">
        <f>SUM(AF224:AI224)</f>
        <v>0</v>
      </c>
      <c r="AK224" s="420">
        <f>+U224-AJ224</f>
        <v>0</v>
      </c>
      <c r="AL224" s="423"/>
      <c r="AM224" s="422"/>
      <c r="AO224" s="1060"/>
    </row>
    <row r="225" spans="1:41" s="66" customFormat="1" ht="15" hidden="1" customHeight="1" x14ac:dyDescent="0.2">
      <c r="A225" s="733" t="s">
        <v>571</v>
      </c>
      <c r="B225" s="784">
        <v>41009</v>
      </c>
      <c r="C225" s="418"/>
      <c r="D225" s="419">
        <v>0</v>
      </c>
      <c r="E225" s="419">
        <v>0</v>
      </c>
      <c r="F225" s="419">
        <v>0</v>
      </c>
      <c r="G225" s="417">
        <f t="shared" si="189"/>
        <v>0</v>
      </c>
      <c r="H225" s="418">
        <v>0</v>
      </c>
      <c r="I225" s="419">
        <v>0</v>
      </c>
      <c r="J225" s="419">
        <v>0</v>
      </c>
      <c r="K225" s="419">
        <v>0</v>
      </c>
      <c r="L225" s="417">
        <f t="shared" si="190"/>
        <v>0</v>
      </c>
      <c r="M225" s="416">
        <f t="shared" ref="M225:M243" si="205">SUM(C225,H225)</f>
        <v>0</v>
      </c>
      <c r="N225" s="111">
        <f t="shared" si="191"/>
        <v>0</v>
      </c>
      <c r="O225" s="418">
        <v>0</v>
      </c>
      <c r="P225" s="419">
        <v>0</v>
      </c>
      <c r="Q225" s="419">
        <v>0</v>
      </c>
      <c r="R225" s="186">
        <f t="shared" si="192"/>
        <v>0</v>
      </c>
      <c r="S225" s="111">
        <f t="shared" si="193"/>
        <v>0</v>
      </c>
      <c r="T225" s="111">
        <f t="shared" si="194"/>
        <v>0</v>
      </c>
      <c r="U225" s="417">
        <f t="shared" si="195"/>
        <v>0</v>
      </c>
      <c r="V225" s="418"/>
      <c r="W225" s="419">
        <v>0</v>
      </c>
      <c r="X225" s="419">
        <v>0</v>
      </c>
      <c r="Y225" s="419">
        <v>0</v>
      </c>
      <c r="Z225" s="417">
        <f t="shared" si="196"/>
        <v>0</v>
      </c>
      <c r="AA225" s="418">
        <v>0</v>
      </c>
      <c r="AB225" s="419">
        <v>0</v>
      </c>
      <c r="AC225" s="419">
        <v>0</v>
      </c>
      <c r="AD225" s="419">
        <v>0</v>
      </c>
      <c r="AE225" s="417">
        <f t="shared" si="197"/>
        <v>0</v>
      </c>
      <c r="AF225" s="416">
        <f t="shared" ref="AF225:AF243" si="206">SUM(V225,AA225)</f>
        <v>0</v>
      </c>
      <c r="AG225" s="111">
        <f t="shared" ref="AG225:AG243" si="207">SUM(W225,AB225)</f>
        <v>0</v>
      </c>
      <c r="AH225" s="111">
        <f t="shared" si="198"/>
        <v>0</v>
      </c>
      <c r="AI225" s="111">
        <f t="shared" si="199"/>
        <v>0</v>
      </c>
      <c r="AJ225" s="417">
        <f t="shared" si="200"/>
        <v>0</v>
      </c>
      <c r="AK225" s="420">
        <f t="shared" si="201"/>
        <v>0</v>
      </c>
      <c r="AL225" s="423"/>
      <c r="AM225" s="422"/>
      <c r="AO225" s="1060"/>
    </row>
    <row r="226" spans="1:41" s="66" customFormat="1" ht="15" hidden="1" customHeight="1" x14ac:dyDescent="0.2">
      <c r="A226" s="733" t="s">
        <v>299</v>
      </c>
      <c r="B226" s="784"/>
      <c r="C226" s="418"/>
      <c r="D226" s="419">
        <v>0</v>
      </c>
      <c r="E226" s="419">
        <v>0</v>
      </c>
      <c r="F226" s="419">
        <v>0</v>
      </c>
      <c r="G226" s="417">
        <f t="shared" si="189"/>
        <v>0</v>
      </c>
      <c r="H226" s="418">
        <v>0</v>
      </c>
      <c r="I226" s="419">
        <v>0</v>
      </c>
      <c r="J226" s="419">
        <v>0</v>
      </c>
      <c r="K226" s="419">
        <v>0</v>
      </c>
      <c r="L226" s="417">
        <f t="shared" si="190"/>
        <v>0</v>
      </c>
      <c r="M226" s="416">
        <f t="shared" si="205"/>
        <v>0</v>
      </c>
      <c r="N226" s="111">
        <f t="shared" si="191"/>
        <v>0</v>
      </c>
      <c r="O226" s="418">
        <v>0</v>
      </c>
      <c r="P226" s="419">
        <v>0</v>
      </c>
      <c r="Q226" s="419">
        <v>0</v>
      </c>
      <c r="R226" s="186">
        <f t="shared" si="192"/>
        <v>0</v>
      </c>
      <c r="S226" s="111">
        <f t="shared" si="193"/>
        <v>0</v>
      </c>
      <c r="T226" s="111">
        <f t="shared" si="194"/>
        <v>0</v>
      </c>
      <c r="U226" s="417">
        <f t="shared" si="195"/>
        <v>0</v>
      </c>
      <c r="V226" s="418"/>
      <c r="W226" s="419">
        <v>0</v>
      </c>
      <c r="X226" s="419">
        <v>0</v>
      </c>
      <c r="Y226" s="419">
        <v>0</v>
      </c>
      <c r="Z226" s="417">
        <f t="shared" si="196"/>
        <v>0</v>
      </c>
      <c r="AA226" s="418">
        <v>0</v>
      </c>
      <c r="AB226" s="419">
        <v>0</v>
      </c>
      <c r="AC226" s="419">
        <v>0</v>
      </c>
      <c r="AD226" s="419">
        <v>0</v>
      </c>
      <c r="AE226" s="417">
        <f t="shared" si="197"/>
        <v>0</v>
      </c>
      <c r="AF226" s="416">
        <f t="shared" si="206"/>
        <v>0</v>
      </c>
      <c r="AG226" s="111">
        <f t="shared" si="207"/>
        <v>0</v>
      </c>
      <c r="AH226" s="111">
        <f t="shared" si="198"/>
        <v>0</v>
      </c>
      <c r="AI226" s="111">
        <f t="shared" si="199"/>
        <v>0</v>
      </c>
      <c r="AJ226" s="417">
        <f t="shared" si="200"/>
        <v>0</v>
      </c>
      <c r="AK226" s="420">
        <f t="shared" si="201"/>
        <v>0</v>
      </c>
      <c r="AL226" s="423"/>
      <c r="AM226" s="422"/>
      <c r="AO226" s="1060"/>
    </row>
    <row r="227" spans="1:41" s="66" customFormat="1" ht="15" hidden="1" customHeight="1" x14ac:dyDescent="0.2">
      <c r="A227" s="733" t="s">
        <v>300</v>
      </c>
      <c r="B227" s="784"/>
      <c r="C227" s="418"/>
      <c r="D227" s="419">
        <v>0</v>
      </c>
      <c r="E227" s="419">
        <v>0</v>
      </c>
      <c r="F227" s="419">
        <v>0</v>
      </c>
      <c r="G227" s="417">
        <f t="shared" si="189"/>
        <v>0</v>
      </c>
      <c r="H227" s="418">
        <v>0</v>
      </c>
      <c r="I227" s="419">
        <v>0</v>
      </c>
      <c r="J227" s="419">
        <v>0</v>
      </c>
      <c r="K227" s="419">
        <v>0</v>
      </c>
      <c r="L227" s="417">
        <f t="shared" si="190"/>
        <v>0</v>
      </c>
      <c r="M227" s="416">
        <f t="shared" si="205"/>
        <v>0</v>
      </c>
      <c r="N227" s="111">
        <f t="shared" si="191"/>
        <v>0</v>
      </c>
      <c r="O227" s="418">
        <v>0</v>
      </c>
      <c r="P227" s="419">
        <v>0</v>
      </c>
      <c r="Q227" s="419">
        <v>0</v>
      </c>
      <c r="R227" s="186">
        <f t="shared" si="192"/>
        <v>0</v>
      </c>
      <c r="S227" s="111">
        <f t="shared" si="193"/>
        <v>0</v>
      </c>
      <c r="T227" s="111">
        <f t="shared" si="194"/>
        <v>0</v>
      </c>
      <c r="U227" s="417">
        <f t="shared" si="195"/>
        <v>0</v>
      </c>
      <c r="V227" s="418"/>
      <c r="W227" s="419">
        <v>0</v>
      </c>
      <c r="X227" s="419">
        <v>0</v>
      </c>
      <c r="Y227" s="419">
        <v>0</v>
      </c>
      <c r="Z227" s="417">
        <f t="shared" si="196"/>
        <v>0</v>
      </c>
      <c r="AA227" s="418">
        <v>0</v>
      </c>
      <c r="AB227" s="419">
        <v>0</v>
      </c>
      <c r="AC227" s="419">
        <v>0</v>
      </c>
      <c r="AD227" s="419">
        <v>0</v>
      </c>
      <c r="AE227" s="417">
        <f t="shared" si="197"/>
        <v>0</v>
      </c>
      <c r="AF227" s="416">
        <f t="shared" si="206"/>
        <v>0</v>
      </c>
      <c r="AG227" s="111">
        <f t="shared" si="207"/>
        <v>0</v>
      </c>
      <c r="AH227" s="111">
        <f t="shared" si="198"/>
        <v>0</v>
      </c>
      <c r="AI227" s="111">
        <f t="shared" si="199"/>
        <v>0</v>
      </c>
      <c r="AJ227" s="417">
        <f t="shared" si="200"/>
        <v>0</v>
      </c>
      <c r="AK227" s="420">
        <f t="shared" si="201"/>
        <v>0</v>
      </c>
      <c r="AL227" s="423"/>
      <c r="AM227" s="422"/>
      <c r="AO227" s="1060"/>
    </row>
    <row r="228" spans="1:41" s="66" customFormat="1" ht="15" hidden="1" customHeight="1" x14ac:dyDescent="0.2">
      <c r="A228" s="733" t="s">
        <v>2105</v>
      </c>
      <c r="B228" s="784">
        <v>41011</v>
      </c>
      <c r="C228" s="418"/>
      <c r="D228" s="419">
        <v>0</v>
      </c>
      <c r="E228" s="419">
        <v>0</v>
      </c>
      <c r="F228" s="419">
        <v>0</v>
      </c>
      <c r="G228" s="417">
        <f>SUM(C228:F228)</f>
        <v>0</v>
      </c>
      <c r="H228" s="418">
        <v>0</v>
      </c>
      <c r="I228" s="419">
        <v>0</v>
      </c>
      <c r="J228" s="419">
        <v>0</v>
      </c>
      <c r="K228" s="419">
        <v>0</v>
      </c>
      <c r="L228" s="417">
        <f>SUM(H228:K228)</f>
        <v>0</v>
      </c>
      <c r="M228" s="416">
        <f>SUM(C228,H228)</f>
        <v>0</v>
      </c>
      <c r="N228" s="111">
        <f>SUM(D228,I228)</f>
        <v>0</v>
      </c>
      <c r="O228" s="418">
        <v>0</v>
      </c>
      <c r="P228" s="419">
        <v>0</v>
      </c>
      <c r="Q228" s="419">
        <v>0</v>
      </c>
      <c r="R228" s="186">
        <f>SUM(O228:Q228)</f>
        <v>0</v>
      </c>
      <c r="S228" s="111">
        <f>SUM(E228,J228)</f>
        <v>0</v>
      </c>
      <c r="T228" s="111">
        <f>SUM(F228,K228)</f>
        <v>0</v>
      </c>
      <c r="U228" s="417">
        <f>SUM(M228:N228,R228:T228)</f>
        <v>0</v>
      </c>
      <c r="V228" s="418"/>
      <c r="W228" s="419">
        <v>0</v>
      </c>
      <c r="X228" s="419">
        <v>0</v>
      </c>
      <c r="Y228" s="419">
        <v>0</v>
      </c>
      <c r="Z228" s="417">
        <f>SUM(V228:Y228)</f>
        <v>0</v>
      </c>
      <c r="AA228" s="418">
        <v>0</v>
      </c>
      <c r="AB228" s="419">
        <v>0</v>
      </c>
      <c r="AC228" s="419">
        <v>0</v>
      </c>
      <c r="AD228" s="419">
        <v>0</v>
      </c>
      <c r="AE228" s="417">
        <f>SUM(AA228:AD228)</f>
        <v>0</v>
      </c>
      <c r="AF228" s="416">
        <f>SUM(V228,AA228)</f>
        <v>0</v>
      </c>
      <c r="AG228" s="111">
        <f>SUM(W228,AB228)</f>
        <v>0</v>
      </c>
      <c r="AH228" s="111">
        <f>SUM(X228,AC228)</f>
        <v>0</v>
      </c>
      <c r="AI228" s="111">
        <f>SUM(Y228,AD228)</f>
        <v>0</v>
      </c>
      <c r="AJ228" s="417">
        <f>SUM(AF228:AI228)</f>
        <v>0</v>
      </c>
      <c r="AK228" s="420">
        <f>+U228-AJ228</f>
        <v>0</v>
      </c>
      <c r="AL228" s="423"/>
      <c r="AM228" s="422"/>
      <c r="AO228" s="1060"/>
    </row>
    <row r="229" spans="1:41" s="66" customFormat="1" ht="15" hidden="1" customHeight="1" x14ac:dyDescent="0.2">
      <c r="A229" s="733" t="s">
        <v>302</v>
      </c>
      <c r="B229" s="784"/>
      <c r="C229" s="418"/>
      <c r="D229" s="419">
        <v>0</v>
      </c>
      <c r="E229" s="419">
        <v>0</v>
      </c>
      <c r="F229" s="419">
        <v>0</v>
      </c>
      <c r="G229" s="417">
        <f t="shared" si="189"/>
        <v>0</v>
      </c>
      <c r="H229" s="418">
        <v>0</v>
      </c>
      <c r="I229" s="419">
        <v>0</v>
      </c>
      <c r="J229" s="419">
        <v>0</v>
      </c>
      <c r="K229" s="419">
        <v>0</v>
      </c>
      <c r="L229" s="417">
        <f t="shared" si="190"/>
        <v>0</v>
      </c>
      <c r="M229" s="416">
        <f t="shared" si="205"/>
        <v>0</v>
      </c>
      <c r="N229" s="111">
        <f t="shared" si="191"/>
        <v>0</v>
      </c>
      <c r="O229" s="418">
        <v>0</v>
      </c>
      <c r="P229" s="419">
        <v>0</v>
      </c>
      <c r="Q229" s="419">
        <v>0</v>
      </c>
      <c r="R229" s="186">
        <f t="shared" si="192"/>
        <v>0</v>
      </c>
      <c r="S229" s="111">
        <f t="shared" si="193"/>
        <v>0</v>
      </c>
      <c r="T229" s="111">
        <f t="shared" si="194"/>
        <v>0</v>
      </c>
      <c r="U229" s="417">
        <f t="shared" si="195"/>
        <v>0</v>
      </c>
      <c r="V229" s="418"/>
      <c r="W229" s="419">
        <v>0</v>
      </c>
      <c r="X229" s="419">
        <v>0</v>
      </c>
      <c r="Y229" s="419">
        <v>0</v>
      </c>
      <c r="Z229" s="417">
        <f t="shared" si="196"/>
        <v>0</v>
      </c>
      <c r="AA229" s="418">
        <v>0</v>
      </c>
      <c r="AB229" s="419">
        <v>0</v>
      </c>
      <c r="AC229" s="419">
        <v>0</v>
      </c>
      <c r="AD229" s="419">
        <v>0</v>
      </c>
      <c r="AE229" s="417">
        <f t="shared" si="197"/>
        <v>0</v>
      </c>
      <c r="AF229" s="416">
        <f t="shared" si="206"/>
        <v>0</v>
      </c>
      <c r="AG229" s="111">
        <f t="shared" si="207"/>
        <v>0</v>
      </c>
      <c r="AH229" s="111">
        <f t="shared" si="198"/>
        <v>0</v>
      </c>
      <c r="AI229" s="111">
        <f t="shared" si="199"/>
        <v>0</v>
      </c>
      <c r="AJ229" s="417">
        <f t="shared" si="200"/>
        <v>0</v>
      </c>
      <c r="AK229" s="420">
        <f t="shared" si="201"/>
        <v>0</v>
      </c>
      <c r="AL229" s="423"/>
      <c r="AM229" s="422"/>
      <c r="AO229" s="1060"/>
    </row>
    <row r="230" spans="1:41" s="66" customFormat="1" ht="15" hidden="1" customHeight="1" x14ac:dyDescent="0.2">
      <c r="A230" s="733" t="s">
        <v>303</v>
      </c>
      <c r="B230" s="784">
        <v>41014</v>
      </c>
      <c r="C230" s="418"/>
      <c r="D230" s="419">
        <v>0</v>
      </c>
      <c r="E230" s="419">
        <v>0</v>
      </c>
      <c r="F230" s="419">
        <v>0</v>
      </c>
      <c r="G230" s="417">
        <f t="shared" si="189"/>
        <v>0</v>
      </c>
      <c r="H230" s="418">
        <v>0</v>
      </c>
      <c r="I230" s="419">
        <v>0</v>
      </c>
      <c r="J230" s="419">
        <v>0</v>
      </c>
      <c r="K230" s="419">
        <v>0</v>
      </c>
      <c r="L230" s="417">
        <f t="shared" si="190"/>
        <v>0</v>
      </c>
      <c r="M230" s="416">
        <f t="shared" si="205"/>
        <v>0</v>
      </c>
      <c r="N230" s="111">
        <f t="shared" si="191"/>
        <v>0</v>
      </c>
      <c r="O230" s="418">
        <v>0</v>
      </c>
      <c r="P230" s="419">
        <v>0</v>
      </c>
      <c r="Q230" s="419">
        <v>0</v>
      </c>
      <c r="R230" s="186">
        <f t="shared" si="192"/>
        <v>0</v>
      </c>
      <c r="S230" s="111">
        <f t="shared" si="193"/>
        <v>0</v>
      </c>
      <c r="T230" s="111">
        <f t="shared" si="194"/>
        <v>0</v>
      </c>
      <c r="U230" s="417">
        <f t="shared" si="195"/>
        <v>0</v>
      </c>
      <c r="V230" s="418"/>
      <c r="W230" s="419">
        <v>0</v>
      </c>
      <c r="X230" s="419">
        <v>0</v>
      </c>
      <c r="Y230" s="419">
        <v>0</v>
      </c>
      <c r="Z230" s="417">
        <f t="shared" si="196"/>
        <v>0</v>
      </c>
      <c r="AA230" s="418">
        <v>0</v>
      </c>
      <c r="AB230" s="419">
        <v>0</v>
      </c>
      <c r="AC230" s="419">
        <v>0</v>
      </c>
      <c r="AD230" s="419">
        <v>0</v>
      </c>
      <c r="AE230" s="417">
        <f t="shared" si="197"/>
        <v>0</v>
      </c>
      <c r="AF230" s="416">
        <f t="shared" si="206"/>
        <v>0</v>
      </c>
      <c r="AG230" s="111">
        <f t="shared" si="207"/>
        <v>0</v>
      </c>
      <c r="AH230" s="111">
        <f t="shared" si="198"/>
        <v>0</v>
      </c>
      <c r="AI230" s="111">
        <f t="shared" si="199"/>
        <v>0</v>
      </c>
      <c r="AJ230" s="417">
        <f t="shared" si="200"/>
        <v>0</v>
      </c>
      <c r="AK230" s="420">
        <f t="shared" si="201"/>
        <v>0</v>
      </c>
      <c r="AL230" s="423"/>
      <c r="AM230" s="422"/>
      <c r="AO230" s="1060"/>
    </row>
    <row r="231" spans="1:41" s="66" customFormat="1" ht="15" hidden="1" customHeight="1" x14ac:dyDescent="0.2">
      <c r="A231" s="733" t="s">
        <v>304</v>
      </c>
      <c r="B231" s="784"/>
      <c r="C231" s="418"/>
      <c r="D231" s="419">
        <v>0</v>
      </c>
      <c r="E231" s="419">
        <v>0</v>
      </c>
      <c r="F231" s="419">
        <v>0</v>
      </c>
      <c r="G231" s="417">
        <f t="shared" si="189"/>
        <v>0</v>
      </c>
      <c r="H231" s="418">
        <v>0</v>
      </c>
      <c r="I231" s="419">
        <v>0</v>
      </c>
      <c r="J231" s="419">
        <v>0</v>
      </c>
      <c r="K231" s="419">
        <v>0</v>
      </c>
      <c r="L231" s="417">
        <f t="shared" si="190"/>
        <v>0</v>
      </c>
      <c r="M231" s="416">
        <f t="shared" si="205"/>
        <v>0</v>
      </c>
      <c r="N231" s="111">
        <f t="shared" si="191"/>
        <v>0</v>
      </c>
      <c r="O231" s="418">
        <v>0</v>
      </c>
      <c r="P231" s="419">
        <v>0</v>
      </c>
      <c r="Q231" s="419">
        <v>0</v>
      </c>
      <c r="R231" s="186">
        <f t="shared" si="192"/>
        <v>0</v>
      </c>
      <c r="S231" s="111">
        <f t="shared" si="193"/>
        <v>0</v>
      </c>
      <c r="T231" s="111">
        <f t="shared" si="194"/>
        <v>0</v>
      </c>
      <c r="U231" s="417">
        <f t="shared" si="195"/>
        <v>0</v>
      </c>
      <c r="V231" s="418"/>
      <c r="W231" s="419">
        <v>0</v>
      </c>
      <c r="X231" s="419">
        <v>0</v>
      </c>
      <c r="Y231" s="419">
        <v>0</v>
      </c>
      <c r="Z231" s="417">
        <f t="shared" si="196"/>
        <v>0</v>
      </c>
      <c r="AA231" s="418">
        <v>0</v>
      </c>
      <c r="AB231" s="419">
        <v>0</v>
      </c>
      <c r="AC231" s="419">
        <v>0</v>
      </c>
      <c r="AD231" s="419">
        <v>0</v>
      </c>
      <c r="AE231" s="417">
        <f t="shared" si="197"/>
        <v>0</v>
      </c>
      <c r="AF231" s="416">
        <f t="shared" si="206"/>
        <v>0</v>
      </c>
      <c r="AG231" s="111">
        <f t="shared" si="207"/>
        <v>0</v>
      </c>
      <c r="AH231" s="111">
        <f t="shared" si="198"/>
        <v>0</v>
      </c>
      <c r="AI231" s="111">
        <f t="shared" si="199"/>
        <v>0</v>
      </c>
      <c r="AJ231" s="417">
        <f t="shared" si="200"/>
        <v>0</v>
      </c>
      <c r="AK231" s="420">
        <f t="shared" si="201"/>
        <v>0</v>
      </c>
      <c r="AL231" s="423"/>
      <c r="AM231" s="422"/>
      <c r="AO231" s="1060"/>
    </row>
    <row r="232" spans="1:41" s="66" customFormat="1" ht="15" hidden="1" customHeight="1" x14ac:dyDescent="0.2">
      <c r="A232" s="733" t="s">
        <v>305</v>
      </c>
      <c r="B232" s="784"/>
      <c r="C232" s="418"/>
      <c r="D232" s="419">
        <v>0</v>
      </c>
      <c r="E232" s="419">
        <v>0</v>
      </c>
      <c r="F232" s="419">
        <v>0</v>
      </c>
      <c r="G232" s="417">
        <f t="shared" si="189"/>
        <v>0</v>
      </c>
      <c r="H232" s="418">
        <v>0</v>
      </c>
      <c r="I232" s="419">
        <v>0</v>
      </c>
      <c r="J232" s="419">
        <v>0</v>
      </c>
      <c r="K232" s="419">
        <v>0</v>
      </c>
      <c r="L232" s="417">
        <f t="shared" si="190"/>
        <v>0</v>
      </c>
      <c r="M232" s="416">
        <f t="shared" si="205"/>
        <v>0</v>
      </c>
      <c r="N232" s="111">
        <f t="shared" si="191"/>
        <v>0</v>
      </c>
      <c r="O232" s="418">
        <v>0</v>
      </c>
      <c r="P232" s="419">
        <v>0</v>
      </c>
      <c r="Q232" s="419">
        <v>0</v>
      </c>
      <c r="R232" s="186">
        <f t="shared" si="192"/>
        <v>0</v>
      </c>
      <c r="S232" s="111">
        <f t="shared" si="193"/>
        <v>0</v>
      </c>
      <c r="T232" s="111">
        <f t="shared" si="194"/>
        <v>0</v>
      </c>
      <c r="U232" s="417">
        <f t="shared" si="195"/>
        <v>0</v>
      </c>
      <c r="V232" s="418"/>
      <c r="W232" s="419">
        <v>0</v>
      </c>
      <c r="X232" s="419">
        <v>0</v>
      </c>
      <c r="Y232" s="419">
        <v>0</v>
      </c>
      <c r="Z232" s="417">
        <f t="shared" si="196"/>
        <v>0</v>
      </c>
      <c r="AA232" s="418">
        <v>0</v>
      </c>
      <c r="AB232" s="419">
        <v>0</v>
      </c>
      <c r="AC232" s="419">
        <v>0</v>
      </c>
      <c r="AD232" s="419">
        <v>0</v>
      </c>
      <c r="AE232" s="417">
        <f t="shared" si="197"/>
        <v>0</v>
      </c>
      <c r="AF232" s="416">
        <f t="shared" si="206"/>
        <v>0</v>
      </c>
      <c r="AG232" s="111">
        <f t="shared" si="207"/>
        <v>0</v>
      </c>
      <c r="AH232" s="111">
        <f t="shared" si="198"/>
        <v>0</v>
      </c>
      <c r="AI232" s="111">
        <f t="shared" si="199"/>
        <v>0</v>
      </c>
      <c r="AJ232" s="417">
        <f t="shared" si="200"/>
        <v>0</v>
      </c>
      <c r="AK232" s="420">
        <f t="shared" si="201"/>
        <v>0</v>
      </c>
      <c r="AL232" s="423"/>
      <c r="AM232" s="422"/>
      <c r="AO232" s="1060"/>
    </row>
    <row r="233" spans="1:41" s="66" customFormat="1" ht="15" hidden="1" customHeight="1" x14ac:dyDescent="0.2">
      <c r="A233" s="733" t="s">
        <v>2104</v>
      </c>
      <c r="B233" s="784">
        <v>41022</v>
      </c>
      <c r="C233" s="418"/>
      <c r="D233" s="419">
        <v>0</v>
      </c>
      <c r="E233" s="419">
        <v>0</v>
      </c>
      <c r="F233" s="419">
        <v>0</v>
      </c>
      <c r="G233" s="417">
        <f>SUM(C233:F233)</f>
        <v>0</v>
      </c>
      <c r="H233" s="418">
        <v>0</v>
      </c>
      <c r="I233" s="419">
        <v>0</v>
      </c>
      <c r="J233" s="419">
        <v>0</v>
      </c>
      <c r="K233" s="419">
        <v>0</v>
      </c>
      <c r="L233" s="417">
        <f>SUM(H233:K233)</f>
        <v>0</v>
      </c>
      <c r="M233" s="416">
        <f>SUM(C233,H233)</f>
        <v>0</v>
      </c>
      <c r="N233" s="111">
        <f>SUM(D233,I233)</f>
        <v>0</v>
      </c>
      <c r="O233" s="418">
        <v>0</v>
      </c>
      <c r="P233" s="419">
        <v>0</v>
      </c>
      <c r="Q233" s="419">
        <v>0</v>
      </c>
      <c r="R233" s="186">
        <f>SUM(O233:Q233)</f>
        <v>0</v>
      </c>
      <c r="S233" s="111">
        <f>SUM(E233,J233)</f>
        <v>0</v>
      </c>
      <c r="T233" s="111">
        <f>SUM(F233,K233)</f>
        <v>0</v>
      </c>
      <c r="U233" s="417">
        <f>SUM(M233:N233,R233:T233)</f>
        <v>0</v>
      </c>
      <c r="V233" s="418"/>
      <c r="W233" s="419">
        <v>0</v>
      </c>
      <c r="X233" s="419">
        <v>0</v>
      </c>
      <c r="Y233" s="419">
        <v>0</v>
      </c>
      <c r="Z233" s="417">
        <f>SUM(V233:Y233)</f>
        <v>0</v>
      </c>
      <c r="AA233" s="418">
        <v>0</v>
      </c>
      <c r="AB233" s="419">
        <v>0</v>
      </c>
      <c r="AC233" s="419">
        <v>0</v>
      </c>
      <c r="AD233" s="419">
        <v>0</v>
      </c>
      <c r="AE233" s="417">
        <f>SUM(AA233:AD233)</f>
        <v>0</v>
      </c>
      <c r="AF233" s="416">
        <f>SUM(V233,AA233)</f>
        <v>0</v>
      </c>
      <c r="AG233" s="111">
        <f>SUM(W233,AB233)</f>
        <v>0</v>
      </c>
      <c r="AH233" s="111">
        <f>SUM(X233,AC233)</f>
        <v>0</v>
      </c>
      <c r="AI233" s="111">
        <f>SUM(Y233,AD233)</f>
        <v>0</v>
      </c>
      <c r="AJ233" s="417">
        <f>SUM(AF233:AI233)</f>
        <v>0</v>
      </c>
      <c r="AK233" s="420">
        <f>+U233-AJ233</f>
        <v>0</v>
      </c>
      <c r="AL233" s="423"/>
      <c r="AM233" s="422"/>
      <c r="AO233" s="1060"/>
    </row>
    <row r="234" spans="1:41" s="66" customFormat="1" ht="15" hidden="1" customHeight="1" x14ac:dyDescent="0.2">
      <c r="A234" s="733" t="s">
        <v>307</v>
      </c>
      <c r="B234" s="784"/>
      <c r="C234" s="418"/>
      <c r="D234" s="419">
        <v>0</v>
      </c>
      <c r="E234" s="419">
        <v>0</v>
      </c>
      <c r="F234" s="419">
        <v>0</v>
      </c>
      <c r="G234" s="417">
        <f t="shared" si="189"/>
        <v>0</v>
      </c>
      <c r="H234" s="418">
        <v>0</v>
      </c>
      <c r="I234" s="419">
        <v>0</v>
      </c>
      <c r="J234" s="419">
        <v>0</v>
      </c>
      <c r="K234" s="419">
        <v>0</v>
      </c>
      <c r="L234" s="417">
        <f t="shared" si="190"/>
        <v>0</v>
      </c>
      <c r="M234" s="416">
        <f t="shared" si="205"/>
        <v>0</v>
      </c>
      <c r="N234" s="111">
        <f t="shared" si="191"/>
        <v>0</v>
      </c>
      <c r="O234" s="418">
        <v>0</v>
      </c>
      <c r="P234" s="419">
        <v>0</v>
      </c>
      <c r="Q234" s="419">
        <v>0</v>
      </c>
      <c r="R234" s="186">
        <f t="shared" si="192"/>
        <v>0</v>
      </c>
      <c r="S234" s="111">
        <f t="shared" si="193"/>
        <v>0</v>
      </c>
      <c r="T234" s="111">
        <f t="shared" si="194"/>
        <v>0</v>
      </c>
      <c r="U234" s="417">
        <f t="shared" si="195"/>
        <v>0</v>
      </c>
      <c r="V234" s="418"/>
      <c r="W234" s="419">
        <v>0</v>
      </c>
      <c r="X234" s="419">
        <v>0</v>
      </c>
      <c r="Y234" s="419">
        <v>0</v>
      </c>
      <c r="Z234" s="417">
        <f t="shared" si="196"/>
        <v>0</v>
      </c>
      <c r="AA234" s="418">
        <v>0</v>
      </c>
      <c r="AB234" s="419">
        <v>0</v>
      </c>
      <c r="AC234" s="419">
        <v>0</v>
      </c>
      <c r="AD234" s="419">
        <v>0</v>
      </c>
      <c r="AE234" s="417">
        <f t="shared" si="197"/>
        <v>0</v>
      </c>
      <c r="AF234" s="416">
        <f t="shared" si="206"/>
        <v>0</v>
      </c>
      <c r="AG234" s="111">
        <f t="shared" si="207"/>
        <v>0</v>
      </c>
      <c r="AH234" s="111">
        <f t="shared" si="198"/>
        <v>0</v>
      </c>
      <c r="AI234" s="111">
        <f t="shared" si="199"/>
        <v>0</v>
      </c>
      <c r="AJ234" s="417">
        <f t="shared" si="200"/>
        <v>0</v>
      </c>
      <c r="AK234" s="420">
        <f t="shared" si="201"/>
        <v>0</v>
      </c>
      <c r="AL234" s="423"/>
      <c r="AM234" s="422"/>
      <c r="AO234" s="1060"/>
    </row>
    <row r="235" spans="1:41" s="66" customFormat="1" ht="15" hidden="1" customHeight="1" x14ac:dyDescent="0.2">
      <c r="A235" s="733" t="s">
        <v>308</v>
      </c>
      <c r="B235" s="784">
        <v>41037</v>
      </c>
      <c r="C235" s="418"/>
      <c r="D235" s="419">
        <v>0</v>
      </c>
      <c r="E235" s="419">
        <v>0</v>
      </c>
      <c r="F235" s="419">
        <v>0</v>
      </c>
      <c r="G235" s="417">
        <f t="shared" si="189"/>
        <v>0</v>
      </c>
      <c r="H235" s="418">
        <v>0</v>
      </c>
      <c r="I235" s="419">
        <v>0</v>
      </c>
      <c r="J235" s="419">
        <v>0</v>
      </c>
      <c r="K235" s="419">
        <v>0</v>
      </c>
      <c r="L235" s="417">
        <f t="shared" si="190"/>
        <v>0</v>
      </c>
      <c r="M235" s="416">
        <f t="shared" si="205"/>
        <v>0</v>
      </c>
      <c r="N235" s="111">
        <f t="shared" si="191"/>
        <v>0</v>
      </c>
      <c r="O235" s="418">
        <v>0</v>
      </c>
      <c r="P235" s="419">
        <v>0</v>
      </c>
      <c r="Q235" s="419">
        <v>0</v>
      </c>
      <c r="R235" s="186">
        <f t="shared" si="192"/>
        <v>0</v>
      </c>
      <c r="S235" s="111">
        <f t="shared" si="193"/>
        <v>0</v>
      </c>
      <c r="T235" s="111">
        <f t="shared" si="194"/>
        <v>0</v>
      </c>
      <c r="U235" s="417">
        <f t="shared" si="195"/>
        <v>0</v>
      </c>
      <c r="V235" s="418"/>
      <c r="W235" s="419">
        <v>0</v>
      </c>
      <c r="X235" s="419">
        <v>0</v>
      </c>
      <c r="Y235" s="419">
        <v>0</v>
      </c>
      <c r="Z235" s="417">
        <f t="shared" si="196"/>
        <v>0</v>
      </c>
      <c r="AA235" s="418">
        <v>0</v>
      </c>
      <c r="AB235" s="419">
        <v>0</v>
      </c>
      <c r="AC235" s="419">
        <v>0</v>
      </c>
      <c r="AD235" s="419">
        <v>0</v>
      </c>
      <c r="AE235" s="417">
        <f t="shared" si="197"/>
        <v>0</v>
      </c>
      <c r="AF235" s="416">
        <f t="shared" si="206"/>
        <v>0</v>
      </c>
      <c r="AG235" s="111">
        <f t="shared" si="207"/>
        <v>0</v>
      </c>
      <c r="AH235" s="111">
        <f t="shared" si="198"/>
        <v>0</v>
      </c>
      <c r="AI235" s="111">
        <f t="shared" si="199"/>
        <v>0</v>
      </c>
      <c r="AJ235" s="417">
        <f t="shared" si="200"/>
        <v>0</v>
      </c>
      <c r="AK235" s="420">
        <f t="shared" si="201"/>
        <v>0</v>
      </c>
      <c r="AL235" s="423"/>
      <c r="AM235" s="422"/>
      <c r="AO235" s="1060"/>
    </row>
    <row r="236" spans="1:41" s="66" customFormat="1" ht="15" hidden="1" customHeight="1" x14ac:dyDescent="0.2">
      <c r="A236" s="733" t="s">
        <v>309</v>
      </c>
      <c r="B236" s="784"/>
      <c r="C236" s="418"/>
      <c r="D236" s="419">
        <v>0</v>
      </c>
      <c r="E236" s="419">
        <v>0</v>
      </c>
      <c r="F236" s="419">
        <v>0</v>
      </c>
      <c r="G236" s="417">
        <f t="shared" si="189"/>
        <v>0</v>
      </c>
      <c r="H236" s="418">
        <v>0</v>
      </c>
      <c r="I236" s="419">
        <v>0</v>
      </c>
      <c r="J236" s="419">
        <v>0</v>
      </c>
      <c r="K236" s="419">
        <v>0</v>
      </c>
      <c r="L236" s="417">
        <f t="shared" si="190"/>
        <v>0</v>
      </c>
      <c r="M236" s="416">
        <f t="shared" si="205"/>
        <v>0</v>
      </c>
      <c r="N236" s="111">
        <f t="shared" si="191"/>
        <v>0</v>
      </c>
      <c r="O236" s="418">
        <v>0</v>
      </c>
      <c r="P236" s="419">
        <v>0</v>
      </c>
      <c r="Q236" s="419">
        <v>0</v>
      </c>
      <c r="R236" s="186">
        <f t="shared" si="192"/>
        <v>0</v>
      </c>
      <c r="S236" s="111">
        <f t="shared" si="193"/>
        <v>0</v>
      </c>
      <c r="T236" s="111">
        <f t="shared" si="194"/>
        <v>0</v>
      </c>
      <c r="U236" s="417">
        <f t="shared" si="195"/>
        <v>0</v>
      </c>
      <c r="V236" s="418"/>
      <c r="W236" s="419">
        <v>0</v>
      </c>
      <c r="X236" s="419">
        <v>0</v>
      </c>
      <c r="Y236" s="419">
        <v>0</v>
      </c>
      <c r="Z236" s="417">
        <f t="shared" si="196"/>
        <v>0</v>
      </c>
      <c r="AA236" s="418">
        <v>0</v>
      </c>
      <c r="AB236" s="419">
        <v>0</v>
      </c>
      <c r="AC236" s="419">
        <v>0</v>
      </c>
      <c r="AD236" s="419">
        <v>0</v>
      </c>
      <c r="AE236" s="417">
        <f t="shared" si="197"/>
        <v>0</v>
      </c>
      <c r="AF236" s="416">
        <f t="shared" si="206"/>
        <v>0</v>
      </c>
      <c r="AG236" s="111">
        <f t="shared" si="207"/>
        <v>0</v>
      </c>
      <c r="AH236" s="111">
        <f t="shared" si="198"/>
        <v>0</v>
      </c>
      <c r="AI236" s="111">
        <f t="shared" si="199"/>
        <v>0</v>
      </c>
      <c r="AJ236" s="417">
        <f t="shared" si="200"/>
        <v>0</v>
      </c>
      <c r="AK236" s="420">
        <f t="shared" si="201"/>
        <v>0</v>
      </c>
      <c r="AL236" s="423"/>
      <c r="AM236" s="422"/>
      <c r="AO236" s="1060"/>
    </row>
    <row r="237" spans="1:41" s="66" customFormat="1" ht="15" hidden="1" customHeight="1" x14ac:dyDescent="0.2">
      <c r="A237" s="733" t="s">
        <v>2103</v>
      </c>
      <c r="B237" s="784">
        <v>41025</v>
      </c>
      <c r="C237" s="418"/>
      <c r="D237" s="419">
        <v>0</v>
      </c>
      <c r="E237" s="419">
        <v>0</v>
      </c>
      <c r="F237" s="419">
        <v>0</v>
      </c>
      <c r="G237" s="417">
        <f>SUM(C237:F237)</f>
        <v>0</v>
      </c>
      <c r="H237" s="418">
        <v>0</v>
      </c>
      <c r="I237" s="419">
        <v>0</v>
      </c>
      <c r="J237" s="419">
        <v>0</v>
      </c>
      <c r="K237" s="419">
        <v>0</v>
      </c>
      <c r="L237" s="417">
        <f>SUM(H237:K237)</f>
        <v>0</v>
      </c>
      <c r="M237" s="416">
        <f>SUM(C237,H237)</f>
        <v>0</v>
      </c>
      <c r="N237" s="111">
        <f>SUM(D237,I237)</f>
        <v>0</v>
      </c>
      <c r="O237" s="418">
        <v>0</v>
      </c>
      <c r="P237" s="419">
        <v>0</v>
      </c>
      <c r="Q237" s="419">
        <v>0</v>
      </c>
      <c r="R237" s="186">
        <f>SUM(O237:Q237)</f>
        <v>0</v>
      </c>
      <c r="S237" s="111">
        <f>SUM(E237,J237)</f>
        <v>0</v>
      </c>
      <c r="T237" s="111">
        <f>SUM(F237,K237)</f>
        <v>0</v>
      </c>
      <c r="U237" s="417">
        <f>SUM(M237:N237,R237:T237)</f>
        <v>0</v>
      </c>
      <c r="V237" s="418"/>
      <c r="W237" s="419">
        <v>0</v>
      </c>
      <c r="X237" s="419">
        <v>0</v>
      </c>
      <c r="Y237" s="419">
        <v>0</v>
      </c>
      <c r="Z237" s="417">
        <f>SUM(V237:Y237)</f>
        <v>0</v>
      </c>
      <c r="AA237" s="418">
        <v>0</v>
      </c>
      <c r="AB237" s="419">
        <v>0</v>
      </c>
      <c r="AC237" s="419">
        <v>0</v>
      </c>
      <c r="AD237" s="419">
        <v>0</v>
      </c>
      <c r="AE237" s="417">
        <f>SUM(AA237:AD237)</f>
        <v>0</v>
      </c>
      <c r="AF237" s="416">
        <f>SUM(V237,AA237)</f>
        <v>0</v>
      </c>
      <c r="AG237" s="111">
        <f>SUM(W237,AB237)</f>
        <v>0</v>
      </c>
      <c r="AH237" s="111">
        <f>SUM(X237,AC237)</f>
        <v>0</v>
      </c>
      <c r="AI237" s="111">
        <f>SUM(Y237,AD237)</f>
        <v>0</v>
      </c>
      <c r="AJ237" s="417">
        <f>SUM(AF237:AI237)</f>
        <v>0</v>
      </c>
      <c r="AK237" s="420">
        <f>+U237-AJ237</f>
        <v>0</v>
      </c>
      <c r="AL237" s="423"/>
      <c r="AM237" s="422"/>
      <c r="AO237" s="1060"/>
    </row>
    <row r="238" spans="1:41" s="66" customFormat="1" ht="15" hidden="1" customHeight="1" x14ac:dyDescent="0.2">
      <c r="A238" s="733" t="s">
        <v>186</v>
      </c>
      <c r="B238" s="784">
        <v>41026</v>
      </c>
      <c r="C238" s="418"/>
      <c r="D238" s="419">
        <v>0</v>
      </c>
      <c r="E238" s="419">
        <v>0</v>
      </c>
      <c r="F238" s="419">
        <v>0</v>
      </c>
      <c r="G238" s="417">
        <f t="shared" si="189"/>
        <v>0</v>
      </c>
      <c r="H238" s="418">
        <v>0</v>
      </c>
      <c r="I238" s="419">
        <v>0</v>
      </c>
      <c r="J238" s="419">
        <v>0</v>
      </c>
      <c r="K238" s="419">
        <v>0</v>
      </c>
      <c r="L238" s="417">
        <f t="shared" si="190"/>
        <v>0</v>
      </c>
      <c r="M238" s="416">
        <f t="shared" si="205"/>
        <v>0</v>
      </c>
      <c r="N238" s="111">
        <f t="shared" si="191"/>
        <v>0</v>
      </c>
      <c r="O238" s="418">
        <v>0</v>
      </c>
      <c r="P238" s="419">
        <v>0</v>
      </c>
      <c r="Q238" s="419">
        <v>0</v>
      </c>
      <c r="R238" s="186">
        <f t="shared" si="192"/>
        <v>0</v>
      </c>
      <c r="S238" s="111">
        <f t="shared" si="193"/>
        <v>0</v>
      </c>
      <c r="T238" s="111">
        <f t="shared" si="194"/>
        <v>0</v>
      </c>
      <c r="U238" s="417">
        <f t="shared" si="195"/>
        <v>0</v>
      </c>
      <c r="V238" s="418"/>
      <c r="W238" s="419">
        <v>0</v>
      </c>
      <c r="X238" s="419">
        <v>0</v>
      </c>
      <c r="Y238" s="419">
        <v>0</v>
      </c>
      <c r="Z238" s="417">
        <f t="shared" si="196"/>
        <v>0</v>
      </c>
      <c r="AA238" s="418">
        <v>0</v>
      </c>
      <c r="AB238" s="419">
        <v>0</v>
      </c>
      <c r="AC238" s="419">
        <v>0</v>
      </c>
      <c r="AD238" s="419">
        <v>0</v>
      </c>
      <c r="AE238" s="417">
        <f t="shared" si="197"/>
        <v>0</v>
      </c>
      <c r="AF238" s="416">
        <f t="shared" si="206"/>
        <v>0</v>
      </c>
      <c r="AG238" s="111">
        <f t="shared" si="207"/>
        <v>0</v>
      </c>
      <c r="AH238" s="111">
        <f t="shared" si="198"/>
        <v>0</v>
      </c>
      <c r="AI238" s="111">
        <f t="shared" si="199"/>
        <v>0</v>
      </c>
      <c r="AJ238" s="417">
        <f t="shared" si="200"/>
        <v>0</v>
      </c>
      <c r="AK238" s="420">
        <f t="shared" si="201"/>
        <v>0</v>
      </c>
      <c r="AL238" s="423"/>
      <c r="AM238" s="422"/>
      <c r="AO238" s="1060"/>
    </row>
    <row r="239" spans="1:41" s="66" customFormat="1" ht="15" hidden="1" customHeight="1" x14ac:dyDescent="0.2">
      <c r="A239" s="733" t="s">
        <v>2102</v>
      </c>
      <c r="B239" s="784">
        <v>41027</v>
      </c>
      <c r="C239" s="418"/>
      <c r="D239" s="419">
        <v>0</v>
      </c>
      <c r="E239" s="419">
        <v>0</v>
      </c>
      <c r="F239" s="419">
        <v>0</v>
      </c>
      <c r="G239" s="417">
        <f>SUM(C239:F239)</f>
        <v>0</v>
      </c>
      <c r="H239" s="418">
        <v>0</v>
      </c>
      <c r="I239" s="419">
        <v>0</v>
      </c>
      <c r="J239" s="419">
        <v>0</v>
      </c>
      <c r="K239" s="419">
        <v>0</v>
      </c>
      <c r="L239" s="417">
        <f>SUM(H239:K239)</f>
        <v>0</v>
      </c>
      <c r="M239" s="416">
        <f t="shared" ref="M239:N241" si="208">SUM(C239,H239)</f>
        <v>0</v>
      </c>
      <c r="N239" s="111">
        <f t="shared" si="208"/>
        <v>0</v>
      </c>
      <c r="O239" s="418">
        <v>0</v>
      </c>
      <c r="P239" s="419">
        <v>0</v>
      </c>
      <c r="Q239" s="419">
        <v>0</v>
      </c>
      <c r="R239" s="186">
        <f>SUM(O239:Q239)</f>
        <v>0</v>
      </c>
      <c r="S239" s="111">
        <f t="shared" ref="S239:T241" si="209">SUM(E239,J239)</f>
        <v>0</v>
      </c>
      <c r="T239" s="111">
        <f t="shared" si="209"/>
        <v>0</v>
      </c>
      <c r="U239" s="417">
        <f>SUM(M239:N239,R239:T239)</f>
        <v>0</v>
      </c>
      <c r="V239" s="418"/>
      <c r="W239" s="419">
        <v>0</v>
      </c>
      <c r="X239" s="419">
        <v>0</v>
      </c>
      <c r="Y239" s="419">
        <v>0</v>
      </c>
      <c r="Z239" s="417">
        <f>SUM(V239:Y239)</f>
        <v>0</v>
      </c>
      <c r="AA239" s="418">
        <v>0</v>
      </c>
      <c r="AB239" s="419">
        <v>0</v>
      </c>
      <c r="AC239" s="419">
        <v>0</v>
      </c>
      <c r="AD239" s="419">
        <v>0</v>
      </c>
      <c r="AE239" s="417">
        <f>SUM(AA239:AD239)</f>
        <v>0</v>
      </c>
      <c r="AF239" s="416">
        <f t="shared" ref="AF239:AI241" si="210">SUM(V239,AA239)</f>
        <v>0</v>
      </c>
      <c r="AG239" s="111">
        <f t="shared" si="210"/>
        <v>0</v>
      </c>
      <c r="AH239" s="111">
        <f t="shared" si="210"/>
        <v>0</v>
      </c>
      <c r="AI239" s="111">
        <f t="shared" si="210"/>
        <v>0</v>
      </c>
      <c r="AJ239" s="417">
        <f>SUM(AF239:AI239)</f>
        <v>0</v>
      </c>
      <c r="AK239" s="420">
        <f>+U239-AJ239</f>
        <v>0</v>
      </c>
      <c r="AL239" s="423"/>
      <c r="AM239" s="422"/>
      <c r="AO239" s="1060"/>
    </row>
    <row r="240" spans="1:41" s="66" customFormat="1" ht="15" hidden="1" customHeight="1" x14ac:dyDescent="0.2">
      <c r="A240" s="733" t="s">
        <v>1655</v>
      </c>
      <c r="B240" s="784"/>
      <c r="C240" s="418"/>
      <c r="D240" s="419">
        <v>0</v>
      </c>
      <c r="E240" s="419">
        <v>0</v>
      </c>
      <c r="F240" s="419">
        <v>0</v>
      </c>
      <c r="G240" s="417">
        <f>SUM(C240:F240)</f>
        <v>0</v>
      </c>
      <c r="H240" s="418">
        <v>0</v>
      </c>
      <c r="I240" s="419">
        <v>0</v>
      </c>
      <c r="J240" s="419">
        <v>0</v>
      </c>
      <c r="K240" s="419">
        <v>0</v>
      </c>
      <c r="L240" s="417">
        <f>SUM(H240:K240)</f>
        <v>0</v>
      </c>
      <c r="M240" s="416">
        <f t="shared" si="208"/>
        <v>0</v>
      </c>
      <c r="N240" s="111">
        <f t="shared" si="208"/>
        <v>0</v>
      </c>
      <c r="O240" s="418">
        <v>0</v>
      </c>
      <c r="P240" s="419">
        <v>0</v>
      </c>
      <c r="Q240" s="419">
        <v>0</v>
      </c>
      <c r="R240" s="186">
        <f>SUM(O240:Q240)</f>
        <v>0</v>
      </c>
      <c r="S240" s="111">
        <f t="shared" si="209"/>
        <v>0</v>
      </c>
      <c r="T240" s="111">
        <f t="shared" si="209"/>
        <v>0</v>
      </c>
      <c r="U240" s="417">
        <f>SUM(M240:N240,R240:T240)</f>
        <v>0</v>
      </c>
      <c r="V240" s="418"/>
      <c r="W240" s="419">
        <v>0</v>
      </c>
      <c r="X240" s="419">
        <v>0</v>
      </c>
      <c r="Y240" s="419">
        <v>0</v>
      </c>
      <c r="Z240" s="417">
        <f>SUM(V240:Y240)</f>
        <v>0</v>
      </c>
      <c r="AA240" s="418">
        <v>0</v>
      </c>
      <c r="AB240" s="419">
        <v>0</v>
      </c>
      <c r="AC240" s="419">
        <v>0</v>
      </c>
      <c r="AD240" s="419">
        <v>0</v>
      </c>
      <c r="AE240" s="417">
        <f>SUM(AA240:AD240)</f>
        <v>0</v>
      </c>
      <c r="AF240" s="416">
        <f t="shared" si="210"/>
        <v>0</v>
      </c>
      <c r="AG240" s="111">
        <f t="shared" si="210"/>
        <v>0</v>
      </c>
      <c r="AH240" s="111">
        <f t="shared" si="210"/>
        <v>0</v>
      </c>
      <c r="AI240" s="111">
        <f t="shared" si="210"/>
        <v>0</v>
      </c>
      <c r="AJ240" s="417">
        <f>SUM(AF240:AI240)</f>
        <v>0</v>
      </c>
      <c r="AK240" s="420">
        <f>+U240-AJ240</f>
        <v>0</v>
      </c>
      <c r="AL240" s="423"/>
      <c r="AM240" s="422"/>
      <c r="AO240" s="1060"/>
    </row>
    <row r="241" spans="1:41" s="66" customFormat="1" ht="15" hidden="1" customHeight="1" x14ac:dyDescent="0.2">
      <c r="A241" s="733" t="s">
        <v>2101</v>
      </c>
      <c r="B241" s="784">
        <v>41030</v>
      </c>
      <c r="C241" s="418"/>
      <c r="D241" s="419">
        <v>0</v>
      </c>
      <c r="E241" s="419">
        <v>0</v>
      </c>
      <c r="F241" s="419">
        <v>0</v>
      </c>
      <c r="G241" s="417">
        <f>SUM(C241:F241)</f>
        <v>0</v>
      </c>
      <c r="H241" s="418">
        <v>0</v>
      </c>
      <c r="I241" s="419">
        <v>0</v>
      </c>
      <c r="J241" s="419">
        <v>0</v>
      </c>
      <c r="K241" s="419">
        <v>0</v>
      </c>
      <c r="L241" s="417">
        <f>SUM(H241:K241)</f>
        <v>0</v>
      </c>
      <c r="M241" s="416">
        <f t="shared" si="208"/>
        <v>0</v>
      </c>
      <c r="N241" s="111">
        <f t="shared" si="208"/>
        <v>0</v>
      </c>
      <c r="O241" s="418"/>
      <c r="P241" s="419">
        <v>0</v>
      </c>
      <c r="Q241" s="419">
        <v>0</v>
      </c>
      <c r="R241" s="186">
        <f>SUM(O241:Q241)</f>
        <v>0</v>
      </c>
      <c r="S241" s="111">
        <f t="shared" si="209"/>
        <v>0</v>
      </c>
      <c r="T241" s="111">
        <f t="shared" si="209"/>
        <v>0</v>
      </c>
      <c r="U241" s="417">
        <f>SUM(M241:N241,R241:T241)</f>
        <v>0</v>
      </c>
      <c r="V241" s="418"/>
      <c r="W241" s="419">
        <v>0</v>
      </c>
      <c r="X241" s="419">
        <v>0</v>
      </c>
      <c r="Y241" s="419">
        <v>0</v>
      </c>
      <c r="Z241" s="417">
        <f>SUM(V241:Y241)</f>
        <v>0</v>
      </c>
      <c r="AA241" s="418">
        <v>0</v>
      </c>
      <c r="AB241" s="419">
        <v>0</v>
      </c>
      <c r="AC241" s="419">
        <v>0</v>
      </c>
      <c r="AD241" s="419">
        <v>0</v>
      </c>
      <c r="AE241" s="417">
        <f>SUM(AA241:AD241)</f>
        <v>0</v>
      </c>
      <c r="AF241" s="416">
        <f t="shared" si="210"/>
        <v>0</v>
      </c>
      <c r="AG241" s="111">
        <f t="shared" si="210"/>
        <v>0</v>
      </c>
      <c r="AH241" s="111">
        <f t="shared" si="210"/>
        <v>0</v>
      </c>
      <c r="AI241" s="111">
        <f t="shared" si="210"/>
        <v>0</v>
      </c>
      <c r="AJ241" s="417">
        <f>SUM(AF241:AI241)</f>
        <v>0</v>
      </c>
      <c r="AK241" s="420">
        <f>+U241-AJ241</f>
        <v>0</v>
      </c>
      <c r="AL241" s="423"/>
      <c r="AM241" s="422"/>
      <c r="AO241" s="1060"/>
    </row>
    <row r="242" spans="1:41" s="66" customFormat="1" ht="15" hidden="1" customHeight="1" x14ac:dyDescent="0.2">
      <c r="A242" s="733" t="s">
        <v>310</v>
      </c>
      <c r="B242" s="784">
        <v>41034</v>
      </c>
      <c r="C242" s="418"/>
      <c r="D242" s="419">
        <v>0</v>
      </c>
      <c r="E242" s="419">
        <v>0</v>
      </c>
      <c r="F242" s="419">
        <v>0</v>
      </c>
      <c r="G242" s="417">
        <f t="shared" si="189"/>
        <v>0</v>
      </c>
      <c r="H242" s="418">
        <v>0</v>
      </c>
      <c r="I242" s="419">
        <v>0</v>
      </c>
      <c r="J242" s="419">
        <v>0</v>
      </c>
      <c r="K242" s="419">
        <v>0</v>
      </c>
      <c r="L242" s="417">
        <f t="shared" si="190"/>
        <v>0</v>
      </c>
      <c r="M242" s="416">
        <f t="shared" si="205"/>
        <v>0</v>
      </c>
      <c r="N242" s="111">
        <f t="shared" si="191"/>
        <v>0</v>
      </c>
      <c r="O242" s="418">
        <v>0</v>
      </c>
      <c r="P242" s="419">
        <v>0</v>
      </c>
      <c r="Q242" s="419">
        <v>0</v>
      </c>
      <c r="R242" s="186">
        <f t="shared" si="192"/>
        <v>0</v>
      </c>
      <c r="S242" s="111">
        <f t="shared" si="193"/>
        <v>0</v>
      </c>
      <c r="T242" s="111">
        <f t="shared" si="194"/>
        <v>0</v>
      </c>
      <c r="U242" s="417">
        <f t="shared" si="195"/>
        <v>0</v>
      </c>
      <c r="V242" s="418"/>
      <c r="W242" s="419">
        <v>0</v>
      </c>
      <c r="X242" s="419">
        <v>0</v>
      </c>
      <c r="Y242" s="419">
        <v>0</v>
      </c>
      <c r="Z242" s="417">
        <f t="shared" si="196"/>
        <v>0</v>
      </c>
      <c r="AA242" s="418">
        <v>0</v>
      </c>
      <c r="AB242" s="419">
        <v>0</v>
      </c>
      <c r="AC242" s="419">
        <v>0</v>
      </c>
      <c r="AD242" s="419">
        <v>0</v>
      </c>
      <c r="AE242" s="417">
        <f t="shared" si="197"/>
        <v>0</v>
      </c>
      <c r="AF242" s="416">
        <f t="shared" si="206"/>
        <v>0</v>
      </c>
      <c r="AG242" s="111">
        <f t="shared" si="207"/>
        <v>0</v>
      </c>
      <c r="AH242" s="111">
        <f t="shared" si="198"/>
        <v>0</v>
      </c>
      <c r="AI242" s="111">
        <f t="shared" si="199"/>
        <v>0</v>
      </c>
      <c r="AJ242" s="417">
        <f t="shared" si="200"/>
        <v>0</v>
      </c>
      <c r="AK242" s="420">
        <f t="shared" si="201"/>
        <v>0</v>
      </c>
      <c r="AL242" s="423"/>
      <c r="AM242" s="422"/>
      <c r="AO242" s="1060"/>
    </row>
    <row r="243" spans="1:41" s="66" customFormat="1" ht="15" hidden="1" customHeight="1" x14ac:dyDescent="0.2">
      <c r="A243" s="733" t="s">
        <v>2594</v>
      </c>
      <c r="B243" s="784">
        <v>41036</v>
      </c>
      <c r="C243" s="418"/>
      <c r="D243" s="419">
        <v>0</v>
      </c>
      <c r="E243" s="419">
        <v>0</v>
      </c>
      <c r="F243" s="419">
        <v>0</v>
      </c>
      <c r="G243" s="417">
        <f>SUM(C243:F243)</f>
        <v>0</v>
      </c>
      <c r="H243" s="418">
        <v>0</v>
      </c>
      <c r="I243" s="419">
        <v>0</v>
      </c>
      <c r="J243" s="419">
        <v>0</v>
      </c>
      <c r="K243" s="419">
        <v>0</v>
      </c>
      <c r="L243" s="417">
        <f>SUM(H243:K243)</f>
        <v>0</v>
      </c>
      <c r="M243" s="416">
        <f t="shared" si="205"/>
        <v>0</v>
      </c>
      <c r="N243" s="111">
        <f t="shared" si="191"/>
        <v>0</v>
      </c>
      <c r="O243" s="418">
        <v>0</v>
      </c>
      <c r="P243" s="419">
        <v>0</v>
      </c>
      <c r="Q243" s="419">
        <v>0</v>
      </c>
      <c r="R243" s="186">
        <f>SUM(O243:Q243)</f>
        <v>0</v>
      </c>
      <c r="S243" s="111">
        <f t="shared" si="193"/>
        <v>0</v>
      </c>
      <c r="T243" s="111">
        <f t="shared" si="194"/>
        <v>0</v>
      </c>
      <c r="U243" s="417">
        <f>SUM(M243:N243,R243:T243)</f>
        <v>0</v>
      </c>
      <c r="V243" s="418"/>
      <c r="W243" s="419">
        <v>0</v>
      </c>
      <c r="X243" s="419">
        <v>0</v>
      </c>
      <c r="Y243" s="419">
        <v>0</v>
      </c>
      <c r="Z243" s="417">
        <f>SUM(V243:Y243)</f>
        <v>0</v>
      </c>
      <c r="AA243" s="418">
        <v>0</v>
      </c>
      <c r="AB243" s="419">
        <v>0</v>
      </c>
      <c r="AC243" s="419">
        <v>0</v>
      </c>
      <c r="AD243" s="419">
        <v>0</v>
      </c>
      <c r="AE243" s="417">
        <f>SUM(AA243:AD243)</f>
        <v>0</v>
      </c>
      <c r="AF243" s="416">
        <f t="shared" si="206"/>
        <v>0</v>
      </c>
      <c r="AG243" s="111">
        <f t="shared" si="207"/>
        <v>0</v>
      </c>
      <c r="AH243" s="111">
        <f t="shared" si="198"/>
        <v>0</v>
      </c>
      <c r="AI243" s="111">
        <f t="shared" si="199"/>
        <v>0</v>
      </c>
      <c r="AJ243" s="417">
        <f>SUM(AF243:AI243)</f>
        <v>0</v>
      </c>
      <c r="AK243" s="420">
        <f>+U243-AJ243</f>
        <v>0</v>
      </c>
      <c r="AL243" s="423"/>
      <c r="AM243" s="422"/>
      <c r="AO243" s="1060"/>
    </row>
    <row r="244" spans="1:41" s="66" customFormat="1" ht="15" hidden="1" customHeight="1" x14ac:dyDescent="0.2">
      <c r="A244" s="733" t="s">
        <v>2100</v>
      </c>
      <c r="B244" s="784">
        <v>41038</v>
      </c>
      <c r="C244" s="418"/>
      <c r="D244" s="419">
        <v>0</v>
      </c>
      <c r="E244" s="419">
        <v>0</v>
      </c>
      <c r="F244" s="419">
        <v>0</v>
      </c>
      <c r="G244" s="417">
        <f>SUM(C244:F244)</f>
        <v>0</v>
      </c>
      <c r="H244" s="418">
        <v>0</v>
      </c>
      <c r="I244" s="419">
        <v>0</v>
      </c>
      <c r="J244" s="419">
        <v>0</v>
      </c>
      <c r="K244" s="419">
        <v>0</v>
      </c>
      <c r="L244" s="417">
        <f>SUM(H244:K244)</f>
        <v>0</v>
      </c>
      <c r="M244" s="416">
        <f>SUM(C244,H244)</f>
        <v>0</v>
      </c>
      <c r="N244" s="111">
        <f>SUM(D244,I244)</f>
        <v>0</v>
      </c>
      <c r="O244" s="418">
        <v>0</v>
      </c>
      <c r="P244" s="419">
        <v>0</v>
      </c>
      <c r="Q244" s="419">
        <v>0</v>
      </c>
      <c r="R244" s="186">
        <f>SUM(O244:Q244)</f>
        <v>0</v>
      </c>
      <c r="S244" s="111">
        <f>SUM(E244,J244)</f>
        <v>0</v>
      </c>
      <c r="T244" s="111">
        <f>SUM(F244,K244)</f>
        <v>0</v>
      </c>
      <c r="U244" s="417">
        <f>SUM(M244:N244,R244:T244)</f>
        <v>0</v>
      </c>
      <c r="V244" s="418"/>
      <c r="W244" s="419">
        <v>0</v>
      </c>
      <c r="X244" s="419">
        <v>0</v>
      </c>
      <c r="Y244" s="419">
        <v>0</v>
      </c>
      <c r="Z244" s="417">
        <f>SUM(V244:Y244)</f>
        <v>0</v>
      </c>
      <c r="AA244" s="418">
        <v>0</v>
      </c>
      <c r="AB244" s="419">
        <v>0</v>
      </c>
      <c r="AC244" s="419">
        <v>0</v>
      </c>
      <c r="AD244" s="419">
        <v>0</v>
      </c>
      <c r="AE244" s="417">
        <f>SUM(AA244:AD244)</f>
        <v>0</v>
      </c>
      <c r="AF244" s="416">
        <f>SUM(V244,AA244)</f>
        <v>0</v>
      </c>
      <c r="AG244" s="111">
        <f>SUM(W244,AB244)</f>
        <v>0</v>
      </c>
      <c r="AH244" s="111">
        <f>SUM(X244,AC244)</f>
        <v>0</v>
      </c>
      <c r="AI244" s="111">
        <f>SUM(Y244,AD244)</f>
        <v>0</v>
      </c>
      <c r="AJ244" s="417">
        <f>SUM(AF244:AI244)</f>
        <v>0</v>
      </c>
      <c r="AK244" s="420">
        <f>+U244-AJ244</f>
        <v>0</v>
      </c>
      <c r="AL244" s="423"/>
      <c r="AM244" s="422"/>
      <c r="AO244" s="1060"/>
    </row>
    <row r="245" spans="1:41" s="66" customFormat="1" ht="15" hidden="1" customHeight="1" x14ac:dyDescent="0.2">
      <c r="A245" s="733"/>
      <c r="B245" s="784"/>
      <c r="C245" s="418"/>
      <c r="D245" s="419"/>
      <c r="E245" s="419"/>
      <c r="F245" s="419"/>
      <c r="G245" s="417"/>
      <c r="H245" s="418"/>
      <c r="I245" s="419"/>
      <c r="J245" s="419"/>
      <c r="K245" s="419"/>
      <c r="L245" s="417"/>
      <c r="M245" s="416"/>
      <c r="N245" s="111"/>
      <c r="O245" s="418"/>
      <c r="P245" s="419"/>
      <c r="Q245" s="419"/>
      <c r="R245" s="186"/>
      <c r="S245" s="111"/>
      <c r="T245" s="111"/>
      <c r="U245" s="417"/>
      <c r="V245" s="418"/>
      <c r="W245" s="419"/>
      <c r="X245" s="419"/>
      <c r="Y245" s="419"/>
      <c r="Z245" s="417"/>
      <c r="AA245" s="418"/>
      <c r="AB245" s="419"/>
      <c r="AC245" s="419"/>
      <c r="AD245" s="419"/>
      <c r="AE245" s="417"/>
      <c r="AF245" s="416"/>
      <c r="AG245" s="111"/>
      <c r="AH245" s="111"/>
      <c r="AI245" s="111"/>
      <c r="AJ245" s="417"/>
      <c r="AK245" s="420"/>
      <c r="AL245" s="423"/>
      <c r="AM245" s="424"/>
      <c r="AO245" s="1060"/>
    </row>
    <row r="246" spans="1:41" s="66" customFormat="1" ht="15" hidden="1" customHeight="1" x14ac:dyDescent="0.2">
      <c r="A246" s="734" t="s">
        <v>2592</v>
      </c>
      <c r="B246" s="785"/>
      <c r="C246" s="435"/>
      <c r="D246" s="436"/>
      <c r="E246" s="436"/>
      <c r="F246" s="436"/>
      <c r="G246" s="434"/>
      <c r="H246" s="435"/>
      <c r="I246" s="436"/>
      <c r="J246" s="436"/>
      <c r="K246" s="436"/>
      <c r="L246" s="434"/>
      <c r="M246" s="432"/>
      <c r="N246" s="433"/>
      <c r="O246" s="435"/>
      <c r="P246" s="436"/>
      <c r="Q246" s="436"/>
      <c r="R246" s="689"/>
      <c r="S246" s="433"/>
      <c r="T246" s="433"/>
      <c r="U246" s="434"/>
      <c r="V246" s="435"/>
      <c r="W246" s="436"/>
      <c r="X246" s="436"/>
      <c r="Y246" s="436"/>
      <c r="Z246" s="434"/>
      <c r="AA246" s="435"/>
      <c r="AB246" s="436"/>
      <c r="AC246" s="436"/>
      <c r="AD246" s="436"/>
      <c r="AE246" s="434"/>
      <c r="AF246" s="432"/>
      <c r="AG246" s="433"/>
      <c r="AH246" s="433"/>
      <c r="AI246" s="433"/>
      <c r="AJ246" s="434"/>
      <c r="AK246" s="437"/>
      <c r="AL246" s="438"/>
      <c r="AM246" s="439"/>
      <c r="AO246" s="1060"/>
    </row>
    <row r="247" spans="1:41" s="66" customFormat="1" ht="15" hidden="1" customHeight="1" x14ac:dyDescent="0.2">
      <c r="A247" s="733" t="s">
        <v>566</v>
      </c>
      <c r="B247" s="784"/>
      <c r="C247" s="418"/>
      <c r="D247" s="419">
        <v>0</v>
      </c>
      <c r="E247" s="419">
        <v>0</v>
      </c>
      <c r="F247" s="419">
        <v>0</v>
      </c>
      <c r="G247" s="417">
        <f>SUM(C247:F247)</f>
        <v>0</v>
      </c>
      <c r="H247" s="418">
        <v>0</v>
      </c>
      <c r="I247" s="419">
        <v>0</v>
      </c>
      <c r="J247" s="419">
        <v>0</v>
      </c>
      <c r="K247" s="419">
        <v>0</v>
      </c>
      <c r="L247" s="417">
        <f>SUM(H247:K247)</f>
        <v>0</v>
      </c>
      <c r="M247" s="416">
        <f t="shared" ref="M247:N251" si="211">SUM(C247,H247)</f>
        <v>0</v>
      </c>
      <c r="N247" s="111">
        <f t="shared" si="211"/>
        <v>0</v>
      </c>
      <c r="O247" s="418">
        <v>0</v>
      </c>
      <c r="P247" s="419">
        <v>0</v>
      </c>
      <c r="Q247" s="419">
        <v>0</v>
      </c>
      <c r="R247" s="186">
        <f>SUM(O247:Q247)</f>
        <v>0</v>
      </c>
      <c r="S247" s="111">
        <f t="shared" ref="S247:T251" si="212">SUM(E247,J247)</f>
        <v>0</v>
      </c>
      <c r="T247" s="111">
        <f t="shared" si="212"/>
        <v>0</v>
      </c>
      <c r="U247" s="417">
        <f>SUM(M247:N247,R247:T247)</f>
        <v>0</v>
      </c>
      <c r="V247" s="418"/>
      <c r="W247" s="419">
        <v>0</v>
      </c>
      <c r="X247" s="419">
        <v>0</v>
      </c>
      <c r="Y247" s="419">
        <v>0</v>
      </c>
      <c r="Z247" s="417">
        <f>SUM(V247:Y247)</f>
        <v>0</v>
      </c>
      <c r="AA247" s="418">
        <v>0</v>
      </c>
      <c r="AB247" s="419">
        <v>0</v>
      </c>
      <c r="AC247" s="419">
        <v>0</v>
      </c>
      <c r="AD247" s="419">
        <v>0</v>
      </c>
      <c r="AE247" s="417">
        <f>SUM(AA247:AD247)</f>
        <v>0</v>
      </c>
      <c r="AF247" s="416">
        <f t="shared" ref="AF247:AI251" si="213">SUM(V247,AA247)</f>
        <v>0</v>
      </c>
      <c r="AG247" s="111">
        <f t="shared" si="213"/>
        <v>0</v>
      </c>
      <c r="AH247" s="111">
        <f t="shared" si="213"/>
        <v>0</v>
      </c>
      <c r="AI247" s="111">
        <f t="shared" si="213"/>
        <v>0</v>
      </c>
      <c r="AJ247" s="417">
        <f>SUM(AF247:AI247)</f>
        <v>0</v>
      </c>
      <c r="AK247" s="420">
        <f>+U247-AJ247</f>
        <v>0</v>
      </c>
      <c r="AL247" s="423"/>
      <c r="AM247" s="422"/>
      <c r="AO247" s="1060"/>
    </row>
    <row r="248" spans="1:41" s="66" customFormat="1" ht="15" hidden="1" customHeight="1" x14ac:dyDescent="0.2">
      <c r="A248" s="733" t="s">
        <v>301</v>
      </c>
      <c r="B248" s="784"/>
      <c r="C248" s="418"/>
      <c r="D248" s="419">
        <v>0</v>
      </c>
      <c r="E248" s="419">
        <v>0</v>
      </c>
      <c r="F248" s="419">
        <v>0</v>
      </c>
      <c r="G248" s="417">
        <f>SUM(C248:F248)</f>
        <v>0</v>
      </c>
      <c r="H248" s="418">
        <v>0</v>
      </c>
      <c r="I248" s="419">
        <v>0</v>
      </c>
      <c r="J248" s="419">
        <v>0</v>
      </c>
      <c r="K248" s="419">
        <v>0</v>
      </c>
      <c r="L248" s="417">
        <f>SUM(H248:K248)</f>
        <v>0</v>
      </c>
      <c r="M248" s="416">
        <f t="shared" si="211"/>
        <v>0</v>
      </c>
      <c r="N248" s="111">
        <f t="shared" si="211"/>
        <v>0</v>
      </c>
      <c r="O248" s="418">
        <v>0</v>
      </c>
      <c r="P248" s="419">
        <v>0</v>
      </c>
      <c r="Q248" s="419">
        <v>0</v>
      </c>
      <c r="R248" s="186">
        <f>SUM(O248:Q248)</f>
        <v>0</v>
      </c>
      <c r="S248" s="111">
        <f t="shared" si="212"/>
        <v>0</v>
      </c>
      <c r="T248" s="111">
        <f t="shared" si="212"/>
        <v>0</v>
      </c>
      <c r="U248" s="417">
        <f>SUM(M248:N248,R248:T248)</f>
        <v>0</v>
      </c>
      <c r="V248" s="418"/>
      <c r="W248" s="419">
        <v>0</v>
      </c>
      <c r="X248" s="419">
        <v>0</v>
      </c>
      <c r="Y248" s="419">
        <v>0</v>
      </c>
      <c r="Z248" s="417">
        <f>SUM(V248:Y248)</f>
        <v>0</v>
      </c>
      <c r="AA248" s="418">
        <v>0</v>
      </c>
      <c r="AB248" s="419">
        <v>0</v>
      </c>
      <c r="AC248" s="419">
        <v>0</v>
      </c>
      <c r="AD248" s="419">
        <v>0</v>
      </c>
      <c r="AE248" s="417">
        <f>SUM(AA248:AD248)</f>
        <v>0</v>
      </c>
      <c r="AF248" s="416">
        <f t="shared" si="213"/>
        <v>0</v>
      </c>
      <c r="AG248" s="111">
        <f t="shared" si="213"/>
        <v>0</v>
      </c>
      <c r="AH248" s="111">
        <f t="shared" si="213"/>
        <v>0</v>
      </c>
      <c r="AI248" s="111">
        <f t="shared" si="213"/>
        <v>0</v>
      </c>
      <c r="AJ248" s="417">
        <f>SUM(AF248:AI248)</f>
        <v>0</v>
      </c>
      <c r="AK248" s="420">
        <f>+U248-AJ248</f>
        <v>0</v>
      </c>
      <c r="AL248" s="423"/>
      <c r="AM248" s="422"/>
      <c r="AO248" s="1060"/>
    </row>
    <row r="249" spans="1:41" s="66" customFormat="1" ht="15" hidden="1" customHeight="1" x14ac:dyDescent="0.2">
      <c r="A249" s="733" t="s">
        <v>306</v>
      </c>
      <c r="B249" s="784"/>
      <c r="C249" s="418"/>
      <c r="D249" s="419">
        <v>0</v>
      </c>
      <c r="E249" s="419">
        <v>0</v>
      </c>
      <c r="F249" s="419">
        <v>0</v>
      </c>
      <c r="G249" s="417">
        <f>SUM(C249:F249)</f>
        <v>0</v>
      </c>
      <c r="H249" s="418">
        <v>0</v>
      </c>
      <c r="I249" s="419">
        <v>0</v>
      </c>
      <c r="J249" s="419">
        <v>0</v>
      </c>
      <c r="K249" s="419">
        <v>0</v>
      </c>
      <c r="L249" s="417">
        <f>SUM(H249:K249)</f>
        <v>0</v>
      </c>
      <c r="M249" s="416">
        <f t="shared" si="211"/>
        <v>0</v>
      </c>
      <c r="N249" s="111">
        <f t="shared" si="211"/>
        <v>0</v>
      </c>
      <c r="O249" s="418">
        <v>0</v>
      </c>
      <c r="P249" s="419">
        <v>0</v>
      </c>
      <c r="Q249" s="419">
        <v>0</v>
      </c>
      <c r="R249" s="186">
        <f>SUM(O249:Q249)</f>
        <v>0</v>
      </c>
      <c r="S249" s="111">
        <f t="shared" si="212"/>
        <v>0</v>
      </c>
      <c r="T249" s="111">
        <f t="shared" si="212"/>
        <v>0</v>
      </c>
      <c r="U249" s="417">
        <f>SUM(M249:N249,R249:T249)</f>
        <v>0</v>
      </c>
      <c r="V249" s="418"/>
      <c r="W249" s="419">
        <v>0</v>
      </c>
      <c r="X249" s="419">
        <v>0</v>
      </c>
      <c r="Y249" s="419">
        <v>0</v>
      </c>
      <c r="Z249" s="417">
        <f>SUM(V249:Y249)</f>
        <v>0</v>
      </c>
      <c r="AA249" s="418">
        <v>0</v>
      </c>
      <c r="AB249" s="419">
        <v>0</v>
      </c>
      <c r="AC249" s="419">
        <v>0</v>
      </c>
      <c r="AD249" s="419">
        <v>0</v>
      </c>
      <c r="AE249" s="417">
        <f>SUM(AA249:AD249)</f>
        <v>0</v>
      </c>
      <c r="AF249" s="416">
        <f t="shared" si="213"/>
        <v>0</v>
      </c>
      <c r="AG249" s="111">
        <f t="shared" si="213"/>
        <v>0</v>
      </c>
      <c r="AH249" s="111">
        <f t="shared" si="213"/>
        <v>0</v>
      </c>
      <c r="AI249" s="111">
        <f t="shared" si="213"/>
        <v>0</v>
      </c>
      <c r="AJ249" s="417">
        <f>SUM(AF249:AI249)</f>
        <v>0</v>
      </c>
      <c r="AK249" s="420">
        <f>+U249-AJ249</f>
        <v>0</v>
      </c>
      <c r="AL249" s="423"/>
      <c r="AM249" s="422"/>
      <c r="AO249" s="1060"/>
    </row>
    <row r="250" spans="1:41" s="66" customFormat="1" ht="15" hidden="1" customHeight="1" x14ac:dyDescent="0.2">
      <c r="A250" s="733" t="s">
        <v>2593</v>
      </c>
      <c r="B250" s="784">
        <v>36001</v>
      </c>
      <c r="C250" s="418"/>
      <c r="D250" s="419">
        <v>0</v>
      </c>
      <c r="E250" s="419">
        <v>0</v>
      </c>
      <c r="F250" s="419">
        <v>0</v>
      </c>
      <c r="G250" s="417">
        <f>SUM(C250:F250)</f>
        <v>0</v>
      </c>
      <c r="H250" s="418">
        <v>0</v>
      </c>
      <c r="I250" s="419">
        <v>0</v>
      </c>
      <c r="J250" s="419">
        <v>0</v>
      </c>
      <c r="K250" s="419">
        <v>0</v>
      </c>
      <c r="L250" s="417">
        <f>SUM(H250:K250)</f>
        <v>0</v>
      </c>
      <c r="M250" s="416">
        <f t="shared" si="211"/>
        <v>0</v>
      </c>
      <c r="N250" s="111">
        <f t="shared" si="211"/>
        <v>0</v>
      </c>
      <c r="O250" s="418">
        <v>0</v>
      </c>
      <c r="P250" s="419">
        <v>0</v>
      </c>
      <c r="Q250" s="419">
        <v>0</v>
      </c>
      <c r="R250" s="186">
        <f>SUM(O250:Q250)</f>
        <v>0</v>
      </c>
      <c r="S250" s="111">
        <f t="shared" si="212"/>
        <v>0</v>
      </c>
      <c r="T250" s="111">
        <f t="shared" si="212"/>
        <v>0</v>
      </c>
      <c r="U250" s="417">
        <f>SUM(M250:N250,R250:T250)</f>
        <v>0</v>
      </c>
      <c r="V250" s="418"/>
      <c r="W250" s="419">
        <v>0</v>
      </c>
      <c r="X250" s="419">
        <v>0</v>
      </c>
      <c r="Y250" s="419">
        <v>0</v>
      </c>
      <c r="Z250" s="417">
        <f>SUM(V250:Y250)</f>
        <v>0</v>
      </c>
      <c r="AA250" s="418">
        <v>0</v>
      </c>
      <c r="AB250" s="419">
        <v>0</v>
      </c>
      <c r="AC250" s="419">
        <v>0</v>
      </c>
      <c r="AD250" s="419">
        <v>0</v>
      </c>
      <c r="AE250" s="417">
        <f>SUM(AA250:AD250)</f>
        <v>0</v>
      </c>
      <c r="AF250" s="416">
        <f t="shared" si="213"/>
        <v>0</v>
      </c>
      <c r="AG250" s="111">
        <f t="shared" si="213"/>
        <v>0</v>
      </c>
      <c r="AH250" s="111">
        <f t="shared" si="213"/>
        <v>0</v>
      </c>
      <c r="AI250" s="111">
        <f t="shared" si="213"/>
        <v>0</v>
      </c>
      <c r="AJ250" s="417">
        <f>SUM(AF250:AI250)</f>
        <v>0</v>
      </c>
      <c r="AK250" s="420">
        <f>+U250-AJ250</f>
        <v>0</v>
      </c>
      <c r="AL250" s="423"/>
      <c r="AM250" s="422"/>
      <c r="AO250" s="1060"/>
    </row>
    <row r="251" spans="1:41" s="66" customFormat="1" ht="15" hidden="1" customHeight="1" x14ac:dyDescent="0.2">
      <c r="A251" s="733" t="s">
        <v>311</v>
      </c>
      <c r="B251" s="784"/>
      <c r="C251" s="418"/>
      <c r="D251" s="419">
        <v>0</v>
      </c>
      <c r="E251" s="419">
        <v>0</v>
      </c>
      <c r="F251" s="419">
        <v>0</v>
      </c>
      <c r="G251" s="417">
        <f>SUM(C251:F251)</f>
        <v>0</v>
      </c>
      <c r="H251" s="418">
        <v>0</v>
      </c>
      <c r="I251" s="419">
        <v>0</v>
      </c>
      <c r="J251" s="419">
        <v>0</v>
      </c>
      <c r="K251" s="419">
        <v>0</v>
      </c>
      <c r="L251" s="417">
        <f>SUM(H251:K251)</f>
        <v>0</v>
      </c>
      <c r="M251" s="416">
        <f t="shared" si="211"/>
        <v>0</v>
      </c>
      <c r="N251" s="111">
        <f t="shared" si="211"/>
        <v>0</v>
      </c>
      <c r="O251" s="418">
        <v>0</v>
      </c>
      <c r="P251" s="419">
        <v>0</v>
      </c>
      <c r="Q251" s="419">
        <v>0</v>
      </c>
      <c r="R251" s="186">
        <f>SUM(O251:Q251)</f>
        <v>0</v>
      </c>
      <c r="S251" s="111">
        <f t="shared" si="212"/>
        <v>0</v>
      </c>
      <c r="T251" s="111">
        <f t="shared" si="212"/>
        <v>0</v>
      </c>
      <c r="U251" s="417">
        <f>SUM(M251:N251,R251:T251)</f>
        <v>0</v>
      </c>
      <c r="V251" s="418"/>
      <c r="W251" s="419">
        <v>0</v>
      </c>
      <c r="X251" s="419">
        <v>0</v>
      </c>
      <c r="Y251" s="419">
        <v>0</v>
      </c>
      <c r="Z251" s="417">
        <f>SUM(V251:Y251)</f>
        <v>0</v>
      </c>
      <c r="AA251" s="418">
        <v>0</v>
      </c>
      <c r="AB251" s="419">
        <v>0</v>
      </c>
      <c r="AC251" s="419">
        <v>0</v>
      </c>
      <c r="AD251" s="419">
        <v>0</v>
      </c>
      <c r="AE251" s="417">
        <f>SUM(AA251:AD251)</f>
        <v>0</v>
      </c>
      <c r="AF251" s="416">
        <f t="shared" si="213"/>
        <v>0</v>
      </c>
      <c r="AG251" s="111">
        <f t="shared" si="213"/>
        <v>0</v>
      </c>
      <c r="AH251" s="111">
        <f t="shared" si="213"/>
        <v>0</v>
      </c>
      <c r="AI251" s="111">
        <f t="shared" si="213"/>
        <v>0</v>
      </c>
      <c r="AJ251" s="417">
        <f>SUM(AF251:AI251)</f>
        <v>0</v>
      </c>
      <c r="AK251" s="420">
        <f>+U251-AJ251</f>
        <v>0</v>
      </c>
      <c r="AL251" s="423"/>
      <c r="AM251" s="422"/>
      <c r="AO251" s="1060"/>
    </row>
    <row r="252" spans="1:41" s="66" customFormat="1" ht="15" hidden="1" customHeight="1" x14ac:dyDescent="0.2">
      <c r="A252" s="733"/>
      <c r="B252" s="784"/>
      <c r="C252" s="418"/>
      <c r="D252" s="419"/>
      <c r="E252" s="419"/>
      <c r="F252" s="419"/>
      <c r="G252" s="417"/>
      <c r="H252" s="418"/>
      <c r="I252" s="419"/>
      <c r="J252" s="419"/>
      <c r="K252" s="419"/>
      <c r="L252" s="417"/>
      <c r="M252" s="416"/>
      <c r="N252" s="111"/>
      <c r="O252" s="418"/>
      <c r="P252" s="419"/>
      <c r="Q252" s="419"/>
      <c r="R252" s="186"/>
      <c r="S252" s="111"/>
      <c r="T252" s="111"/>
      <c r="U252" s="417"/>
      <c r="V252" s="418"/>
      <c r="W252" s="419"/>
      <c r="X252" s="419"/>
      <c r="Y252" s="419"/>
      <c r="Z252" s="417"/>
      <c r="AA252" s="418"/>
      <c r="AB252" s="419"/>
      <c r="AC252" s="419"/>
      <c r="AD252" s="419"/>
      <c r="AE252" s="417"/>
      <c r="AF252" s="416"/>
      <c r="AG252" s="111"/>
      <c r="AH252" s="111"/>
      <c r="AI252" s="111"/>
      <c r="AJ252" s="417"/>
      <c r="AK252" s="420"/>
      <c r="AL252" s="423"/>
      <c r="AM252" s="424"/>
      <c r="AO252" s="1060"/>
    </row>
    <row r="253" spans="1:41" s="66" customFormat="1" ht="15" hidden="1" customHeight="1" x14ac:dyDescent="0.2">
      <c r="A253" s="734" t="s">
        <v>313</v>
      </c>
      <c r="B253" s="785"/>
      <c r="C253" s="435"/>
      <c r="D253" s="436"/>
      <c r="E253" s="436"/>
      <c r="F253" s="436"/>
      <c r="G253" s="434"/>
      <c r="H253" s="435"/>
      <c r="I253" s="436"/>
      <c r="J253" s="436"/>
      <c r="K253" s="436"/>
      <c r="L253" s="434"/>
      <c r="M253" s="432"/>
      <c r="N253" s="433"/>
      <c r="O253" s="435"/>
      <c r="P253" s="436"/>
      <c r="Q253" s="436"/>
      <c r="R253" s="689"/>
      <c r="S253" s="433"/>
      <c r="T253" s="433"/>
      <c r="U253" s="434"/>
      <c r="V253" s="435"/>
      <c r="W253" s="436"/>
      <c r="X253" s="436"/>
      <c r="Y253" s="436"/>
      <c r="Z253" s="434"/>
      <c r="AA253" s="435"/>
      <c r="AB253" s="436"/>
      <c r="AC253" s="436"/>
      <c r="AD253" s="436"/>
      <c r="AE253" s="434"/>
      <c r="AF253" s="432"/>
      <c r="AG253" s="433"/>
      <c r="AH253" s="433"/>
      <c r="AI253" s="433"/>
      <c r="AJ253" s="434"/>
      <c r="AK253" s="437"/>
      <c r="AL253" s="438"/>
      <c r="AM253" s="439"/>
      <c r="AO253" s="1060"/>
    </row>
    <row r="254" spans="1:41" s="66" customFormat="1" ht="15" hidden="1" customHeight="1" x14ac:dyDescent="0.2">
      <c r="A254" s="733" t="s">
        <v>314</v>
      </c>
      <c r="B254" s="784"/>
      <c r="C254" s="418"/>
      <c r="D254" s="419">
        <v>0</v>
      </c>
      <c r="E254" s="419">
        <v>0</v>
      </c>
      <c r="F254" s="419">
        <v>0</v>
      </c>
      <c r="G254" s="417">
        <f>SUM(C254:F254)</f>
        <v>0</v>
      </c>
      <c r="H254" s="418">
        <v>0</v>
      </c>
      <c r="I254" s="419">
        <v>0</v>
      </c>
      <c r="J254" s="419">
        <v>0</v>
      </c>
      <c r="K254" s="419">
        <v>0</v>
      </c>
      <c r="L254" s="417">
        <f>SUM(H254:K254)</f>
        <v>0</v>
      </c>
      <c r="M254" s="416">
        <f>SUM(C254,H254)</f>
        <v>0</v>
      </c>
      <c r="N254" s="111">
        <f>SUM(D254,I254)</f>
        <v>0</v>
      </c>
      <c r="O254" s="418">
        <v>0</v>
      </c>
      <c r="P254" s="419">
        <v>0</v>
      </c>
      <c r="Q254" s="419">
        <v>0</v>
      </c>
      <c r="R254" s="186">
        <f>SUM(O254:Q254)</f>
        <v>0</v>
      </c>
      <c r="S254" s="111">
        <f>SUM(E254,J254)</f>
        <v>0</v>
      </c>
      <c r="T254" s="111">
        <f>SUM(F254,K254)</f>
        <v>0</v>
      </c>
      <c r="U254" s="417">
        <f>SUM(M254:N254,R254:T254)</f>
        <v>0</v>
      </c>
      <c r="V254" s="418"/>
      <c r="W254" s="419">
        <v>0</v>
      </c>
      <c r="X254" s="419">
        <v>0</v>
      </c>
      <c r="Y254" s="419">
        <v>0</v>
      </c>
      <c r="Z254" s="417">
        <f>SUM(V254:Y254)</f>
        <v>0</v>
      </c>
      <c r="AA254" s="418">
        <v>0</v>
      </c>
      <c r="AB254" s="419">
        <v>0</v>
      </c>
      <c r="AC254" s="419">
        <v>0</v>
      </c>
      <c r="AD254" s="419">
        <v>0</v>
      </c>
      <c r="AE254" s="417">
        <f>SUM(AA254:AD254)</f>
        <v>0</v>
      </c>
      <c r="AF254" s="416">
        <f>SUM(V254,AA254)</f>
        <v>0</v>
      </c>
      <c r="AG254" s="111">
        <f>SUM(W254,AB254)</f>
        <v>0</v>
      </c>
      <c r="AH254" s="111">
        <f>SUM(X254,AC254)</f>
        <v>0</v>
      </c>
      <c r="AI254" s="111">
        <f>SUM(Y254,AD254)</f>
        <v>0</v>
      </c>
      <c r="AJ254" s="417">
        <f>SUM(AF254:AI254)</f>
        <v>0</v>
      </c>
      <c r="AK254" s="420">
        <f>+U254-AJ254</f>
        <v>0</v>
      </c>
      <c r="AL254" s="423"/>
      <c r="AM254" s="424"/>
      <c r="AO254" s="1060"/>
    </row>
    <row r="255" spans="1:41" s="66" customFormat="1" ht="15" hidden="1" customHeight="1" x14ac:dyDescent="0.2">
      <c r="A255" s="733"/>
      <c r="B255" s="784"/>
      <c r="C255" s="418"/>
      <c r="D255" s="419"/>
      <c r="E255" s="419"/>
      <c r="F255" s="419"/>
      <c r="G255" s="417"/>
      <c r="H255" s="418"/>
      <c r="I255" s="419"/>
      <c r="J255" s="419"/>
      <c r="K255" s="419"/>
      <c r="L255" s="417"/>
      <c r="M255" s="416"/>
      <c r="N255" s="111"/>
      <c r="O255" s="418"/>
      <c r="P255" s="419"/>
      <c r="Q255" s="419"/>
      <c r="R255" s="186"/>
      <c r="S255" s="111"/>
      <c r="T255" s="111"/>
      <c r="U255" s="417"/>
      <c r="V255" s="418"/>
      <c r="W255" s="419"/>
      <c r="X255" s="419"/>
      <c r="Y255" s="419"/>
      <c r="Z255" s="417"/>
      <c r="AA255" s="418"/>
      <c r="AB255" s="419"/>
      <c r="AC255" s="419"/>
      <c r="AD255" s="419"/>
      <c r="AE255" s="417"/>
      <c r="AF255" s="416"/>
      <c r="AG255" s="111"/>
      <c r="AH255" s="111"/>
      <c r="AI255" s="111"/>
      <c r="AJ255" s="417"/>
      <c r="AK255" s="420"/>
      <c r="AL255" s="423"/>
      <c r="AM255" s="424"/>
      <c r="AO255" s="1060"/>
    </row>
    <row r="256" spans="1:41" s="66" customFormat="1" ht="15" hidden="1" customHeight="1" x14ac:dyDescent="0.2">
      <c r="A256" s="734" t="s">
        <v>315</v>
      </c>
      <c r="B256" s="785"/>
      <c r="C256" s="435"/>
      <c r="D256" s="436"/>
      <c r="E256" s="436"/>
      <c r="F256" s="436"/>
      <c r="G256" s="434"/>
      <c r="H256" s="435"/>
      <c r="I256" s="436"/>
      <c r="J256" s="436"/>
      <c r="K256" s="436"/>
      <c r="L256" s="434"/>
      <c r="M256" s="432"/>
      <c r="N256" s="433"/>
      <c r="O256" s="435"/>
      <c r="P256" s="436"/>
      <c r="Q256" s="436"/>
      <c r="R256" s="689"/>
      <c r="S256" s="433"/>
      <c r="T256" s="433"/>
      <c r="U256" s="434"/>
      <c r="V256" s="435"/>
      <c r="W256" s="436"/>
      <c r="X256" s="436"/>
      <c r="Y256" s="436"/>
      <c r="Z256" s="434"/>
      <c r="AA256" s="435"/>
      <c r="AB256" s="436"/>
      <c r="AC256" s="436"/>
      <c r="AD256" s="436"/>
      <c r="AE256" s="434"/>
      <c r="AF256" s="432"/>
      <c r="AG256" s="433"/>
      <c r="AH256" s="433"/>
      <c r="AI256" s="433"/>
      <c r="AJ256" s="434"/>
      <c r="AK256" s="437"/>
      <c r="AL256" s="438"/>
      <c r="AM256" s="439"/>
      <c r="AO256" s="1060"/>
    </row>
    <row r="257" spans="1:41" s="66" customFormat="1" ht="15" hidden="1" customHeight="1" x14ac:dyDescent="0.2">
      <c r="A257" s="733" t="s">
        <v>316</v>
      </c>
      <c r="B257" s="784"/>
      <c r="C257" s="418"/>
      <c r="D257" s="419">
        <v>0</v>
      </c>
      <c r="E257" s="419">
        <v>0</v>
      </c>
      <c r="F257" s="419">
        <v>0</v>
      </c>
      <c r="G257" s="417">
        <f>SUM(C257:F257)</f>
        <v>0</v>
      </c>
      <c r="H257" s="418">
        <v>0</v>
      </c>
      <c r="I257" s="419">
        <v>0</v>
      </c>
      <c r="J257" s="419">
        <v>0</v>
      </c>
      <c r="K257" s="419">
        <v>0</v>
      </c>
      <c r="L257" s="417">
        <f>SUM(H257:K257)</f>
        <v>0</v>
      </c>
      <c r="M257" s="416">
        <f t="shared" ref="M257:N260" si="214">SUM(C257,H257)</f>
        <v>0</v>
      </c>
      <c r="N257" s="111">
        <f t="shared" si="214"/>
        <v>0</v>
      </c>
      <c r="O257" s="418">
        <v>0</v>
      </c>
      <c r="P257" s="419">
        <v>0</v>
      </c>
      <c r="Q257" s="419">
        <v>0</v>
      </c>
      <c r="R257" s="186">
        <f>SUM(O257:Q257)</f>
        <v>0</v>
      </c>
      <c r="S257" s="111">
        <f t="shared" ref="S257:T260" si="215">SUM(E257,J257)</f>
        <v>0</v>
      </c>
      <c r="T257" s="111">
        <f t="shared" si="215"/>
        <v>0</v>
      </c>
      <c r="U257" s="417">
        <f>SUM(M257:N257,R257:T257)</f>
        <v>0</v>
      </c>
      <c r="V257" s="418"/>
      <c r="W257" s="419">
        <v>0</v>
      </c>
      <c r="X257" s="419">
        <v>0</v>
      </c>
      <c r="Y257" s="419">
        <v>0</v>
      </c>
      <c r="Z257" s="417">
        <f>SUM(V257:Y257)</f>
        <v>0</v>
      </c>
      <c r="AA257" s="418">
        <v>0</v>
      </c>
      <c r="AB257" s="419">
        <v>0</v>
      </c>
      <c r="AC257" s="419">
        <v>0</v>
      </c>
      <c r="AD257" s="419">
        <v>0</v>
      </c>
      <c r="AE257" s="417">
        <f>SUM(AA257:AD257)</f>
        <v>0</v>
      </c>
      <c r="AF257" s="416">
        <f t="shared" ref="AF257:AI260" si="216">SUM(V257,AA257)</f>
        <v>0</v>
      </c>
      <c r="AG257" s="111">
        <f t="shared" si="216"/>
        <v>0</v>
      </c>
      <c r="AH257" s="111">
        <f t="shared" si="216"/>
        <v>0</v>
      </c>
      <c r="AI257" s="111">
        <f t="shared" si="216"/>
        <v>0</v>
      </c>
      <c r="AJ257" s="417">
        <f>SUM(AF257:AI257)</f>
        <v>0</v>
      </c>
      <c r="AK257" s="420">
        <f>+U257-AJ257</f>
        <v>0</v>
      </c>
      <c r="AL257" s="423"/>
      <c r="AM257" s="424"/>
      <c r="AO257" s="1060"/>
    </row>
    <row r="258" spans="1:41" s="66" customFormat="1" ht="15" hidden="1" customHeight="1" x14ac:dyDescent="0.2">
      <c r="A258" s="733" t="s">
        <v>317</v>
      </c>
      <c r="B258" s="784"/>
      <c r="C258" s="418"/>
      <c r="D258" s="419">
        <v>0</v>
      </c>
      <c r="E258" s="419">
        <v>0</v>
      </c>
      <c r="F258" s="419">
        <v>0</v>
      </c>
      <c r="G258" s="417">
        <f>SUM(C258:F258)</f>
        <v>0</v>
      </c>
      <c r="H258" s="418">
        <v>0</v>
      </c>
      <c r="I258" s="419">
        <v>0</v>
      </c>
      <c r="J258" s="419">
        <v>0</v>
      </c>
      <c r="K258" s="419">
        <v>0</v>
      </c>
      <c r="L258" s="417">
        <f>SUM(H258:K258)</f>
        <v>0</v>
      </c>
      <c r="M258" s="416">
        <f t="shared" si="214"/>
        <v>0</v>
      </c>
      <c r="N258" s="111">
        <f t="shared" si="214"/>
        <v>0</v>
      </c>
      <c r="O258" s="418">
        <v>0</v>
      </c>
      <c r="P258" s="419">
        <v>0</v>
      </c>
      <c r="Q258" s="419">
        <v>0</v>
      </c>
      <c r="R258" s="186">
        <f>SUM(O258:Q258)</f>
        <v>0</v>
      </c>
      <c r="S258" s="111">
        <f t="shared" si="215"/>
        <v>0</v>
      </c>
      <c r="T258" s="111">
        <f t="shared" si="215"/>
        <v>0</v>
      </c>
      <c r="U258" s="417">
        <f>SUM(M258:N258,R258:T258)</f>
        <v>0</v>
      </c>
      <c r="V258" s="418"/>
      <c r="W258" s="419">
        <v>0</v>
      </c>
      <c r="X258" s="419">
        <v>0</v>
      </c>
      <c r="Y258" s="419">
        <v>0</v>
      </c>
      <c r="Z258" s="417">
        <f>SUM(V258:Y258)</f>
        <v>0</v>
      </c>
      <c r="AA258" s="418">
        <v>0</v>
      </c>
      <c r="AB258" s="419">
        <v>0</v>
      </c>
      <c r="AC258" s="419">
        <v>0</v>
      </c>
      <c r="AD258" s="419">
        <v>0</v>
      </c>
      <c r="AE258" s="417">
        <f>SUM(AA258:AD258)</f>
        <v>0</v>
      </c>
      <c r="AF258" s="416">
        <f t="shared" si="216"/>
        <v>0</v>
      </c>
      <c r="AG258" s="111">
        <f t="shared" si="216"/>
        <v>0</v>
      </c>
      <c r="AH258" s="111">
        <f t="shared" si="216"/>
        <v>0</v>
      </c>
      <c r="AI258" s="111">
        <f t="shared" si="216"/>
        <v>0</v>
      </c>
      <c r="AJ258" s="417">
        <f>SUM(AF258:AI258)</f>
        <v>0</v>
      </c>
      <c r="AK258" s="420">
        <f>+U258-AJ258</f>
        <v>0</v>
      </c>
      <c r="AL258" s="423"/>
      <c r="AM258" s="424"/>
      <c r="AO258" s="1060"/>
    </row>
    <row r="259" spans="1:41" s="66" customFormat="1" ht="15" hidden="1" customHeight="1" x14ac:dyDescent="0.2">
      <c r="A259" s="733" t="s">
        <v>627</v>
      </c>
      <c r="B259" s="784">
        <v>22013</v>
      </c>
      <c r="C259" s="418"/>
      <c r="D259" s="419">
        <v>0</v>
      </c>
      <c r="E259" s="419">
        <v>0</v>
      </c>
      <c r="F259" s="419">
        <v>0</v>
      </c>
      <c r="G259" s="417">
        <f>SUM(C259:F259)</f>
        <v>0</v>
      </c>
      <c r="H259" s="418">
        <v>0</v>
      </c>
      <c r="I259" s="419">
        <v>0</v>
      </c>
      <c r="J259" s="419">
        <v>0</v>
      </c>
      <c r="K259" s="419">
        <v>0</v>
      </c>
      <c r="L259" s="417">
        <f>SUM(H259:K259)</f>
        <v>0</v>
      </c>
      <c r="M259" s="416">
        <f t="shared" si="214"/>
        <v>0</v>
      </c>
      <c r="N259" s="111">
        <f t="shared" si="214"/>
        <v>0</v>
      </c>
      <c r="O259" s="418">
        <v>0</v>
      </c>
      <c r="P259" s="419">
        <v>0</v>
      </c>
      <c r="Q259" s="419">
        <v>0</v>
      </c>
      <c r="R259" s="186">
        <f>SUM(O259:Q259)</f>
        <v>0</v>
      </c>
      <c r="S259" s="111">
        <f t="shared" si="215"/>
        <v>0</v>
      </c>
      <c r="T259" s="111">
        <f t="shared" si="215"/>
        <v>0</v>
      </c>
      <c r="U259" s="417">
        <f>SUM(M259:N259,R259:T259)</f>
        <v>0</v>
      </c>
      <c r="V259" s="418"/>
      <c r="W259" s="419">
        <v>0</v>
      </c>
      <c r="X259" s="419">
        <v>0</v>
      </c>
      <c r="Y259" s="419">
        <v>0</v>
      </c>
      <c r="Z259" s="417">
        <f>SUM(V259:Y259)</f>
        <v>0</v>
      </c>
      <c r="AA259" s="418">
        <v>0</v>
      </c>
      <c r="AB259" s="419">
        <v>0</v>
      </c>
      <c r="AC259" s="419">
        <v>0</v>
      </c>
      <c r="AD259" s="419">
        <v>0</v>
      </c>
      <c r="AE259" s="417">
        <f>SUM(AA259:AD259)</f>
        <v>0</v>
      </c>
      <c r="AF259" s="416">
        <f t="shared" si="216"/>
        <v>0</v>
      </c>
      <c r="AG259" s="111">
        <f t="shared" si="216"/>
        <v>0</v>
      </c>
      <c r="AH259" s="111">
        <f t="shared" si="216"/>
        <v>0</v>
      </c>
      <c r="AI259" s="111">
        <f t="shared" si="216"/>
        <v>0</v>
      </c>
      <c r="AJ259" s="417">
        <f>SUM(AF259:AI259)</f>
        <v>0</v>
      </c>
      <c r="AK259" s="420">
        <f>+U259-AJ259</f>
        <v>0</v>
      </c>
      <c r="AL259" s="423"/>
      <c r="AM259" s="422"/>
      <c r="AO259" s="1060"/>
    </row>
    <row r="260" spans="1:41" s="66" customFormat="1" ht="15" hidden="1" customHeight="1" x14ac:dyDescent="0.2">
      <c r="A260" s="733" t="s">
        <v>318</v>
      </c>
      <c r="B260" s="784"/>
      <c r="C260" s="418">
        <v>0</v>
      </c>
      <c r="D260" s="419">
        <v>0</v>
      </c>
      <c r="E260" s="419">
        <v>0</v>
      </c>
      <c r="F260" s="419">
        <v>0</v>
      </c>
      <c r="G260" s="417">
        <f>SUM(C260:F260)</f>
        <v>0</v>
      </c>
      <c r="H260" s="418">
        <v>0</v>
      </c>
      <c r="I260" s="419">
        <v>0</v>
      </c>
      <c r="J260" s="419">
        <v>0</v>
      </c>
      <c r="K260" s="419">
        <v>0</v>
      </c>
      <c r="L260" s="417">
        <f>SUM(H260:K260)</f>
        <v>0</v>
      </c>
      <c r="M260" s="416">
        <f t="shared" si="214"/>
        <v>0</v>
      </c>
      <c r="N260" s="111">
        <f t="shared" si="214"/>
        <v>0</v>
      </c>
      <c r="O260" s="418">
        <v>0</v>
      </c>
      <c r="P260" s="419">
        <v>0</v>
      </c>
      <c r="Q260" s="419">
        <v>0</v>
      </c>
      <c r="R260" s="186">
        <f>SUM(O260:Q260)</f>
        <v>0</v>
      </c>
      <c r="S260" s="111">
        <f t="shared" si="215"/>
        <v>0</v>
      </c>
      <c r="T260" s="111">
        <f t="shared" si="215"/>
        <v>0</v>
      </c>
      <c r="U260" s="417">
        <f>SUM(M260:N260,R260:T260)</f>
        <v>0</v>
      </c>
      <c r="V260" s="418">
        <v>0</v>
      </c>
      <c r="W260" s="419">
        <v>0</v>
      </c>
      <c r="X260" s="419">
        <v>0</v>
      </c>
      <c r="Y260" s="419">
        <v>0</v>
      </c>
      <c r="Z260" s="417">
        <f>SUM(V260:Y260)</f>
        <v>0</v>
      </c>
      <c r="AA260" s="418">
        <v>0</v>
      </c>
      <c r="AB260" s="419">
        <v>0</v>
      </c>
      <c r="AC260" s="419">
        <v>0</v>
      </c>
      <c r="AD260" s="419">
        <v>0</v>
      </c>
      <c r="AE260" s="417">
        <f>SUM(AA260:AD260)</f>
        <v>0</v>
      </c>
      <c r="AF260" s="416">
        <f t="shared" si="216"/>
        <v>0</v>
      </c>
      <c r="AG260" s="111">
        <f t="shared" si="216"/>
        <v>0</v>
      </c>
      <c r="AH260" s="111">
        <f t="shared" si="216"/>
        <v>0</v>
      </c>
      <c r="AI260" s="111">
        <f t="shared" si="216"/>
        <v>0</v>
      </c>
      <c r="AJ260" s="417">
        <f>SUM(AF260:AI260)</f>
        <v>0</v>
      </c>
      <c r="AK260" s="420">
        <f>+U260-AJ260</f>
        <v>0</v>
      </c>
      <c r="AL260" s="423"/>
      <c r="AM260" s="424"/>
      <c r="AO260" s="1060"/>
    </row>
    <row r="261" spans="1:41" s="66" customFormat="1" ht="15" customHeight="1" x14ac:dyDescent="0.2">
      <c r="A261" s="733"/>
      <c r="B261" s="784"/>
      <c r="C261" s="418"/>
      <c r="D261" s="419"/>
      <c r="E261" s="419"/>
      <c r="F261" s="419"/>
      <c r="G261" s="417"/>
      <c r="H261" s="418"/>
      <c r="I261" s="419"/>
      <c r="J261" s="419"/>
      <c r="K261" s="419"/>
      <c r="L261" s="417"/>
      <c r="M261" s="416"/>
      <c r="N261" s="111"/>
      <c r="O261" s="418"/>
      <c r="P261" s="419"/>
      <c r="Q261" s="419"/>
      <c r="R261" s="186"/>
      <c r="S261" s="111"/>
      <c r="T261" s="111"/>
      <c r="U261" s="417"/>
      <c r="V261" s="418"/>
      <c r="W261" s="419"/>
      <c r="X261" s="419"/>
      <c r="Y261" s="419"/>
      <c r="Z261" s="417"/>
      <c r="AA261" s="441"/>
      <c r="AB261" s="419"/>
      <c r="AC261" s="419"/>
      <c r="AD261" s="419"/>
      <c r="AE261" s="417"/>
      <c r="AF261" s="416"/>
      <c r="AG261" s="111"/>
      <c r="AH261" s="111"/>
      <c r="AI261" s="111"/>
      <c r="AJ261" s="417"/>
      <c r="AK261" s="420"/>
      <c r="AL261" s="423"/>
      <c r="AM261" s="424"/>
      <c r="AO261" s="1060"/>
    </row>
    <row r="262" spans="1:41" s="66" customFormat="1" ht="15" customHeight="1" x14ac:dyDescent="0.25">
      <c r="A262" s="733"/>
      <c r="B262" s="784"/>
      <c r="C262" s="427">
        <f t="shared" ref="C262:AK262" si="217">SUM(C177:C261)</f>
        <v>0</v>
      </c>
      <c r="D262" s="428">
        <f t="shared" si="217"/>
        <v>0</v>
      </c>
      <c r="E262" s="428">
        <f t="shared" si="217"/>
        <v>0</v>
      </c>
      <c r="F262" s="428">
        <f t="shared" si="217"/>
        <v>0</v>
      </c>
      <c r="G262" s="426">
        <f t="shared" si="217"/>
        <v>0</v>
      </c>
      <c r="H262" s="427">
        <f t="shared" si="217"/>
        <v>0</v>
      </c>
      <c r="I262" s="428">
        <f t="shared" si="217"/>
        <v>0</v>
      </c>
      <c r="J262" s="428">
        <f t="shared" si="217"/>
        <v>0</v>
      </c>
      <c r="K262" s="428">
        <f t="shared" si="217"/>
        <v>0</v>
      </c>
      <c r="L262" s="426">
        <f t="shared" si="217"/>
        <v>0</v>
      </c>
      <c r="M262" s="425">
        <f t="shared" si="217"/>
        <v>8380182</v>
      </c>
      <c r="N262" s="189">
        <f t="shared" si="217"/>
        <v>0</v>
      </c>
      <c r="O262" s="427">
        <f t="shared" si="217"/>
        <v>0</v>
      </c>
      <c r="P262" s="428">
        <f t="shared" si="217"/>
        <v>0</v>
      </c>
      <c r="Q262" s="428">
        <f t="shared" si="217"/>
        <v>0</v>
      </c>
      <c r="R262" s="687">
        <f t="shared" si="217"/>
        <v>0</v>
      </c>
      <c r="S262" s="189">
        <f t="shared" si="217"/>
        <v>0</v>
      </c>
      <c r="T262" s="189">
        <f t="shared" si="217"/>
        <v>0</v>
      </c>
      <c r="U262" s="426">
        <f t="shared" si="217"/>
        <v>8380182</v>
      </c>
      <c r="V262" s="427">
        <f t="shared" si="217"/>
        <v>0</v>
      </c>
      <c r="W262" s="428">
        <f t="shared" si="217"/>
        <v>0</v>
      </c>
      <c r="X262" s="428">
        <f t="shared" si="217"/>
        <v>0</v>
      </c>
      <c r="Y262" s="428">
        <f t="shared" si="217"/>
        <v>0</v>
      </c>
      <c r="Z262" s="426">
        <f t="shared" si="217"/>
        <v>0</v>
      </c>
      <c r="AA262" s="427">
        <f t="shared" si="217"/>
        <v>0</v>
      </c>
      <c r="AB262" s="428">
        <f t="shared" si="217"/>
        <v>0</v>
      </c>
      <c r="AC262" s="428">
        <f t="shared" si="217"/>
        <v>0</v>
      </c>
      <c r="AD262" s="428">
        <f t="shared" si="217"/>
        <v>0</v>
      </c>
      <c r="AE262" s="426">
        <f t="shared" si="217"/>
        <v>0</v>
      </c>
      <c r="AF262" s="425">
        <f t="shared" si="217"/>
        <v>2432099</v>
      </c>
      <c r="AG262" s="189">
        <f t="shared" si="217"/>
        <v>1173474</v>
      </c>
      <c r="AH262" s="189">
        <f t="shared" si="217"/>
        <v>0</v>
      </c>
      <c r="AI262" s="189">
        <f t="shared" si="217"/>
        <v>0</v>
      </c>
      <c r="AJ262" s="426">
        <f t="shared" si="217"/>
        <v>3605573</v>
      </c>
      <c r="AK262" s="429">
        <f t="shared" si="217"/>
        <v>4774609</v>
      </c>
      <c r="AL262" s="440"/>
      <c r="AM262" s="430">
        <f>SUM(AM177:AM261)</f>
        <v>0</v>
      </c>
      <c r="AO262" s="1060"/>
    </row>
    <row r="263" spans="1:41" s="66" customFormat="1" ht="15" customHeight="1" x14ac:dyDescent="0.2">
      <c r="A263" s="733"/>
      <c r="B263" s="784"/>
      <c r="C263" s="680">
        <v>0</v>
      </c>
      <c r="D263" s="681">
        <v>0</v>
      </c>
      <c r="E263" s="681">
        <v>0</v>
      </c>
      <c r="F263" s="681">
        <v>-7.2759576141834259E-11</v>
      </c>
      <c r="G263" s="682">
        <v>0</v>
      </c>
      <c r="H263" s="680">
        <v>0</v>
      </c>
      <c r="I263" s="681">
        <v>0</v>
      </c>
      <c r="J263" s="681">
        <v>0</v>
      </c>
      <c r="K263" s="681">
        <v>0</v>
      </c>
      <c r="L263" s="682">
        <v>0</v>
      </c>
      <c r="M263" s="416"/>
      <c r="N263" s="111"/>
      <c r="O263" s="680">
        <v>4.6566128730773926E-10</v>
      </c>
      <c r="P263" s="681">
        <v>0</v>
      </c>
      <c r="Q263" s="681">
        <v>0</v>
      </c>
      <c r="R263" s="688">
        <v>4.6566128730773926E-10</v>
      </c>
      <c r="S263" s="111"/>
      <c r="T263" s="111"/>
      <c r="U263" s="417"/>
      <c r="V263" s="680">
        <v>0</v>
      </c>
      <c r="W263" s="681">
        <v>0</v>
      </c>
      <c r="X263" s="681">
        <v>0</v>
      </c>
      <c r="Y263" s="681">
        <v>1.4551915228366852E-10</v>
      </c>
      <c r="Z263" s="682">
        <v>0</v>
      </c>
      <c r="AA263" s="680">
        <v>0</v>
      </c>
      <c r="AB263" s="681">
        <v>0</v>
      </c>
      <c r="AC263" s="681">
        <v>0</v>
      </c>
      <c r="AD263" s="681">
        <v>0</v>
      </c>
      <c r="AE263" s="682">
        <v>0</v>
      </c>
      <c r="AF263" s="416"/>
      <c r="AG263" s="111"/>
      <c r="AH263" s="111"/>
      <c r="AI263" s="111"/>
      <c r="AJ263" s="417"/>
      <c r="AK263" s="420"/>
      <c r="AL263" s="423"/>
      <c r="AM263" s="424"/>
      <c r="AO263" s="1060"/>
    </row>
    <row r="264" spans="1:41" s="66" customFormat="1" ht="15" customHeight="1" thickBot="1" x14ac:dyDescent="0.3">
      <c r="A264" s="467" t="s">
        <v>234</v>
      </c>
      <c r="B264" s="783"/>
      <c r="C264" s="444">
        <f>+C28+C114+C164+C169+C174+C262</f>
        <v>0</v>
      </c>
      <c r="D264" s="445">
        <f t="shared" ref="D264:AK264" si="218">+D28+D114+D164+D169+D174+D262</f>
        <v>0</v>
      </c>
      <c r="E264" s="445">
        <f t="shared" si="218"/>
        <v>0</v>
      </c>
      <c r="F264" s="445">
        <f t="shared" si="218"/>
        <v>0</v>
      </c>
      <c r="G264" s="443">
        <f t="shared" si="218"/>
        <v>0</v>
      </c>
      <c r="H264" s="444">
        <f t="shared" si="218"/>
        <v>0</v>
      </c>
      <c r="I264" s="445">
        <f t="shared" si="218"/>
        <v>0</v>
      </c>
      <c r="J264" s="445">
        <f t="shared" si="218"/>
        <v>0</v>
      </c>
      <c r="K264" s="445">
        <f t="shared" si="218"/>
        <v>0</v>
      </c>
      <c r="L264" s="443">
        <f t="shared" si="218"/>
        <v>0</v>
      </c>
      <c r="M264" s="442">
        <f t="shared" si="218"/>
        <v>593457326.65999997</v>
      </c>
      <c r="N264" s="191">
        <f t="shared" si="218"/>
        <v>21328580.309999999</v>
      </c>
      <c r="O264" s="444">
        <f t="shared" si="218"/>
        <v>0</v>
      </c>
      <c r="P264" s="445">
        <f t="shared" si="218"/>
        <v>0</v>
      </c>
      <c r="Q264" s="445">
        <f t="shared" si="218"/>
        <v>0</v>
      </c>
      <c r="R264" s="690">
        <f t="shared" si="218"/>
        <v>28842424.219999999</v>
      </c>
      <c r="S264" s="191">
        <f t="shared" si="218"/>
        <v>0</v>
      </c>
      <c r="T264" s="191">
        <f t="shared" si="218"/>
        <v>-230376.1446</v>
      </c>
      <c r="U264" s="443">
        <f t="shared" si="218"/>
        <v>643397955.04540002</v>
      </c>
      <c r="V264" s="444">
        <f t="shared" si="218"/>
        <v>0</v>
      </c>
      <c r="W264" s="445">
        <f t="shared" si="218"/>
        <v>0</v>
      </c>
      <c r="X264" s="445">
        <f t="shared" si="218"/>
        <v>0</v>
      </c>
      <c r="Y264" s="445">
        <f t="shared" si="218"/>
        <v>0</v>
      </c>
      <c r="Z264" s="443">
        <f t="shared" si="218"/>
        <v>0</v>
      </c>
      <c r="AA264" s="444">
        <f t="shared" si="218"/>
        <v>0</v>
      </c>
      <c r="AB264" s="445">
        <f t="shared" si="218"/>
        <v>0</v>
      </c>
      <c r="AC264" s="445">
        <f t="shared" si="218"/>
        <v>0</v>
      </c>
      <c r="AD264" s="445">
        <f t="shared" si="218"/>
        <v>0</v>
      </c>
      <c r="AE264" s="443">
        <f t="shared" si="218"/>
        <v>0</v>
      </c>
      <c r="AF264" s="446">
        <f t="shared" si="218"/>
        <v>315619327.04999995</v>
      </c>
      <c r="AG264" s="191">
        <f t="shared" si="218"/>
        <v>19472177.404886916</v>
      </c>
      <c r="AH264" s="191">
        <f t="shared" si="218"/>
        <v>0</v>
      </c>
      <c r="AI264" s="191">
        <f t="shared" si="218"/>
        <v>-99274.16</v>
      </c>
      <c r="AJ264" s="443">
        <f t="shared" si="218"/>
        <v>334992230.29488689</v>
      </c>
      <c r="AK264" s="447">
        <f t="shared" si="218"/>
        <v>308405724.75051308</v>
      </c>
      <c r="AL264" s="440"/>
      <c r="AM264" s="448">
        <f>+AM28+AM114+AM164+AM169+AM174+AM262</f>
        <v>0</v>
      </c>
      <c r="AO264" s="1060"/>
    </row>
    <row r="265" spans="1:41" s="66" customFormat="1" ht="15" customHeight="1" thickTop="1" thickBot="1" x14ac:dyDescent="0.25">
      <c r="A265" s="735"/>
      <c r="B265" s="786"/>
      <c r="C265" s="453">
        <v>0</v>
      </c>
      <c r="D265" s="454">
        <v>0</v>
      </c>
      <c r="E265" s="454">
        <v>1.4901161193847656E-8</v>
      </c>
      <c r="F265" s="454">
        <v>1.4551915228366852E-10</v>
      </c>
      <c r="G265" s="452">
        <v>0</v>
      </c>
      <c r="H265" s="453">
        <v>0</v>
      </c>
      <c r="I265" s="454">
        <v>0</v>
      </c>
      <c r="J265" s="454">
        <v>0</v>
      </c>
      <c r="K265" s="454">
        <v>0</v>
      </c>
      <c r="L265" s="452">
        <v>0</v>
      </c>
      <c r="M265" s="2756">
        <v>0</v>
      </c>
      <c r="N265" s="2757"/>
      <c r="O265" s="2758">
        <v>0</v>
      </c>
      <c r="P265" s="2759">
        <v>0</v>
      </c>
      <c r="Q265" s="2759">
        <v>0</v>
      </c>
      <c r="R265" s="2760">
        <v>0</v>
      </c>
      <c r="S265" s="2757"/>
      <c r="T265" s="2757"/>
      <c r="U265" s="2761">
        <v>0</v>
      </c>
      <c r="V265" s="2758">
        <v>0</v>
      </c>
      <c r="W265" s="2759">
        <v>0</v>
      </c>
      <c r="X265" s="2759">
        <v>0</v>
      </c>
      <c r="Y265" s="2759">
        <v>1.4551915228366852E-10</v>
      </c>
      <c r="Z265" s="2761">
        <v>0</v>
      </c>
      <c r="AA265" s="2758">
        <v>0</v>
      </c>
      <c r="AB265" s="2759">
        <v>0</v>
      </c>
      <c r="AC265" s="2759">
        <v>0</v>
      </c>
      <c r="AD265" s="2759">
        <v>0</v>
      </c>
      <c r="AE265" s="2761">
        <v>0</v>
      </c>
      <c r="AF265" s="2756">
        <v>-1.909211277961731E-8</v>
      </c>
      <c r="AG265" s="2757"/>
      <c r="AH265" s="2757"/>
      <c r="AI265" s="2757"/>
      <c r="AJ265" s="2761">
        <v>4.0512531995773315E-8</v>
      </c>
      <c r="AK265" s="2671">
        <f>AK264-'APPENDIX C'!X87</f>
        <v>-0.69948691129684448</v>
      </c>
      <c r="AL265" s="456"/>
      <c r="AM265" s="457"/>
    </row>
    <row r="266" spans="1:41" s="66" customFormat="1" ht="15" customHeight="1" x14ac:dyDescent="0.2">
      <c r="B266" s="108"/>
      <c r="C266" s="458"/>
      <c r="D266" s="458"/>
      <c r="E266" s="458"/>
      <c r="F266" s="458"/>
      <c r="G266" s="458"/>
      <c r="H266" s="458"/>
      <c r="I266" s="458"/>
      <c r="J266" s="458"/>
      <c r="K266" s="458"/>
      <c r="L266" s="458"/>
      <c r="M266" s="458"/>
      <c r="N266" s="458"/>
      <c r="O266" s="458"/>
      <c r="P266" s="458"/>
      <c r="Q266" s="458"/>
      <c r="R266" s="458"/>
      <c r="S266" s="458"/>
      <c r="T266" s="458"/>
      <c r="U266" s="458"/>
      <c r="V266" s="458"/>
      <c r="W266" s="458"/>
      <c r="X266" s="458"/>
      <c r="Y266" s="458"/>
      <c r="Z266" s="458"/>
      <c r="AA266" s="458"/>
      <c r="AB266" s="458"/>
      <c r="AC266" s="458"/>
      <c r="AD266" s="458"/>
      <c r="AE266" s="458"/>
      <c r="AF266" s="458"/>
      <c r="AG266" s="458"/>
      <c r="AH266" s="458"/>
      <c r="AI266" s="458"/>
      <c r="AJ266" s="458"/>
      <c r="AK266" s="458"/>
      <c r="AL266" s="459"/>
      <c r="AM266" s="459"/>
    </row>
    <row r="267" spans="1:41" ht="15.95" customHeight="1" x14ac:dyDescent="0.25">
      <c r="A267" s="3008" t="str">
        <f>Parameters!C5</f>
        <v>Mohokare Local Municipality</v>
      </c>
      <c r="B267" s="3008"/>
      <c r="C267" s="3008"/>
      <c r="D267" s="3008"/>
      <c r="E267" s="3008"/>
      <c r="F267" s="3008"/>
      <c r="G267" s="3008"/>
      <c r="H267" s="3008"/>
      <c r="I267" s="3008"/>
      <c r="J267" s="3008"/>
      <c r="K267" s="3008"/>
      <c r="L267" s="3008"/>
      <c r="M267" s="3008"/>
      <c r="N267" s="3008"/>
      <c r="O267" s="3008"/>
      <c r="P267" s="3008"/>
      <c r="Q267" s="3008"/>
      <c r="R267" s="3008"/>
      <c r="S267" s="3008"/>
      <c r="T267" s="3008"/>
      <c r="U267" s="3008"/>
      <c r="V267" s="3008"/>
      <c r="W267" s="3008"/>
      <c r="X267" s="3008"/>
      <c r="Y267" s="3008"/>
      <c r="Z267" s="3008"/>
      <c r="AA267" s="3008"/>
      <c r="AB267" s="3008"/>
      <c r="AC267" s="3008"/>
      <c r="AD267" s="3008"/>
      <c r="AE267" s="3008"/>
      <c r="AF267" s="3008"/>
      <c r="AG267" s="3008"/>
      <c r="AH267" s="3008"/>
      <c r="AI267" s="3008"/>
      <c r="AJ267" s="3008"/>
      <c r="AK267" s="3008"/>
      <c r="AL267" s="3008"/>
      <c r="AM267" s="3008"/>
    </row>
    <row r="268" spans="1:41" s="66" customFormat="1" ht="15.95" customHeight="1" thickBot="1" x14ac:dyDescent="0.3">
      <c r="A268" s="3009" t="str">
        <f>"ANALYSIS OF INVESTMENT PROPERTIES AS AT "&amp;Parameters!C6</f>
        <v>ANALYSIS OF INVESTMENT PROPERTIES AS AT 30 JUNE 2012</v>
      </c>
      <c r="B268" s="3009"/>
      <c r="C268" s="3009"/>
      <c r="D268" s="3009"/>
      <c r="E268" s="3009"/>
      <c r="F268" s="3009"/>
      <c r="G268" s="3009"/>
      <c r="H268" s="3009"/>
      <c r="I268" s="3009"/>
      <c r="J268" s="3009"/>
      <c r="K268" s="3009"/>
      <c r="L268" s="3009"/>
      <c r="M268" s="3009"/>
      <c r="N268" s="3009"/>
      <c r="O268" s="3009"/>
      <c r="P268" s="3009"/>
      <c r="Q268" s="3009"/>
      <c r="R268" s="3009"/>
      <c r="S268" s="3009"/>
      <c r="T268" s="3009"/>
      <c r="U268" s="3009"/>
      <c r="V268" s="3009"/>
      <c r="W268" s="3009"/>
      <c r="X268" s="3009"/>
      <c r="Y268" s="3009"/>
      <c r="Z268" s="3009"/>
      <c r="AA268" s="3009"/>
      <c r="AB268" s="3009"/>
      <c r="AC268" s="3009"/>
      <c r="AD268" s="3009"/>
      <c r="AE268" s="3009"/>
      <c r="AF268" s="3009"/>
      <c r="AG268" s="3009"/>
      <c r="AH268" s="3009"/>
      <c r="AI268" s="3009"/>
      <c r="AJ268" s="3009"/>
      <c r="AK268" s="3009"/>
      <c r="AL268" s="3009"/>
      <c r="AM268" s="3009"/>
    </row>
    <row r="269" spans="1:41" s="109" customFormat="1" ht="15" customHeight="1" x14ac:dyDescent="0.25">
      <c r="A269" s="726"/>
      <c r="B269" s="727" t="s">
        <v>1517</v>
      </c>
      <c r="C269" s="3010" t="s">
        <v>1354</v>
      </c>
      <c r="D269" s="3011"/>
      <c r="E269" s="3011"/>
      <c r="F269" s="3011"/>
      <c r="G269" s="3012"/>
      <c r="H269" s="3010" t="s">
        <v>39</v>
      </c>
      <c r="I269" s="3011"/>
      <c r="J269" s="3011"/>
      <c r="K269" s="3011"/>
      <c r="L269" s="3012"/>
      <c r="M269" s="3013" t="s">
        <v>435</v>
      </c>
      <c r="N269" s="3014"/>
      <c r="O269" s="3014"/>
      <c r="P269" s="3014"/>
      <c r="Q269" s="3014"/>
      <c r="R269" s="3014"/>
      <c r="S269" s="3014"/>
      <c r="T269" s="3014"/>
      <c r="U269" s="3015"/>
      <c r="V269" s="3010" t="s">
        <v>198</v>
      </c>
      <c r="W269" s="3011"/>
      <c r="X269" s="3011"/>
      <c r="Y269" s="3011"/>
      <c r="Z269" s="3012"/>
      <c r="AA269" s="3010" t="s">
        <v>152</v>
      </c>
      <c r="AB269" s="3011"/>
      <c r="AC269" s="3011"/>
      <c r="AD269" s="3011"/>
      <c r="AE269" s="3012"/>
      <c r="AF269" s="3010" t="s">
        <v>153</v>
      </c>
      <c r="AG269" s="3011"/>
      <c r="AH269" s="3011"/>
      <c r="AI269" s="3011"/>
      <c r="AJ269" s="3012"/>
      <c r="AK269" s="391" t="s">
        <v>285</v>
      </c>
      <c r="AM269" s="392" t="s">
        <v>243</v>
      </c>
    </row>
    <row r="270" spans="1:41" s="109" customFormat="1" ht="15" customHeight="1" x14ac:dyDescent="0.25">
      <c r="A270" s="728" t="s">
        <v>7</v>
      </c>
      <c r="B270" s="729"/>
      <c r="C270" s="393" t="s">
        <v>682</v>
      </c>
      <c r="D270" s="3001" t="s">
        <v>683</v>
      </c>
      <c r="E270" s="3001" t="s">
        <v>763</v>
      </c>
      <c r="F270" s="3001" t="s">
        <v>684</v>
      </c>
      <c r="G270" s="394" t="s">
        <v>195</v>
      </c>
      <c r="H270" s="393" t="s">
        <v>682</v>
      </c>
      <c r="I270" s="3001" t="s">
        <v>683</v>
      </c>
      <c r="J270" s="3001" t="s">
        <v>763</v>
      </c>
      <c r="K270" s="3001" t="s">
        <v>684</v>
      </c>
      <c r="L270" s="394" t="s">
        <v>195</v>
      </c>
      <c r="M270" s="393" t="s">
        <v>682</v>
      </c>
      <c r="N270" s="3001" t="s">
        <v>683</v>
      </c>
      <c r="O270" s="3003" t="s">
        <v>436</v>
      </c>
      <c r="P270" s="3004"/>
      <c r="Q270" s="3005"/>
      <c r="R270" s="3006" t="s">
        <v>436</v>
      </c>
      <c r="S270" s="3001" t="s">
        <v>763</v>
      </c>
      <c r="T270" s="3001" t="s">
        <v>684</v>
      </c>
      <c r="U270" s="394" t="s">
        <v>195</v>
      </c>
      <c r="V270" s="393" t="s">
        <v>682</v>
      </c>
      <c r="W270" s="3001" t="s">
        <v>683</v>
      </c>
      <c r="X270" s="3001" t="s">
        <v>763</v>
      </c>
      <c r="Y270" s="3001" t="s">
        <v>684</v>
      </c>
      <c r="Z270" s="394" t="s">
        <v>195</v>
      </c>
      <c r="AA270" s="393" t="s">
        <v>682</v>
      </c>
      <c r="AB270" s="3001" t="s">
        <v>683</v>
      </c>
      <c r="AC270" s="3001" t="s">
        <v>763</v>
      </c>
      <c r="AD270" s="3001" t="s">
        <v>684</v>
      </c>
      <c r="AE270" s="394" t="s">
        <v>195</v>
      </c>
      <c r="AF270" s="393" t="s">
        <v>682</v>
      </c>
      <c r="AG270" s="3001" t="s">
        <v>683</v>
      </c>
      <c r="AH270" s="3001" t="s">
        <v>763</v>
      </c>
      <c r="AI270" s="3001" t="s">
        <v>684</v>
      </c>
      <c r="AJ270" s="394" t="s">
        <v>195</v>
      </c>
      <c r="AK270" s="395"/>
      <c r="AM270" s="396" t="s">
        <v>683</v>
      </c>
    </row>
    <row r="271" spans="1:41" s="109" customFormat="1" ht="15" customHeight="1" thickBot="1" x14ac:dyDescent="0.3">
      <c r="A271" s="730"/>
      <c r="B271" s="731" t="s">
        <v>1518</v>
      </c>
      <c r="C271" s="397" t="s">
        <v>245</v>
      </c>
      <c r="D271" s="3002"/>
      <c r="E271" s="3002"/>
      <c r="F271" s="3002"/>
      <c r="G271" s="398" t="s">
        <v>245</v>
      </c>
      <c r="H271" s="397" t="s">
        <v>245</v>
      </c>
      <c r="I271" s="3002"/>
      <c r="J271" s="3002"/>
      <c r="K271" s="3002"/>
      <c r="L271" s="398" t="s">
        <v>245</v>
      </c>
      <c r="M271" s="397" t="s">
        <v>245</v>
      </c>
      <c r="N271" s="3002"/>
      <c r="O271" s="684" t="s">
        <v>1355</v>
      </c>
      <c r="P271" s="684" t="s">
        <v>1356</v>
      </c>
      <c r="Q271" s="684" t="s">
        <v>1357</v>
      </c>
      <c r="R271" s="3007"/>
      <c r="S271" s="3002"/>
      <c r="T271" s="3002"/>
      <c r="U271" s="398" t="s">
        <v>245</v>
      </c>
      <c r="V271" s="397" t="s">
        <v>245</v>
      </c>
      <c r="W271" s="3002"/>
      <c r="X271" s="3002"/>
      <c r="Y271" s="3002"/>
      <c r="Z271" s="398" t="s">
        <v>245</v>
      </c>
      <c r="AA271" s="397" t="s">
        <v>245</v>
      </c>
      <c r="AB271" s="3002"/>
      <c r="AC271" s="3002"/>
      <c r="AD271" s="3002"/>
      <c r="AE271" s="398" t="s">
        <v>245</v>
      </c>
      <c r="AF271" s="397" t="s">
        <v>245</v>
      </c>
      <c r="AG271" s="3002"/>
      <c r="AH271" s="3002"/>
      <c r="AI271" s="3002"/>
      <c r="AJ271" s="398" t="s">
        <v>245</v>
      </c>
      <c r="AK271" s="399" t="s">
        <v>286</v>
      </c>
      <c r="AM271" s="693">
        <f>Parameters!C17</f>
        <v>2012</v>
      </c>
    </row>
    <row r="272" spans="1:41" s="109" customFormat="1" ht="15" customHeight="1" x14ac:dyDescent="0.25">
      <c r="A272" s="732"/>
      <c r="B272" s="736"/>
      <c r="C272" s="403" t="s">
        <v>255</v>
      </c>
      <c r="D272" s="404" t="s">
        <v>255</v>
      </c>
      <c r="E272" s="404" t="s">
        <v>255</v>
      </c>
      <c r="F272" s="404" t="s">
        <v>255</v>
      </c>
      <c r="G272" s="402" t="s">
        <v>255</v>
      </c>
      <c r="H272" s="403" t="s">
        <v>255</v>
      </c>
      <c r="I272" s="404" t="s">
        <v>255</v>
      </c>
      <c r="J272" s="404" t="s">
        <v>255</v>
      </c>
      <c r="K272" s="404" t="s">
        <v>255</v>
      </c>
      <c r="L272" s="402" t="s">
        <v>255</v>
      </c>
      <c r="M272" s="400" t="s">
        <v>255</v>
      </c>
      <c r="N272" s="401" t="s">
        <v>255</v>
      </c>
      <c r="O272" s="403" t="s">
        <v>255</v>
      </c>
      <c r="P272" s="404" t="s">
        <v>255</v>
      </c>
      <c r="Q272" s="404" t="s">
        <v>255</v>
      </c>
      <c r="R272" s="685" t="s">
        <v>255</v>
      </c>
      <c r="S272" s="401" t="s">
        <v>255</v>
      </c>
      <c r="T272" s="401" t="s">
        <v>255</v>
      </c>
      <c r="U272" s="402" t="s">
        <v>255</v>
      </c>
      <c r="V272" s="403" t="s">
        <v>255</v>
      </c>
      <c r="W272" s="404" t="s">
        <v>255</v>
      </c>
      <c r="X272" s="404" t="s">
        <v>255</v>
      </c>
      <c r="Y272" s="404" t="s">
        <v>255</v>
      </c>
      <c r="Z272" s="402" t="s">
        <v>255</v>
      </c>
      <c r="AA272" s="403" t="s">
        <v>255</v>
      </c>
      <c r="AB272" s="404" t="s">
        <v>255</v>
      </c>
      <c r="AC272" s="404" t="s">
        <v>255</v>
      </c>
      <c r="AD272" s="404" t="s">
        <v>255</v>
      </c>
      <c r="AE272" s="402" t="s">
        <v>255</v>
      </c>
      <c r="AF272" s="400" t="s">
        <v>255</v>
      </c>
      <c r="AG272" s="401" t="s">
        <v>255</v>
      </c>
      <c r="AH272" s="401" t="s">
        <v>255</v>
      </c>
      <c r="AI272" s="401" t="s">
        <v>255</v>
      </c>
      <c r="AJ272" s="402" t="s">
        <v>255</v>
      </c>
      <c r="AK272" s="405" t="s">
        <v>255</v>
      </c>
      <c r="AM272" s="406" t="s">
        <v>255</v>
      </c>
    </row>
    <row r="273" spans="1:39" s="66" customFormat="1" ht="15" customHeight="1" x14ac:dyDescent="0.25">
      <c r="A273" s="467" t="s">
        <v>732</v>
      </c>
      <c r="B273" s="783"/>
      <c r="C273" s="411"/>
      <c r="D273" s="412"/>
      <c r="E273" s="412"/>
      <c r="F273" s="412"/>
      <c r="G273" s="410"/>
      <c r="H273" s="411"/>
      <c r="I273" s="412"/>
      <c r="J273" s="412"/>
      <c r="K273" s="412"/>
      <c r="L273" s="410"/>
      <c r="M273" s="408"/>
      <c r="N273" s="409"/>
      <c r="O273" s="411"/>
      <c r="P273" s="412"/>
      <c r="Q273" s="412"/>
      <c r="R273" s="686"/>
      <c r="S273" s="409"/>
      <c r="T273" s="409"/>
      <c r="U273" s="410"/>
      <c r="V273" s="411"/>
      <c r="W273" s="412"/>
      <c r="X273" s="412"/>
      <c r="Y273" s="412"/>
      <c r="Z273" s="410"/>
      <c r="AA273" s="411"/>
      <c r="AB273" s="412"/>
      <c r="AC273" s="412"/>
      <c r="AD273" s="412"/>
      <c r="AE273" s="410"/>
      <c r="AF273" s="408"/>
      <c r="AG273" s="409"/>
      <c r="AH273" s="409"/>
      <c r="AI273" s="409"/>
      <c r="AJ273" s="410"/>
      <c r="AK273" s="413"/>
      <c r="AM273" s="424"/>
    </row>
    <row r="274" spans="1:39" s="66" customFormat="1" ht="15" customHeight="1" x14ac:dyDescent="0.2">
      <c r="A274" s="733" t="s">
        <v>732</v>
      </c>
      <c r="B274" s="784">
        <v>81001</v>
      </c>
      <c r="C274" s="418"/>
      <c r="D274" s="419">
        <v>0</v>
      </c>
      <c r="E274" s="419">
        <v>0</v>
      </c>
      <c r="F274" s="419">
        <v>0</v>
      </c>
      <c r="G274" s="417">
        <f>SUM(C274:F274)</f>
        <v>0</v>
      </c>
      <c r="H274" s="418">
        <v>0</v>
      </c>
      <c r="I274" s="419">
        <v>0</v>
      </c>
      <c r="J274" s="419">
        <v>0</v>
      </c>
      <c r="K274" s="419">
        <v>0</v>
      </c>
      <c r="L274" s="417">
        <f>SUM(H274:K274)</f>
        <v>0</v>
      </c>
      <c r="M274" s="416">
        <v>20519205</v>
      </c>
      <c r="N274" s="111">
        <f t="shared" ref="M274:N276" si="219">SUM(D274,I274)</f>
        <v>0</v>
      </c>
      <c r="O274" s="418">
        <v>0</v>
      </c>
      <c r="P274" s="419">
        <v>0</v>
      </c>
      <c r="Q274" s="419">
        <v>0</v>
      </c>
      <c r="R274" s="186">
        <f>SUM(O274:Q274)</f>
        <v>0</v>
      </c>
      <c r="S274" s="111">
        <f t="shared" ref="S274:T276" si="220">SUM(E274,J274)</f>
        <v>0</v>
      </c>
      <c r="T274" s="111">
        <f t="shared" si="220"/>
        <v>0</v>
      </c>
      <c r="U274" s="417">
        <f>SUM(M274:N274,R274:T274)</f>
        <v>20519205</v>
      </c>
      <c r="V274" s="418"/>
      <c r="W274" s="419">
        <v>0</v>
      </c>
      <c r="X274" s="419">
        <v>0</v>
      </c>
      <c r="Y274" s="419">
        <v>0</v>
      </c>
      <c r="Z274" s="417">
        <f>SUM(V274:Y274)</f>
        <v>0</v>
      </c>
      <c r="AA274" s="418">
        <v>0</v>
      </c>
      <c r="AB274" s="419">
        <v>0</v>
      </c>
      <c r="AC274" s="419">
        <v>0</v>
      </c>
      <c r="AD274" s="419">
        <v>0</v>
      </c>
      <c r="AE274" s="417">
        <f>+AA274+AB274+AC274-AD274</f>
        <v>0</v>
      </c>
      <c r="AF274" s="416">
        <f t="shared" ref="AF274:AI276" si="221">SUM(V274,AA274)</f>
        <v>0</v>
      </c>
      <c r="AG274" s="111">
        <f t="shared" si="221"/>
        <v>0</v>
      </c>
      <c r="AH274" s="111">
        <f t="shared" si="221"/>
        <v>0</v>
      </c>
      <c r="AI274" s="111">
        <f t="shared" si="221"/>
        <v>0</v>
      </c>
      <c r="AJ274" s="417">
        <f>SUM(AF274:AI274)</f>
        <v>0</v>
      </c>
      <c r="AK274" s="420">
        <f>+U274-AJ274</f>
        <v>20519205</v>
      </c>
      <c r="AM274" s="424">
        <v>0</v>
      </c>
    </row>
    <row r="275" spans="1:39" s="66" customFormat="1" ht="15" hidden="1" customHeight="1" x14ac:dyDescent="0.2">
      <c r="A275" s="733" t="s">
        <v>430</v>
      </c>
      <c r="B275" s="784"/>
      <c r="C275" s="418">
        <v>0</v>
      </c>
      <c r="D275" s="419">
        <v>0</v>
      </c>
      <c r="E275" s="419">
        <v>0</v>
      </c>
      <c r="F275" s="419">
        <v>0</v>
      </c>
      <c r="G275" s="417">
        <f>SUM(C275:F275)</f>
        <v>0</v>
      </c>
      <c r="H275" s="418">
        <v>0</v>
      </c>
      <c r="I275" s="419">
        <v>0</v>
      </c>
      <c r="J275" s="419">
        <v>0</v>
      </c>
      <c r="K275" s="419">
        <v>0</v>
      </c>
      <c r="L275" s="417">
        <f>SUM(H275:K275)</f>
        <v>0</v>
      </c>
      <c r="M275" s="416">
        <f t="shared" si="219"/>
        <v>0</v>
      </c>
      <c r="N275" s="111">
        <f t="shared" si="219"/>
        <v>0</v>
      </c>
      <c r="O275" s="418">
        <v>0</v>
      </c>
      <c r="P275" s="419">
        <v>0</v>
      </c>
      <c r="Q275" s="419">
        <v>0</v>
      </c>
      <c r="R275" s="186">
        <f>SUM(O275:Q275)</f>
        <v>0</v>
      </c>
      <c r="S275" s="111">
        <f t="shared" si="220"/>
        <v>0</v>
      </c>
      <c r="T275" s="111">
        <f t="shared" si="220"/>
        <v>0</v>
      </c>
      <c r="U275" s="417">
        <f>SUM(M275:N275,R275:T275)</f>
        <v>0</v>
      </c>
      <c r="V275" s="418">
        <v>0</v>
      </c>
      <c r="W275" s="419">
        <v>0</v>
      </c>
      <c r="X275" s="419">
        <v>0</v>
      </c>
      <c r="Y275" s="419">
        <v>0</v>
      </c>
      <c r="Z275" s="417">
        <f>SUM(V275:Y275)</f>
        <v>0</v>
      </c>
      <c r="AA275" s="418">
        <v>0</v>
      </c>
      <c r="AB275" s="419">
        <v>0</v>
      </c>
      <c r="AC275" s="419">
        <v>0</v>
      </c>
      <c r="AD275" s="419">
        <v>0</v>
      </c>
      <c r="AE275" s="417">
        <f>+AA275+AB275+AC275-AD275</f>
        <v>0</v>
      </c>
      <c r="AF275" s="416">
        <f t="shared" si="221"/>
        <v>0</v>
      </c>
      <c r="AG275" s="111">
        <f t="shared" si="221"/>
        <v>0</v>
      </c>
      <c r="AH275" s="111">
        <f t="shared" si="221"/>
        <v>0</v>
      </c>
      <c r="AI275" s="111">
        <f t="shared" si="221"/>
        <v>0</v>
      </c>
      <c r="AJ275" s="417">
        <f>SUM(AF275:AI275)</f>
        <v>0</v>
      </c>
      <c r="AK275" s="420">
        <f>+U275-AJ275</f>
        <v>0</v>
      </c>
      <c r="AM275" s="424">
        <v>0</v>
      </c>
    </row>
    <row r="276" spans="1:39" s="66" customFormat="1" ht="15" customHeight="1" x14ac:dyDescent="0.2">
      <c r="A276" s="733"/>
      <c r="B276" s="784"/>
      <c r="C276" s="418">
        <v>0</v>
      </c>
      <c r="D276" s="419">
        <v>0</v>
      </c>
      <c r="E276" s="419">
        <v>0</v>
      </c>
      <c r="F276" s="419">
        <v>0</v>
      </c>
      <c r="G276" s="417">
        <f>SUM(C276:F276)</f>
        <v>0</v>
      </c>
      <c r="H276" s="418">
        <v>0</v>
      </c>
      <c r="I276" s="419">
        <v>0</v>
      </c>
      <c r="J276" s="419">
        <v>0</v>
      </c>
      <c r="K276" s="419">
        <v>0</v>
      </c>
      <c r="L276" s="417">
        <f>SUM(H276:K276)</f>
        <v>0</v>
      </c>
      <c r="M276" s="416">
        <f t="shared" si="219"/>
        <v>0</v>
      </c>
      <c r="N276" s="111">
        <f t="shared" si="219"/>
        <v>0</v>
      </c>
      <c r="O276" s="418">
        <v>0</v>
      </c>
      <c r="P276" s="419">
        <v>0</v>
      </c>
      <c r="Q276" s="419">
        <v>0</v>
      </c>
      <c r="R276" s="186">
        <f>SUM(O276:Q276)</f>
        <v>0</v>
      </c>
      <c r="S276" s="111">
        <f t="shared" si="220"/>
        <v>0</v>
      </c>
      <c r="T276" s="111">
        <f t="shared" si="220"/>
        <v>0</v>
      </c>
      <c r="U276" s="417">
        <f>SUM(M276:N276,R276:T276)</f>
        <v>0</v>
      </c>
      <c r="V276" s="418">
        <v>0</v>
      </c>
      <c r="W276" s="419">
        <v>0</v>
      </c>
      <c r="X276" s="419">
        <v>0</v>
      </c>
      <c r="Y276" s="419">
        <v>0</v>
      </c>
      <c r="Z276" s="417">
        <f>SUM(V276:Y276)</f>
        <v>0</v>
      </c>
      <c r="AA276" s="418">
        <v>0</v>
      </c>
      <c r="AB276" s="419">
        <v>0</v>
      </c>
      <c r="AC276" s="419">
        <v>0</v>
      </c>
      <c r="AD276" s="419">
        <v>0</v>
      </c>
      <c r="AE276" s="417">
        <f>+AA276+AB276+AC276-AD276</f>
        <v>0</v>
      </c>
      <c r="AF276" s="416">
        <f t="shared" si="221"/>
        <v>0</v>
      </c>
      <c r="AG276" s="111">
        <f t="shared" si="221"/>
        <v>0</v>
      </c>
      <c r="AH276" s="111">
        <f t="shared" si="221"/>
        <v>0</v>
      </c>
      <c r="AI276" s="111">
        <f t="shared" si="221"/>
        <v>0</v>
      </c>
      <c r="AJ276" s="417">
        <f>SUM(AF276:AI276)</f>
        <v>0</v>
      </c>
      <c r="AK276" s="420">
        <f>+U276-AJ276</f>
        <v>0</v>
      </c>
      <c r="AM276" s="424">
        <v>0</v>
      </c>
    </row>
    <row r="277" spans="1:39" s="66" customFormat="1" ht="15" customHeight="1" x14ac:dyDescent="0.2">
      <c r="A277" s="733"/>
      <c r="B277" s="784"/>
      <c r="C277" s="418"/>
      <c r="D277" s="683"/>
      <c r="E277" s="419"/>
      <c r="F277" s="419"/>
      <c r="G277" s="417"/>
      <c r="H277" s="418"/>
      <c r="I277" s="419"/>
      <c r="J277" s="419"/>
      <c r="K277" s="419"/>
      <c r="L277" s="417"/>
      <c r="M277" s="416"/>
      <c r="N277" s="111"/>
      <c r="O277" s="418"/>
      <c r="P277" s="419"/>
      <c r="Q277" s="419"/>
      <c r="R277" s="186"/>
      <c r="S277" s="111"/>
      <c r="T277" s="111"/>
      <c r="U277" s="417"/>
      <c r="V277" s="418"/>
      <c r="W277" s="419"/>
      <c r="X277" s="419"/>
      <c r="Y277" s="419"/>
      <c r="Z277" s="417"/>
      <c r="AA277" s="418"/>
      <c r="AB277" s="418"/>
      <c r="AC277" s="418"/>
      <c r="AD277" s="418"/>
      <c r="AE277" s="417"/>
      <c r="AF277" s="416"/>
      <c r="AG277" s="111"/>
      <c r="AH277" s="111"/>
      <c r="AI277" s="111"/>
      <c r="AJ277" s="417"/>
      <c r="AK277" s="420"/>
      <c r="AM277" s="424"/>
    </row>
    <row r="278" spans="1:39" s="66" customFormat="1" ht="15" customHeight="1" thickBot="1" x14ac:dyDescent="0.3">
      <c r="A278" s="733"/>
      <c r="B278" s="784"/>
      <c r="C278" s="444">
        <f t="shared" ref="C278:L278" si="222">SUM(C273:C277)</f>
        <v>0</v>
      </c>
      <c r="D278" s="445">
        <f t="shared" si="222"/>
        <v>0</v>
      </c>
      <c r="E278" s="445">
        <f t="shared" si="222"/>
        <v>0</v>
      </c>
      <c r="F278" s="445">
        <f t="shared" si="222"/>
        <v>0</v>
      </c>
      <c r="G278" s="443">
        <f t="shared" si="222"/>
        <v>0</v>
      </c>
      <c r="H278" s="444">
        <f t="shared" si="222"/>
        <v>0</v>
      </c>
      <c r="I278" s="445">
        <f t="shared" si="222"/>
        <v>0</v>
      </c>
      <c r="J278" s="445">
        <f t="shared" si="222"/>
        <v>0</v>
      </c>
      <c r="K278" s="445">
        <f t="shared" si="222"/>
        <v>0</v>
      </c>
      <c r="L278" s="443">
        <f t="shared" si="222"/>
        <v>0</v>
      </c>
      <c r="M278" s="446">
        <f t="shared" ref="M278:AM278" si="223">SUM(M273:M277)</f>
        <v>20519205</v>
      </c>
      <c r="N278" s="191">
        <f t="shared" si="223"/>
        <v>0</v>
      </c>
      <c r="O278" s="444">
        <f>SUM(O273:O277)</f>
        <v>0</v>
      </c>
      <c r="P278" s="445">
        <f>SUM(P273:P277)</f>
        <v>0</v>
      </c>
      <c r="Q278" s="445">
        <f>SUM(Q273:Q277)</f>
        <v>0</v>
      </c>
      <c r="R278" s="690">
        <f>SUM(R273:R277)</f>
        <v>0</v>
      </c>
      <c r="S278" s="191">
        <f>SUM(S273:S277)</f>
        <v>0</v>
      </c>
      <c r="T278" s="191">
        <f t="shared" si="223"/>
        <v>0</v>
      </c>
      <c r="U278" s="443">
        <f t="shared" si="223"/>
        <v>20519205</v>
      </c>
      <c r="V278" s="444">
        <f t="shared" si="223"/>
        <v>0</v>
      </c>
      <c r="W278" s="445">
        <f t="shared" si="223"/>
        <v>0</v>
      </c>
      <c r="X278" s="445">
        <f>SUM(X273:X277)</f>
        <v>0</v>
      </c>
      <c r="Y278" s="445">
        <f t="shared" si="223"/>
        <v>0</v>
      </c>
      <c r="Z278" s="443">
        <f t="shared" si="223"/>
        <v>0</v>
      </c>
      <c r="AA278" s="444">
        <f t="shared" si="223"/>
        <v>0</v>
      </c>
      <c r="AB278" s="444">
        <f t="shared" si="223"/>
        <v>0</v>
      </c>
      <c r="AC278" s="444">
        <f>SUM(AC273:AC277)</f>
        <v>0</v>
      </c>
      <c r="AD278" s="444">
        <f t="shared" si="223"/>
        <v>0</v>
      </c>
      <c r="AE278" s="443">
        <f t="shared" si="223"/>
        <v>0</v>
      </c>
      <c r="AF278" s="446">
        <f t="shared" si="223"/>
        <v>0</v>
      </c>
      <c r="AG278" s="191">
        <f t="shared" si="223"/>
        <v>0</v>
      </c>
      <c r="AH278" s="191">
        <f>SUM(AH273:AH277)</f>
        <v>0</v>
      </c>
      <c r="AI278" s="191">
        <f t="shared" si="223"/>
        <v>0</v>
      </c>
      <c r="AJ278" s="443">
        <f t="shared" si="223"/>
        <v>0</v>
      </c>
      <c r="AK278" s="447">
        <f t="shared" si="223"/>
        <v>20519205</v>
      </c>
      <c r="AM278" s="448">
        <f t="shared" si="223"/>
        <v>0</v>
      </c>
    </row>
    <row r="279" spans="1:39" s="66" customFormat="1" ht="15" customHeight="1" thickTop="1" thickBot="1" x14ac:dyDescent="0.25">
      <c r="A279" s="735"/>
      <c r="B279" s="786"/>
      <c r="C279" s="453">
        <v>0</v>
      </c>
      <c r="D279" s="454">
        <v>0</v>
      </c>
      <c r="E279" s="454">
        <v>0</v>
      </c>
      <c r="F279" s="454">
        <v>0</v>
      </c>
      <c r="G279" s="452">
        <v>0</v>
      </c>
      <c r="H279" s="453"/>
      <c r="I279" s="454"/>
      <c r="J279" s="454"/>
      <c r="K279" s="454"/>
      <c r="L279" s="452"/>
      <c r="M279" s="450">
        <v>0</v>
      </c>
      <c r="N279" s="451"/>
      <c r="O279" s="453"/>
      <c r="P279" s="454"/>
      <c r="Q279" s="454"/>
      <c r="R279" s="691"/>
      <c r="S279" s="451"/>
      <c r="T279" s="451"/>
      <c r="U279" s="452">
        <v>0</v>
      </c>
      <c r="V279" s="694">
        <v>0</v>
      </c>
      <c r="W279" s="695">
        <v>0</v>
      </c>
      <c r="X279" s="695">
        <v>0</v>
      </c>
      <c r="Y279" s="695">
        <v>0</v>
      </c>
      <c r="Z279" s="696">
        <v>0</v>
      </c>
      <c r="AA279" s="694">
        <v>0</v>
      </c>
      <c r="AB279" s="695">
        <v>0</v>
      </c>
      <c r="AC279" s="695">
        <v>0</v>
      </c>
      <c r="AD279" s="695">
        <v>0</v>
      </c>
      <c r="AE279" s="696">
        <v>0</v>
      </c>
      <c r="AF279" s="450">
        <v>0</v>
      </c>
      <c r="AG279" s="451"/>
      <c r="AH279" s="451"/>
      <c r="AI279" s="451"/>
      <c r="AJ279" s="452">
        <v>-2.3283064365386963E-10</v>
      </c>
      <c r="AK279" s="455">
        <v>0</v>
      </c>
      <c r="AM279" s="457"/>
    </row>
    <row r="280" spans="1:39" s="66" customFormat="1" ht="15" customHeight="1" x14ac:dyDescent="0.2">
      <c r="B280" s="108"/>
      <c r="C280" s="458"/>
      <c r="D280" s="458"/>
      <c r="E280" s="458"/>
      <c r="F280" s="458"/>
      <c r="G280" s="458"/>
      <c r="H280" s="458"/>
      <c r="I280" s="458"/>
      <c r="J280" s="458"/>
      <c r="K280" s="458"/>
      <c r="L280" s="458"/>
      <c r="M280" s="458"/>
      <c r="N280" s="458"/>
      <c r="O280" s="458"/>
      <c r="P280" s="458"/>
      <c r="Q280" s="458"/>
      <c r="R280" s="458"/>
      <c r="S280" s="458"/>
      <c r="T280" s="458"/>
      <c r="U280" s="458"/>
      <c r="V280" s="458"/>
      <c r="W280" s="458"/>
      <c r="X280" s="458"/>
      <c r="Y280" s="458"/>
      <c r="Z280" s="458"/>
      <c r="AA280" s="458"/>
      <c r="AB280" s="458"/>
      <c r="AC280" s="458"/>
      <c r="AD280" s="458"/>
      <c r="AE280" s="458"/>
      <c r="AF280" s="458"/>
      <c r="AG280" s="458"/>
      <c r="AH280" s="458"/>
      <c r="AI280" s="458"/>
      <c r="AJ280" s="458"/>
      <c r="AK280" s="458"/>
    </row>
    <row r="281" spans="1:39" ht="15.95" customHeight="1" x14ac:dyDescent="0.25">
      <c r="A281" s="3008" t="str">
        <f>Parameters!C5</f>
        <v>Mohokare Local Municipality</v>
      </c>
      <c r="B281" s="3008"/>
      <c r="C281" s="3008"/>
      <c r="D281" s="3008"/>
      <c r="E281" s="3008"/>
      <c r="F281" s="3008"/>
      <c r="G281" s="3008"/>
      <c r="H281" s="3008"/>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3008"/>
      <c r="AD281" s="3008"/>
      <c r="AE281" s="3008"/>
      <c r="AF281" s="3008"/>
      <c r="AG281" s="3008"/>
      <c r="AH281" s="3008"/>
      <c r="AI281" s="3008"/>
      <c r="AJ281" s="3008"/>
      <c r="AK281" s="3008"/>
      <c r="AL281" s="3008"/>
      <c r="AM281" s="3008"/>
    </row>
    <row r="282" spans="1:39" s="66" customFormat="1" ht="15.95" customHeight="1" thickBot="1" x14ac:dyDescent="0.3">
      <c r="A282" s="3009" t="str">
        <f>"ANALYSIS OF INTANGIBLE ASSETS AS AT "&amp;Parameters!C6</f>
        <v>ANALYSIS OF INTANGIBLE ASSETS AS AT 30 JUNE 2012</v>
      </c>
      <c r="B282" s="3009"/>
      <c r="C282" s="3009"/>
      <c r="D282" s="3009"/>
      <c r="E282" s="3009"/>
      <c r="F282" s="3009"/>
      <c r="G282" s="3009"/>
      <c r="H282" s="3009"/>
      <c r="I282" s="3009"/>
      <c r="J282" s="3009"/>
      <c r="K282" s="3009"/>
      <c r="L282" s="3009"/>
      <c r="M282" s="3009"/>
      <c r="N282" s="3009"/>
      <c r="O282" s="3009"/>
      <c r="P282" s="3009"/>
      <c r="Q282" s="3009"/>
      <c r="R282" s="3009"/>
      <c r="S282" s="3009"/>
      <c r="T282" s="3009"/>
      <c r="U282" s="3009"/>
      <c r="V282" s="3009"/>
      <c r="W282" s="3009"/>
      <c r="X282" s="3009"/>
      <c r="Y282" s="3009"/>
      <c r="Z282" s="3009"/>
      <c r="AA282" s="3009"/>
      <c r="AB282" s="3009"/>
      <c r="AC282" s="3009"/>
      <c r="AD282" s="3009"/>
      <c r="AE282" s="3009"/>
      <c r="AF282" s="3009"/>
      <c r="AG282" s="3009"/>
      <c r="AH282" s="3009"/>
      <c r="AI282" s="3009"/>
      <c r="AJ282" s="3009"/>
      <c r="AK282" s="3009"/>
      <c r="AL282" s="3009"/>
      <c r="AM282" s="3009"/>
    </row>
    <row r="283" spans="1:39" s="109" customFormat="1" ht="15" customHeight="1" x14ac:dyDescent="0.25">
      <c r="A283" s="726"/>
      <c r="B283" s="727" t="s">
        <v>1517</v>
      </c>
      <c r="C283" s="3010" t="s">
        <v>1354</v>
      </c>
      <c r="D283" s="3011"/>
      <c r="E283" s="3011"/>
      <c r="F283" s="3011"/>
      <c r="G283" s="3012"/>
      <c r="H283" s="3010" t="s">
        <v>39</v>
      </c>
      <c r="I283" s="3011"/>
      <c r="J283" s="3011"/>
      <c r="K283" s="3011"/>
      <c r="L283" s="3012"/>
      <c r="M283" s="3013" t="s">
        <v>435</v>
      </c>
      <c r="N283" s="3014"/>
      <c r="O283" s="3014"/>
      <c r="P283" s="3014"/>
      <c r="Q283" s="3014"/>
      <c r="R283" s="3014"/>
      <c r="S283" s="3014"/>
      <c r="T283" s="3014"/>
      <c r="U283" s="3015"/>
      <c r="V283" s="3010" t="s">
        <v>198</v>
      </c>
      <c r="W283" s="3011"/>
      <c r="X283" s="3011"/>
      <c r="Y283" s="3011"/>
      <c r="Z283" s="3012"/>
      <c r="AA283" s="3010" t="s">
        <v>152</v>
      </c>
      <c r="AB283" s="3011"/>
      <c r="AC283" s="3011"/>
      <c r="AD283" s="3011"/>
      <c r="AE283" s="3012"/>
      <c r="AF283" s="3010" t="s">
        <v>153</v>
      </c>
      <c r="AG283" s="3011"/>
      <c r="AH283" s="3011"/>
      <c r="AI283" s="3011"/>
      <c r="AJ283" s="3012"/>
      <c r="AK283" s="391" t="s">
        <v>285</v>
      </c>
      <c r="AL283" s="66"/>
      <c r="AM283" s="392" t="s">
        <v>243</v>
      </c>
    </row>
    <row r="284" spans="1:39" s="109" customFormat="1" ht="15" customHeight="1" x14ac:dyDescent="0.25">
      <c r="A284" s="728" t="s">
        <v>7</v>
      </c>
      <c r="B284" s="729"/>
      <c r="C284" s="393" t="s">
        <v>682</v>
      </c>
      <c r="D284" s="3001" t="s">
        <v>683</v>
      </c>
      <c r="E284" s="3001" t="s">
        <v>763</v>
      </c>
      <c r="F284" s="3001" t="s">
        <v>684</v>
      </c>
      <c r="G284" s="394" t="s">
        <v>195</v>
      </c>
      <c r="H284" s="393" t="s">
        <v>682</v>
      </c>
      <c r="I284" s="3001" t="s">
        <v>683</v>
      </c>
      <c r="J284" s="3001" t="s">
        <v>763</v>
      </c>
      <c r="K284" s="3001" t="s">
        <v>684</v>
      </c>
      <c r="L284" s="394" t="s">
        <v>195</v>
      </c>
      <c r="M284" s="393" t="s">
        <v>682</v>
      </c>
      <c r="N284" s="3001" t="s">
        <v>683</v>
      </c>
      <c r="O284" s="3003" t="s">
        <v>436</v>
      </c>
      <c r="P284" s="3004"/>
      <c r="Q284" s="3005"/>
      <c r="R284" s="3006" t="s">
        <v>436</v>
      </c>
      <c r="S284" s="3001" t="s">
        <v>763</v>
      </c>
      <c r="T284" s="3001" t="s">
        <v>684</v>
      </c>
      <c r="U284" s="394" t="s">
        <v>195</v>
      </c>
      <c r="V284" s="393" t="s">
        <v>682</v>
      </c>
      <c r="W284" s="3001" t="s">
        <v>683</v>
      </c>
      <c r="X284" s="3001" t="s">
        <v>763</v>
      </c>
      <c r="Y284" s="3001" t="s">
        <v>684</v>
      </c>
      <c r="Z284" s="394" t="s">
        <v>195</v>
      </c>
      <c r="AA284" s="393" t="s">
        <v>682</v>
      </c>
      <c r="AB284" s="3001" t="s">
        <v>683</v>
      </c>
      <c r="AC284" s="3001" t="s">
        <v>763</v>
      </c>
      <c r="AD284" s="3001" t="s">
        <v>684</v>
      </c>
      <c r="AE284" s="394" t="s">
        <v>195</v>
      </c>
      <c r="AF284" s="393" t="s">
        <v>682</v>
      </c>
      <c r="AG284" s="3001" t="s">
        <v>683</v>
      </c>
      <c r="AH284" s="3001" t="s">
        <v>763</v>
      </c>
      <c r="AI284" s="3001" t="s">
        <v>684</v>
      </c>
      <c r="AJ284" s="394" t="s">
        <v>195</v>
      </c>
      <c r="AK284" s="395"/>
      <c r="AL284" s="66"/>
      <c r="AM284" s="396" t="s">
        <v>683</v>
      </c>
    </row>
    <row r="285" spans="1:39" s="109" customFormat="1" ht="15" customHeight="1" thickBot="1" x14ac:dyDescent="0.3">
      <c r="A285" s="730"/>
      <c r="B285" s="731" t="s">
        <v>1518</v>
      </c>
      <c r="C285" s="397" t="s">
        <v>245</v>
      </c>
      <c r="D285" s="3002"/>
      <c r="E285" s="3002"/>
      <c r="F285" s="3002"/>
      <c r="G285" s="398" t="s">
        <v>245</v>
      </c>
      <c r="H285" s="397" t="s">
        <v>245</v>
      </c>
      <c r="I285" s="3002"/>
      <c r="J285" s="3002"/>
      <c r="K285" s="3002"/>
      <c r="L285" s="398" t="s">
        <v>245</v>
      </c>
      <c r="M285" s="397" t="s">
        <v>245</v>
      </c>
      <c r="N285" s="3002"/>
      <c r="O285" s="684" t="s">
        <v>1355</v>
      </c>
      <c r="P285" s="684" t="s">
        <v>1356</v>
      </c>
      <c r="Q285" s="684" t="s">
        <v>1357</v>
      </c>
      <c r="R285" s="3007"/>
      <c r="S285" s="3002"/>
      <c r="T285" s="3002"/>
      <c r="U285" s="398" t="s">
        <v>245</v>
      </c>
      <c r="V285" s="397" t="s">
        <v>245</v>
      </c>
      <c r="W285" s="3002"/>
      <c r="X285" s="3002"/>
      <c r="Y285" s="3002"/>
      <c r="Z285" s="398" t="s">
        <v>245</v>
      </c>
      <c r="AA285" s="397" t="s">
        <v>245</v>
      </c>
      <c r="AB285" s="3002"/>
      <c r="AC285" s="3002"/>
      <c r="AD285" s="3002"/>
      <c r="AE285" s="398" t="s">
        <v>245</v>
      </c>
      <c r="AF285" s="397" t="s">
        <v>245</v>
      </c>
      <c r="AG285" s="3002"/>
      <c r="AH285" s="3002"/>
      <c r="AI285" s="3002"/>
      <c r="AJ285" s="398" t="s">
        <v>245</v>
      </c>
      <c r="AK285" s="399" t="s">
        <v>286</v>
      </c>
      <c r="AL285" s="66"/>
      <c r="AM285" s="693">
        <f>Parameters!C17</f>
        <v>2012</v>
      </c>
    </row>
    <row r="286" spans="1:39" s="109" customFormat="1" ht="15" customHeight="1" x14ac:dyDescent="0.25">
      <c r="A286" s="732"/>
      <c r="B286" s="736"/>
      <c r="C286" s="403" t="s">
        <v>255</v>
      </c>
      <c r="D286" s="404" t="s">
        <v>255</v>
      </c>
      <c r="E286" s="404" t="s">
        <v>255</v>
      </c>
      <c r="F286" s="404" t="s">
        <v>255</v>
      </c>
      <c r="G286" s="402" t="s">
        <v>255</v>
      </c>
      <c r="H286" s="403" t="s">
        <v>255</v>
      </c>
      <c r="I286" s="404" t="s">
        <v>255</v>
      </c>
      <c r="J286" s="404" t="s">
        <v>255</v>
      </c>
      <c r="K286" s="404" t="s">
        <v>255</v>
      </c>
      <c r="L286" s="402" t="s">
        <v>255</v>
      </c>
      <c r="M286" s="400" t="s">
        <v>255</v>
      </c>
      <c r="N286" s="401" t="s">
        <v>255</v>
      </c>
      <c r="O286" s="403" t="s">
        <v>255</v>
      </c>
      <c r="P286" s="404" t="s">
        <v>255</v>
      </c>
      <c r="Q286" s="404" t="s">
        <v>255</v>
      </c>
      <c r="R286" s="685" t="s">
        <v>255</v>
      </c>
      <c r="S286" s="401" t="s">
        <v>255</v>
      </c>
      <c r="T286" s="401" t="s">
        <v>255</v>
      </c>
      <c r="U286" s="402" t="s">
        <v>255</v>
      </c>
      <c r="V286" s="403" t="s">
        <v>255</v>
      </c>
      <c r="W286" s="404" t="s">
        <v>255</v>
      </c>
      <c r="X286" s="404" t="s">
        <v>255</v>
      </c>
      <c r="Y286" s="404" t="s">
        <v>255</v>
      </c>
      <c r="Z286" s="402" t="s">
        <v>255</v>
      </c>
      <c r="AA286" s="403" t="s">
        <v>255</v>
      </c>
      <c r="AB286" s="404" t="s">
        <v>255</v>
      </c>
      <c r="AC286" s="404" t="s">
        <v>255</v>
      </c>
      <c r="AD286" s="404" t="s">
        <v>255</v>
      </c>
      <c r="AE286" s="402" t="s">
        <v>255</v>
      </c>
      <c r="AF286" s="400" t="s">
        <v>255</v>
      </c>
      <c r="AG286" s="401" t="s">
        <v>255</v>
      </c>
      <c r="AH286" s="401" t="s">
        <v>255</v>
      </c>
      <c r="AI286" s="401" t="s">
        <v>255</v>
      </c>
      <c r="AJ286" s="402" t="s">
        <v>255</v>
      </c>
      <c r="AK286" s="405" t="s">
        <v>255</v>
      </c>
      <c r="AL286" s="66"/>
      <c r="AM286" s="406" t="s">
        <v>255</v>
      </c>
    </row>
    <row r="287" spans="1:39" s="66" customFormat="1" ht="15" customHeight="1" x14ac:dyDescent="0.25">
      <c r="A287" s="467" t="s">
        <v>733</v>
      </c>
      <c r="B287" s="783"/>
      <c r="C287" s="411"/>
      <c r="D287" s="412"/>
      <c r="E287" s="412"/>
      <c r="F287" s="412"/>
      <c r="G287" s="410"/>
      <c r="H287" s="411"/>
      <c r="I287" s="412"/>
      <c r="J287" s="412"/>
      <c r="K287" s="412"/>
      <c r="L287" s="410"/>
      <c r="M287" s="408"/>
      <c r="N287" s="409"/>
      <c r="O287" s="411"/>
      <c r="P287" s="412"/>
      <c r="Q287" s="412"/>
      <c r="R287" s="686"/>
      <c r="S287" s="409"/>
      <c r="T287" s="409"/>
      <c r="U287" s="410"/>
      <c r="V287" s="411"/>
      <c r="W287" s="412"/>
      <c r="X287" s="412"/>
      <c r="Y287" s="412"/>
      <c r="Z287" s="410"/>
      <c r="AA287" s="411"/>
      <c r="AB287" s="412"/>
      <c r="AC287" s="412"/>
      <c r="AD287" s="412"/>
      <c r="AE287" s="410"/>
      <c r="AF287" s="408"/>
      <c r="AG287" s="409"/>
      <c r="AH287" s="409"/>
      <c r="AI287" s="409"/>
      <c r="AJ287" s="410"/>
      <c r="AK287" s="413"/>
      <c r="AM287" s="424"/>
    </row>
    <row r="288" spans="1:39" s="66" customFormat="1" ht="15" hidden="1" customHeight="1" x14ac:dyDescent="0.2">
      <c r="A288" s="733" t="s">
        <v>625</v>
      </c>
      <c r="B288" s="784">
        <v>71002</v>
      </c>
      <c r="C288" s="418">
        <v>0</v>
      </c>
      <c r="D288" s="419">
        <v>0</v>
      </c>
      <c r="E288" s="419">
        <v>0</v>
      </c>
      <c r="F288" s="419">
        <v>0</v>
      </c>
      <c r="G288" s="417">
        <f>SUM(C288:F288)</f>
        <v>0</v>
      </c>
      <c r="H288" s="418">
        <v>0</v>
      </c>
      <c r="I288" s="419">
        <v>0</v>
      </c>
      <c r="J288" s="419">
        <v>0</v>
      </c>
      <c r="K288" s="419">
        <v>0</v>
      </c>
      <c r="L288" s="417">
        <f>SUM(H288:K288)</f>
        <v>0</v>
      </c>
      <c r="M288" s="416">
        <f>SUM(C288,H288)</f>
        <v>0</v>
      </c>
      <c r="N288" s="111">
        <f>SUM(D288,I288)</f>
        <v>0</v>
      </c>
      <c r="O288" s="418">
        <v>0</v>
      </c>
      <c r="P288" s="419">
        <v>0</v>
      </c>
      <c r="Q288" s="419">
        <v>0</v>
      </c>
      <c r="R288" s="186">
        <f>SUM(O288:Q288)</f>
        <v>0</v>
      </c>
      <c r="S288" s="111">
        <f>SUM(E288,J288)</f>
        <v>0</v>
      </c>
      <c r="T288" s="111">
        <f>SUM(F288,K288)</f>
        <v>0</v>
      </c>
      <c r="U288" s="417">
        <f>SUM(M288:N288,R288:T288)</f>
        <v>0</v>
      </c>
      <c r="V288" s="418">
        <v>0</v>
      </c>
      <c r="W288" s="419">
        <v>0</v>
      </c>
      <c r="X288" s="419">
        <v>0</v>
      </c>
      <c r="Y288" s="419">
        <v>0</v>
      </c>
      <c r="Z288" s="417">
        <f>SUM(V288:Y288)</f>
        <v>0</v>
      </c>
      <c r="AA288" s="418">
        <v>0</v>
      </c>
      <c r="AB288" s="419">
        <v>0</v>
      </c>
      <c r="AC288" s="419">
        <v>0</v>
      </c>
      <c r="AD288" s="419">
        <v>0</v>
      </c>
      <c r="AE288" s="417">
        <f>+AA288+AB288+AC288-AD288</f>
        <v>0</v>
      </c>
      <c r="AF288" s="416">
        <f>SUM(V288,AA288)</f>
        <v>0</v>
      </c>
      <c r="AG288" s="111">
        <f>SUM(W288,AB288)</f>
        <v>0</v>
      </c>
      <c r="AH288" s="111">
        <f>SUM(X288,AC288)</f>
        <v>0</v>
      </c>
      <c r="AI288" s="111">
        <f>SUM(Y288,AD288)</f>
        <v>0</v>
      </c>
      <c r="AJ288" s="417">
        <f>SUM(AF288:AI288)</f>
        <v>0</v>
      </c>
      <c r="AK288" s="420">
        <f>+U288-AJ288</f>
        <v>0</v>
      </c>
      <c r="AM288" s="422">
        <v>0</v>
      </c>
    </row>
    <row r="289" spans="1:41" s="66" customFormat="1" ht="15" customHeight="1" x14ac:dyDescent="0.2">
      <c r="A289" s="733" t="s">
        <v>734</v>
      </c>
      <c r="B289" s="784"/>
      <c r="C289" s="418">
        <v>0</v>
      </c>
      <c r="D289" s="419">
        <v>0</v>
      </c>
      <c r="E289" s="419">
        <v>0</v>
      </c>
      <c r="F289" s="419">
        <v>0</v>
      </c>
      <c r="G289" s="417">
        <f>SUM(C289:F289)</f>
        <v>0</v>
      </c>
      <c r="H289" s="418">
        <v>0</v>
      </c>
      <c r="I289" s="419">
        <v>0</v>
      </c>
      <c r="J289" s="419">
        <v>0</v>
      </c>
      <c r="K289" s="419">
        <v>0</v>
      </c>
      <c r="L289" s="417">
        <f>SUM(H289:K289)</f>
        <v>0</v>
      </c>
      <c r="M289" s="416">
        <v>534123.09</v>
      </c>
      <c r="N289" s="111">
        <f t="shared" ref="M289:N291" si="224">SUM(D289,I289)</f>
        <v>0</v>
      </c>
      <c r="O289" s="418">
        <v>0</v>
      </c>
      <c r="P289" s="419">
        <v>0</v>
      </c>
      <c r="Q289" s="419">
        <v>0</v>
      </c>
      <c r="R289" s="186">
        <f>SUM(O289:Q289)</f>
        <v>0</v>
      </c>
      <c r="S289" s="111">
        <f t="shared" ref="S289:T291" si="225">SUM(E289,J289)</f>
        <v>0</v>
      </c>
      <c r="T289" s="111">
        <f t="shared" si="225"/>
        <v>0</v>
      </c>
      <c r="U289" s="417">
        <f>SUM(M289:N289,R289:T289)</f>
        <v>534123.09</v>
      </c>
      <c r="V289" s="418">
        <v>0</v>
      </c>
      <c r="W289" s="419">
        <v>0</v>
      </c>
      <c r="X289" s="419">
        <v>0</v>
      </c>
      <c r="Y289" s="419">
        <v>0</v>
      </c>
      <c r="Z289" s="417">
        <f>SUM(V289:Y289)</f>
        <v>0</v>
      </c>
      <c r="AA289" s="418">
        <v>0</v>
      </c>
      <c r="AB289" s="419">
        <v>0</v>
      </c>
      <c r="AC289" s="419">
        <v>0</v>
      </c>
      <c r="AD289" s="419">
        <v>0</v>
      </c>
      <c r="AE289" s="417">
        <f>+AA289+AB289+AC289-AD289</f>
        <v>0</v>
      </c>
      <c r="AF289" s="416">
        <f t="shared" ref="AF289:AI291" si="226">SUM(V289,AA289)</f>
        <v>0</v>
      </c>
      <c r="AG289" s="111">
        <f t="shared" si="226"/>
        <v>0</v>
      </c>
      <c r="AH289" s="111">
        <f t="shared" si="226"/>
        <v>0</v>
      </c>
      <c r="AI289" s="111">
        <f t="shared" si="226"/>
        <v>0</v>
      </c>
      <c r="AJ289" s="417">
        <f>SUM(AF289:AI289)</f>
        <v>0</v>
      </c>
      <c r="AK289" s="420">
        <f>+U289-AJ289</f>
        <v>534123.09</v>
      </c>
      <c r="AM289" s="424">
        <v>0</v>
      </c>
    </row>
    <row r="290" spans="1:41" s="66" customFormat="1" ht="15" hidden="1" customHeight="1" x14ac:dyDescent="0.2">
      <c r="A290" s="733" t="s">
        <v>1609</v>
      </c>
      <c r="B290" s="784"/>
      <c r="C290" s="418">
        <v>0</v>
      </c>
      <c r="D290" s="419">
        <v>0</v>
      </c>
      <c r="E290" s="419">
        <v>0</v>
      </c>
      <c r="F290" s="419">
        <v>0</v>
      </c>
      <c r="G290" s="417">
        <f>SUM(C290:F290)</f>
        <v>0</v>
      </c>
      <c r="H290" s="418">
        <v>0</v>
      </c>
      <c r="I290" s="419">
        <v>0</v>
      </c>
      <c r="J290" s="419">
        <v>0</v>
      </c>
      <c r="K290" s="419">
        <v>0</v>
      </c>
      <c r="L290" s="417">
        <f>SUM(H290:K290)</f>
        <v>0</v>
      </c>
      <c r="M290" s="416">
        <f>SUM(C290,H290)</f>
        <v>0</v>
      </c>
      <c r="N290" s="111">
        <f>SUM(D290,I290)</f>
        <v>0</v>
      </c>
      <c r="O290" s="418">
        <v>0</v>
      </c>
      <c r="P290" s="419">
        <v>0</v>
      </c>
      <c r="Q290" s="419">
        <v>0</v>
      </c>
      <c r="R290" s="186">
        <f>SUM(O290:Q290)</f>
        <v>0</v>
      </c>
      <c r="S290" s="111">
        <f>SUM(E290,J290)</f>
        <v>0</v>
      </c>
      <c r="T290" s="111">
        <f>SUM(F290,K290)</f>
        <v>0</v>
      </c>
      <c r="U290" s="417">
        <f>SUM(M290:N290,R290:T290)</f>
        <v>0</v>
      </c>
      <c r="V290" s="418">
        <v>0</v>
      </c>
      <c r="W290" s="419">
        <v>0</v>
      </c>
      <c r="X290" s="419">
        <v>0</v>
      </c>
      <c r="Y290" s="419">
        <v>0</v>
      </c>
      <c r="Z290" s="417">
        <f>SUM(V290:Y290)</f>
        <v>0</v>
      </c>
      <c r="AA290" s="418">
        <v>0</v>
      </c>
      <c r="AB290" s="419">
        <v>0</v>
      </c>
      <c r="AC290" s="419">
        <v>0</v>
      </c>
      <c r="AD290" s="419">
        <v>0</v>
      </c>
      <c r="AE290" s="417">
        <f>+AA290+AB290+AC290-AD290</f>
        <v>0</v>
      </c>
      <c r="AF290" s="416">
        <f>SUM(V290,AA290)</f>
        <v>0</v>
      </c>
      <c r="AG290" s="111">
        <f>SUM(W290,AB290)</f>
        <v>0</v>
      </c>
      <c r="AH290" s="111">
        <f>SUM(X290,AC290)</f>
        <v>0</v>
      </c>
      <c r="AI290" s="111">
        <f>SUM(Y290,AD290)</f>
        <v>0</v>
      </c>
      <c r="AJ290" s="417">
        <f>SUM(AF290:AI290)</f>
        <v>0</v>
      </c>
      <c r="AK290" s="420">
        <f>+U290-AJ290</f>
        <v>0</v>
      </c>
      <c r="AM290" s="424">
        <v>0</v>
      </c>
    </row>
    <row r="291" spans="1:41" s="66" customFormat="1" ht="15" hidden="1" customHeight="1" x14ac:dyDescent="0.2">
      <c r="A291" s="733" t="s">
        <v>735</v>
      </c>
      <c r="B291" s="784"/>
      <c r="C291" s="418">
        <v>0</v>
      </c>
      <c r="D291" s="419">
        <v>0</v>
      </c>
      <c r="E291" s="419">
        <v>0</v>
      </c>
      <c r="F291" s="419">
        <v>0</v>
      </c>
      <c r="G291" s="417">
        <f>SUM(C291:F291)</f>
        <v>0</v>
      </c>
      <c r="H291" s="418">
        <v>0</v>
      </c>
      <c r="I291" s="419">
        <v>0</v>
      </c>
      <c r="J291" s="419">
        <v>0</v>
      </c>
      <c r="K291" s="419">
        <v>0</v>
      </c>
      <c r="L291" s="417">
        <f>SUM(H291:K291)</f>
        <v>0</v>
      </c>
      <c r="M291" s="416">
        <f t="shared" si="224"/>
        <v>0</v>
      </c>
      <c r="N291" s="111">
        <f t="shared" si="224"/>
        <v>0</v>
      </c>
      <c r="O291" s="418">
        <v>0</v>
      </c>
      <c r="P291" s="419">
        <v>0</v>
      </c>
      <c r="Q291" s="419">
        <v>0</v>
      </c>
      <c r="R291" s="186">
        <f>SUM(O291:Q291)</f>
        <v>0</v>
      </c>
      <c r="S291" s="111">
        <f t="shared" si="225"/>
        <v>0</v>
      </c>
      <c r="T291" s="111">
        <f t="shared" si="225"/>
        <v>0</v>
      </c>
      <c r="U291" s="417">
        <f>SUM(M291:N291,R291:T291)</f>
        <v>0</v>
      </c>
      <c r="V291" s="418">
        <v>0</v>
      </c>
      <c r="W291" s="419">
        <v>0</v>
      </c>
      <c r="X291" s="419">
        <v>0</v>
      </c>
      <c r="Y291" s="419">
        <v>0</v>
      </c>
      <c r="Z291" s="417">
        <f>SUM(V291:Y291)</f>
        <v>0</v>
      </c>
      <c r="AA291" s="418">
        <v>0</v>
      </c>
      <c r="AB291" s="419">
        <v>0</v>
      </c>
      <c r="AC291" s="419">
        <v>0</v>
      </c>
      <c r="AD291" s="419">
        <v>0</v>
      </c>
      <c r="AE291" s="417">
        <f>+AA291+AB291+AC291-AD291</f>
        <v>0</v>
      </c>
      <c r="AF291" s="416">
        <f t="shared" si="226"/>
        <v>0</v>
      </c>
      <c r="AG291" s="111">
        <f t="shared" si="226"/>
        <v>0</v>
      </c>
      <c r="AH291" s="111">
        <f t="shared" si="226"/>
        <v>0</v>
      </c>
      <c r="AI291" s="111">
        <f t="shared" si="226"/>
        <v>0</v>
      </c>
      <c r="AJ291" s="417">
        <f>SUM(AF291:AI291)</f>
        <v>0</v>
      </c>
      <c r="AK291" s="420">
        <f>+U291-AJ291</f>
        <v>0</v>
      </c>
      <c r="AM291" s="424">
        <v>0</v>
      </c>
    </row>
    <row r="292" spans="1:41" s="66" customFormat="1" ht="15" customHeight="1" x14ac:dyDescent="0.2">
      <c r="A292" s="733"/>
      <c r="B292" s="784"/>
      <c r="C292" s="418"/>
      <c r="D292" s="419"/>
      <c r="E292" s="419"/>
      <c r="F292" s="419"/>
      <c r="G292" s="417"/>
      <c r="H292" s="418"/>
      <c r="I292" s="419"/>
      <c r="J292" s="419"/>
      <c r="K292" s="419"/>
      <c r="L292" s="417"/>
      <c r="M292" s="416"/>
      <c r="N292" s="111"/>
      <c r="O292" s="418"/>
      <c r="P292" s="419"/>
      <c r="Q292" s="419"/>
      <c r="R292" s="186"/>
      <c r="S292" s="111"/>
      <c r="T292" s="111"/>
      <c r="U292" s="417"/>
      <c r="V292" s="418"/>
      <c r="W292" s="419"/>
      <c r="X292" s="419"/>
      <c r="Y292" s="419"/>
      <c r="Z292" s="417"/>
      <c r="AA292" s="418"/>
      <c r="AB292" s="418"/>
      <c r="AC292" s="418"/>
      <c r="AD292" s="418"/>
      <c r="AE292" s="417"/>
      <c r="AF292" s="416"/>
      <c r="AG292" s="111"/>
      <c r="AH292" s="111"/>
      <c r="AI292" s="111"/>
      <c r="AJ292" s="417"/>
      <c r="AK292" s="420"/>
      <c r="AM292" s="424"/>
    </row>
    <row r="293" spans="1:41" s="66" customFormat="1" ht="15" customHeight="1" thickBot="1" x14ac:dyDescent="0.3">
      <c r="A293" s="733"/>
      <c r="B293" s="784"/>
      <c r="C293" s="444">
        <f t="shared" ref="C293:AK293" si="227">SUM(C287:C292)</f>
        <v>0</v>
      </c>
      <c r="D293" s="445">
        <f t="shared" si="227"/>
        <v>0</v>
      </c>
      <c r="E293" s="445">
        <f t="shared" si="227"/>
        <v>0</v>
      </c>
      <c r="F293" s="445">
        <f t="shared" si="227"/>
        <v>0</v>
      </c>
      <c r="G293" s="443">
        <f t="shared" si="227"/>
        <v>0</v>
      </c>
      <c r="H293" s="444">
        <f t="shared" si="227"/>
        <v>0</v>
      </c>
      <c r="I293" s="445">
        <f t="shared" si="227"/>
        <v>0</v>
      </c>
      <c r="J293" s="445">
        <f t="shared" si="227"/>
        <v>0</v>
      </c>
      <c r="K293" s="445">
        <f t="shared" si="227"/>
        <v>0</v>
      </c>
      <c r="L293" s="443">
        <f t="shared" si="227"/>
        <v>0</v>
      </c>
      <c r="M293" s="446">
        <f t="shared" si="227"/>
        <v>534123.09</v>
      </c>
      <c r="N293" s="191">
        <f t="shared" si="227"/>
        <v>0</v>
      </c>
      <c r="O293" s="444">
        <f t="shared" si="227"/>
        <v>0</v>
      </c>
      <c r="P293" s="445">
        <f t="shared" si="227"/>
        <v>0</v>
      </c>
      <c r="Q293" s="445">
        <f t="shared" si="227"/>
        <v>0</v>
      </c>
      <c r="R293" s="690">
        <f t="shared" si="227"/>
        <v>0</v>
      </c>
      <c r="S293" s="191">
        <f t="shared" si="227"/>
        <v>0</v>
      </c>
      <c r="T293" s="191">
        <f t="shared" si="227"/>
        <v>0</v>
      </c>
      <c r="U293" s="443">
        <f t="shared" si="227"/>
        <v>534123.09</v>
      </c>
      <c r="V293" s="444">
        <f t="shared" si="227"/>
        <v>0</v>
      </c>
      <c r="W293" s="445">
        <f t="shared" si="227"/>
        <v>0</v>
      </c>
      <c r="X293" s="445">
        <f t="shared" si="227"/>
        <v>0</v>
      </c>
      <c r="Y293" s="445">
        <f t="shared" si="227"/>
        <v>0</v>
      </c>
      <c r="Z293" s="443">
        <f t="shared" si="227"/>
        <v>0</v>
      </c>
      <c r="AA293" s="444">
        <f t="shared" si="227"/>
        <v>0</v>
      </c>
      <c r="AB293" s="444">
        <f t="shared" si="227"/>
        <v>0</v>
      </c>
      <c r="AC293" s="444">
        <f t="shared" si="227"/>
        <v>0</v>
      </c>
      <c r="AD293" s="444">
        <f t="shared" si="227"/>
        <v>0</v>
      </c>
      <c r="AE293" s="443">
        <f t="shared" si="227"/>
        <v>0</v>
      </c>
      <c r="AF293" s="446">
        <f t="shared" si="227"/>
        <v>0</v>
      </c>
      <c r="AG293" s="191">
        <f t="shared" si="227"/>
        <v>0</v>
      </c>
      <c r="AH293" s="191">
        <f t="shared" si="227"/>
        <v>0</v>
      </c>
      <c r="AI293" s="191">
        <f t="shared" si="227"/>
        <v>0</v>
      </c>
      <c r="AJ293" s="443">
        <f t="shared" si="227"/>
        <v>0</v>
      </c>
      <c r="AK293" s="447">
        <f t="shared" si="227"/>
        <v>534123.09</v>
      </c>
      <c r="AM293" s="448">
        <f>SUM(AM287:AM292)</f>
        <v>0</v>
      </c>
    </row>
    <row r="294" spans="1:41" s="66" customFormat="1" ht="15" customHeight="1" thickTop="1" thickBot="1" x14ac:dyDescent="0.25">
      <c r="A294" s="735"/>
      <c r="B294" s="786"/>
      <c r="C294" s="453">
        <v>0</v>
      </c>
      <c r="D294" s="454">
        <v>0</v>
      </c>
      <c r="E294" s="454">
        <v>0</v>
      </c>
      <c r="F294" s="454">
        <v>0</v>
      </c>
      <c r="G294" s="452">
        <v>0</v>
      </c>
      <c r="H294" s="453">
        <v>0</v>
      </c>
      <c r="I294" s="454">
        <v>0</v>
      </c>
      <c r="J294" s="454">
        <v>0</v>
      </c>
      <c r="K294" s="454">
        <v>0</v>
      </c>
      <c r="L294" s="452">
        <v>0</v>
      </c>
      <c r="M294" s="450">
        <v>0</v>
      </c>
      <c r="N294" s="451"/>
      <c r="O294" s="453"/>
      <c r="P294" s="454"/>
      <c r="Q294" s="454"/>
      <c r="R294" s="691"/>
      <c r="S294" s="451"/>
      <c r="T294" s="451"/>
      <c r="U294" s="452">
        <v>0</v>
      </c>
      <c r="V294" s="694">
        <v>0</v>
      </c>
      <c r="W294" s="695">
        <v>0</v>
      </c>
      <c r="X294" s="695">
        <v>0</v>
      </c>
      <c r="Y294" s="695">
        <v>0</v>
      </c>
      <c r="Z294" s="696">
        <v>0</v>
      </c>
      <c r="AA294" s="694">
        <v>0</v>
      </c>
      <c r="AB294" s="695">
        <v>0</v>
      </c>
      <c r="AC294" s="695">
        <v>0</v>
      </c>
      <c r="AD294" s="695">
        <v>0</v>
      </c>
      <c r="AE294" s="696">
        <v>0</v>
      </c>
      <c r="AF294" s="450">
        <v>-4.6566128730773926E-10</v>
      </c>
      <c r="AG294" s="451"/>
      <c r="AH294" s="451"/>
      <c r="AI294" s="451"/>
      <c r="AJ294" s="452">
        <v>-4.6566128730773926E-10</v>
      </c>
      <c r="AK294" s="455">
        <v>0</v>
      </c>
      <c r="AM294" s="457"/>
    </row>
    <row r="295" spans="1:41" s="66" customFormat="1" ht="15" customHeight="1" x14ac:dyDescent="0.2">
      <c r="B295" s="108"/>
      <c r="C295" s="458"/>
      <c r="D295" s="458"/>
      <c r="E295" s="458"/>
      <c r="F295" s="458"/>
      <c r="G295" s="458"/>
      <c r="H295" s="458"/>
      <c r="I295" s="458"/>
      <c r="J295" s="458"/>
      <c r="K295" s="458"/>
      <c r="L295" s="458"/>
      <c r="M295" s="458"/>
      <c r="N295" s="458"/>
      <c r="O295" s="458"/>
      <c r="P295" s="458"/>
      <c r="Q295" s="458"/>
      <c r="R295" s="458"/>
      <c r="S295" s="458"/>
      <c r="T295" s="458"/>
      <c r="U295" s="458"/>
      <c r="V295" s="458"/>
      <c r="W295" s="458"/>
      <c r="X295" s="458"/>
      <c r="Y295" s="458"/>
      <c r="Z295" s="458"/>
      <c r="AA295" s="458"/>
      <c r="AB295" s="458"/>
      <c r="AC295" s="458"/>
      <c r="AD295" s="458"/>
      <c r="AE295" s="458"/>
      <c r="AF295" s="458"/>
      <c r="AG295" s="458"/>
      <c r="AH295" s="458"/>
      <c r="AI295" s="458"/>
      <c r="AJ295" s="458"/>
      <c r="AK295" s="458"/>
    </row>
    <row r="296" spans="1:41" ht="15.95" hidden="1" customHeight="1" x14ac:dyDescent="0.25">
      <c r="A296" s="3008" t="str">
        <f>Parameters!C5</f>
        <v>Mohokare Local Municipality</v>
      </c>
      <c r="B296" s="3008"/>
      <c r="C296" s="3008"/>
      <c r="D296" s="3008"/>
      <c r="E296" s="3008"/>
      <c r="F296" s="3008"/>
      <c r="G296" s="3008"/>
      <c r="H296" s="3008"/>
      <c r="I296" s="3008"/>
      <c r="J296" s="3008"/>
      <c r="K296" s="3008"/>
      <c r="L296" s="3008"/>
      <c r="M296" s="3008"/>
      <c r="N296" s="3008"/>
      <c r="O296" s="3008"/>
      <c r="P296" s="3008"/>
      <c r="Q296" s="3008"/>
      <c r="R296" s="3008"/>
      <c r="S296" s="3008"/>
      <c r="T296" s="3008"/>
      <c r="U296" s="3008"/>
      <c r="V296" s="3008"/>
      <c r="W296" s="3008"/>
      <c r="X296" s="3008"/>
      <c r="Y296" s="3008"/>
      <c r="Z296" s="3008"/>
      <c r="AA296" s="3008"/>
      <c r="AB296" s="3008"/>
      <c r="AC296" s="3008"/>
      <c r="AD296" s="3008"/>
      <c r="AE296" s="3008"/>
      <c r="AF296" s="3008"/>
      <c r="AG296" s="3008"/>
      <c r="AH296" s="3008"/>
      <c r="AI296" s="3008"/>
      <c r="AJ296" s="3008"/>
      <c r="AK296" s="3008"/>
      <c r="AL296" s="3008"/>
      <c r="AM296" s="3008"/>
    </row>
    <row r="297" spans="1:41" s="66" customFormat="1" ht="15.95" hidden="1" customHeight="1" x14ac:dyDescent="0.25">
      <c r="A297" s="3009" t="str">
        <f>"ANALYSIS OF HERITAGE ASSETS AS AT "&amp;Parameters!C6</f>
        <v>ANALYSIS OF HERITAGE ASSETS AS AT 30 JUNE 2012</v>
      </c>
      <c r="B297" s="3009"/>
      <c r="C297" s="3009"/>
      <c r="D297" s="3009"/>
      <c r="E297" s="3009"/>
      <c r="F297" s="3009"/>
      <c r="G297" s="3009"/>
      <c r="H297" s="3009"/>
      <c r="I297" s="3009"/>
      <c r="J297" s="3009"/>
      <c r="K297" s="3009"/>
      <c r="L297" s="3009"/>
      <c r="M297" s="3009"/>
      <c r="N297" s="3009"/>
      <c r="O297" s="3009"/>
      <c r="P297" s="3009"/>
      <c r="Q297" s="3009"/>
      <c r="R297" s="3009"/>
      <c r="S297" s="3009"/>
      <c r="T297" s="3009"/>
      <c r="U297" s="3009"/>
      <c r="V297" s="3009"/>
      <c r="W297" s="3009"/>
      <c r="X297" s="3009"/>
      <c r="Y297" s="3009"/>
      <c r="Z297" s="3009"/>
      <c r="AA297" s="3009"/>
      <c r="AB297" s="3009"/>
      <c r="AC297" s="3009"/>
      <c r="AD297" s="3009"/>
      <c r="AE297" s="3009"/>
      <c r="AF297" s="3009"/>
      <c r="AG297" s="3009"/>
      <c r="AH297" s="3009"/>
      <c r="AI297" s="3009"/>
      <c r="AJ297" s="3009"/>
      <c r="AK297" s="3009"/>
      <c r="AL297" s="3009"/>
      <c r="AM297" s="3009"/>
    </row>
    <row r="298" spans="1:41" s="109" customFormat="1" ht="15" hidden="1" customHeight="1" x14ac:dyDescent="0.25">
      <c r="A298" s="726"/>
      <c r="B298" s="727" t="s">
        <v>1517</v>
      </c>
      <c r="C298" s="3010" t="s">
        <v>1354</v>
      </c>
      <c r="D298" s="3011"/>
      <c r="E298" s="3011"/>
      <c r="F298" s="3011"/>
      <c r="G298" s="3012"/>
      <c r="H298" s="3010" t="s">
        <v>39</v>
      </c>
      <c r="I298" s="3011"/>
      <c r="J298" s="3011"/>
      <c r="K298" s="3011"/>
      <c r="L298" s="3012"/>
      <c r="M298" s="3013" t="s">
        <v>435</v>
      </c>
      <c r="N298" s="3014"/>
      <c r="O298" s="3014"/>
      <c r="P298" s="3014"/>
      <c r="Q298" s="3014"/>
      <c r="R298" s="3014"/>
      <c r="S298" s="3014"/>
      <c r="T298" s="3014"/>
      <c r="U298" s="3015"/>
      <c r="V298" s="3010" t="s">
        <v>198</v>
      </c>
      <c r="W298" s="3011"/>
      <c r="X298" s="3011"/>
      <c r="Y298" s="3011"/>
      <c r="Z298" s="3012"/>
      <c r="AA298" s="3010" t="s">
        <v>152</v>
      </c>
      <c r="AB298" s="3011"/>
      <c r="AC298" s="3011"/>
      <c r="AD298" s="3011"/>
      <c r="AE298" s="3012"/>
      <c r="AF298" s="3010" t="s">
        <v>153</v>
      </c>
      <c r="AG298" s="3011"/>
      <c r="AH298" s="3011"/>
      <c r="AI298" s="3011"/>
      <c r="AJ298" s="3012"/>
      <c r="AK298" s="391" t="s">
        <v>285</v>
      </c>
      <c r="AL298" s="66"/>
      <c r="AM298" s="392" t="s">
        <v>243</v>
      </c>
    </row>
    <row r="299" spans="1:41" s="109" customFormat="1" ht="15" hidden="1" customHeight="1" x14ac:dyDescent="0.25">
      <c r="A299" s="728" t="s">
        <v>7</v>
      </c>
      <c r="B299" s="729"/>
      <c r="C299" s="393" t="s">
        <v>682</v>
      </c>
      <c r="D299" s="3001" t="s">
        <v>683</v>
      </c>
      <c r="E299" s="3001" t="s">
        <v>763</v>
      </c>
      <c r="F299" s="3001" t="s">
        <v>684</v>
      </c>
      <c r="G299" s="394" t="s">
        <v>195</v>
      </c>
      <c r="H299" s="393" t="s">
        <v>682</v>
      </c>
      <c r="I299" s="3001" t="s">
        <v>683</v>
      </c>
      <c r="J299" s="3001" t="s">
        <v>763</v>
      </c>
      <c r="K299" s="3001" t="s">
        <v>684</v>
      </c>
      <c r="L299" s="394" t="s">
        <v>195</v>
      </c>
      <c r="M299" s="393" t="s">
        <v>682</v>
      </c>
      <c r="N299" s="3001" t="s">
        <v>683</v>
      </c>
      <c r="O299" s="3003" t="s">
        <v>436</v>
      </c>
      <c r="P299" s="3004"/>
      <c r="Q299" s="3005"/>
      <c r="R299" s="3006" t="s">
        <v>436</v>
      </c>
      <c r="S299" s="3001" t="s">
        <v>763</v>
      </c>
      <c r="T299" s="3001" t="s">
        <v>684</v>
      </c>
      <c r="U299" s="394" t="s">
        <v>195</v>
      </c>
      <c r="V299" s="393" t="s">
        <v>682</v>
      </c>
      <c r="W299" s="3001" t="s">
        <v>683</v>
      </c>
      <c r="X299" s="3001" t="s">
        <v>763</v>
      </c>
      <c r="Y299" s="3001" t="s">
        <v>684</v>
      </c>
      <c r="Z299" s="394" t="s">
        <v>195</v>
      </c>
      <c r="AA299" s="393" t="s">
        <v>682</v>
      </c>
      <c r="AB299" s="3001" t="s">
        <v>683</v>
      </c>
      <c r="AC299" s="3001" t="s">
        <v>763</v>
      </c>
      <c r="AD299" s="3001" t="s">
        <v>684</v>
      </c>
      <c r="AE299" s="394" t="s">
        <v>195</v>
      </c>
      <c r="AF299" s="393" t="s">
        <v>682</v>
      </c>
      <c r="AG299" s="3001" t="s">
        <v>683</v>
      </c>
      <c r="AH299" s="3001" t="s">
        <v>763</v>
      </c>
      <c r="AI299" s="3001" t="s">
        <v>684</v>
      </c>
      <c r="AJ299" s="394" t="s">
        <v>195</v>
      </c>
      <c r="AK299" s="395"/>
      <c r="AL299" s="66"/>
      <c r="AM299" s="396" t="s">
        <v>683</v>
      </c>
    </row>
    <row r="300" spans="1:41" s="109" customFormat="1" ht="15" hidden="1" customHeight="1" thickBot="1" x14ac:dyDescent="0.3">
      <c r="A300" s="730"/>
      <c r="B300" s="731" t="s">
        <v>1518</v>
      </c>
      <c r="C300" s="397" t="s">
        <v>245</v>
      </c>
      <c r="D300" s="3002"/>
      <c r="E300" s="3002"/>
      <c r="F300" s="3002"/>
      <c r="G300" s="398" t="s">
        <v>245</v>
      </c>
      <c r="H300" s="397" t="s">
        <v>245</v>
      </c>
      <c r="I300" s="3002"/>
      <c r="J300" s="3002"/>
      <c r="K300" s="3002"/>
      <c r="L300" s="398" t="s">
        <v>245</v>
      </c>
      <c r="M300" s="397" t="s">
        <v>245</v>
      </c>
      <c r="N300" s="3002"/>
      <c r="O300" s="684" t="s">
        <v>1355</v>
      </c>
      <c r="P300" s="684" t="s">
        <v>1356</v>
      </c>
      <c r="Q300" s="684" t="s">
        <v>1357</v>
      </c>
      <c r="R300" s="3007"/>
      <c r="S300" s="3002"/>
      <c r="T300" s="3002"/>
      <c r="U300" s="398" t="s">
        <v>245</v>
      </c>
      <c r="V300" s="397" t="s">
        <v>245</v>
      </c>
      <c r="W300" s="3002"/>
      <c r="X300" s="3002"/>
      <c r="Y300" s="3002"/>
      <c r="Z300" s="398" t="s">
        <v>245</v>
      </c>
      <c r="AA300" s="397" t="s">
        <v>245</v>
      </c>
      <c r="AB300" s="3002"/>
      <c r="AC300" s="3002"/>
      <c r="AD300" s="3002"/>
      <c r="AE300" s="398" t="s">
        <v>245</v>
      </c>
      <c r="AF300" s="397" t="s">
        <v>245</v>
      </c>
      <c r="AG300" s="3002"/>
      <c r="AH300" s="3002"/>
      <c r="AI300" s="3002"/>
      <c r="AJ300" s="398" t="s">
        <v>245</v>
      </c>
      <c r="AK300" s="399" t="s">
        <v>286</v>
      </c>
      <c r="AL300" s="66"/>
      <c r="AM300" s="693">
        <f>Parameters!C32</f>
        <v>40360</v>
      </c>
    </row>
    <row r="301" spans="1:41" s="109" customFormat="1" ht="15" hidden="1" customHeight="1" x14ac:dyDescent="0.25">
      <c r="A301" s="732"/>
      <c r="B301" s="736"/>
      <c r="C301" s="403" t="s">
        <v>255</v>
      </c>
      <c r="D301" s="404" t="s">
        <v>255</v>
      </c>
      <c r="E301" s="404" t="s">
        <v>255</v>
      </c>
      <c r="F301" s="404" t="s">
        <v>255</v>
      </c>
      <c r="G301" s="402" t="s">
        <v>255</v>
      </c>
      <c r="H301" s="403" t="s">
        <v>255</v>
      </c>
      <c r="I301" s="404" t="s">
        <v>255</v>
      </c>
      <c r="J301" s="404" t="s">
        <v>255</v>
      </c>
      <c r="K301" s="404" t="s">
        <v>255</v>
      </c>
      <c r="L301" s="402" t="s">
        <v>255</v>
      </c>
      <c r="M301" s="400" t="s">
        <v>255</v>
      </c>
      <c r="N301" s="401" t="s">
        <v>255</v>
      </c>
      <c r="O301" s="403" t="s">
        <v>255</v>
      </c>
      <c r="P301" s="404" t="s">
        <v>255</v>
      </c>
      <c r="Q301" s="404" t="s">
        <v>255</v>
      </c>
      <c r="R301" s="685" t="s">
        <v>255</v>
      </c>
      <c r="S301" s="401" t="s">
        <v>255</v>
      </c>
      <c r="T301" s="401" t="s">
        <v>255</v>
      </c>
      <c r="U301" s="402" t="s">
        <v>255</v>
      </c>
      <c r="V301" s="403" t="s">
        <v>255</v>
      </c>
      <c r="W301" s="404" t="s">
        <v>255</v>
      </c>
      <c r="X301" s="404" t="s">
        <v>255</v>
      </c>
      <c r="Y301" s="404" t="s">
        <v>255</v>
      </c>
      <c r="Z301" s="402" t="s">
        <v>255</v>
      </c>
      <c r="AA301" s="403" t="s">
        <v>255</v>
      </c>
      <c r="AB301" s="404" t="s">
        <v>255</v>
      </c>
      <c r="AC301" s="404" t="s">
        <v>255</v>
      </c>
      <c r="AD301" s="404" t="s">
        <v>255</v>
      </c>
      <c r="AE301" s="402" t="s">
        <v>255</v>
      </c>
      <c r="AF301" s="400" t="s">
        <v>255</v>
      </c>
      <c r="AG301" s="401" t="s">
        <v>255</v>
      </c>
      <c r="AH301" s="401" t="s">
        <v>255</v>
      </c>
      <c r="AI301" s="401" t="s">
        <v>255</v>
      </c>
      <c r="AJ301" s="402" t="s">
        <v>255</v>
      </c>
      <c r="AK301" s="405" t="s">
        <v>255</v>
      </c>
      <c r="AL301" s="66"/>
      <c r="AM301" s="406" t="s">
        <v>255</v>
      </c>
    </row>
    <row r="302" spans="1:41" s="66" customFormat="1" ht="15" hidden="1" customHeight="1" x14ac:dyDescent="0.25">
      <c r="A302" s="467" t="s">
        <v>78</v>
      </c>
      <c r="B302" s="783"/>
      <c r="C302" s="418"/>
      <c r="D302" s="419"/>
      <c r="E302" s="419"/>
      <c r="F302" s="419"/>
      <c r="G302" s="417"/>
      <c r="H302" s="418"/>
      <c r="I302" s="419"/>
      <c r="J302" s="419"/>
      <c r="K302" s="419"/>
      <c r="L302" s="417"/>
      <c r="M302" s="416"/>
      <c r="N302" s="111"/>
      <c r="O302" s="418"/>
      <c r="P302" s="419"/>
      <c r="Q302" s="419"/>
      <c r="R302" s="186"/>
      <c r="S302" s="111"/>
      <c r="T302" s="111"/>
      <c r="U302" s="417"/>
      <c r="V302" s="418"/>
      <c r="W302" s="419"/>
      <c r="X302" s="419"/>
      <c r="Y302" s="419"/>
      <c r="Z302" s="417"/>
      <c r="AA302" s="418"/>
      <c r="AB302" s="419"/>
      <c r="AC302" s="419"/>
      <c r="AD302" s="419"/>
      <c r="AE302" s="417"/>
      <c r="AF302" s="416"/>
      <c r="AG302" s="111"/>
      <c r="AH302" s="111"/>
      <c r="AI302" s="111"/>
      <c r="AJ302" s="417"/>
      <c r="AK302" s="420"/>
      <c r="AL302" s="423"/>
      <c r="AM302" s="424"/>
      <c r="AO302" s="1060"/>
    </row>
    <row r="303" spans="1:41" s="66" customFormat="1" ht="15" hidden="1" customHeight="1" x14ac:dyDescent="0.2">
      <c r="A303" s="733" t="s">
        <v>2097</v>
      </c>
      <c r="B303" s="784">
        <v>51002</v>
      </c>
      <c r="C303" s="418">
        <v>0</v>
      </c>
      <c r="D303" s="419">
        <v>0</v>
      </c>
      <c r="E303" s="419">
        <v>0</v>
      </c>
      <c r="F303" s="419">
        <v>0</v>
      </c>
      <c r="G303" s="417">
        <f t="shared" ref="G303:G309" si="228">SUM(C303:F303)</f>
        <v>0</v>
      </c>
      <c r="H303" s="418">
        <v>0</v>
      </c>
      <c r="I303" s="419">
        <v>0</v>
      </c>
      <c r="J303" s="419">
        <v>0</v>
      </c>
      <c r="K303" s="419">
        <v>0</v>
      </c>
      <c r="L303" s="417">
        <f t="shared" ref="L303:L309" si="229">SUM(H303:K303)</f>
        <v>0</v>
      </c>
      <c r="M303" s="416">
        <f t="shared" ref="M303:N309" si="230">SUM(C303,H303)</f>
        <v>0</v>
      </c>
      <c r="N303" s="111">
        <f t="shared" si="230"/>
        <v>0</v>
      </c>
      <c r="O303" s="418">
        <v>0</v>
      </c>
      <c r="P303" s="419">
        <v>0</v>
      </c>
      <c r="Q303" s="419">
        <v>0</v>
      </c>
      <c r="R303" s="186">
        <f t="shared" ref="R303:R309" si="231">SUM(O303:Q303)</f>
        <v>0</v>
      </c>
      <c r="S303" s="111">
        <f t="shared" ref="S303:T309" si="232">SUM(E303,J303)</f>
        <v>0</v>
      </c>
      <c r="T303" s="111">
        <f t="shared" si="232"/>
        <v>0</v>
      </c>
      <c r="U303" s="417">
        <f t="shared" ref="U303:U309" si="233">SUM(M303:N303,R303:T303)</f>
        <v>0</v>
      </c>
      <c r="V303" s="418">
        <v>0</v>
      </c>
      <c r="W303" s="419">
        <v>0</v>
      </c>
      <c r="X303" s="419">
        <v>0</v>
      </c>
      <c r="Y303" s="419">
        <v>0</v>
      </c>
      <c r="Z303" s="417">
        <f t="shared" ref="Z303:Z309" si="234">SUM(V303:Y303)</f>
        <v>0</v>
      </c>
      <c r="AA303" s="418">
        <v>0</v>
      </c>
      <c r="AB303" s="419">
        <v>0</v>
      </c>
      <c r="AC303" s="419">
        <v>0</v>
      </c>
      <c r="AD303" s="419">
        <v>0</v>
      </c>
      <c r="AE303" s="417">
        <f t="shared" ref="AE303:AE309" si="235">SUM(AA303:AD303)</f>
        <v>0</v>
      </c>
      <c r="AF303" s="416">
        <f t="shared" ref="AF303:AI309" si="236">SUM(V303,AA303)</f>
        <v>0</v>
      </c>
      <c r="AG303" s="111">
        <f t="shared" si="236"/>
        <v>0</v>
      </c>
      <c r="AH303" s="111">
        <f t="shared" si="236"/>
        <v>0</v>
      </c>
      <c r="AI303" s="111">
        <f t="shared" si="236"/>
        <v>0</v>
      </c>
      <c r="AJ303" s="417">
        <f t="shared" ref="AJ303:AJ309" si="237">SUM(AF303:AI303)</f>
        <v>0</v>
      </c>
      <c r="AK303" s="420">
        <f t="shared" ref="AK303:AK309" si="238">+U303-AJ303</f>
        <v>0</v>
      </c>
      <c r="AL303" s="423"/>
      <c r="AM303" s="422">
        <v>0</v>
      </c>
      <c r="AO303" s="1060"/>
    </row>
    <row r="304" spans="1:41" s="66" customFormat="1" ht="15" hidden="1" customHeight="1" x14ac:dyDescent="0.2">
      <c r="A304" s="733" t="s">
        <v>88</v>
      </c>
      <c r="B304" s="784">
        <v>51001</v>
      </c>
      <c r="C304" s="418">
        <v>0</v>
      </c>
      <c r="D304" s="419">
        <v>0</v>
      </c>
      <c r="E304" s="419">
        <v>0</v>
      </c>
      <c r="F304" s="419">
        <v>0</v>
      </c>
      <c r="G304" s="417">
        <f t="shared" si="228"/>
        <v>0</v>
      </c>
      <c r="H304" s="418">
        <v>0</v>
      </c>
      <c r="I304" s="419">
        <v>0</v>
      </c>
      <c r="J304" s="419">
        <v>0</v>
      </c>
      <c r="K304" s="419">
        <v>0</v>
      </c>
      <c r="L304" s="417">
        <f t="shared" si="229"/>
        <v>0</v>
      </c>
      <c r="M304" s="416">
        <f t="shared" si="230"/>
        <v>0</v>
      </c>
      <c r="N304" s="111">
        <f t="shared" si="230"/>
        <v>0</v>
      </c>
      <c r="O304" s="418">
        <v>0</v>
      </c>
      <c r="P304" s="419">
        <v>0</v>
      </c>
      <c r="Q304" s="419">
        <v>0</v>
      </c>
      <c r="R304" s="186">
        <f t="shared" si="231"/>
        <v>0</v>
      </c>
      <c r="S304" s="111">
        <f t="shared" si="232"/>
        <v>0</v>
      </c>
      <c r="T304" s="111">
        <f t="shared" si="232"/>
        <v>0</v>
      </c>
      <c r="U304" s="417">
        <f t="shared" si="233"/>
        <v>0</v>
      </c>
      <c r="V304" s="418">
        <v>0</v>
      </c>
      <c r="W304" s="419">
        <v>0</v>
      </c>
      <c r="X304" s="419">
        <v>0</v>
      </c>
      <c r="Y304" s="419">
        <v>0</v>
      </c>
      <c r="Z304" s="417">
        <f t="shared" si="234"/>
        <v>0</v>
      </c>
      <c r="AA304" s="418">
        <v>0</v>
      </c>
      <c r="AB304" s="419">
        <v>0</v>
      </c>
      <c r="AC304" s="419">
        <v>0</v>
      </c>
      <c r="AD304" s="419">
        <v>0</v>
      </c>
      <c r="AE304" s="417">
        <f t="shared" si="235"/>
        <v>0</v>
      </c>
      <c r="AF304" s="416">
        <f t="shared" si="236"/>
        <v>0</v>
      </c>
      <c r="AG304" s="111">
        <f t="shared" si="236"/>
        <v>0</v>
      </c>
      <c r="AH304" s="111">
        <f t="shared" si="236"/>
        <v>0</v>
      </c>
      <c r="AI304" s="111">
        <f t="shared" si="236"/>
        <v>0</v>
      </c>
      <c r="AJ304" s="417">
        <f t="shared" si="237"/>
        <v>0</v>
      </c>
      <c r="AK304" s="420">
        <f t="shared" si="238"/>
        <v>0</v>
      </c>
      <c r="AL304" s="423"/>
      <c r="AM304" s="422">
        <v>0</v>
      </c>
      <c r="AO304" s="1060"/>
    </row>
    <row r="305" spans="1:42" s="66" customFormat="1" ht="15" hidden="1" customHeight="1" x14ac:dyDescent="0.2">
      <c r="A305" s="733" t="s">
        <v>2098</v>
      </c>
      <c r="B305" s="784">
        <v>51003</v>
      </c>
      <c r="C305" s="418">
        <v>0</v>
      </c>
      <c r="D305" s="419">
        <v>0</v>
      </c>
      <c r="E305" s="419">
        <v>0</v>
      </c>
      <c r="F305" s="419">
        <v>0</v>
      </c>
      <c r="G305" s="417">
        <f t="shared" si="228"/>
        <v>0</v>
      </c>
      <c r="H305" s="418">
        <v>0</v>
      </c>
      <c r="I305" s="419">
        <v>0</v>
      </c>
      <c r="J305" s="419">
        <v>0</v>
      </c>
      <c r="K305" s="419">
        <v>0</v>
      </c>
      <c r="L305" s="417">
        <f t="shared" si="229"/>
        <v>0</v>
      </c>
      <c r="M305" s="416">
        <f t="shared" si="230"/>
        <v>0</v>
      </c>
      <c r="N305" s="111">
        <f t="shared" si="230"/>
        <v>0</v>
      </c>
      <c r="O305" s="418">
        <v>0</v>
      </c>
      <c r="P305" s="419">
        <v>0</v>
      </c>
      <c r="Q305" s="419">
        <v>0</v>
      </c>
      <c r="R305" s="186">
        <f t="shared" si="231"/>
        <v>0</v>
      </c>
      <c r="S305" s="111">
        <f t="shared" si="232"/>
        <v>0</v>
      </c>
      <c r="T305" s="111">
        <f t="shared" si="232"/>
        <v>0</v>
      </c>
      <c r="U305" s="417">
        <f t="shared" si="233"/>
        <v>0</v>
      </c>
      <c r="V305" s="418">
        <v>0</v>
      </c>
      <c r="W305" s="419">
        <v>0</v>
      </c>
      <c r="X305" s="419">
        <v>0</v>
      </c>
      <c r="Y305" s="419">
        <v>0</v>
      </c>
      <c r="Z305" s="417">
        <f t="shared" si="234"/>
        <v>0</v>
      </c>
      <c r="AA305" s="418">
        <v>0</v>
      </c>
      <c r="AB305" s="419">
        <v>0</v>
      </c>
      <c r="AC305" s="419">
        <v>0</v>
      </c>
      <c r="AD305" s="419">
        <v>0</v>
      </c>
      <c r="AE305" s="417">
        <f t="shared" si="235"/>
        <v>0</v>
      </c>
      <c r="AF305" s="416">
        <f t="shared" si="236"/>
        <v>0</v>
      </c>
      <c r="AG305" s="111">
        <f t="shared" si="236"/>
        <v>0</v>
      </c>
      <c r="AH305" s="111">
        <f t="shared" si="236"/>
        <v>0</v>
      </c>
      <c r="AI305" s="111">
        <f t="shared" si="236"/>
        <v>0</v>
      </c>
      <c r="AJ305" s="417">
        <f t="shared" si="237"/>
        <v>0</v>
      </c>
      <c r="AK305" s="420">
        <f t="shared" si="238"/>
        <v>0</v>
      </c>
      <c r="AL305" s="423"/>
      <c r="AM305" s="422">
        <v>0</v>
      </c>
      <c r="AO305" s="1060"/>
    </row>
    <row r="306" spans="1:42" s="66" customFormat="1" ht="15" hidden="1" customHeight="1" x14ac:dyDescent="0.2">
      <c r="A306" s="733" t="s">
        <v>2099</v>
      </c>
      <c r="B306" s="784">
        <v>51007</v>
      </c>
      <c r="C306" s="418">
        <v>0</v>
      </c>
      <c r="D306" s="419">
        <v>0</v>
      </c>
      <c r="E306" s="419">
        <v>0</v>
      </c>
      <c r="F306" s="419">
        <v>0</v>
      </c>
      <c r="G306" s="417">
        <f t="shared" si="228"/>
        <v>0</v>
      </c>
      <c r="H306" s="418">
        <v>0</v>
      </c>
      <c r="I306" s="419">
        <v>0</v>
      </c>
      <c r="J306" s="419">
        <v>0</v>
      </c>
      <c r="K306" s="419">
        <v>0</v>
      </c>
      <c r="L306" s="417">
        <f t="shared" si="229"/>
        <v>0</v>
      </c>
      <c r="M306" s="416">
        <f t="shared" si="230"/>
        <v>0</v>
      </c>
      <c r="N306" s="111">
        <f t="shared" si="230"/>
        <v>0</v>
      </c>
      <c r="O306" s="418">
        <v>0</v>
      </c>
      <c r="P306" s="419">
        <v>0</v>
      </c>
      <c r="Q306" s="419">
        <v>0</v>
      </c>
      <c r="R306" s="186">
        <f t="shared" si="231"/>
        <v>0</v>
      </c>
      <c r="S306" s="111">
        <f t="shared" si="232"/>
        <v>0</v>
      </c>
      <c r="T306" s="111">
        <f t="shared" si="232"/>
        <v>0</v>
      </c>
      <c r="U306" s="417">
        <f t="shared" si="233"/>
        <v>0</v>
      </c>
      <c r="V306" s="418">
        <v>0</v>
      </c>
      <c r="W306" s="419">
        <v>0</v>
      </c>
      <c r="X306" s="419">
        <v>0</v>
      </c>
      <c r="Y306" s="419">
        <v>0</v>
      </c>
      <c r="Z306" s="417">
        <f t="shared" si="234"/>
        <v>0</v>
      </c>
      <c r="AA306" s="418">
        <v>0</v>
      </c>
      <c r="AB306" s="419">
        <v>0</v>
      </c>
      <c r="AC306" s="419">
        <v>0</v>
      </c>
      <c r="AD306" s="419">
        <v>0</v>
      </c>
      <c r="AE306" s="417">
        <f t="shared" si="235"/>
        <v>0</v>
      </c>
      <c r="AF306" s="416">
        <f t="shared" si="236"/>
        <v>0</v>
      </c>
      <c r="AG306" s="111">
        <f t="shared" si="236"/>
        <v>0</v>
      </c>
      <c r="AH306" s="111">
        <f t="shared" si="236"/>
        <v>0</v>
      </c>
      <c r="AI306" s="111">
        <f t="shared" si="236"/>
        <v>0</v>
      </c>
      <c r="AJ306" s="417">
        <f t="shared" si="237"/>
        <v>0</v>
      </c>
      <c r="AK306" s="420">
        <f t="shared" si="238"/>
        <v>0</v>
      </c>
      <c r="AL306" s="423"/>
      <c r="AM306" s="422">
        <v>0</v>
      </c>
      <c r="AO306" s="1060"/>
    </row>
    <row r="307" spans="1:42" s="66" customFormat="1" ht="15" hidden="1" customHeight="1" x14ac:dyDescent="0.2">
      <c r="A307" s="733" t="s">
        <v>87</v>
      </c>
      <c r="B307" s="784"/>
      <c r="C307" s="418">
        <v>0</v>
      </c>
      <c r="D307" s="419">
        <v>0</v>
      </c>
      <c r="E307" s="419">
        <v>0</v>
      </c>
      <c r="F307" s="419">
        <v>0</v>
      </c>
      <c r="G307" s="417">
        <f t="shared" si="228"/>
        <v>0</v>
      </c>
      <c r="H307" s="418">
        <v>0</v>
      </c>
      <c r="I307" s="419">
        <v>0</v>
      </c>
      <c r="J307" s="419">
        <v>0</v>
      </c>
      <c r="K307" s="419">
        <v>0</v>
      </c>
      <c r="L307" s="417">
        <f t="shared" si="229"/>
        <v>0</v>
      </c>
      <c r="M307" s="416">
        <f t="shared" si="230"/>
        <v>0</v>
      </c>
      <c r="N307" s="111">
        <f t="shared" si="230"/>
        <v>0</v>
      </c>
      <c r="O307" s="418">
        <v>0</v>
      </c>
      <c r="P307" s="419">
        <v>0</v>
      </c>
      <c r="Q307" s="419">
        <v>0</v>
      </c>
      <c r="R307" s="186">
        <f t="shared" si="231"/>
        <v>0</v>
      </c>
      <c r="S307" s="111">
        <f t="shared" si="232"/>
        <v>0</v>
      </c>
      <c r="T307" s="111">
        <f t="shared" si="232"/>
        <v>0</v>
      </c>
      <c r="U307" s="417">
        <f t="shared" si="233"/>
        <v>0</v>
      </c>
      <c r="V307" s="418">
        <v>0</v>
      </c>
      <c r="W307" s="419">
        <v>0</v>
      </c>
      <c r="X307" s="419">
        <v>0</v>
      </c>
      <c r="Y307" s="419">
        <v>0</v>
      </c>
      <c r="Z307" s="417">
        <f t="shared" si="234"/>
        <v>0</v>
      </c>
      <c r="AA307" s="418">
        <v>0</v>
      </c>
      <c r="AB307" s="419">
        <v>0</v>
      </c>
      <c r="AC307" s="419">
        <v>0</v>
      </c>
      <c r="AD307" s="419">
        <v>0</v>
      </c>
      <c r="AE307" s="417">
        <f t="shared" si="235"/>
        <v>0</v>
      </c>
      <c r="AF307" s="416">
        <f t="shared" si="236"/>
        <v>0</v>
      </c>
      <c r="AG307" s="111">
        <f t="shared" si="236"/>
        <v>0</v>
      </c>
      <c r="AH307" s="111">
        <f t="shared" si="236"/>
        <v>0</v>
      </c>
      <c r="AI307" s="111">
        <f t="shared" si="236"/>
        <v>0</v>
      </c>
      <c r="AJ307" s="417">
        <f t="shared" si="237"/>
        <v>0</v>
      </c>
      <c r="AK307" s="420">
        <f t="shared" si="238"/>
        <v>0</v>
      </c>
      <c r="AL307" s="423"/>
      <c r="AM307" s="424">
        <v>0</v>
      </c>
      <c r="AO307" s="1060"/>
    </row>
    <row r="308" spans="1:42" s="66" customFormat="1" ht="15" hidden="1" customHeight="1" x14ac:dyDescent="0.2">
      <c r="A308" s="733" t="s">
        <v>623</v>
      </c>
      <c r="B308" s="784"/>
      <c r="C308" s="418">
        <v>0</v>
      </c>
      <c r="D308" s="419">
        <v>0</v>
      </c>
      <c r="E308" s="419">
        <v>0</v>
      </c>
      <c r="F308" s="419">
        <v>0</v>
      </c>
      <c r="G308" s="417">
        <f t="shared" si="228"/>
        <v>0</v>
      </c>
      <c r="H308" s="418">
        <v>0</v>
      </c>
      <c r="I308" s="419">
        <v>0</v>
      </c>
      <c r="J308" s="419">
        <v>0</v>
      </c>
      <c r="K308" s="419">
        <v>0</v>
      </c>
      <c r="L308" s="417">
        <f t="shared" si="229"/>
        <v>0</v>
      </c>
      <c r="M308" s="416">
        <f t="shared" si="230"/>
        <v>0</v>
      </c>
      <c r="N308" s="111">
        <f t="shared" si="230"/>
        <v>0</v>
      </c>
      <c r="O308" s="418">
        <v>0</v>
      </c>
      <c r="P308" s="419">
        <v>0</v>
      </c>
      <c r="Q308" s="419">
        <v>0</v>
      </c>
      <c r="R308" s="186">
        <f t="shared" si="231"/>
        <v>0</v>
      </c>
      <c r="S308" s="111">
        <f t="shared" si="232"/>
        <v>0</v>
      </c>
      <c r="T308" s="111">
        <f t="shared" si="232"/>
        <v>0</v>
      </c>
      <c r="U308" s="417">
        <f t="shared" si="233"/>
        <v>0</v>
      </c>
      <c r="V308" s="418">
        <v>0</v>
      </c>
      <c r="W308" s="419">
        <v>0</v>
      </c>
      <c r="X308" s="419">
        <v>0</v>
      </c>
      <c r="Y308" s="419">
        <v>0</v>
      </c>
      <c r="Z308" s="417">
        <f t="shared" si="234"/>
        <v>0</v>
      </c>
      <c r="AA308" s="418">
        <v>0</v>
      </c>
      <c r="AB308" s="419">
        <v>0</v>
      </c>
      <c r="AC308" s="419">
        <v>0</v>
      </c>
      <c r="AD308" s="419">
        <v>0</v>
      </c>
      <c r="AE308" s="417">
        <f t="shared" si="235"/>
        <v>0</v>
      </c>
      <c r="AF308" s="416">
        <f t="shared" si="236"/>
        <v>0</v>
      </c>
      <c r="AG308" s="111">
        <f t="shared" si="236"/>
        <v>0</v>
      </c>
      <c r="AH308" s="111">
        <f t="shared" si="236"/>
        <v>0</v>
      </c>
      <c r="AI308" s="111">
        <f t="shared" si="236"/>
        <v>0</v>
      </c>
      <c r="AJ308" s="417">
        <f t="shared" si="237"/>
        <v>0</v>
      </c>
      <c r="AK308" s="420">
        <f t="shared" si="238"/>
        <v>0</v>
      </c>
      <c r="AL308" s="423"/>
      <c r="AM308" s="424">
        <v>0</v>
      </c>
      <c r="AO308" s="1060"/>
    </row>
    <row r="309" spans="1:42" s="66" customFormat="1" ht="15" hidden="1" customHeight="1" x14ac:dyDescent="0.2">
      <c r="A309" s="733" t="s">
        <v>730</v>
      </c>
      <c r="B309" s="784"/>
      <c r="C309" s="418">
        <v>0</v>
      </c>
      <c r="D309" s="419">
        <v>0</v>
      </c>
      <c r="E309" s="419">
        <v>0</v>
      </c>
      <c r="F309" s="419">
        <v>0</v>
      </c>
      <c r="G309" s="417">
        <f t="shared" si="228"/>
        <v>0</v>
      </c>
      <c r="H309" s="418">
        <v>0</v>
      </c>
      <c r="I309" s="419">
        <v>0</v>
      </c>
      <c r="J309" s="419">
        <v>0</v>
      </c>
      <c r="K309" s="419">
        <v>0</v>
      </c>
      <c r="L309" s="417">
        <f t="shared" si="229"/>
        <v>0</v>
      </c>
      <c r="M309" s="416">
        <f t="shared" si="230"/>
        <v>0</v>
      </c>
      <c r="N309" s="111">
        <f t="shared" si="230"/>
        <v>0</v>
      </c>
      <c r="O309" s="418">
        <v>0</v>
      </c>
      <c r="P309" s="419">
        <v>0</v>
      </c>
      <c r="Q309" s="419">
        <v>0</v>
      </c>
      <c r="R309" s="186">
        <f t="shared" si="231"/>
        <v>0</v>
      </c>
      <c r="S309" s="111">
        <f t="shared" si="232"/>
        <v>0</v>
      </c>
      <c r="T309" s="111">
        <f t="shared" si="232"/>
        <v>0</v>
      </c>
      <c r="U309" s="417">
        <f t="shared" si="233"/>
        <v>0</v>
      </c>
      <c r="V309" s="418">
        <v>0</v>
      </c>
      <c r="W309" s="419">
        <v>0</v>
      </c>
      <c r="X309" s="419">
        <v>0</v>
      </c>
      <c r="Y309" s="419">
        <v>0</v>
      </c>
      <c r="Z309" s="417">
        <f t="shared" si="234"/>
        <v>0</v>
      </c>
      <c r="AA309" s="418">
        <v>0</v>
      </c>
      <c r="AB309" s="419">
        <v>0</v>
      </c>
      <c r="AC309" s="419">
        <v>0</v>
      </c>
      <c r="AD309" s="419">
        <v>0</v>
      </c>
      <c r="AE309" s="417">
        <f t="shared" si="235"/>
        <v>0</v>
      </c>
      <c r="AF309" s="416">
        <f t="shared" si="236"/>
        <v>0</v>
      </c>
      <c r="AG309" s="111">
        <f t="shared" si="236"/>
        <v>0</v>
      </c>
      <c r="AH309" s="111">
        <f t="shared" si="236"/>
        <v>0</v>
      </c>
      <c r="AI309" s="111">
        <f t="shared" si="236"/>
        <v>0</v>
      </c>
      <c r="AJ309" s="417">
        <f t="shared" si="237"/>
        <v>0</v>
      </c>
      <c r="AK309" s="420">
        <f t="shared" si="238"/>
        <v>0</v>
      </c>
      <c r="AL309" s="423"/>
      <c r="AM309" s="424">
        <v>0</v>
      </c>
      <c r="AO309" s="1060"/>
    </row>
    <row r="310" spans="1:42" s="66" customFormat="1" ht="15" hidden="1" customHeight="1" x14ac:dyDescent="0.2">
      <c r="A310" s="733"/>
      <c r="B310" s="784"/>
      <c r="C310" s="418"/>
      <c r="D310" s="419"/>
      <c r="E310" s="419"/>
      <c r="F310" s="419"/>
      <c r="G310" s="417"/>
      <c r="H310" s="418"/>
      <c r="I310" s="419"/>
      <c r="J310" s="419"/>
      <c r="K310" s="419"/>
      <c r="L310" s="417"/>
      <c r="M310" s="416"/>
      <c r="N310" s="111"/>
      <c r="O310" s="418"/>
      <c r="P310" s="419"/>
      <c r="Q310" s="419"/>
      <c r="R310" s="186"/>
      <c r="S310" s="111"/>
      <c r="T310" s="111"/>
      <c r="U310" s="417"/>
      <c r="V310" s="418"/>
      <c r="W310" s="419"/>
      <c r="X310" s="419"/>
      <c r="Y310" s="419"/>
      <c r="Z310" s="417"/>
      <c r="AA310" s="418"/>
      <c r="AB310" s="418"/>
      <c r="AC310" s="418"/>
      <c r="AD310" s="418"/>
      <c r="AE310" s="417"/>
      <c r="AF310" s="416"/>
      <c r="AG310" s="111"/>
      <c r="AH310" s="111"/>
      <c r="AI310" s="111"/>
      <c r="AJ310" s="417"/>
      <c r="AK310" s="420"/>
      <c r="AM310" s="424"/>
    </row>
    <row r="311" spans="1:42" s="66" customFormat="1" ht="15" hidden="1" customHeight="1" thickBot="1" x14ac:dyDescent="0.3">
      <c r="A311" s="733"/>
      <c r="B311" s="784"/>
      <c r="C311" s="444">
        <f t="shared" ref="C311:AK311" si="239">SUM(C302:C310)</f>
        <v>0</v>
      </c>
      <c r="D311" s="445">
        <f t="shared" si="239"/>
        <v>0</v>
      </c>
      <c r="E311" s="445">
        <f t="shared" si="239"/>
        <v>0</v>
      </c>
      <c r="F311" s="445">
        <f t="shared" si="239"/>
        <v>0</v>
      </c>
      <c r="G311" s="443">
        <f t="shared" si="239"/>
        <v>0</v>
      </c>
      <c r="H311" s="444">
        <f t="shared" si="239"/>
        <v>0</v>
      </c>
      <c r="I311" s="445">
        <f t="shared" si="239"/>
        <v>0</v>
      </c>
      <c r="J311" s="445">
        <f t="shared" si="239"/>
        <v>0</v>
      </c>
      <c r="K311" s="445">
        <f t="shared" si="239"/>
        <v>0</v>
      </c>
      <c r="L311" s="443">
        <f t="shared" si="239"/>
        <v>0</v>
      </c>
      <c r="M311" s="446">
        <f t="shared" si="239"/>
        <v>0</v>
      </c>
      <c r="N311" s="191">
        <f t="shared" si="239"/>
        <v>0</v>
      </c>
      <c r="O311" s="444">
        <f t="shared" si="239"/>
        <v>0</v>
      </c>
      <c r="P311" s="445">
        <f t="shared" si="239"/>
        <v>0</v>
      </c>
      <c r="Q311" s="445">
        <f t="shared" si="239"/>
        <v>0</v>
      </c>
      <c r="R311" s="690">
        <f t="shared" si="239"/>
        <v>0</v>
      </c>
      <c r="S311" s="191">
        <f t="shared" si="239"/>
        <v>0</v>
      </c>
      <c r="T311" s="191">
        <f t="shared" si="239"/>
        <v>0</v>
      </c>
      <c r="U311" s="443">
        <f t="shared" si="239"/>
        <v>0</v>
      </c>
      <c r="V311" s="444">
        <f t="shared" si="239"/>
        <v>0</v>
      </c>
      <c r="W311" s="445">
        <f t="shared" si="239"/>
        <v>0</v>
      </c>
      <c r="X311" s="445">
        <f t="shared" si="239"/>
        <v>0</v>
      </c>
      <c r="Y311" s="445">
        <f t="shared" si="239"/>
        <v>0</v>
      </c>
      <c r="Z311" s="443">
        <f t="shared" si="239"/>
        <v>0</v>
      </c>
      <c r="AA311" s="444">
        <f t="shared" si="239"/>
        <v>0</v>
      </c>
      <c r="AB311" s="444">
        <f t="shared" si="239"/>
        <v>0</v>
      </c>
      <c r="AC311" s="444">
        <f t="shared" si="239"/>
        <v>0</v>
      </c>
      <c r="AD311" s="444">
        <f t="shared" si="239"/>
        <v>0</v>
      </c>
      <c r="AE311" s="443">
        <f t="shared" si="239"/>
        <v>0</v>
      </c>
      <c r="AF311" s="446">
        <f t="shared" si="239"/>
        <v>0</v>
      </c>
      <c r="AG311" s="191">
        <f t="shared" si="239"/>
        <v>0</v>
      </c>
      <c r="AH311" s="191">
        <f t="shared" si="239"/>
        <v>0</v>
      </c>
      <c r="AI311" s="191">
        <f t="shared" si="239"/>
        <v>0</v>
      </c>
      <c r="AJ311" s="443">
        <f t="shared" si="239"/>
        <v>0</v>
      </c>
      <c r="AK311" s="447">
        <f t="shared" si="239"/>
        <v>0</v>
      </c>
      <c r="AM311" s="448">
        <f>SUM(AM302:AM310)</f>
        <v>0</v>
      </c>
    </row>
    <row r="312" spans="1:42" s="66" customFormat="1" ht="15" hidden="1" customHeight="1" thickTop="1" thickBot="1" x14ac:dyDescent="0.25">
      <c r="A312" s="735"/>
      <c r="B312" s="786"/>
      <c r="C312" s="453">
        <v>0</v>
      </c>
      <c r="D312" s="454">
        <v>0</v>
      </c>
      <c r="E312" s="454">
        <v>0</v>
      </c>
      <c r="F312" s="454">
        <v>0</v>
      </c>
      <c r="G312" s="452">
        <v>0</v>
      </c>
      <c r="H312" s="453">
        <v>0</v>
      </c>
      <c r="I312" s="454">
        <v>0</v>
      </c>
      <c r="J312" s="454">
        <v>0</v>
      </c>
      <c r="K312" s="454">
        <v>0</v>
      </c>
      <c r="L312" s="452">
        <v>0</v>
      </c>
      <c r="M312" s="450">
        <v>0</v>
      </c>
      <c r="N312" s="451"/>
      <c r="O312" s="453"/>
      <c r="P312" s="454"/>
      <c r="Q312" s="454"/>
      <c r="R312" s="691"/>
      <c r="S312" s="451"/>
      <c r="T312" s="451"/>
      <c r="U312" s="452">
        <v>0</v>
      </c>
      <c r="V312" s="694">
        <v>0</v>
      </c>
      <c r="W312" s="695">
        <v>0</v>
      </c>
      <c r="X312" s="695">
        <v>0</v>
      </c>
      <c r="Y312" s="695">
        <v>0</v>
      </c>
      <c r="Z312" s="696">
        <v>0</v>
      </c>
      <c r="AA312" s="694">
        <v>0</v>
      </c>
      <c r="AB312" s="695">
        <v>0</v>
      </c>
      <c r="AC312" s="695">
        <v>0</v>
      </c>
      <c r="AD312" s="695">
        <v>0</v>
      </c>
      <c r="AE312" s="696">
        <v>0</v>
      </c>
      <c r="AF312" s="450">
        <v>-4.6566128730773926E-10</v>
      </c>
      <c r="AG312" s="451"/>
      <c r="AH312" s="451"/>
      <c r="AI312" s="451"/>
      <c r="AJ312" s="452">
        <v>-4.6566128730773926E-10</v>
      </c>
      <c r="AK312" s="455">
        <v>0</v>
      </c>
      <c r="AM312" s="457"/>
    </row>
    <row r="313" spans="1:42" s="66" customFormat="1" ht="15" hidden="1" customHeight="1" x14ac:dyDescent="0.2">
      <c r="A313" s="460"/>
      <c r="B313" s="787"/>
      <c r="C313" s="464"/>
      <c r="D313" s="465"/>
      <c r="E313" s="465"/>
      <c r="F313" s="465"/>
      <c r="G313" s="463"/>
      <c r="H313" s="464"/>
      <c r="I313" s="465"/>
      <c r="J313" s="465"/>
      <c r="K313" s="465"/>
      <c r="L313" s="463"/>
      <c r="M313" s="461"/>
      <c r="N313" s="462"/>
      <c r="O313" s="464"/>
      <c r="P313" s="465"/>
      <c r="Q313" s="465"/>
      <c r="R313" s="692"/>
      <c r="S313" s="462"/>
      <c r="T313" s="462"/>
      <c r="U313" s="463"/>
      <c r="V313" s="464"/>
      <c r="W313" s="465"/>
      <c r="X313" s="465"/>
      <c r="Y313" s="465"/>
      <c r="Z313" s="463"/>
      <c r="AA313" s="464"/>
      <c r="AB313" s="465"/>
      <c r="AC313" s="465"/>
      <c r="AD313" s="465"/>
      <c r="AE313" s="463"/>
      <c r="AF313" s="461"/>
      <c r="AG313" s="462"/>
      <c r="AH313" s="462"/>
      <c r="AI313" s="462"/>
      <c r="AJ313" s="463"/>
      <c r="AK313" s="466"/>
      <c r="AM313" s="624"/>
    </row>
    <row r="314" spans="1:42" s="66" customFormat="1" ht="15" hidden="1" customHeight="1" thickBot="1" x14ac:dyDescent="0.3">
      <c r="A314" s="467" t="s">
        <v>1709</v>
      </c>
      <c r="B314" s="783"/>
      <c r="C314" s="444">
        <f t="shared" ref="C314:AK314" si="240">+C264+C278+C293</f>
        <v>0</v>
      </c>
      <c r="D314" s="445">
        <f t="shared" si="240"/>
        <v>0</v>
      </c>
      <c r="E314" s="445">
        <f>+E264+E278+E293</f>
        <v>0</v>
      </c>
      <c r="F314" s="445">
        <f t="shared" si="240"/>
        <v>0</v>
      </c>
      <c r="G314" s="443">
        <f t="shared" si="240"/>
        <v>0</v>
      </c>
      <c r="H314" s="444">
        <f t="shared" si="240"/>
        <v>0</v>
      </c>
      <c r="I314" s="445">
        <f t="shared" si="240"/>
        <v>0</v>
      </c>
      <c r="J314" s="445">
        <f t="shared" si="240"/>
        <v>0</v>
      </c>
      <c r="K314" s="445">
        <f t="shared" si="240"/>
        <v>0</v>
      </c>
      <c r="L314" s="443">
        <f t="shared" si="240"/>
        <v>0</v>
      </c>
      <c r="M314" s="446">
        <f t="shared" si="240"/>
        <v>614510654.75</v>
      </c>
      <c r="N314" s="191">
        <f t="shared" si="240"/>
        <v>21328580.309999999</v>
      </c>
      <c r="O314" s="444">
        <f t="shared" si="240"/>
        <v>0</v>
      </c>
      <c r="P314" s="445">
        <f t="shared" si="240"/>
        <v>0</v>
      </c>
      <c r="Q314" s="445">
        <f t="shared" si="240"/>
        <v>0</v>
      </c>
      <c r="R314" s="690">
        <f t="shared" si="240"/>
        <v>28842424.219999999</v>
      </c>
      <c r="S314" s="191">
        <f t="shared" si="240"/>
        <v>0</v>
      </c>
      <c r="T314" s="191">
        <f t="shared" si="240"/>
        <v>-230376.1446</v>
      </c>
      <c r="U314" s="443">
        <f t="shared" si="240"/>
        <v>664451283.13540006</v>
      </c>
      <c r="V314" s="444">
        <f t="shared" si="240"/>
        <v>0</v>
      </c>
      <c r="W314" s="445">
        <f t="shared" si="240"/>
        <v>0</v>
      </c>
      <c r="X314" s="445">
        <f t="shared" si="240"/>
        <v>0</v>
      </c>
      <c r="Y314" s="445">
        <f t="shared" si="240"/>
        <v>0</v>
      </c>
      <c r="Z314" s="443">
        <f t="shared" si="240"/>
        <v>0</v>
      </c>
      <c r="AA314" s="444">
        <f t="shared" si="240"/>
        <v>0</v>
      </c>
      <c r="AB314" s="445">
        <f t="shared" si="240"/>
        <v>0</v>
      </c>
      <c r="AC314" s="445">
        <f t="shared" si="240"/>
        <v>0</v>
      </c>
      <c r="AD314" s="445">
        <f t="shared" si="240"/>
        <v>0</v>
      </c>
      <c r="AE314" s="443">
        <f t="shared" si="240"/>
        <v>0</v>
      </c>
      <c r="AF314" s="446">
        <f t="shared" si="240"/>
        <v>315619327.04999995</v>
      </c>
      <c r="AG314" s="191">
        <f t="shared" si="240"/>
        <v>19472177.404886916</v>
      </c>
      <c r="AH314" s="191">
        <f t="shared" si="240"/>
        <v>0</v>
      </c>
      <c r="AI314" s="191">
        <f t="shared" si="240"/>
        <v>-99274.16</v>
      </c>
      <c r="AJ314" s="443">
        <f t="shared" si="240"/>
        <v>334992230.29488689</v>
      </c>
      <c r="AK314" s="447">
        <f t="shared" si="240"/>
        <v>329459052.84051305</v>
      </c>
      <c r="AM314" s="448">
        <f>+AM264+AM278+AM293</f>
        <v>0</v>
      </c>
    </row>
    <row r="315" spans="1:42" s="66" customFormat="1" ht="15" hidden="1" customHeight="1" thickTop="1" thickBot="1" x14ac:dyDescent="0.25">
      <c r="A315" s="735"/>
      <c r="B315" s="786"/>
      <c r="C315" s="453"/>
      <c r="D315" s="454"/>
      <c r="E315" s="454"/>
      <c r="F315" s="454"/>
      <c r="G315" s="452"/>
      <c r="H315" s="453"/>
      <c r="I315" s="454"/>
      <c r="J315" s="454"/>
      <c r="K315" s="454"/>
      <c r="L315" s="452"/>
      <c r="M315" s="450"/>
      <c r="N315" s="451"/>
      <c r="O315" s="453"/>
      <c r="P315" s="454"/>
      <c r="Q315" s="454"/>
      <c r="R315" s="691"/>
      <c r="S315" s="451"/>
      <c r="T315" s="451"/>
      <c r="U315" s="452"/>
      <c r="V315" s="453"/>
      <c r="W315" s="454"/>
      <c r="X315" s="454"/>
      <c r="Y315" s="454"/>
      <c r="Z315" s="452"/>
      <c r="AA315" s="453"/>
      <c r="AB315" s="454"/>
      <c r="AC315" s="454"/>
      <c r="AD315" s="454"/>
      <c r="AE315" s="452"/>
      <c r="AF315" s="450"/>
      <c r="AG315" s="451"/>
      <c r="AH315" s="451"/>
      <c r="AI315" s="451"/>
      <c r="AJ315" s="452"/>
      <c r="AK315" s="455"/>
      <c r="AM315" s="457"/>
    </row>
    <row r="316" spans="1:42" s="66" customFormat="1" ht="15" hidden="1" customHeight="1" x14ac:dyDescent="0.2">
      <c r="B316" s="108"/>
      <c r="C316" s="469"/>
      <c r="D316" s="469"/>
      <c r="E316" s="469"/>
      <c r="F316" s="469"/>
      <c r="G316" s="469"/>
      <c r="H316" s="469"/>
      <c r="I316" s="469"/>
      <c r="J316" s="469"/>
      <c r="K316" s="469"/>
      <c r="L316" s="469"/>
      <c r="M316" s="469"/>
      <c r="N316" s="469"/>
      <c r="O316" s="469"/>
      <c r="P316" s="469"/>
      <c r="Q316" s="469"/>
      <c r="R316" s="469"/>
      <c r="S316" s="469"/>
      <c r="T316" s="469"/>
      <c r="U316" s="469"/>
      <c r="V316" s="469"/>
      <c r="W316" s="469"/>
      <c r="X316" s="469"/>
      <c r="Y316" s="469"/>
      <c r="Z316" s="469"/>
      <c r="AA316" s="469"/>
      <c r="AB316" s="469"/>
      <c r="AC316" s="469"/>
      <c r="AD316" s="469"/>
      <c r="AE316" s="469"/>
      <c r="AF316" s="469"/>
      <c r="AG316" s="469"/>
      <c r="AH316" s="469"/>
      <c r="AI316" s="469"/>
      <c r="AJ316" s="469"/>
      <c r="AK316" s="469"/>
      <c r="AL316" s="469"/>
      <c r="AM316" s="469"/>
    </row>
    <row r="317" spans="1:42" s="5" customFormat="1" ht="15.95" customHeight="1" x14ac:dyDescent="0.2">
      <c r="B317" s="19"/>
      <c r="C317" s="469">
        <v>2.9103830456733704E-7</v>
      </c>
      <c r="D317" s="469">
        <v>-1.7884303815662861E-8</v>
      </c>
      <c r="E317" s="469">
        <v>1.4901161193847656E-8</v>
      </c>
      <c r="F317" s="469">
        <v>1.4551915228366852E-10</v>
      </c>
      <c r="G317" s="469">
        <v>1.2433156371116638E-7</v>
      </c>
      <c r="H317" s="469"/>
      <c r="I317" s="469"/>
      <c r="J317" s="469"/>
      <c r="K317" s="469"/>
      <c r="L317" s="469"/>
      <c r="M317" s="469">
        <v>2.9103830456733704E-7</v>
      </c>
      <c r="N317" s="469">
        <v>-1.7884303815662861E-8</v>
      </c>
      <c r="O317" s="469">
        <v>0</v>
      </c>
      <c r="P317" s="469">
        <v>0</v>
      </c>
      <c r="Q317" s="469">
        <v>0</v>
      </c>
      <c r="R317" s="469">
        <v>0</v>
      </c>
      <c r="S317" s="469">
        <v>1.4901161193847656E-8</v>
      </c>
      <c r="T317" s="469">
        <v>1.4551915228366852E-10</v>
      </c>
      <c r="U317" s="469">
        <v>-3.5250559449195862E-7</v>
      </c>
      <c r="V317" s="469">
        <v>5.9138983488082886E-8</v>
      </c>
      <c r="W317" s="469">
        <v>-1.7811544239521027E-8</v>
      </c>
      <c r="X317" s="469">
        <v>0</v>
      </c>
      <c r="Y317" s="469">
        <v>1.4551915228366852E-10</v>
      </c>
      <c r="Z317" s="469">
        <v>1.1641532182693481E-8</v>
      </c>
      <c r="AA317" s="469">
        <v>0</v>
      </c>
      <c r="AB317" s="469">
        <v>0</v>
      </c>
      <c r="AC317" s="469">
        <v>0</v>
      </c>
      <c r="AD317" s="469">
        <v>0</v>
      </c>
      <c r="AE317" s="469">
        <v>0</v>
      </c>
      <c r="AF317" s="469"/>
      <c r="AG317" s="469"/>
      <c r="AH317" s="469"/>
      <c r="AI317" s="469"/>
      <c r="AJ317" s="469"/>
      <c r="AK317" s="469">
        <v>-3.0454248189926147E-7</v>
      </c>
      <c r="AL317" s="471"/>
      <c r="AM317" s="469">
        <f>AM314-'APPENDIX E(2)'!E24</f>
        <v>-24116947</v>
      </c>
      <c r="AO317" s="964"/>
      <c r="AP317" s="964"/>
    </row>
  </sheetData>
  <mergeCells count="113">
    <mergeCell ref="AF269:AJ269"/>
    <mergeCell ref="W270:W271"/>
    <mergeCell ref="Y270:Y271"/>
    <mergeCell ref="AB270:AB271"/>
    <mergeCell ref="AD270:AD271"/>
    <mergeCell ref="AG270:AG271"/>
    <mergeCell ref="X270:X271"/>
    <mergeCell ref="AI270:AI271"/>
    <mergeCell ref="V283:Z283"/>
    <mergeCell ref="AA283:AE283"/>
    <mergeCell ref="AF283:AJ283"/>
    <mergeCell ref="A281:AM281"/>
    <mergeCell ref="I270:I271"/>
    <mergeCell ref="D270:D271"/>
    <mergeCell ref="AC270:AC271"/>
    <mergeCell ref="AH270:AH271"/>
    <mergeCell ref="V269:Z269"/>
    <mergeCell ref="AA269:AE269"/>
    <mergeCell ref="A282:AM282"/>
    <mergeCell ref="M283:U283"/>
    <mergeCell ref="N270:N271"/>
    <mergeCell ref="O270:Q270"/>
    <mergeCell ref="S270:S271"/>
    <mergeCell ref="T270:T271"/>
    <mergeCell ref="R270:R271"/>
    <mergeCell ref="C283:G283"/>
    <mergeCell ref="D284:D285"/>
    <mergeCell ref="E284:E285"/>
    <mergeCell ref="F284:F285"/>
    <mergeCell ref="AI284:AI285"/>
    <mergeCell ref="N284:N285"/>
    <mergeCell ref="O284:Q284"/>
    <mergeCell ref="T284:T285"/>
    <mergeCell ref="E270:E271"/>
    <mergeCell ref="F270:F271"/>
    <mergeCell ref="J270:J271"/>
    <mergeCell ref="K270:K271"/>
    <mergeCell ref="H283:L283"/>
    <mergeCell ref="I284:I285"/>
    <mergeCell ref="J284:J285"/>
    <mergeCell ref="X284:X285"/>
    <mergeCell ref="AC284:AC285"/>
    <mergeCell ref="M269:U269"/>
    <mergeCell ref="H269:L269"/>
    <mergeCell ref="W5:W6"/>
    <mergeCell ref="Y5:Y6"/>
    <mergeCell ref="C4:G4"/>
    <mergeCell ref="D5:D6"/>
    <mergeCell ref="E5:E6"/>
    <mergeCell ref="F5:F6"/>
    <mergeCell ref="C269:G269"/>
    <mergeCell ref="X5:X6"/>
    <mergeCell ref="A1:AM1"/>
    <mergeCell ref="A2:AM2"/>
    <mergeCell ref="A3:AM3"/>
    <mergeCell ref="A267:AM267"/>
    <mergeCell ref="A268:AM268"/>
    <mergeCell ref="N5:N6"/>
    <mergeCell ref="S5:S6"/>
    <mergeCell ref="T5:T6"/>
    <mergeCell ref="R5:R6"/>
    <mergeCell ref="O5:Q5"/>
    <mergeCell ref="M4:U4"/>
    <mergeCell ref="H4:L4"/>
    <mergeCell ref="I5:I6"/>
    <mergeCell ref="J5:J6"/>
    <mergeCell ref="K5:K6"/>
    <mergeCell ref="V4:Z4"/>
    <mergeCell ref="AF4:AJ4"/>
    <mergeCell ref="AG5:AG6"/>
    <mergeCell ref="AI5:AI6"/>
    <mergeCell ref="AC5:AC6"/>
    <mergeCell ref="AH5:AH6"/>
    <mergeCell ref="AA4:AE4"/>
    <mergeCell ref="AB5:AB6"/>
    <mergeCell ref="AD5:AD6"/>
    <mergeCell ref="A296:AM296"/>
    <mergeCell ref="A297:AM297"/>
    <mergeCell ref="C298:G298"/>
    <mergeCell ref="H298:L298"/>
    <mergeCell ref="M298:U298"/>
    <mergeCell ref="V298:Z298"/>
    <mergeCell ref="AA298:AE298"/>
    <mergeCell ref="AF298:AJ298"/>
    <mergeCell ref="R284:R285"/>
    <mergeCell ref="AD284:AD285"/>
    <mergeCell ref="AG284:AG285"/>
    <mergeCell ref="S284:S285"/>
    <mergeCell ref="W284:W285"/>
    <mergeCell ref="Y284:Y285"/>
    <mergeCell ref="AB284:AB285"/>
    <mergeCell ref="K284:K285"/>
    <mergeCell ref="AH284:AH285"/>
    <mergeCell ref="K299:K300"/>
    <mergeCell ref="N299:N300"/>
    <mergeCell ref="O299:Q299"/>
    <mergeCell ref="R299:R300"/>
    <mergeCell ref="S299:S300"/>
    <mergeCell ref="D299:D300"/>
    <mergeCell ref="E299:E300"/>
    <mergeCell ref="F299:F300"/>
    <mergeCell ref="I299:I300"/>
    <mergeCell ref="J299:J300"/>
    <mergeCell ref="AC299:AC300"/>
    <mergeCell ref="AD299:AD300"/>
    <mergeCell ref="AG299:AG300"/>
    <mergeCell ref="AH299:AH300"/>
    <mergeCell ref="AI299:AI300"/>
    <mergeCell ref="T299:T300"/>
    <mergeCell ref="W299:W300"/>
    <mergeCell ref="X299:X300"/>
    <mergeCell ref="Y299:Y300"/>
    <mergeCell ref="AB299:AB300"/>
  </mergeCells>
  <phoneticPr fontId="0" type="noConversion"/>
  <conditionalFormatting sqref="AF315:AI315 AF294:AI294 AM313 S294:T294 O313:R313 M294:N294 C313:L313 AF279:AI279 AF265:AI265 S279:T279 S265:T265 M279:N279 M265:N265 C266:AK266 C280:AK280 V313:AK313">
    <cfRule type="cellIs" dxfId="15" priority="826" stopIfTrue="1" operator="between">
      <formula>0.001</formula>
      <formula>-0.001</formula>
    </cfRule>
  </conditionalFormatting>
  <conditionalFormatting sqref="Z313 AE315 AJ315:AK315 AJ294:AK294 AM315 AM294 AE313 Z315 O315:R315 O294:R294 G315:L315 G294:L294 U294:AE294 AM265 AJ279:AK279 AM279 AJ265:AK265 U265 V263:AE263 Z265:AE265 L263 O263:R263 O265:R265 O279:R279 G263 G265:L265 G279:L279 U279:AE279 G175:L175 G170:L170 U170:AE170 U175:AE175 O170:R170 O175:R175 U165:AE165 O165:R165 G165:L165 U29:AE29 O29:R29 G29:L29 G313:L313 O313:R313 AM313 AJ313:AK313">
    <cfRule type="cellIs" dxfId="14" priority="825" stopIfTrue="1" operator="between">
      <formula>0.001</formula>
      <formula>-0.001</formula>
    </cfRule>
  </conditionalFormatting>
  <conditionalFormatting sqref="AK315 AF315:AI315 AA315:AD315 V315:Y315 O315:Q315 O294:Q294 H315:K315 H294:K294 C315:F315 C294:F294 V294:Y294 AA294:AD294 AA263:AD263 AA265:AD265 V265:Y265 V263:Y263 O263:Q263 O265:Q265 O279:Q279 H263:K263 H265:K265 H279:K279 C263:F263 C265:F265 C279:F279 V279:Y279 AA279:AD279 AA170:AD170 AA175:AD175 C175:F175 C170:F170 V170:Y170 V175:Y175 O170:Q170 O175:Q175 H170:K170 H175:K175 AA165:AD165 V165:Y165 O165:Q165 H165:K165 C165:F165 AA29:AD29 V29:Y29 O29:Q29 H29:K29 C29:F29 AA313:AD313 V313:Y313 C313:F313 H313:K313 O313:Q313">
    <cfRule type="cellIs" dxfId="13" priority="824" stopIfTrue="1" operator="between">
      <formula>0.001</formula>
      <formula>-0.001</formula>
    </cfRule>
  </conditionalFormatting>
  <conditionalFormatting sqref="V313:Y313 AA315:AD315 AF315:AI315 AM315 V315:Y315 AF294:AI294 AA313:AD313 AF279:AI279 AF313:AI313">
    <cfRule type="cellIs" dxfId="12" priority="813" stopIfTrue="1" operator="between">
      <formula>0.001</formula>
      <formula>-0.001</formula>
    </cfRule>
  </conditionalFormatting>
  <conditionalFormatting sqref="Z313 AE315 AJ315:AK315 AM315 AM313 Z315 AJ294:AK294 AE313 AJ279:AK279 AJ313:AK313">
    <cfRule type="cellIs" dxfId="11" priority="812" stopIfTrue="1" operator="between">
      <formula>0.001</formula>
      <formula>-0.001</formula>
    </cfRule>
  </conditionalFormatting>
  <conditionalFormatting sqref="U115:AE115 O115:R115 G115:L115">
    <cfRule type="cellIs" dxfId="10" priority="7" stopIfTrue="1" operator="between">
      <formula>0.001</formula>
      <formula>-0.001</formula>
    </cfRule>
  </conditionalFormatting>
  <conditionalFormatting sqref="AA115:AD115 V115:Y115 O115:Q115 H115:K115 C115:F115">
    <cfRule type="cellIs" dxfId="9" priority="6" stopIfTrue="1" operator="between">
      <formula>0.001</formula>
      <formula>-0.001</formula>
    </cfRule>
  </conditionalFormatting>
  <conditionalFormatting sqref="AF312:AI312 S312:T312 M312:N312 C295:AK295">
    <cfRule type="cellIs" dxfId="8" priority="5" stopIfTrue="1" operator="between">
      <formula>0.001</formula>
      <formula>-0.001</formula>
    </cfRule>
  </conditionalFormatting>
  <conditionalFormatting sqref="AJ312:AK312 AM312 O312:R312 G312:L312 U312:AE312">
    <cfRule type="cellIs" dxfId="7" priority="4" stopIfTrue="1" operator="between">
      <formula>0.001</formula>
      <formula>-0.001</formula>
    </cfRule>
  </conditionalFormatting>
  <conditionalFormatting sqref="O312:Q312 H312:K312 C312:F312 V312:Y312 AA312:AD312">
    <cfRule type="cellIs" dxfId="6" priority="3" stopIfTrue="1" operator="between">
      <formula>0.001</formula>
      <formula>-0.001</formula>
    </cfRule>
  </conditionalFormatting>
  <conditionalFormatting sqref="AF312:AI312">
    <cfRule type="cellIs" dxfId="5" priority="2" stopIfTrue="1" operator="between">
      <formula>0.001</formula>
      <formula>-0.001</formula>
    </cfRule>
  </conditionalFormatting>
  <conditionalFormatting sqref="AJ312:AK312">
    <cfRule type="cellIs" dxfId="4"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61" fitToHeight="3" orientation="landscape" r:id="rId1"/>
  <headerFooter alignWithMargins="0"/>
  <rowBreaks count="1" manualBreakCount="1">
    <brk id="204" max="38" man="1"/>
  </rowBreaks>
  <colBreaks count="1" manualBreakCount="1">
    <brk id="38" max="31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91"/>
  <sheetViews>
    <sheetView view="pageBreakPreview" zoomScale="86" zoomScaleNormal="100" zoomScaleSheetLayoutView="86" workbookViewId="0">
      <selection activeCell="D23" sqref="D23"/>
    </sheetView>
  </sheetViews>
  <sheetFormatPr defaultColWidth="9.140625" defaultRowHeight="12.75" outlineLevelRow="1" outlineLevelCol="1" x14ac:dyDescent="0.2"/>
  <cols>
    <col min="1" max="1" width="32.7109375" style="5" customWidth="1"/>
    <col min="2" max="2" width="10.7109375" style="19" hidden="1" customWidth="1" outlineLevel="1"/>
    <col min="3" max="3" width="15.7109375" style="471" customWidth="1" collapsed="1"/>
    <col min="4" max="7" width="14.7109375" style="471" customWidth="1"/>
    <col min="8" max="8" width="15.7109375" style="471" customWidth="1"/>
    <col min="9" max="9" width="15.7109375" style="471" hidden="1" customWidth="1" outlineLevel="1"/>
    <col min="10" max="12" width="14.7109375" style="471" hidden="1" customWidth="1" outlineLevel="1"/>
    <col min="13" max="14" width="15.7109375" style="471" hidden="1" customWidth="1" outlineLevel="1"/>
    <col min="15" max="17" width="14.7109375" style="471" hidden="1" customWidth="1" outlineLevel="1"/>
    <col min="18" max="18" width="15.7109375" style="471" hidden="1" customWidth="1" outlineLevel="1"/>
    <col min="19" max="19" width="15.7109375" style="471" customWidth="1" collapsed="1"/>
    <col min="20" max="22" width="14.7109375" style="471" customWidth="1"/>
    <col min="23" max="23" width="15.7109375" style="471" customWidth="1"/>
    <col min="24" max="24" width="14.7109375" style="471" customWidth="1"/>
    <col min="25" max="25" width="13" style="470" bestFit="1" customWidth="1"/>
    <col min="26" max="16384" width="9.140625" style="5"/>
  </cols>
  <sheetData>
    <row r="1" spans="1:25" s="1" customFormat="1" ht="18" customHeight="1" x14ac:dyDescent="0.25">
      <c r="A1" s="2808" t="s">
        <v>201</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468"/>
    </row>
    <row r="2" spans="1:25" s="1" customFormat="1" ht="15.95" customHeight="1" x14ac:dyDescent="0.25">
      <c r="A2" s="3008" t="str">
        <f>Parameters!C5</f>
        <v>Mohokare Local Municipality</v>
      </c>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468"/>
    </row>
    <row r="3" spans="1:25" s="1" customFormat="1" ht="15.95" customHeight="1" thickBot="1" x14ac:dyDescent="0.3">
      <c r="A3" s="3008" t="str">
        <f>"SEGMENTAL ANALYSIS OF CAPITAL ASSETS AS AT "&amp;Parameters!C6</f>
        <v>SEGMENTAL ANALYSIS OF CAPITAL ASSETS AS AT 30 JUNE 2012</v>
      </c>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468"/>
    </row>
    <row r="4" spans="1:25" s="476" customFormat="1" ht="15" customHeight="1" x14ac:dyDescent="0.2">
      <c r="A4" s="472"/>
      <c r="B4" s="473" t="s">
        <v>174</v>
      </c>
      <c r="C4" s="3020" t="s">
        <v>435</v>
      </c>
      <c r="D4" s="3021"/>
      <c r="E4" s="3021"/>
      <c r="F4" s="3021"/>
      <c r="G4" s="3021"/>
      <c r="H4" s="3022"/>
      <c r="I4" s="3020" t="s">
        <v>198</v>
      </c>
      <c r="J4" s="3021"/>
      <c r="K4" s="3021"/>
      <c r="L4" s="3021"/>
      <c r="M4" s="3022"/>
      <c r="N4" s="3020" t="s">
        <v>152</v>
      </c>
      <c r="O4" s="3021"/>
      <c r="P4" s="3021"/>
      <c r="Q4" s="3021"/>
      <c r="R4" s="3022"/>
      <c r="S4" s="3020" t="s">
        <v>153</v>
      </c>
      <c r="T4" s="3021"/>
      <c r="U4" s="3021"/>
      <c r="V4" s="3021"/>
      <c r="W4" s="3022"/>
      <c r="X4" s="474"/>
      <c r="Y4" s="475"/>
    </row>
    <row r="5" spans="1:25" s="476" customFormat="1" ht="15" customHeight="1" x14ac:dyDescent="0.2">
      <c r="A5" s="477" t="s">
        <v>7</v>
      </c>
      <c r="B5" s="478"/>
      <c r="C5" s="479" t="s">
        <v>682</v>
      </c>
      <c r="D5" s="3016" t="s">
        <v>683</v>
      </c>
      <c r="E5" s="3018" t="s">
        <v>436</v>
      </c>
      <c r="F5" s="3016" t="s">
        <v>763</v>
      </c>
      <c r="G5" s="3016" t="s">
        <v>684</v>
      </c>
      <c r="H5" s="480" t="s">
        <v>195</v>
      </c>
      <c r="I5" s="479" t="s">
        <v>682</v>
      </c>
      <c r="J5" s="3016" t="s">
        <v>683</v>
      </c>
      <c r="K5" s="3016" t="s">
        <v>763</v>
      </c>
      <c r="L5" s="3016" t="s">
        <v>684</v>
      </c>
      <c r="M5" s="480" t="s">
        <v>195</v>
      </c>
      <c r="N5" s="479" t="s">
        <v>682</v>
      </c>
      <c r="O5" s="3016" t="s">
        <v>683</v>
      </c>
      <c r="P5" s="3016" t="s">
        <v>763</v>
      </c>
      <c r="Q5" s="3016" t="s">
        <v>684</v>
      </c>
      <c r="R5" s="480" t="s">
        <v>195</v>
      </c>
      <c r="S5" s="479" t="s">
        <v>682</v>
      </c>
      <c r="T5" s="3016" t="s">
        <v>683</v>
      </c>
      <c r="U5" s="3016" t="s">
        <v>763</v>
      </c>
      <c r="V5" s="3016" t="s">
        <v>684</v>
      </c>
      <c r="W5" s="480" t="s">
        <v>195</v>
      </c>
      <c r="X5" s="481" t="s">
        <v>285</v>
      </c>
      <c r="Y5" s="475" t="s">
        <v>31</v>
      </c>
    </row>
    <row r="6" spans="1:25" s="476" customFormat="1" ht="15" customHeight="1" thickBot="1" x14ac:dyDescent="0.25">
      <c r="A6" s="482"/>
      <c r="B6" s="483" t="s">
        <v>671</v>
      </c>
      <c r="C6" s="484" t="s">
        <v>245</v>
      </c>
      <c r="D6" s="3017"/>
      <c r="E6" s="3019"/>
      <c r="F6" s="3017"/>
      <c r="G6" s="3017"/>
      <c r="H6" s="485" t="s">
        <v>245</v>
      </c>
      <c r="I6" s="484" t="s">
        <v>245</v>
      </c>
      <c r="J6" s="3017"/>
      <c r="K6" s="3017"/>
      <c r="L6" s="3017"/>
      <c r="M6" s="485" t="s">
        <v>245</v>
      </c>
      <c r="N6" s="484" t="s">
        <v>245</v>
      </c>
      <c r="O6" s="3017"/>
      <c r="P6" s="3017"/>
      <c r="Q6" s="3017"/>
      <c r="R6" s="485" t="s">
        <v>245</v>
      </c>
      <c r="S6" s="484" t="s">
        <v>245</v>
      </c>
      <c r="T6" s="3017"/>
      <c r="U6" s="3017"/>
      <c r="V6" s="3017"/>
      <c r="W6" s="485" t="s">
        <v>245</v>
      </c>
      <c r="X6" s="486" t="s">
        <v>286</v>
      </c>
      <c r="Y6" s="475"/>
    </row>
    <row r="7" spans="1:25" s="476" customFormat="1" ht="15" customHeight="1" x14ac:dyDescent="0.2">
      <c r="A7" s="487"/>
      <c r="B7" s="488"/>
      <c r="C7" s="489" t="s">
        <v>255</v>
      </c>
      <c r="D7" s="490" t="s">
        <v>255</v>
      </c>
      <c r="E7" s="490" t="s">
        <v>255</v>
      </c>
      <c r="F7" s="490" t="s">
        <v>255</v>
      </c>
      <c r="G7" s="490" t="s">
        <v>255</v>
      </c>
      <c r="H7" s="491" t="s">
        <v>255</v>
      </c>
      <c r="I7" s="489" t="s">
        <v>255</v>
      </c>
      <c r="J7" s="490" t="s">
        <v>255</v>
      </c>
      <c r="K7" s="490" t="s">
        <v>255</v>
      </c>
      <c r="L7" s="490" t="s">
        <v>255</v>
      </c>
      <c r="M7" s="491" t="s">
        <v>255</v>
      </c>
      <c r="N7" s="489" t="s">
        <v>255</v>
      </c>
      <c r="O7" s="490" t="s">
        <v>255</v>
      </c>
      <c r="P7" s="490" t="s">
        <v>255</v>
      </c>
      <c r="Q7" s="490" t="s">
        <v>255</v>
      </c>
      <c r="R7" s="491" t="s">
        <v>255</v>
      </c>
      <c r="S7" s="489" t="s">
        <v>255</v>
      </c>
      <c r="T7" s="490" t="s">
        <v>255</v>
      </c>
      <c r="U7" s="490" t="s">
        <v>255</v>
      </c>
      <c r="V7" s="490" t="s">
        <v>255</v>
      </c>
      <c r="W7" s="491" t="s">
        <v>255</v>
      </c>
      <c r="X7" s="492" t="s">
        <v>255</v>
      </c>
      <c r="Y7" s="475"/>
    </row>
    <row r="8" spans="1:25" ht="15" customHeight="1" x14ac:dyDescent="0.2">
      <c r="A8" s="493"/>
      <c r="B8" s="494"/>
      <c r="C8" s="495"/>
      <c r="D8" s="496"/>
      <c r="E8" s="496"/>
      <c r="F8" s="497"/>
      <c r="G8" s="497"/>
      <c r="H8" s="498"/>
      <c r="I8" s="499"/>
      <c r="J8" s="298"/>
      <c r="K8" s="497"/>
      <c r="L8" s="497"/>
      <c r="M8" s="498"/>
      <c r="N8" s="499"/>
      <c r="O8" s="298"/>
      <c r="P8" s="497"/>
      <c r="Q8" s="497"/>
      <c r="R8" s="498"/>
      <c r="S8" s="499"/>
      <c r="T8" s="298"/>
      <c r="U8" s="497"/>
      <c r="V8" s="497"/>
      <c r="W8" s="498"/>
      <c r="X8" s="500"/>
    </row>
    <row r="9" spans="1:25" ht="15" customHeight="1" x14ac:dyDescent="0.2">
      <c r="A9" s="501" t="s">
        <v>44</v>
      </c>
      <c r="B9" s="502"/>
      <c r="C9" s="503">
        <f t="shared" ref="C9:W9" si="0">SUM(C10:C12)</f>
        <v>788123</v>
      </c>
      <c r="D9" s="504">
        <f t="shared" si="0"/>
        <v>0</v>
      </c>
      <c r="E9" s="504">
        <f t="shared" si="0"/>
        <v>0</v>
      </c>
      <c r="F9" s="504">
        <f t="shared" si="0"/>
        <v>0</v>
      </c>
      <c r="G9" s="504">
        <f t="shared" si="0"/>
        <v>0</v>
      </c>
      <c r="H9" s="505">
        <f t="shared" si="0"/>
        <v>788123</v>
      </c>
      <c r="I9" s="503">
        <f t="shared" si="0"/>
        <v>298617</v>
      </c>
      <c r="J9" s="504">
        <f t="shared" si="0"/>
        <v>114215</v>
      </c>
      <c r="K9" s="504">
        <f t="shared" si="0"/>
        <v>0</v>
      </c>
      <c r="L9" s="504">
        <f t="shared" si="0"/>
        <v>0</v>
      </c>
      <c r="M9" s="505">
        <f t="shared" si="0"/>
        <v>412832</v>
      </c>
      <c r="N9" s="503">
        <f t="shared" si="0"/>
        <v>0</v>
      </c>
      <c r="O9" s="504">
        <f t="shared" si="0"/>
        <v>0</v>
      </c>
      <c r="P9" s="504">
        <f t="shared" si="0"/>
        <v>0</v>
      </c>
      <c r="Q9" s="504">
        <f t="shared" si="0"/>
        <v>0</v>
      </c>
      <c r="R9" s="505">
        <f t="shared" si="0"/>
        <v>0</v>
      </c>
      <c r="S9" s="503">
        <f t="shared" si="0"/>
        <v>298617</v>
      </c>
      <c r="T9" s="504">
        <f t="shared" si="0"/>
        <v>114215</v>
      </c>
      <c r="U9" s="504">
        <f t="shared" si="0"/>
        <v>0</v>
      </c>
      <c r="V9" s="504">
        <f t="shared" si="0"/>
        <v>0</v>
      </c>
      <c r="W9" s="505">
        <f t="shared" si="0"/>
        <v>412832</v>
      </c>
      <c r="X9" s="506">
        <f>H9-W9</f>
        <v>375291</v>
      </c>
      <c r="Y9" s="470">
        <f>X9-SUM(X10:X12)</f>
        <v>0</v>
      </c>
    </row>
    <row r="10" spans="1:25" s="296" customFormat="1" ht="15" hidden="1" customHeight="1" outlineLevel="1" x14ac:dyDescent="0.2">
      <c r="A10" s="507" t="s">
        <v>7280</v>
      </c>
      <c r="B10" s="508" t="s">
        <v>1799</v>
      </c>
      <c r="C10" s="509">
        <f>255201</f>
        <v>255201</v>
      </c>
      <c r="D10" s="510">
        <v>0</v>
      </c>
      <c r="E10" s="510">
        <v>0</v>
      </c>
      <c r="F10" s="510">
        <v>0</v>
      </c>
      <c r="G10" s="510">
        <v>0</v>
      </c>
      <c r="H10" s="511">
        <f>SUM(C10:G10)</f>
        <v>255201</v>
      </c>
      <c r="I10" s="509">
        <v>86632</v>
      </c>
      <c r="J10" s="510">
        <v>35812</v>
      </c>
      <c r="K10" s="510">
        <v>0</v>
      </c>
      <c r="L10" s="510">
        <v>0</v>
      </c>
      <c r="M10" s="511">
        <f>SUM(I10:L10)</f>
        <v>122444</v>
      </c>
      <c r="N10" s="509">
        <v>0</v>
      </c>
      <c r="O10" s="510">
        <v>0</v>
      </c>
      <c r="P10" s="510">
        <v>0</v>
      </c>
      <c r="Q10" s="510">
        <v>0</v>
      </c>
      <c r="R10" s="511">
        <f>SUM(N10:Q10)</f>
        <v>0</v>
      </c>
      <c r="S10" s="509">
        <f t="shared" ref="S10:T12" si="1">I10</f>
        <v>86632</v>
      </c>
      <c r="T10" s="510">
        <f t="shared" si="1"/>
        <v>35812</v>
      </c>
      <c r="U10" s="510">
        <f t="shared" ref="U10:V10" si="2">SUM(K10,P10)</f>
        <v>0</v>
      </c>
      <c r="V10" s="510">
        <f t="shared" si="2"/>
        <v>0</v>
      </c>
      <c r="W10" s="511">
        <f>SUM(S10:V10)</f>
        <v>122444</v>
      </c>
      <c r="X10" s="506">
        <f t="shared" ref="X10:X73" si="3">H10-W10</f>
        <v>132757</v>
      </c>
      <c r="Y10" s="513"/>
    </row>
    <row r="11" spans="1:25" s="296" customFormat="1" ht="15" hidden="1" customHeight="1" outlineLevel="1" x14ac:dyDescent="0.2">
      <c r="A11" s="507" t="s">
        <v>7280</v>
      </c>
      <c r="B11" s="508" t="s">
        <v>1800</v>
      </c>
      <c r="C11" s="509">
        <f>308985</f>
        <v>308985</v>
      </c>
      <c r="D11" s="510">
        <v>0</v>
      </c>
      <c r="E11" s="510">
        <v>0</v>
      </c>
      <c r="F11" s="510">
        <v>0</v>
      </c>
      <c r="G11" s="510">
        <v>0</v>
      </c>
      <c r="H11" s="511">
        <f>SUM(C11:G11)</f>
        <v>308985</v>
      </c>
      <c r="I11" s="509">
        <v>180934</v>
      </c>
      <c r="J11" s="510">
        <v>43062</v>
      </c>
      <c r="K11" s="510">
        <v>0</v>
      </c>
      <c r="L11" s="510">
        <v>0</v>
      </c>
      <c r="M11" s="511">
        <f>SUM(I11:L11)</f>
        <v>223996</v>
      </c>
      <c r="N11" s="509"/>
      <c r="O11" s="510"/>
      <c r="P11" s="510"/>
      <c r="Q11" s="510"/>
      <c r="R11" s="511">
        <f>SUM(N11:Q11)</f>
        <v>0</v>
      </c>
      <c r="S11" s="509">
        <f t="shared" si="1"/>
        <v>180934</v>
      </c>
      <c r="T11" s="510">
        <f t="shared" si="1"/>
        <v>43062</v>
      </c>
      <c r="U11" s="510">
        <v>0</v>
      </c>
      <c r="V11" s="510">
        <f t="shared" ref="U11:V12" si="4">SUM(L11,Q11)</f>
        <v>0</v>
      </c>
      <c r="W11" s="511">
        <f>SUM(S11:V11)</f>
        <v>223996</v>
      </c>
      <c r="X11" s="506">
        <f t="shared" si="3"/>
        <v>84989</v>
      </c>
      <c r="Y11" s="513"/>
    </row>
    <row r="12" spans="1:25" s="296" customFormat="1" ht="15" hidden="1" customHeight="1" outlineLevel="1" x14ac:dyDescent="0.2">
      <c r="A12" s="507" t="s">
        <v>175</v>
      </c>
      <c r="B12" s="508" t="s">
        <v>1801</v>
      </c>
      <c r="C12" s="509">
        <f>223937</f>
        <v>223937</v>
      </c>
      <c r="D12" s="510">
        <v>0</v>
      </c>
      <c r="E12" s="510">
        <v>0</v>
      </c>
      <c r="F12" s="510">
        <v>0</v>
      </c>
      <c r="G12" s="510">
        <v>0</v>
      </c>
      <c r="H12" s="511">
        <f>SUM(C12:G12)</f>
        <v>223937</v>
      </c>
      <c r="I12" s="509">
        <v>31051</v>
      </c>
      <c r="J12" s="510">
        <v>35341</v>
      </c>
      <c r="K12" s="510">
        <v>0</v>
      </c>
      <c r="L12" s="510">
        <v>0</v>
      </c>
      <c r="M12" s="511">
        <f>SUM(I12:L12)</f>
        <v>66392</v>
      </c>
      <c r="N12" s="509"/>
      <c r="O12" s="510"/>
      <c r="P12" s="510"/>
      <c r="Q12" s="510"/>
      <c r="R12" s="511">
        <f>SUM(N12:Q12)</f>
        <v>0</v>
      </c>
      <c r="S12" s="509">
        <f t="shared" si="1"/>
        <v>31051</v>
      </c>
      <c r="T12" s="510">
        <f t="shared" si="1"/>
        <v>35341</v>
      </c>
      <c r="U12" s="510">
        <f t="shared" si="4"/>
        <v>0</v>
      </c>
      <c r="V12" s="510">
        <f t="shared" si="4"/>
        <v>0</v>
      </c>
      <c r="W12" s="511">
        <f>SUM(S12:V12)</f>
        <v>66392</v>
      </c>
      <c r="X12" s="506">
        <f t="shared" si="3"/>
        <v>157545</v>
      </c>
      <c r="Y12" s="513"/>
    </row>
    <row r="13" spans="1:25" ht="15" customHeight="1" collapsed="1" x14ac:dyDescent="0.2">
      <c r="A13" s="501" t="s">
        <v>45</v>
      </c>
      <c r="B13" s="502"/>
      <c r="C13" s="2000">
        <f>SUM(C14:C22)</f>
        <v>27234826</v>
      </c>
      <c r="D13" s="2001">
        <v>0</v>
      </c>
      <c r="E13" s="2001">
        <f t="shared" ref="E13:F13" si="5">SUM(E14:E22)</f>
        <v>0</v>
      </c>
      <c r="F13" s="2001">
        <f t="shared" si="5"/>
        <v>0</v>
      </c>
      <c r="G13" s="2001">
        <f t="shared" ref="G13:O13" si="6">SUM(G14:G22)</f>
        <v>-230376</v>
      </c>
      <c r="H13" s="505">
        <f t="shared" si="6"/>
        <v>27358836</v>
      </c>
      <c r="I13" s="503">
        <f t="shared" si="6"/>
        <v>17801710</v>
      </c>
      <c r="J13" s="504">
        <f t="shared" si="6"/>
        <v>1253178</v>
      </c>
      <c r="K13" s="504">
        <f t="shared" si="6"/>
        <v>0</v>
      </c>
      <c r="L13" s="504">
        <f t="shared" si="6"/>
        <v>0</v>
      </c>
      <c r="M13" s="505">
        <f t="shared" si="6"/>
        <v>19054888</v>
      </c>
      <c r="N13" s="503">
        <f t="shared" si="6"/>
        <v>0</v>
      </c>
      <c r="O13" s="504">
        <f t="shared" si="6"/>
        <v>153995</v>
      </c>
      <c r="P13" s="504">
        <f t="shared" ref="P13:Q13" si="7">SUM(P14:P22)</f>
        <v>0</v>
      </c>
      <c r="Q13" s="504">
        <f t="shared" si="7"/>
        <v>0</v>
      </c>
      <c r="R13" s="505">
        <f t="shared" ref="R13:U13" si="8">SUM(R14:R22)</f>
        <v>153995</v>
      </c>
      <c r="S13" s="503">
        <f t="shared" si="8"/>
        <v>17801710</v>
      </c>
      <c r="T13" s="504">
        <f t="shared" si="8"/>
        <v>1407173</v>
      </c>
      <c r="U13" s="504">
        <f t="shared" si="8"/>
        <v>0</v>
      </c>
      <c r="V13" s="504">
        <v>-99274</v>
      </c>
      <c r="W13" s="505">
        <f>SUM(W14:W22)+V13</f>
        <v>19109609</v>
      </c>
      <c r="X13" s="506">
        <f t="shared" si="3"/>
        <v>8249227</v>
      </c>
      <c r="Y13" s="470">
        <f>X13-SUM(X14:X21)</f>
        <v>6856511</v>
      </c>
    </row>
    <row r="14" spans="1:25" s="296" customFormat="1" ht="15" hidden="1" customHeight="1" outlineLevel="1" x14ac:dyDescent="0.2">
      <c r="A14" s="507" t="s">
        <v>7691</v>
      </c>
      <c r="B14" s="508" t="s">
        <v>1803</v>
      </c>
      <c r="C14" s="509">
        <f>1328317</f>
        <v>1328317</v>
      </c>
      <c r="D14" s="510">
        <v>0</v>
      </c>
      <c r="E14" s="510">
        <v>0</v>
      </c>
      <c r="F14" s="510">
        <v>0</v>
      </c>
      <c r="G14" s="510">
        <v>0</v>
      </c>
      <c r="H14" s="511">
        <f t="shared" ref="H14:H36" si="9">SUM(C14:G14)</f>
        <v>1328317</v>
      </c>
      <c r="I14" s="509">
        <v>636985</v>
      </c>
      <c r="J14" s="510">
        <v>333710</v>
      </c>
      <c r="K14" s="510">
        <v>0</v>
      </c>
      <c r="L14" s="510">
        <v>0</v>
      </c>
      <c r="M14" s="511">
        <f t="shared" ref="M14:M39" si="10">SUM(I14:L14)</f>
        <v>970695</v>
      </c>
      <c r="N14" s="509">
        <v>0</v>
      </c>
      <c r="O14" s="510">
        <v>0</v>
      </c>
      <c r="P14" s="510">
        <v>0</v>
      </c>
      <c r="Q14" s="510">
        <v>0</v>
      </c>
      <c r="R14" s="511">
        <f t="shared" ref="R14:R21" si="11">SUM(N14:Q14)</f>
        <v>0</v>
      </c>
      <c r="S14" s="509">
        <f t="shared" ref="S14:S21" si="12">SUM(I14,N14)</f>
        <v>636985</v>
      </c>
      <c r="T14" s="510">
        <f t="shared" ref="T14:T21" si="13">SUM(J14,O14)</f>
        <v>333710</v>
      </c>
      <c r="U14" s="510">
        <f t="shared" ref="U14:V21" si="14">SUM(K14,P14)</f>
        <v>0</v>
      </c>
      <c r="V14" s="510">
        <f t="shared" si="14"/>
        <v>0</v>
      </c>
      <c r="W14" s="511">
        <f t="shared" ref="W14:W21" si="15">SUM(S14:V14)</f>
        <v>970695</v>
      </c>
      <c r="X14" s="506">
        <f t="shared" si="3"/>
        <v>357622</v>
      </c>
      <c r="Y14" s="513"/>
    </row>
    <row r="15" spans="1:25" s="296" customFormat="1" ht="15" hidden="1" customHeight="1" outlineLevel="1" x14ac:dyDescent="0.2">
      <c r="A15" s="507" t="s">
        <v>7691</v>
      </c>
      <c r="B15" s="514" t="s">
        <v>1804</v>
      </c>
      <c r="C15" s="509">
        <f>18746</f>
        <v>18746</v>
      </c>
      <c r="D15" s="510">
        <v>0</v>
      </c>
      <c r="E15" s="510">
        <v>0</v>
      </c>
      <c r="F15" s="510">
        <v>0</v>
      </c>
      <c r="G15" s="510">
        <v>0</v>
      </c>
      <c r="H15" s="511">
        <f t="shared" si="9"/>
        <v>18746</v>
      </c>
      <c r="I15" s="509">
        <v>369</v>
      </c>
      <c r="J15" s="510">
        <v>3512</v>
      </c>
      <c r="K15" s="510">
        <v>0</v>
      </c>
      <c r="L15" s="510">
        <v>0</v>
      </c>
      <c r="M15" s="511">
        <f t="shared" si="10"/>
        <v>3881</v>
      </c>
      <c r="N15" s="509">
        <v>0</v>
      </c>
      <c r="O15" s="510">
        <v>0</v>
      </c>
      <c r="P15" s="510">
        <v>0</v>
      </c>
      <c r="Q15" s="510">
        <v>0</v>
      </c>
      <c r="R15" s="511">
        <f t="shared" si="11"/>
        <v>0</v>
      </c>
      <c r="S15" s="509">
        <f t="shared" si="12"/>
        <v>369</v>
      </c>
      <c r="T15" s="510">
        <f t="shared" si="13"/>
        <v>3512</v>
      </c>
      <c r="U15" s="510">
        <f t="shared" si="14"/>
        <v>0</v>
      </c>
      <c r="V15" s="510">
        <f t="shared" si="14"/>
        <v>0</v>
      </c>
      <c r="W15" s="511">
        <f t="shared" si="15"/>
        <v>3881</v>
      </c>
      <c r="X15" s="506">
        <f t="shared" si="3"/>
        <v>14865</v>
      </c>
      <c r="Y15" s="513"/>
    </row>
    <row r="16" spans="1:25" s="296" customFormat="1" ht="15" hidden="1" customHeight="1" outlineLevel="1" x14ac:dyDescent="0.2">
      <c r="A16" s="507" t="s">
        <v>7691</v>
      </c>
      <c r="B16" s="514" t="s">
        <v>1805</v>
      </c>
      <c r="C16" s="509">
        <f>422440</f>
        <v>422440</v>
      </c>
      <c r="D16" s="510">
        <f>404000-49614</f>
        <v>354386</v>
      </c>
      <c r="E16" s="510">
        <v>0</v>
      </c>
      <c r="F16" s="510">
        <v>0</v>
      </c>
      <c r="G16" s="510">
        <v>0</v>
      </c>
      <c r="H16" s="511">
        <f t="shared" si="9"/>
        <v>776826</v>
      </c>
      <c r="I16" s="509">
        <v>102435</v>
      </c>
      <c r="J16" s="510">
        <v>85661</v>
      </c>
      <c r="K16" s="510">
        <v>0</v>
      </c>
      <c r="L16" s="510">
        <v>0</v>
      </c>
      <c r="M16" s="511">
        <f t="shared" si="10"/>
        <v>188096</v>
      </c>
      <c r="N16" s="509">
        <v>0</v>
      </c>
      <c r="O16" s="510">
        <v>0</v>
      </c>
      <c r="P16" s="510">
        <v>0</v>
      </c>
      <c r="Q16" s="510">
        <v>0</v>
      </c>
      <c r="R16" s="511">
        <f t="shared" si="11"/>
        <v>0</v>
      </c>
      <c r="S16" s="509">
        <f t="shared" si="12"/>
        <v>102435</v>
      </c>
      <c r="T16" s="510">
        <f t="shared" si="13"/>
        <v>85661</v>
      </c>
      <c r="U16" s="510">
        <f t="shared" si="14"/>
        <v>0</v>
      </c>
      <c r="V16" s="510">
        <f t="shared" si="14"/>
        <v>0</v>
      </c>
      <c r="W16" s="511">
        <f t="shared" si="15"/>
        <v>188096</v>
      </c>
      <c r="X16" s="506">
        <f t="shared" si="3"/>
        <v>588730</v>
      </c>
      <c r="Y16" s="513"/>
    </row>
    <row r="17" spans="1:25" s="296" customFormat="1" ht="15" hidden="1" customHeight="1" outlineLevel="1" x14ac:dyDescent="0.2">
      <c r="A17" s="507" t="s">
        <v>1408</v>
      </c>
      <c r="B17" s="514" t="s">
        <v>1806</v>
      </c>
      <c r="C17" s="509">
        <f>75376</f>
        <v>75376</v>
      </c>
      <c r="D17" s="510">
        <v>0</v>
      </c>
      <c r="E17" s="510">
        <v>0</v>
      </c>
      <c r="F17" s="510">
        <v>0</v>
      </c>
      <c r="G17" s="510">
        <v>0</v>
      </c>
      <c r="H17" s="511">
        <f t="shared" si="9"/>
        <v>75376</v>
      </c>
      <c r="I17" s="509">
        <v>19863</v>
      </c>
      <c r="J17" s="510">
        <v>13698</v>
      </c>
      <c r="K17" s="510">
        <v>0</v>
      </c>
      <c r="L17" s="510">
        <v>0</v>
      </c>
      <c r="M17" s="511">
        <f t="shared" si="10"/>
        <v>33561</v>
      </c>
      <c r="N17" s="509">
        <v>0</v>
      </c>
      <c r="O17" s="510">
        <v>0</v>
      </c>
      <c r="P17" s="510">
        <v>0</v>
      </c>
      <c r="Q17" s="510">
        <v>0</v>
      </c>
      <c r="R17" s="511">
        <f t="shared" si="11"/>
        <v>0</v>
      </c>
      <c r="S17" s="509">
        <f t="shared" si="12"/>
        <v>19863</v>
      </c>
      <c r="T17" s="510">
        <f t="shared" si="13"/>
        <v>13698</v>
      </c>
      <c r="U17" s="510">
        <f t="shared" si="14"/>
        <v>0</v>
      </c>
      <c r="V17" s="510">
        <f t="shared" si="14"/>
        <v>0</v>
      </c>
      <c r="W17" s="511">
        <f t="shared" si="15"/>
        <v>33561</v>
      </c>
      <c r="X17" s="506">
        <f t="shared" si="3"/>
        <v>41815</v>
      </c>
      <c r="Y17" s="513"/>
    </row>
    <row r="18" spans="1:25" s="296" customFormat="1" ht="15" hidden="1" customHeight="1" outlineLevel="1" x14ac:dyDescent="0.2">
      <c r="A18" s="507" t="s">
        <v>7094</v>
      </c>
      <c r="B18" s="514" t="s">
        <v>1807</v>
      </c>
      <c r="C18" s="509">
        <f>274708</f>
        <v>274708</v>
      </c>
      <c r="D18" s="510">
        <v>0</v>
      </c>
      <c r="E18" s="510">
        <v>0</v>
      </c>
      <c r="F18" s="510">
        <v>0</v>
      </c>
      <c r="G18" s="510">
        <v>0</v>
      </c>
      <c r="H18" s="511">
        <f t="shared" si="9"/>
        <v>274708</v>
      </c>
      <c r="I18" s="509">
        <v>62753</v>
      </c>
      <c r="J18" s="510">
        <v>44504</v>
      </c>
      <c r="K18" s="510">
        <v>0</v>
      </c>
      <c r="L18" s="510">
        <v>0</v>
      </c>
      <c r="M18" s="511">
        <f t="shared" si="10"/>
        <v>107257</v>
      </c>
      <c r="N18" s="509">
        <v>0</v>
      </c>
      <c r="O18" s="510">
        <v>0</v>
      </c>
      <c r="P18" s="510">
        <v>0</v>
      </c>
      <c r="Q18" s="510">
        <v>0</v>
      </c>
      <c r="R18" s="511">
        <f t="shared" si="11"/>
        <v>0</v>
      </c>
      <c r="S18" s="509">
        <f t="shared" si="12"/>
        <v>62753</v>
      </c>
      <c r="T18" s="510">
        <f t="shared" si="13"/>
        <v>44504</v>
      </c>
      <c r="U18" s="510">
        <f t="shared" si="14"/>
        <v>0</v>
      </c>
      <c r="V18" s="510">
        <f t="shared" si="14"/>
        <v>0</v>
      </c>
      <c r="W18" s="511">
        <f t="shared" si="15"/>
        <v>107257</v>
      </c>
      <c r="X18" s="506">
        <f t="shared" si="3"/>
        <v>167451</v>
      </c>
      <c r="Y18" s="513"/>
    </row>
    <row r="19" spans="1:25" s="296" customFormat="1" ht="15" hidden="1" customHeight="1" outlineLevel="1" x14ac:dyDescent="0.2">
      <c r="A19" s="507" t="s">
        <v>7700</v>
      </c>
      <c r="B19" s="514" t="s">
        <v>1808</v>
      </c>
      <c r="C19" s="509">
        <f>34527</f>
        <v>34527</v>
      </c>
      <c r="D19" s="510">
        <v>0</v>
      </c>
      <c r="E19" s="510">
        <v>0</v>
      </c>
      <c r="F19" s="510">
        <v>0</v>
      </c>
      <c r="G19" s="510">
        <v>0</v>
      </c>
      <c r="H19" s="511">
        <f t="shared" si="9"/>
        <v>34527</v>
      </c>
      <c r="I19" s="509">
        <v>3802</v>
      </c>
      <c r="J19" s="510">
        <v>5363</v>
      </c>
      <c r="K19" s="510">
        <v>0</v>
      </c>
      <c r="L19" s="510">
        <v>0</v>
      </c>
      <c r="M19" s="511">
        <f t="shared" si="10"/>
        <v>9165</v>
      </c>
      <c r="N19" s="509">
        <v>0</v>
      </c>
      <c r="O19" s="510">
        <v>0</v>
      </c>
      <c r="P19" s="510">
        <v>0</v>
      </c>
      <c r="Q19" s="510">
        <v>0</v>
      </c>
      <c r="R19" s="511">
        <f t="shared" si="11"/>
        <v>0</v>
      </c>
      <c r="S19" s="509">
        <f t="shared" si="12"/>
        <v>3802</v>
      </c>
      <c r="T19" s="510">
        <f t="shared" si="13"/>
        <v>5363</v>
      </c>
      <c r="U19" s="510">
        <f t="shared" si="14"/>
        <v>0</v>
      </c>
      <c r="V19" s="510">
        <f t="shared" si="14"/>
        <v>0</v>
      </c>
      <c r="W19" s="511">
        <f t="shared" si="15"/>
        <v>9165</v>
      </c>
      <c r="X19" s="506">
        <f t="shared" si="3"/>
        <v>25362</v>
      </c>
      <c r="Y19" s="513"/>
    </row>
    <row r="20" spans="1:25" s="296" customFormat="1" ht="15" hidden="1" customHeight="1" outlineLevel="1" x14ac:dyDescent="0.2">
      <c r="A20" s="507" t="s">
        <v>7700</v>
      </c>
      <c r="B20" s="514" t="s">
        <v>1809</v>
      </c>
      <c r="C20" s="509">
        <f>76691</f>
        <v>76691</v>
      </c>
      <c r="D20" s="510">
        <v>0</v>
      </c>
      <c r="E20" s="510">
        <v>0</v>
      </c>
      <c r="F20" s="510">
        <v>0</v>
      </c>
      <c r="G20" s="510">
        <v>0</v>
      </c>
      <c r="H20" s="511">
        <f t="shared" si="9"/>
        <v>76691</v>
      </c>
      <c r="I20" s="509">
        <v>13677</v>
      </c>
      <c r="J20" s="510">
        <v>13887</v>
      </c>
      <c r="K20" s="510">
        <v>0</v>
      </c>
      <c r="L20" s="510">
        <v>0</v>
      </c>
      <c r="M20" s="511">
        <f t="shared" si="10"/>
        <v>27564</v>
      </c>
      <c r="N20" s="509">
        <v>0</v>
      </c>
      <c r="O20" s="510">
        <v>0</v>
      </c>
      <c r="P20" s="510">
        <v>0</v>
      </c>
      <c r="Q20" s="510">
        <v>0</v>
      </c>
      <c r="R20" s="511">
        <f t="shared" si="11"/>
        <v>0</v>
      </c>
      <c r="S20" s="509">
        <f t="shared" si="12"/>
        <v>13677</v>
      </c>
      <c r="T20" s="510">
        <f t="shared" si="13"/>
        <v>13887</v>
      </c>
      <c r="U20" s="510">
        <f t="shared" si="14"/>
        <v>0</v>
      </c>
      <c r="V20" s="510">
        <f t="shared" si="14"/>
        <v>0</v>
      </c>
      <c r="W20" s="511">
        <f t="shared" si="15"/>
        <v>27564</v>
      </c>
      <c r="X20" s="506">
        <f t="shared" si="3"/>
        <v>49127</v>
      </c>
      <c r="Y20" s="513"/>
    </row>
    <row r="21" spans="1:25" s="296" customFormat="1" ht="15" hidden="1" customHeight="1" outlineLevel="1" x14ac:dyDescent="0.2">
      <c r="A21" s="507" t="s">
        <v>7700</v>
      </c>
      <c r="B21" s="514" t="s">
        <v>1810</v>
      </c>
      <c r="C21" s="509">
        <f>273609</f>
        <v>273609</v>
      </c>
      <c r="D21" s="510">
        <v>0</v>
      </c>
      <c r="E21" s="510">
        <v>0</v>
      </c>
      <c r="F21" s="510">
        <v>0</v>
      </c>
      <c r="G21" s="510">
        <v>0</v>
      </c>
      <c r="H21" s="511">
        <f t="shared" si="9"/>
        <v>273609</v>
      </c>
      <c r="I21" s="509">
        <v>78083</v>
      </c>
      <c r="J21" s="510">
        <v>47782</v>
      </c>
      <c r="K21" s="510">
        <v>0</v>
      </c>
      <c r="L21" s="510">
        <v>0</v>
      </c>
      <c r="M21" s="511">
        <f t="shared" si="10"/>
        <v>125865</v>
      </c>
      <c r="N21" s="509">
        <v>0</v>
      </c>
      <c r="O21" s="510">
        <v>0</v>
      </c>
      <c r="P21" s="510">
        <v>0</v>
      </c>
      <c r="Q21" s="510">
        <v>0</v>
      </c>
      <c r="R21" s="511">
        <f t="shared" si="11"/>
        <v>0</v>
      </c>
      <c r="S21" s="509">
        <f t="shared" si="12"/>
        <v>78083</v>
      </c>
      <c r="T21" s="510">
        <f t="shared" si="13"/>
        <v>47782</v>
      </c>
      <c r="U21" s="510">
        <f t="shared" si="14"/>
        <v>0</v>
      </c>
      <c r="V21" s="510">
        <f t="shared" si="14"/>
        <v>0</v>
      </c>
      <c r="W21" s="511">
        <f t="shared" si="15"/>
        <v>125865</v>
      </c>
      <c r="X21" s="506">
        <f t="shared" si="3"/>
        <v>147744</v>
      </c>
      <c r="Y21" s="513"/>
    </row>
    <row r="22" spans="1:25" s="296" customFormat="1" ht="15" hidden="1" customHeight="1" outlineLevel="1" x14ac:dyDescent="0.2">
      <c r="A22" s="507" t="s">
        <v>7703</v>
      </c>
      <c r="B22" s="514"/>
      <c r="C22" s="509">
        <v>24730412</v>
      </c>
      <c r="D22" s="510">
        <v>0</v>
      </c>
      <c r="E22" s="510">
        <v>0</v>
      </c>
      <c r="F22" s="510">
        <v>0</v>
      </c>
      <c r="G22" s="510">
        <v>-230376</v>
      </c>
      <c r="H22" s="511">
        <f t="shared" si="9"/>
        <v>24500036</v>
      </c>
      <c r="I22" s="509">
        <v>16883743</v>
      </c>
      <c r="J22" s="510">
        <f>721842-16781</f>
        <v>705061</v>
      </c>
      <c r="K22" s="510">
        <v>0</v>
      </c>
      <c r="L22" s="510">
        <v>0</v>
      </c>
      <c r="M22" s="511">
        <f t="shared" si="10"/>
        <v>17588804</v>
      </c>
      <c r="N22" s="509">
        <v>0</v>
      </c>
      <c r="O22" s="510">
        <f>137214+16781</f>
        <v>153995</v>
      </c>
      <c r="P22" s="510">
        <v>0</v>
      </c>
      <c r="Q22" s="510">
        <v>0</v>
      </c>
      <c r="R22" s="511">
        <f t="shared" ref="R22" si="16">SUM(N22:Q22)</f>
        <v>153995</v>
      </c>
      <c r="S22" s="509">
        <f t="shared" ref="S22" si="17">SUM(I22,N22)</f>
        <v>16883743</v>
      </c>
      <c r="T22" s="510">
        <f>SUM(J22,O22)</f>
        <v>859056</v>
      </c>
      <c r="U22" s="510">
        <f t="shared" ref="U22" si="18">SUM(K22,P22)</f>
        <v>0</v>
      </c>
      <c r="V22" s="510">
        <f t="shared" ref="V22" si="19">SUM(L22,Q22)</f>
        <v>0</v>
      </c>
      <c r="W22" s="511">
        <f t="shared" ref="W22" si="20">SUM(S22:V22)</f>
        <v>17742799</v>
      </c>
      <c r="X22" s="506">
        <f t="shared" si="3"/>
        <v>6757237</v>
      </c>
      <c r="Y22" s="513"/>
    </row>
    <row r="23" spans="1:25" ht="15" customHeight="1" collapsed="1" x14ac:dyDescent="0.2">
      <c r="A23" s="501" t="s">
        <v>46</v>
      </c>
      <c r="B23" s="502"/>
      <c r="C23" s="2000">
        <f t="shared" ref="C23:W23" si="21">SUM(C24:C24)</f>
        <v>42428</v>
      </c>
      <c r="D23" s="2001">
        <f t="shared" si="21"/>
        <v>0</v>
      </c>
      <c r="E23" s="2001">
        <f t="shared" si="21"/>
        <v>0</v>
      </c>
      <c r="F23" s="2001">
        <f t="shared" si="21"/>
        <v>0</v>
      </c>
      <c r="G23" s="2001">
        <f t="shared" si="21"/>
        <v>0</v>
      </c>
      <c r="H23" s="505">
        <f t="shared" si="21"/>
        <v>42428</v>
      </c>
      <c r="I23" s="503">
        <f t="shared" si="21"/>
        <v>7788</v>
      </c>
      <c r="J23" s="504">
        <f t="shared" si="21"/>
        <v>7608</v>
      </c>
      <c r="K23" s="504">
        <f t="shared" si="21"/>
        <v>0</v>
      </c>
      <c r="L23" s="504">
        <f t="shared" si="21"/>
        <v>0</v>
      </c>
      <c r="M23" s="505">
        <f t="shared" si="21"/>
        <v>15396</v>
      </c>
      <c r="N23" s="503">
        <f t="shared" si="21"/>
        <v>0</v>
      </c>
      <c r="O23" s="504">
        <f t="shared" si="21"/>
        <v>0</v>
      </c>
      <c r="P23" s="504">
        <f t="shared" si="21"/>
        <v>0</v>
      </c>
      <c r="Q23" s="504">
        <f t="shared" si="21"/>
        <v>0</v>
      </c>
      <c r="R23" s="505">
        <f t="shared" si="21"/>
        <v>0</v>
      </c>
      <c r="S23" s="503">
        <f t="shared" si="21"/>
        <v>7788</v>
      </c>
      <c r="T23" s="504">
        <f t="shared" si="21"/>
        <v>7608</v>
      </c>
      <c r="U23" s="504">
        <f t="shared" si="21"/>
        <v>0</v>
      </c>
      <c r="V23" s="504">
        <f t="shared" si="21"/>
        <v>0</v>
      </c>
      <c r="W23" s="505">
        <f t="shared" si="21"/>
        <v>15396</v>
      </c>
      <c r="X23" s="506">
        <f t="shared" si="3"/>
        <v>27032</v>
      </c>
      <c r="Y23" s="470">
        <f>X23-SUM(X24:X24)</f>
        <v>0</v>
      </c>
    </row>
    <row r="24" spans="1:25" s="296" customFormat="1" ht="15" hidden="1" customHeight="1" outlineLevel="1" x14ac:dyDescent="0.2">
      <c r="A24" s="507" t="s">
        <v>7694</v>
      </c>
      <c r="B24" s="508" t="s">
        <v>1814</v>
      </c>
      <c r="C24" s="509">
        <f>42428</f>
        <v>42428</v>
      </c>
      <c r="D24" s="510">
        <v>0</v>
      </c>
      <c r="E24" s="510">
        <v>0</v>
      </c>
      <c r="F24" s="510">
        <v>0</v>
      </c>
      <c r="G24" s="510">
        <v>0</v>
      </c>
      <c r="H24" s="511">
        <f t="shared" si="9"/>
        <v>42428</v>
      </c>
      <c r="I24" s="509">
        <v>7788</v>
      </c>
      <c r="J24" s="510">
        <v>7608</v>
      </c>
      <c r="K24" s="510">
        <v>0</v>
      </c>
      <c r="L24" s="510">
        <v>0</v>
      </c>
      <c r="M24" s="511">
        <f t="shared" si="10"/>
        <v>15396</v>
      </c>
      <c r="N24" s="509">
        <v>0</v>
      </c>
      <c r="O24" s="510">
        <v>0</v>
      </c>
      <c r="P24" s="510">
        <v>0</v>
      </c>
      <c r="Q24" s="510">
        <v>0</v>
      </c>
      <c r="R24" s="511">
        <f>SUM(N24:Q24)</f>
        <v>0</v>
      </c>
      <c r="S24" s="509">
        <f t="shared" ref="S24:T24" si="22">SUM(I24,N24)</f>
        <v>7788</v>
      </c>
      <c r="T24" s="510">
        <f t="shared" si="22"/>
        <v>7608</v>
      </c>
      <c r="U24" s="510">
        <f t="shared" ref="U24:V24" si="23">SUM(K24,P24)</f>
        <v>0</v>
      </c>
      <c r="V24" s="510">
        <f t="shared" si="23"/>
        <v>0</v>
      </c>
      <c r="W24" s="511">
        <f>SUM(S24:V24)</f>
        <v>15396</v>
      </c>
      <c r="X24" s="506">
        <f t="shared" si="3"/>
        <v>27032</v>
      </c>
      <c r="Y24" s="513"/>
    </row>
    <row r="25" spans="1:25" ht="15" customHeight="1" collapsed="1" x14ac:dyDescent="0.2">
      <c r="A25" s="501" t="s">
        <v>674</v>
      </c>
      <c r="B25" s="502"/>
      <c r="C25" s="2000">
        <f t="shared" ref="C25:G25" si="24">SUM(C26:C28)</f>
        <v>1199588</v>
      </c>
      <c r="D25" s="2001">
        <f t="shared" si="24"/>
        <v>0</v>
      </c>
      <c r="E25" s="2001">
        <f t="shared" si="24"/>
        <v>0</v>
      </c>
      <c r="F25" s="2001">
        <f t="shared" si="24"/>
        <v>0</v>
      </c>
      <c r="G25" s="2001">
        <f t="shared" si="24"/>
        <v>0</v>
      </c>
      <c r="H25" s="505">
        <f t="shared" ref="H25:W25" si="25">SUM(H26:H28)</f>
        <v>1199588</v>
      </c>
      <c r="I25" s="503">
        <f t="shared" si="25"/>
        <v>756135</v>
      </c>
      <c r="J25" s="504">
        <f t="shared" si="25"/>
        <v>37919</v>
      </c>
      <c r="K25" s="504">
        <f t="shared" si="25"/>
        <v>0</v>
      </c>
      <c r="L25" s="504">
        <f t="shared" si="25"/>
        <v>0</v>
      </c>
      <c r="M25" s="505">
        <f t="shared" si="25"/>
        <v>794054</v>
      </c>
      <c r="N25" s="503">
        <f t="shared" si="25"/>
        <v>0</v>
      </c>
      <c r="O25" s="504">
        <f t="shared" si="25"/>
        <v>0</v>
      </c>
      <c r="P25" s="504">
        <f t="shared" si="25"/>
        <v>0</v>
      </c>
      <c r="Q25" s="504">
        <f t="shared" si="25"/>
        <v>0</v>
      </c>
      <c r="R25" s="505">
        <f t="shared" si="25"/>
        <v>0</v>
      </c>
      <c r="S25" s="503">
        <f t="shared" si="25"/>
        <v>756135</v>
      </c>
      <c r="T25" s="504">
        <f t="shared" si="25"/>
        <v>37919</v>
      </c>
      <c r="U25" s="504">
        <f t="shared" si="25"/>
        <v>0</v>
      </c>
      <c r="V25" s="504">
        <f t="shared" si="25"/>
        <v>0</v>
      </c>
      <c r="W25" s="505">
        <f t="shared" si="25"/>
        <v>794054</v>
      </c>
      <c r="X25" s="506">
        <f t="shared" si="3"/>
        <v>405534</v>
      </c>
      <c r="Y25" s="470">
        <f>X25-SUM(X26:X28)</f>
        <v>0</v>
      </c>
    </row>
    <row r="26" spans="1:25" s="296" customFormat="1" ht="15" hidden="1" customHeight="1" outlineLevel="1" x14ac:dyDescent="0.2">
      <c r="A26" s="507" t="s">
        <v>7704</v>
      </c>
      <c r="B26" s="508" t="s">
        <v>1816</v>
      </c>
      <c r="C26" s="509">
        <v>1199588</v>
      </c>
      <c r="D26" s="510">
        <v>0</v>
      </c>
      <c r="E26" s="510">
        <v>0</v>
      </c>
      <c r="F26" s="510">
        <v>0</v>
      </c>
      <c r="G26" s="510">
        <v>0</v>
      </c>
      <c r="H26" s="511">
        <f t="shared" si="9"/>
        <v>1199588</v>
      </c>
      <c r="I26" s="509">
        <v>756135</v>
      </c>
      <c r="J26" s="510">
        <v>37919</v>
      </c>
      <c r="K26" s="510">
        <v>0</v>
      </c>
      <c r="L26" s="510">
        <v>0</v>
      </c>
      <c r="M26" s="511">
        <f t="shared" si="10"/>
        <v>794054</v>
      </c>
      <c r="N26" s="509">
        <v>0</v>
      </c>
      <c r="O26" s="510">
        <v>0</v>
      </c>
      <c r="P26" s="510">
        <v>0</v>
      </c>
      <c r="Q26" s="510">
        <v>0</v>
      </c>
      <c r="R26" s="511">
        <f>SUM(N26:Q26)</f>
        <v>0</v>
      </c>
      <c r="S26" s="509">
        <f t="shared" ref="S26:V27" si="26">SUM(I26,N26)</f>
        <v>756135</v>
      </c>
      <c r="T26" s="510">
        <f t="shared" si="26"/>
        <v>37919</v>
      </c>
      <c r="U26" s="510">
        <f t="shared" si="26"/>
        <v>0</v>
      </c>
      <c r="V26" s="510">
        <f t="shared" si="26"/>
        <v>0</v>
      </c>
      <c r="W26" s="511">
        <f>SUM(S26:V26)</f>
        <v>794054</v>
      </c>
      <c r="X26" s="506">
        <f t="shared" si="3"/>
        <v>405534</v>
      </c>
      <c r="Y26" s="513"/>
    </row>
    <row r="27" spans="1:25" s="296" customFormat="1" ht="15" hidden="1" customHeight="1" outlineLevel="1" x14ac:dyDescent="0.2">
      <c r="A27" s="507" t="s">
        <v>1815</v>
      </c>
      <c r="B27" s="514" t="s">
        <v>1817</v>
      </c>
      <c r="C27" s="509">
        <v>0</v>
      </c>
      <c r="D27" s="510">
        <v>0</v>
      </c>
      <c r="E27" s="510">
        <v>0</v>
      </c>
      <c r="F27" s="510">
        <v>0</v>
      </c>
      <c r="G27" s="510">
        <v>0</v>
      </c>
      <c r="H27" s="511">
        <f t="shared" si="9"/>
        <v>0</v>
      </c>
      <c r="I27" s="509">
        <v>0</v>
      </c>
      <c r="J27" s="510">
        <v>0</v>
      </c>
      <c r="K27" s="510">
        <v>0</v>
      </c>
      <c r="L27" s="510">
        <v>0</v>
      </c>
      <c r="M27" s="511">
        <f t="shared" si="10"/>
        <v>0</v>
      </c>
      <c r="N27" s="509">
        <v>0</v>
      </c>
      <c r="O27" s="510">
        <v>0</v>
      </c>
      <c r="P27" s="510">
        <v>0</v>
      </c>
      <c r="Q27" s="510">
        <v>0</v>
      </c>
      <c r="R27" s="511">
        <f>SUM(N27:Q27)</f>
        <v>0</v>
      </c>
      <c r="S27" s="509">
        <f t="shared" si="26"/>
        <v>0</v>
      </c>
      <c r="T27" s="510">
        <f t="shared" si="26"/>
        <v>0</v>
      </c>
      <c r="U27" s="510">
        <f t="shared" si="26"/>
        <v>0</v>
      </c>
      <c r="V27" s="510">
        <f t="shared" si="26"/>
        <v>0</v>
      </c>
      <c r="W27" s="511">
        <f>SUM(S27:V27)</f>
        <v>0</v>
      </c>
      <c r="X27" s="506">
        <f t="shared" si="3"/>
        <v>0</v>
      </c>
      <c r="Y27" s="513"/>
    </row>
    <row r="28" spans="1:25" s="296" customFormat="1" ht="15" hidden="1" customHeight="1" outlineLevel="1" x14ac:dyDescent="0.2">
      <c r="A28" s="507"/>
      <c r="B28" s="508"/>
      <c r="C28" s="509"/>
      <c r="D28" s="510"/>
      <c r="E28" s="510"/>
      <c r="F28" s="510"/>
      <c r="G28" s="510"/>
      <c r="H28" s="511">
        <f t="shared" si="9"/>
        <v>0</v>
      </c>
      <c r="I28" s="509"/>
      <c r="J28" s="510"/>
      <c r="K28" s="510"/>
      <c r="L28" s="510"/>
      <c r="M28" s="511">
        <f t="shared" si="10"/>
        <v>0</v>
      </c>
      <c r="N28" s="509"/>
      <c r="O28" s="510"/>
      <c r="P28" s="510"/>
      <c r="Q28" s="510"/>
      <c r="R28" s="511">
        <f>SUM(N28:Q28)</f>
        <v>0</v>
      </c>
      <c r="S28" s="509">
        <f>SUM(I28,N28)</f>
        <v>0</v>
      </c>
      <c r="T28" s="510">
        <f>SUM(J28,O28)</f>
        <v>0</v>
      </c>
      <c r="U28" s="510">
        <f>SUM(K28,P28)</f>
        <v>0</v>
      </c>
      <c r="V28" s="510">
        <f>SUM(L28,Q28)</f>
        <v>0</v>
      </c>
      <c r="W28" s="511">
        <f>SUM(S28:V28)</f>
        <v>0</v>
      </c>
      <c r="X28" s="506">
        <f t="shared" si="3"/>
        <v>0</v>
      </c>
      <c r="Y28" s="513"/>
    </row>
    <row r="29" spans="1:25" s="515" customFormat="1" ht="15" customHeight="1" collapsed="1" x14ac:dyDescent="0.2">
      <c r="A29" s="501" t="s">
        <v>47</v>
      </c>
      <c r="B29" s="502"/>
      <c r="C29" s="2000">
        <f t="shared" ref="C29:G29" si="27">SUM(C30:C39)</f>
        <v>48911127</v>
      </c>
      <c r="D29" s="2001">
        <f t="shared" si="27"/>
        <v>0</v>
      </c>
      <c r="E29" s="2001">
        <f t="shared" si="27"/>
        <v>0</v>
      </c>
      <c r="F29" s="2001">
        <f t="shared" si="27"/>
        <v>0</v>
      </c>
      <c r="G29" s="2001">
        <f t="shared" si="27"/>
        <v>0</v>
      </c>
      <c r="H29" s="505">
        <f t="shared" ref="H29:W29" si="28">SUM(H30:H39)</f>
        <v>48911127</v>
      </c>
      <c r="I29" s="503">
        <f t="shared" si="28"/>
        <v>27856264</v>
      </c>
      <c r="J29" s="504">
        <f>SUM(J30:J39)</f>
        <v>1985136</v>
      </c>
      <c r="K29" s="504">
        <f t="shared" si="28"/>
        <v>0</v>
      </c>
      <c r="L29" s="504">
        <f t="shared" si="28"/>
        <v>0</v>
      </c>
      <c r="M29" s="505">
        <f t="shared" si="28"/>
        <v>29841400</v>
      </c>
      <c r="N29" s="503">
        <f t="shared" si="28"/>
        <v>0</v>
      </c>
      <c r="O29" s="504">
        <f t="shared" si="28"/>
        <v>0</v>
      </c>
      <c r="P29" s="504">
        <f t="shared" si="28"/>
        <v>0</v>
      </c>
      <c r="Q29" s="504">
        <f t="shared" si="28"/>
        <v>0</v>
      </c>
      <c r="R29" s="505">
        <f t="shared" si="28"/>
        <v>0</v>
      </c>
      <c r="S29" s="503">
        <f t="shared" si="28"/>
        <v>27856264</v>
      </c>
      <c r="T29" s="504">
        <f t="shared" si="28"/>
        <v>1985136</v>
      </c>
      <c r="U29" s="504">
        <f t="shared" si="28"/>
        <v>0</v>
      </c>
      <c r="V29" s="504">
        <f t="shared" si="28"/>
        <v>0</v>
      </c>
      <c r="W29" s="505">
        <f t="shared" si="28"/>
        <v>29841400</v>
      </c>
      <c r="X29" s="506">
        <f t="shared" si="3"/>
        <v>19069727</v>
      </c>
      <c r="Y29" s="470">
        <f>X29-SUM(X30:X39)</f>
        <v>0</v>
      </c>
    </row>
    <row r="30" spans="1:25" s="296" customFormat="1" ht="15" hidden="1" customHeight="1" outlineLevel="1" x14ac:dyDescent="0.2">
      <c r="A30" s="507" t="s">
        <v>691</v>
      </c>
      <c r="B30" s="508" t="s">
        <v>1821</v>
      </c>
      <c r="C30" s="509">
        <f>3558+1310339</f>
        <v>1313897</v>
      </c>
      <c r="D30" s="510">
        <v>0</v>
      </c>
      <c r="E30" s="510">
        <v>0</v>
      </c>
      <c r="F30" s="510">
        <v>0</v>
      </c>
      <c r="G30" s="510">
        <v>0</v>
      </c>
      <c r="H30" s="511">
        <f t="shared" si="9"/>
        <v>1313897</v>
      </c>
      <c r="I30" s="509">
        <f>469+648069</f>
        <v>648538</v>
      </c>
      <c r="J30" s="510">
        <f>492+60215</f>
        <v>60707</v>
      </c>
      <c r="K30" s="510">
        <v>0</v>
      </c>
      <c r="L30" s="510">
        <v>0</v>
      </c>
      <c r="M30" s="511">
        <f t="shared" si="10"/>
        <v>709245</v>
      </c>
      <c r="N30" s="509">
        <v>0</v>
      </c>
      <c r="O30" s="510">
        <v>0</v>
      </c>
      <c r="P30" s="510">
        <v>0</v>
      </c>
      <c r="Q30" s="510">
        <v>0</v>
      </c>
      <c r="R30" s="511">
        <f t="shared" ref="R30:R39" si="29">SUM(N30:Q30)</f>
        <v>0</v>
      </c>
      <c r="S30" s="509">
        <f t="shared" ref="S30:V39" si="30">SUM(I30,N30)</f>
        <v>648538</v>
      </c>
      <c r="T30" s="510">
        <f t="shared" si="30"/>
        <v>60707</v>
      </c>
      <c r="U30" s="510">
        <f t="shared" si="30"/>
        <v>0</v>
      </c>
      <c r="V30" s="510">
        <f t="shared" si="30"/>
        <v>0</v>
      </c>
      <c r="W30" s="511">
        <f t="shared" ref="W30:W39" si="31">SUM(S30:V30)</f>
        <v>709245</v>
      </c>
      <c r="X30" s="506">
        <f t="shared" si="3"/>
        <v>604652</v>
      </c>
      <c r="Y30" s="513"/>
    </row>
    <row r="31" spans="1:25" s="296" customFormat="1" ht="15" hidden="1" customHeight="1" outlineLevel="1" x14ac:dyDescent="0.2">
      <c r="A31" s="507" t="s">
        <v>7707</v>
      </c>
      <c r="B31" s="508"/>
      <c r="C31" s="509">
        <v>1177475</v>
      </c>
      <c r="D31" s="510">
        <v>0</v>
      </c>
      <c r="E31" s="510">
        <v>0</v>
      </c>
      <c r="F31" s="510">
        <v>0</v>
      </c>
      <c r="G31" s="510">
        <v>0</v>
      </c>
      <c r="H31" s="511">
        <f t="shared" si="9"/>
        <v>1177475</v>
      </c>
      <c r="I31" s="509">
        <v>815846</v>
      </c>
      <c r="J31" s="510">
        <v>39000</v>
      </c>
      <c r="K31" s="510">
        <v>0</v>
      </c>
      <c r="L31" s="510">
        <v>0</v>
      </c>
      <c r="M31" s="511">
        <f t="shared" si="10"/>
        <v>854846</v>
      </c>
      <c r="N31" s="509">
        <v>0</v>
      </c>
      <c r="O31" s="510">
        <v>0</v>
      </c>
      <c r="P31" s="510">
        <v>0</v>
      </c>
      <c r="Q31" s="510">
        <v>0</v>
      </c>
      <c r="R31" s="511">
        <f t="shared" ref="R31:R33" si="32">SUM(N31:Q31)</f>
        <v>0</v>
      </c>
      <c r="S31" s="509">
        <f t="shared" ref="S31" si="33">SUM(I31,N31)</f>
        <v>815846</v>
      </c>
      <c r="T31" s="510">
        <f t="shared" ref="T31" si="34">SUM(J31,O31)</f>
        <v>39000</v>
      </c>
      <c r="U31" s="510">
        <f t="shared" ref="U31" si="35">SUM(K31,P31)</f>
        <v>0</v>
      </c>
      <c r="V31" s="510">
        <f t="shared" ref="V31" si="36">SUM(L31,Q31)</f>
        <v>0</v>
      </c>
      <c r="W31" s="511">
        <f t="shared" ref="W31" si="37">SUM(S31:V31)</f>
        <v>854846</v>
      </c>
      <c r="X31" s="506">
        <f t="shared" si="3"/>
        <v>322629</v>
      </c>
      <c r="Y31" s="513"/>
    </row>
    <row r="32" spans="1:25" s="296" customFormat="1" ht="15" hidden="1" customHeight="1" outlineLevel="1" x14ac:dyDescent="0.2">
      <c r="A32" s="507" t="s">
        <v>228</v>
      </c>
      <c r="B32" s="508" t="s">
        <v>1822</v>
      </c>
      <c r="C32" s="509">
        <f>117198+5728380</f>
        <v>5845578</v>
      </c>
      <c r="D32" s="510">
        <v>0</v>
      </c>
      <c r="E32" s="510">
        <v>0</v>
      </c>
      <c r="F32" s="510">
        <v>0</v>
      </c>
      <c r="G32" s="510">
        <v>0</v>
      </c>
      <c r="H32" s="511">
        <f t="shared" si="9"/>
        <v>5845578</v>
      </c>
      <c r="I32" s="509">
        <f>55297+2462396</f>
        <v>2517693</v>
      </c>
      <c r="J32" s="510">
        <f>15947+178435</f>
        <v>194382</v>
      </c>
      <c r="K32" s="510">
        <v>0</v>
      </c>
      <c r="L32" s="510">
        <v>0</v>
      </c>
      <c r="M32" s="511">
        <f t="shared" ref="M32:M38" si="38">SUM(I32:L32)</f>
        <v>2712075</v>
      </c>
      <c r="N32" s="509">
        <v>0</v>
      </c>
      <c r="O32" s="510">
        <v>0</v>
      </c>
      <c r="P32" s="510">
        <v>0</v>
      </c>
      <c r="Q32" s="510">
        <v>0</v>
      </c>
      <c r="R32" s="511">
        <f t="shared" si="32"/>
        <v>0</v>
      </c>
      <c r="S32" s="509">
        <f t="shared" si="30"/>
        <v>2517693</v>
      </c>
      <c r="T32" s="510">
        <f t="shared" si="30"/>
        <v>194382</v>
      </c>
      <c r="U32" s="510">
        <f t="shared" si="30"/>
        <v>0</v>
      </c>
      <c r="V32" s="510">
        <f t="shared" si="30"/>
        <v>0</v>
      </c>
      <c r="W32" s="511">
        <f t="shared" si="31"/>
        <v>2712075</v>
      </c>
      <c r="X32" s="506">
        <f t="shared" si="3"/>
        <v>3133503</v>
      </c>
      <c r="Y32" s="513"/>
    </row>
    <row r="33" spans="1:25" s="296" customFormat="1" ht="15" hidden="1" customHeight="1" outlineLevel="1" x14ac:dyDescent="0.2">
      <c r="A33" s="507" t="s">
        <v>7701</v>
      </c>
      <c r="B33" s="508" t="s">
        <v>1823</v>
      </c>
      <c r="C33" s="509">
        <f>877915+39696262</f>
        <v>40574177</v>
      </c>
      <c r="D33" s="510">
        <v>0</v>
      </c>
      <c r="E33" s="510">
        <v>0</v>
      </c>
      <c r="F33" s="510">
        <v>0</v>
      </c>
      <c r="G33" s="510">
        <v>0</v>
      </c>
      <c r="H33" s="511">
        <f t="shared" si="9"/>
        <v>40574177</v>
      </c>
      <c r="I33" s="509">
        <f>251392+23622795</f>
        <v>23874187</v>
      </c>
      <c r="J33" s="510">
        <f>90946+1600101</f>
        <v>1691047</v>
      </c>
      <c r="K33" s="510">
        <v>0</v>
      </c>
      <c r="L33" s="510">
        <v>0</v>
      </c>
      <c r="M33" s="511">
        <f t="shared" si="38"/>
        <v>25565234</v>
      </c>
      <c r="N33" s="509">
        <v>0</v>
      </c>
      <c r="O33" s="510">
        <v>0</v>
      </c>
      <c r="P33" s="510">
        <v>0</v>
      </c>
      <c r="Q33" s="510">
        <v>0</v>
      </c>
      <c r="R33" s="511">
        <f t="shared" si="32"/>
        <v>0</v>
      </c>
      <c r="S33" s="509">
        <f>SUM(I33,N33)</f>
        <v>23874187</v>
      </c>
      <c r="T33" s="510">
        <f t="shared" si="30"/>
        <v>1691047</v>
      </c>
      <c r="U33" s="510">
        <f t="shared" si="30"/>
        <v>0</v>
      </c>
      <c r="V33" s="510">
        <v>0</v>
      </c>
      <c r="W33" s="511">
        <f t="shared" si="31"/>
        <v>25565234</v>
      </c>
      <c r="X33" s="506">
        <f t="shared" si="3"/>
        <v>15008943</v>
      </c>
      <c r="Y33" s="513"/>
    </row>
    <row r="34" spans="1:25" s="296" customFormat="1" ht="15" hidden="1" customHeight="1" outlineLevel="1" x14ac:dyDescent="0.2">
      <c r="A34" s="507" t="s">
        <v>1818</v>
      </c>
      <c r="B34" s="508" t="s">
        <v>1824</v>
      </c>
      <c r="C34" s="509">
        <v>0</v>
      </c>
      <c r="D34" s="510">
        <v>0</v>
      </c>
      <c r="E34" s="510">
        <v>0</v>
      </c>
      <c r="F34" s="510">
        <v>0</v>
      </c>
      <c r="G34" s="510">
        <v>0</v>
      </c>
      <c r="H34" s="511">
        <f t="shared" si="9"/>
        <v>0</v>
      </c>
      <c r="I34" s="509">
        <v>0</v>
      </c>
      <c r="J34" s="510">
        <v>0</v>
      </c>
      <c r="K34" s="510">
        <v>0</v>
      </c>
      <c r="L34" s="510">
        <v>0</v>
      </c>
      <c r="M34" s="511">
        <f t="shared" si="38"/>
        <v>0</v>
      </c>
      <c r="N34" s="509"/>
      <c r="O34" s="510"/>
      <c r="P34" s="510"/>
      <c r="Q34" s="510"/>
      <c r="R34" s="511">
        <f t="shared" si="29"/>
        <v>0</v>
      </c>
      <c r="S34" s="509">
        <f t="shared" si="30"/>
        <v>0</v>
      </c>
      <c r="T34" s="510">
        <f t="shared" si="30"/>
        <v>0</v>
      </c>
      <c r="U34" s="510">
        <f t="shared" si="30"/>
        <v>0</v>
      </c>
      <c r="V34" s="510">
        <f t="shared" si="30"/>
        <v>0</v>
      </c>
      <c r="W34" s="511">
        <f t="shared" si="31"/>
        <v>0</v>
      </c>
      <c r="X34" s="506">
        <f t="shared" si="3"/>
        <v>0</v>
      </c>
      <c r="Y34" s="513"/>
    </row>
    <row r="35" spans="1:25" s="296" customFormat="1" ht="15" hidden="1" customHeight="1" outlineLevel="1" x14ac:dyDescent="0.2">
      <c r="A35" s="507" t="s">
        <v>1819</v>
      </c>
      <c r="B35" s="508" t="s">
        <v>1825</v>
      </c>
      <c r="C35" s="509">
        <v>0</v>
      </c>
      <c r="D35" s="510">
        <v>0</v>
      </c>
      <c r="E35" s="510">
        <v>0</v>
      </c>
      <c r="F35" s="510">
        <v>0</v>
      </c>
      <c r="G35" s="510">
        <v>0</v>
      </c>
      <c r="H35" s="511">
        <f t="shared" si="9"/>
        <v>0</v>
      </c>
      <c r="I35" s="509">
        <v>0</v>
      </c>
      <c r="J35" s="510">
        <v>0</v>
      </c>
      <c r="K35" s="510">
        <v>0</v>
      </c>
      <c r="L35" s="510">
        <v>0</v>
      </c>
      <c r="M35" s="511">
        <f t="shared" si="38"/>
        <v>0</v>
      </c>
      <c r="N35" s="509"/>
      <c r="O35" s="510"/>
      <c r="P35" s="510"/>
      <c r="Q35" s="510"/>
      <c r="R35" s="511">
        <f t="shared" si="29"/>
        <v>0</v>
      </c>
      <c r="S35" s="509">
        <f t="shared" si="30"/>
        <v>0</v>
      </c>
      <c r="T35" s="510">
        <f t="shared" si="30"/>
        <v>0</v>
      </c>
      <c r="U35" s="510">
        <f t="shared" si="30"/>
        <v>0</v>
      </c>
      <c r="V35" s="510">
        <f t="shared" si="30"/>
        <v>0</v>
      </c>
      <c r="W35" s="511">
        <f t="shared" si="31"/>
        <v>0</v>
      </c>
      <c r="X35" s="506">
        <f t="shared" si="3"/>
        <v>0</v>
      </c>
      <c r="Y35" s="513"/>
    </row>
    <row r="36" spans="1:25" s="296" customFormat="1" ht="15" hidden="1" customHeight="1" outlineLevel="1" x14ac:dyDescent="0.2">
      <c r="A36" s="507" t="s">
        <v>1820</v>
      </c>
      <c r="B36" s="508" t="s">
        <v>1826</v>
      </c>
      <c r="C36" s="509">
        <v>0</v>
      </c>
      <c r="D36" s="510">
        <v>0</v>
      </c>
      <c r="E36" s="510">
        <v>0</v>
      </c>
      <c r="F36" s="510">
        <v>0</v>
      </c>
      <c r="G36" s="510">
        <v>0</v>
      </c>
      <c r="H36" s="511">
        <f t="shared" si="9"/>
        <v>0</v>
      </c>
      <c r="I36" s="509">
        <v>0</v>
      </c>
      <c r="J36" s="510">
        <v>0</v>
      </c>
      <c r="K36" s="510"/>
      <c r="L36" s="510"/>
      <c r="M36" s="511">
        <f t="shared" si="38"/>
        <v>0</v>
      </c>
      <c r="N36" s="509"/>
      <c r="O36" s="510"/>
      <c r="P36" s="510"/>
      <c r="Q36" s="510"/>
      <c r="R36" s="511">
        <f t="shared" si="29"/>
        <v>0</v>
      </c>
      <c r="S36" s="509">
        <f t="shared" si="30"/>
        <v>0</v>
      </c>
      <c r="T36" s="510">
        <f t="shared" si="30"/>
        <v>0</v>
      </c>
      <c r="U36" s="510">
        <f t="shared" si="30"/>
        <v>0</v>
      </c>
      <c r="V36" s="510">
        <f t="shared" si="30"/>
        <v>0</v>
      </c>
      <c r="W36" s="511">
        <f t="shared" si="31"/>
        <v>0</v>
      </c>
      <c r="X36" s="506">
        <f t="shared" si="3"/>
        <v>0</v>
      </c>
      <c r="Y36" s="513"/>
    </row>
    <row r="37" spans="1:25" s="296" customFormat="1" ht="15" hidden="1" customHeight="1" outlineLevel="1" x14ac:dyDescent="0.2">
      <c r="A37" s="507" t="s">
        <v>2225</v>
      </c>
      <c r="B37" s="514" t="s">
        <v>2223</v>
      </c>
      <c r="C37" s="509">
        <v>0</v>
      </c>
      <c r="D37" s="510">
        <v>0</v>
      </c>
      <c r="E37" s="510">
        <v>0</v>
      </c>
      <c r="F37" s="510">
        <v>0</v>
      </c>
      <c r="G37" s="510">
        <v>0</v>
      </c>
      <c r="H37" s="511">
        <f>SUM(C37:G37)</f>
        <v>0</v>
      </c>
      <c r="I37" s="509">
        <v>0</v>
      </c>
      <c r="J37" s="510">
        <v>0</v>
      </c>
      <c r="K37" s="510"/>
      <c r="L37" s="510"/>
      <c r="M37" s="511">
        <f t="shared" si="38"/>
        <v>0</v>
      </c>
      <c r="N37" s="509"/>
      <c r="O37" s="510"/>
      <c r="P37" s="510"/>
      <c r="Q37" s="510"/>
      <c r="R37" s="511">
        <f>SUM(N37:Q37)</f>
        <v>0</v>
      </c>
      <c r="S37" s="509">
        <f t="shared" ref="S37:V38" si="39">SUM(I37,N37)</f>
        <v>0</v>
      </c>
      <c r="T37" s="510">
        <f t="shared" si="39"/>
        <v>0</v>
      </c>
      <c r="U37" s="510">
        <f t="shared" si="39"/>
        <v>0</v>
      </c>
      <c r="V37" s="510">
        <f t="shared" si="39"/>
        <v>0</v>
      </c>
      <c r="W37" s="511">
        <f>SUM(S37:V37)</f>
        <v>0</v>
      </c>
      <c r="X37" s="506">
        <f t="shared" si="3"/>
        <v>0</v>
      </c>
      <c r="Y37" s="513"/>
    </row>
    <row r="38" spans="1:25" s="296" customFormat="1" ht="15" hidden="1" customHeight="1" outlineLevel="1" x14ac:dyDescent="0.2">
      <c r="A38" s="507" t="s">
        <v>2226</v>
      </c>
      <c r="B38" s="514" t="s">
        <v>2224</v>
      </c>
      <c r="C38" s="509">
        <v>0</v>
      </c>
      <c r="D38" s="510">
        <v>0</v>
      </c>
      <c r="E38" s="510">
        <v>0</v>
      </c>
      <c r="F38" s="510">
        <v>0</v>
      </c>
      <c r="G38" s="510">
        <v>0</v>
      </c>
      <c r="H38" s="511">
        <f>SUM(C38:G38)</f>
        <v>0</v>
      </c>
      <c r="I38" s="509">
        <v>0</v>
      </c>
      <c r="J38" s="510">
        <v>0</v>
      </c>
      <c r="K38" s="510"/>
      <c r="L38" s="510"/>
      <c r="M38" s="511">
        <f t="shared" si="38"/>
        <v>0</v>
      </c>
      <c r="N38" s="509"/>
      <c r="O38" s="510"/>
      <c r="P38" s="510"/>
      <c r="Q38" s="510"/>
      <c r="R38" s="511">
        <f>SUM(N38:Q38)</f>
        <v>0</v>
      </c>
      <c r="S38" s="509">
        <f t="shared" si="39"/>
        <v>0</v>
      </c>
      <c r="T38" s="510">
        <f t="shared" si="39"/>
        <v>0</v>
      </c>
      <c r="U38" s="510">
        <f t="shared" si="39"/>
        <v>0</v>
      </c>
      <c r="V38" s="510">
        <f t="shared" si="39"/>
        <v>0</v>
      </c>
      <c r="W38" s="511">
        <f>SUM(S38:V38)</f>
        <v>0</v>
      </c>
      <c r="X38" s="506">
        <f t="shared" si="3"/>
        <v>0</v>
      </c>
      <c r="Y38" s="513"/>
    </row>
    <row r="39" spans="1:25" s="296" customFormat="1" ht="15" hidden="1" customHeight="1" outlineLevel="1" x14ac:dyDescent="0.2">
      <c r="A39" s="507"/>
      <c r="B39" s="508"/>
      <c r="C39" s="509"/>
      <c r="D39" s="510"/>
      <c r="E39" s="510"/>
      <c r="F39" s="510"/>
      <c r="G39" s="510"/>
      <c r="H39" s="511">
        <f t="shared" ref="H39:H69" si="40">SUM(C39:G39)</f>
        <v>0</v>
      </c>
      <c r="I39" s="509"/>
      <c r="J39" s="510"/>
      <c r="K39" s="510"/>
      <c r="L39" s="510"/>
      <c r="M39" s="511">
        <f t="shared" si="10"/>
        <v>0</v>
      </c>
      <c r="N39" s="509"/>
      <c r="O39" s="510"/>
      <c r="P39" s="510"/>
      <c r="Q39" s="510"/>
      <c r="R39" s="511">
        <f t="shared" si="29"/>
        <v>0</v>
      </c>
      <c r="S39" s="509">
        <f t="shared" si="30"/>
        <v>0</v>
      </c>
      <c r="T39" s="510">
        <f t="shared" si="30"/>
        <v>0</v>
      </c>
      <c r="U39" s="510">
        <f t="shared" si="30"/>
        <v>0</v>
      </c>
      <c r="V39" s="510">
        <f t="shared" si="30"/>
        <v>0</v>
      </c>
      <c r="W39" s="511">
        <f t="shared" si="31"/>
        <v>0</v>
      </c>
      <c r="X39" s="506">
        <f t="shared" si="3"/>
        <v>0</v>
      </c>
      <c r="Y39" s="513"/>
    </row>
    <row r="40" spans="1:25" ht="15" customHeight="1" collapsed="1" x14ac:dyDescent="0.2">
      <c r="A40" s="501" t="s">
        <v>202</v>
      </c>
      <c r="B40" s="502"/>
      <c r="C40" s="2000">
        <f t="shared" ref="C40:G40" si="41">SUM(C41:C46)</f>
        <v>18387414</v>
      </c>
      <c r="D40" s="2001">
        <f t="shared" si="41"/>
        <v>0</v>
      </c>
      <c r="E40" s="2001">
        <f t="shared" si="41"/>
        <v>0</v>
      </c>
      <c r="F40" s="2001">
        <f t="shared" si="41"/>
        <v>0</v>
      </c>
      <c r="G40" s="2001">
        <f t="shared" si="41"/>
        <v>0</v>
      </c>
      <c r="H40" s="505">
        <f t="shared" ref="H40:W40" si="42">SUM(H41:H46)</f>
        <v>18387414</v>
      </c>
      <c r="I40" s="503">
        <f t="shared" si="42"/>
        <v>6907222</v>
      </c>
      <c r="J40" s="504">
        <f>SUM(J41:J46)</f>
        <v>294242</v>
      </c>
      <c r="K40" s="504">
        <f t="shared" si="42"/>
        <v>0</v>
      </c>
      <c r="L40" s="504">
        <f t="shared" si="42"/>
        <v>0</v>
      </c>
      <c r="M40" s="505">
        <f t="shared" si="42"/>
        <v>7201464</v>
      </c>
      <c r="N40" s="503">
        <f t="shared" si="42"/>
        <v>0</v>
      </c>
      <c r="O40" s="504">
        <f t="shared" si="42"/>
        <v>0</v>
      </c>
      <c r="P40" s="504">
        <f t="shared" si="42"/>
        <v>0</v>
      </c>
      <c r="Q40" s="504">
        <f t="shared" si="42"/>
        <v>0</v>
      </c>
      <c r="R40" s="505">
        <f t="shared" si="42"/>
        <v>0</v>
      </c>
      <c r="S40" s="503">
        <f t="shared" si="42"/>
        <v>6907222</v>
      </c>
      <c r="T40" s="504">
        <f t="shared" si="42"/>
        <v>294242</v>
      </c>
      <c r="U40" s="504">
        <f t="shared" si="42"/>
        <v>0</v>
      </c>
      <c r="V40" s="504">
        <f t="shared" si="42"/>
        <v>0</v>
      </c>
      <c r="W40" s="505">
        <f t="shared" si="42"/>
        <v>7201464</v>
      </c>
      <c r="X40" s="506">
        <f t="shared" si="3"/>
        <v>11185950</v>
      </c>
      <c r="Y40" s="470">
        <f>X40-SUM(X41:X46)</f>
        <v>0</v>
      </c>
    </row>
    <row r="41" spans="1:25" s="296" customFormat="1" ht="15" hidden="1" customHeight="1" outlineLevel="1" x14ac:dyDescent="0.2">
      <c r="A41" s="507" t="s">
        <v>202</v>
      </c>
      <c r="B41" s="514" t="s">
        <v>1827</v>
      </c>
      <c r="C41" s="509">
        <f>46239+18341175</f>
        <v>18387414</v>
      </c>
      <c r="D41" s="510">
        <v>0</v>
      </c>
      <c r="E41" s="510">
        <v>0</v>
      </c>
      <c r="F41" s="510">
        <v>0</v>
      </c>
      <c r="G41" s="510">
        <v>0</v>
      </c>
      <c r="H41" s="511">
        <f t="shared" si="40"/>
        <v>18387414</v>
      </c>
      <c r="I41" s="509">
        <f>11859+6895363</f>
        <v>6907222</v>
      </c>
      <c r="J41" s="510">
        <f>8741+285501</f>
        <v>294242</v>
      </c>
      <c r="K41" s="510">
        <v>0</v>
      </c>
      <c r="L41" s="510">
        <v>0</v>
      </c>
      <c r="M41" s="511">
        <f t="shared" ref="M41:M46" si="43">SUM(I41:L41)</f>
        <v>7201464</v>
      </c>
      <c r="N41" s="509">
        <v>0</v>
      </c>
      <c r="O41" s="510">
        <v>0</v>
      </c>
      <c r="P41" s="510">
        <v>0</v>
      </c>
      <c r="Q41" s="510">
        <v>0</v>
      </c>
      <c r="R41" s="511">
        <f t="shared" ref="R41:R46" si="44">SUM(N41:Q41)</f>
        <v>0</v>
      </c>
      <c r="S41" s="509">
        <f t="shared" ref="S41:V46" si="45">SUM(I41,N41)</f>
        <v>6907222</v>
      </c>
      <c r="T41" s="510">
        <f t="shared" si="45"/>
        <v>294242</v>
      </c>
      <c r="U41" s="510">
        <f t="shared" si="45"/>
        <v>0</v>
      </c>
      <c r="V41" s="510">
        <f t="shared" si="45"/>
        <v>0</v>
      </c>
      <c r="W41" s="511">
        <f t="shared" ref="W41:W46" si="46">SUM(S41:V41)</f>
        <v>7201464</v>
      </c>
      <c r="X41" s="506">
        <f t="shared" si="3"/>
        <v>11185950</v>
      </c>
      <c r="Y41" s="513"/>
    </row>
    <row r="42" spans="1:25" s="296" customFormat="1" ht="15" hidden="1" customHeight="1" outlineLevel="1" x14ac:dyDescent="0.2">
      <c r="A42" s="507" t="s">
        <v>1832</v>
      </c>
      <c r="B42" s="514" t="s">
        <v>1828</v>
      </c>
      <c r="C42" s="509">
        <v>0</v>
      </c>
      <c r="D42" s="510">
        <v>0</v>
      </c>
      <c r="E42" s="510">
        <v>0</v>
      </c>
      <c r="F42" s="510">
        <v>0</v>
      </c>
      <c r="G42" s="510">
        <v>0</v>
      </c>
      <c r="H42" s="511">
        <f>SUM(C42:G42)</f>
        <v>0</v>
      </c>
      <c r="I42" s="509">
        <v>0</v>
      </c>
      <c r="J42" s="510">
        <v>0</v>
      </c>
      <c r="K42" s="510">
        <v>0</v>
      </c>
      <c r="L42" s="510">
        <v>0</v>
      </c>
      <c r="M42" s="511">
        <f t="shared" si="43"/>
        <v>0</v>
      </c>
      <c r="N42" s="509">
        <v>0</v>
      </c>
      <c r="O42" s="510">
        <v>0</v>
      </c>
      <c r="P42" s="510">
        <v>0</v>
      </c>
      <c r="Q42" s="510">
        <v>0</v>
      </c>
      <c r="R42" s="511">
        <f t="shared" si="44"/>
        <v>0</v>
      </c>
      <c r="S42" s="509">
        <f t="shared" si="45"/>
        <v>0</v>
      </c>
      <c r="T42" s="510">
        <f t="shared" si="45"/>
        <v>0</v>
      </c>
      <c r="U42" s="510">
        <f t="shared" si="45"/>
        <v>0</v>
      </c>
      <c r="V42" s="510">
        <f t="shared" si="45"/>
        <v>0</v>
      </c>
      <c r="W42" s="511">
        <f t="shared" si="46"/>
        <v>0</v>
      </c>
      <c r="X42" s="506">
        <f t="shared" si="3"/>
        <v>0</v>
      </c>
      <c r="Y42" s="513"/>
    </row>
    <row r="43" spans="1:25" s="296" customFormat="1" ht="15" hidden="1" customHeight="1" outlineLevel="1" x14ac:dyDescent="0.2">
      <c r="A43" s="507" t="s">
        <v>1833</v>
      </c>
      <c r="B43" s="514" t="s">
        <v>1829</v>
      </c>
      <c r="C43" s="509">
        <v>0</v>
      </c>
      <c r="D43" s="510">
        <v>0</v>
      </c>
      <c r="E43" s="510">
        <v>0</v>
      </c>
      <c r="F43" s="510">
        <v>0</v>
      </c>
      <c r="G43" s="510">
        <v>0</v>
      </c>
      <c r="H43" s="511">
        <f>SUM(C43:G43)</f>
        <v>0</v>
      </c>
      <c r="I43" s="509">
        <v>0</v>
      </c>
      <c r="J43" s="510">
        <v>0</v>
      </c>
      <c r="K43" s="510">
        <v>0</v>
      </c>
      <c r="L43" s="510">
        <v>0</v>
      </c>
      <c r="M43" s="511">
        <f t="shared" si="43"/>
        <v>0</v>
      </c>
      <c r="N43" s="509">
        <v>0</v>
      </c>
      <c r="O43" s="510">
        <v>0</v>
      </c>
      <c r="P43" s="510">
        <v>0</v>
      </c>
      <c r="Q43" s="510">
        <v>0</v>
      </c>
      <c r="R43" s="511">
        <f t="shared" si="44"/>
        <v>0</v>
      </c>
      <c r="S43" s="509">
        <f t="shared" si="45"/>
        <v>0</v>
      </c>
      <c r="T43" s="510">
        <f t="shared" si="45"/>
        <v>0</v>
      </c>
      <c r="U43" s="510">
        <f t="shared" si="45"/>
        <v>0</v>
      </c>
      <c r="V43" s="510">
        <f t="shared" si="45"/>
        <v>0</v>
      </c>
      <c r="W43" s="511">
        <f t="shared" si="46"/>
        <v>0</v>
      </c>
      <c r="X43" s="506">
        <f t="shared" si="3"/>
        <v>0</v>
      </c>
      <c r="Y43" s="513"/>
    </row>
    <row r="44" spans="1:25" s="296" customFormat="1" ht="15" hidden="1" customHeight="1" outlineLevel="1" x14ac:dyDescent="0.2">
      <c r="A44" s="507" t="s">
        <v>1834</v>
      </c>
      <c r="B44" s="514" t="s">
        <v>1830</v>
      </c>
      <c r="C44" s="509">
        <v>0</v>
      </c>
      <c r="D44" s="510">
        <v>0</v>
      </c>
      <c r="E44" s="510">
        <v>0</v>
      </c>
      <c r="F44" s="510">
        <v>0</v>
      </c>
      <c r="G44" s="510">
        <v>0</v>
      </c>
      <c r="H44" s="511">
        <f>SUM(C44:G44)</f>
        <v>0</v>
      </c>
      <c r="I44" s="509">
        <v>0</v>
      </c>
      <c r="J44" s="510">
        <v>0</v>
      </c>
      <c r="K44" s="510">
        <v>0</v>
      </c>
      <c r="L44" s="510">
        <v>0</v>
      </c>
      <c r="M44" s="511">
        <f t="shared" si="43"/>
        <v>0</v>
      </c>
      <c r="N44" s="509">
        <v>0</v>
      </c>
      <c r="O44" s="510">
        <v>0</v>
      </c>
      <c r="P44" s="510">
        <v>0</v>
      </c>
      <c r="Q44" s="510">
        <v>0</v>
      </c>
      <c r="R44" s="511">
        <f t="shared" si="44"/>
        <v>0</v>
      </c>
      <c r="S44" s="509">
        <f t="shared" si="45"/>
        <v>0</v>
      </c>
      <c r="T44" s="510">
        <f t="shared" si="45"/>
        <v>0</v>
      </c>
      <c r="U44" s="510">
        <f t="shared" si="45"/>
        <v>0</v>
      </c>
      <c r="V44" s="510">
        <f t="shared" si="45"/>
        <v>0</v>
      </c>
      <c r="W44" s="511">
        <f t="shared" si="46"/>
        <v>0</v>
      </c>
      <c r="X44" s="506">
        <f t="shared" si="3"/>
        <v>0</v>
      </c>
      <c r="Y44" s="513"/>
    </row>
    <row r="45" spans="1:25" s="296" customFormat="1" ht="15" hidden="1" customHeight="1" outlineLevel="1" x14ac:dyDescent="0.2">
      <c r="A45" s="507" t="s">
        <v>1835</v>
      </c>
      <c r="B45" s="514" t="s">
        <v>1831</v>
      </c>
      <c r="C45" s="509">
        <v>0</v>
      </c>
      <c r="D45" s="510">
        <v>0</v>
      </c>
      <c r="E45" s="510">
        <v>0</v>
      </c>
      <c r="F45" s="510">
        <v>0</v>
      </c>
      <c r="G45" s="510">
        <v>0</v>
      </c>
      <c r="H45" s="511">
        <f>SUM(C45:G45)</f>
        <v>0</v>
      </c>
      <c r="I45" s="509">
        <v>0</v>
      </c>
      <c r="J45" s="510">
        <v>0</v>
      </c>
      <c r="K45" s="510">
        <v>0</v>
      </c>
      <c r="L45" s="510">
        <v>0</v>
      </c>
      <c r="M45" s="511">
        <f t="shared" si="43"/>
        <v>0</v>
      </c>
      <c r="N45" s="509">
        <v>0</v>
      </c>
      <c r="O45" s="510">
        <v>0</v>
      </c>
      <c r="P45" s="510">
        <v>0</v>
      </c>
      <c r="Q45" s="510">
        <v>0</v>
      </c>
      <c r="R45" s="511">
        <f t="shared" si="44"/>
        <v>0</v>
      </c>
      <c r="S45" s="509">
        <f t="shared" si="45"/>
        <v>0</v>
      </c>
      <c r="T45" s="510">
        <f t="shared" si="45"/>
        <v>0</v>
      </c>
      <c r="U45" s="510">
        <f t="shared" si="45"/>
        <v>0</v>
      </c>
      <c r="V45" s="510">
        <f t="shared" si="45"/>
        <v>0</v>
      </c>
      <c r="W45" s="511">
        <f t="shared" si="46"/>
        <v>0</v>
      </c>
      <c r="X45" s="506">
        <f t="shared" si="3"/>
        <v>0</v>
      </c>
      <c r="Y45" s="513"/>
    </row>
    <row r="46" spans="1:25" s="296" customFormat="1" ht="15" hidden="1" customHeight="1" outlineLevel="1" x14ac:dyDescent="0.2">
      <c r="A46" s="507"/>
      <c r="B46" s="508"/>
      <c r="C46" s="509"/>
      <c r="D46" s="510"/>
      <c r="E46" s="510"/>
      <c r="F46" s="510"/>
      <c r="G46" s="510"/>
      <c r="H46" s="511">
        <f t="shared" si="40"/>
        <v>0</v>
      </c>
      <c r="I46" s="509"/>
      <c r="J46" s="510"/>
      <c r="K46" s="510"/>
      <c r="L46" s="510"/>
      <c r="M46" s="511">
        <f t="shared" si="43"/>
        <v>0</v>
      </c>
      <c r="N46" s="509"/>
      <c r="O46" s="510"/>
      <c r="P46" s="510"/>
      <c r="Q46" s="510"/>
      <c r="R46" s="511">
        <f t="shared" si="44"/>
        <v>0</v>
      </c>
      <c r="S46" s="509">
        <f t="shared" si="45"/>
        <v>0</v>
      </c>
      <c r="T46" s="510">
        <f t="shared" si="45"/>
        <v>0</v>
      </c>
      <c r="U46" s="510">
        <f t="shared" si="45"/>
        <v>0</v>
      </c>
      <c r="V46" s="510">
        <f t="shared" si="45"/>
        <v>0</v>
      </c>
      <c r="W46" s="511">
        <f t="shared" si="46"/>
        <v>0</v>
      </c>
      <c r="X46" s="506">
        <f t="shared" si="3"/>
        <v>0</v>
      </c>
      <c r="Y46" s="513"/>
    </row>
    <row r="47" spans="1:25" ht="15" customHeight="1" collapsed="1" x14ac:dyDescent="0.2">
      <c r="A47" s="501" t="s">
        <v>675</v>
      </c>
      <c r="B47" s="502"/>
      <c r="C47" s="2000">
        <f t="shared" ref="C47:G47" si="47">SUM(C48:C50)</f>
        <v>267999</v>
      </c>
      <c r="D47" s="2001">
        <f t="shared" si="47"/>
        <v>0</v>
      </c>
      <c r="E47" s="2001">
        <f t="shared" si="47"/>
        <v>0</v>
      </c>
      <c r="F47" s="2001">
        <f t="shared" si="47"/>
        <v>0</v>
      </c>
      <c r="G47" s="2001">
        <f t="shared" si="47"/>
        <v>0</v>
      </c>
      <c r="H47" s="505">
        <f t="shared" ref="H47:W47" si="48">SUM(H48:H50)</f>
        <v>267999</v>
      </c>
      <c r="I47" s="503">
        <f t="shared" si="48"/>
        <v>48733</v>
      </c>
      <c r="J47" s="504">
        <f t="shared" si="48"/>
        <v>41485</v>
      </c>
      <c r="K47" s="504">
        <f t="shared" si="48"/>
        <v>0</v>
      </c>
      <c r="L47" s="504">
        <f t="shared" si="48"/>
        <v>0</v>
      </c>
      <c r="M47" s="505">
        <f t="shared" si="48"/>
        <v>90218</v>
      </c>
      <c r="N47" s="503">
        <f t="shared" si="48"/>
        <v>0</v>
      </c>
      <c r="O47" s="504">
        <f t="shared" si="48"/>
        <v>0</v>
      </c>
      <c r="P47" s="504">
        <f t="shared" si="48"/>
        <v>0</v>
      </c>
      <c r="Q47" s="504">
        <f t="shared" si="48"/>
        <v>0</v>
      </c>
      <c r="R47" s="505">
        <f t="shared" si="48"/>
        <v>0</v>
      </c>
      <c r="S47" s="503">
        <f t="shared" si="48"/>
        <v>48733</v>
      </c>
      <c r="T47" s="504">
        <f t="shared" si="48"/>
        <v>41485</v>
      </c>
      <c r="U47" s="504">
        <f t="shared" si="48"/>
        <v>0</v>
      </c>
      <c r="V47" s="504">
        <f t="shared" si="48"/>
        <v>0</v>
      </c>
      <c r="W47" s="505">
        <f t="shared" si="48"/>
        <v>90218</v>
      </c>
      <c r="X47" s="506">
        <f t="shared" si="3"/>
        <v>177781</v>
      </c>
      <c r="Y47" s="470">
        <f>X47-SUM(X48:X50)</f>
        <v>0</v>
      </c>
    </row>
    <row r="48" spans="1:25" s="296" customFormat="1" ht="15" hidden="1" customHeight="1" outlineLevel="1" x14ac:dyDescent="0.2">
      <c r="A48" s="507" t="s">
        <v>675</v>
      </c>
      <c r="B48" s="508" t="s">
        <v>1836</v>
      </c>
      <c r="C48" s="509">
        <f>267999</f>
        <v>267999</v>
      </c>
      <c r="D48" s="510">
        <v>0</v>
      </c>
      <c r="E48" s="510">
        <v>0</v>
      </c>
      <c r="F48" s="510">
        <v>0</v>
      </c>
      <c r="G48" s="510">
        <v>0</v>
      </c>
      <c r="H48" s="511">
        <f t="shared" si="40"/>
        <v>267999</v>
      </c>
      <c r="I48" s="509">
        <v>48733</v>
      </c>
      <c r="J48" s="510">
        <v>41485</v>
      </c>
      <c r="K48" s="510">
        <v>0</v>
      </c>
      <c r="L48" s="510">
        <v>0</v>
      </c>
      <c r="M48" s="511">
        <f>SUM(I48:L48)</f>
        <v>90218</v>
      </c>
      <c r="N48" s="509">
        <v>0</v>
      </c>
      <c r="O48" s="510">
        <v>0</v>
      </c>
      <c r="P48" s="510">
        <v>0</v>
      </c>
      <c r="Q48" s="510">
        <v>0</v>
      </c>
      <c r="R48" s="511">
        <f>SUM(N48:Q48)</f>
        <v>0</v>
      </c>
      <c r="S48" s="509">
        <f t="shared" ref="S48:V50" si="49">SUM(I48,N48)</f>
        <v>48733</v>
      </c>
      <c r="T48" s="510">
        <f t="shared" si="49"/>
        <v>41485</v>
      </c>
      <c r="U48" s="510">
        <f t="shared" si="49"/>
        <v>0</v>
      </c>
      <c r="V48" s="510">
        <f t="shared" si="49"/>
        <v>0</v>
      </c>
      <c r="W48" s="511">
        <f>SUM(S48:V48)</f>
        <v>90218</v>
      </c>
      <c r="X48" s="506">
        <f t="shared" si="3"/>
        <v>177781</v>
      </c>
      <c r="Y48" s="513"/>
    </row>
    <row r="49" spans="1:25" s="296" customFormat="1" ht="15" hidden="1" customHeight="1" outlineLevel="1" x14ac:dyDescent="0.2">
      <c r="A49" s="507" t="s">
        <v>1839</v>
      </c>
      <c r="B49" s="508" t="s">
        <v>1837</v>
      </c>
      <c r="C49" s="509">
        <v>0</v>
      </c>
      <c r="D49" s="510">
        <v>0</v>
      </c>
      <c r="E49" s="510">
        <v>0</v>
      </c>
      <c r="F49" s="510">
        <v>0</v>
      </c>
      <c r="G49" s="510">
        <v>0</v>
      </c>
      <c r="H49" s="511">
        <f>SUM(C49:G49)</f>
        <v>0</v>
      </c>
      <c r="I49" s="509">
        <v>0</v>
      </c>
      <c r="J49" s="510">
        <v>0</v>
      </c>
      <c r="K49" s="510">
        <v>0</v>
      </c>
      <c r="L49" s="510">
        <v>0</v>
      </c>
      <c r="M49" s="511">
        <f>SUM(I49:L49)</f>
        <v>0</v>
      </c>
      <c r="N49" s="509">
        <v>0</v>
      </c>
      <c r="O49" s="510">
        <v>0</v>
      </c>
      <c r="P49" s="510">
        <v>0</v>
      </c>
      <c r="Q49" s="510">
        <v>0</v>
      </c>
      <c r="R49" s="511">
        <f>SUM(N49:Q49)</f>
        <v>0</v>
      </c>
      <c r="S49" s="509">
        <f>SUM(I49,N49)</f>
        <v>0</v>
      </c>
      <c r="T49" s="510">
        <f>SUM(J49,O49)</f>
        <v>0</v>
      </c>
      <c r="U49" s="510">
        <f>SUM(K49,P49)</f>
        <v>0</v>
      </c>
      <c r="V49" s="510">
        <f>SUM(L49,Q49)</f>
        <v>0</v>
      </c>
      <c r="W49" s="511">
        <f>SUM(S49:V49)</f>
        <v>0</v>
      </c>
      <c r="X49" s="506">
        <f t="shared" si="3"/>
        <v>0</v>
      </c>
      <c r="Y49" s="513"/>
    </row>
    <row r="50" spans="1:25" s="296" customFormat="1" ht="15" hidden="1" customHeight="1" outlineLevel="1" x14ac:dyDescent="0.2">
      <c r="A50" s="507"/>
      <c r="B50" s="508"/>
      <c r="C50" s="509"/>
      <c r="D50" s="510"/>
      <c r="E50" s="510"/>
      <c r="F50" s="510"/>
      <c r="G50" s="510"/>
      <c r="H50" s="511">
        <f t="shared" si="40"/>
        <v>0</v>
      </c>
      <c r="I50" s="509"/>
      <c r="J50" s="510"/>
      <c r="K50" s="510"/>
      <c r="L50" s="510"/>
      <c r="M50" s="511">
        <f>SUM(I50:L50)</f>
        <v>0</v>
      </c>
      <c r="N50" s="509"/>
      <c r="O50" s="510"/>
      <c r="P50" s="510"/>
      <c r="Q50" s="510"/>
      <c r="R50" s="511">
        <f>SUM(N50:Q50)</f>
        <v>0</v>
      </c>
      <c r="S50" s="509">
        <f t="shared" si="49"/>
        <v>0</v>
      </c>
      <c r="T50" s="510">
        <f t="shared" si="49"/>
        <v>0</v>
      </c>
      <c r="U50" s="510">
        <f t="shared" si="49"/>
        <v>0</v>
      </c>
      <c r="V50" s="510">
        <f t="shared" si="49"/>
        <v>0</v>
      </c>
      <c r="W50" s="511">
        <f>SUM(S50:V50)</f>
        <v>0</v>
      </c>
      <c r="X50" s="506">
        <f t="shared" si="3"/>
        <v>0</v>
      </c>
      <c r="Y50" s="513"/>
    </row>
    <row r="51" spans="1:25" s="515" customFormat="1" ht="15" customHeight="1" collapsed="1" x14ac:dyDescent="0.2">
      <c r="A51" s="501" t="s">
        <v>48</v>
      </c>
      <c r="B51" s="502"/>
      <c r="C51" s="2000">
        <f t="shared" ref="C51:G51" si="50">SUM(C52:C54)</f>
        <v>74215160</v>
      </c>
      <c r="D51" s="2001">
        <f t="shared" si="50"/>
        <v>0</v>
      </c>
      <c r="E51" s="2001">
        <f t="shared" si="50"/>
        <v>0</v>
      </c>
      <c r="F51" s="2001">
        <f t="shared" si="50"/>
        <v>0</v>
      </c>
      <c r="G51" s="2001">
        <f t="shared" si="50"/>
        <v>0</v>
      </c>
      <c r="H51" s="505">
        <f t="shared" ref="H51:W51" si="51">SUM(H52:H54)</f>
        <v>74215160</v>
      </c>
      <c r="I51" s="503">
        <f t="shared" si="51"/>
        <v>36103910</v>
      </c>
      <c r="J51" s="504">
        <f t="shared" si="51"/>
        <v>2023767</v>
      </c>
      <c r="K51" s="504">
        <f t="shared" si="51"/>
        <v>0</v>
      </c>
      <c r="L51" s="504">
        <f t="shared" si="51"/>
        <v>0</v>
      </c>
      <c r="M51" s="505">
        <f t="shared" si="51"/>
        <v>38127677</v>
      </c>
      <c r="N51" s="503">
        <f t="shared" si="51"/>
        <v>0</v>
      </c>
      <c r="O51" s="504">
        <f t="shared" si="51"/>
        <v>0</v>
      </c>
      <c r="P51" s="504">
        <f t="shared" si="51"/>
        <v>0</v>
      </c>
      <c r="Q51" s="504">
        <f t="shared" si="51"/>
        <v>0</v>
      </c>
      <c r="R51" s="505">
        <f t="shared" si="51"/>
        <v>0</v>
      </c>
      <c r="S51" s="503">
        <f t="shared" si="51"/>
        <v>36103910</v>
      </c>
      <c r="T51" s="504">
        <f t="shared" si="51"/>
        <v>2023767</v>
      </c>
      <c r="U51" s="504">
        <f t="shared" si="51"/>
        <v>0</v>
      </c>
      <c r="V51" s="504">
        <f t="shared" si="51"/>
        <v>0</v>
      </c>
      <c r="W51" s="505">
        <f t="shared" si="51"/>
        <v>38127677</v>
      </c>
      <c r="X51" s="506">
        <f t="shared" si="3"/>
        <v>36087483</v>
      </c>
      <c r="Y51" s="470">
        <f>X51-SUM(X52:X54)</f>
        <v>0</v>
      </c>
    </row>
    <row r="52" spans="1:25" s="296" customFormat="1" ht="15" hidden="1" customHeight="1" outlineLevel="1" x14ac:dyDescent="0.2">
      <c r="A52" s="507" t="s">
        <v>48</v>
      </c>
      <c r="B52" s="508" t="s">
        <v>1840</v>
      </c>
      <c r="C52" s="509">
        <f>557401+73657759</f>
        <v>74215160</v>
      </c>
      <c r="D52" s="510">
        <v>0</v>
      </c>
      <c r="E52" s="510">
        <v>0</v>
      </c>
      <c r="F52" s="510">
        <v>0</v>
      </c>
      <c r="G52" s="510">
        <v>0</v>
      </c>
      <c r="H52" s="511">
        <f t="shared" si="40"/>
        <v>74215160</v>
      </c>
      <c r="I52" s="509">
        <f>132960+35970950</f>
        <v>36103910</v>
      </c>
      <c r="J52" s="510">
        <f>63199+1960568</f>
        <v>2023767</v>
      </c>
      <c r="K52" s="510">
        <v>0</v>
      </c>
      <c r="L52" s="510">
        <v>0</v>
      </c>
      <c r="M52" s="511">
        <f>SUM(I52:L52)</f>
        <v>38127677</v>
      </c>
      <c r="N52" s="509">
        <v>0</v>
      </c>
      <c r="O52" s="510">
        <v>0</v>
      </c>
      <c r="P52" s="510">
        <v>0</v>
      </c>
      <c r="Q52" s="510">
        <v>0</v>
      </c>
      <c r="R52" s="511">
        <f>SUM(N52:Q52)</f>
        <v>0</v>
      </c>
      <c r="S52" s="509">
        <f t="shared" ref="S52:V54" si="52">SUM(I52,N52)</f>
        <v>36103910</v>
      </c>
      <c r="T52" s="510">
        <f t="shared" si="52"/>
        <v>2023767</v>
      </c>
      <c r="U52" s="510">
        <f t="shared" si="52"/>
        <v>0</v>
      </c>
      <c r="V52" s="510">
        <f t="shared" si="52"/>
        <v>0</v>
      </c>
      <c r="W52" s="511">
        <f>SUM(S52:V52)</f>
        <v>38127677</v>
      </c>
      <c r="X52" s="506">
        <f t="shared" si="3"/>
        <v>36087483</v>
      </c>
      <c r="Y52" s="513"/>
    </row>
    <row r="53" spans="1:25" s="296" customFormat="1" ht="15" hidden="1" customHeight="1" outlineLevel="1" x14ac:dyDescent="0.2">
      <c r="A53" s="507" t="s">
        <v>1842</v>
      </c>
      <c r="B53" s="508" t="s">
        <v>1841</v>
      </c>
      <c r="C53" s="509">
        <v>0</v>
      </c>
      <c r="D53" s="510">
        <v>0</v>
      </c>
      <c r="E53" s="510">
        <v>0</v>
      </c>
      <c r="F53" s="510">
        <v>0</v>
      </c>
      <c r="G53" s="510">
        <v>0</v>
      </c>
      <c r="H53" s="511">
        <f>SUM(C53:G53)</f>
        <v>0</v>
      </c>
      <c r="I53" s="509">
        <v>0</v>
      </c>
      <c r="J53" s="510">
        <v>0</v>
      </c>
      <c r="K53" s="510">
        <v>0</v>
      </c>
      <c r="L53" s="510">
        <v>0</v>
      </c>
      <c r="M53" s="511">
        <f>SUM(I53:L53)</f>
        <v>0</v>
      </c>
      <c r="N53" s="509">
        <v>0</v>
      </c>
      <c r="O53" s="510">
        <v>0</v>
      </c>
      <c r="P53" s="510">
        <v>0</v>
      </c>
      <c r="Q53" s="510">
        <v>0</v>
      </c>
      <c r="R53" s="511">
        <f>SUM(N53:Q53)</f>
        <v>0</v>
      </c>
      <c r="S53" s="509">
        <f>SUM(I53,N53)</f>
        <v>0</v>
      </c>
      <c r="T53" s="510">
        <f>SUM(J53,O53)</f>
        <v>0</v>
      </c>
      <c r="U53" s="510">
        <f>SUM(K53,P53)</f>
        <v>0</v>
      </c>
      <c r="V53" s="510">
        <f>SUM(L53,Q53)</f>
        <v>0</v>
      </c>
      <c r="W53" s="511">
        <f>SUM(S53:V53)</f>
        <v>0</v>
      </c>
      <c r="X53" s="506">
        <f t="shared" si="3"/>
        <v>0</v>
      </c>
      <c r="Y53" s="513"/>
    </row>
    <row r="54" spans="1:25" s="296" customFormat="1" ht="15" hidden="1" customHeight="1" outlineLevel="1" x14ac:dyDescent="0.2">
      <c r="A54" s="507"/>
      <c r="B54" s="508"/>
      <c r="C54" s="509"/>
      <c r="D54" s="510"/>
      <c r="E54" s="510"/>
      <c r="F54" s="510"/>
      <c r="G54" s="510"/>
      <c r="H54" s="511">
        <f t="shared" si="40"/>
        <v>0</v>
      </c>
      <c r="I54" s="509"/>
      <c r="J54" s="510"/>
      <c r="K54" s="510"/>
      <c r="L54" s="510"/>
      <c r="M54" s="511">
        <f>SUM(I54:L54)</f>
        <v>0</v>
      </c>
      <c r="N54" s="509"/>
      <c r="O54" s="510"/>
      <c r="P54" s="510"/>
      <c r="Q54" s="510"/>
      <c r="R54" s="511">
        <f>SUM(N54:Q54)</f>
        <v>0</v>
      </c>
      <c r="S54" s="509">
        <f t="shared" si="52"/>
        <v>0</v>
      </c>
      <c r="T54" s="510">
        <f t="shared" si="52"/>
        <v>0</v>
      </c>
      <c r="U54" s="510">
        <f t="shared" si="52"/>
        <v>0</v>
      </c>
      <c r="V54" s="510">
        <f t="shared" si="52"/>
        <v>0</v>
      </c>
      <c r="W54" s="511">
        <f>SUM(S54:V54)</f>
        <v>0</v>
      </c>
      <c r="X54" s="506">
        <f t="shared" si="3"/>
        <v>0</v>
      </c>
      <c r="Y54" s="513"/>
    </row>
    <row r="55" spans="1:25" ht="15" hidden="1" customHeight="1" collapsed="1" x14ac:dyDescent="0.2">
      <c r="A55" s="501" t="s">
        <v>676</v>
      </c>
      <c r="B55" s="502"/>
      <c r="C55" s="2000">
        <f t="shared" ref="C55:G55" si="53">SUM(C56:C57)</f>
        <v>0</v>
      </c>
      <c r="D55" s="2001">
        <f t="shared" si="53"/>
        <v>0</v>
      </c>
      <c r="E55" s="2001">
        <f t="shared" si="53"/>
        <v>0</v>
      </c>
      <c r="F55" s="2001">
        <f t="shared" si="53"/>
        <v>0</v>
      </c>
      <c r="G55" s="2001">
        <f t="shared" si="53"/>
        <v>0</v>
      </c>
      <c r="H55" s="505">
        <f t="shared" ref="H55:W55" si="54">SUM(H56:H57)</f>
        <v>0</v>
      </c>
      <c r="I55" s="503">
        <f t="shared" si="54"/>
        <v>0</v>
      </c>
      <c r="J55" s="504">
        <f t="shared" si="54"/>
        <v>0</v>
      </c>
      <c r="K55" s="504">
        <f t="shared" si="54"/>
        <v>0</v>
      </c>
      <c r="L55" s="504">
        <f t="shared" si="54"/>
        <v>0</v>
      </c>
      <c r="M55" s="505">
        <f t="shared" si="54"/>
        <v>0</v>
      </c>
      <c r="N55" s="503">
        <f t="shared" si="54"/>
        <v>0</v>
      </c>
      <c r="O55" s="504">
        <f t="shared" si="54"/>
        <v>0</v>
      </c>
      <c r="P55" s="504">
        <f t="shared" si="54"/>
        <v>0</v>
      </c>
      <c r="Q55" s="504">
        <f t="shared" si="54"/>
        <v>0</v>
      </c>
      <c r="R55" s="505">
        <f t="shared" si="54"/>
        <v>0</v>
      </c>
      <c r="S55" s="503">
        <f t="shared" si="54"/>
        <v>0</v>
      </c>
      <c r="T55" s="504">
        <f t="shared" si="54"/>
        <v>0</v>
      </c>
      <c r="U55" s="504">
        <f t="shared" si="54"/>
        <v>0</v>
      </c>
      <c r="V55" s="504">
        <f t="shared" si="54"/>
        <v>0</v>
      </c>
      <c r="W55" s="505">
        <f t="shared" si="54"/>
        <v>0</v>
      </c>
      <c r="X55" s="506">
        <f t="shared" si="3"/>
        <v>0</v>
      </c>
      <c r="Y55" s="470">
        <f>X55-SUM(X56:X57)</f>
        <v>0</v>
      </c>
    </row>
    <row r="56" spans="1:25" s="296" customFormat="1" ht="15" hidden="1" customHeight="1" outlineLevel="1" x14ac:dyDescent="0.2">
      <c r="A56" s="507" t="s">
        <v>1712</v>
      </c>
      <c r="B56" s="514" t="s">
        <v>1843</v>
      </c>
      <c r="C56" s="509">
        <v>0</v>
      </c>
      <c r="D56" s="510">
        <v>0</v>
      </c>
      <c r="E56" s="510">
        <v>0</v>
      </c>
      <c r="F56" s="510">
        <v>0</v>
      </c>
      <c r="G56" s="510">
        <v>0</v>
      </c>
      <c r="H56" s="511">
        <f t="shared" si="40"/>
        <v>0</v>
      </c>
      <c r="I56" s="509">
        <v>0</v>
      </c>
      <c r="J56" s="510">
        <v>0</v>
      </c>
      <c r="K56" s="510">
        <v>0</v>
      </c>
      <c r="L56" s="510">
        <v>0</v>
      </c>
      <c r="M56" s="511">
        <f>SUM(I56:L56)</f>
        <v>0</v>
      </c>
      <c r="N56" s="509">
        <v>0</v>
      </c>
      <c r="O56" s="510">
        <v>0</v>
      </c>
      <c r="P56" s="510">
        <v>0</v>
      </c>
      <c r="Q56" s="510">
        <v>0</v>
      </c>
      <c r="R56" s="511">
        <f>SUM(N56:Q56)</f>
        <v>0</v>
      </c>
      <c r="S56" s="509">
        <f t="shared" ref="S56:V57" si="55">SUM(I56,N56)</f>
        <v>0</v>
      </c>
      <c r="T56" s="510">
        <f t="shared" si="55"/>
        <v>0</v>
      </c>
      <c r="U56" s="510">
        <f t="shared" si="55"/>
        <v>0</v>
      </c>
      <c r="V56" s="510">
        <f t="shared" si="55"/>
        <v>0</v>
      </c>
      <c r="W56" s="511">
        <f>SUM(S56:V56)</f>
        <v>0</v>
      </c>
      <c r="X56" s="506">
        <f t="shared" si="3"/>
        <v>0</v>
      </c>
      <c r="Y56" s="513"/>
    </row>
    <row r="57" spans="1:25" s="296" customFormat="1" ht="15" hidden="1" customHeight="1" outlineLevel="1" x14ac:dyDescent="0.2">
      <c r="A57" s="507"/>
      <c r="B57" s="508"/>
      <c r="C57" s="509"/>
      <c r="D57" s="510"/>
      <c r="E57" s="510"/>
      <c r="F57" s="510"/>
      <c r="G57" s="510"/>
      <c r="H57" s="511">
        <f t="shared" si="40"/>
        <v>0</v>
      </c>
      <c r="I57" s="509"/>
      <c r="J57" s="510"/>
      <c r="K57" s="510"/>
      <c r="L57" s="510"/>
      <c r="M57" s="511">
        <f>SUM(I57:L57)</f>
        <v>0</v>
      </c>
      <c r="N57" s="509"/>
      <c r="O57" s="510"/>
      <c r="P57" s="510"/>
      <c r="Q57" s="510"/>
      <c r="R57" s="511">
        <f>SUM(N57:Q57)</f>
        <v>0</v>
      </c>
      <c r="S57" s="509">
        <f t="shared" si="55"/>
        <v>0</v>
      </c>
      <c r="T57" s="510">
        <f t="shared" si="55"/>
        <v>0</v>
      </c>
      <c r="U57" s="510">
        <f t="shared" si="55"/>
        <v>0</v>
      </c>
      <c r="V57" s="510">
        <f t="shared" si="55"/>
        <v>0</v>
      </c>
      <c r="W57" s="511">
        <f>SUM(S57:V57)</f>
        <v>0</v>
      </c>
      <c r="X57" s="506">
        <f t="shared" si="3"/>
        <v>0</v>
      </c>
      <c r="Y57" s="513"/>
    </row>
    <row r="58" spans="1:25" ht="15" customHeight="1" collapsed="1" x14ac:dyDescent="0.2">
      <c r="A58" s="501" t="s">
        <v>677</v>
      </c>
      <c r="B58" s="502"/>
      <c r="C58" s="2000">
        <f t="shared" ref="C58:G58" si="56">SUM(C59:C62)</f>
        <v>134095541</v>
      </c>
      <c r="D58" s="2001">
        <f t="shared" si="56"/>
        <v>0</v>
      </c>
      <c r="E58" s="2001">
        <f t="shared" si="56"/>
        <v>10318562</v>
      </c>
      <c r="F58" s="2001">
        <f t="shared" si="56"/>
        <v>0</v>
      </c>
      <c r="G58" s="2001">
        <f t="shared" si="56"/>
        <v>0</v>
      </c>
      <c r="H58" s="505">
        <f t="shared" ref="H58:W58" si="57">SUM(H59:H62)</f>
        <v>144414103</v>
      </c>
      <c r="I58" s="503">
        <f t="shared" si="57"/>
        <v>79604099</v>
      </c>
      <c r="J58" s="504">
        <f>SUM(J59:J62)</f>
        <v>3475404</v>
      </c>
      <c r="K58" s="504">
        <f t="shared" si="57"/>
        <v>0</v>
      </c>
      <c r="L58" s="504">
        <f t="shared" si="57"/>
        <v>0</v>
      </c>
      <c r="M58" s="505">
        <f t="shared" si="57"/>
        <v>83079503</v>
      </c>
      <c r="N58" s="503">
        <f t="shared" si="57"/>
        <v>0</v>
      </c>
      <c r="O58" s="504">
        <f t="shared" si="57"/>
        <v>0</v>
      </c>
      <c r="P58" s="504">
        <f t="shared" si="57"/>
        <v>0</v>
      </c>
      <c r="Q58" s="504">
        <f t="shared" si="57"/>
        <v>0</v>
      </c>
      <c r="R58" s="505">
        <f t="shared" si="57"/>
        <v>0</v>
      </c>
      <c r="S58" s="503">
        <f t="shared" si="57"/>
        <v>79604099</v>
      </c>
      <c r="T58" s="504">
        <f t="shared" si="57"/>
        <v>3475404</v>
      </c>
      <c r="U58" s="504">
        <f t="shared" si="57"/>
        <v>0</v>
      </c>
      <c r="V58" s="504">
        <f t="shared" si="57"/>
        <v>0</v>
      </c>
      <c r="W58" s="505">
        <f t="shared" si="57"/>
        <v>83079503</v>
      </c>
      <c r="X58" s="506">
        <f t="shared" si="3"/>
        <v>61334600</v>
      </c>
      <c r="Y58" s="470">
        <f>X58-SUM(X59:X62)</f>
        <v>0</v>
      </c>
    </row>
    <row r="59" spans="1:25" s="296" customFormat="1" ht="15" hidden="1" customHeight="1" outlineLevel="1" x14ac:dyDescent="0.2">
      <c r="A59" s="507" t="s">
        <v>7702</v>
      </c>
      <c r="B59" s="514" t="s">
        <v>1845</v>
      </c>
      <c r="C59" s="509">
        <f>694440+130873296</f>
        <v>131567736</v>
      </c>
      <c r="D59" s="510">
        <v>0</v>
      </c>
      <c r="E59" s="510">
        <v>10318562</v>
      </c>
      <c r="F59" s="510">
        <v>0</v>
      </c>
      <c r="G59" s="510">
        <v>0</v>
      </c>
      <c r="H59" s="511">
        <f t="shared" si="40"/>
        <v>141886298</v>
      </c>
      <c r="I59" s="509">
        <f>208055+78695245</f>
        <v>78903300</v>
      </c>
      <c r="J59" s="510">
        <f>75812+3223854</f>
        <v>3299666</v>
      </c>
      <c r="K59" s="510">
        <v>0</v>
      </c>
      <c r="L59" s="510">
        <v>0</v>
      </c>
      <c r="M59" s="511">
        <f>SUM(I59:L59)</f>
        <v>82202966</v>
      </c>
      <c r="N59" s="509">
        <v>0</v>
      </c>
      <c r="O59" s="510">
        <v>0</v>
      </c>
      <c r="P59" s="510">
        <v>0</v>
      </c>
      <c r="Q59" s="510">
        <v>0</v>
      </c>
      <c r="R59" s="511">
        <f>SUM(N59:Q59)</f>
        <v>0</v>
      </c>
      <c r="S59" s="509">
        <f t="shared" ref="S59:T62" si="58">SUM(I59,N59)</f>
        <v>78903300</v>
      </c>
      <c r="T59" s="510">
        <f t="shared" si="58"/>
        <v>3299666</v>
      </c>
      <c r="U59" s="510">
        <f t="shared" ref="U59:V62" si="59">SUM(K59,P59)</f>
        <v>0</v>
      </c>
      <c r="V59" s="510">
        <f t="shared" si="59"/>
        <v>0</v>
      </c>
      <c r="W59" s="511">
        <f>SUM(S59:V59)</f>
        <v>82202966</v>
      </c>
      <c r="X59" s="506">
        <f t="shared" si="3"/>
        <v>59683332</v>
      </c>
      <c r="Y59" s="513"/>
    </row>
    <row r="60" spans="1:25" s="296" customFormat="1" ht="15" hidden="1" customHeight="1" outlineLevel="1" x14ac:dyDescent="0.2">
      <c r="A60" s="507" t="s">
        <v>1844</v>
      </c>
      <c r="B60" s="514" t="s">
        <v>1846</v>
      </c>
      <c r="C60" s="509">
        <v>0</v>
      </c>
      <c r="D60" s="510">
        <v>0</v>
      </c>
      <c r="E60" s="510">
        <v>0</v>
      </c>
      <c r="F60" s="510">
        <v>0</v>
      </c>
      <c r="G60" s="510">
        <v>0</v>
      </c>
      <c r="H60" s="511">
        <f>SUM(C60:G60)</f>
        <v>0</v>
      </c>
      <c r="I60" s="509">
        <v>0</v>
      </c>
      <c r="J60" s="510">
        <v>0</v>
      </c>
      <c r="K60" s="510">
        <v>0</v>
      </c>
      <c r="L60" s="510">
        <v>0</v>
      </c>
      <c r="M60" s="511">
        <f>SUM(I60:L60)</f>
        <v>0</v>
      </c>
      <c r="N60" s="509">
        <v>0</v>
      </c>
      <c r="O60" s="510">
        <v>0</v>
      </c>
      <c r="P60" s="510">
        <v>0</v>
      </c>
      <c r="Q60" s="510">
        <v>0</v>
      </c>
      <c r="R60" s="511">
        <f>SUM(N60:Q60)</f>
        <v>0</v>
      </c>
      <c r="S60" s="509">
        <f>SUM(I60,N60)</f>
        <v>0</v>
      </c>
      <c r="T60" s="510">
        <f>SUM(J60,O60)</f>
        <v>0</v>
      </c>
      <c r="U60" s="510">
        <f>SUM(K60,P60)</f>
        <v>0</v>
      </c>
      <c r="V60" s="510">
        <f>SUM(L60,Q60)</f>
        <v>0</v>
      </c>
      <c r="W60" s="511">
        <f>SUM(S60:V60)</f>
        <v>0</v>
      </c>
      <c r="X60" s="506">
        <f t="shared" si="3"/>
        <v>0</v>
      </c>
      <c r="Y60" s="513"/>
    </row>
    <row r="61" spans="1:25" s="296" customFormat="1" ht="15" hidden="1" customHeight="1" outlineLevel="1" x14ac:dyDescent="0.2">
      <c r="A61" s="507" t="s">
        <v>677</v>
      </c>
      <c r="B61" s="514" t="s">
        <v>1847</v>
      </c>
      <c r="C61" s="509">
        <f>930688+1597117</f>
        <v>2527805</v>
      </c>
      <c r="D61" s="510">
        <v>0</v>
      </c>
      <c r="E61" s="510">
        <v>0</v>
      </c>
      <c r="F61" s="510">
        <v>0</v>
      </c>
      <c r="G61" s="510">
        <v>0</v>
      </c>
      <c r="H61" s="511">
        <f t="shared" si="40"/>
        <v>2527805</v>
      </c>
      <c r="I61" s="509">
        <f>284896+415903</f>
        <v>700799</v>
      </c>
      <c r="J61" s="510">
        <f>137155+38583</f>
        <v>175738</v>
      </c>
      <c r="K61" s="510">
        <v>0</v>
      </c>
      <c r="L61" s="510">
        <v>0</v>
      </c>
      <c r="M61" s="511">
        <f>SUM(I61:L61)</f>
        <v>876537</v>
      </c>
      <c r="N61" s="509">
        <v>0</v>
      </c>
      <c r="O61" s="510">
        <v>0</v>
      </c>
      <c r="P61" s="510">
        <v>0</v>
      </c>
      <c r="Q61" s="510">
        <v>0</v>
      </c>
      <c r="R61" s="511">
        <f>SUM(N61:Q61)</f>
        <v>0</v>
      </c>
      <c r="S61" s="509">
        <f t="shared" si="58"/>
        <v>700799</v>
      </c>
      <c r="T61" s="510">
        <f t="shared" si="58"/>
        <v>175738</v>
      </c>
      <c r="U61" s="510">
        <f t="shared" si="59"/>
        <v>0</v>
      </c>
      <c r="V61" s="510">
        <f t="shared" si="59"/>
        <v>0</v>
      </c>
      <c r="W61" s="511">
        <f>SUM(S61:V61)</f>
        <v>876537</v>
      </c>
      <c r="X61" s="506">
        <f t="shared" si="3"/>
        <v>1651268</v>
      </c>
      <c r="Y61" s="513"/>
    </row>
    <row r="62" spans="1:25" s="296" customFormat="1" ht="15" hidden="1" customHeight="1" outlineLevel="1" x14ac:dyDescent="0.2">
      <c r="A62" s="507"/>
      <c r="B62" s="508"/>
      <c r="C62" s="509"/>
      <c r="D62" s="510"/>
      <c r="E62" s="510"/>
      <c r="F62" s="510"/>
      <c r="G62" s="510"/>
      <c r="H62" s="511">
        <f t="shared" si="40"/>
        <v>0</v>
      </c>
      <c r="I62" s="509"/>
      <c r="J62" s="510"/>
      <c r="K62" s="510"/>
      <c r="L62" s="510"/>
      <c r="M62" s="511">
        <f>SUM(I62:L62)</f>
        <v>0</v>
      </c>
      <c r="N62" s="509"/>
      <c r="O62" s="510"/>
      <c r="P62" s="510"/>
      <c r="Q62" s="510"/>
      <c r="R62" s="511">
        <f>SUM(N62:Q62)</f>
        <v>0</v>
      </c>
      <c r="S62" s="509">
        <f t="shared" si="58"/>
        <v>0</v>
      </c>
      <c r="T62" s="510">
        <f t="shared" si="58"/>
        <v>0</v>
      </c>
      <c r="U62" s="510">
        <f t="shared" si="59"/>
        <v>0</v>
      </c>
      <c r="V62" s="510">
        <f t="shared" si="59"/>
        <v>0</v>
      </c>
      <c r="W62" s="511">
        <f>SUM(S62:V62)</f>
        <v>0</v>
      </c>
      <c r="X62" s="506">
        <f t="shared" si="3"/>
        <v>0</v>
      </c>
      <c r="Y62" s="513"/>
    </row>
    <row r="63" spans="1:25" ht="15" customHeight="1" collapsed="1" x14ac:dyDescent="0.2">
      <c r="A63" s="501" t="s">
        <v>176</v>
      </c>
      <c r="B63" s="502"/>
      <c r="C63" s="2000">
        <f t="shared" ref="C63:G63" si="60">SUM(C64:C67)</f>
        <v>106961379</v>
      </c>
      <c r="D63" s="2001">
        <f t="shared" si="60"/>
        <v>0</v>
      </c>
      <c r="E63" s="2001">
        <f t="shared" si="60"/>
        <v>14237442.26</v>
      </c>
      <c r="F63" s="2001">
        <f t="shared" si="60"/>
        <v>0</v>
      </c>
      <c r="G63" s="2001">
        <f t="shared" si="60"/>
        <v>0</v>
      </c>
      <c r="H63" s="505">
        <f t="shared" ref="H63:W63" si="61">SUM(H64:H67)</f>
        <v>121198821.26000001</v>
      </c>
      <c r="I63" s="503">
        <f t="shared" si="61"/>
        <v>65968873</v>
      </c>
      <c r="J63" s="504">
        <f t="shared" si="61"/>
        <v>5444635</v>
      </c>
      <c r="K63" s="504">
        <f t="shared" si="61"/>
        <v>0</v>
      </c>
      <c r="L63" s="504">
        <f t="shared" si="61"/>
        <v>0</v>
      </c>
      <c r="M63" s="505">
        <f t="shared" si="61"/>
        <v>71413508</v>
      </c>
      <c r="N63" s="503">
        <f t="shared" si="61"/>
        <v>0</v>
      </c>
      <c r="O63" s="504">
        <f t="shared" si="61"/>
        <v>0</v>
      </c>
      <c r="P63" s="504">
        <f t="shared" si="61"/>
        <v>0</v>
      </c>
      <c r="Q63" s="504">
        <f t="shared" si="61"/>
        <v>0</v>
      </c>
      <c r="R63" s="505">
        <f t="shared" si="61"/>
        <v>0</v>
      </c>
      <c r="S63" s="503">
        <f t="shared" si="61"/>
        <v>65968873</v>
      </c>
      <c r="T63" s="504">
        <f t="shared" si="61"/>
        <v>5444635</v>
      </c>
      <c r="U63" s="504">
        <f t="shared" si="61"/>
        <v>0</v>
      </c>
      <c r="V63" s="504">
        <f t="shared" si="61"/>
        <v>0</v>
      </c>
      <c r="W63" s="505">
        <f t="shared" si="61"/>
        <v>71413508</v>
      </c>
      <c r="X63" s="506">
        <f t="shared" si="3"/>
        <v>49785313.260000005</v>
      </c>
      <c r="Y63" s="470">
        <f>X63-SUM(X64:X67)</f>
        <v>0</v>
      </c>
    </row>
    <row r="64" spans="1:25" s="296" customFormat="1" ht="15" hidden="1" customHeight="1" outlineLevel="1" x14ac:dyDescent="0.2">
      <c r="A64" s="507" t="s">
        <v>176</v>
      </c>
      <c r="B64" s="508" t="s">
        <v>1849</v>
      </c>
      <c r="C64" s="509">
        <f>403225+105850938</f>
        <v>106254163</v>
      </c>
      <c r="D64" s="510">
        <v>0</v>
      </c>
      <c r="E64" s="510">
        <f>14317844-80401.74</f>
        <v>14237442.26</v>
      </c>
      <c r="F64" s="510">
        <v>0</v>
      </c>
      <c r="G64" s="510">
        <v>0</v>
      </c>
      <c r="H64" s="511">
        <f t="shared" si="40"/>
        <v>120491605.26000001</v>
      </c>
      <c r="I64" s="509">
        <f>49728+65448975</f>
        <v>65498703</v>
      </c>
      <c r="J64" s="510">
        <f>14214+5405573</f>
        <v>5419787</v>
      </c>
      <c r="K64" s="510">
        <v>0</v>
      </c>
      <c r="L64" s="510">
        <v>0</v>
      </c>
      <c r="M64" s="511">
        <f>SUM(I64:L64)</f>
        <v>70918490</v>
      </c>
      <c r="N64" s="509">
        <v>0</v>
      </c>
      <c r="O64" s="510">
        <v>0</v>
      </c>
      <c r="P64" s="510">
        <v>0</v>
      </c>
      <c r="Q64" s="510">
        <v>0</v>
      </c>
      <c r="R64" s="511">
        <f>SUM(N64:Q64)</f>
        <v>0</v>
      </c>
      <c r="S64" s="509">
        <f t="shared" ref="S64:T67" si="62">SUM(I64,N64)</f>
        <v>65498703</v>
      </c>
      <c r="T64" s="510">
        <f t="shared" si="62"/>
        <v>5419787</v>
      </c>
      <c r="U64" s="510">
        <f t="shared" ref="U64:V67" si="63">SUM(K64,P64)</f>
        <v>0</v>
      </c>
      <c r="V64" s="510">
        <f t="shared" si="63"/>
        <v>0</v>
      </c>
      <c r="W64" s="511">
        <f>SUM(S64:V64)</f>
        <v>70918490</v>
      </c>
      <c r="X64" s="506">
        <f t="shared" si="3"/>
        <v>49573115.260000005</v>
      </c>
      <c r="Y64" s="513"/>
    </row>
    <row r="65" spans="1:25" s="296" customFormat="1" ht="15" hidden="1" customHeight="1" outlineLevel="1" x14ac:dyDescent="0.2">
      <c r="A65" s="507" t="s">
        <v>237</v>
      </c>
      <c r="B65" s="514" t="s">
        <v>1850</v>
      </c>
      <c r="C65" s="509">
        <v>707216</v>
      </c>
      <c r="D65" s="510">
        <v>0</v>
      </c>
      <c r="E65" s="510">
        <v>0</v>
      </c>
      <c r="F65" s="510">
        <v>0</v>
      </c>
      <c r="G65" s="510">
        <v>0</v>
      </c>
      <c r="H65" s="511">
        <f t="shared" si="40"/>
        <v>707216</v>
      </c>
      <c r="I65" s="509">
        <v>470170</v>
      </c>
      <c r="J65" s="510">
        <v>24848</v>
      </c>
      <c r="K65" s="510">
        <v>0</v>
      </c>
      <c r="L65" s="510">
        <v>0</v>
      </c>
      <c r="M65" s="511">
        <f>SUM(I65:L65)</f>
        <v>495018</v>
      </c>
      <c r="N65" s="509">
        <v>0</v>
      </c>
      <c r="O65" s="510">
        <v>0</v>
      </c>
      <c r="P65" s="510">
        <v>0</v>
      </c>
      <c r="Q65" s="510">
        <v>0</v>
      </c>
      <c r="R65" s="511">
        <f>SUM(N65:Q65)</f>
        <v>0</v>
      </c>
      <c r="S65" s="509">
        <f t="shared" si="62"/>
        <v>470170</v>
      </c>
      <c r="T65" s="510">
        <f t="shared" si="62"/>
        <v>24848</v>
      </c>
      <c r="U65" s="510">
        <f t="shared" si="63"/>
        <v>0</v>
      </c>
      <c r="V65" s="510">
        <f t="shared" si="63"/>
        <v>0</v>
      </c>
      <c r="W65" s="511">
        <f>SUM(S65:V65)</f>
        <v>495018</v>
      </c>
      <c r="X65" s="506">
        <f t="shared" si="3"/>
        <v>212198</v>
      </c>
      <c r="Y65" s="513"/>
    </row>
    <row r="66" spans="1:25" s="296" customFormat="1" ht="15" hidden="1" customHeight="1" outlineLevel="1" x14ac:dyDescent="0.2">
      <c r="A66" s="507" t="s">
        <v>1848</v>
      </c>
      <c r="B66" s="514" t="s">
        <v>1851</v>
      </c>
      <c r="C66" s="509">
        <v>0</v>
      </c>
      <c r="D66" s="510">
        <v>0</v>
      </c>
      <c r="E66" s="510">
        <v>0</v>
      </c>
      <c r="F66" s="510">
        <v>0</v>
      </c>
      <c r="G66" s="510">
        <v>0</v>
      </c>
      <c r="H66" s="511">
        <f>SUM(C66:G66)</f>
        <v>0</v>
      </c>
      <c r="I66" s="509">
        <v>0</v>
      </c>
      <c r="J66" s="510">
        <v>0</v>
      </c>
      <c r="K66" s="510">
        <v>0</v>
      </c>
      <c r="L66" s="510">
        <v>0</v>
      </c>
      <c r="M66" s="511">
        <f>SUM(I66:L66)</f>
        <v>0</v>
      </c>
      <c r="N66" s="509">
        <v>0</v>
      </c>
      <c r="O66" s="510">
        <v>0</v>
      </c>
      <c r="P66" s="510">
        <v>0</v>
      </c>
      <c r="Q66" s="510">
        <v>0</v>
      </c>
      <c r="R66" s="511">
        <f>SUM(N66:Q66)</f>
        <v>0</v>
      </c>
      <c r="S66" s="509">
        <f t="shared" si="62"/>
        <v>0</v>
      </c>
      <c r="T66" s="510">
        <f t="shared" si="62"/>
        <v>0</v>
      </c>
      <c r="U66" s="510">
        <f t="shared" si="63"/>
        <v>0</v>
      </c>
      <c r="V66" s="510">
        <f t="shared" si="63"/>
        <v>0</v>
      </c>
      <c r="W66" s="511">
        <f>SUM(S66:V66)</f>
        <v>0</v>
      </c>
      <c r="X66" s="506">
        <f t="shared" si="3"/>
        <v>0</v>
      </c>
      <c r="Y66" s="513"/>
    </row>
    <row r="67" spans="1:25" s="296" customFormat="1" ht="15" hidden="1" customHeight="1" outlineLevel="1" x14ac:dyDescent="0.2">
      <c r="A67" s="507"/>
      <c r="B67" s="508"/>
      <c r="C67" s="509"/>
      <c r="D67" s="510"/>
      <c r="E67" s="510"/>
      <c r="F67" s="510"/>
      <c r="G67" s="510"/>
      <c r="H67" s="511">
        <f t="shared" si="40"/>
        <v>0</v>
      </c>
      <c r="I67" s="509"/>
      <c r="J67" s="510"/>
      <c r="K67" s="510"/>
      <c r="L67" s="510"/>
      <c r="M67" s="511">
        <f>SUM(I67:L67)</f>
        <v>0</v>
      </c>
      <c r="N67" s="509"/>
      <c r="O67" s="510"/>
      <c r="P67" s="510"/>
      <c r="Q67" s="510"/>
      <c r="R67" s="511">
        <f>SUM(N67:Q67)</f>
        <v>0</v>
      </c>
      <c r="S67" s="509">
        <f t="shared" si="62"/>
        <v>0</v>
      </c>
      <c r="T67" s="510">
        <f t="shared" si="62"/>
        <v>0</v>
      </c>
      <c r="U67" s="510">
        <f t="shared" si="63"/>
        <v>0</v>
      </c>
      <c r="V67" s="510">
        <f t="shared" si="63"/>
        <v>0</v>
      </c>
      <c r="W67" s="511">
        <f>SUM(S67:V67)</f>
        <v>0</v>
      </c>
      <c r="X67" s="506">
        <f t="shared" si="3"/>
        <v>0</v>
      </c>
      <c r="Y67" s="513"/>
    </row>
    <row r="68" spans="1:25" s="515" customFormat="1" ht="15" customHeight="1" collapsed="1" x14ac:dyDescent="0.2">
      <c r="A68" s="501" t="s">
        <v>236</v>
      </c>
      <c r="B68" s="502"/>
      <c r="C68" s="2000">
        <f t="shared" ref="C68:G68" si="64">SUM(C69:C73)</f>
        <v>136742262</v>
      </c>
      <c r="D68" s="2001">
        <f t="shared" si="64"/>
        <v>0</v>
      </c>
      <c r="E68" s="2001">
        <f t="shared" si="64"/>
        <v>23794872.120000001</v>
      </c>
      <c r="F68" s="2001">
        <f t="shared" si="64"/>
        <v>0</v>
      </c>
      <c r="G68" s="2001">
        <f t="shared" si="64"/>
        <v>0</v>
      </c>
      <c r="H68" s="505">
        <f t="shared" ref="H68:W68" si="65">SUM(H69:H73)</f>
        <v>160537134.12</v>
      </c>
      <c r="I68" s="503">
        <f t="shared" si="65"/>
        <v>78267447</v>
      </c>
      <c r="J68" s="504">
        <f t="shared" si="65"/>
        <v>4488621</v>
      </c>
      <c r="K68" s="504">
        <f t="shared" si="65"/>
        <v>0</v>
      </c>
      <c r="L68" s="504">
        <f t="shared" si="65"/>
        <v>0</v>
      </c>
      <c r="M68" s="505">
        <f t="shared" si="65"/>
        <v>82756068</v>
      </c>
      <c r="N68" s="503">
        <f t="shared" si="65"/>
        <v>0</v>
      </c>
      <c r="O68" s="504">
        <f t="shared" si="65"/>
        <v>0</v>
      </c>
      <c r="P68" s="504">
        <f t="shared" si="65"/>
        <v>0</v>
      </c>
      <c r="Q68" s="504">
        <f t="shared" si="65"/>
        <v>0</v>
      </c>
      <c r="R68" s="505">
        <f t="shared" si="65"/>
        <v>0</v>
      </c>
      <c r="S68" s="503">
        <f t="shared" si="65"/>
        <v>78267447</v>
      </c>
      <c r="T68" s="504">
        <f t="shared" si="65"/>
        <v>4488621</v>
      </c>
      <c r="U68" s="504">
        <f t="shared" si="65"/>
        <v>0</v>
      </c>
      <c r="V68" s="504">
        <f t="shared" si="65"/>
        <v>0</v>
      </c>
      <c r="W68" s="505">
        <f t="shared" si="65"/>
        <v>82756068</v>
      </c>
      <c r="X68" s="506">
        <f t="shared" si="3"/>
        <v>77781066.120000005</v>
      </c>
      <c r="Y68" s="470">
        <f>X68-SUM(X69:X73)</f>
        <v>0</v>
      </c>
    </row>
    <row r="69" spans="1:25" s="296" customFormat="1" ht="15" hidden="1" customHeight="1" outlineLevel="1" x14ac:dyDescent="0.2">
      <c r="A69" s="507" t="s">
        <v>1856</v>
      </c>
      <c r="B69" s="508" t="s">
        <v>1852</v>
      </c>
      <c r="C69" s="509">
        <v>0</v>
      </c>
      <c r="D69" s="510">
        <v>0</v>
      </c>
      <c r="E69" s="510">
        <v>0</v>
      </c>
      <c r="F69" s="510">
        <v>0</v>
      </c>
      <c r="G69" s="510">
        <v>0</v>
      </c>
      <c r="H69" s="511">
        <f t="shared" si="40"/>
        <v>0</v>
      </c>
      <c r="I69" s="509">
        <v>0</v>
      </c>
      <c r="J69" s="510">
        <v>0</v>
      </c>
      <c r="K69" s="510">
        <v>0</v>
      </c>
      <c r="L69" s="510">
        <v>0</v>
      </c>
      <c r="M69" s="511">
        <f>SUM(I69:L69)</f>
        <v>0</v>
      </c>
      <c r="N69" s="509">
        <v>0</v>
      </c>
      <c r="O69" s="510">
        <v>0</v>
      </c>
      <c r="P69" s="510">
        <v>0</v>
      </c>
      <c r="Q69" s="510">
        <v>0</v>
      </c>
      <c r="R69" s="511">
        <f>SUM(N69:Q69)</f>
        <v>0</v>
      </c>
      <c r="S69" s="509">
        <f t="shared" ref="S69:T73" si="66">SUM(I69,N69)</f>
        <v>0</v>
      </c>
      <c r="T69" s="510">
        <f t="shared" si="66"/>
        <v>0</v>
      </c>
      <c r="U69" s="510">
        <f t="shared" ref="U69:V73" si="67">SUM(K69,P69)</f>
        <v>0</v>
      </c>
      <c r="V69" s="510">
        <f t="shared" si="67"/>
        <v>0</v>
      </c>
      <c r="W69" s="511">
        <f>SUM(S69:V69)</f>
        <v>0</v>
      </c>
      <c r="X69" s="506">
        <f t="shared" si="3"/>
        <v>0</v>
      </c>
      <c r="Y69" s="513"/>
    </row>
    <row r="70" spans="1:25" s="296" customFormat="1" ht="15" hidden="1" customHeight="1" outlineLevel="1" x14ac:dyDescent="0.2">
      <c r="A70" s="507" t="s">
        <v>1857</v>
      </c>
      <c r="B70" s="514" t="s">
        <v>1853</v>
      </c>
      <c r="C70" s="509">
        <f>792166+88627275</f>
        <v>89419441</v>
      </c>
      <c r="D70" s="510">
        <v>0</v>
      </c>
      <c r="E70" s="510">
        <f>24218209-423336.88</f>
        <v>23794872.120000001</v>
      </c>
      <c r="F70" s="510">
        <v>0</v>
      </c>
      <c r="G70" s="510">
        <v>0</v>
      </c>
      <c r="H70" s="511">
        <f>SUM(C70:G70)</f>
        <v>113214313.12</v>
      </c>
      <c r="I70" s="509">
        <f>164339+52094766</f>
        <v>52259105</v>
      </c>
      <c r="J70" s="510">
        <f>55541+3123268+1</f>
        <v>3178810</v>
      </c>
      <c r="K70" s="510">
        <v>0</v>
      </c>
      <c r="L70" s="510">
        <v>0</v>
      </c>
      <c r="M70" s="511">
        <f>SUM(I70:L70)</f>
        <v>55437915</v>
      </c>
      <c r="N70" s="509">
        <v>0</v>
      </c>
      <c r="O70" s="510">
        <v>0</v>
      </c>
      <c r="P70" s="510">
        <v>0</v>
      </c>
      <c r="Q70" s="510">
        <v>0</v>
      </c>
      <c r="R70" s="511">
        <f>SUM(N70:Q70)</f>
        <v>0</v>
      </c>
      <c r="S70" s="509">
        <f t="shared" si="66"/>
        <v>52259105</v>
      </c>
      <c r="T70" s="510">
        <f t="shared" si="66"/>
        <v>3178810</v>
      </c>
      <c r="U70" s="510">
        <f t="shared" si="67"/>
        <v>0</v>
      </c>
      <c r="V70" s="510">
        <f t="shared" si="67"/>
        <v>0</v>
      </c>
      <c r="W70" s="511">
        <f>SUM(S70:V70)</f>
        <v>55437915</v>
      </c>
      <c r="X70" s="506">
        <f t="shared" si="3"/>
        <v>57776398.120000005</v>
      </c>
      <c r="Y70" s="513"/>
    </row>
    <row r="71" spans="1:25" s="296" customFormat="1" ht="15" hidden="1" customHeight="1" outlineLevel="1" x14ac:dyDescent="0.2">
      <c r="A71" s="507" t="s">
        <v>7705</v>
      </c>
      <c r="B71" s="514" t="s">
        <v>1854</v>
      </c>
      <c r="C71" s="509">
        <v>47322821</v>
      </c>
      <c r="D71" s="510">
        <v>0</v>
      </c>
      <c r="E71" s="510">
        <v>0</v>
      </c>
      <c r="F71" s="510">
        <v>0</v>
      </c>
      <c r="G71" s="510">
        <v>0</v>
      </c>
      <c r="H71" s="511">
        <f>SUM(C71:G71)</f>
        <v>47322821</v>
      </c>
      <c r="I71" s="509">
        <v>26008342</v>
      </c>
      <c r="J71" s="510">
        <f>1309810+1</f>
        <v>1309811</v>
      </c>
      <c r="K71" s="510">
        <v>0</v>
      </c>
      <c r="L71" s="510">
        <v>0</v>
      </c>
      <c r="M71" s="511">
        <f>SUM(I71:L71)</f>
        <v>27318153</v>
      </c>
      <c r="N71" s="509">
        <v>0</v>
      </c>
      <c r="O71" s="510">
        <v>0</v>
      </c>
      <c r="P71" s="510">
        <v>0</v>
      </c>
      <c r="Q71" s="510">
        <v>0</v>
      </c>
      <c r="R71" s="511">
        <f>SUM(N71:Q71)</f>
        <v>0</v>
      </c>
      <c r="S71" s="509">
        <f t="shared" ref="S71:V72" si="68">SUM(I71,N71)</f>
        <v>26008342</v>
      </c>
      <c r="T71" s="510">
        <f t="shared" si="68"/>
        <v>1309811</v>
      </c>
      <c r="U71" s="510">
        <f t="shared" si="68"/>
        <v>0</v>
      </c>
      <c r="V71" s="510">
        <f t="shared" si="68"/>
        <v>0</v>
      </c>
      <c r="W71" s="511">
        <f>SUM(S71:V71)</f>
        <v>27318153</v>
      </c>
      <c r="X71" s="506">
        <f t="shared" si="3"/>
        <v>20004668</v>
      </c>
      <c r="Y71" s="513"/>
    </row>
    <row r="72" spans="1:25" s="296" customFormat="1" ht="15" hidden="1" customHeight="1" outlineLevel="1" x14ac:dyDescent="0.2">
      <c r="A72" s="507" t="s">
        <v>1858</v>
      </c>
      <c r="B72" s="514" t="s">
        <v>1855</v>
      </c>
      <c r="C72" s="509">
        <v>0</v>
      </c>
      <c r="D72" s="510">
        <v>0</v>
      </c>
      <c r="E72" s="510">
        <v>0</v>
      </c>
      <c r="F72" s="510">
        <v>0</v>
      </c>
      <c r="G72" s="510">
        <v>0</v>
      </c>
      <c r="H72" s="511">
        <f>SUM(C72:G72)</f>
        <v>0</v>
      </c>
      <c r="I72" s="509">
        <v>0</v>
      </c>
      <c r="J72" s="510">
        <v>0</v>
      </c>
      <c r="K72" s="510">
        <v>0</v>
      </c>
      <c r="L72" s="510">
        <v>0</v>
      </c>
      <c r="M72" s="511">
        <f>SUM(I72:L72)</f>
        <v>0</v>
      </c>
      <c r="N72" s="509">
        <v>0</v>
      </c>
      <c r="O72" s="510">
        <v>0</v>
      </c>
      <c r="P72" s="510">
        <v>0</v>
      </c>
      <c r="Q72" s="510">
        <v>0</v>
      </c>
      <c r="R72" s="511">
        <f>SUM(N72:Q72)</f>
        <v>0</v>
      </c>
      <c r="S72" s="509">
        <f t="shared" si="68"/>
        <v>0</v>
      </c>
      <c r="T72" s="510">
        <f t="shared" si="68"/>
        <v>0</v>
      </c>
      <c r="U72" s="510">
        <f t="shared" si="68"/>
        <v>0</v>
      </c>
      <c r="V72" s="510">
        <f t="shared" si="68"/>
        <v>0</v>
      </c>
      <c r="W72" s="511">
        <f>SUM(S72:V72)</f>
        <v>0</v>
      </c>
      <c r="X72" s="506">
        <f t="shared" si="3"/>
        <v>0</v>
      </c>
      <c r="Y72" s="513"/>
    </row>
    <row r="73" spans="1:25" s="296" customFormat="1" ht="15" hidden="1" customHeight="1" outlineLevel="1" x14ac:dyDescent="0.2">
      <c r="A73" s="507"/>
      <c r="B73" s="508"/>
      <c r="C73" s="509"/>
      <c r="D73" s="510"/>
      <c r="E73" s="510"/>
      <c r="F73" s="510"/>
      <c r="G73" s="510"/>
      <c r="H73" s="511">
        <f>SUM(C73:G73)</f>
        <v>0</v>
      </c>
      <c r="I73" s="509"/>
      <c r="J73" s="510"/>
      <c r="K73" s="510"/>
      <c r="L73" s="510"/>
      <c r="M73" s="511">
        <f>SUM(I73:L73)</f>
        <v>0</v>
      </c>
      <c r="N73" s="509"/>
      <c r="O73" s="510"/>
      <c r="P73" s="510"/>
      <c r="Q73" s="510"/>
      <c r="R73" s="511">
        <f>SUM(N73:Q73)</f>
        <v>0</v>
      </c>
      <c r="S73" s="509">
        <f t="shared" si="66"/>
        <v>0</v>
      </c>
      <c r="T73" s="510">
        <f t="shared" si="66"/>
        <v>0</v>
      </c>
      <c r="U73" s="510">
        <f t="shared" si="67"/>
        <v>0</v>
      </c>
      <c r="V73" s="510">
        <f t="shared" si="67"/>
        <v>0</v>
      </c>
      <c r="W73" s="511">
        <f>SUM(S73:V73)</f>
        <v>0</v>
      </c>
      <c r="X73" s="506">
        <f t="shared" si="3"/>
        <v>0</v>
      </c>
      <c r="Y73" s="513"/>
    </row>
    <row r="74" spans="1:25" ht="15" customHeight="1" collapsed="1" x14ac:dyDescent="0.2">
      <c r="A74" s="501" t="s">
        <v>229</v>
      </c>
      <c r="B74" s="502"/>
      <c r="C74" s="2000">
        <f t="shared" ref="C74:G74" si="69">SUM(C75:C81)</f>
        <v>78999336.069999993</v>
      </c>
      <c r="D74" s="2001">
        <f t="shared" si="69"/>
        <v>0</v>
      </c>
      <c r="E74" s="2001">
        <f t="shared" si="69"/>
        <v>1820131</v>
      </c>
      <c r="F74" s="2001">
        <f t="shared" si="69"/>
        <v>0</v>
      </c>
      <c r="G74" s="2001">
        <f t="shared" si="69"/>
        <v>0</v>
      </c>
      <c r="H74" s="505">
        <f t="shared" ref="H74:W74" si="70">SUM(H75:H81)</f>
        <v>80819467.069999993</v>
      </c>
      <c r="I74" s="503">
        <f t="shared" si="70"/>
        <v>34843521</v>
      </c>
      <c r="J74" s="504">
        <f t="shared" si="70"/>
        <v>2049225</v>
      </c>
      <c r="K74" s="504">
        <f t="shared" si="70"/>
        <v>0</v>
      </c>
      <c r="L74" s="504">
        <f t="shared" si="70"/>
        <v>0</v>
      </c>
      <c r="M74" s="505">
        <f t="shared" si="70"/>
        <v>36892746</v>
      </c>
      <c r="N74" s="503">
        <f t="shared" si="70"/>
        <v>0</v>
      </c>
      <c r="O74" s="504">
        <f t="shared" si="70"/>
        <v>0</v>
      </c>
      <c r="P74" s="504">
        <f t="shared" si="70"/>
        <v>0</v>
      </c>
      <c r="Q74" s="504">
        <f t="shared" si="70"/>
        <v>0</v>
      </c>
      <c r="R74" s="505">
        <f t="shared" si="70"/>
        <v>0</v>
      </c>
      <c r="S74" s="503">
        <f t="shared" si="70"/>
        <v>34843521</v>
      </c>
      <c r="T74" s="504">
        <f t="shared" si="70"/>
        <v>2049225</v>
      </c>
      <c r="U74" s="504">
        <f t="shared" si="70"/>
        <v>0</v>
      </c>
      <c r="V74" s="504">
        <f t="shared" si="70"/>
        <v>0</v>
      </c>
      <c r="W74" s="505">
        <f t="shared" si="70"/>
        <v>36892746</v>
      </c>
      <c r="X74" s="506">
        <f t="shared" ref="X74" si="71">H74-W74</f>
        <v>43926721.069999993</v>
      </c>
      <c r="Y74" s="470">
        <f>X74-SUM(X75:X81)</f>
        <v>0</v>
      </c>
    </row>
    <row r="75" spans="1:25" s="296" customFormat="1" ht="15" hidden="1" customHeight="1" outlineLevel="1" x14ac:dyDescent="0.2">
      <c r="A75" s="507" t="s">
        <v>182</v>
      </c>
      <c r="B75" s="514" t="s">
        <v>1859</v>
      </c>
      <c r="C75" s="509">
        <v>15383610</v>
      </c>
      <c r="D75" s="510">
        <v>0</v>
      </c>
      <c r="E75" s="510">
        <v>0</v>
      </c>
      <c r="F75" s="510">
        <v>0</v>
      </c>
      <c r="G75" s="510">
        <v>0</v>
      </c>
      <c r="H75" s="511">
        <f t="shared" ref="H75:H81" si="72">SUM(C75:G75)</f>
        <v>15383610</v>
      </c>
      <c r="I75" s="509">
        <v>9090460</v>
      </c>
      <c r="J75" s="510">
        <v>341858</v>
      </c>
      <c r="K75" s="510">
        <v>0</v>
      </c>
      <c r="L75" s="510">
        <v>0</v>
      </c>
      <c r="M75" s="511">
        <f t="shared" ref="M75:M81" si="73">SUM(I75:L75)</f>
        <v>9432318</v>
      </c>
      <c r="N75" s="509">
        <v>0</v>
      </c>
      <c r="O75" s="510">
        <v>0</v>
      </c>
      <c r="P75" s="510">
        <v>0</v>
      </c>
      <c r="Q75" s="510">
        <v>0</v>
      </c>
      <c r="R75" s="511">
        <f t="shared" ref="R75:R81" si="74">SUM(N75:Q75)</f>
        <v>0</v>
      </c>
      <c r="S75" s="509">
        <f t="shared" ref="S75:V81" si="75">SUM(I75,N75)</f>
        <v>9090460</v>
      </c>
      <c r="T75" s="510">
        <f t="shared" si="75"/>
        <v>341858</v>
      </c>
      <c r="U75" s="510">
        <f t="shared" si="75"/>
        <v>0</v>
      </c>
      <c r="V75" s="510">
        <f t="shared" si="75"/>
        <v>0</v>
      </c>
      <c r="W75" s="511">
        <f t="shared" ref="W75:W81" si="76">SUM(S75:V75)</f>
        <v>9432318</v>
      </c>
      <c r="X75" s="512">
        <f t="shared" ref="X75:X81" si="77">+H75-W75</f>
        <v>5951292</v>
      </c>
      <c r="Y75" s="513"/>
    </row>
    <row r="76" spans="1:25" s="296" customFormat="1" ht="15" hidden="1" customHeight="1" outlineLevel="1" x14ac:dyDescent="0.2">
      <c r="A76" s="507" t="s">
        <v>1860</v>
      </c>
      <c r="B76" s="514" t="s">
        <v>1864</v>
      </c>
      <c r="C76" s="509">
        <v>0</v>
      </c>
      <c r="D76" s="510">
        <v>0</v>
      </c>
      <c r="E76" s="510">
        <v>0</v>
      </c>
      <c r="F76" s="510">
        <v>0</v>
      </c>
      <c r="G76" s="510">
        <v>0</v>
      </c>
      <c r="H76" s="511">
        <f t="shared" si="72"/>
        <v>0</v>
      </c>
      <c r="I76" s="509">
        <v>0</v>
      </c>
      <c r="J76" s="510">
        <v>0</v>
      </c>
      <c r="K76" s="510">
        <v>0</v>
      </c>
      <c r="L76" s="510">
        <v>0</v>
      </c>
      <c r="M76" s="511">
        <f t="shared" si="73"/>
        <v>0</v>
      </c>
      <c r="N76" s="509">
        <v>0</v>
      </c>
      <c r="O76" s="510">
        <v>0</v>
      </c>
      <c r="P76" s="510">
        <v>0</v>
      </c>
      <c r="Q76" s="510">
        <v>0</v>
      </c>
      <c r="R76" s="511">
        <f t="shared" si="74"/>
        <v>0</v>
      </c>
      <c r="S76" s="509">
        <f t="shared" si="75"/>
        <v>0</v>
      </c>
      <c r="T76" s="510">
        <f t="shared" si="75"/>
        <v>0</v>
      </c>
      <c r="U76" s="510">
        <f t="shared" si="75"/>
        <v>0</v>
      </c>
      <c r="V76" s="510">
        <f t="shared" si="75"/>
        <v>0</v>
      </c>
      <c r="W76" s="511">
        <f t="shared" si="76"/>
        <v>0</v>
      </c>
      <c r="X76" s="512">
        <f t="shared" si="77"/>
        <v>0</v>
      </c>
      <c r="Y76" s="513"/>
    </row>
    <row r="77" spans="1:25" s="296" customFormat="1" ht="15" hidden="1" customHeight="1" outlineLevel="1" x14ac:dyDescent="0.2">
      <c r="A77" s="507" t="s">
        <v>1861</v>
      </c>
      <c r="B77" s="514" t="s">
        <v>1865</v>
      </c>
      <c r="C77" s="509">
        <v>0</v>
      </c>
      <c r="D77" s="510">
        <v>0</v>
      </c>
      <c r="E77" s="510">
        <v>0</v>
      </c>
      <c r="F77" s="510">
        <v>0</v>
      </c>
      <c r="G77" s="510">
        <v>0</v>
      </c>
      <c r="H77" s="511">
        <f t="shared" si="72"/>
        <v>0</v>
      </c>
      <c r="I77" s="509">
        <v>0</v>
      </c>
      <c r="J77" s="510">
        <v>0</v>
      </c>
      <c r="K77" s="510">
        <v>0</v>
      </c>
      <c r="L77" s="510">
        <v>0</v>
      </c>
      <c r="M77" s="511">
        <f t="shared" si="73"/>
        <v>0</v>
      </c>
      <c r="N77" s="509">
        <v>0</v>
      </c>
      <c r="O77" s="510">
        <v>0</v>
      </c>
      <c r="P77" s="510">
        <v>0</v>
      </c>
      <c r="Q77" s="510">
        <v>0</v>
      </c>
      <c r="R77" s="511">
        <f t="shared" si="74"/>
        <v>0</v>
      </c>
      <c r="S77" s="509">
        <f t="shared" si="75"/>
        <v>0</v>
      </c>
      <c r="T77" s="510">
        <f t="shared" si="75"/>
        <v>0</v>
      </c>
      <c r="U77" s="510">
        <f t="shared" si="75"/>
        <v>0</v>
      </c>
      <c r="V77" s="510">
        <f t="shared" si="75"/>
        <v>0</v>
      </c>
      <c r="W77" s="511">
        <f t="shared" si="76"/>
        <v>0</v>
      </c>
      <c r="X77" s="512">
        <f t="shared" si="77"/>
        <v>0</v>
      </c>
      <c r="Y77" s="513"/>
    </row>
    <row r="78" spans="1:25" s="296" customFormat="1" ht="15" hidden="1" customHeight="1" outlineLevel="1" x14ac:dyDescent="0.2">
      <c r="A78" s="507" t="s">
        <v>7706</v>
      </c>
      <c r="B78" s="514" t="s">
        <v>1866</v>
      </c>
      <c r="C78" s="509">
        <f>63615725+1.07</f>
        <v>63615726.07</v>
      </c>
      <c r="D78" s="510">
        <v>0</v>
      </c>
      <c r="E78" s="510">
        <v>1820131</v>
      </c>
      <c r="F78" s="510">
        <v>0</v>
      </c>
      <c r="G78" s="510">
        <v>0</v>
      </c>
      <c r="H78" s="511">
        <f t="shared" si="72"/>
        <v>65435857.07</v>
      </c>
      <c r="I78" s="509">
        <v>25753061</v>
      </c>
      <c r="J78" s="510">
        <v>1707367</v>
      </c>
      <c r="K78" s="510">
        <v>0</v>
      </c>
      <c r="L78" s="510">
        <v>0</v>
      </c>
      <c r="M78" s="511">
        <f t="shared" si="73"/>
        <v>27460428</v>
      </c>
      <c r="N78" s="509">
        <v>0</v>
      </c>
      <c r="O78" s="510">
        <v>0</v>
      </c>
      <c r="P78" s="510">
        <v>0</v>
      </c>
      <c r="Q78" s="510">
        <v>0</v>
      </c>
      <c r="R78" s="511">
        <f t="shared" si="74"/>
        <v>0</v>
      </c>
      <c r="S78" s="509">
        <f t="shared" si="75"/>
        <v>25753061</v>
      </c>
      <c r="T78" s="510">
        <f>SUM(J78,O78)</f>
        <v>1707367</v>
      </c>
      <c r="U78" s="510">
        <f t="shared" si="75"/>
        <v>0</v>
      </c>
      <c r="V78" s="510">
        <f t="shared" si="75"/>
        <v>0</v>
      </c>
      <c r="W78" s="511">
        <f t="shared" si="76"/>
        <v>27460428</v>
      </c>
      <c r="X78" s="512">
        <f t="shared" si="77"/>
        <v>37975429.07</v>
      </c>
      <c r="Y78" s="513"/>
    </row>
    <row r="79" spans="1:25" s="296" customFormat="1" ht="15" hidden="1" customHeight="1" outlineLevel="1" x14ac:dyDescent="0.2">
      <c r="A79" s="507" t="s">
        <v>1863</v>
      </c>
      <c r="B79" s="514" t="s">
        <v>1867</v>
      </c>
      <c r="C79" s="509">
        <v>0</v>
      </c>
      <c r="D79" s="510">
        <v>0</v>
      </c>
      <c r="E79" s="510">
        <v>0</v>
      </c>
      <c r="F79" s="510">
        <v>0</v>
      </c>
      <c r="G79" s="510">
        <v>0</v>
      </c>
      <c r="H79" s="511">
        <f t="shared" si="72"/>
        <v>0</v>
      </c>
      <c r="I79" s="509">
        <v>0</v>
      </c>
      <c r="J79" s="510">
        <v>0</v>
      </c>
      <c r="K79" s="510">
        <v>0</v>
      </c>
      <c r="L79" s="510">
        <v>0</v>
      </c>
      <c r="M79" s="511">
        <f t="shared" si="73"/>
        <v>0</v>
      </c>
      <c r="N79" s="509">
        <v>0</v>
      </c>
      <c r="O79" s="510">
        <v>0</v>
      </c>
      <c r="P79" s="510">
        <v>0</v>
      </c>
      <c r="Q79" s="510">
        <v>0</v>
      </c>
      <c r="R79" s="511">
        <f t="shared" si="74"/>
        <v>0</v>
      </c>
      <c r="S79" s="509">
        <f t="shared" si="75"/>
        <v>0</v>
      </c>
      <c r="T79" s="510">
        <f t="shared" si="75"/>
        <v>0</v>
      </c>
      <c r="U79" s="510">
        <f t="shared" si="75"/>
        <v>0</v>
      </c>
      <c r="V79" s="510">
        <f t="shared" si="75"/>
        <v>0</v>
      </c>
      <c r="W79" s="511">
        <f t="shared" si="76"/>
        <v>0</v>
      </c>
      <c r="X79" s="512">
        <f t="shared" si="77"/>
        <v>0</v>
      </c>
      <c r="Y79" s="513"/>
    </row>
    <row r="80" spans="1:25" s="296" customFormat="1" ht="15" hidden="1" customHeight="1" outlineLevel="1" x14ac:dyDescent="0.2">
      <c r="A80" s="507" t="s">
        <v>2129</v>
      </c>
      <c r="B80" s="508" t="s">
        <v>231</v>
      </c>
      <c r="C80" s="509">
        <v>0</v>
      </c>
      <c r="D80" s="510">
        <v>0</v>
      </c>
      <c r="E80" s="510">
        <v>0</v>
      </c>
      <c r="F80" s="510">
        <v>0</v>
      </c>
      <c r="G80" s="510">
        <v>0</v>
      </c>
      <c r="H80" s="511">
        <f t="shared" si="72"/>
        <v>0</v>
      </c>
      <c r="I80" s="509">
        <v>0</v>
      </c>
      <c r="J80" s="510">
        <v>0</v>
      </c>
      <c r="K80" s="510">
        <v>0</v>
      </c>
      <c r="L80" s="510">
        <v>0</v>
      </c>
      <c r="M80" s="511">
        <f t="shared" si="73"/>
        <v>0</v>
      </c>
      <c r="N80" s="509">
        <v>0</v>
      </c>
      <c r="O80" s="510">
        <v>0</v>
      </c>
      <c r="P80" s="510">
        <v>0</v>
      </c>
      <c r="Q80" s="510">
        <v>0</v>
      </c>
      <c r="R80" s="511">
        <f t="shared" si="74"/>
        <v>0</v>
      </c>
      <c r="S80" s="509">
        <f t="shared" si="75"/>
        <v>0</v>
      </c>
      <c r="T80" s="510">
        <f t="shared" si="75"/>
        <v>0</v>
      </c>
      <c r="U80" s="510">
        <f t="shared" si="75"/>
        <v>0</v>
      </c>
      <c r="V80" s="510">
        <f t="shared" si="75"/>
        <v>0</v>
      </c>
      <c r="W80" s="511">
        <f t="shared" si="76"/>
        <v>0</v>
      </c>
      <c r="X80" s="512">
        <f t="shared" si="77"/>
        <v>0</v>
      </c>
      <c r="Y80" s="513"/>
    </row>
    <row r="81" spans="1:25" s="296" customFormat="1" ht="15" hidden="1" customHeight="1" outlineLevel="1" x14ac:dyDescent="0.2">
      <c r="A81" s="507"/>
      <c r="B81" s="508"/>
      <c r="C81" s="509"/>
      <c r="D81" s="510"/>
      <c r="E81" s="510"/>
      <c r="F81" s="510"/>
      <c r="G81" s="510"/>
      <c r="H81" s="511">
        <f t="shared" si="72"/>
        <v>0</v>
      </c>
      <c r="I81" s="509"/>
      <c r="J81" s="510"/>
      <c r="K81" s="510"/>
      <c r="L81" s="510"/>
      <c r="M81" s="511">
        <f t="shared" si="73"/>
        <v>0</v>
      </c>
      <c r="N81" s="509"/>
      <c r="O81" s="510"/>
      <c r="P81" s="510"/>
      <c r="Q81" s="510"/>
      <c r="R81" s="511">
        <f t="shared" si="74"/>
        <v>0</v>
      </c>
      <c r="S81" s="509">
        <f t="shared" si="75"/>
        <v>0</v>
      </c>
      <c r="T81" s="510">
        <f t="shared" si="75"/>
        <v>0</v>
      </c>
      <c r="U81" s="510">
        <f t="shared" si="75"/>
        <v>0</v>
      </c>
      <c r="V81" s="510">
        <f t="shared" si="75"/>
        <v>0</v>
      </c>
      <c r="W81" s="511">
        <f t="shared" si="76"/>
        <v>0</v>
      </c>
      <c r="X81" s="512">
        <f t="shared" si="77"/>
        <v>0</v>
      </c>
      <c r="Y81" s="513"/>
    </row>
    <row r="82" spans="1:25" ht="15" hidden="1" customHeight="1" collapsed="1" x14ac:dyDescent="0.2">
      <c r="A82" s="501" t="s">
        <v>237</v>
      </c>
      <c r="B82" s="502"/>
      <c r="C82" s="2000">
        <f t="shared" ref="C82:G82" si="78">SUM(C83:C85)</f>
        <v>0</v>
      </c>
      <c r="D82" s="2001">
        <f t="shared" si="78"/>
        <v>0</v>
      </c>
      <c r="E82" s="2001">
        <f t="shared" si="78"/>
        <v>0</v>
      </c>
      <c r="F82" s="2001">
        <f t="shared" si="78"/>
        <v>0</v>
      </c>
      <c r="G82" s="2001">
        <f t="shared" si="78"/>
        <v>0</v>
      </c>
      <c r="H82" s="505">
        <f t="shared" ref="H82:M82" si="79">SUM(H83:H85)</f>
        <v>0</v>
      </c>
      <c r="I82" s="503">
        <f t="shared" si="79"/>
        <v>0</v>
      </c>
      <c r="J82" s="504">
        <f t="shared" si="79"/>
        <v>0</v>
      </c>
      <c r="K82" s="504">
        <f t="shared" si="79"/>
        <v>0</v>
      </c>
      <c r="L82" s="504">
        <f t="shared" si="79"/>
        <v>0</v>
      </c>
      <c r="M82" s="505">
        <f t="shared" si="79"/>
        <v>0</v>
      </c>
      <c r="N82" s="503">
        <f t="shared" ref="N82:V82" si="80">SUM(N83:N85)</f>
        <v>0</v>
      </c>
      <c r="O82" s="504">
        <f t="shared" si="80"/>
        <v>0</v>
      </c>
      <c r="P82" s="504">
        <f>SUM(P83:P85)</f>
        <v>0</v>
      </c>
      <c r="Q82" s="504">
        <f t="shared" si="80"/>
        <v>0</v>
      </c>
      <c r="R82" s="505">
        <f t="shared" si="80"/>
        <v>0</v>
      </c>
      <c r="S82" s="503">
        <f t="shared" si="80"/>
        <v>0</v>
      </c>
      <c r="T82" s="504">
        <f t="shared" si="80"/>
        <v>0</v>
      </c>
      <c r="U82" s="504">
        <f>SUM(U83:U85)</f>
        <v>0</v>
      </c>
      <c r="V82" s="504">
        <f t="shared" si="80"/>
        <v>0</v>
      </c>
      <c r="W82" s="505">
        <f>SUM(W83:W85)</f>
        <v>0</v>
      </c>
      <c r="X82" s="506">
        <f>SUM(X83:X85)</f>
        <v>0</v>
      </c>
      <c r="Y82" s="470">
        <f>X82-SUM(X83:X85)</f>
        <v>0</v>
      </c>
    </row>
    <row r="83" spans="1:25" s="296" customFormat="1" ht="15" hidden="1" customHeight="1" outlineLevel="1" x14ac:dyDescent="0.2">
      <c r="A83" s="507" t="s">
        <v>604</v>
      </c>
      <c r="B83" s="508" t="s">
        <v>1868</v>
      </c>
      <c r="C83" s="509">
        <v>0</v>
      </c>
      <c r="D83" s="510">
        <v>0</v>
      </c>
      <c r="E83" s="510">
        <v>0</v>
      </c>
      <c r="F83" s="510">
        <v>0</v>
      </c>
      <c r="G83" s="510">
        <v>0</v>
      </c>
      <c r="H83" s="511">
        <f>SUM(C83:G83)</f>
        <v>0</v>
      </c>
      <c r="I83" s="509">
        <v>0</v>
      </c>
      <c r="J83" s="510">
        <v>0</v>
      </c>
      <c r="K83" s="510">
        <v>0</v>
      </c>
      <c r="L83" s="510">
        <v>0</v>
      </c>
      <c r="M83" s="511">
        <f>SUM(I83:L83)</f>
        <v>0</v>
      </c>
      <c r="N83" s="509">
        <v>0</v>
      </c>
      <c r="O83" s="510">
        <v>0</v>
      </c>
      <c r="P83" s="510">
        <v>0</v>
      </c>
      <c r="Q83" s="510">
        <v>0</v>
      </c>
      <c r="R83" s="511">
        <f>SUM(N83:Q83)</f>
        <v>0</v>
      </c>
      <c r="S83" s="509">
        <f t="shared" ref="S83:T85" si="81">SUM(I83,N83)</f>
        <v>0</v>
      </c>
      <c r="T83" s="510">
        <f t="shared" si="81"/>
        <v>0</v>
      </c>
      <c r="U83" s="510">
        <f t="shared" ref="U83:V85" si="82">SUM(K83,P83)</f>
        <v>0</v>
      </c>
      <c r="V83" s="510">
        <f t="shared" si="82"/>
        <v>0</v>
      </c>
      <c r="W83" s="511">
        <f>SUM(S83:V83)</f>
        <v>0</v>
      </c>
      <c r="X83" s="512">
        <f>+H83-W83</f>
        <v>0</v>
      </c>
      <c r="Y83" s="513"/>
    </row>
    <row r="84" spans="1:25" s="296" customFormat="1" ht="15" hidden="1" customHeight="1" outlineLevel="1" x14ac:dyDescent="0.2">
      <c r="A84" s="507" t="s">
        <v>1870</v>
      </c>
      <c r="B84" s="508" t="s">
        <v>1869</v>
      </c>
      <c r="C84" s="509">
        <v>0</v>
      </c>
      <c r="D84" s="510">
        <v>0</v>
      </c>
      <c r="E84" s="510">
        <v>0</v>
      </c>
      <c r="F84" s="510">
        <v>0</v>
      </c>
      <c r="G84" s="510">
        <v>0</v>
      </c>
      <c r="H84" s="511">
        <f>SUM(C84:G84)</f>
        <v>0</v>
      </c>
      <c r="I84" s="509">
        <v>0</v>
      </c>
      <c r="J84" s="510">
        <v>0</v>
      </c>
      <c r="K84" s="510">
        <v>0</v>
      </c>
      <c r="L84" s="510">
        <v>0</v>
      </c>
      <c r="M84" s="511">
        <f>SUM(I84:L84)</f>
        <v>0</v>
      </c>
      <c r="N84" s="509">
        <v>0</v>
      </c>
      <c r="O84" s="510">
        <v>0</v>
      </c>
      <c r="P84" s="510">
        <v>0</v>
      </c>
      <c r="Q84" s="510">
        <v>0</v>
      </c>
      <c r="R84" s="511">
        <f>SUM(N84:Q84)</f>
        <v>0</v>
      </c>
      <c r="S84" s="509">
        <f t="shared" si="81"/>
        <v>0</v>
      </c>
      <c r="T84" s="510">
        <f t="shared" si="81"/>
        <v>0</v>
      </c>
      <c r="U84" s="510">
        <f t="shared" si="82"/>
        <v>0</v>
      </c>
      <c r="V84" s="510">
        <f t="shared" si="82"/>
        <v>0</v>
      </c>
      <c r="W84" s="511">
        <f>SUM(S84:V84)</f>
        <v>0</v>
      </c>
      <c r="X84" s="512">
        <f>+H84-W84</f>
        <v>0</v>
      </c>
      <c r="Y84" s="513"/>
    </row>
    <row r="85" spans="1:25" s="296" customFormat="1" ht="15" hidden="1" customHeight="1" outlineLevel="1" x14ac:dyDescent="0.2">
      <c r="A85" s="507"/>
      <c r="B85" s="508"/>
      <c r="C85" s="509"/>
      <c r="D85" s="510"/>
      <c r="E85" s="510"/>
      <c r="F85" s="510"/>
      <c r="G85" s="510"/>
      <c r="H85" s="511">
        <f>SUM(C85:G85)</f>
        <v>0</v>
      </c>
      <c r="I85" s="509"/>
      <c r="J85" s="510"/>
      <c r="K85" s="510"/>
      <c r="L85" s="510"/>
      <c r="M85" s="511">
        <f>SUM(I85:L85)</f>
        <v>0</v>
      </c>
      <c r="N85" s="509"/>
      <c r="O85" s="510"/>
      <c r="P85" s="510"/>
      <c r="Q85" s="510"/>
      <c r="R85" s="511">
        <f>SUM(N85:Q85)</f>
        <v>0</v>
      </c>
      <c r="S85" s="509">
        <f t="shared" si="81"/>
        <v>0</v>
      </c>
      <c r="T85" s="510">
        <f t="shared" si="81"/>
        <v>0</v>
      </c>
      <c r="U85" s="510">
        <f t="shared" si="82"/>
        <v>0</v>
      </c>
      <c r="V85" s="510">
        <f t="shared" si="82"/>
        <v>0</v>
      </c>
      <c r="W85" s="511">
        <f>SUM(S85:V85)</f>
        <v>0</v>
      </c>
      <c r="X85" s="512">
        <f>+H85-W85</f>
        <v>0</v>
      </c>
      <c r="Y85" s="513"/>
    </row>
    <row r="86" spans="1:25" ht="15" customHeight="1" collapsed="1" x14ac:dyDescent="0.2">
      <c r="A86" s="501"/>
      <c r="B86" s="502"/>
      <c r="C86" s="516"/>
      <c r="D86" s="517"/>
      <c r="E86" s="517"/>
      <c r="F86" s="504"/>
      <c r="G86" s="504"/>
      <c r="H86" s="505"/>
      <c r="I86" s="503"/>
      <c r="J86" s="504"/>
      <c r="K86" s="504"/>
      <c r="L86" s="504"/>
      <c r="M86" s="505"/>
      <c r="N86" s="503"/>
      <c r="O86" s="504"/>
      <c r="P86" s="504"/>
      <c r="Q86" s="504"/>
      <c r="R86" s="505"/>
      <c r="S86" s="503"/>
      <c r="T86" s="504"/>
      <c r="U86" s="504"/>
      <c r="V86" s="504"/>
      <c r="W86" s="505"/>
      <c r="X86" s="506"/>
    </row>
    <row r="87" spans="1:25" ht="15" customHeight="1" thickBot="1" x14ac:dyDescent="0.25">
      <c r="A87" s="493" t="s">
        <v>234</v>
      </c>
      <c r="B87" s="494"/>
      <c r="C87" s="518">
        <f t="shared" ref="C87:Y87" si="83">SUM(C9,C13,C23,C25,C29,C40,C47,C51,C55,C58,C63,C68,C74,C82)</f>
        <v>627845183.06999993</v>
      </c>
      <c r="D87" s="519">
        <f t="shared" si="83"/>
        <v>0</v>
      </c>
      <c r="E87" s="519">
        <f t="shared" si="83"/>
        <v>50171007.379999995</v>
      </c>
      <c r="F87" s="519">
        <f t="shared" si="83"/>
        <v>0</v>
      </c>
      <c r="G87" s="519">
        <f t="shared" si="83"/>
        <v>-230376</v>
      </c>
      <c r="H87" s="520">
        <f t="shared" si="83"/>
        <v>678140200.45000005</v>
      </c>
      <c r="I87" s="518">
        <f t="shared" si="83"/>
        <v>348464319</v>
      </c>
      <c r="J87" s="519">
        <f t="shared" si="83"/>
        <v>21215435</v>
      </c>
      <c r="K87" s="519">
        <f t="shared" si="83"/>
        <v>0</v>
      </c>
      <c r="L87" s="519">
        <f t="shared" si="83"/>
        <v>0</v>
      </c>
      <c r="M87" s="520">
        <f t="shared" si="83"/>
        <v>369679754</v>
      </c>
      <c r="N87" s="518">
        <f t="shared" si="83"/>
        <v>0</v>
      </c>
      <c r="O87" s="519">
        <f t="shared" si="83"/>
        <v>153995</v>
      </c>
      <c r="P87" s="519">
        <f t="shared" si="83"/>
        <v>0</v>
      </c>
      <c r="Q87" s="519">
        <f t="shared" si="83"/>
        <v>0</v>
      </c>
      <c r="R87" s="520">
        <f t="shared" si="83"/>
        <v>153995</v>
      </c>
      <c r="S87" s="518">
        <f t="shared" si="83"/>
        <v>348464319</v>
      </c>
      <c r="T87" s="519">
        <f t="shared" si="83"/>
        <v>21369430</v>
      </c>
      <c r="U87" s="519">
        <f t="shared" si="83"/>
        <v>0</v>
      </c>
      <c r="V87" s="519">
        <f t="shared" si="83"/>
        <v>-99274</v>
      </c>
      <c r="W87" s="520">
        <f t="shared" si="83"/>
        <v>369734475</v>
      </c>
      <c r="X87" s="521">
        <f t="shared" si="83"/>
        <v>308405725.44999999</v>
      </c>
      <c r="Y87" s="470">
        <f t="shared" si="83"/>
        <v>6856511</v>
      </c>
    </row>
    <row r="88" spans="1:25" ht="15" customHeight="1" thickTop="1" thickBot="1" x14ac:dyDescent="0.25">
      <c r="A88" s="522"/>
      <c r="B88" s="523"/>
      <c r="C88" s="524"/>
      <c r="D88" s="525"/>
      <c r="E88" s="525"/>
      <c r="F88" s="525"/>
      <c r="G88" s="525"/>
      <c r="H88" s="526"/>
      <c r="I88" s="524"/>
      <c r="J88" s="525"/>
      <c r="K88" s="525"/>
      <c r="L88" s="525"/>
      <c r="M88" s="526"/>
      <c r="N88" s="524"/>
      <c r="O88" s="525"/>
      <c r="P88" s="525"/>
      <c r="Q88" s="525"/>
      <c r="R88" s="526"/>
      <c r="S88" s="524"/>
      <c r="T88" s="525"/>
      <c r="U88" s="525"/>
      <c r="V88" s="525"/>
      <c r="W88" s="526"/>
      <c r="X88" s="527"/>
    </row>
    <row r="89" spans="1:25" x14ac:dyDescent="0.2">
      <c r="C89" s="469">
        <f>C87-'PPE Note'!K16</f>
        <v>0</v>
      </c>
      <c r="D89" s="469">
        <f>D87-'PPE Note'!K25</f>
        <v>0</v>
      </c>
      <c r="E89" s="469">
        <f>E87-'PPE Note'!K17-'PPE Note'!K28</f>
        <v>0</v>
      </c>
      <c r="F89" s="469">
        <f>'PPE Note'!K47-F87</f>
        <v>0</v>
      </c>
      <c r="G89" s="469">
        <f>'PPE Note'!K39-'APPENDIX C'!G87</f>
        <v>-0.14000000001396984</v>
      </c>
      <c r="H89" s="469">
        <f>H87-'PPE Note'!K66</f>
        <v>354386.1400001049</v>
      </c>
      <c r="I89" s="469">
        <f>I87+'PPE Note'!K21</f>
        <v>-0.79999995231628418</v>
      </c>
      <c r="J89" s="469">
        <f>J87+'PPE Note'!K34</f>
        <v>-0.48999999836087227</v>
      </c>
      <c r="K89" s="469">
        <f>K87-'APPENDIX B'!X314</f>
        <v>0</v>
      </c>
      <c r="L89" s="469">
        <f>L87+'PPE Note'!K42+'PPE Note'!K50</f>
        <v>99272</v>
      </c>
      <c r="M89" s="469">
        <f>M87+'PPE Note'!K71</f>
        <v>99270.709999978542</v>
      </c>
      <c r="N89" s="469">
        <v>0</v>
      </c>
      <c r="O89" s="469">
        <f>O87+'PPE Note'!K55</f>
        <v>0.41000000000349246</v>
      </c>
      <c r="P89" s="469">
        <f>P87-'APPENDIX B'!AC314</f>
        <v>0</v>
      </c>
      <c r="Q89" s="469">
        <f>Q87-'APPENDIX B'!AD314</f>
        <v>0</v>
      </c>
      <c r="R89" s="469">
        <f>R87+'PPE Note'!K55</f>
        <v>0.41000000000349246</v>
      </c>
      <c r="S89" s="469">
        <f>S87+'PPE Note'!K21</f>
        <v>-0.79999995231628418</v>
      </c>
      <c r="T89" s="469">
        <f>T87+'PPE Note'!K34+'PPE Note'!K70</f>
        <v>-7.9999998357379809E-2</v>
      </c>
      <c r="U89" s="469">
        <f>U87-'APPENDIX B'!AH314</f>
        <v>0</v>
      </c>
      <c r="V89" s="469">
        <f>V87-'APPENDIX B'!AI314</f>
        <v>0.16000000000349246</v>
      </c>
      <c r="W89" s="469">
        <f>W87+'PPE Note'!K71+'PPE Note'!K70</f>
        <v>-2.8800000214541797</v>
      </c>
      <c r="X89" s="469"/>
    </row>
    <row r="90" spans="1:25" x14ac:dyDescent="0.2">
      <c r="C90" s="469"/>
      <c r="E90" s="2755"/>
    </row>
    <row r="91" spans="1:25" x14ac:dyDescent="0.2">
      <c r="C91" s="469"/>
    </row>
  </sheetData>
  <mergeCells count="20">
    <mergeCell ref="A2:X2"/>
    <mergeCell ref="A1:X1"/>
    <mergeCell ref="A3:X3"/>
    <mergeCell ref="C4:H4"/>
    <mergeCell ref="I4:M4"/>
    <mergeCell ref="N4:R4"/>
    <mergeCell ref="S4:W4"/>
    <mergeCell ref="V5:V6"/>
    <mergeCell ref="D5:D6"/>
    <mergeCell ref="G5:G6"/>
    <mergeCell ref="J5:J6"/>
    <mergeCell ref="L5:L6"/>
    <mergeCell ref="E5:E6"/>
    <mergeCell ref="F5:F6"/>
    <mergeCell ref="K5:K6"/>
    <mergeCell ref="P5:P6"/>
    <mergeCell ref="U5:U6"/>
    <mergeCell ref="O5:O6"/>
    <mergeCell ref="Q5:Q6"/>
    <mergeCell ref="T5:T6"/>
  </mergeCells>
  <phoneticPr fontId="0" type="noConversion"/>
  <printOptions horizontalCentered="1"/>
  <pageMargins left="0.39370078740157483" right="0.39370078740157483" top="0.39370078740157483" bottom="0.39370078740157483" header="0.19685039370078741" footer="0.19685039370078741"/>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55"/>
  <sheetViews>
    <sheetView view="pageBreakPreview" zoomScale="82" zoomScaleNormal="100" zoomScaleSheetLayoutView="82" workbookViewId="0">
      <selection activeCell="A16" sqref="A16"/>
    </sheetView>
  </sheetViews>
  <sheetFormatPr defaultColWidth="9.140625" defaultRowHeight="15" outlineLevelRow="1" outlineLevelCol="1" x14ac:dyDescent="0.2"/>
  <cols>
    <col min="1" max="1" width="16.7109375" style="3" customWidth="1"/>
    <col min="2" max="2" width="16.7109375" style="3" hidden="1" customWidth="1" outlineLevel="1"/>
    <col min="3" max="3" width="16.7109375" style="3" customWidth="1" collapsed="1"/>
    <col min="4" max="4" width="16.7109375" style="3" hidden="1" customWidth="1" outlineLevel="1"/>
    <col min="5" max="5" width="16.7109375" style="3" customWidth="1" collapsed="1"/>
    <col min="6" max="6" width="46.5703125" style="1" customWidth="1"/>
    <col min="7" max="7" width="10.7109375" style="1" hidden="1" customWidth="1" outlineLevel="1"/>
    <col min="8" max="8" width="16.7109375" style="3" customWidth="1" collapsed="1"/>
    <col min="9" max="9" width="16.7109375" style="3" hidden="1" customWidth="1" outlineLevel="1"/>
    <col min="10" max="10" width="16.7109375" style="3" customWidth="1" collapsed="1"/>
    <col min="11" max="11" width="16.7109375" style="3" hidden="1" customWidth="1" outlineLevel="1"/>
    <col min="12" max="12" width="16.7109375" style="3" customWidth="1" collapsed="1"/>
    <col min="13" max="16384" width="9.140625" style="1"/>
  </cols>
  <sheetData>
    <row r="1" spans="1:12" ht="18" customHeight="1" x14ac:dyDescent="0.25">
      <c r="A1" s="2808" t="s">
        <v>203</v>
      </c>
      <c r="B1" s="2808"/>
      <c r="C1" s="2808"/>
      <c r="D1" s="2808"/>
      <c r="E1" s="2808"/>
      <c r="F1" s="2808"/>
      <c r="G1" s="2808"/>
      <c r="H1" s="2808"/>
      <c r="I1" s="2808"/>
      <c r="J1" s="2808"/>
      <c r="K1" s="2808"/>
      <c r="L1" s="2808"/>
    </row>
    <row r="2" spans="1:12" ht="15.95" customHeight="1" x14ac:dyDescent="0.25">
      <c r="A2" s="3008" t="str">
        <f>Parameters!C5</f>
        <v>Mohokare Local Municipality</v>
      </c>
      <c r="B2" s="3008"/>
      <c r="C2" s="3008"/>
      <c r="D2" s="3008"/>
      <c r="E2" s="3008"/>
      <c r="F2" s="3008"/>
      <c r="G2" s="3008"/>
      <c r="H2" s="3008"/>
      <c r="I2" s="3008"/>
      <c r="J2" s="3008"/>
      <c r="K2" s="3008"/>
      <c r="L2" s="3008"/>
    </row>
    <row r="3" spans="1:12" ht="15.95" customHeight="1" thickBot="1" x14ac:dyDescent="0.3">
      <c r="A3" s="3008" t="str">
        <f>"SEGMENTAL STATEMENT OF FINANCIAL PERFORMANCE FOR THE YEAR ENDED "&amp;Parameters!C6</f>
        <v>SEGMENTAL STATEMENT OF FINANCIAL PERFORMANCE FOR THE YEAR ENDED 30 JUNE 2012</v>
      </c>
      <c r="B3" s="3008"/>
      <c r="C3" s="3008"/>
      <c r="D3" s="3008"/>
      <c r="E3" s="3008"/>
      <c r="F3" s="3008"/>
      <c r="G3" s="3008"/>
      <c r="H3" s="3008"/>
      <c r="I3" s="3008"/>
      <c r="J3" s="3008"/>
      <c r="K3" s="3008"/>
      <c r="L3" s="3008"/>
    </row>
    <row r="4" spans="1:12" s="476" customFormat="1" ht="14.1" customHeight="1" x14ac:dyDescent="0.2">
      <c r="A4" s="1402">
        <f>Parameters!C19</f>
        <v>2011</v>
      </c>
      <c r="B4" s="1403">
        <f>Parameters!C19</f>
        <v>2011</v>
      </c>
      <c r="C4" s="1403">
        <f>Parameters!C19</f>
        <v>2011</v>
      </c>
      <c r="D4" s="1403">
        <f>Parameters!C19</f>
        <v>2011</v>
      </c>
      <c r="E4" s="1403">
        <f>Parameters!C19</f>
        <v>2011</v>
      </c>
      <c r="F4" s="528"/>
      <c r="G4" s="528" t="s">
        <v>174</v>
      </c>
      <c r="H4" s="1403">
        <f>Parameters!C17</f>
        <v>2012</v>
      </c>
      <c r="I4" s="1403">
        <f>Parameters!C17</f>
        <v>2012</v>
      </c>
      <c r="J4" s="1403">
        <f>Parameters!C17</f>
        <v>2012</v>
      </c>
      <c r="K4" s="1403">
        <f>Parameters!C17</f>
        <v>2012</v>
      </c>
      <c r="L4" s="1404">
        <f>Parameters!C17</f>
        <v>2012</v>
      </c>
    </row>
    <row r="5" spans="1:12" s="476" customFormat="1" ht="14.1" customHeight="1" x14ac:dyDescent="0.2">
      <c r="A5" s="529" t="s">
        <v>240</v>
      </c>
      <c r="B5" s="530" t="s">
        <v>574</v>
      </c>
      <c r="C5" s="531" t="s">
        <v>240</v>
      </c>
      <c r="D5" s="530" t="s">
        <v>574</v>
      </c>
      <c r="E5" s="531" t="s">
        <v>204</v>
      </c>
      <c r="F5" s="532" t="s">
        <v>7</v>
      </c>
      <c r="G5" s="532"/>
      <c r="H5" s="531" t="s">
        <v>240</v>
      </c>
      <c r="I5" s="530" t="s">
        <v>574</v>
      </c>
      <c r="J5" s="531" t="s">
        <v>240</v>
      </c>
      <c r="K5" s="530" t="s">
        <v>574</v>
      </c>
      <c r="L5" s="533" t="s">
        <v>204</v>
      </c>
    </row>
    <row r="6" spans="1:12" s="476" customFormat="1" ht="14.1" customHeight="1" thickBot="1" x14ac:dyDescent="0.25">
      <c r="A6" s="534" t="s">
        <v>241</v>
      </c>
      <c r="B6" s="535" t="s">
        <v>241</v>
      </c>
      <c r="C6" s="536" t="s">
        <v>242</v>
      </c>
      <c r="D6" s="536" t="s">
        <v>242</v>
      </c>
      <c r="E6" s="536" t="s">
        <v>205</v>
      </c>
      <c r="F6" s="537"/>
      <c r="G6" s="537" t="s">
        <v>671</v>
      </c>
      <c r="H6" s="536" t="s">
        <v>241</v>
      </c>
      <c r="I6" s="535" t="s">
        <v>241</v>
      </c>
      <c r="J6" s="536" t="s">
        <v>242</v>
      </c>
      <c r="K6" s="536" t="s">
        <v>242</v>
      </c>
      <c r="L6" s="538" t="s">
        <v>205</v>
      </c>
    </row>
    <row r="7" spans="1:12" s="5" customFormat="1" ht="14.1" customHeight="1" x14ac:dyDescent="0.2">
      <c r="A7" s="539" t="s">
        <v>255</v>
      </c>
      <c r="B7" s="490" t="s">
        <v>255</v>
      </c>
      <c r="C7" s="490" t="s">
        <v>255</v>
      </c>
      <c r="D7" s="490" t="s">
        <v>255</v>
      </c>
      <c r="E7" s="490" t="s">
        <v>255</v>
      </c>
      <c r="F7" s="540"/>
      <c r="G7" s="540"/>
      <c r="H7" s="490" t="s">
        <v>255</v>
      </c>
      <c r="I7" s="490" t="s">
        <v>255</v>
      </c>
      <c r="J7" s="490" t="s">
        <v>255</v>
      </c>
      <c r="K7" s="490" t="s">
        <v>255</v>
      </c>
      <c r="L7" s="541" t="s">
        <v>255</v>
      </c>
    </row>
    <row r="8" spans="1:12" s="5" customFormat="1" ht="14.1" customHeight="1" x14ac:dyDescent="0.2">
      <c r="A8" s="542"/>
      <c r="B8" s="543"/>
      <c r="C8" s="543"/>
      <c r="D8" s="543"/>
      <c r="E8" s="543"/>
      <c r="F8" s="544"/>
      <c r="G8" s="544"/>
      <c r="H8" s="543"/>
      <c r="I8" s="543"/>
      <c r="J8" s="543"/>
      <c r="K8" s="543"/>
      <c r="L8" s="545"/>
    </row>
    <row r="9" spans="1:12" s="5" customFormat="1" ht="14.1" customHeight="1" x14ac:dyDescent="0.2">
      <c r="A9" s="546">
        <f>SUM(A10:A11)</f>
        <v>0</v>
      </c>
      <c r="B9" s="504">
        <f>SUM(B10:B11)</f>
        <v>0</v>
      </c>
      <c r="C9" s="504">
        <f>SUM(C10:C11)</f>
        <v>27282130.680000003</v>
      </c>
      <c r="D9" s="504">
        <f>SUM(D10:D11)</f>
        <v>11857633</v>
      </c>
      <c r="E9" s="504">
        <f>A9-C9</f>
        <v>-27282130.680000003</v>
      </c>
      <c r="F9" s="547" t="s">
        <v>44</v>
      </c>
      <c r="G9" s="547"/>
      <c r="H9" s="504">
        <f>'2012 Budget'!I22</f>
        <v>0</v>
      </c>
      <c r="I9" s="504">
        <f>SUM(I10:I11)</f>
        <v>0</v>
      </c>
      <c r="J9" s="504">
        <f>SUM(J10:J11)</f>
        <v>30736532.520000003</v>
      </c>
      <c r="K9" s="504">
        <f>SUM(K10:K11)</f>
        <v>14446729</v>
      </c>
      <c r="L9" s="548">
        <f>H9-J9</f>
        <v>-30736532.520000003</v>
      </c>
    </row>
    <row r="10" spans="1:12" s="5" customFormat="1" ht="14.1" customHeight="1" outlineLevel="1" x14ac:dyDescent="0.2">
      <c r="A10" s="510">
        <f>-'2012 Budget'!J22</f>
        <v>0</v>
      </c>
      <c r="B10" s="510"/>
      <c r="C10" s="510">
        <f>'2012 Budget'!J89</f>
        <v>26349296.090000004</v>
      </c>
      <c r="D10" s="510">
        <v>8741547</v>
      </c>
      <c r="E10" s="510">
        <f>A10-C10</f>
        <v>-26349296.090000004</v>
      </c>
      <c r="F10" s="550" t="s">
        <v>1802</v>
      </c>
      <c r="G10" s="551" t="s">
        <v>1800</v>
      </c>
      <c r="H10" s="510">
        <f>-'2012 Budget'!I22</f>
        <v>0</v>
      </c>
      <c r="I10" s="510"/>
      <c r="J10" s="510">
        <f>'2012 Budget'!I89</f>
        <v>27538845.600000001</v>
      </c>
      <c r="K10" s="510">
        <v>10049230</v>
      </c>
      <c r="L10" s="552">
        <f>H10-J10</f>
        <v>-27538845.600000001</v>
      </c>
    </row>
    <row r="11" spans="1:12" s="5" customFormat="1" ht="14.1" customHeight="1" outlineLevel="1" x14ac:dyDescent="0.2">
      <c r="A11" s="510">
        <f>-'2012 Budget'!J102</f>
        <v>0</v>
      </c>
      <c r="B11" s="510"/>
      <c r="C11" s="510">
        <f>'2012 Budget'!J135</f>
        <v>932834.59</v>
      </c>
      <c r="D11" s="510">
        <v>3116086</v>
      </c>
      <c r="E11" s="510">
        <f>A11-C11</f>
        <v>-932834.59</v>
      </c>
      <c r="F11" s="550" t="s">
        <v>175</v>
      </c>
      <c r="G11" s="551" t="s">
        <v>1801</v>
      </c>
      <c r="H11" s="510">
        <f>-'2012 Budget'!I102</f>
        <v>0</v>
      </c>
      <c r="I11" s="510"/>
      <c r="J11" s="510">
        <f>'2012 Budget'!I135</f>
        <v>3197686.92</v>
      </c>
      <c r="K11" s="510">
        <v>4397499</v>
      </c>
      <c r="L11" s="552">
        <f>H11-J11</f>
        <v>-3197686.92</v>
      </c>
    </row>
    <row r="12" spans="1:12" s="5" customFormat="1" ht="14.1" customHeight="1" x14ac:dyDescent="0.2">
      <c r="A12" s="546">
        <f>SUM(A13:A17)</f>
        <v>932529.20000000007</v>
      </c>
      <c r="B12" s="504">
        <f>SUM(B13:B17)</f>
        <v>0</v>
      </c>
      <c r="C12" s="504">
        <f>SUM(C13:C17)</f>
        <v>8297110.6300000008</v>
      </c>
      <c r="D12" s="504">
        <f>SUM(D13:D17)</f>
        <v>10145088</v>
      </c>
      <c r="E12" s="504">
        <f t="shared" ref="E12:E18" si="0">A12-C12</f>
        <v>-7364581.4300000006</v>
      </c>
      <c r="F12" s="547" t="s">
        <v>45</v>
      </c>
      <c r="G12" s="547"/>
      <c r="H12" s="504">
        <f>SUM(H13:H17)</f>
        <v>1085373.31</v>
      </c>
      <c r="I12" s="504">
        <f>SUM(I13:I17)</f>
        <v>0</v>
      </c>
      <c r="J12" s="504">
        <f>SUM(J13:J17)</f>
        <v>14067272.039999999</v>
      </c>
      <c r="K12" s="504">
        <f>SUM(K13:K17)</f>
        <v>12302752</v>
      </c>
      <c r="L12" s="548">
        <f t="shared" ref="L12:L17" si="1">H12-J12</f>
        <v>-12981898.729999999</v>
      </c>
    </row>
    <row r="13" spans="1:12" s="5" customFormat="1" ht="14.1" customHeight="1" outlineLevel="1" x14ac:dyDescent="0.2">
      <c r="A13" s="510">
        <f>-'2012 Budget'!K458</f>
        <v>0</v>
      </c>
      <c r="B13" s="510"/>
      <c r="C13" s="510">
        <f>'2012 Budget'!J501</f>
        <v>1004625.9700000001</v>
      </c>
      <c r="D13" s="510">
        <v>4948608</v>
      </c>
      <c r="E13" s="510">
        <f t="shared" si="0"/>
        <v>-1004625.9700000001</v>
      </c>
      <c r="F13" s="550" t="s">
        <v>1408</v>
      </c>
      <c r="G13" s="551" t="s">
        <v>1808</v>
      </c>
      <c r="H13" s="510">
        <f>-'2012 Budget'!K458</f>
        <v>0</v>
      </c>
      <c r="I13" s="510"/>
      <c r="J13" s="510">
        <f>'2012 Budget'!I501</f>
        <v>1597350.48</v>
      </c>
      <c r="K13" s="510">
        <v>5919878</v>
      </c>
      <c r="L13" s="552">
        <f t="shared" si="1"/>
        <v>-1597350.48</v>
      </c>
    </row>
    <row r="14" spans="1:12" s="5" customFormat="1" ht="14.1" customHeight="1" outlineLevel="1" x14ac:dyDescent="0.2">
      <c r="A14" s="510">
        <v>0</v>
      </c>
      <c r="B14" s="510"/>
      <c r="C14" s="510">
        <f>'2012 Budget'!J1734</f>
        <v>63347.68</v>
      </c>
      <c r="D14" s="510"/>
      <c r="E14" s="510">
        <f t="shared" si="0"/>
        <v>-63347.68</v>
      </c>
      <c r="F14" s="550" t="s">
        <v>7699</v>
      </c>
      <c r="G14" s="551"/>
      <c r="H14" s="510"/>
      <c r="I14" s="510"/>
      <c r="J14" s="510"/>
      <c r="K14" s="510"/>
      <c r="L14" s="552"/>
    </row>
    <row r="15" spans="1:12" s="5" customFormat="1" ht="14.1" customHeight="1" outlineLevel="1" x14ac:dyDescent="0.2">
      <c r="A15" s="510">
        <f>-'2012 Budget'!J512</f>
        <v>0</v>
      </c>
      <c r="B15" s="510"/>
      <c r="C15" s="510">
        <f>'2012 Budget'!J557</f>
        <v>610772.43999999994</v>
      </c>
      <c r="D15" s="510">
        <v>1536278</v>
      </c>
      <c r="E15" s="510">
        <f t="shared" si="0"/>
        <v>-610772.43999999994</v>
      </c>
      <c r="F15" s="550" t="s">
        <v>1813</v>
      </c>
      <c r="G15" s="551" t="s">
        <v>1811</v>
      </c>
      <c r="H15" s="510">
        <f>-'2012 Budget'!I512</f>
        <v>0</v>
      </c>
      <c r="I15" s="510"/>
      <c r="J15" s="510">
        <f>'2012 Budget'!I557</f>
        <v>782126.67</v>
      </c>
      <c r="K15" s="510">
        <v>2303616</v>
      </c>
      <c r="L15" s="552">
        <f t="shared" si="1"/>
        <v>-782126.67</v>
      </c>
    </row>
    <row r="16" spans="1:12" s="5" customFormat="1" ht="14.1" customHeight="1" outlineLevel="1" x14ac:dyDescent="0.2">
      <c r="A16" s="510">
        <f>-'2012 Budget'!J580</f>
        <v>198266.04</v>
      </c>
      <c r="B16" s="510"/>
      <c r="C16" s="510">
        <f>'2012 Budget'!J610</f>
        <v>785844.01</v>
      </c>
      <c r="D16" s="510">
        <v>3660202</v>
      </c>
      <c r="E16" s="510">
        <f t="shared" si="0"/>
        <v>-587577.97</v>
      </c>
      <c r="F16" s="550" t="s">
        <v>7692</v>
      </c>
      <c r="G16" s="551" t="s">
        <v>1812</v>
      </c>
      <c r="H16" s="510">
        <f>-'2012 Budget'!I580</f>
        <v>295373.31</v>
      </c>
      <c r="I16" s="510"/>
      <c r="J16" s="510">
        <f>'2012 Budget'!I610</f>
        <v>811799.58000000007</v>
      </c>
      <c r="K16" s="510">
        <v>4079258</v>
      </c>
      <c r="L16" s="552">
        <f t="shared" si="1"/>
        <v>-516426.27000000008</v>
      </c>
    </row>
    <row r="17" spans="1:12" s="5" customFormat="1" ht="14.1" customHeight="1" outlineLevel="1" x14ac:dyDescent="0.2">
      <c r="A17" s="549">
        <f>-'2012 Budget'!J648</f>
        <v>734263.16</v>
      </c>
      <c r="B17" s="510"/>
      <c r="C17" s="510">
        <f>'2012 Budget'!J866</f>
        <v>5832520.5300000003</v>
      </c>
      <c r="D17" s="510"/>
      <c r="E17" s="510">
        <f t="shared" si="0"/>
        <v>-5098257.37</v>
      </c>
      <c r="F17" s="550" t="s">
        <v>7693</v>
      </c>
      <c r="G17" s="553"/>
      <c r="H17" s="510">
        <f>-'2012 Budget'!I648</f>
        <v>790000</v>
      </c>
      <c r="I17" s="510"/>
      <c r="J17" s="510">
        <f>'2012 Budget'!I866</f>
        <v>10875995.309999999</v>
      </c>
      <c r="K17" s="510"/>
      <c r="L17" s="552">
        <f t="shared" si="1"/>
        <v>-10085995.309999999</v>
      </c>
    </row>
    <row r="18" spans="1:12" s="5" customFormat="1" ht="14.1" customHeight="1" x14ac:dyDescent="0.2">
      <c r="A18" s="546">
        <f>SUM(A19:A19)</f>
        <v>0</v>
      </c>
      <c r="B18" s="504">
        <f>SUM(B19:B19)</f>
        <v>0</v>
      </c>
      <c r="C18" s="504">
        <f>SUM(C19:C19)</f>
        <v>884118.92</v>
      </c>
      <c r="D18" s="504">
        <f>SUM(D19:D19)</f>
        <v>0</v>
      </c>
      <c r="E18" s="504">
        <f t="shared" si="0"/>
        <v>-884118.92</v>
      </c>
      <c r="F18" s="547" t="s">
        <v>46</v>
      </c>
      <c r="G18" s="547"/>
      <c r="H18" s="504">
        <f>SUM(H19:H19)</f>
        <v>0</v>
      </c>
      <c r="I18" s="504">
        <f>SUM(I19:I19)</f>
        <v>0</v>
      </c>
      <c r="J18" s="504">
        <f>SUM(J19:J19)</f>
        <v>1502525.76</v>
      </c>
      <c r="K18" s="504">
        <f>SUM(K19:K19)</f>
        <v>0</v>
      </c>
      <c r="L18" s="548">
        <f t="shared" ref="L18:L19" si="2">H18-J18</f>
        <v>-1502525.76</v>
      </c>
    </row>
    <row r="19" spans="1:12" s="5" customFormat="1" ht="14.1" customHeight="1" outlineLevel="1" x14ac:dyDescent="0.2">
      <c r="A19" s="549">
        <f>-'2012 Budget'!J881</f>
        <v>0</v>
      </c>
      <c r="B19" s="510"/>
      <c r="C19" s="510">
        <f>'2012 Budget'!J936</f>
        <v>884118.92</v>
      </c>
      <c r="D19" s="510"/>
      <c r="E19" s="510">
        <f>A19-C19</f>
        <v>-884118.92</v>
      </c>
      <c r="F19" s="550" t="s">
        <v>7694</v>
      </c>
      <c r="G19" s="553"/>
      <c r="H19" s="510">
        <f>-'2012 Budget'!I881</f>
        <v>0</v>
      </c>
      <c r="I19" s="510"/>
      <c r="J19" s="510">
        <f>'2012 Budget'!I936</f>
        <v>1502525.76</v>
      </c>
      <c r="K19" s="510"/>
      <c r="L19" s="552">
        <f t="shared" si="2"/>
        <v>-1502525.76</v>
      </c>
    </row>
    <row r="20" spans="1:12" s="5" customFormat="1" ht="14.1" customHeight="1" x14ac:dyDescent="0.2">
      <c r="A20" s="546">
        <f>SUM(A21:A24)</f>
        <v>54906.99</v>
      </c>
      <c r="B20" s="504">
        <f>SUM(B21:B24)</f>
        <v>0</v>
      </c>
      <c r="C20" s="504">
        <f>SUM(C21:C24)</f>
        <v>692350.05000000016</v>
      </c>
      <c r="D20" s="504">
        <f>SUM(D21:D24)</f>
        <v>5365529</v>
      </c>
      <c r="E20" s="504">
        <f t="shared" ref="E20:E21" si="3">A20-C20</f>
        <v>-637443.06000000017</v>
      </c>
      <c r="F20" s="547" t="s">
        <v>47</v>
      </c>
      <c r="G20" s="547"/>
      <c r="H20" s="504">
        <f>SUM(H21:H24)</f>
        <v>34136.949999999997</v>
      </c>
      <c r="I20" s="504">
        <f>SUM(I21:I24)</f>
        <v>0</v>
      </c>
      <c r="J20" s="504">
        <f>SUM(J21:J24)</f>
        <v>2839131.1999999997</v>
      </c>
      <c r="K20" s="504">
        <f>SUM(K21:K24)</f>
        <v>5936043</v>
      </c>
      <c r="L20" s="548">
        <f t="shared" ref="L20:L24" si="4">H20-J20</f>
        <v>-2804994.2499999995</v>
      </c>
    </row>
    <row r="21" spans="1:12" s="5" customFormat="1" ht="14.1" customHeight="1" outlineLevel="1" x14ac:dyDescent="0.2">
      <c r="A21" s="510">
        <f>-'2012 Budget'!J1008</f>
        <v>9325.73</v>
      </c>
      <c r="B21" s="510"/>
      <c r="C21" s="510">
        <f>'2012 Budget'!J1060</f>
        <v>-1387353.3599999999</v>
      </c>
      <c r="D21" s="510">
        <v>311958</v>
      </c>
      <c r="E21" s="510">
        <f t="shared" si="3"/>
        <v>1396679.0899999999</v>
      </c>
      <c r="F21" s="550" t="s">
        <v>7100</v>
      </c>
      <c r="G21" s="551" t="s">
        <v>1821</v>
      </c>
      <c r="H21" s="510">
        <f>-'2012 Budget'!I1008</f>
        <v>6689.03</v>
      </c>
      <c r="I21" s="510"/>
      <c r="J21" s="510">
        <f>'2012 Budget'!I1060</f>
        <v>451751.4</v>
      </c>
      <c r="K21" s="510">
        <v>250870</v>
      </c>
      <c r="L21" s="552">
        <f t="shared" si="4"/>
        <v>-445062.37</v>
      </c>
    </row>
    <row r="22" spans="1:12" s="5" customFormat="1" ht="14.1" customHeight="1" outlineLevel="1" x14ac:dyDescent="0.2">
      <c r="A22" s="510">
        <f>-'2012 Budget'!J1075</f>
        <v>45514.22</v>
      </c>
      <c r="B22" s="510"/>
      <c r="C22" s="510">
        <f>'2012 Budget'!J1092</f>
        <v>9705.880000000001</v>
      </c>
      <c r="D22" s="510">
        <v>2874513</v>
      </c>
      <c r="E22" s="510">
        <f t="shared" ref="E22:E23" si="5">A22-C22</f>
        <v>35808.339999999997</v>
      </c>
      <c r="F22" s="550" t="s">
        <v>1818</v>
      </c>
      <c r="G22" s="551" t="s">
        <v>1824</v>
      </c>
      <c r="H22" s="510">
        <f>-'2012 Budget'!I1075</f>
        <v>27370.03</v>
      </c>
      <c r="I22" s="510"/>
      <c r="J22" s="510">
        <f>'2012 Budget'!I1092</f>
        <v>7207.6799999999994</v>
      </c>
      <c r="K22" s="510">
        <v>2885312</v>
      </c>
      <c r="L22" s="552">
        <f t="shared" ref="L22:L23" si="6">H22-J22</f>
        <v>20162.349999999999</v>
      </c>
    </row>
    <row r="23" spans="1:12" s="5" customFormat="1" ht="14.1" customHeight="1" outlineLevel="1" x14ac:dyDescent="0.2">
      <c r="A23" s="510">
        <f>-'2012 Budget'!J956</f>
        <v>67.040000000000006</v>
      </c>
      <c r="B23" s="510"/>
      <c r="C23" s="510">
        <f>'2012 Budget'!J992</f>
        <v>935920.92</v>
      </c>
      <c r="D23" s="510">
        <v>2179058</v>
      </c>
      <c r="E23" s="510">
        <f t="shared" si="5"/>
        <v>-935853.88</v>
      </c>
      <c r="F23" s="550" t="s">
        <v>1819</v>
      </c>
      <c r="G23" s="551" t="s">
        <v>1825</v>
      </c>
      <c r="H23" s="510">
        <f>-'2012 Budget'!I956</f>
        <v>77.89</v>
      </c>
      <c r="I23" s="510"/>
      <c r="J23" s="510">
        <f>'2012 Budget'!I992</f>
        <v>951046.27</v>
      </c>
      <c r="K23" s="510">
        <v>2799861</v>
      </c>
      <c r="L23" s="552">
        <f t="shared" si="6"/>
        <v>-950968.38</v>
      </c>
    </row>
    <row r="24" spans="1:12" s="5" customFormat="1" ht="14.1" customHeight="1" outlineLevel="1" x14ac:dyDescent="0.2">
      <c r="A24" s="549">
        <f>-'2012 Budget'!J1113</f>
        <v>0</v>
      </c>
      <c r="B24" s="510"/>
      <c r="C24" s="510">
        <f>'2012 Budget'!J1230</f>
        <v>1134076.6100000001</v>
      </c>
      <c r="D24" s="510"/>
      <c r="E24" s="510">
        <f t="shared" ref="E24:E36" si="7">A24-C24</f>
        <v>-1134076.6100000001</v>
      </c>
      <c r="F24" s="550" t="s">
        <v>7695</v>
      </c>
      <c r="G24" s="553"/>
      <c r="H24" s="510">
        <f>-'2012 Budget'!I1113</f>
        <v>0</v>
      </c>
      <c r="I24" s="510"/>
      <c r="J24" s="510">
        <f>'2012 Budget'!I1230</f>
        <v>1429125.8499999996</v>
      </c>
      <c r="K24" s="510"/>
      <c r="L24" s="552">
        <f t="shared" si="4"/>
        <v>-1429125.8499999996</v>
      </c>
    </row>
    <row r="25" spans="1:12" s="5" customFormat="1" ht="14.1" customHeight="1" x14ac:dyDescent="0.2">
      <c r="A25" s="546">
        <f>SUM(A26:A26)</f>
        <v>451797.19</v>
      </c>
      <c r="B25" s="504">
        <f>SUM(B26:B26)</f>
        <v>0</v>
      </c>
      <c r="C25" s="504">
        <f>SUM(C26:C26)</f>
        <v>692471.53</v>
      </c>
      <c r="D25" s="504">
        <f>SUM(D26:D26)</f>
        <v>0</v>
      </c>
      <c r="E25" s="504">
        <f t="shared" si="7"/>
        <v>-240674.34000000003</v>
      </c>
      <c r="F25" s="547" t="s">
        <v>202</v>
      </c>
      <c r="G25" s="547"/>
      <c r="H25" s="504">
        <f>SUM(H26:H26)</f>
        <v>360990.46</v>
      </c>
      <c r="I25" s="504">
        <f>SUM(I26:I26)</f>
        <v>0</v>
      </c>
      <c r="J25" s="504">
        <f>SUM(J26:J26)</f>
        <v>691281.2</v>
      </c>
      <c r="K25" s="504">
        <f>SUM(K26:K26)</f>
        <v>1099</v>
      </c>
      <c r="L25" s="548">
        <f t="shared" ref="L25:L30" si="8">H25-J25</f>
        <v>-330290.73999999993</v>
      </c>
    </row>
    <row r="26" spans="1:12" s="5" customFormat="1" ht="14.1" customHeight="1" outlineLevel="1" x14ac:dyDescent="0.2">
      <c r="A26" s="510">
        <f>-'2012 Budget'!J1253</f>
        <v>451797.19</v>
      </c>
      <c r="B26" s="510"/>
      <c r="C26" s="510">
        <f>'2012 Budget'!J1288</f>
        <v>692471.53</v>
      </c>
      <c r="D26" s="510">
        <v>0</v>
      </c>
      <c r="E26" s="510">
        <f t="shared" si="7"/>
        <v>-240674.34000000003</v>
      </c>
      <c r="F26" s="550" t="s">
        <v>202</v>
      </c>
      <c r="G26" s="551" t="s">
        <v>1827</v>
      </c>
      <c r="H26" s="510">
        <f>-'2012 Budget'!I1253</f>
        <v>360990.46</v>
      </c>
      <c r="I26" s="510"/>
      <c r="J26" s="510">
        <f>'2012 Budget'!I1288+2048</f>
        <v>691281.2</v>
      </c>
      <c r="K26" s="510">
        <v>1099</v>
      </c>
      <c r="L26" s="552">
        <f t="shared" si="8"/>
        <v>-330290.73999999993</v>
      </c>
    </row>
    <row r="27" spans="1:12" s="5" customFormat="1" ht="14.1" customHeight="1" x14ac:dyDescent="0.2">
      <c r="A27" s="546">
        <f>SUM(A28:A30)</f>
        <v>156693.88</v>
      </c>
      <c r="B27" s="504">
        <f>SUM(B28:B30)</f>
        <v>0</v>
      </c>
      <c r="C27" s="504">
        <f>SUM(C28:C30)</f>
        <v>1727584.5</v>
      </c>
      <c r="D27" s="504">
        <f>SUM(D28:D30)</f>
        <v>18816757</v>
      </c>
      <c r="E27" s="504">
        <f t="shared" si="7"/>
        <v>-1570890.62</v>
      </c>
      <c r="F27" s="547" t="s">
        <v>675</v>
      </c>
      <c r="G27" s="547"/>
      <c r="H27" s="504">
        <f>SUM(H28:H30)</f>
        <v>158314.26999999999</v>
      </c>
      <c r="I27" s="504">
        <f>SUM(I28:I30)</f>
        <v>0</v>
      </c>
      <c r="J27" s="504">
        <f>SUM(J28:J30)</f>
        <v>1339085.6000000001</v>
      </c>
      <c r="K27" s="504">
        <f>SUM(K28:K30)</f>
        <v>20949052</v>
      </c>
      <c r="L27" s="548">
        <f t="shared" si="8"/>
        <v>-1180771.33</v>
      </c>
    </row>
    <row r="28" spans="1:12" s="5" customFormat="1" ht="14.1" customHeight="1" outlineLevel="1" x14ac:dyDescent="0.2">
      <c r="A28" s="510">
        <f>-'2012 Budget'!J1307</f>
        <v>156055.32</v>
      </c>
      <c r="B28" s="510"/>
      <c r="C28" s="510">
        <f>'2012 Budget'!J1354</f>
        <v>1561520.69</v>
      </c>
      <c r="D28" s="510">
        <v>14093296</v>
      </c>
      <c r="E28" s="510">
        <f t="shared" si="7"/>
        <v>-1405465.3699999999</v>
      </c>
      <c r="F28" s="550" t="s">
        <v>7696</v>
      </c>
      <c r="G28" s="551" t="s">
        <v>1836</v>
      </c>
      <c r="H28" s="510">
        <f>-'2012 Budget'!I1307</f>
        <v>157143</v>
      </c>
      <c r="I28" s="510"/>
      <c r="J28" s="510">
        <f>'2012 Budget'!I1354</f>
        <v>1091657.33</v>
      </c>
      <c r="K28" s="510">
        <v>15266157</v>
      </c>
      <c r="L28" s="552">
        <f t="shared" si="8"/>
        <v>-934514.33000000007</v>
      </c>
    </row>
    <row r="29" spans="1:12" s="5" customFormat="1" ht="14.1" customHeight="1" outlineLevel="1" x14ac:dyDescent="0.2">
      <c r="A29" s="510">
        <f>-'2012 Budget'!J1365</f>
        <v>0</v>
      </c>
      <c r="B29" s="510"/>
      <c r="C29" s="510">
        <f>'2012 Budget'!J1389</f>
        <v>11502</v>
      </c>
      <c r="D29" s="510">
        <v>4723461</v>
      </c>
      <c r="E29" s="510">
        <f>A29-C29</f>
        <v>-11502</v>
      </c>
      <c r="F29" s="550" t="s">
        <v>1839</v>
      </c>
      <c r="G29" s="551" t="s">
        <v>1837</v>
      </c>
      <c r="H29" s="510">
        <f>-'2012 Budget'!I1365</f>
        <v>0</v>
      </c>
      <c r="I29" s="510"/>
      <c r="J29" s="510">
        <f>'2012 Budget'!I1389</f>
        <v>0</v>
      </c>
      <c r="K29" s="510">
        <v>5682895</v>
      </c>
      <c r="L29" s="552">
        <f>H29-J29</f>
        <v>0</v>
      </c>
    </row>
    <row r="30" spans="1:12" s="5" customFormat="1" ht="14.1" customHeight="1" outlineLevel="1" x14ac:dyDescent="0.2">
      <c r="A30" s="549">
        <f>-'2012 Budget'!J1404</f>
        <v>638.55999999999995</v>
      </c>
      <c r="B30" s="510"/>
      <c r="C30" s="510">
        <f>'2012 Budget'!J1438</f>
        <v>154561.80999999997</v>
      </c>
      <c r="D30" s="510"/>
      <c r="E30" s="510">
        <f t="shared" si="7"/>
        <v>-153923.24999999997</v>
      </c>
      <c r="F30" s="550" t="s">
        <v>675</v>
      </c>
      <c r="G30" s="553"/>
      <c r="H30" s="510">
        <f>-'2012 Budget'!I1404</f>
        <v>1171.27</v>
      </c>
      <c r="I30" s="510"/>
      <c r="J30" s="510">
        <f>'2012 Budget'!I1438</f>
        <v>247428.27</v>
      </c>
      <c r="K30" s="510"/>
      <c r="L30" s="552">
        <f t="shared" si="8"/>
        <v>-246257</v>
      </c>
    </row>
    <row r="31" spans="1:12" s="5" customFormat="1" ht="14.1" customHeight="1" x14ac:dyDescent="0.2">
      <c r="A31" s="546">
        <f>SUM(A32:A32)</f>
        <v>628.52</v>
      </c>
      <c r="B31" s="504">
        <f>SUM(B32:B32)</f>
        <v>0</v>
      </c>
      <c r="C31" s="504">
        <f>SUM(C32:C32)</f>
        <v>2667035.4900000002</v>
      </c>
      <c r="D31" s="504">
        <f>SUM(D32:D32)</f>
        <v>4503547</v>
      </c>
      <c r="E31" s="504">
        <f t="shared" si="7"/>
        <v>-2666406.9700000002</v>
      </c>
      <c r="F31" s="547" t="s">
        <v>48</v>
      </c>
      <c r="G31" s="547"/>
      <c r="H31" s="504">
        <f>SUM(H32:H32)</f>
        <v>2493.39</v>
      </c>
      <c r="I31" s="504">
        <f>SUM(I32:I32)</f>
        <v>0</v>
      </c>
      <c r="J31" s="504">
        <f>SUM(J32:J32)</f>
        <v>17211797.41</v>
      </c>
      <c r="K31" s="504">
        <f>SUM(K32:K32)</f>
        <v>3080340</v>
      </c>
      <c r="L31" s="548">
        <f t="shared" ref="L31:L34" si="9">H31-J31</f>
        <v>-17209304.02</v>
      </c>
    </row>
    <row r="32" spans="1:12" s="5" customFormat="1" ht="14.1" customHeight="1" outlineLevel="1" x14ac:dyDescent="0.2">
      <c r="A32" s="510">
        <f>-'2012 Budget'!J1466</f>
        <v>628.52</v>
      </c>
      <c r="B32" s="510"/>
      <c r="C32" s="510">
        <f>'2012 Budget'!J1584</f>
        <v>2667035.4900000002</v>
      </c>
      <c r="D32" s="510">
        <v>4503547</v>
      </c>
      <c r="E32" s="510">
        <f t="shared" si="7"/>
        <v>-2666406.9700000002</v>
      </c>
      <c r="F32" s="550" t="s">
        <v>48</v>
      </c>
      <c r="G32" s="551" t="s">
        <v>1840</v>
      </c>
      <c r="H32" s="510">
        <f>-'2012 Budget'!I1466</f>
        <v>2493.39</v>
      </c>
      <c r="I32" s="510"/>
      <c r="J32" s="510">
        <f>'2012 Budget'!I1584</f>
        <v>17211797.41</v>
      </c>
      <c r="K32" s="510">
        <v>3080340</v>
      </c>
      <c r="L32" s="552">
        <f t="shared" si="9"/>
        <v>-17209304.02</v>
      </c>
    </row>
    <row r="33" spans="1:12" s="5" customFormat="1" ht="14.1" customHeight="1" x14ac:dyDescent="0.2">
      <c r="A33" s="546">
        <f>SUM(A34:A34)</f>
        <v>0</v>
      </c>
      <c r="B33" s="504">
        <f>SUM(B34:B34)</f>
        <v>0</v>
      </c>
      <c r="C33" s="504">
        <f>SUM(C34:C34)</f>
        <v>-113614.23000000001</v>
      </c>
      <c r="D33" s="504">
        <f>SUM(D34:D34)</f>
        <v>1833578</v>
      </c>
      <c r="E33" s="504">
        <f t="shared" si="7"/>
        <v>113614.23000000001</v>
      </c>
      <c r="F33" s="547" t="s">
        <v>676</v>
      </c>
      <c r="G33" s="547"/>
      <c r="H33" s="504">
        <f>SUM(H34:H34)</f>
        <v>0</v>
      </c>
      <c r="I33" s="504">
        <f>SUM(I34:I34)</f>
        <v>0</v>
      </c>
      <c r="J33" s="504">
        <f>SUM(J34:J34)</f>
        <v>177570</v>
      </c>
      <c r="K33" s="504">
        <f>SUM(K34:K34)</f>
        <v>1889108</v>
      </c>
      <c r="L33" s="548">
        <f t="shared" si="9"/>
        <v>-177570</v>
      </c>
    </row>
    <row r="34" spans="1:12" s="5" customFormat="1" ht="14.1" customHeight="1" outlineLevel="1" x14ac:dyDescent="0.2">
      <c r="A34" s="510">
        <f>-'2012 Budget'!J1595</f>
        <v>0</v>
      </c>
      <c r="B34" s="510"/>
      <c r="C34" s="510">
        <f>'2012 Budget'!J1624</f>
        <v>-113614.23000000001</v>
      </c>
      <c r="D34" s="510">
        <v>1833578</v>
      </c>
      <c r="E34" s="510">
        <f t="shared" si="7"/>
        <v>113614.23000000001</v>
      </c>
      <c r="F34" s="550" t="s">
        <v>1712</v>
      </c>
      <c r="G34" s="551" t="s">
        <v>1843</v>
      </c>
      <c r="H34" s="510">
        <f>-'2012 Budget'!I1595</f>
        <v>0</v>
      </c>
      <c r="I34" s="510"/>
      <c r="J34" s="510">
        <f>64230+113340</f>
        <v>177570</v>
      </c>
      <c r="K34" s="510">
        <v>1889108</v>
      </c>
      <c r="L34" s="552">
        <f t="shared" si="9"/>
        <v>-177570</v>
      </c>
    </row>
    <row r="35" spans="1:12" s="5" customFormat="1" ht="14.1" customHeight="1" x14ac:dyDescent="0.2">
      <c r="A35" s="546">
        <f>SUM(A36:A37)</f>
        <v>9521845.0199999996</v>
      </c>
      <c r="B35" s="504">
        <f>SUM(B36:B37)</f>
        <v>0</v>
      </c>
      <c r="C35" s="504">
        <f>SUM(C36:C37)</f>
        <v>13432987.539999999</v>
      </c>
      <c r="D35" s="504">
        <f>SUM(D36:D37)</f>
        <v>23950069</v>
      </c>
      <c r="E35" s="504">
        <f t="shared" si="7"/>
        <v>-3911142.5199999996</v>
      </c>
      <c r="F35" s="547" t="s">
        <v>677</v>
      </c>
      <c r="G35" s="547"/>
      <c r="H35" s="504">
        <f>SUM(H36:H37)</f>
        <v>10590928.219999999</v>
      </c>
      <c r="I35" s="504">
        <f>SUM(I36:I37)</f>
        <v>0</v>
      </c>
      <c r="J35" s="504">
        <f>SUM(J36:J37)</f>
        <v>10251837.779999999</v>
      </c>
      <c r="K35" s="504">
        <f>SUM(K36:K37)</f>
        <v>38646438</v>
      </c>
      <c r="L35" s="548">
        <f t="shared" ref="L35:L42" si="10">H35-J35</f>
        <v>339090.43999999948</v>
      </c>
    </row>
    <row r="36" spans="1:12" s="5" customFormat="1" ht="14.1" customHeight="1" outlineLevel="1" x14ac:dyDescent="0.2">
      <c r="A36" s="510">
        <f>-'2012 Budget'!J1748</f>
        <v>3786978.14</v>
      </c>
      <c r="B36" s="510"/>
      <c r="C36" s="510">
        <f>'2012 Budget'!J1820</f>
        <v>5600119.1200000001</v>
      </c>
      <c r="D36" s="510">
        <v>8862948</v>
      </c>
      <c r="E36" s="510">
        <f t="shared" si="7"/>
        <v>-1813140.98</v>
      </c>
      <c r="F36" s="550" t="s">
        <v>677</v>
      </c>
      <c r="G36" s="551" t="s">
        <v>1845</v>
      </c>
      <c r="H36" s="510">
        <f>-'2012 Budget'!I1748</f>
        <v>4221847.9099999992</v>
      </c>
      <c r="I36" s="510"/>
      <c r="J36" s="510">
        <f>'2012 Budget'!I1820</f>
        <v>3378542.9699999997</v>
      </c>
      <c r="K36" s="510">
        <v>19711310</v>
      </c>
      <c r="L36" s="552">
        <f t="shared" si="10"/>
        <v>843304.93999999948</v>
      </c>
    </row>
    <row r="37" spans="1:12" s="5" customFormat="1" ht="14.1" customHeight="1" outlineLevel="1" x14ac:dyDescent="0.2">
      <c r="A37" s="510">
        <f>-'2012 Budget'!J1649</f>
        <v>5734866.8799999999</v>
      </c>
      <c r="B37" s="510"/>
      <c r="C37" s="510">
        <f>'2012 Budget'!J1728</f>
        <v>7832868.4199999999</v>
      </c>
      <c r="D37" s="510">
        <v>15087121</v>
      </c>
      <c r="E37" s="510">
        <f>A37-C37</f>
        <v>-2098001.54</v>
      </c>
      <c r="F37" s="550" t="s">
        <v>7697</v>
      </c>
      <c r="G37" s="551" t="s">
        <v>1847</v>
      </c>
      <c r="H37" s="510">
        <f>-'2012 Budget'!I1649</f>
        <v>6369080.3099999996</v>
      </c>
      <c r="I37" s="510"/>
      <c r="J37" s="510">
        <f>'2012 Budget'!I1728</f>
        <v>6873294.8099999996</v>
      </c>
      <c r="K37" s="510">
        <v>18935128</v>
      </c>
      <c r="L37" s="552">
        <f>H37-J37</f>
        <v>-504214.5</v>
      </c>
    </row>
    <row r="38" spans="1:12" s="5" customFormat="1" ht="14.1" customHeight="1" x14ac:dyDescent="0.2">
      <c r="A38" s="546">
        <f>SUM(A39:A39)</f>
        <v>2564.48</v>
      </c>
      <c r="B38" s="504">
        <f>SUM(B39:B39)</f>
        <v>0</v>
      </c>
      <c r="C38" s="504">
        <f>SUM(C39:C39)</f>
        <v>8398166.1400000006</v>
      </c>
      <c r="D38" s="504">
        <f>SUM(D39:D39)</f>
        <v>36287465</v>
      </c>
      <c r="E38" s="504">
        <f t="shared" ref="E38:E44" si="11">A38-C38</f>
        <v>-8395601.6600000001</v>
      </c>
      <c r="F38" s="547" t="s">
        <v>176</v>
      </c>
      <c r="G38" s="547"/>
      <c r="H38" s="504">
        <f>SUM(H39:H39)</f>
        <v>208.44</v>
      </c>
      <c r="I38" s="504">
        <f>SUM(I39:I39)</f>
        <v>0</v>
      </c>
      <c r="J38" s="504">
        <f>SUM(J39:J39)</f>
        <v>2402076.73</v>
      </c>
      <c r="K38" s="504">
        <f>SUM(K39:K39)</f>
        <v>44120145</v>
      </c>
      <c r="L38" s="548">
        <f t="shared" si="10"/>
        <v>-2401868.29</v>
      </c>
    </row>
    <row r="39" spans="1:12" s="5" customFormat="1" ht="14.1" customHeight="1" outlineLevel="1" x14ac:dyDescent="0.2">
      <c r="A39" s="510">
        <f>-'2012 Budget'!J1845</f>
        <v>2564.48</v>
      </c>
      <c r="B39" s="510"/>
      <c r="C39" s="510">
        <f>'2012 Budget'!J1915</f>
        <v>8398166.1400000006</v>
      </c>
      <c r="D39" s="510">
        <v>36287465</v>
      </c>
      <c r="E39" s="510">
        <f t="shared" si="11"/>
        <v>-8395601.6600000001</v>
      </c>
      <c r="F39" s="550" t="s">
        <v>176</v>
      </c>
      <c r="G39" s="551" t="s">
        <v>1849</v>
      </c>
      <c r="H39" s="510">
        <f>-'2012 Budget'!I1845</f>
        <v>208.44</v>
      </c>
      <c r="I39" s="510"/>
      <c r="J39" s="510">
        <f>'2012 Budget'!I1915</f>
        <v>2402076.73</v>
      </c>
      <c r="K39" s="510">
        <v>44120145</v>
      </c>
      <c r="L39" s="552">
        <f>H39-J39</f>
        <v>-2401868.29</v>
      </c>
    </row>
    <row r="40" spans="1:12" s="5" customFormat="1" ht="14.1" customHeight="1" x14ac:dyDescent="0.2">
      <c r="A40" s="546">
        <f>SUM(A41:A41)</f>
        <v>19826475.349999998</v>
      </c>
      <c r="B40" s="504">
        <f>SUM(B41:B41)</f>
        <v>0</v>
      </c>
      <c r="C40" s="504">
        <f>SUM(C41:C41)</f>
        <v>18714962.490000002</v>
      </c>
      <c r="D40" s="504">
        <f>SUM(D41:D41)</f>
        <v>60160670</v>
      </c>
      <c r="E40" s="504">
        <f t="shared" si="11"/>
        <v>1111512.8599999957</v>
      </c>
      <c r="F40" s="547" t="s">
        <v>236</v>
      </c>
      <c r="G40" s="547"/>
      <c r="H40" s="504">
        <f>SUM(H41:H41)</f>
        <v>24659243.339999981</v>
      </c>
      <c r="I40" s="504">
        <f>SUM(I41:I41)</f>
        <v>0</v>
      </c>
      <c r="J40" s="504">
        <f>SUM(J41:J41)</f>
        <v>37306973.449999996</v>
      </c>
      <c r="K40" s="504">
        <f>SUM(K41:K41)</f>
        <v>48974650</v>
      </c>
      <c r="L40" s="548">
        <f t="shared" si="10"/>
        <v>-12647730.110000014</v>
      </c>
    </row>
    <row r="41" spans="1:12" s="5" customFormat="1" ht="14.1" customHeight="1" outlineLevel="1" x14ac:dyDescent="0.2">
      <c r="A41" s="510">
        <f>-'2012 Budget'!J1941</f>
        <v>19826475.349999998</v>
      </c>
      <c r="B41" s="510"/>
      <c r="C41" s="510">
        <f>'2012 Budget'!J2027</f>
        <v>18714962.490000002</v>
      </c>
      <c r="D41" s="510">
        <v>60160670</v>
      </c>
      <c r="E41" s="510">
        <f t="shared" si="11"/>
        <v>1111512.8599999957</v>
      </c>
      <c r="F41" s="550" t="s">
        <v>1857</v>
      </c>
      <c r="G41" s="551" t="s">
        <v>1853</v>
      </c>
      <c r="H41" s="510">
        <f>-'2012 Budget'!I1941</f>
        <v>24659243.339999981</v>
      </c>
      <c r="I41" s="510"/>
      <c r="J41" s="510">
        <f>'2012 Budget'!I2027</f>
        <v>37306973.449999996</v>
      </c>
      <c r="K41" s="510">
        <v>48974650</v>
      </c>
      <c r="L41" s="552">
        <f t="shared" si="10"/>
        <v>-12647730.110000014</v>
      </c>
    </row>
    <row r="42" spans="1:12" s="5" customFormat="1" ht="14.1" customHeight="1" x14ac:dyDescent="0.2">
      <c r="A42" s="546">
        <f>SUM(A43:A43)</f>
        <v>11969475.4</v>
      </c>
      <c r="B42" s="504">
        <f>SUM(B43:B43)</f>
        <v>0</v>
      </c>
      <c r="C42" s="504">
        <f>SUM(C43:C43)</f>
        <v>16813184.010000002</v>
      </c>
      <c r="D42" s="504">
        <f>SUM(D43:D43)</f>
        <v>42200378</v>
      </c>
      <c r="E42" s="504">
        <f t="shared" si="11"/>
        <v>-4843708.6100000013</v>
      </c>
      <c r="F42" s="547" t="s">
        <v>229</v>
      </c>
      <c r="G42" s="547"/>
      <c r="H42" s="504">
        <f>SUM(H43:H43)</f>
        <v>16295707.15</v>
      </c>
      <c r="I42" s="504">
        <f>SUM(I43:I43)</f>
        <v>0</v>
      </c>
      <c r="J42" s="504">
        <f>SUM(J43:J43)</f>
        <v>1350816.81</v>
      </c>
      <c r="K42" s="504">
        <f>SUM(K43:K43)</f>
        <v>44759456</v>
      </c>
      <c r="L42" s="548">
        <f t="shared" si="10"/>
        <v>14944890.34</v>
      </c>
    </row>
    <row r="43" spans="1:12" s="5" customFormat="1" ht="14.1" customHeight="1" outlineLevel="1" x14ac:dyDescent="0.2">
      <c r="A43" s="510">
        <f>-'2012 Budget'!J2053</f>
        <v>11969475.4</v>
      </c>
      <c r="B43" s="510"/>
      <c r="C43" s="510">
        <f>'2012 Budget'!J2110</f>
        <v>16813184.010000002</v>
      </c>
      <c r="D43" s="510">
        <v>42200378</v>
      </c>
      <c r="E43" s="510">
        <f>A43-C43</f>
        <v>-4843708.6100000013</v>
      </c>
      <c r="F43" s="550" t="s">
        <v>1862</v>
      </c>
      <c r="G43" s="551" t="s">
        <v>1866</v>
      </c>
      <c r="H43" s="510">
        <f>-'2012 Budget'!I2053</f>
        <v>16295707.15</v>
      </c>
      <c r="I43" s="510"/>
      <c r="J43" s="510">
        <f>'2012 Budget'!I2110+338742.47</f>
        <v>1350816.81</v>
      </c>
      <c r="K43" s="510">
        <v>44759456</v>
      </c>
      <c r="L43" s="552">
        <f>H43-J43</f>
        <v>14944890.34</v>
      </c>
    </row>
    <row r="44" spans="1:12" s="5" customFormat="1" ht="14.1" customHeight="1" x14ac:dyDescent="0.2">
      <c r="A44" s="546">
        <f>SUM(A45:A45)</f>
        <v>63463409.20000001</v>
      </c>
      <c r="B44" s="504">
        <f>SUM(B45:B45)</f>
        <v>0</v>
      </c>
      <c r="C44" s="504">
        <f>SUM(C45:C45)</f>
        <v>21621771.379999999</v>
      </c>
      <c r="D44" s="504">
        <f>SUM(D45:D45)</f>
        <v>131100</v>
      </c>
      <c r="E44" s="504">
        <f t="shared" si="11"/>
        <v>41841637.820000008</v>
      </c>
      <c r="F44" s="547" t="s">
        <v>237</v>
      </c>
      <c r="G44" s="547"/>
      <c r="H44" s="504">
        <f>SUM(H45:H45)</f>
        <v>65882748.99000001</v>
      </c>
      <c r="I44" s="504">
        <f>SUM(I45:I45)</f>
        <v>0</v>
      </c>
      <c r="J44" s="504">
        <f>SUM(J45:J45)</f>
        <v>17123453.689999998</v>
      </c>
      <c r="K44" s="504">
        <f>SUM(K45:K45)</f>
        <v>544501</v>
      </c>
      <c r="L44" s="548">
        <f>H44-J44</f>
        <v>48759295.300000012</v>
      </c>
    </row>
    <row r="45" spans="1:12" s="5" customFormat="1" ht="14.1" customHeight="1" outlineLevel="1" x14ac:dyDescent="0.2">
      <c r="A45" s="510">
        <f>-'2012 Budget'!J211+4826257.14</f>
        <v>63463409.20000001</v>
      </c>
      <c r="B45" s="510"/>
      <c r="C45" s="510">
        <f>'2012 Budget'!J452+4720865.93</f>
        <v>21621771.379999999</v>
      </c>
      <c r="D45" s="510">
        <v>131100</v>
      </c>
      <c r="E45" s="510">
        <f>A45-C45</f>
        <v>41841637.820000008</v>
      </c>
      <c r="F45" s="550" t="s">
        <v>7691</v>
      </c>
      <c r="G45" s="551" t="s">
        <v>1868</v>
      </c>
      <c r="H45" s="510">
        <f>-'2012 Budget'!I211+8094000+1651000+2977198.72</f>
        <v>65882748.99000001</v>
      </c>
      <c r="I45" s="510"/>
      <c r="J45" s="510">
        <f>'2012 Budget'!I452+2742676.67</f>
        <v>17123453.689999998</v>
      </c>
      <c r="K45" s="510">
        <v>544501</v>
      </c>
      <c r="L45" s="552">
        <f>H45-J45</f>
        <v>48759295.300000012</v>
      </c>
    </row>
    <row r="46" spans="1:12" s="5" customFormat="1" ht="14.1" customHeight="1" x14ac:dyDescent="0.2">
      <c r="A46" s="546"/>
      <c r="B46" s="504"/>
      <c r="C46" s="504"/>
      <c r="D46" s="504"/>
      <c r="E46" s="504"/>
      <c r="F46" s="547"/>
      <c r="G46" s="547"/>
      <c r="H46" s="504"/>
      <c r="I46" s="504"/>
      <c r="J46" s="504"/>
      <c r="K46" s="504"/>
      <c r="L46" s="548"/>
    </row>
    <row r="47" spans="1:12" s="5" customFormat="1" ht="14.1" customHeight="1" x14ac:dyDescent="0.2">
      <c r="A47" s="554">
        <f>SUM(A9,A12,A18,A20,A25,A27,A31,A33,A35,A38,A40,A42,A44)</f>
        <v>106380325.23000002</v>
      </c>
      <c r="B47" s="554">
        <f t="shared" ref="B47:E47" si="12">SUM(B9,B12,B18,B20,B25,B27,B31,B33,B35,B38,B40,B42,B44)</f>
        <v>0</v>
      </c>
      <c r="C47" s="554">
        <f t="shared" si="12"/>
        <v>121110259.13000001</v>
      </c>
      <c r="D47" s="554">
        <f t="shared" si="12"/>
        <v>215251814</v>
      </c>
      <c r="E47" s="554">
        <f t="shared" si="12"/>
        <v>-14729933.900000006</v>
      </c>
      <c r="F47" s="547" t="s">
        <v>276</v>
      </c>
      <c r="G47" s="547"/>
      <c r="H47" s="555">
        <f>SUM(H9,H12,H18,H20,H25,H27,H31,H33,H35,H38,H40,H42,H44)</f>
        <v>119070144.51999998</v>
      </c>
      <c r="I47" s="555">
        <f t="shared" ref="I47:L47" si="13">SUM(I9,I12,I18,I20,I25,I27,I31,I33,I35,I38,I40,I42,I44)</f>
        <v>0</v>
      </c>
      <c r="J47" s="555">
        <f t="shared" si="13"/>
        <v>137000354.19</v>
      </c>
      <c r="K47" s="555">
        <f t="shared" si="13"/>
        <v>235650313</v>
      </c>
      <c r="L47" s="555">
        <f t="shared" si="13"/>
        <v>-17930209.670000002</v>
      </c>
    </row>
    <row r="48" spans="1:12" s="5" customFormat="1" ht="14.1" customHeight="1" x14ac:dyDescent="0.2">
      <c r="A48" s="546"/>
      <c r="B48" s="504"/>
      <c r="C48" s="504"/>
      <c r="D48" s="504"/>
      <c r="E48" s="504"/>
      <c r="F48" s="547"/>
      <c r="G48" s="547"/>
      <c r="H48" s="504"/>
      <c r="I48" s="504"/>
      <c r="J48" s="504"/>
      <c r="K48" s="504"/>
      <c r="L48" s="548"/>
    </row>
    <row r="49" spans="1:12" s="5" customFormat="1" ht="14.1" customHeight="1" x14ac:dyDescent="0.2">
      <c r="A49" s="504"/>
      <c r="B49" s="504"/>
      <c r="C49" s="504"/>
      <c r="D49" s="504"/>
      <c r="E49" s="504"/>
      <c r="F49" s="547" t="s">
        <v>2603</v>
      </c>
      <c r="G49" s="547"/>
      <c r="H49" s="504"/>
      <c r="I49" s="504"/>
      <c r="J49" s="504"/>
      <c r="K49" s="504"/>
      <c r="L49" s="548"/>
    </row>
    <row r="50" spans="1:12" s="5" customFormat="1" ht="14.1" customHeight="1" x14ac:dyDescent="0.2">
      <c r="A50" s="546"/>
      <c r="B50" s="504"/>
      <c r="C50" s="504"/>
      <c r="D50" s="504"/>
      <c r="E50" s="504"/>
      <c r="F50" s="547"/>
      <c r="G50" s="547"/>
      <c r="H50" s="504"/>
      <c r="I50" s="504"/>
      <c r="J50" s="504"/>
      <c r="K50" s="504"/>
      <c r="L50" s="548"/>
    </row>
    <row r="51" spans="1:12" s="5" customFormat="1" ht="14.1" customHeight="1" thickBot="1" x14ac:dyDescent="0.25">
      <c r="A51" s="556">
        <f>+A47+A49</f>
        <v>106380325.23000002</v>
      </c>
      <c r="B51" s="519">
        <f>+B47+B49</f>
        <v>0</v>
      </c>
      <c r="C51" s="519">
        <f>+C47+C49</f>
        <v>121110259.13000001</v>
      </c>
      <c r="D51" s="519">
        <f>+D47+D49</f>
        <v>215251814</v>
      </c>
      <c r="E51" s="519">
        <f>+E47+E49</f>
        <v>-14729933.900000006</v>
      </c>
      <c r="F51" s="557" t="s">
        <v>234</v>
      </c>
      <c r="G51" s="557"/>
      <c r="H51" s="519">
        <f>+H47+H49</f>
        <v>119070144.51999998</v>
      </c>
      <c r="I51" s="519">
        <f>+I47+I49</f>
        <v>0</v>
      </c>
      <c r="J51" s="519">
        <f>+J47+J49</f>
        <v>137000354.19</v>
      </c>
      <c r="K51" s="519">
        <f>+K47+K49</f>
        <v>235650313</v>
      </c>
      <c r="L51" s="558">
        <f>+L47+L49</f>
        <v>-17930209.670000002</v>
      </c>
    </row>
    <row r="52" spans="1:12" s="5" customFormat="1" ht="14.1" customHeight="1" thickTop="1" thickBot="1" x14ac:dyDescent="0.25">
      <c r="A52" s="559"/>
      <c r="B52" s="560"/>
      <c r="C52" s="560"/>
      <c r="D52" s="560"/>
      <c r="E52" s="560"/>
      <c r="F52" s="561"/>
      <c r="G52" s="561"/>
      <c r="H52" s="560"/>
      <c r="I52" s="560"/>
      <c r="J52" s="560"/>
      <c r="K52" s="560"/>
      <c r="L52" s="562"/>
    </row>
    <row r="53" spans="1:12" s="5" customFormat="1" ht="12.75" x14ac:dyDescent="0.2">
      <c r="A53" s="45">
        <f>A51-'Fin Perform'!K30</f>
        <v>0</v>
      </c>
      <c r="B53" s="45">
        <f>B51-'Fin Perform'!B30</f>
        <v>-86831977.860000014</v>
      </c>
      <c r="C53" s="45">
        <f>C51-'Fin Perform'!K48</f>
        <v>909408</v>
      </c>
      <c r="D53" s="45">
        <f>D51-'Fin Perform'!B48</f>
        <v>133285374.91000003</v>
      </c>
      <c r="E53" s="45"/>
      <c r="F53" s="45"/>
      <c r="G53" s="45"/>
      <c r="H53" s="45">
        <f>H51-'Fin Perform'!I30</f>
        <v>-1186927.3799999952</v>
      </c>
      <c r="I53" s="45">
        <f>I51-'Fin Perform'!F30</f>
        <v>-88202498.509999976</v>
      </c>
      <c r="J53" s="45">
        <f>J51-'Fin Perform'!I48</f>
        <v>-297249.96999999881</v>
      </c>
      <c r="K53" s="45">
        <f>K51-'Fin Perform'!F48</f>
        <v>167886942.65999997</v>
      </c>
      <c r="L53" s="45"/>
    </row>
    <row r="55" spans="1:12" x14ac:dyDescent="0.2">
      <c r="A55" s="3">
        <f>A53-C53</f>
        <v>-909408</v>
      </c>
    </row>
  </sheetData>
  <mergeCells count="3">
    <mergeCell ref="A1:L1"/>
    <mergeCell ref="A3:L3"/>
    <mergeCell ref="A2:L2"/>
  </mergeCells>
  <phoneticPr fontId="0" type="noConversion"/>
  <printOptions horizontalCentered="1"/>
  <pageMargins left="0.39370078740157483" right="0.39370078740157483" top="0.39370078740157483" bottom="0.39370078740157483" header="0.19685039370078741" footer="0.19685039370078741"/>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93"/>
  <sheetViews>
    <sheetView view="pageBreakPreview" zoomScale="82" zoomScaleNormal="100" zoomScaleSheetLayoutView="82" workbookViewId="0">
      <selection activeCell="H72" sqref="H72"/>
    </sheetView>
  </sheetViews>
  <sheetFormatPr defaultColWidth="9.140625" defaultRowHeight="15" x14ac:dyDescent="0.2"/>
  <cols>
    <col min="1" max="1" width="52.7109375" style="1" customWidth="1"/>
    <col min="2" max="4" width="15.7109375" style="3" customWidth="1"/>
    <col min="5" max="5" width="10.7109375" style="2" customWidth="1"/>
    <col min="6" max="6" width="75.7109375" style="1" customWidth="1"/>
    <col min="7" max="16384" width="9.140625" style="1"/>
  </cols>
  <sheetData>
    <row r="1" spans="1:6" ht="21" customHeight="1" x14ac:dyDescent="0.3">
      <c r="A1" s="2785" t="s">
        <v>216</v>
      </c>
      <c r="B1" s="2785"/>
      <c r="C1" s="2785"/>
      <c r="D1" s="2785"/>
      <c r="E1" s="2785"/>
      <c r="F1" s="2785"/>
    </row>
    <row r="2" spans="1:6" ht="18" customHeight="1" x14ac:dyDescent="0.25">
      <c r="A2" s="2808" t="str">
        <f>Parameters!C5</f>
        <v>Mohokare Local Municipality</v>
      </c>
      <c r="B2" s="2808"/>
      <c r="C2" s="2808"/>
      <c r="D2" s="2808"/>
      <c r="E2" s="2808"/>
      <c r="F2" s="2808"/>
    </row>
    <row r="3" spans="1:6" ht="18" customHeight="1" thickBot="1" x14ac:dyDescent="0.35">
      <c r="A3" s="563" t="str">
        <f>"ACTUAL VERSUS BUDGET (REVENUE AND EXPENDITURE) FOR THE YEAR ENDED "&amp;Parameters!C6</f>
        <v>ACTUAL VERSUS BUDGET (REVENUE AND EXPENDITURE) FOR THE YEAR ENDED 30 JUNE 2012</v>
      </c>
      <c r="B3" s="564"/>
      <c r="C3" s="564"/>
      <c r="D3" s="564"/>
      <c r="E3" s="565"/>
      <c r="F3" s="566"/>
    </row>
    <row r="4" spans="1:6" s="66" customFormat="1" ht="15.95" customHeight="1" x14ac:dyDescent="0.25">
      <c r="A4" s="3023" t="s">
        <v>7</v>
      </c>
      <c r="B4" s="567" t="str">
        <f>Parameters!C25</f>
        <v>2011/12</v>
      </c>
      <c r="C4" s="567" t="str">
        <f>Parameters!C25</f>
        <v>2011/12</v>
      </c>
      <c r="D4" s="567" t="str">
        <f>Parameters!C25</f>
        <v>2011/12</v>
      </c>
      <c r="E4" s="567" t="str">
        <f>Parameters!C25</f>
        <v>2011/12</v>
      </c>
      <c r="F4" s="568" t="s">
        <v>219</v>
      </c>
    </row>
    <row r="5" spans="1:6" s="66" customFormat="1" ht="15.95" customHeight="1" thickBot="1" x14ac:dyDescent="0.3">
      <c r="A5" s="3024"/>
      <c r="B5" s="569" t="s">
        <v>240</v>
      </c>
      <c r="C5" s="569" t="s">
        <v>243</v>
      </c>
      <c r="D5" s="569" t="s">
        <v>217</v>
      </c>
      <c r="E5" s="570" t="s">
        <v>217</v>
      </c>
      <c r="F5" s="571"/>
    </row>
    <row r="6" spans="1:6" s="66" customFormat="1" ht="15.95" customHeight="1" x14ac:dyDescent="0.25">
      <c r="A6" s="572"/>
      <c r="B6" s="401" t="s">
        <v>255</v>
      </c>
      <c r="C6" s="401" t="s">
        <v>255</v>
      </c>
      <c r="D6" s="401" t="s">
        <v>255</v>
      </c>
      <c r="E6" s="573" t="s">
        <v>218</v>
      </c>
      <c r="F6" s="574"/>
    </row>
    <row r="7" spans="1:6" s="66" customFormat="1" ht="15.95" customHeight="1" x14ac:dyDescent="0.25">
      <c r="A7" s="575" t="s">
        <v>247</v>
      </c>
      <c r="B7" s="433"/>
      <c r="C7" s="433"/>
      <c r="D7" s="433"/>
      <c r="E7" s="576"/>
      <c r="F7" s="577"/>
    </row>
    <row r="8" spans="1:6" s="188" customFormat="1" ht="15.95" customHeight="1" x14ac:dyDescent="0.2">
      <c r="A8" s="840" t="s">
        <v>404</v>
      </c>
      <c r="B8" s="186">
        <f>'Fin Perform'!I9</f>
        <v>7231215.04</v>
      </c>
      <c r="C8" s="186">
        <f>'Fin Perform'!F9</f>
        <v>6846144.1699999999</v>
      </c>
      <c r="D8" s="186">
        <f>+B8-C8</f>
        <v>385070.87000000011</v>
      </c>
      <c r="E8" s="710">
        <f t="shared" ref="E8:E24" si="0">IF(AND(C8&lt;&gt;0,D8&lt;&gt;0),SUM(((D8)/C8)*100),IF(AND(C8=0,D8&gt;0),100,IF(AND(C8=0,D8&lt;0),-100,0)))</f>
        <v>5.6246386350931914</v>
      </c>
      <c r="F8" s="580"/>
    </row>
    <row r="9" spans="1:6" s="188" customFormat="1" ht="15.95" hidden="1" customHeight="1" x14ac:dyDescent="0.2">
      <c r="A9" s="705" t="s">
        <v>408</v>
      </c>
      <c r="B9" s="673">
        <f>'Fin Perform'!I10</f>
        <v>0</v>
      </c>
      <c r="C9" s="673">
        <f>'Fin Perform'!F10</f>
        <v>0</v>
      </c>
      <c r="D9" s="673">
        <f t="shared" ref="D9:D23" si="1">+B9-C9</f>
        <v>0</v>
      </c>
      <c r="E9" s="706">
        <f t="shared" si="0"/>
        <v>0</v>
      </c>
      <c r="F9" s="707" t="s">
        <v>1370</v>
      </c>
    </row>
    <row r="10" spans="1:6" s="188" customFormat="1" ht="15.95" customHeight="1" x14ac:dyDescent="0.2">
      <c r="A10" s="840" t="s">
        <v>248</v>
      </c>
      <c r="B10" s="186">
        <f>'Fin Perform'!I11</f>
        <v>157143</v>
      </c>
      <c r="C10" s="186">
        <f>'Fin Perform'!F11</f>
        <v>50000</v>
      </c>
      <c r="D10" s="186">
        <f>+B10-C10</f>
        <v>107143</v>
      </c>
      <c r="E10" s="710">
        <f t="shared" si="0"/>
        <v>214.28600000000003</v>
      </c>
      <c r="F10" s="580" t="s">
        <v>7800</v>
      </c>
    </row>
    <row r="11" spans="1:6" s="188" customFormat="1" ht="15.95" customHeight="1" x14ac:dyDescent="0.2">
      <c r="A11" s="840" t="s">
        <v>411</v>
      </c>
      <c r="B11" s="186">
        <f>'Fin Perform'!I13</f>
        <v>438.6</v>
      </c>
      <c r="C11" s="186">
        <f>'Fin Perform'!F13</f>
        <v>1000</v>
      </c>
      <c r="D11" s="186">
        <f>+B11-C11</f>
        <v>-561.4</v>
      </c>
      <c r="E11" s="710">
        <f t="shared" si="0"/>
        <v>-56.14</v>
      </c>
      <c r="F11" s="580" t="s">
        <v>2618</v>
      </c>
    </row>
    <row r="12" spans="1:6" s="188" customFormat="1" ht="15.95" hidden="1" customHeight="1" x14ac:dyDescent="0.2">
      <c r="A12" s="840" t="s">
        <v>412</v>
      </c>
      <c r="B12" s="186">
        <f>'Fin Perform'!I14</f>
        <v>0</v>
      </c>
      <c r="C12" s="186">
        <f>'Fin Perform'!F14</f>
        <v>0</v>
      </c>
      <c r="D12" s="186">
        <f>+B12-C12</f>
        <v>0</v>
      </c>
      <c r="E12" s="710">
        <f t="shared" si="0"/>
        <v>0</v>
      </c>
      <c r="F12" s="580" t="s">
        <v>2213</v>
      </c>
    </row>
    <row r="13" spans="1:6" s="66" customFormat="1" ht="15.95" customHeight="1" x14ac:dyDescent="0.2">
      <c r="A13" s="578" t="s">
        <v>413</v>
      </c>
      <c r="B13" s="111">
        <f>'Fin Perform'!I15</f>
        <v>75357043.420000002</v>
      </c>
      <c r="C13" s="111">
        <f>'Fin Perform'!F15</f>
        <v>72711000</v>
      </c>
      <c r="D13" s="111">
        <f>+B13-C13</f>
        <v>2646043.4200000018</v>
      </c>
      <c r="E13" s="710">
        <f t="shared" si="0"/>
        <v>3.6391239564852662</v>
      </c>
      <c r="F13" s="580"/>
    </row>
    <row r="14" spans="1:6" s="188" customFormat="1" ht="15.95" customHeight="1" x14ac:dyDescent="0.2">
      <c r="A14" s="968" t="s">
        <v>445</v>
      </c>
      <c r="B14" s="186">
        <f>'Fin Perform'!I16</f>
        <v>0</v>
      </c>
      <c r="C14" s="186">
        <f>'Fin Perform'!F16</f>
        <v>-28051.51</v>
      </c>
      <c r="D14" s="186">
        <f>+B14-C14</f>
        <v>28051.51</v>
      </c>
      <c r="E14" s="710">
        <f t="shared" si="0"/>
        <v>-100</v>
      </c>
      <c r="F14" s="580"/>
    </row>
    <row r="15" spans="1:6" s="188" customFormat="1" ht="15.95" customHeight="1" x14ac:dyDescent="0.2">
      <c r="A15" s="840" t="s">
        <v>405</v>
      </c>
      <c r="B15" s="186">
        <f>'Fin Perform'!I18</f>
        <v>35847242.30999998</v>
      </c>
      <c r="C15" s="186">
        <f>'Fin Perform'!F18</f>
        <v>7067104.1600000001</v>
      </c>
      <c r="D15" s="186">
        <f t="shared" si="1"/>
        <v>28780138.14999998</v>
      </c>
      <c r="E15" s="710">
        <f t="shared" si="0"/>
        <v>407.24089384300203</v>
      </c>
      <c r="F15" s="580" t="s">
        <v>7809</v>
      </c>
    </row>
    <row r="16" spans="1:6" s="66" customFormat="1" ht="15.95" customHeight="1" x14ac:dyDescent="0.2">
      <c r="A16" s="578" t="s">
        <v>406</v>
      </c>
      <c r="B16" s="111">
        <f>'Fin Perform'!I19</f>
        <v>663135.83000000007</v>
      </c>
      <c r="C16" s="111">
        <f>'Fin Perform'!F19</f>
        <v>524607.30000000005</v>
      </c>
      <c r="D16" s="111">
        <f t="shared" si="1"/>
        <v>138528.53000000003</v>
      </c>
      <c r="E16" s="710">
        <f t="shared" si="0"/>
        <v>26.406138458233428</v>
      </c>
      <c r="F16" s="580" t="s">
        <v>7801</v>
      </c>
    </row>
    <row r="17" spans="1:6" s="66" customFormat="1" ht="15.95" customHeight="1" x14ac:dyDescent="0.2">
      <c r="A17" s="578" t="s">
        <v>407</v>
      </c>
      <c r="B17" s="111">
        <f>'Fin Perform'!I20</f>
        <v>140676.66</v>
      </c>
      <c r="C17" s="111">
        <f>'Fin Perform'!F20</f>
        <v>15000</v>
      </c>
      <c r="D17" s="111">
        <f t="shared" si="1"/>
        <v>125676.66</v>
      </c>
      <c r="E17" s="710">
        <f t="shared" si="0"/>
        <v>837.84439999999995</v>
      </c>
      <c r="F17" s="580"/>
    </row>
    <row r="18" spans="1:6" s="66" customFormat="1" ht="15.95" customHeight="1" x14ac:dyDescent="0.2">
      <c r="A18" s="578" t="s">
        <v>409</v>
      </c>
      <c r="B18" s="111">
        <f>'Fin Perform'!I21</f>
        <v>273209.25</v>
      </c>
      <c r="C18" s="111">
        <f>'Fin Perform'!F21</f>
        <v>242201.05</v>
      </c>
      <c r="D18" s="111">
        <f t="shared" si="1"/>
        <v>31008.200000000012</v>
      </c>
      <c r="E18" s="710">
        <f t="shared" si="0"/>
        <v>12.802669517741569</v>
      </c>
      <c r="F18" s="580" t="s">
        <v>2212</v>
      </c>
    </row>
    <row r="19" spans="1:6" s="188" customFormat="1" ht="15.95" customHeight="1" x14ac:dyDescent="0.2">
      <c r="A19" s="2708" t="s">
        <v>410</v>
      </c>
      <c r="B19" s="186">
        <f>'Fin Perform'!I22</f>
        <v>2961.77</v>
      </c>
      <c r="C19" s="186">
        <f>'Fin Perform'!F22</f>
        <v>7625.82</v>
      </c>
      <c r="D19" s="186">
        <f>+B19-C19</f>
        <v>-4664.0499999999993</v>
      </c>
      <c r="E19" s="710">
        <f t="shared" si="0"/>
        <v>-61.161291507011697</v>
      </c>
      <c r="F19" s="580"/>
    </row>
    <row r="20" spans="1:6" s="188" customFormat="1" ht="15.95" customHeight="1" x14ac:dyDescent="0.2">
      <c r="A20" s="2708" t="s">
        <v>7799</v>
      </c>
      <c r="B20" s="186">
        <f>'Fin Perform'!I12</f>
        <v>16834.3</v>
      </c>
      <c r="C20" s="186">
        <v>0</v>
      </c>
      <c r="D20" s="186">
        <f>+B20-C20</f>
        <v>16834.3</v>
      </c>
      <c r="E20" s="710">
        <f t="shared" si="0"/>
        <v>100</v>
      </c>
      <c r="F20" s="580" t="s">
        <v>7802</v>
      </c>
    </row>
    <row r="21" spans="1:6" s="66" customFormat="1" ht="15.95" customHeight="1" x14ac:dyDescent="0.2">
      <c r="A21" s="578" t="s">
        <v>414</v>
      </c>
      <c r="B21" s="111">
        <f>'Fin Perform'!I23</f>
        <v>567171.72000000044</v>
      </c>
      <c r="C21" s="111">
        <f>'Fin Perform'!F23</f>
        <v>765867.5199999999</v>
      </c>
      <c r="D21" s="111">
        <f>+B21-C21</f>
        <v>-198695.79999999946</v>
      </c>
      <c r="E21" s="710">
        <f t="shared" si="0"/>
        <v>-25.943886483134769</v>
      </c>
      <c r="F21" s="580" t="s">
        <v>7803</v>
      </c>
    </row>
    <row r="22" spans="1:6" s="66" customFormat="1" ht="15.95" hidden="1" customHeight="1" x14ac:dyDescent="0.2">
      <c r="A22" s="708" t="s">
        <v>788</v>
      </c>
      <c r="B22" s="673">
        <f>'Fin Perform'!I24</f>
        <v>0</v>
      </c>
      <c r="C22" s="673">
        <f>'Fin Perform'!F24</f>
        <v>0</v>
      </c>
      <c r="D22" s="673">
        <f>+B22-C22</f>
        <v>0</v>
      </c>
      <c r="E22" s="706">
        <f t="shared" si="0"/>
        <v>0</v>
      </c>
      <c r="F22" s="707"/>
    </row>
    <row r="23" spans="1:6" s="66" customFormat="1" ht="15.95" hidden="1" customHeight="1" x14ac:dyDescent="0.2">
      <c r="A23" s="709" t="s">
        <v>415</v>
      </c>
      <c r="B23" s="673">
        <f>'Fin Perform'!I25</f>
        <v>0</v>
      </c>
      <c r="C23" s="673">
        <f>'Fin Perform'!F25</f>
        <v>0</v>
      </c>
      <c r="D23" s="673">
        <f t="shared" si="1"/>
        <v>0</v>
      </c>
      <c r="E23" s="706">
        <f t="shared" si="0"/>
        <v>0</v>
      </c>
      <c r="F23" s="707"/>
    </row>
    <row r="24" spans="1:6" s="188" customFormat="1" ht="15.95" hidden="1" customHeight="1" x14ac:dyDescent="0.2">
      <c r="A24" s="840" t="s">
        <v>1304</v>
      </c>
      <c r="B24" s="186">
        <f>'Fin Perform'!I26</f>
        <v>0</v>
      </c>
      <c r="C24" s="186">
        <f>'Fin Perform'!F26</f>
        <v>0</v>
      </c>
      <c r="D24" s="186">
        <f>+B24-C24</f>
        <v>0</v>
      </c>
      <c r="E24" s="710">
        <f t="shared" si="0"/>
        <v>0</v>
      </c>
      <c r="F24" s="580" t="s">
        <v>2214</v>
      </c>
    </row>
    <row r="25" spans="1:6" s="66" customFormat="1" ht="15.95" customHeight="1" x14ac:dyDescent="0.2">
      <c r="A25" s="578"/>
      <c r="B25" s="111"/>
      <c r="C25" s="111"/>
      <c r="D25" s="111"/>
      <c r="E25" s="579"/>
      <c r="F25" s="577"/>
    </row>
    <row r="26" spans="1:6" s="66" customFormat="1" ht="15.95" customHeight="1" thickBot="1" x14ac:dyDescent="0.3">
      <c r="A26" s="575" t="s">
        <v>249</v>
      </c>
      <c r="B26" s="191">
        <f>SUM(B7:B25)</f>
        <v>120257071.89999996</v>
      </c>
      <c r="C26" s="191">
        <f>SUM(C7:C25)</f>
        <v>88202498.509999976</v>
      </c>
      <c r="D26" s="191">
        <f>SUM(D7:D25)</f>
        <v>32054573.389999982</v>
      </c>
      <c r="E26" s="581">
        <f>IF(AND(C26&lt;&gt;0,D26&lt;&gt;0),SUM(((D26)/C26)*100),IF(AND(C26=0,D26&gt;0),100,IF(AND(C26=0,D26&lt;0),-100,0)))</f>
        <v>36.342024241372016</v>
      </c>
      <c r="F26" s="577"/>
    </row>
    <row r="27" spans="1:6" s="66" customFormat="1" ht="15.95" customHeight="1" thickTop="1" x14ac:dyDescent="0.2">
      <c r="A27" s="578"/>
      <c r="B27" s="111">
        <f>B26-'Fin Perform'!I30</f>
        <v>0</v>
      </c>
      <c r="C27" s="111">
        <f>C26-'Fin Perform'!F30</f>
        <v>0</v>
      </c>
      <c r="D27" s="111"/>
      <c r="E27" s="579"/>
      <c r="F27" s="577"/>
    </row>
    <row r="28" spans="1:6" s="66" customFormat="1" ht="15.95" customHeight="1" x14ac:dyDescent="0.25">
      <c r="A28" s="575" t="s">
        <v>235</v>
      </c>
      <c r="B28" s="111"/>
      <c r="C28" s="111"/>
      <c r="D28" s="111"/>
      <c r="E28" s="579"/>
      <c r="F28" s="577"/>
    </row>
    <row r="29" spans="1:6" s="66" customFormat="1" ht="15.95" customHeight="1" x14ac:dyDescent="0.2">
      <c r="A29" s="578" t="s">
        <v>416</v>
      </c>
      <c r="B29" s="111">
        <f>'Fin Perform'!I33</f>
        <v>35362981.040000007</v>
      </c>
      <c r="C29" s="111">
        <f>'Fin Perform'!F33</f>
        <v>36972009.620000012</v>
      </c>
      <c r="D29" s="111">
        <f>+B29-C29</f>
        <v>-1609028.5800000057</v>
      </c>
      <c r="E29" s="579">
        <f t="shared" ref="E29:E42" si="2">IF(AND(C29&lt;&gt;0,D29&lt;&gt;0),SUM(((D29)/C29)*100),IF(AND(C29=0,D29&gt;0),100,IF(AND(C29=0,D29&lt;0),-100,0)))</f>
        <v>-4.3520181795300665</v>
      </c>
      <c r="F29" s="580"/>
    </row>
    <row r="30" spans="1:6" s="66" customFormat="1" ht="15.95" customHeight="1" x14ac:dyDescent="0.2">
      <c r="A30" s="578" t="s">
        <v>250</v>
      </c>
      <c r="B30" s="111">
        <f>'Fin Perform'!I34</f>
        <v>2599729.3099999996</v>
      </c>
      <c r="C30" s="111">
        <f>'Fin Perform'!F34</f>
        <v>2601388.5500000003</v>
      </c>
      <c r="D30" s="111">
        <f t="shared" ref="D30:D40" si="3">+B30-C30</f>
        <v>-1659.2400000006892</v>
      </c>
      <c r="E30" s="579">
        <f t="shared" si="2"/>
        <v>-6.378285935027618E-2</v>
      </c>
      <c r="F30" s="580"/>
    </row>
    <row r="31" spans="1:6" s="66" customFormat="1" ht="15.95" hidden="1" customHeight="1" x14ac:dyDescent="0.2">
      <c r="A31" s="578" t="s">
        <v>417</v>
      </c>
      <c r="B31" s="111">
        <f>'Fin Perform'!I35</f>
        <v>0</v>
      </c>
      <c r="C31" s="111">
        <f>'Fin Perform'!F35</f>
        <v>0</v>
      </c>
      <c r="D31" s="111">
        <f t="shared" si="3"/>
        <v>0</v>
      </c>
      <c r="E31" s="579">
        <f t="shared" si="2"/>
        <v>0</v>
      </c>
      <c r="F31" s="580"/>
    </row>
    <row r="32" spans="1:6" s="66" customFormat="1" ht="15.95" customHeight="1" x14ac:dyDescent="0.2">
      <c r="A32" s="578" t="s">
        <v>251</v>
      </c>
      <c r="B32" s="111">
        <f>'Fin Perform'!I36</f>
        <v>21215435.489999998</v>
      </c>
      <c r="C32" s="111">
        <f>'Fin Perform'!F36</f>
        <v>0</v>
      </c>
      <c r="D32" s="111">
        <f t="shared" si="3"/>
        <v>21215435.489999998</v>
      </c>
      <c r="E32" s="579">
        <f t="shared" si="2"/>
        <v>100</v>
      </c>
      <c r="F32" s="580" t="s">
        <v>7804</v>
      </c>
    </row>
    <row r="33" spans="1:6" s="66" customFormat="1" ht="15.95" customHeight="1" x14ac:dyDescent="0.2">
      <c r="A33" s="578" t="s">
        <v>154</v>
      </c>
      <c r="B33" s="111">
        <f>'Fin Perform'!I37</f>
        <v>32945570.969999999</v>
      </c>
      <c r="C33" s="111">
        <f>'Fin Perform'!F37</f>
        <v>1595309.5300000003</v>
      </c>
      <c r="D33" s="111">
        <f>+B33-C33</f>
        <v>31350261.439999998</v>
      </c>
      <c r="E33" s="579">
        <f t="shared" si="2"/>
        <v>1965.1522698544898</v>
      </c>
      <c r="F33" s="580" t="s">
        <v>7805</v>
      </c>
    </row>
    <row r="34" spans="1:6" s="66" customFormat="1" ht="15.95" customHeight="1" x14ac:dyDescent="0.2">
      <c r="A34" s="578" t="s">
        <v>418</v>
      </c>
      <c r="B34" s="111">
        <f>'Fin Perform'!I38</f>
        <v>1722910.5400000005</v>
      </c>
      <c r="C34" s="111">
        <f>'Fin Perform'!F38</f>
        <v>2614348.35</v>
      </c>
      <c r="D34" s="111">
        <f t="shared" si="3"/>
        <v>-891437.80999999959</v>
      </c>
      <c r="E34" s="579">
        <f t="shared" si="2"/>
        <v>-34.097897091640426</v>
      </c>
      <c r="F34" s="580" t="s">
        <v>7806</v>
      </c>
    </row>
    <row r="35" spans="1:6" s="188" customFormat="1" ht="15.95" customHeight="1" x14ac:dyDescent="0.2">
      <c r="A35" s="840" t="s">
        <v>419</v>
      </c>
      <c r="B35" s="186">
        <f>'Fin Perform'!I39</f>
        <v>2080323.24</v>
      </c>
      <c r="C35" s="186">
        <f>'Fin Perform'!F39</f>
        <v>77497.2</v>
      </c>
      <c r="D35" s="186">
        <f t="shared" si="3"/>
        <v>2002826.04</v>
      </c>
      <c r="E35" s="710">
        <f t="shared" si="2"/>
        <v>2584.3850358464565</v>
      </c>
      <c r="F35" s="580" t="s">
        <v>7807</v>
      </c>
    </row>
    <row r="36" spans="1:6" s="188" customFormat="1" ht="15.95" customHeight="1" x14ac:dyDescent="0.2">
      <c r="A36" s="840" t="s">
        <v>420</v>
      </c>
      <c r="B36" s="186">
        <f>'Fin Perform'!I40</f>
        <v>14183362.850000001</v>
      </c>
      <c r="C36" s="186">
        <f>'Fin Perform'!F40</f>
        <v>1425809.18</v>
      </c>
      <c r="D36" s="186">
        <f t="shared" si="3"/>
        <v>12757553.670000002</v>
      </c>
      <c r="E36" s="710">
        <f t="shared" si="2"/>
        <v>894.75883932799491</v>
      </c>
      <c r="F36" s="580" t="s">
        <v>7808</v>
      </c>
    </row>
    <row r="37" spans="1:6" s="188" customFormat="1" ht="15.95" customHeight="1" x14ac:dyDescent="0.2">
      <c r="A37" s="840" t="s">
        <v>421</v>
      </c>
      <c r="B37" s="186">
        <f>'Fin Perform'!I41</f>
        <v>5169265.92</v>
      </c>
      <c r="C37" s="186">
        <f>'Fin Perform'!F41</f>
        <v>5121890</v>
      </c>
      <c r="D37" s="186">
        <f>+B37-C37</f>
        <v>47375.919999999925</v>
      </c>
      <c r="E37" s="710">
        <f t="shared" si="2"/>
        <v>0.92496949368299441</v>
      </c>
      <c r="F37" s="580"/>
    </row>
    <row r="38" spans="1:6" s="188" customFormat="1" ht="15.95" customHeight="1" x14ac:dyDescent="0.2">
      <c r="A38" s="840" t="s">
        <v>422</v>
      </c>
      <c r="B38" s="186">
        <f>'Fin Perform'!I42</f>
        <v>1091380.58</v>
      </c>
      <c r="C38" s="186">
        <f>'Fin Perform'!F42</f>
        <v>1417409.6</v>
      </c>
      <c r="D38" s="186">
        <f t="shared" si="3"/>
        <v>-326029.02</v>
      </c>
      <c r="E38" s="710">
        <f t="shared" si="2"/>
        <v>-23.001750517281668</v>
      </c>
      <c r="F38" s="580" t="s">
        <v>7810</v>
      </c>
    </row>
    <row r="39" spans="1:6" s="188" customFormat="1" ht="15.95" hidden="1" customHeight="1" x14ac:dyDescent="0.2">
      <c r="A39" s="840" t="s">
        <v>793</v>
      </c>
      <c r="B39" s="186">
        <f>'Fin Perform'!I43</f>
        <v>0</v>
      </c>
      <c r="C39" s="186">
        <f>'Fin Perform'!F43</f>
        <v>0</v>
      </c>
      <c r="D39" s="186">
        <f>+B39-C39</f>
        <v>0</v>
      </c>
      <c r="E39" s="710">
        <f t="shared" si="2"/>
        <v>0</v>
      </c>
      <c r="F39" s="580" t="s">
        <v>573</v>
      </c>
    </row>
    <row r="40" spans="1:6" s="188" customFormat="1" ht="15.95" customHeight="1" x14ac:dyDescent="0.2">
      <c r="A40" s="2709" t="s">
        <v>423</v>
      </c>
      <c r="B40" s="186">
        <f>'Fin Perform'!I44</f>
        <v>20795542.219999995</v>
      </c>
      <c r="C40" s="186">
        <f>'Fin Perform'!F44</f>
        <v>15937708.310000002</v>
      </c>
      <c r="D40" s="186">
        <f t="shared" si="3"/>
        <v>4857833.9099999927</v>
      </c>
      <c r="E40" s="710">
        <f t="shared" si="2"/>
        <v>30.480128105694966</v>
      </c>
      <c r="F40" s="580" t="s">
        <v>7811</v>
      </c>
    </row>
    <row r="41" spans="1:6" s="188" customFormat="1" ht="15.95" hidden="1" customHeight="1" x14ac:dyDescent="0.2">
      <c r="A41" s="2709" t="s">
        <v>794</v>
      </c>
      <c r="B41" s="186">
        <f>'Fin Perform'!I45</f>
        <v>0</v>
      </c>
      <c r="C41" s="186">
        <f>'Fin Perform'!F45</f>
        <v>0</v>
      </c>
      <c r="D41" s="186">
        <f>+B41-C41</f>
        <v>0</v>
      </c>
      <c r="E41" s="710">
        <f t="shared" si="2"/>
        <v>0</v>
      </c>
      <c r="F41" s="580" t="s">
        <v>746</v>
      </c>
    </row>
    <row r="42" spans="1:6" s="188" customFormat="1" ht="15.95" customHeight="1" x14ac:dyDescent="0.2">
      <c r="A42" s="2709" t="s">
        <v>43</v>
      </c>
      <c r="B42" s="186">
        <f>'Fin Perform'!I46</f>
        <v>131102</v>
      </c>
      <c r="C42" s="186">
        <f>'Fin Perform'!F46</f>
        <v>0</v>
      </c>
      <c r="D42" s="186">
        <f>+B42-C42</f>
        <v>131102</v>
      </c>
      <c r="E42" s="710">
        <f t="shared" si="2"/>
        <v>100</v>
      </c>
      <c r="F42" s="580" t="s">
        <v>7812</v>
      </c>
    </row>
    <row r="43" spans="1:6" s="66" customFormat="1" ht="15.95" customHeight="1" x14ac:dyDescent="0.2">
      <c r="A43" s="582"/>
      <c r="B43" s="186"/>
      <c r="C43" s="111"/>
      <c r="D43" s="111"/>
      <c r="E43" s="579"/>
      <c r="F43" s="577"/>
    </row>
    <row r="44" spans="1:6" s="66" customFormat="1" ht="15.95" customHeight="1" thickBot="1" x14ac:dyDescent="0.3">
      <c r="A44" s="583" t="s">
        <v>252</v>
      </c>
      <c r="B44" s="191">
        <f>SUM(B28:B43)</f>
        <v>137297604.16</v>
      </c>
      <c r="C44" s="191">
        <f>SUM(C28:C43)</f>
        <v>67763370.340000018</v>
      </c>
      <c r="D44" s="191">
        <f>SUM(D28:D43)</f>
        <v>69534233.819999978</v>
      </c>
      <c r="E44" s="581">
        <f>IF(AND(C44&lt;&gt;0,D44&lt;&gt;0),SUM(((D44)/C44)*100),IF(AND(C44=0,D44&gt;0),100,IF(AND(C44=0,D44&lt;0),-100,0)))</f>
        <v>102.61330490368871</v>
      </c>
      <c r="F44" s="577"/>
    </row>
    <row r="45" spans="1:6" s="66" customFormat="1" ht="15.95" customHeight="1" thickTop="1" x14ac:dyDescent="0.25">
      <c r="A45" s="583"/>
      <c r="B45" s="584">
        <f>B44-'Fin Perform'!I48</f>
        <v>0</v>
      </c>
      <c r="C45" s="584">
        <f>C44-'Fin Perform'!F48</f>
        <v>0</v>
      </c>
      <c r="D45" s="584"/>
      <c r="E45" s="585"/>
      <c r="F45" s="577"/>
    </row>
    <row r="46" spans="1:6" s="66" customFormat="1" ht="15.95" customHeight="1" thickBot="1" x14ac:dyDescent="0.3">
      <c r="A46" s="586" t="s">
        <v>439</v>
      </c>
      <c r="B46" s="587">
        <f>+B26-+B44</f>
        <v>-17040532.260000035</v>
      </c>
      <c r="C46" s="587">
        <f>+C26-C44</f>
        <v>20439128.169999957</v>
      </c>
      <c r="D46" s="587">
        <f>+B46-C46</f>
        <v>-37479660.429999992</v>
      </c>
      <c r="E46" s="588">
        <f>IF(AND(C46&lt;&gt;0,D46&lt;&gt;0),SUM(((D46)/C46)*100),IF(AND(C46=0,D46&gt;0),100,IF(AND(C46=0,D46&lt;0),-100,0)))</f>
        <v>-183.37210921262141</v>
      </c>
      <c r="F46" s="577"/>
    </row>
    <row r="47" spans="1:6" s="66" customFormat="1" ht="15.95" customHeight="1" thickTop="1" thickBot="1" x14ac:dyDescent="0.25">
      <c r="A47" s="589"/>
      <c r="B47" s="590">
        <f>B46-'Fin Perform'!I57</f>
        <v>0</v>
      </c>
      <c r="C47" s="590">
        <f>C46-'Fin Perform'!F57</f>
        <v>0</v>
      </c>
      <c r="D47" s="590"/>
      <c r="E47" s="591"/>
      <c r="F47" s="592"/>
    </row>
    <row r="48" spans="1:6" ht="15.95" customHeight="1" x14ac:dyDescent="0.2"/>
    <row r="49" spans="1:6" ht="18" customHeight="1" thickBot="1" x14ac:dyDescent="0.35">
      <c r="A49" s="563" t="str">
        <f>"ACTUAL VERSUS BUDGET (REVENUE AND EXPENDITURE) FOR THE YEAR ENDED "&amp;PriorYear</f>
        <v>ACTUAL VERSUS BUDGET (REVENUE AND EXPENDITURE) FOR THE YEAR ENDED 30 June 2011</v>
      </c>
      <c r="B49" s="564"/>
      <c r="C49" s="564"/>
      <c r="D49" s="564"/>
      <c r="E49" s="565"/>
      <c r="F49" s="566"/>
    </row>
    <row r="50" spans="1:6" s="66" customFormat="1" ht="15.95" customHeight="1" x14ac:dyDescent="0.25">
      <c r="A50" s="3023" t="s">
        <v>7</v>
      </c>
      <c r="B50" s="1373" t="str">
        <f>Parameters!C27</f>
        <v>2010/11</v>
      </c>
      <c r="C50" s="1373" t="str">
        <f>Parameters!C27</f>
        <v>2010/11</v>
      </c>
      <c r="D50" s="1373" t="str">
        <f>Parameters!C27</f>
        <v>2010/11</v>
      </c>
      <c r="E50" s="1373" t="str">
        <f>Parameters!C27</f>
        <v>2010/11</v>
      </c>
      <c r="F50" s="568" t="s">
        <v>219</v>
      </c>
    </row>
    <row r="51" spans="1:6" s="66" customFormat="1" ht="15.95" customHeight="1" thickBot="1" x14ac:dyDescent="0.3">
      <c r="A51" s="3024"/>
      <c r="B51" s="569" t="s">
        <v>240</v>
      </c>
      <c r="C51" s="569" t="s">
        <v>243</v>
      </c>
      <c r="D51" s="569" t="s">
        <v>217</v>
      </c>
      <c r="E51" s="570" t="s">
        <v>217</v>
      </c>
      <c r="F51" s="571" t="s">
        <v>438</v>
      </c>
    </row>
    <row r="52" spans="1:6" s="66" customFormat="1" ht="15.95" customHeight="1" x14ac:dyDescent="0.25">
      <c r="A52" s="572"/>
      <c r="B52" s="401" t="s">
        <v>255</v>
      </c>
      <c r="C52" s="401" t="s">
        <v>255</v>
      </c>
      <c r="D52" s="401" t="s">
        <v>255</v>
      </c>
      <c r="E52" s="573" t="s">
        <v>218</v>
      </c>
      <c r="F52" s="574"/>
    </row>
    <row r="53" spans="1:6" s="66" customFormat="1" ht="15.95" customHeight="1" x14ac:dyDescent="0.25">
      <c r="A53" s="575" t="s">
        <v>247</v>
      </c>
      <c r="B53" s="433"/>
      <c r="C53" s="433"/>
      <c r="D53" s="433"/>
      <c r="E53" s="1401"/>
      <c r="F53" s="577"/>
    </row>
    <row r="54" spans="1:6" s="188" customFormat="1" ht="15.95" customHeight="1" x14ac:dyDescent="0.2">
      <c r="A54" s="840" t="s">
        <v>404</v>
      </c>
      <c r="B54" s="186">
        <f>'Fin Perform'!K9</f>
        <v>6062906.8000000007</v>
      </c>
      <c r="C54" s="186">
        <f>'Fin Perform'!B9</f>
        <v>4615026.8299999991</v>
      </c>
      <c r="D54" s="186">
        <f>+B54-C54</f>
        <v>1447879.9700000016</v>
      </c>
      <c r="E54" s="2003">
        <f t="shared" ref="E54:E70" si="4">IF(AND(C54&lt;&gt;0,D54&lt;&gt;0),SUM(((D54)/C54)*100),IF(AND(C54=0,D54&gt;0),100,IF(AND(C54=0,D54&lt;0),-100,0)))</f>
        <v>31.373164736292591</v>
      </c>
      <c r="F54" s="580"/>
    </row>
    <row r="55" spans="1:6" s="188" customFormat="1" ht="15.95" hidden="1" customHeight="1" x14ac:dyDescent="0.2">
      <c r="A55" s="705" t="s">
        <v>408</v>
      </c>
      <c r="B55" s="673">
        <f>'Fin Perform'!K10</f>
        <v>0</v>
      </c>
      <c r="C55" s="673">
        <f>'Fin Perform'!B10</f>
        <v>0</v>
      </c>
      <c r="D55" s="673">
        <f t="shared" ref="D55:D64" si="5">+B55-C55</f>
        <v>0</v>
      </c>
      <c r="E55" s="2002">
        <f t="shared" si="4"/>
        <v>0</v>
      </c>
      <c r="F55" s="707" t="s">
        <v>1370</v>
      </c>
    </row>
    <row r="56" spans="1:6" s="188" customFormat="1" ht="15.95" customHeight="1" x14ac:dyDescent="0.2">
      <c r="A56" s="840" t="s">
        <v>248</v>
      </c>
      <c r="B56" s="186">
        <f>'Fin Perform'!K11</f>
        <v>156055.32</v>
      </c>
      <c r="C56" s="186">
        <f>'Fin Perform'!B11</f>
        <v>710462.82</v>
      </c>
      <c r="D56" s="186">
        <f>+B56-C56</f>
        <v>-554407.5</v>
      </c>
      <c r="E56" s="2003">
        <f t="shared" si="4"/>
        <v>-78.034695749455267</v>
      </c>
      <c r="F56" s="580"/>
    </row>
    <row r="57" spans="1:6" s="188" customFormat="1" ht="15.95" customHeight="1" x14ac:dyDescent="0.2">
      <c r="A57" s="840" t="s">
        <v>411</v>
      </c>
      <c r="B57" s="186">
        <f>'Fin Perform'!K13</f>
        <v>4152.66</v>
      </c>
      <c r="C57" s="186">
        <f>'Fin Perform'!B13</f>
        <v>0</v>
      </c>
      <c r="D57" s="186">
        <f>+B57-C57</f>
        <v>4152.66</v>
      </c>
      <c r="E57" s="2003">
        <f t="shared" si="4"/>
        <v>100</v>
      </c>
      <c r="F57" s="580"/>
    </row>
    <row r="58" spans="1:6" s="188" customFormat="1" ht="15.95" hidden="1" customHeight="1" x14ac:dyDescent="0.2">
      <c r="A58" s="840" t="s">
        <v>412</v>
      </c>
      <c r="B58" s="186">
        <f>'Fin Perform'!K14</f>
        <v>0</v>
      </c>
      <c r="C58" s="186">
        <f>'Fin Perform'!B14</f>
        <v>0</v>
      </c>
      <c r="D58" s="186">
        <f>+B58-C58</f>
        <v>0</v>
      </c>
      <c r="E58" s="2003">
        <f t="shared" si="4"/>
        <v>0</v>
      </c>
      <c r="F58" s="580"/>
    </row>
    <row r="59" spans="1:6" s="66" customFormat="1" ht="15.95" customHeight="1" x14ac:dyDescent="0.2">
      <c r="A59" s="578" t="s">
        <v>413</v>
      </c>
      <c r="B59" s="111">
        <f>'Fin Perform'!K15</f>
        <v>68189763.920000002</v>
      </c>
      <c r="C59" s="111">
        <f>'Fin Perform'!B15</f>
        <v>56240297.850000001</v>
      </c>
      <c r="D59" s="111">
        <f>+B59-C59</f>
        <v>11949466.07</v>
      </c>
      <c r="E59" s="1401">
        <f t="shared" si="4"/>
        <v>21.24716000237186</v>
      </c>
      <c r="F59" s="580"/>
    </row>
    <row r="60" spans="1:6" s="188" customFormat="1" ht="15.95" customHeight="1" x14ac:dyDescent="0.2">
      <c r="A60" s="968" t="s">
        <v>445</v>
      </c>
      <c r="B60" s="186">
        <f>'Fin Perform'!K16</f>
        <v>20580</v>
      </c>
      <c r="C60" s="186">
        <f>'Fin Perform'!B16</f>
        <v>0</v>
      </c>
      <c r="D60" s="186">
        <f>+B60-C60</f>
        <v>20580</v>
      </c>
      <c r="E60" s="2003">
        <f t="shared" si="4"/>
        <v>100</v>
      </c>
      <c r="F60" s="580"/>
    </row>
    <row r="61" spans="1:6" s="188" customFormat="1" ht="15.95" customHeight="1" x14ac:dyDescent="0.2">
      <c r="A61" s="840" t="s">
        <v>405</v>
      </c>
      <c r="B61" s="186">
        <f>'Fin Perform'!K18</f>
        <v>28275179.93</v>
      </c>
      <c r="C61" s="186">
        <f>'Fin Perform'!B18</f>
        <v>23386866.129999999</v>
      </c>
      <c r="D61" s="186">
        <f t="shared" si="5"/>
        <v>4888313.8000000007</v>
      </c>
      <c r="E61" s="2003">
        <f t="shared" si="4"/>
        <v>20.90196169434353</v>
      </c>
      <c r="F61" s="580"/>
    </row>
    <row r="62" spans="1:6" s="66" customFormat="1" ht="15.95" customHeight="1" x14ac:dyDescent="0.2">
      <c r="A62" s="578" t="s">
        <v>406</v>
      </c>
      <c r="B62" s="111">
        <f>'Fin Perform'!K19</f>
        <v>656777.32000000007</v>
      </c>
      <c r="C62" s="111">
        <f>'Fin Perform'!B19</f>
        <v>723384.4</v>
      </c>
      <c r="D62" s="111">
        <f t="shared" si="5"/>
        <v>-66607.079999999958</v>
      </c>
      <c r="E62" s="1401">
        <f t="shared" si="4"/>
        <v>-9.2077020184565708</v>
      </c>
      <c r="F62" s="580"/>
    </row>
    <row r="63" spans="1:6" s="66" customFormat="1" ht="15.95" customHeight="1" x14ac:dyDescent="0.2">
      <c r="A63" s="578" t="s">
        <v>407</v>
      </c>
      <c r="B63" s="111">
        <f>'Fin Perform'!K20</f>
        <v>31636.04</v>
      </c>
      <c r="C63" s="111">
        <f>'Fin Perform'!B20</f>
        <v>67892.98000000001</v>
      </c>
      <c r="D63" s="111">
        <f t="shared" si="5"/>
        <v>-36256.94000000001</v>
      </c>
      <c r="E63" s="1401">
        <f t="shared" si="4"/>
        <v>-53.403076429993213</v>
      </c>
      <c r="F63" s="580"/>
    </row>
    <row r="64" spans="1:6" s="66" customFormat="1" ht="15.95" customHeight="1" x14ac:dyDescent="0.2">
      <c r="A64" s="578" t="s">
        <v>409</v>
      </c>
      <c r="B64" s="111">
        <f>'Fin Perform'!K21</f>
        <v>226492.75</v>
      </c>
      <c r="C64" s="111">
        <f>'Fin Perform'!B21</f>
        <v>0</v>
      </c>
      <c r="D64" s="111">
        <f t="shared" si="5"/>
        <v>226492.75</v>
      </c>
      <c r="E64" s="1401">
        <f t="shared" si="4"/>
        <v>100</v>
      </c>
      <c r="F64" s="580"/>
    </row>
    <row r="65" spans="1:6" s="188" customFormat="1" ht="15.95" customHeight="1" x14ac:dyDescent="0.2">
      <c r="A65" s="2708" t="s">
        <v>410</v>
      </c>
      <c r="B65" s="186">
        <f>'Fin Perform'!K22</f>
        <v>1733.14</v>
      </c>
      <c r="C65" s="186">
        <f>'Fin Perform'!B22</f>
        <v>6932.56</v>
      </c>
      <c r="D65" s="186">
        <f>+B65-C65</f>
        <v>-5199.42</v>
      </c>
      <c r="E65" s="2003">
        <f t="shared" si="4"/>
        <v>-75</v>
      </c>
      <c r="F65" s="580"/>
    </row>
    <row r="66" spans="1:6" s="188" customFormat="1" ht="15.95" customHeight="1" x14ac:dyDescent="0.2">
      <c r="A66" s="2708" t="s">
        <v>7799</v>
      </c>
      <c r="B66" s="186">
        <f>'Fin Perform'!K12</f>
        <v>1780205</v>
      </c>
      <c r="C66" s="186">
        <v>0</v>
      </c>
      <c r="D66" s="186">
        <f>+B66-C66</f>
        <v>1780205</v>
      </c>
      <c r="E66" s="2003">
        <f t="shared" si="4"/>
        <v>100</v>
      </c>
      <c r="F66" s="580"/>
    </row>
    <row r="67" spans="1:6" s="66" customFormat="1" ht="15.95" customHeight="1" x14ac:dyDescent="0.2">
      <c r="A67" s="578" t="s">
        <v>414</v>
      </c>
      <c r="B67" s="111">
        <f>'Fin Perform'!K23</f>
        <v>974842.35</v>
      </c>
      <c r="C67" s="111">
        <f>'Fin Perform'!B23</f>
        <v>1081114.29</v>
      </c>
      <c r="D67" s="111">
        <f t="shared" ref="D67" si="6">+B67-C67</f>
        <v>-106271.94000000006</v>
      </c>
      <c r="E67" s="1401">
        <f t="shared" si="4"/>
        <v>-9.8298524941336272</v>
      </c>
      <c r="F67" s="580"/>
    </row>
    <row r="68" spans="1:6" s="66" customFormat="1" ht="15.95" hidden="1" customHeight="1" x14ac:dyDescent="0.2">
      <c r="A68" s="708" t="s">
        <v>788</v>
      </c>
      <c r="B68" s="673">
        <f>'Fin Perform'!K24</f>
        <v>0</v>
      </c>
      <c r="C68" s="673">
        <f>'Fin Perform'!B24</f>
        <v>0</v>
      </c>
      <c r="D68" s="673">
        <f>+B68-C68</f>
        <v>0</v>
      </c>
      <c r="E68" s="2002">
        <f t="shared" si="4"/>
        <v>0</v>
      </c>
      <c r="F68" s="707"/>
    </row>
    <row r="69" spans="1:6" s="66" customFormat="1" ht="15.95" hidden="1" customHeight="1" x14ac:dyDescent="0.2">
      <c r="A69" s="709" t="s">
        <v>415</v>
      </c>
      <c r="B69" s="673">
        <f>'Fin Perform'!K25</f>
        <v>0</v>
      </c>
      <c r="C69" s="673">
        <f>'Fin Perform'!B25</f>
        <v>0</v>
      </c>
      <c r="D69" s="673">
        <f t="shared" ref="D69" si="7">+B69-C69</f>
        <v>0</v>
      </c>
      <c r="E69" s="2002">
        <f t="shared" si="4"/>
        <v>0</v>
      </c>
      <c r="F69" s="707"/>
    </row>
    <row r="70" spans="1:6" s="188" customFormat="1" ht="15.95" hidden="1" customHeight="1" x14ac:dyDescent="0.2">
      <c r="A70" s="840" t="s">
        <v>1304</v>
      </c>
      <c r="B70" s="186">
        <f>'Fin Perform'!K26</f>
        <v>0</v>
      </c>
      <c r="C70" s="186">
        <f>'Fin Perform'!B26</f>
        <v>0</v>
      </c>
      <c r="D70" s="186">
        <f>+B70-C70</f>
        <v>0</v>
      </c>
      <c r="E70" s="2003">
        <f t="shared" si="4"/>
        <v>0</v>
      </c>
      <c r="F70" s="580"/>
    </row>
    <row r="71" spans="1:6" s="66" customFormat="1" ht="15.95" customHeight="1" x14ac:dyDescent="0.2">
      <c r="A71" s="578"/>
      <c r="B71" s="111"/>
      <c r="C71" s="111"/>
      <c r="D71" s="111"/>
      <c r="E71" s="1401"/>
      <c r="F71" s="577"/>
    </row>
    <row r="72" spans="1:6" s="66" customFormat="1" ht="15.95" customHeight="1" thickBot="1" x14ac:dyDescent="0.3">
      <c r="A72" s="575" t="s">
        <v>249</v>
      </c>
      <c r="B72" s="191">
        <f>SUM(B53:B71)</f>
        <v>106380325.22999999</v>
      </c>
      <c r="C72" s="191">
        <f>SUM(C53:C71)</f>
        <v>86831977.860000014</v>
      </c>
      <c r="D72" s="191">
        <f>SUM(D53:D71)</f>
        <v>19548347.369999997</v>
      </c>
      <c r="E72" s="2004">
        <f>IF(AND(C72&lt;&gt;0,D72&lt;&gt;0),SUM(((D72)/C72)*100),IF(AND(C72=0,D72&gt;0),100,IF(AND(C72=0,D72&lt;0),-100,0)))</f>
        <v>22.512843599529628</v>
      </c>
      <c r="F72" s="577"/>
    </row>
    <row r="73" spans="1:6" s="66" customFormat="1" ht="15.95" customHeight="1" thickTop="1" x14ac:dyDescent="0.2">
      <c r="A73" s="578"/>
      <c r="B73" s="111">
        <f>B72-'Fin Perform'!K30</f>
        <v>0</v>
      </c>
      <c r="C73" s="111">
        <f>C72-'Fin Perform'!B30</f>
        <v>0</v>
      </c>
      <c r="D73" s="111"/>
      <c r="E73" s="1401"/>
      <c r="F73" s="577"/>
    </row>
    <row r="74" spans="1:6" s="66" customFormat="1" ht="15.95" customHeight="1" x14ac:dyDescent="0.25">
      <c r="A74" s="575" t="s">
        <v>235</v>
      </c>
      <c r="B74" s="111"/>
      <c r="C74" s="111"/>
      <c r="D74" s="111"/>
      <c r="E74" s="1401"/>
      <c r="F74" s="577"/>
    </row>
    <row r="75" spans="1:6" s="66" customFormat="1" ht="15.95" customHeight="1" x14ac:dyDescent="0.2">
      <c r="A75" s="578" t="s">
        <v>416</v>
      </c>
      <c r="B75" s="111">
        <f>'Fin Perform'!K33</f>
        <v>30691492.049999993</v>
      </c>
      <c r="C75" s="111">
        <f>'Fin Perform'!B33</f>
        <v>33847342.579999998</v>
      </c>
      <c r="D75" s="111">
        <f>+B75-C75</f>
        <v>-3155850.5300000049</v>
      </c>
      <c r="E75" s="1401">
        <f t="shared" ref="E75:E88" si="8">IF(AND(C75&lt;&gt;0,D75&lt;&gt;0),SUM(((D75)/C75)*100),IF(AND(C75=0,D75&gt;0),100,IF(AND(C75=0,D75&lt;0),-100,0)))</f>
        <v>-9.3237763719293003</v>
      </c>
      <c r="F75" s="580"/>
    </row>
    <row r="76" spans="1:6" s="66" customFormat="1" ht="15.95" customHeight="1" x14ac:dyDescent="0.2">
      <c r="A76" s="578" t="s">
        <v>250</v>
      </c>
      <c r="B76" s="111">
        <f>'Fin Perform'!K34</f>
        <v>2209126</v>
      </c>
      <c r="C76" s="111">
        <f>'Fin Perform'!B34</f>
        <v>2321992.7599999998</v>
      </c>
      <c r="D76" s="111">
        <f t="shared" ref="D76:D78" si="9">+B76-C76</f>
        <v>-112866.75999999978</v>
      </c>
      <c r="E76" s="1401">
        <f t="shared" si="8"/>
        <v>-4.8607714005103002</v>
      </c>
      <c r="F76" s="580"/>
    </row>
    <row r="77" spans="1:6" s="66" customFormat="1" ht="15.95" hidden="1" customHeight="1" x14ac:dyDescent="0.2">
      <c r="A77" s="578" t="s">
        <v>417</v>
      </c>
      <c r="B77" s="111">
        <f>'Fin Perform'!K35</f>
        <v>0</v>
      </c>
      <c r="C77" s="111">
        <f>'Fin Perform'!B35</f>
        <v>0</v>
      </c>
      <c r="D77" s="111">
        <f t="shared" si="9"/>
        <v>0</v>
      </c>
      <c r="E77" s="1401">
        <f t="shared" si="8"/>
        <v>0</v>
      </c>
      <c r="F77" s="580"/>
    </row>
    <row r="78" spans="1:6" s="66" customFormat="1" ht="15.95" customHeight="1" x14ac:dyDescent="0.2">
      <c r="A78" s="578" t="s">
        <v>251</v>
      </c>
      <c r="B78" s="111">
        <f>'Fin Perform'!K36</f>
        <v>21078163.109999999</v>
      </c>
      <c r="C78" s="111">
        <f>'Fin Perform'!B36</f>
        <v>0</v>
      </c>
      <c r="D78" s="111">
        <f t="shared" si="9"/>
        <v>21078163.109999999</v>
      </c>
      <c r="E78" s="1401">
        <f t="shared" si="8"/>
        <v>100</v>
      </c>
      <c r="F78" s="580"/>
    </row>
    <row r="79" spans="1:6" s="66" customFormat="1" ht="15.95" customHeight="1" x14ac:dyDescent="0.2">
      <c r="A79" s="578" t="s">
        <v>154</v>
      </c>
      <c r="B79" s="111">
        <f>'Fin Perform'!K37</f>
        <v>15271156.710000001</v>
      </c>
      <c r="C79" s="111">
        <f>'Fin Perform'!B37</f>
        <v>1422246.98</v>
      </c>
      <c r="D79" s="111">
        <f>+B79-C79</f>
        <v>13848909.73</v>
      </c>
      <c r="E79" s="1401">
        <f t="shared" si="8"/>
        <v>973.73451480276663</v>
      </c>
      <c r="F79" s="580"/>
    </row>
    <row r="80" spans="1:6" s="66" customFormat="1" ht="15.95" customHeight="1" x14ac:dyDescent="0.2">
      <c r="A80" s="578" t="s">
        <v>418</v>
      </c>
      <c r="B80" s="111">
        <f>'Fin Perform'!K38</f>
        <v>1024248.8399999999</v>
      </c>
      <c r="C80" s="111">
        <f>'Fin Perform'!B38</f>
        <v>1636697.3499999999</v>
      </c>
      <c r="D80" s="111">
        <f t="shared" ref="D80:D82" si="10">+B80-C80</f>
        <v>-612448.51</v>
      </c>
      <c r="E80" s="1401">
        <f t="shared" si="8"/>
        <v>-37.419777700501569</v>
      </c>
      <c r="F80" s="580"/>
    </row>
    <row r="81" spans="1:6" s="188" customFormat="1" ht="15.95" customHeight="1" x14ac:dyDescent="0.2">
      <c r="A81" s="840" t="s">
        <v>419</v>
      </c>
      <c r="B81" s="186">
        <f>'Fin Perform'!K39</f>
        <v>2436791.37</v>
      </c>
      <c r="C81" s="186">
        <f>'Fin Perform'!B39</f>
        <v>4797180.18</v>
      </c>
      <c r="D81" s="186">
        <f t="shared" si="10"/>
        <v>-2360388.8099999996</v>
      </c>
      <c r="E81" s="2003">
        <f t="shared" si="8"/>
        <v>-49.203672187272311</v>
      </c>
      <c r="F81" s="580"/>
    </row>
    <row r="82" spans="1:6" s="188" customFormat="1" ht="15.95" customHeight="1" x14ac:dyDescent="0.2">
      <c r="A82" s="840" t="s">
        <v>420</v>
      </c>
      <c r="B82" s="186">
        <f>'Fin Perform'!K40</f>
        <v>16136859.409999998</v>
      </c>
      <c r="C82" s="186">
        <f>'Fin Perform'!B40</f>
        <v>4033319.12</v>
      </c>
      <c r="D82" s="186">
        <f t="shared" si="10"/>
        <v>12103540.289999999</v>
      </c>
      <c r="E82" s="2003">
        <f t="shared" si="8"/>
        <v>300.08883328825215</v>
      </c>
      <c r="F82" s="580"/>
    </row>
    <row r="83" spans="1:6" s="66" customFormat="1" ht="15.95" customHeight="1" x14ac:dyDescent="0.2">
      <c r="A83" s="578" t="s">
        <v>421</v>
      </c>
      <c r="B83" s="111">
        <f>'Fin Perform'!K41</f>
        <v>8020299.459999999</v>
      </c>
      <c r="C83" s="111">
        <f>'Fin Perform'!B41</f>
        <v>5200000</v>
      </c>
      <c r="D83" s="111">
        <f>+B83-C83</f>
        <v>2820299.459999999</v>
      </c>
      <c r="E83" s="1401">
        <f t="shared" si="8"/>
        <v>54.236528076923065</v>
      </c>
      <c r="F83" s="580"/>
    </row>
    <row r="84" spans="1:6" s="66" customFormat="1" ht="15.95" customHeight="1" x14ac:dyDescent="0.2">
      <c r="A84" s="578" t="s">
        <v>422</v>
      </c>
      <c r="B84" s="111">
        <f>'Fin Perform'!K42</f>
        <v>4155905.9800000004</v>
      </c>
      <c r="C84" s="111">
        <f>'Fin Perform'!B42</f>
        <v>0</v>
      </c>
      <c r="D84" s="111">
        <f t="shared" ref="D84" si="11">+B84-C84</f>
        <v>4155905.9800000004</v>
      </c>
      <c r="E84" s="1401">
        <f t="shared" si="8"/>
        <v>100</v>
      </c>
      <c r="F84" s="580"/>
    </row>
    <row r="85" spans="1:6" s="66" customFormat="1" ht="15.95" hidden="1" customHeight="1" x14ac:dyDescent="0.2">
      <c r="A85" s="705" t="s">
        <v>793</v>
      </c>
      <c r="B85" s="673">
        <f>'Fin Perform'!K43</f>
        <v>0</v>
      </c>
      <c r="C85" s="673">
        <f>'Fin Perform'!B43</f>
        <v>0</v>
      </c>
      <c r="D85" s="673">
        <f>+B85-C85</f>
        <v>0</v>
      </c>
      <c r="E85" s="2002">
        <f t="shared" si="8"/>
        <v>0</v>
      </c>
      <c r="F85" s="707"/>
    </row>
    <row r="86" spans="1:6" s="66" customFormat="1" ht="15.95" customHeight="1" x14ac:dyDescent="0.2">
      <c r="A86" s="582" t="s">
        <v>423</v>
      </c>
      <c r="B86" s="111">
        <f>'Fin Perform'!K44</f>
        <v>19176808.199999999</v>
      </c>
      <c r="C86" s="111">
        <f>'Fin Perform'!B44</f>
        <v>28707660.119999986</v>
      </c>
      <c r="D86" s="111">
        <f t="shared" ref="D86" si="12">+B86-C86</f>
        <v>-9530851.9199999869</v>
      </c>
      <c r="E86" s="1401">
        <f t="shared" si="8"/>
        <v>-33.199682175978026</v>
      </c>
      <c r="F86" s="580"/>
    </row>
    <row r="87" spans="1:6" s="66" customFormat="1" ht="15.95" hidden="1" customHeight="1" x14ac:dyDescent="0.2">
      <c r="A87" s="709" t="s">
        <v>794</v>
      </c>
      <c r="B87" s="673">
        <f>'Fin Perform'!K45</f>
        <v>0</v>
      </c>
      <c r="C87" s="673">
        <f>'Fin Perform'!B45</f>
        <v>0</v>
      </c>
      <c r="D87" s="673">
        <f>+B87-C87</f>
        <v>0</v>
      </c>
      <c r="E87" s="2002">
        <f t="shared" si="8"/>
        <v>0</v>
      </c>
      <c r="F87" s="707"/>
    </row>
    <row r="88" spans="1:6" s="66" customFormat="1" ht="15.95" hidden="1" customHeight="1" x14ac:dyDescent="0.2">
      <c r="A88" s="709" t="s">
        <v>43</v>
      </c>
      <c r="B88" s="673">
        <f>'Fin Perform'!K46</f>
        <v>0</v>
      </c>
      <c r="C88" s="673">
        <f>'Fin Perform'!B46</f>
        <v>0</v>
      </c>
      <c r="D88" s="673">
        <f>+B88-C88</f>
        <v>0</v>
      </c>
      <c r="E88" s="2002">
        <f t="shared" si="8"/>
        <v>0</v>
      </c>
      <c r="F88" s="707"/>
    </row>
    <row r="89" spans="1:6" s="66" customFormat="1" ht="15.95" customHeight="1" x14ac:dyDescent="0.2">
      <c r="A89" s="582"/>
      <c r="B89" s="186"/>
      <c r="C89" s="111"/>
      <c r="D89" s="111"/>
      <c r="E89" s="1401"/>
      <c r="F89" s="577"/>
    </row>
    <row r="90" spans="1:6" s="66" customFormat="1" ht="15.95" customHeight="1" thickBot="1" x14ac:dyDescent="0.3">
      <c r="A90" s="583" t="s">
        <v>252</v>
      </c>
      <c r="B90" s="191">
        <f>SUM(B74:B89)</f>
        <v>120200851.13000001</v>
      </c>
      <c r="C90" s="191">
        <f>SUM(C74:C89)</f>
        <v>81966439.089999974</v>
      </c>
      <c r="D90" s="191">
        <f>SUM(D74:D89)</f>
        <v>38234412.040000007</v>
      </c>
      <c r="E90" s="2004">
        <f>IF(AND(C90&lt;&gt;0,D90&lt;&gt;0),SUM(((D90)/C90)*100),IF(AND(C90=0,D90&gt;0),100,IF(AND(C90=0,D90&lt;0),-100,0)))</f>
        <v>46.646423175732004</v>
      </c>
      <c r="F90" s="577"/>
    </row>
    <row r="91" spans="1:6" s="66" customFormat="1" ht="15.95" customHeight="1" thickTop="1" x14ac:dyDescent="0.25">
      <c r="A91" s="583"/>
      <c r="B91" s="584">
        <f>B90-'Fin Perform'!K48</f>
        <v>0</v>
      </c>
      <c r="C91" s="584">
        <f>C90-'Fin Perform'!B48</f>
        <v>0</v>
      </c>
      <c r="D91" s="584"/>
      <c r="E91" s="2005"/>
      <c r="F91" s="577"/>
    </row>
    <row r="92" spans="1:6" s="66" customFormat="1" ht="15.95" customHeight="1" thickBot="1" x14ac:dyDescent="0.3">
      <c r="A92" s="586" t="s">
        <v>439</v>
      </c>
      <c r="B92" s="587">
        <f>+B72-+B90</f>
        <v>-13820525.900000021</v>
      </c>
      <c r="C92" s="587">
        <f>+C72-C90</f>
        <v>4865538.7700000405</v>
      </c>
      <c r="D92" s="587">
        <f>+B92-C92</f>
        <v>-18686064.670000061</v>
      </c>
      <c r="E92" s="2006">
        <f>IF(AND(C92&lt;&gt;0,D92&lt;&gt;0),SUM(((D92)/C92)*100),IF(AND(C92=0,D92&gt;0),100,IF(AND(C92=0,D92&lt;0),-100,0)))</f>
        <v>-384.04924003924657</v>
      </c>
      <c r="F92" s="577"/>
    </row>
    <row r="93" spans="1:6" s="66" customFormat="1" ht="15.95" customHeight="1" thickTop="1" thickBot="1" x14ac:dyDescent="0.25">
      <c r="A93" s="589"/>
      <c r="B93" s="590">
        <f>B92-'Fin Perform'!K57</f>
        <v>0</v>
      </c>
      <c r="C93" s="590">
        <f>C92-'Fin Perform'!B57</f>
        <v>0</v>
      </c>
      <c r="D93" s="590"/>
      <c r="E93" s="2007"/>
      <c r="F93" s="592"/>
    </row>
  </sheetData>
  <mergeCells count="4">
    <mergeCell ref="A1:F1"/>
    <mergeCell ref="A2:F2"/>
    <mergeCell ref="A4:A5"/>
    <mergeCell ref="A50:A51"/>
  </mergeCells>
  <phoneticPr fontId="0" type="noConversion"/>
  <conditionalFormatting sqref="B45:C45 B47:C47 B27:C27">
    <cfRule type="cellIs" dxfId="3" priority="2" stopIfTrue="1" operator="between">
      <formula>0.001</formula>
      <formula>-0.001</formula>
    </cfRule>
  </conditionalFormatting>
  <conditionalFormatting sqref="B91:C91 B93:C93 B73:C73">
    <cfRule type="cellIs" dxfId="2"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75" orientation="landscape" r:id="rId1"/>
  <headerFooter alignWithMargins="0"/>
  <rowBreaks count="1" manualBreakCount="1">
    <brk id="4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70"/>
  <sheetViews>
    <sheetView view="pageBreakPreview" zoomScale="82" zoomScaleNormal="100" zoomScaleSheetLayoutView="82" workbookViewId="0">
      <selection activeCell="H54" sqref="H54"/>
    </sheetView>
  </sheetViews>
  <sheetFormatPr defaultColWidth="9.140625" defaultRowHeight="12.75" x14ac:dyDescent="0.2"/>
  <cols>
    <col min="1" max="1" width="30.7109375" style="5" customWidth="1"/>
    <col min="2" max="6" width="15.7109375" style="471" customWidth="1"/>
    <col min="7" max="7" width="11.7109375" style="45" customWidth="1"/>
    <col min="8" max="8" width="70.7109375" style="5" customWidth="1"/>
    <col min="9" max="16384" width="9.140625" style="5"/>
  </cols>
  <sheetData>
    <row r="1" spans="1:8" s="1" customFormat="1" ht="21" customHeight="1" x14ac:dyDescent="0.3">
      <c r="A1" s="2785" t="s">
        <v>226</v>
      </c>
      <c r="B1" s="2785"/>
      <c r="C1" s="2785"/>
      <c r="D1" s="2785"/>
      <c r="E1" s="2785"/>
      <c r="F1" s="2785"/>
      <c r="G1" s="2785"/>
      <c r="H1" s="2785"/>
    </row>
    <row r="2" spans="1:8" s="1" customFormat="1" ht="18" customHeight="1" x14ac:dyDescent="0.25">
      <c r="A2" s="2808" t="str">
        <f>Parameters!C5</f>
        <v>Mohokare Local Municipality</v>
      </c>
      <c r="B2" s="2808"/>
      <c r="C2" s="2808"/>
      <c r="D2" s="2808"/>
      <c r="E2" s="2808"/>
      <c r="F2" s="2808"/>
      <c r="G2" s="2808"/>
      <c r="H2" s="2808"/>
    </row>
    <row r="3" spans="1:8" s="1" customFormat="1" ht="18" customHeight="1" thickBot="1" x14ac:dyDescent="0.3">
      <c r="A3" s="593" t="str">
        <f>"ACTUAL VERSUS BUDGET (ACQUISITION OF CAPITAL ASSETS) FOR THE YEAR ENDED "&amp;Parameters!C6</f>
        <v>ACTUAL VERSUS BUDGET (ACQUISITION OF CAPITAL ASSETS) FOR THE YEAR ENDED 30 JUNE 2012</v>
      </c>
      <c r="B3" s="594"/>
      <c r="C3" s="594"/>
      <c r="D3" s="594"/>
      <c r="E3" s="594"/>
      <c r="F3" s="594"/>
      <c r="G3" s="595"/>
      <c r="H3" s="593"/>
    </row>
    <row r="4" spans="1:8" s="66" customFormat="1" ht="15" x14ac:dyDescent="0.25">
      <c r="A4" s="3023" t="s">
        <v>7</v>
      </c>
      <c r="B4" s="596" t="str">
        <f>Parameters!C25</f>
        <v>2011/12</v>
      </c>
      <c r="C4" s="596" t="str">
        <f>Parameters!C25</f>
        <v>2011/12</v>
      </c>
      <c r="D4" s="596" t="str">
        <f>Parameters!C25</f>
        <v>2011/12</v>
      </c>
      <c r="E4" s="596" t="str">
        <f>Parameters!C25</f>
        <v>2011/12</v>
      </c>
      <c r="F4" s="596" t="str">
        <f>Parameters!C25</f>
        <v>2011/12</v>
      </c>
      <c r="G4" s="596" t="str">
        <f>Parameters!C25</f>
        <v>2011/12</v>
      </c>
      <c r="H4" s="597" t="s">
        <v>219</v>
      </c>
    </row>
    <row r="5" spans="1:8" s="66" customFormat="1" ht="15" x14ac:dyDescent="0.25">
      <c r="A5" s="3025"/>
      <c r="B5" s="596"/>
      <c r="C5" s="598" t="s">
        <v>381</v>
      </c>
      <c r="D5" s="598" t="s">
        <v>234</v>
      </c>
      <c r="E5" s="596"/>
      <c r="F5" s="596"/>
      <c r="G5" s="596"/>
      <c r="H5" s="597"/>
    </row>
    <row r="6" spans="1:8" s="66" customFormat="1" ht="15.75" thickBot="1" x14ac:dyDescent="0.3">
      <c r="A6" s="3024"/>
      <c r="B6" s="569" t="s">
        <v>240</v>
      </c>
      <c r="C6" s="569" t="s">
        <v>382</v>
      </c>
      <c r="D6" s="569" t="s">
        <v>683</v>
      </c>
      <c r="E6" s="569" t="s">
        <v>243</v>
      </c>
      <c r="F6" s="569" t="s">
        <v>217</v>
      </c>
      <c r="G6" s="570" t="s">
        <v>217</v>
      </c>
      <c r="H6" s="571" t="s">
        <v>440</v>
      </c>
    </row>
    <row r="7" spans="1:8" s="66" customFormat="1" ht="15" x14ac:dyDescent="0.25">
      <c r="A7" s="572"/>
      <c r="B7" s="401" t="s">
        <v>255</v>
      </c>
      <c r="C7" s="401" t="s">
        <v>255</v>
      </c>
      <c r="D7" s="401" t="s">
        <v>255</v>
      </c>
      <c r="E7" s="401" t="s">
        <v>255</v>
      </c>
      <c r="F7" s="401" t="s">
        <v>255</v>
      </c>
      <c r="G7" s="573" t="s">
        <v>218</v>
      </c>
      <c r="H7" s="998"/>
    </row>
    <row r="8" spans="1:8" s="66" customFormat="1" ht="15" x14ac:dyDescent="0.25">
      <c r="A8" s="407"/>
      <c r="B8" s="433"/>
      <c r="C8" s="433"/>
      <c r="D8" s="433"/>
      <c r="E8" s="433"/>
      <c r="F8" s="433"/>
      <c r="G8" s="1401"/>
      <c r="H8" s="999"/>
    </row>
    <row r="9" spans="1:8" s="66" customFormat="1" ht="14.25" hidden="1" x14ac:dyDescent="0.2">
      <c r="A9" s="415" t="str">
        <f>'APPENDIX C'!A9</f>
        <v>Executive and Council</v>
      </c>
      <c r="B9" s="111">
        <f>'APPENDIX C'!D9</f>
        <v>0</v>
      </c>
      <c r="C9" s="111">
        <f>'APPENDIX C'!E9</f>
        <v>0</v>
      </c>
      <c r="D9" s="111">
        <f>SUM(B9:C9)</f>
        <v>0</v>
      </c>
      <c r="E9" s="111">
        <v>0</v>
      </c>
      <c r="F9" s="111">
        <f>+D9-E9</f>
        <v>0</v>
      </c>
      <c r="G9" s="1401">
        <f t="shared" ref="G9:G22" si="0">IF(AND(E9&lt;&gt;0,F9&lt;&gt;0),SUM(((F9)/E9)*100),IF(AND(E9=0,F9&gt;0),100,IF(AND(E9=0,F9&lt;0),-100,0)))</f>
        <v>0</v>
      </c>
      <c r="H9" s="1000"/>
    </row>
    <row r="10" spans="1:8" s="66" customFormat="1" ht="14.25" x14ac:dyDescent="0.2">
      <c r="A10" s="415" t="str">
        <f>'APPENDIX C'!A13</f>
        <v>Finance and Administration</v>
      </c>
      <c r="B10" s="111">
        <f>'APPENDIX C'!D13</f>
        <v>0</v>
      </c>
      <c r="C10" s="111">
        <f>'APPENDIX C'!E13</f>
        <v>0</v>
      </c>
      <c r="D10" s="111">
        <f t="shared" ref="D10:D22" si="1">SUM(B10:C10)</f>
        <v>0</v>
      </c>
      <c r="E10" s="111">
        <v>0</v>
      </c>
      <c r="F10" s="111">
        <f t="shared" ref="F10:F22" si="2">+D10-E10</f>
        <v>0</v>
      </c>
      <c r="G10" s="1401">
        <f t="shared" si="0"/>
        <v>0</v>
      </c>
      <c r="H10" s="1000"/>
    </row>
    <row r="11" spans="1:8" s="66" customFormat="1" ht="14.25" hidden="1" x14ac:dyDescent="0.2">
      <c r="A11" s="415" t="str">
        <f>'APPENDIX C'!A23</f>
        <v>Planning and Development</v>
      </c>
      <c r="B11" s="111">
        <f>'APPENDIX C'!D23</f>
        <v>0</v>
      </c>
      <c r="C11" s="111">
        <f>'APPENDIX C'!E23</f>
        <v>0</v>
      </c>
      <c r="D11" s="111">
        <f t="shared" si="1"/>
        <v>0</v>
      </c>
      <c r="E11" s="111">
        <v>0</v>
      </c>
      <c r="F11" s="111">
        <f t="shared" si="2"/>
        <v>0</v>
      </c>
      <c r="G11" s="1401">
        <f t="shared" si="0"/>
        <v>0</v>
      </c>
      <c r="H11" s="1000"/>
    </row>
    <row r="12" spans="1:8" s="66" customFormat="1" ht="14.25" hidden="1" x14ac:dyDescent="0.2">
      <c r="A12" s="415" t="str">
        <f>'APPENDIX C'!A25</f>
        <v>Health</v>
      </c>
      <c r="B12" s="111">
        <f>'APPENDIX C'!D25</f>
        <v>0</v>
      </c>
      <c r="C12" s="111">
        <f>'APPENDIX C'!E25</f>
        <v>0</v>
      </c>
      <c r="D12" s="111">
        <f t="shared" si="1"/>
        <v>0</v>
      </c>
      <c r="E12" s="111">
        <v>0</v>
      </c>
      <c r="F12" s="111">
        <f t="shared" si="2"/>
        <v>0</v>
      </c>
      <c r="G12" s="1401">
        <f t="shared" si="0"/>
        <v>0</v>
      </c>
      <c r="H12" s="1000"/>
    </row>
    <row r="13" spans="1:8" s="66" customFormat="1" ht="14.25" hidden="1" x14ac:dyDescent="0.2">
      <c r="A13" s="415" t="str">
        <f>'APPENDIX C'!A29</f>
        <v>Community and Social Services</v>
      </c>
      <c r="B13" s="111">
        <f>'APPENDIX C'!D29</f>
        <v>0</v>
      </c>
      <c r="C13" s="111">
        <f>'APPENDIX C'!E29</f>
        <v>0</v>
      </c>
      <c r="D13" s="111">
        <f t="shared" si="1"/>
        <v>0</v>
      </c>
      <c r="E13" s="111">
        <v>0</v>
      </c>
      <c r="F13" s="111">
        <f t="shared" si="2"/>
        <v>0</v>
      </c>
      <c r="G13" s="1401">
        <f t="shared" si="0"/>
        <v>0</v>
      </c>
      <c r="H13" s="1000"/>
    </row>
    <row r="14" spans="1:8" s="66" customFormat="1" ht="14.25" hidden="1" x14ac:dyDescent="0.2">
      <c r="A14" s="415" t="str">
        <f>'APPENDIX C'!A40</f>
        <v>Housing</v>
      </c>
      <c r="B14" s="111">
        <f>'APPENDIX C'!D40</f>
        <v>0</v>
      </c>
      <c r="C14" s="111">
        <f>'APPENDIX C'!E40</f>
        <v>0</v>
      </c>
      <c r="D14" s="111">
        <f t="shared" si="1"/>
        <v>0</v>
      </c>
      <c r="E14" s="111">
        <v>0</v>
      </c>
      <c r="F14" s="111">
        <f t="shared" si="2"/>
        <v>0</v>
      </c>
      <c r="G14" s="1401">
        <f t="shared" si="0"/>
        <v>0</v>
      </c>
      <c r="H14" s="1000"/>
    </row>
    <row r="15" spans="1:8" s="66" customFormat="1" ht="14.25" hidden="1" x14ac:dyDescent="0.2">
      <c r="A15" s="415" t="str">
        <f>'APPENDIX C'!A47</f>
        <v>Public Safety</v>
      </c>
      <c r="B15" s="111">
        <f>'APPENDIX C'!D47</f>
        <v>0</v>
      </c>
      <c r="C15" s="111">
        <f>'APPENDIX C'!E47</f>
        <v>0</v>
      </c>
      <c r="D15" s="111">
        <f t="shared" si="1"/>
        <v>0</v>
      </c>
      <c r="E15" s="111">
        <v>0</v>
      </c>
      <c r="F15" s="111">
        <f t="shared" si="2"/>
        <v>0</v>
      </c>
      <c r="G15" s="1401">
        <f t="shared" si="0"/>
        <v>0</v>
      </c>
      <c r="H15" s="1000"/>
    </row>
    <row r="16" spans="1:8" s="66" customFormat="1" ht="14.25" hidden="1" x14ac:dyDescent="0.2">
      <c r="A16" s="415" t="str">
        <f>'APPENDIX C'!A51</f>
        <v>Sport and Recreation</v>
      </c>
      <c r="B16" s="111">
        <f>'APPENDIX C'!D51</f>
        <v>0</v>
      </c>
      <c r="C16" s="111">
        <f>'APPENDIX C'!E51</f>
        <v>0</v>
      </c>
      <c r="D16" s="111">
        <f t="shared" si="1"/>
        <v>0</v>
      </c>
      <c r="E16" s="111">
        <v>0</v>
      </c>
      <c r="F16" s="111">
        <f t="shared" si="2"/>
        <v>0</v>
      </c>
      <c r="G16" s="1401">
        <f t="shared" si="0"/>
        <v>0</v>
      </c>
      <c r="H16" s="1000"/>
    </row>
    <row r="17" spans="1:8" s="188" customFormat="1" ht="14.25" hidden="1" x14ac:dyDescent="0.2">
      <c r="A17" s="907" t="str">
        <f>'APPENDIX C'!A55</f>
        <v>Environmental Protection</v>
      </c>
      <c r="B17" s="186">
        <f>'APPENDIX C'!D55</f>
        <v>0</v>
      </c>
      <c r="C17" s="186">
        <f>'APPENDIX C'!E55</f>
        <v>0</v>
      </c>
      <c r="D17" s="186">
        <f t="shared" si="1"/>
        <v>0</v>
      </c>
      <c r="E17" s="186">
        <v>0</v>
      </c>
      <c r="F17" s="186">
        <f t="shared" si="2"/>
        <v>0</v>
      </c>
      <c r="G17" s="1401">
        <f t="shared" si="0"/>
        <v>0</v>
      </c>
      <c r="H17" s="1000"/>
    </row>
    <row r="18" spans="1:8" s="188" customFormat="1" ht="14.25" x14ac:dyDescent="0.2">
      <c r="A18" s="907" t="str">
        <f>'APPENDIX C'!A58</f>
        <v>Waste Management</v>
      </c>
      <c r="B18" s="186">
        <f>'APPENDIX C'!D58</f>
        <v>0</v>
      </c>
      <c r="C18" s="186">
        <f>'APPENDIX C'!E58-2193676</f>
        <v>8124886</v>
      </c>
      <c r="D18" s="186">
        <f t="shared" si="1"/>
        <v>8124886</v>
      </c>
      <c r="E18" s="186">
        <f>9600000+16947</f>
        <v>9616947</v>
      </c>
      <c r="F18" s="186">
        <f t="shared" si="2"/>
        <v>-1492061</v>
      </c>
      <c r="G18" s="1401">
        <f t="shared" si="0"/>
        <v>-15.51491341274939</v>
      </c>
      <c r="H18" s="1000" t="s">
        <v>8214</v>
      </c>
    </row>
    <row r="19" spans="1:8" s="188" customFormat="1" ht="14.25" x14ac:dyDescent="0.2">
      <c r="A19" s="907" t="str">
        <f>'APPENDIX C'!A63</f>
        <v>Roads and Transport</v>
      </c>
      <c r="B19" s="186">
        <f>'APPENDIX C'!D63</f>
        <v>0</v>
      </c>
      <c r="C19" s="186">
        <v>11131874</v>
      </c>
      <c r="D19" s="186">
        <f t="shared" si="1"/>
        <v>11131874</v>
      </c>
      <c r="E19" s="186">
        <v>8990000</v>
      </c>
      <c r="F19" s="186">
        <f t="shared" si="2"/>
        <v>2141874</v>
      </c>
      <c r="G19" s="2003">
        <f t="shared" si="0"/>
        <v>23.825072302558397</v>
      </c>
      <c r="H19" s="1000" t="s">
        <v>8214</v>
      </c>
    </row>
    <row r="20" spans="1:8" s="188" customFormat="1" ht="14.25" x14ac:dyDescent="0.2">
      <c r="A20" s="907" t="str">
        <f>'APPENDIX C'!A68</f>
        <v>Water</v>
      </c>
      <c r="B20" s="186">
        <f>'APPENDIX C'!D68</f>
        <v>0</v>
      </c>
      <c r="C20" s="186">
        <v>857035</v>
      </c>
      <c r="D20" s="186">
        <f t="shared" si="1"/>
        <v>857035</v>
      </c>
      <c r="E20" s="186">
        <f>4300000</f>
        <v>4300000</v>
      </c>
      <c r="F20" s="186">
        <f t="shared" si="2"/>
        <v>-3442965</v>
      </c>
      <c r="G20" s="2003">
        <f t="shared" si="0"/>
        <v>-80.068953488372102</v>
      </c>
      <c r="H20" s="1000" t="s">
        <v>8214</v>
      </c>
    </row>
    <row r="21" spans="1:8" s="188" customFormat="1" ht="14.25" x14ac:dyDescent="0.2">
      <c r="A21" s="907" t="str">
        <f>'APPENDIX C'!A74</f>
        <v>Electricity</v>
      </c>
      <c r="B21" s="186">
        <f>'APPENDIX C'!D74</f>
        <v>0</v>
      </c>
      <c r="C21" s="186">
        <f>'APPENDIX C'!E74-605341.9</f>
        <v>1214789.1000000001</v>
      </c>
      <c r="D21" s="186">
        <f t="shared" si="1"/>
        <v>1214789.1000000001</v>
      </c>
      <c r="E21" s="186">
        <v>1210000</v>
      </c>
      <c r="F21" s="186">
        <f t="shared" si="2"/>
        <v>4789.1000000000931</v>
      </c>
      <c r="G21" s="2003">
        <f t="shared" si="0"/>
        <v>0.39579338842975975</v>
      </c>
      <c r="H21" s="1000"/>
    </row>
    <row r="22" spans="1:8" s="188" customFormat="1" ht="14.25" x14ac:dyDescent="0.2">
      <c r="A22" s="907" t="str">
        <f>'APPENDIX C'!A82</f>
        <v>Other</v>
      </c>
      <c r="B22" s="186">
        <f>'APPENDIX C'!D82</f>
        <v>0</v>
      </c>
      <c r="C22" s="186">
        <f>'APPENDIX C'!E82</f>
        <v>0</v>
      </c>
      <c r="D22" s="186">
        <f t="shared" si="1"/>
        <v>0</v>
      </c>
      <c r="E22" s="186">
        <v>0</v>
      </c>
      <c r="F22" s="186">
        <f t="shared" si="2"/>
        <v>0</v>
      </c>
      <c r="G22" s="1401">
        <f t="shared" si="0"/>
        <v>0</v>
      </c>
      <c r="H22" s="1000"/>
    </row>
    <row r="23" spans="1:8" s="66" customFormat="1" ht="14.25" x14ac:dyDescent="0.2">
      <c r="A23" s="415"/>
      <c r="B23" s="111"/>
      <c r="C23" s="111"/>
      <c r="D23" s="111"/>
      <c r="E23" s="111"/>
      <c r="F23" s="111"/>
      <c r="G23" s="1401"/>
      <c r="H23" s="999"/>
    </row>
    <row r="24" spans="1:8" s="66" customFormat="1" ht="15.75" thickBot="1" x14ac:dyDescent="0.3">
      <c r="A24" s="407" t="s">
        <v>234</v>
      </c>
      <c r="B24" s="191">
        <f>SUM(B9:B23)</f>
        <v>0</v>
      </c>
      <c r="C24" s="191">
        <f>SUM(C9:C23)</f>
        <v>21328584.100000001</v>
      </c>
      <c r="D24" s="191">
        <f>SUM(D9:D23)</f>
        <v>21328584.100000001</v>
      </c>
      <c r="E24" s="191">
        <f>SUM(E9:E23)</f>
        <v>24116947</v>
      </c>
      <c r="F24" s="191">
        <f>SUM(F9:F23)</f>
        <v>-2788362.9</v>
      </c>
      <c r="G24" s="2004">
        <f t="shared" ref="G24" si="3">+F24/E24*100</f>
        <v>-11.561840310881804</v>
      </c>
      <c r="H24" s="999"/>
    </row>
    <row r="25" spans="1:8" s="66" customFormat="1" ht="16.5" thickTop="1" thickBot="1" x14ac:dyDescent="0.25">
      <c r="A25" s="449"/>
      <c r="B25" s="1370">
        <f>B24-'APPENDIX C'!D87</f>
        <v>0</v>
      </c>
      <c r="C25" s="2643">
        <f>C24-'APPENDIX C'!E87</f>
        <v>-28842423.279999994</v>
      </c>
      <c r="D25" s="1370"/>
      <c r="E25" s="2643">
        <f>E24-'APPENDIX B'!AM314</f>
        <v>24116947</v>
      </c>
      <c r="F25" s="1371"/>
      <c r="G25" s="2008"/>
      <c r="H25" s="1001"/>
    </row>
    <row r="26" spans="1:8" s="1" customFormat="1" ht="15" x14ac:dyDescent="0.2">
      <c r="B26" s="45"/>
      <c r="C26" s="45"/>
      <c r="D26" s="45"/>
      <c r="E26" s="45"/>
      <c r="F26" s="3"/>
      <c r="G26" s="2"/>
    </row>
    <row r="27" spans="1:8" s="1" customFormat="1" ht="18" hidden="1" customHeight="1" thickBot="1" x14ac:dyDescent="0.3">
      <c r="A27" s="593" t="str">
        <f>"ACTUAL VERSUS BUDGET (ACQUISITION OF CAPITAL ASSETS) FOR THE YEAR ENDED "&amp;Parameters!L13</f>
        <v>ACTUAL VERSUS BUDGET (ACQUISITION OF CAPITAL ASSETS) FOR THE YEAR ENDED 30 JUNE 2011</v>
      </c>
      <c r="B27" s="594"/>
      <c r="C27" s="594"/>
      <c r="D27" s="594"/>
      <c r="E27" s="594"/>
      <c r="F27" s="594"/>
      <c r="G27" s="595"/>
      <c r="H27" s="593"/>
    </row>
    <row r="28" spans="1:8" s="66" customFormat="1" ht="15" hidden="1" x14ac:dyDescent="0.25">
      <c r="A28" s="3023" t="s">
        <v>7</v>
      </c>
      <c r="B28" s="1372" t="str">
        <f>Parameters!C27</f>
        <v>2010/11</v>
      </c>
      <c r="C28" s="1372" t="str">
        <f>Parameters!C27</f>
        <v>2010/11</v>
      </c>
      <c r="D28" s="1372" t="str">
        <f>Parameters!C27</f>
        <v>2010/11</v>
      </c>
      <c r="E28" s="1372" t="str">
        <f>Parameters!C27</f>
        <v>2010/11</v>
      </c>
      <c r="F28" s="1372" t="str">
        <f>Parameters!C27</f>
        <v>2010/11</v>
      </c>
      <c r="G28" s="1372" t="str">
        <f>Parameters!C27</f>
        <v>2010/11</v>
      </c>
      <c r="H28" s="597" t="s">
        <v>219</v>
      </c>
    </row>
    <row r="29" spans="1:8" s="66" customFormat="1" ht="15" hidden="1" x14ac:dyDescent="0.25">
      <c r="A29" s="3025"/>
      <c r="B29" s="596"/>
      <c r="C29" s="598" t="s">
        <v>381</v>
      </c>
      <c r="D29" s="598" t="s">
        <v>234</v>
      </c>
      <c r="E29" s="596"/>
      <c r="F29" s="596"/>
      <c r="G29" s="596"/>
      <c r="H29" s="597"/>
    </row>
    <row r="30" spans="1:8" s="66" customFormat="1" ht="15.75" hidden="1" thickBot="1" x14ac:dyDescent="0.3">
      <c r="A30" s="3024"/>
      <c r="B30" s="569" t="s">
        <v>240</v>
      </c>
      <c r="C30" s="569" t="s">
        <v>382</v>
      </c>
      <c r="D30" s="569" t="s">
        <v>683</v>
      </c>
      <c r="E30" s="569" t="s">
        <v>243</v>
      </c>
      <c r="F30" s="569" t="s">
        <v>217</v>
      </c>
      <c r="G30" s="570" t="s">
        <v>217</v>
      </c>
      <c r="H30" s="571" t="s">
        <v>440</v>
      </c>
    </row>
    <row r="31" spans="1:8" s="66" customFormat="1" ht="15" hidden="1" x14ac:dyDescent="0.25">
      <c r="A31" s="572"/>
      <c r="B31" s="401" t="s">
        <v>255</v>
      </c>
      <c r="C31" s="401" t="s">
        <v>255</v>
      </c>
      <c r="D31" s="401" t="s">
        <v>255</v>
      </c>
      <c r="E31" s="401" t="s">
        <v>255</v>
      </c>
      <c r="F31" s="401" t="s">
        <v>255</v>
      </c>
      <c r="G31" s="573" t="s">
        <v>218</v>
      </c>
      <c r="H31" s="998"/>
    </row>
    <row r="32" spans="1:8" s="66" customFormat="1" ht="15" hidden="1" x14ac:dyDescent="0.25">
      <c r="A32" s="407"/>
      <c r="B32" s="433"/>
      <c r="C32" s="433"/>
      <c r="D32" s="433"/>
      <c r="E32" s="433"/>
      <c r="F32" s="433"/>
      <c r="G32" s="1401"/>
      <c r="H32" s="999"/>
    </row>
    <row r="33" spans="1:8" s="66" customFormat="1" ht="14.25" hidden="1" x14ac:dyDescent="0.2">
      <c r="A33" s="415" t="str">
        <f>'APPENDIX C'!A9</f>
        <v>Executive and Council</v>
      </c>
      <c r="B33" s="111">
        <v>0</v>
      </c>
      <c r="C33" s="111">
        <v>0</v>
      </c>
      <c r="D33" s="111">
        <f>SUM(B33:C33)</f>
        <v>0</v>
      </c>
      <c r="E33" s="111">
        <v>0</v>
      </c>
      <c r="F33" s="111">
        <f>+D33-E33</f>
        <v>0</v>
      </c>
      <c r="G33" s="1401">
        <f t="shared" ref="G33:G46" si="4">IF(AND(E33&lt;&gt;0,F33&lt;&gt;0),SUM(((F33)/E33)*100),IF(AND(E33=0,F33&gt;0),100,IF(AND(E33=0,F33&lt;0),-100,0)))</f>
        <v>0</v>
      </c>
      <c r="H33" s="1000"/>
    </row>
    <row r="34" spans="1:8" s="66" customFormat="1" ht="14.25" hidden="1" x14ac:dyDescent="0.2">
      <c r="A34" s="415" t="str">
        <f>'APPENDIX C'!A13</f>
        <v>Finance and Administration</v>
      </c>
      <c r="B34" s="111">
        <v>0</v>
      </c>
      <c r="C34" s="111">
        <v>0</v>
      </c>
      <c r="D34" s="111">
        <f t="shared" ref="D34:D46" si="5">SUM(B34:C34)</f>
        <v>0</v>
      </c>
      <c r="E34" s="111">
        <v>0</v>
      </c>
      <c r="F34" s="111">
        <f t="shared" ref="F34:F46" si="6">+D34-E34</f>
        <v>0</v>
      </c>
      <c r="G34" s="1401">
        <f t="shared" si="4"/>
        <v>0</v>
      </c>
      <c r="H34" s="1000"/>
    </row>
    <row r="35" spans="1:8" s="66" customFormat="1" ht="14.25" hidden="1" x14ac:dyDescent="0.2">
      <c r="A35" s="415" t="str">
        <f>'APPENDIX C'!A23</f>
        <v>Planning and Development</v>
      </c>
      <c r="B35" s="111">
        <v>0</v>
      </c>
      <c r="C35" s="111">
        <v>0</v>
      </c>
      <c r="D35" s="111">
        <f t="shared" si="5"/>
        <v>0</v>
      </c>
      <c r="E35" s="111">
        <v>0</v>
      </c>
      <c r="F35" s="111">
        <f t="shared" si="6"/>
        <v>0</v>
      </c>
      <c r="G35" s="1401">
        <f t="shared" si="4"/>
        <v>0</v>
      </c>
      <c r="H35" s="1000"/>
    </row>
    <row r="36" spans="1:8" s="66" customFormat="1" ht="14.25" hidden="1" x14ac:dyDescent="0.2">
      <c r="A36" s="415" t="str">
        <f>'APPENDIX C'!A25</f>
        <v>Health</v>
      </c>
      <c r="B36" s="111">
        <v>0</v>
      </c>
      <c r="C36" s="111">
        <v>0</v>
      </c>
      <c r="D36" s="111">
        <f t="shared" si="5"/>
        <v>0</v>
      </c>
      <c r="E36" s="111">
        <v>0</v>
      </c>
      <c r="F36" s="111">
        <f t="shared" si="6"/>
        <v>0</v>
      </c>
      <c r="G36" s="1401">
        <f t="shared" si="4"/>
        <v>0</v>
      </c>
      <c r="H36" s="1000"/>
    </row>
    <row r="37" spans="1:8" s="66" customFormat="1" ht="14.25" hidden="1" x14ac:dyDescent="0.2">
      <c r="A37" s="415" t="str">
        <f>'APPENDIX C'!A29</f>
        <v>Community and Social Services</v>
      </c>
      <c r="B37" s="111">
        <v>0</v>
      </c>
      <c r="C37" s="111">
        <v>0</v>
      </c>
      <c r="D37" s="111">
        <f t="shared" si="5"/>
        <v>0</v>
      </c>
      <c r="E37" s="111">
        <v>0</v>
      </c>
      <c r="F37" s="111">
        <f t="shared" si="6"/>
        <v>0</v>
      </c>
      <c r="G37" s="1401">
        <f t="shared" si="4"/>
        <v>0</v>
      </c>
      <c r="H37" s="1000"/>
    </row>
    <row r="38" spans="1:8" s="66" customFormat="1" ht="14.25" hidden="1" x14ac:dyDescent="0.2">
      <c r="A38" s="415" t="str">
        <f>'APPENDIX C'!A40</f>
        <v>Housing</v>
      </c>
      <c r="B38" s="111">
        <v>0</v>
      </c>
      <c r="C38" s="111">
        <v>0</v>
      </c>
      <c r="D38" s="111">
        <f t="shared" si="5"/>
        <v>0</v>
      </c>
      <c r="E38" s="111">
        <v>0</v>
      </c>
      <c r="F38" s="111">
        <f t="shared" si="6"/>
        <v>0</v>
      </c>
      <c r="G38" s="1401">
        <f t="shared" si="4"/>
        <v>0</v>
      </c>
      <c r="H38" s="1000"/>
    </row>
    <row r="39" spans="1:8" s="66" customFormat="1" ht="14.25" hidden="1" x14ac:dyDescent="0.2">
      <c r="A39" s="415" t="str">
        <f>'APPENDIX C'!A47</f>
        <v>Public Safety</v>
      </c>
      <c r="B39" s="111">
        <v>0</v>
      </c>
      <c r="C39" s="111">
        <v>0</v>
      </c>
      <c r="D39" s="111">
        <f t="shared" si="5"/>
        <v>0</v>
      </c>
      <c r="E39" s="111">
        <v>0</v>
      </c>
      <c r="F39" s="111">
        <f t="shared" si="6"/>
        <v>0</v>
      </c>
      <c r="G39" s="1401">
        <f t="shared" si="4"/>
        <v>0</v>
      </c>
      <c r="H39" s="1000"/>
    </row>
    <row r="40" spans="1:8" s="66" customFormat="1" ht="14.25" hidden="1" x14ac:dyDescent="0.2">
      <c r="A40" s="415" t="str">
        <f>'APPENDIX C'!A51</f>
        <v>Sport and Recreation</v>
      </c>
      <c r="B40" s="111">
        <v>0</v>
      </c>
      <c r="C40" s="111">
        <v>0</v>
      </c>
      <c r="D40" s="111">
        <f t="shared" si="5"/>
        <v>0</v>
      </c>
      <c r="E40" s="111">
        <v>0</v>
      </c>
      <c r="F40" s="111">
        <f t="shared" si="6"/>
        <v>0</v>
      </c>
      <c r="G40" s="1401">
        <f t="shared" si="4"/>
        <v>0</v>
      </c>
      <c r="H40" s="1000"/>
    </row>
    <row r="41" spans="1:8" s="188" customFormat="1" ht="14.25" hidden="1" x14ac:dyDescent="0.2">
      <c r="A41" s="907" t="str">
        <f>'APPENDIX C'!A55</f>
        <v>Environmental Protection</v>
      </c>
      <c r="B41" s="186">
        <v>0</v>
      </c>
      <c r="C41" s="186">
        <v>0</v>
      </c>
      <c r="D41" s="186">
        <f t="shared" si="5"/>
        <v>0</v>
      </c>
      <c r="E41" s="186">
        <v>0</v>
      </c>
      <c r="F41" s="186">
        <f t="shared" si="6"/>
        <v>0</v>
      </c>
      <c r="G41" s="1401">
        <f t="shared" si="4"/>
        <v>0</v>
      </c>
      <c r="H41" s="1000"/>
    </row>
    <row r="42" spans="1:8" s="188" customFormat="1" ht="14.25" hidden="1" x14ac:dyDescent="0.2">
      <c r="A42" s="907" t="str">
        <f>'APPENDIX C'!A58</f>
        <v>Waste Management</v>
      </c>
      <c r="B42" s="186">
        <v>0</v>
      </c>
      <c r="C42" s="186">
        <v>0</v>
      </c>
      <c r="D42" s="186">
        <f t="shared" si="5"/>
        <v>0</v>
      </c>
      <c r="E42" s="186">
        <v>0</v>
      </c>
      <c r="F42" s="186">
        <f t="shared" si="6"/>
        <v>0</v>
      </c>
      <c r="G42" s="1401">
        <f t="shared" si="4"/>
        <v>0</v>
      </c>
      <c r="H42" s="1000"/>
    </row>
    <row r="43" spans="1:8" s="188" customFormat="1" ht="14.25" hidden="1" x14ac:dyDescent="0.2">
      <c r="A43" s="907" t="str">
        <f>'APPENDIX C'!A63</f>
        <v>Roads and Transport</v>
      </c>
      <c r="B43" s="186">
        <v>0</v>
      </c>
      <c r="C43" s="186">
        <v>0</v>
      </c>
      <c r="D43" s="186">
        <f t="shared" si="5"/>
        <v>0</v>
      </c>
      <c r="E43" s="186">
        <v>0</v>
      </c>
      <c r="F43" s="186">
        <f t="shared" si="6"/>
        <v>0</v>
      </c>
      <c r="G43" s="1401">
        <f t="shared" si="4"/>
        <v>0</v>
      </c>
      <c r="H43" s="1000"/>
    </row>
    <row r="44" spans="1:8" s="188" customFormat="1" ht="14.25" hidden="1" x14ac:dyDescent="0.2">
      <c r="A44" s="907" t="str">
        <f>'APPENDIX C'!A68</f>
        <v>Water</v>
      </c>
      <c r="B44" s="186">
        <v>0</v>
      </c>
      <c r="C44" s="186">
        <v>0</v>
      </c>
      <c r="D44" s="186">
        <f t="shared" si="5"/>
        <v>0</v>
      </c>
      <c r="E44" s="186">
        <v>0</v>
      </c>
      <c r="F44" s="186">
        <f t="shared" si="6"/>
        <v>0</v>
      </c>
      <c r="G44" s="1401">
        <f t="shared" si="4"/>
        <v>0</v>
      </c>
      <c r="H44" s="1000"/>
    </row>
    <row r="45" spans="1:8" s="188" customFormat="1" ht="14.25" hidden="1" x14ac:dyDescent="0.2">
      <c r="A45" s="907" t="str">
        <f>'APPENDIX C'!A74</f>
        <v>Electricity</v>
      </c>
      <c r="B45" s="186">
        <v>0</v>
      </c>
      <c r="C45" s="186">
        <v>0</v>
      </c>
      <c r="D45" s="186">
        <f t="shared" si="5"/>
        <v>0</v>
      </c>
      <c r="E45" s="186">
        <v>0</v>
      </c>
      <c r="F45" s="186">
        <f t="shared" si="6"/>
        <v>0</v>
      </c>
      <c r="G45" s="1401">
        <f t="shared" si="4"/>
        <v>0</v>
      </c>
      <c r="H45" s="1000"/>
    </row>
    <row r="46" spans="1:8" s="188" customFormat="1" ht="14.25" hidden="1" x14ac:dyDescent="0.2">
      <c r="A46" s="907" t="str">
        <f>'APPENDIX C'!A82</f>
        <v>Other</v>
      </c>
      <c r="B46" s="186">
        <v>0</v>
      </c>
      <c r="C46" s="186">
        <v>0</v>
      </c>
      <c r="D46" s="186">
        <f t="shared" si="5"/>
        <v>0</v>
      </c>
      <c r="E46" s="186">
        <v>0</v>
      </c>
      <c r="F46" s="186">
        <f t="shared" si="6"/>
        <v>0</v>
      </c>
      <c r="G46" s="1401">
        <f t="shared" si="4"/>
        <v>0</v>
      </c>
      <c r="H46" s="1000"/>
    </row>
    <row r="47" spans="1:8" s="66" customFormat="1" ht="14.25" hidden="1" x14ac:dyDescent="0.2">
      <c r="A47" s="415"/>
      <c r="B47" s="111"/>
      <c r="C47" s="111"/>
      <c r="D47" s="111"/>
      <c r="E47" s="111"/>
      <c r="F47" s="111"/>
      <c r="G47" s="1401"/>
      <c r="H47" s="999"/>
    </row>
    <row r="48" spans="1:8" s="66" customFormat="1" ht="15.75" hidden="1" thickBot="1" x14ac:dyDescent="0.3">
      <c r="A48" s="407" t="s">
        <v>234</v>
      </c>
      <c r="B48" s="191">
        <f>SUM(B33:B47)</f>
        <v>0</v>
      </c>
      <c r="C48" s="191">
        <f>SUM(C33:C47)</f>
        <v>0</v>
      </c>
      <c r="D48" s="191">
        <f>SUM(D33:D47)</f>
        <v>0</v>
      </c>
      <c r="E48" s="191">
        <f>SUM(E33:E47)</f>
        <v>0</v>
      </c>
      <c r="F48" s="191">
        <f>SUM(F33:F47)</f>
        <v>0</v>
      </c>
      <c r="G48" s="2004" t="e">
        <f t="shared" ref="G48" si="7">+F48/E48*100</f>
        <v>#DIV/0!</v>
      </c>
      <c r="H48" s="999"/>
    </row>
    <row r="49" spans="1:8" s="66" customFormat="1" ht="16.5" hidden="1" thickTop="1" thickBot="1" x14ac:dyDescent="0.25">
      <c r="A49" s="449"/>
      <c r="B49" s="590"/>
      <c r="C49" s="590"/>
      <c r="D49" s="590"/>
      <c r="E49" s="590"/>
      <c r="F49" s="590"/>
      <c r="G49" s="2008"/>
      <c r="H49" s="1001"/>
    </row>
    <row r="50" spans="1:8" s="1" customFormat="1" ht="15" hidden="1" x14ac:dyDescent="0.2">
      <c r="B50" s="3"/>
      <c r="C50" s="3"/>
      <c r="D50" s="3"/>
      <c r="E50" s="3"/>
      <c r="F50" s="3"/>
      <c r="G50" s="2"/>
    </row>
    <row r="51" spans="1:8" s="1" customFormat="1" ht="15" x14ac:dyDescent="0.2">
      <c r="B51" s="3"/>
      <c r="C51" s="3"/>
      <c r="D51" s="3"/>
      <c r="E51" s="3"/>
      <c r="F51" s="3"/>
      <c r="G51" s="2"/>
    </row>
    <row r="52" spans="1:8" s="1" customFormat="1" ht="15" x14ac:dyDescent="0.2">
      <c r="B52" s="3"/>
      <c r="C52" s="3"/>
      <c r="D52" s="3"/>
      <c r="E52" s="3"/>
      <c r="F52" s="3"/>
      <c r="G52" s="2"/>
    </row>
    <row r="53" spans="1:8" s="1" customFormat="1" ht="15" x14ac:dyDescent="0.2">
      <c r="B53" s="3"/>
      <c r="C53" s="3"/>
      <c r="D53" s="3"/>
      <c r="E53" s="3"/>
      <c r="F53" s="3"/>
      <c r="G53" s="2"/>
    </row>
    <row r="54" spans="1:8" s="1" customFormat="1" ht="15" x14ac:dyDescent="0.2">
      <c r="B54" s="3"/>
      <c r="C54" s="3"/>
      <c r="D54" s="3"/>
      <c r="E54" s="3"/>
      <c r="F54" s="3"/>
      <c r="G54" s="2"/>
    </row>
    <row r="55" spans="1:8" s="1" customFormat="1" ht="15" x14ac:dyDescent="0.2">
      <c r="B55" s="3"/>
      <c r="C55" s="3"/>
      <c r="D55" s="3"/>
      <c r="E55" s="3"/>
      <c r="F55" s="3"/>
      <c r="G55" s="2"/>
    </row>
    <row r="56" spans="1:8" s="1" customFormat="1" ht="15" x14ac:dyDescent="0.2">
      <c r="B56" s="3"/>
      <c r="C56" s="3"/>
      <c r="D56" s="3"/>
      <c r="E56" s="3"/>
      <c r="F56" s="3"/>
      <c r="G56" s="2"/>
    </row>
    <row r="57" spans="1:8" s="1" customFormat="1" ht="15" x14ac:dyDescent="0.2">
      <c r="B57" s="3"/>
      <c r="C57" s="3"/>
      <c r="D57" s="3"/>
      <c r="E57" s="3"/>
      <c r="F57" s="3"/>
      <c r="G57" s="2"/>
    </row>
    <row r="58" spans="1:8" s="1" customFormat="1" ht="15" x14ac:dyDescent="0.2">
      <c r="B58" s="3"/>
      <c r="C58" s="3"/>
      <c r="D58" s="3"/>
      <c r="E58" s="3"/>
      <c r="F58" s="3"/>
      <c r="G58" s="2"/>
    </row>
    <row r="59" spans="1:8" s="1" customFormat="1" ht="15" x14ac:dyDescent="0.2">
      <c r="B59" s="3"/>
      <c r="C59" s="3"/>
      <c r="D59" s="3"/>
      <c r="E59" s="3"/>
      <c r="F59" s="3"/>
      <c r="G59" s="2"/>
    </row>
    <row r="60" spans="1:8" s="1" customFormat="1" ht="15" x14ac:dyDescent="0.2">
      <c r="B60" s="3"/>
      <c r="C60" s="3"/>
      <c r="D60" s="3"/>
      <c r="E60" s="3"/>
      <c r="F60" s="3"/>
      <c r="G60" s="2"/>
    </row>
    <row r="61" spans="1:8" s="1" customFormat="1" ht="15" x14ac:dyDescent="0.2">
      <c r="B61" s="3"/>
      <c r="C61" s="3"/>
      <c r="D61" s="3"/>
      <c r="E61" s="3"/>
      <c r="F61" s="3"/>
      <c r="G61" s="2"/>
    </row>
    <row r="62" spans="1:8" s="1" customFormat="1" ht="15" x14ac:dyDescent="0.2">
      <c r="B62" s="3"/>
      <c r="C62" s="3"/>
      <c r="D62" s="3"/>
      <c r="E62" s="3"/>
      <c r="F62" s="3"/>
      <c r="G62" s="2"/>
    </row>
    <row r="63" spans="1:8" s="1" customFormat="1" ht="15" x14ac:dyDescent="0.2">
      <c r="B63" s="3"/>
      <c r="C63" s="3"/>
      <c r="D63" s="3"/>
      <c r="E63" s="3"/>
      <c r="F63" s="3"/>
      <c r="G63" s="2"/>
    </row>
    <row r="64" spans="1:8" s="1" customFormat="1" ht="15" x14ac:dyDescent="0.2">
      <c r="B64" s="3"/>
      <c r="C64" s="3"/>
      <c r="D64" s="3"/>
      <c r="E64" s="3"/>
      <c r="F64" s="3"/>
      <c r="G64" s="2"/>
    </row>
    <row r="65" spans="2:7" s="1" customFormat="1" ht="15" x14ac:dyDescent="0.2">
      <c r="B65" s="3"/>
      <c r="C65" s="3"/>
      <c r="D65" s="3"/>
      <c r="E65" s="3"/>
      <c r="F65" s="3"/>
      <c r="G65" s="2"/>
    </row>
    <row r="66" spans="2:7" s="1" customFormat="1" ht="15" x14ac:dyDescent="0.2">
      <c r="B66" s="3"/>
      <c r="C66" s="3"/>
      <c r="D66" s="3"/>
      <c r="E66" s="3"/>
      <c r="F66" s="3"/>
      <c r="G66" s="2"/>
    </row>
    <row r="67" spans="2:7" s="1" customFormat="1" ht="15" x14ac:dyDescent="0.2">
      <c r="B67" s="3"/>
      <c r="C67" s="3"/>
      <c r="D67" s="3"/>
      <c r="E67" s="3"/>
      <c r="F67" s="3"/>
      <c r="G67" s="2"/>
    </row>
    <row r="68" spans="2:7" s="1" customFormat="1" ht="15" x14ac:dyDescent="0.2">
      <c r="B68" s="3"/>
      <c r="C68" s="3"/>
      <c r="D68" s="3"/>
      <c r="E68" s="3"/>
      <c r="F68" s="3"/>
      <c r="G68" s="2"/>
    </row>
    <row r="69" spans="2:7" s="1" customFormat="1" ht="15" x14ac:dyDescent="0.2">
      <c r="B69" s="3"/>
      <c r="C69" s="3"/>
      <c r="D69" s="3"/>
      <c r="E69" s="3"/>
      <c r="F69" s="3"/>
      <c r="G69" s="2"/>
    </row>
    <row r="70" spans="2:7" s="1" customFormat="1" ht="15" x14ac:dyDescent="0.2">
      <c r="B70" s="3"/>
      <c r="C70" s="3"/>
      <c r="D70" s="3"/>
      <c r="E70" s="3"/>
      <c r="F70" s="3"/>
      <c r="G70" s="2"/>
    </row>
  </sheetData>
  <mergeCells count="4">
    <mergeCell ref="A1:H1"/>
    <mergeCell ref="A2:H2"/>
    <mergeCell ref="A4:A6"/>
    <mergeCell ref="A28:A30"/>
  </mergeCells>
  <phoneticPr fontId="0" type="noConversion"/>
  <conditionalFormatting sqref="B25:G25">
    <cfRule type="cellIs" dxfId="1" priority="2" operator="between">
      <formula>0.001</formula>
      <formula>-0.001</formula>
    </cfRule>
  </conditionalFormatting>
  <conditionalFormatting sqref="G49">
    <cfRule type="cellIs" dxfId="0" priority="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7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26"/>
  <sheetViews>
    <sheetView view="pageBreakPreview" zoomScale="84" zoomScaleNormal="90" zoomScaleSheetLayoutView="84" workbookViewId="0">
      <selection activeCell="A31" sqref="A31"/>
    </sheetView>
  </sheetViews>
  <sheetFormatPr defaultColWidth="9.140625" defaultRowHeight="12.75" x14ac:dyDescent="0.2"/>
  <cols>
    <col min="1" max="1" width="33.7109375" style="5" customWidth="1"/>
    <col min="2" max="2" width="16.7109375" style="5" customWidth="1"/>
    <col min="3" max="3" width="11.7109375" style="5" hidden="1" customWidth="1"/>
    <col min="4" max="7" width="11.7109375" style="5" customWidth="1"/>
    <col min="8" max="8" width="11.7109375" style="5" hidden="1" customWidth="1"/>
    <col min="9" max="12" width="11.7109375" style="5" customWidth="1"/>
    <col min="13" max="13" width="10.7109375" style="5" hidden="1" customWidth="1"/>
    <col min="14" max="17" width="10.7109375" style="5" customWidth="1"/>
    <col min="18" max="19" width="13.7109375" style="5" customWidth="1"/>
    <col min="20" max="20" width="12.42578125" style="5" customWidth="1"/>
    <col min="21" max="16384" width="9.140625" style="5"/>
  </cols>
  <sheetData>
    <row r="1" spans="1:20" ht="24" customHeight="1" x14ac:dyDescent="0.35">
      <c r="A1" s="3026" t="s">
        <v>380</v>
      </c>
      <c r="B1" s="3026"/>
      <c r="C1" s="3026"/>
      <c r="D1" s="3026"/>
      <c r="E1" s="3026"/>
      <c r="F1" s="3026"/>
      <c r="G1" s="3026"/>
      <c r="H1" s="3026"/>
      <c r="I1" s="3026"/>
      <c r="J1" s="3026"/>
      <c r="K1" s="3026"/>
      <c r="L1" s="3026"/>
      <c r="M1" s="3026"/>
      <c r="N1" s="3026"/>
      <c r="O1" s="3026"/>
      <c r="P1" s="3026"/>
      <c r="Q1" s="3026"/>
      <c r="R1" s="3026"/>
      <c r="S1" s="3026"/>
      <c r="T1" s="3026"/>
    </row>
    <row r="2" spans="1:20" s="515" customFormat="1" ht="20.100000000000001" customHeight="1" x14ac:dyDescent="0.3">
      <c r="A2" s="2785" t="str">
        <f>Parameters!C5</f>
        <v>Mohokare Local Municipality</v>
      </c>
      <c r="B2" s="2785"/>
      <c r="C2" s="2785"/>
      <c r="D2" s="2785"/>
      <c r="E2" s="2785"/>
      <c r="F2" s="2785"/>
      <c r="G2" s="2785"/>
      <c r="H2" s="2785"/>
      <c r="I2" s="2785"/>
      <c r="J2" s="2785"/>
      <c r="K2" s="2785"/>
      <c r="L2" s="2785"/>
      <c r="M2" s="2785"/>
      <c r="N2" s="2785"/>
      <c r="O2" s="2785"/>
      <c r="P2" s="2785"/>
      <c r="Q2" s="2785"/>
      <c r="R2" s="2785"/>
      <c r="S2" s="2785"/>
      <c r="T2" s="2785"/>
    </row>
    <row r="3" spans="1:20" s="515" customFormat="1" ht="20.100000000000001" customHeight="1" x14ac:dyDescent="0.3">
      <c r="A3" s="2785" t="s">
        <v>1299</v>
      </c>
      <c r="B3" s="2785"/>
      <c r="C3" s="2785"/>
      <c r="D3" s="2785"/>
      <c r="E3" s="2785"/>
      <c r="F3" s="2785"/>
      <c r="G3" s="2785"/>
      <c r="H3" s="2785"/>
      <c r="I3" s="2785"/>
      <c r="J3" s="2785"/>
      <c r="K3" s="2785"/>
      <c r="L3" s="2785"/>
      <c r="M3" s="2785"/>
      <c r="N3" s="2785"/>
      <c r="O3" s="2785"/>
      <c r="P3" s="2785"/>
      <c r="Q3" s="2785"/>
      <c r="R3" s="2785"/>
      <c r="S3" s="2785"/>
      <c r="T3" s="2785"/>
    </row>
    <row r="4" spans="1:20" s="198" customFormat="1" ht="18" customHeight="1" thickBot="1" x14ac:dyDescent="0.35">
      <c r="A4" s="600" t="s">
        <v>667</v>
      </c>
      <c r="B4" s="599"/>
      <c r="C4" s="599"/>
      <c r="D4" s="599"/>
      <c r="E4" s="599"/>
      <c r="F4" s="599"/>
      <c r="G4" s="599"/>
      <c r="H4" s="599"/>
      <c r="I4" s="599"/>
      <c r="J4" s="599"/>
      <c r="K4" s="599"/>
      <c r="L4" s="599"/>
      <c r="M4" s="599"/>
      <c r="N4" s="599"/>
      <c r="O4" s="599"/>
      <c r="P4" s="599"/>
      <c r="Q4" s="599"/>
      <c r="R4" s="599"/>
      <c r="S4" s="599"/>
      <c r="T4" s="599"/>
    </row>
    <row r="5" spans="1:20" s="109" customFormat="1" ht="16.5" customHeight="1" x14ac:dyDescent="0.25">
      <c r="A5" s="3023" t="s">
        <v>111</v>
      </c>
      <c r="B5" s="3028" t="s">
        <v>114</v>
      </c>
      <c r="C5" s="3037" t="s">
        <v>70</v>
      </c>
      <c r="D5" s="3037"/>
      <c r="E5" s="3037"/>
      <c r="F5" s="3037"/>
      <c r="G5" s="3037"/>
      <c r="H5" s="3037" t="s">
        <v>71</v>
      </c>
      <c r="I5" s="3037"/>
      <c r="J5" s="3037"/>
      <c r="K5" s="3037"/>
      <c r="L5" s="3037"/>
      <c r="M5" s="3037" t="s">
        <v>112</v>
      </c>
      <c r="N5" s="3037"/>
      <c r="O5" s="3037"/>
      <c r="P5" s="3037"/>
      <c r="Q5" s="3037"/>
      <c r="R5" s="3031" t="s">
        <v>113</v>
      </c>
      <c r="S5" s="3033" t="s">
        <v>1300</v>
      </c>
      <c r="T5" s="3035" t="s">
        <v>110</v>
      </c>
    </row>
    <row r="6" spans="1:20" s="66" customFormat="1" ht="15" customHeight="1" x14ac:dyDescent="0.2">
      <c r="A6" s="3025"/>
      <c r="B6" s="3029"/>
      <c r="C6" s="3038"/>
      <c r="D6" s="3038"/>
      <c r="E6" s="3038"/>
      <c r="F6" s="3038"/>
      <c r="G6" s="3038"/>
      <c r="H6" s="3038"/>
      <c r="I6" s="3038"/>
      <c r="J6" s="3038"/>
      <c r="K6" s="3038"/>
      <c r="L6" s="3038"/>
      <c r="M6" s="3038"/>
      <c r="N6" s="3038"/>
      <c r="O6" s="3038"/>
      <c r="P6" s="3038"/>
      <c r="Q6" s="3038"/>
      <c r="R6" s="3032"/>
      <c r="S6" s="3034"/>
      <c r="T6" s="3036"/>
    </row>
    <row r="7" spans="1:20" s="66" customFormat="1" ht="15" customHeight="1" x14ac:dyDescent="0.2">
      <c r="A7" s="3025"/>
      <c r="B7" s="3029"/>
      <c r="C7" s="3038"/>
      <c r="D7" s="3038"/>
      <c r="E7" s="3038"/>
      <c r="F7" s="3038"/>
      <c r="G7" s="3038"/>
      <c r="H7" s="3038"/>
      <c r="I7" s="3038"/>
      <c r="J7" s="3038"/>
      <c r="K7" s="3038"/>
      <c r="L7" s="3038"/>
      <c r="M7" s="3038"/>
      <c r="N7" s="3038"/>
      <c r="O7" s="3038"/>
      <c r="P7" s="3038"/>
      <c r="Q7" s="3038"/>
      <c r="R7" s="3032"/>
      <c r="S7" s="3034"/>
      <c r="T7" s="3036"/>
    </row>
    <row r="8" spans="1:20" s="66" customFormat="1" ht="15" customHeight="1" thickBot="1" x14ac:dyDescent="0.25">
      <c r="A8" s="3025"/>
      <c r="B8" s="3030"/>
      <c r="C8" s="3039"/>
      <c r="D8" s="3039"/>
      <c r="E8" s="3039"/>
      <c r="F8" s="3039"/>
      <c r="G8" s="3039"/>
      <c r="H8" s="3039"/>
      <c r="I8" s="3039"/>
      <c r="J8" s="3039"/>
      <c r="K8" s="3039"/>
      <c r="L8" s="3039"/>
      <c r="M8" s="3039"/>
      <c r="N8" s="3039"/>
      <c r="O8" s="3039"/>
      <c r="P8" s="3039"/>
      <c r="Q8" s="3039"/>
      <c r="R8" s="3032"/>
      <c r="S8" s="3034"/>
      <c r="T8" s="601"/>
    </row>
    <row r="9" spans="1:20" s="66" customFormat="1" ht="15" customHeight="1" thickBot="1" x14ac:dyDescent="0.25">
      <c r="A9" s="602"/>
      <c r="B9" s="990"/>
      <c r="C9" s="603" t="s">
        <v>69</v>
      </c>
      <c r="D9" s="604" t="s">
        <v>66</v>
      </c>
      <c r="E9" s="604" t="s">
        <v>67</v>
      </c>
      <c r="F9" s="604" t="s">
        <v>68</v>
      </c>
      <c r="G9" s="605" t="s">
        <v>69</v>
      </c>
      <c r="H9" s="603" t="s">
        <v>69</v>
      </c>
      <c r="I9" s="604" t="s">
        <v>66</v>
      </c>
      <c r="J9" s="604" t="s">
        <v>67</v>
      </c>
      <c r="K9" s="604" t="s">
        <v>68</v>
      </c>
      <c r="L9" s="605" t="s">
        <v>69</v>
      </c>
      <c r="M9" s="603" t="s">
        <v>69</v>
      </c>
      <c r="N9" s="604" t="s">
        <v>66</v>
      </c>
      <c r="O9" s="604" t="s">
        <v>67</v>
      </c>
      <c r="P9" s="604" t="s">
        <v>68</v>
      </c>
      <c r="Q9" s="606" t="s">
        <v>69</v>
      </c>
      <c r="R9" s="607"/>
      <c r="S9" s="604" t="s">
        <v>72</v>
      </c>
      <c r="T9" s="608"/>
    </row>
    <row r="10" spans="1:20" ht="15" customHeight="1" x14ac:dyDescent="0.2">
      <c r="A10" s="799"/>
      <c r="B10" s="991"/>
      <c r="C10" s="800"/>
      <c r="D10" s="801"/>
      <c r="E10" s="801"/>
      <c r="F10" s="801"/>
      <c r="G10" s="802"/>
      <c r="H10" s="800"/>
      <c r="I10" s="801"/>
      <c r="J10" s="801"/>
      <c r="K10" s="801"/>
      <c r="L10" s="802"/>
      <c r="M10" s="800"/>
      <c r="N10" s="801"/>
      <c r="O10" s="801"/>
      <c r="P10" s="801"/>
      <c r="Q10" s="802"/>
      <c r="R10" s="803"/>
      <c r="S10" s="804"/>
      <c r="T10" s="805"/>
    </row>
    <row r="11" spans="1:20" ht="15" customHeight="1" x14ac:dyDescent="0.2">
      <c r="A11" s="806" t="s">
        <v>595</v>
      </c>
      <c r="B11" s="992" t="s">
        <v>74</v>
      </c>
      <c r="C11" s="807">
        <v>0</v>
      </c>
      <c r="D11" s="2710">
        <v>19013000</v>
      </c>
      <c r="E11" s="2710">
        <v>12236000</v>
      </c>
      <c r="F11" s="2710">
        <f>2975000+11408000</f>
        <v>14383000</v>
      </c>
      <c r="G11" s="2711">
        <v>0</v>
      </c>
      <c r="H11" s="2712">
        <v>0</v>
      </c>
      <c r="I11" s="2713" t="s">
        <v>339</v>
      </c>
      <c r="J11" s="2713" t="s">
        <v>339</v>
      </c>
      <c r="K11" s="2713" t="s">
        <v>339</v>
      </c>
      <c r="L11" s="2714" t="s">
        <v>339</v>
      </c>
      <c r="M11" s="810" t="s">
        <v>339</v>
      </c>
      <c r="N11" s="811" t="s">
        <v>339</v>
      </c>
      <c r="O11" s="811" t="s">
        <v>339</v>
      </c>
      <c r="P11" s="811" t="s">
        <v>339</v>
      </c>
      <c r="Q11" s="812" t="s">
        <v>339</v>
      </c>
      <c r="R11" s="813" t="s">
        <v>339</v>
      </c>
      <c r="S11" s="814" t="s">
        <v>340</v>
      </c>
      <c r="T11" s="815" t="s">
        <v>339</v>
      </c>
    </row>
    <row r="12" spans="1:20" ht="15" customHeight="1" x14ac:dyDescent="0.2">
      <c r="A12" s="806" t="s">
        <v>73</v>
      </c>
      <c r="B12" s="992" t="s">
        <v>74</v>
      </c>
      <c r="C12" s="807">
        <v>0</v>
      </c>
      <c r="D12" s="2710">
        <v>1500000</v>
      </c>
      <c r="E12" s="2710">
        <v>0</v>
      </c>
      <c r="F12" s="2710">
        <v>0</v>
      </c>
      <c r="G12" s="2711">
        <v>0</v>
      </c>
      <c r="H12" s="2712">
        <v>0</v>
      </c>
      <c r="I12" s="2710">
        <v>815947</v>
      </c>
      <c r="J12" s="2710">
        <v>362624</v>
      </c>
      <c r="K12" s="2710">
        <v>225728</v>
      </c>
      <c r="L12" s="2711">
        <v>111649</v>
      </c>
      <c r="M12" s="810" t="s">
        <v>339</v>
      </c>
      <c r="N12" s="811" t="s">
        <v>339</v>
      </c>
      <c r="O12" s="811" t="s">
        <v>339</v>
      </c>
      <c r="P12" s="811" t="s">
        <v>339</v>
      </c>
      <c r="Q12" s="812" t="s">
        <v>339</v>
      </c>
      <c r="R12" s="813" t="s">
        <v>339</v>
      </c>
      <c r="S12" s="814" t="s">
        <v>340</v>
      </c>
      <c r="T12" s="815" t="s">
        <v>339</v>
      </c>
    </row>
    <row r="13" spans="1:20" ht="15" customHeight="1" x14ac:dyDescent="0.2">
      <c r="A13" s="2476" t="s">
        <v>7243</v>
      </c>
      <c r="B13" s="992" t="s">
        <v>74</v>
      </c>
      <c r="C13" s="807">
        <v>0</v>
      </c>
      <c r="D13" s="2710">
        <v>627000</v>
      </c>
      <c r="E13" s="2710">
        <v>0</v>
      </c>
      <c r="F13" s="2710">
        <v>0</v>
      </c>
      <c r="G13" s="2711">
        <v>0</v>
      </c>
      <c r="H13" s="2712">
        <v>0</v>
      </c>
      <c r="I13" s="2710">
        <v>0</v>
      </c>
      <c r="J13" s="2710">
        <v>0</v>
      </c>
      <c r="K13" s="2710">
        <v>585951</v>
      </c>
      <c r="L13" s="2711">
        <v>0</v>
      </c>
      <c r="M13" s="810" t="s">
        <v>339</v>
      </c>
      <c r="N13" s="811" t="s">
        <v>339</v>
      </c>
      <c r="O13" s="811" t="s">
        <v>339</v>
      </c>
      <c r="P13" s="811" t="s">
        <v>339</v>
      </c>
      <c r="Q13" s="812" t="s">
        <v>339</v>
      </c>
      <c r="R13" s="813" t="s">
        <v>339</v>
      </c>
      <c r="S13" s="814" t="s">
        <v>340</v>
      </c>
      <c r="T13" s="815" t="s">
        <v>339</v>
      </c>
    </row>
    <row r="14" spans="1:20" ht="15" customHeight="1" x14ac:dyDescent="0.2">
      <c r="A14" s="806" t="s">
        <v>451</v>
      </c>
      <c r="B14" s="992" t="s">
        <v>75</v>
      </c>
      <c r="C14" s="807">
        <v>0</v>
      </c>
      <c r="D14" s="2710">
        <v>7659000</v>
      </c>
      <c r="E14" s="2710">
        <v>1169000</v>
      </c>
      <c r="F14" s="2710">
        <v>0</v>
      </c>
      <c r="G14" s="2711">
        <v>6704000</v>
      </c>
      <c r="H14" s="2712">
        <v>0</v>
      </c>
      <c r="I14" s="2710">
        <v>4318623</v>
      </c>
      <c r="J14" s="2710">
        <v>3967141</v>
      </c>
      <c r="K14" s="2710">
        <v>3280518</v>
      </c>
      <c r="L14" s="2711">
        <v>4413611</v>
      </c>
      <c r="M14" s="810" t="s">
        <v>339</v>
      </c>
      <c r="N14" s="811" t="s">
        <v>339</v>
      </c>
      <c r="O14" s="811" t="s">
        <v>339</v>
      </c>
      <c r="P14" s="811" t="s">
        <v>339</v>
      </c>
      <c r="Q14" s="812" t="s">
        <v>339</v>
      </c>
      <c r="R14" s="813" t="s">
        <v>339</v>
      </c>
      <c r="S14" s="814" t="s">
        <v>340</v>
      </c>
      <c r="T14" s="815" t="s">
        <v>339</v>
      </c>
    </row>
    <row r="15" spans="1:20" ht="15" customHeight="1" x14ac:dyDescent="0.2">
      <c r="A15" s="806" t="s">
        <v>1697</v>
      </c>
      <c r="B15" s="992" t="s">
        <v>1698</v>
      </c>
      <c r="C15" s="807">
        <v>0</v>
      </c>
      <c r="D15" s="2710">
        <v>855000</v>
      </c>
      <c r="E15" s="2710">
        <v>160740</v>
      </c>
      <c r="F15" s="2710">
        <v>1597891</v>
      </c>
      <c r="G15" s="2711">
        <v>5480369</v>
      </c>
      <c r="H15" s="2712">
        <v>0</v>
      </c>
      <c r="I15" s="2710">
        <v>1085758</v>
      </c>
      <c r="J15" s="2710">
        <v>0</v>
      </c>
      <c r="K15" s="2710">
        <v>5771080</v>
      </c>
      <c r="L15" s="2711">
        <v>1237161</v>
      </c>
      <c r="M15" s="810" t="s">
        <v>339</v>
      </c>
      <c r="N15" s="811" t="s">
        <v>339</v>
      </c>
      <c r="O15" s="811" t="s">
        <v>339</v>
      </c>
      <c r="P15" s="811" t="s">
        <v>339</v>
      </c>
      <c r="Q15" s="812" t="s">
        <v>339</v>
      </c>
      <c r="R15" s="813" t="s">
        <v>339</v>
      </c>
      <c r="S15" s="814" t="s">
        <v>340</v>
      </c>
      <c r="T15" s="815" t="s">
        <v>339</v>
      </c>
    </row>
    <row r="16" spans="1:20" ht="15" hidden="1" customHeight="1" x14ac:dyDescent="0.2">
      <c r="A16" s="806" t="s">
        <v>1699</v>
      </c>
      <c r="B16" s="992" t="s">
        <v>1698</v>
      </c>
      <c r="C16" s="807">
        <v>0</v>
      </c>
      <c r="D16" s="2710">
        <v>0</v>
      </c>
      <c r="E16" s="2710">
        <v>0</v>
      </c>
      <c r="F16" s="2710">
        <v>0</v>
      </c>
      <c r="G16" s="2711">
        <v>0</v>
      </c>
      <c r="H16" s="2712">
        <v>0</v>
      </c>
      <c r="I16" s="2710">
        <v>0</v>
      </c>
      <c r="J16" s="2710">
        <v>0</v>
      </c>
      <c r="K16" s="2710">
        <v>0</v>
      </c>
      <c r="L16" s="2711">
        <v>0</v>
      </c>
      <c r="M16" s="810" t="s">
        <v>339</v>
      </c>
      <c r="N16" s="811" t="s">
        <v>339</v>
      </c>
      <c r="O16" s="811" t="s">
        <v>339</v>
      </c>
      <c r="P16" s="811" t="s">
        <v>339</v>
      </c>
      <c r="Q16" s="812" t="s">
        <v>339</v>
      </c>
      <c r="R16" s="813" t="s">
        <v>339</v>
      </c>
      <c r="S16" s="814" t="s">
        <v>340</v>
      </c>
      <c r="T16" s="815" t="s">
        <v>339</v>
      </c>
    </row>
    <row r="17" spans="1:20" ht="15" hidden="1" customHeight="1" x14ac:dyDescent="0.2">
      <c r="A17" s="806" t="s">
        <v>2188</v>
      </c>
      <c r="B17" s="992" t="s">
        <v>2189</v>
      </c>
      <c r="C17" s="807">
        <v>0</v>
      </c>
      <c r="D17" s="2710">
        <v>0</v>
      </c>
      <c r="E17" s="2710">
        <v>0</v>
      </c>
      <c r="F17" s="2710">
        <v>0</v>
      </c>
      <c r="G17" s="2711">
        <v>0</v>
      </c>
      <c r="H17" s="2712">
        <v>0</v>
      </c>
      <c r="I17" s="2710">
        <v>0</v>
      </c>
      <c r="J17" s="2710">
        <v>0</v>
      </c>
      <c r="K17" s="2710">
        <v>0</v>
      </c>
      <c r="L17" s="2711">
        <v>0</v>
      </c>
      <c r="M17" s="810" t="s">
        <v>339</v>
      </c>
      <c r="N17" s="811" t="s">
        <v>339</v>
      </c>
      <c r="O17" s="811" t="s">
        <v>339</v>
      </c>
      <c r="P17" s="811" t="s">
        <v>339</v>
      </c>
      <c r="Q17" s="812" t="s">
        <v>339</v>
      </c>
      <c r="R17" s="813" t="s">
        <v>339</v>
      </c>
      <c r="S17" s="814" t="s">
        <v>340</v>
      </c>
      <c r="T17" s="815" t="s">
        <v>339</v>
      </c>
    </row>
    <row r="18" spans="1:20" ht="15" customHeight="1" x14ac:dyDescent="0.2">
      <c r="A18" s="806" t="s">
        <v>1700</v>
      </c>
      <c r="B18" s="992" t="s">
        <v>1711</v>
      </c>
      <c r="C18" s="807">
        <v>0</v>
      </c>
      <c r="D18" s="2710">
        <v>0</v>
      </c>
      <c r="E18" s="2710">
        <v>790000</v>
      </c>
      <c r="F18" s="2710">
        <v>0</v>
      </c>
      <c r="G18" s="2711">
        <v>0</v>
      </c>
      <c r="H18" s="2712">
        <v>0</v>
      </c>
      <c r="I18" s="2710">
        <v>259484</v>
      </c>
      <c r="J18" s="2710">
        <v>88380</v>
      </c>
      <c r="K18" s="2710">
        <v>85498</v>
      </c>
      <c r="L18" s="2711">
        <v>363116</v>
      </c>
      <c r="M18" s="810" t="s">
        <v>339</v>
      </c>
      <c r="N18" s="811" t="s">
        <v>339</v>
      </c>
      <c r="O18" s="811" t="s">
        <v>339</v>
      </c>
      <c r="P18" s="811" t="s">
        <v>339</v>
      </c>
      <c r="Q18" s="812" t="s">
        <v>339</v>
      </c>
      <c r="R18" s="813" t="s">
        <v>339</v>
      </c>
      <c r="S18" s="814" t="s">
        <v>340</v>
      </c>
      <c r="T18" s="815" t="s">
        <v>339</v>
      </c>
    </row>
    <row r="19" spans="1:20" ht="15" hidden="1" customHeight="1" x14ac:dyDescent="0.2">
      <c r="A19" s="806" t="s">
        <v>2190</v>
      </c>
      <c r="B19" s="992" t="s">
        <v>331</v>
      </c>
      <c r="C19" s="807">
        <v>0</v>
      </c>
      <c r="D19" s="808">
        <v>0</v>
      </c>
      <c r="E19" s="808">
        <v>0</v>
      </c>
      <c r="F19" s="808">
        <v>0</v>
      </c>
      <c r="G19" s="809">
        <v>0</v>
      </c>
      <c r="H19" s="807">
        <v>0</v>
      </c>
      <c r="I19" s="808">
        <v>0</v>
      </c>
      <c r="J19" s="808">
        <v>0</v>
      </c>
      <c r="K19" s="808">
        <v>0</v>
      </c>
      <c r="L19" s="809">
        <v>0</v>
      </c>
      <c r="M19" s="810" t="s">
        <v>339</v>
      </c>
      <c r="N19" s="811" t="s">
        <v>339</v>
      </c>
      <c r="O19" s="811" t="s">
        <v>339</v>
      </c>
      <c r="P19" s="811" t="s">
        <v>339</v>
      </c>
      <c r="Q19" s="812" t="s">
        <v>339</v>
      </c>
      <c r="R19" s="813" t="s">
        <v>339</v>
      </c>
      <c r="S19" s="814" t="s">
        <v>340</v>
      </c>
      <c r="T19" s="815" t="s">
        <v>339</v>
      </c>
    </row>
    <row r="20" spans="1:20" ht="15" hidden="1" customHeight="1" x14ac:dyDescent="0.2">
      <c r="A20" s="816" t="s">
        <v>61</v>
      </c>
      <c r="B20" s="993" t="s">
        <v>331</v>
      </c>
      <c r="C20" s="817"/>
      <c r="D20" s="818"/>
      <c r="E20" s="818"/>
      <c r="F20" s="818"/>
      <c r="G20" s="819"/>
      <c r="H20" s="817"/>
      <c r="I20" s="818"/>
      <c r="J20" s="818"/>
      <c r="K20" s="818"/>
      <c r="L20" s="819"/>
      <c r="M20" s="820" t="s">
        <v>339</v>
      </c>
      <c r="N20" s="821" t="s">
        <v>339</v>
      </c>
      <c r="O20" s="821" t="s">
        <v>339</v>
      </c>
      <c r="P20" s="821" t="s">
        <v>339</v>
      </c>
      <c r="Q20" s="822" t="s">
        <v>339</v>
      </c>
      <c r="R20" s="823" t="s">
        <v>339</v>
      </c>
      <c r="S20" s="814" t="s">
        <v>340</v>
      </c>
      <c r="T20" s="815" t="s">
        <v>339</v>
      </c>
    </row>
    <row r="21" spans="1:20" ht="15" hidden="1" customHeight="1" x14ac:dyDescent="0.2">
      <c r="A21" s="816" t="s">
        <v>619</v>
      </c>
      <c r="B21" s="993" t="s">
        <v>331</v>
      </c>
      <c r="C21" s="817"/>
      <c r="D21" s="818"/>
      <c r="E21" s="818"/>
      <c r="F21" s="818"/>
      <c r="G21" s="819"/>
      <c r="H21" s="817"/>
      <c r="I21" s="818"/>
      <c r="J21" s="818"/>
      <c r="K21" s="818"/>
      <c r="L21" s="819"/>
      <c r="M21" s="820" t="s">
        <v>339</v>
      </c>
      <c r="N21" s="821" t="s">
        <v>339</v>
      </c>
      <c r="O21" s="821" t="s">
        <v>339</v>
      </c>
      <c r="P21" s="821" t="s">
        <v>339</v>
      </c>
      <c r="Q21" s="822" t="s">
        <v>339</v>
      </c>
      <c r="R21" s="823" t="s">
        <v>339</v>
      </c>
      <c r="S21" s="814" t="s">
        <v>340</v>
      </c>
      <c r="T21" s="815" t="s">
        <v>339</v>
      </c>
    </row>
    <row r="22" spans="1:20" ht="15" hidden="1" customHeight="1" x14ac:dyDescent="0.2">
      <c r="A22" s="816" t="s">
        <v>337</v>
      </c>
      <c r="B22" s="993" t="s">
        <v>338</v>
      </c>
      <c r="C22" s="817"/>
      <c r="D22" s="818"/>
      <c r="E22" s="818"/>
      <c r="F22" s="818"/>
      <c r="G22" s="819"/>
      <c r="H22" s="817"/>
      <c r="I22" s="818"/>
      <c r="J22" s="818"/>
      <c r="K22" s="818"/>
      <c r="L22" s="819"/>
      <c r="M22" s="820" t="s">
        <v>339</v>
      </c>
      <c r="N22" s="821" t="s">
        <v>339</v>
      </c>
      <c r="O22" s="821" t="s">
        <v>339</v>
      </c>
      <c r="P22" s="821" t="s">
        <v>339</v>
      </c>
      <c r="Q22" s="822" t="s">
        <v>339</v>
      </c>
      <c r="R22" s="823" t="s">
        <v>339</v>
      </c>
      <c r="S22" s="814" t="s">
        <v>340</v>
      </c>
      <c r="T22" s="815" t="s">
        <v>339</v>
      </c>
    </row>
    <row r="23" spans="1:20" ht="15" customHeight="1" x14ac:dyDescent="0.2">
      <c r="A23" s="824"/>
      <c r="B23" s="994"/>
      <c r="C23" s="825"/>
      <c r="D23" s="826"/>
      <c r="E23" s="826"/>
      <c r="F23" s="826"/>
      <c r="G23" s="827"/>
      <c r="H23" s="825"/>
      <c r="I23" s="826"/>
      <c r="J23" s="826"/>
      <c r="K23" s="826"/>
      <c r="L23" s="827"/>
      <c r="M23" s="825"/>
      <c r="N23" s="826"/>
      <c r="O23" s="826"/>
      <c r="P23" s="826"/>
      <c r="Q23" s="827"/>
      <c r="R23" s="828"/>
      <c r="S23" s="829"/>
      <c r="T23" s="830"/>
    </row>
    <row r="24" spans="1:20" ht="15" customHeight="1" thickBot="1" x14ac:dyDescent="0.25">
      <c r="A24" s="831" t="s">
        <v>115</v>
      </c>
      <c r="B24" s="995"/>
      <c r="C24" s="832">
        <f t="shared" ref="C24:Q24" si="0">SUM(C10:C23)</f>
        <v>0</v>
      </c>
      <c r="D24" s="833">
        <f t="shared" si="0"/>
        <v>29654000</v>
      </c>
      <c r="E24" s="833">
        <f t="shared" si="0"/>
        <v>14355740</v>
      </c>
      <c r="F24" s="833">
        <f t="shared" si="0"/>
        <v>15980891</v>
      </c>
      <c r="G24" s="834">
        <f t="shared" si="0"/>
        <v>12184369</v>
      </c>
      <c r="H24" s="832">
        <f t="shared" si="0"/>
        <v>0</v>
      </c>
      <c r="I24" s="833">
        <f t="shared" si="0"/>
        <v>6479812</v>
      </c>
      <c r="J24" s="833">
        <f t="shared" si="0"/>
        <v>4418145</v>
      </c>
      <c r="K24" s="833">
        <f t="shared" si="0"/>
        <v>9948775</v>
      </c>
      <c r="L24" s="834">
        <f t="shared" si="0"/>
        <v>6125537</v>
      </c>
      <c r="M24" s="832">
        <f t="shared" si="0"/>
        <v>0</v>
      </c>
      <c r="N24" s="833">
        <f t="shared" si="0"/>
        <v>0</v>
      </c>
      <c r="O24" s="833">
        <f t="shared" si="0"/>
        <v>0</v>
      </c>
      <c r="P24" s="833">
        <f t="shared" si="0"/>
        <v>0</v>
      </c>
      <c r="Q24" s="834">
        <f t="shared" si="0"/>
        <v>0</v>
      </c>
      <c r="R24" s="835"/>
      <c r="S24" s="836"/>
      <c r="T24" s="837"/>
    </row>
    <row r="25" spans="1:20" s="66" customFormat="1" ht="15" thickTop="1" x14ac:dyDescent="0.2">
      <c r="A25" s="609"/>
      <c r="B25" s="610"/>
      <c r="C25" s="610"/>
      <c r="D25" s="610"/>
      <c r="E25" s="610"/>
      <c r="F25" s="610"/>
      <c r="G25" s="610"/>
      <c r="H25" s="610"/>
      <c r="I25" s="610"/>
      <c r="J25" s="610"/>
      <c r="K25" s="610"/>
      <c r="L25" s="610"/>
      <c r="M25" s="610"/>
      <c r="N25" s="610"/>
      <c r="O25" s="610"/>
      <c r="P25" s="610"/>
      <c r="Q25" s="610"/>
      <c r="R25" s="610"/>
      <c r="S25" s="611"/>
      <c r="T25" s="612"/>
    </row>
    <row r="26" spans="1:20" s="66" customFormat="1" ht="15" hidden="1" thickBot="1" x14ac:dyDescent="0.25">
      <c r="A26" s="449"/>
      <c r="B26" s="613"/>
      <c r="C26" s="613"/>
      <c r="D26" s="613"/>
      <c r="E26" s="3027" t="s">
        <v>109</v>
      </c>
      <c r="F26" s="3027"/>
      <c r="G26" s="3027"/>
      <c r="H26" s="3027"/>
      <c r="I26" s="3027"/>
      <c r="J26" s="3027"/>
      <c r="K26" s="3027"/>
      <c r="L26" s="3027"/>
      <c r="M26" s="3027"/>
      <c r="N26" s="3027"/>
      <c r="O26" s="3027"/>
      <c r="P26" s="3027"/>
      <c r="Q26" s="3027"/>
      <c r="R26" s="3027"/>
      <c r="S26" s="3027"/>
      <c r="T26" s="614"/>
    </row>
  </sheetData>
  <mergeCells count="12">
    <mergeCell ref="A1:T1"/>
    <mergeCell ref="E26:S26"/>
    <mergeCell ref="B5:B8"/>
    <mergeCell ref="R5:R8"/>
    <mergeCell ref="S5:S8"/>
    <mergeCell ref="T5:T7"/>
    <mergeCell ref="A5:A8"/>
    <mergeCell ref="C5:G8"/>
    <mergeCell ref="H5:L8"/>
    <mergeCell ref="M5:Q8"/>
    <mergeCell ref="A2:T2"/>
    <mergeCell ref="A3:T3"/>
  </mergeCells>
  <phoneticPr fontId="0" type="noConversion"/>
  <printOptions horizontalCentered="1"/>
  <pageMargins left="0.39370078740157483" right="0.39370078740157483" top="0.39370078740157483" bottom="0.39370078740157483" header="0.19685039370078741" footer="0.19685039370078741"/>
  <pageSetup paperSize="9" scale="60"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2:F104"/>
  <sheetViews>
    <sheetView showGridLines="0" zoomScale="86" zoomScaleNormal="86" workbookViewId="0">
      <selection activeCell="G1" sqref="G1"/>
    </sheetView>
  </sheetViews>
  <sheetFormatPr defaultColWidth="9.140625" defaultRowHeight="12.75" x14ac:dyDescent="0.2"/>
  <cols>
    <col min="1" max="1" width="2.85546875" style="1062" customWidth="1"/>
    <col min="2" max="2" width="2.85546875" style="1066" customWidth="1"/>
    <col min="3" max="3" width="7.140625" style="1066" customWidth="1"/>
    <col min="4" max="4" width="138.5703125" style="1066" customWidth="1"/>
    <col min="5" max="6" width="9.140625" style="1062"/>
    <col min="7" max="16384" width="9.140625" style="1066"/>
  </cols>
  <sheetData>
    <row r="2" spans="1:6" ht="15.75" x14ac:dyDescent="0.25">
      <c r="A2" s="1062" t="b">
        <v>1</v>
      </c>
      <c r="B2" s="1063" t="s">
        <v>89</v>
      </c>
      <c r="C2" s="1064"/>
      <c r="D2" s="1065"/>
    </row>
    <row r="3" spans="1:6" ht="15.75" x14ac:dyDescent="0.25">
      <c r="B3" s="1067" t="b">
        <v>1</v>
      </c>
      <c r="C3" s="1068">
        <v>1</v>
      </c>
      <c r="D3" s="1202" t="s">
        <v>90</v>
      </c>
      <c r="E3" s="1062">
        <v>8</v>
      </c>
      <c r="F3" s="1062" t="s">
        <v>3848</v>
      </c>
    </row>
    <row r="4" spans="1:6" ht="15.75" x14ac:dyDescent="0.25">
      <c r="B4" s="1067" t="b">
        <v>1</v>
      </c>
      <c r="C4" s="1069">
        <v>2</v>
      </c>
      <c r="D4" s="1202" t="s">
        <v>98</v>
      </c>
      <c r="E4" s="1062">
        <v>19</v>
      </c>
      <c r="F4" s="1062" t="s">
        <v>3848</v>
      </c>
    </row>
    <row r="5" spans="1:6" ht="15.75" x14ac:dyDescent="0.25">
      <c r="B5" s="1067" t="b">
        <v>1</v>
      </c>
      <c r="C5" s="1070">
        <v>3</v>
      </c>
      <c r="D5" s="1202" t="s">
        <v>92</v>
      </c>
      <c r="E5" s="1062">
        <v>52</v>
      </c>
      <c r="F5" s="1062" t="s">
        <v>3848</v>
      </c>
    </row>
    <row r="6" spans="1:6" ht="15.75" x14ac:dyDescent="0.25">
      <c r="B6" s="1067" t="b">
        <v>1</v>
      </c>
      <c r="C6" s="1071">
        <v>4</v>
      </c>
      <c r="D6" s="1202" t="s">
        <v>99</v>
      </c>
      <c r="E6" s="1062">
        <v>177</v>
      </c>
      <c r="F6" s="1062" t="s">
        <v>3848</v>
      </c>
    </row>
    <row r="7" spans="1:6" ht="15.75" x14ac:dyDescent="0.25">
      <c r="B7" s="1067" t="b">
        <v>1</v>
      </c>
      <c r="C7" s="1072">
        <v>5</v>
      </c>
      <c r="D7" s="1202" t="s">
        <v>101</v>
      </c>
      <c r="E7" s="1062">
        <v>213</v>
      </c>
      <c r="F7" s="1062" t="s">
        <v>3848</v>
      </c>
    </row>
    <row r="8" spans="1:6" ht="15.75" x14ac:dyDescent="0.25">
      <c r="B8" s="1067" t="b">
        <v>1</v>
      </c>
      <c r="C8" s="1073">
        <v>6</v>
      </c>
      <c r="D8" s="1202" t="s">
        <v>815</v>
      </c>
      <c r="E8" s="1062">
        <v>296</v>
      </c>
      <c r="F8" s="1062" t="s">
        <v>3848</v>
      </c>
    </row>
    <row r="9" spans="1:6" ht="15.75" x14ac:dyDescent="0.25">
      <c r="B9" s="1067" t="b">
        <v>1</v>
      </c>
      <c r="C9" s="1074">
        <v>7</v>
      </c>
      <c r="D9" s="1202" t="s">
        <v>103</v>
      </c>
      <c r="E9" s="1062">
        <v>319</v>
      </c>
      <c r="F9" s="1062" t="s">
        <v>3848</v>
      </c>
    </row>
    <row r="10" spans="1:6" ht="15.75" x14ac:dyDescent="0.25">
      <c r="B10" s="1067" t="b">
        <v>1</v>
      </c>
      <c r="C10" s="1075">
        <v>8</v>
      </c>
      <c r="D10" s="1202" t="s">
        <v>843</v>
      </c>
      <c r="E10" s="1062">
        <v>328</v>
      </c>
      <c r="F10" s="1062" t="s">
        <v>3848</v>
      </c>
    </row>
    <row r="11" spans="1:6" ht="15.75" x14ac:dyDescent="0.25">
      <c r="B11" s="1067" t="b">
        <v>1</v>
      </c>
      <c r="C11" s="1076">
        <v>9</v>
      </c>
      <c r="D11" s="1202" t="s">
        <v>277</v>
      </c>
      <c r="E11" s="1062">
        <v>337</v>
      </c>
      <c r="F11" s="1062" t="s">
        <v>3848</v>
      </c>
    </row>
    <row r="12" spans="1:6" ht="15.75" x14ac:dyDescent="0.25">
      <c r="B12" s="1067" t="b">
        <v>1</v>
      </c>
      <c r="C12" s="1077">
        <v>10</v>
      </c>
      <c r="D12" s="1202" t="s">
        <v>104</v>
      </c>
      <c r="E12" s="1062">
        <v>351</v>
      </c>
      <c r="F12" s="1062" t="s">
        <v>3848</v>
      </c>
    </row>
    <row r="13" spans="1:6" ht="15.75" x14ac:dyDescent="0.25">
      <c r="B13" s="1067" t="b">
        <v>1</v>
      </c>
      <c r="C13" s="1078">
        <v>11</v>
      </c>
      <c r="D13" s="1202" t="s">
        <v>284</v>
      </c>
      <c r="E13" s="1062">
        <v>370</v>
      </c>
      <c r="F13" s="1062" t="s">
        <v>3848</v>
      </c>
    </row>
    <row r="14" spans="1:6" ht="15.75" x14ac:dyDescent="0.25">
      <c r="B14" s="1067" t="b">
        <v>1</v>
      </c>
      <c r="C14" s="1079">
        <v>12</v>
      </c>
      <c r="D14" s="1202" t="s">
        <v>155</v>
      </c>
      <c r="E14" s="1062">
        <v>377</v>
      </c>
      <c r="F14" s="1062" t="s">
        <v>3848</v>
      </c>
    </row>
    <row r="15" spans="1:6" ht="15.75" x14ac:dyDescent="0.25">
      <c r="B15" s="1067" t="b">
        <v>1</v>
      </c>
      <c r="C15" s="1080">
        <v>13</v>
      </c>
      <c r="D15" s="1202" t="s">
        <v>1883</v>
      </c>
      <c r="E15" s="1062">
        <v>386</v>
      </c>
      <c r="F15" s="1062" t="s">
        <v>3848</v>
      </c>
    </row>
    <row r="16" spans="1:6" ht="15.75" x14ac:dyDescent="0.25">
      <c r="B16" s="1067" t="b">
        <v>1</v>
      </c>
      <c r="C16" s="1081">
        <v>14</v>
      </c>
      <c r="D16" s="1202" t="s">
        <v>1413</v>
      </c>
      <c r="E16" s="1062">
        <v>393</v>
      </c>
      <c r="F16" s="1062" t="s">
        <v>3848</v>
      </c>
    </row>
    <row r="17" spans="2:6" ht="15.75" x14ac:dyDescent="0.25">
      <c r="B17" s="1067" t="b">
        <v>1</v>
      </c>
      <c r="C17" s="1082">
        <v>15</v>
      </c>
      <c r="D17" s="1202" t="s">
        <v>189</v>
      </c>
      <c r="E17" s="1062">
        <v>402</v>
      </c>
      <c r="F17" s="1062" t="s">
        <v>3848</v>
      </c>
    </row>
    <row r="18" spans="2:6" ht="15.75" x14ac:dyDescent="0.25">
      <c r="B18" s="1067" t="b">
        <v>1</v>
      </c>
      <c r="C18" s="1083">
        <v>16</v>
      </c>
      <c r="D18" s="1202" t="s">
        <v>105</v>
      </c>
      <c r="E18" s="1062">
        <v>420</v>
      </c>
      <c r="F18" s="1062" t="s">
        <v>3848</v>
      </c>
    </row>
    <row r="19" spans="2:6" ht="15.75" x14ac:dyDescent="0.25">
      <c r="B19" s="1067" t="b">
        <v>1</v>
      </c>
      <c r="C19" s="1084">
        <v>17</v>
      </c>
      <c r="D19" s="1202" t="s">
        <v>106</v>
      </c>
      <c r="E19" s="1062">
        <v>441</v>
      </c>
      <c r="F19" s="1062" t="s">
        <v>3848</v>
      </c>
    </row>
    <row r="20" spans="2:6" ht="15.75" x14ac:dyDescent="0.25">
      <c r="B20" s="1067" t="b">
        <v>1</v>
      </c>
      <c r="C20" s="1085">
        <v>18</v>
      </c>
      <c r="D20" s="1202" t="s">
        <v>1365</v>
      </c>
      <c r="E20" s="1062">
        <v>448</v>
      </c>
      <c r="F20" s="1062" t="s">
        <v>3848</v>
      </c>
    </row>
    <row r="21" spans="2:6" ht="15.75" x14ac:dyDescent="0.25">
      <c r="B21" s="1067" t="b">
        <v>1</v>
      </c>
      <c r="C21" s="1086">
        <v>19</v>
      </c>
      <c r="D21" s="1202" t="s">
        <v>1394</v>
      </c>
      <c r="E21" s="1062">
        <v>453</v>
      </c>
      <c r="F21" s="1062" t="s">
        <v>3848</v>
      </c>
    </row>
    <row r="22" spans="2:6" ht="15.75" x14ac:dyDescent="0.25">
      <c r="B22" s="1087"/>
      <c r="C22" s="1064" t="s">
        <v>339</v>
      </c>
      <c r="D22" s="1065"/>
    </row>
    <row r="23" spans="2:6" ht="15.75" x14ac:dyDescent="0.25">
      <c r="B23" s="1063" t="s">
        <v>2726</v>
      </c>
      <c r="C23" s="1064"/>
      <c r="D23" s="1065"/>
    </row>
    <row r="24" spans="2:6" ht="15.75" x14ac:dyDescent="0.25">
      <c r="B24" s="1067" t="b">
        <v>1</v>
      </c>
      <c r="C24" s="1088">
        <v>1</v>
      </c>
      <c r="D24" s="1202" t="s">
        <v>805</v>
      </c>
      <c r="E24" s="1062">
        <v>7</v>
      </c>
      <c r="F24" s="1062" t="s">
        <v>3849</v>
      </c>
    </row>
    <row r="25" spans="2:6" ht="15.75" x14ac:dyDescent="0.25">
      <c r="B25" s="1067" t="b">
        <v>1</v>
      </c>
      <c r="C25" s="1089">
        <v>2</v>
      </c>
      <c r="D25" s="1202" t="s">
        <v>292</v>
      </c>
      <c r="E25" s="1062">
        <v>14</v>
      </c>
      <c r="F25" s="1062" t="s">
        <v>3849</v>
      </c>
    </row>
    <row r="26" spans="2:6" ht="15.75" x14ac:dyDescent="0.25">
      <c r="B26" s="1067" t="b">
        <v>1</v>
      </c>
      <c r="C26" s="1090">
        <v>3</v>
      </c>
      <c r="D26" s="1202" t="s">
        <v>1525</v>
      </c>
      <c r="E26" s="1062">
        <v>53</v>
      </c>
      <c r="F26" s="1062" t="s">
        <v>3849</v>
      </c>
    </row>
    <row r="27" spans="2:6" ht="15.75" x14ac:dyDescent="0.25">
      <c r="B27" s="1067" t="b">
        <v>1</v>
      </c>
      <c r="C27" s="1089">
        <v>4</v>
      </c>
      <c r="D27" s="1202" t="s">
        <v>2260</v>
      </c>
      <c r="E27" s="1062">
        <v>100</v>
      </c>
      <c r="F27" s="1062" t="s">
        <v>3849</v>
      </c>
    </row>
    <row r="28" spans="2:6" ht="15.75" x14ac:dyDescent="0.25">
      <c r="B28" s="1067" t="b">
        <v>1</v>
      </c>
      <c r="C28" s="1090">
        <v>5</v>
      </c>
      <c r="D28" s="1202" t="s">
        <v>2262</v>
      </c>
      <c r="E28" s="1062">
        <v>448</v>
      </c>
      <c r="F28" s="1062" t="s">
        <v>3849</v>
      </c>
    </row>
    <row r="29" spans="2:6" ht="15.75" x14ac:dyDescent="0.25">
      <c r="B29" s="1067" t="b">
        <v>1</v>
      </c>
      <c r="C29" s="1089">
        <v>6</v>
      </c>
      <c r="D29" s="1202" t="s">
        <v>1457</v>
      </c>
      <c r="E29" s="1062">
        <v>894</v>
      </c>
      <c r="F29" s="1062" t="s">
        <v>3849</v>
      </c>
    </row>
    <row r="30" spans="2:6" ht="15.75" x14ac:dyDescent="0.25">
      <c r="B30" s="1067" t="b">
        <v>1</v>
      </c>
      <c r="C30" s="1090">
        <v>7</v>
      </c>
      <c r="D30" s="1203" t="s">
        <v>1530</v>
      </c>
      <c r="E30" s="1062">
        <v>714</v>
      </c>
      <c r="F30" s="1062" t="s">
        <v>3849</v>
      </c>
    </row>
    <row r="31" spans="2:6" ht="15.75" x14ac:dyDescent="0.25">
      <c r="B31" s="1067" t="b">
        <v>1</v>
      </c>
      <c r="C31" s="1089">
        <v>8</v>
      </c>
      <c r="D31" s="1202" t="s">
        <v>1493</v>
      </c>
      <c r="E31" s="1062">
        <v>993</v>
      </c>
      <c r="F31" s="1062" t="s">
        <v>3849</v>
      </c>
    </row>
    <row r="32" spans="2:6" ht="15.75" x14ac:dyDescent="0.25">
      <c r="B32" s="1067" t="b">
        <v>1</v>
      </c>
      <c r="C32" s="1090">
        <v>9</v>
      </c>
      <c r="D32" s="1202" t="s">
        <v>3934</v>
      </c>
      <c r="E32" s="1062">
        <v>1042</v>
      </c>
      <c r="F32" s="1062" t="s">
        <v>3849</v>
      </c>
    </row>
    <row r="33" spans="2:6" ht="15.75" x14ac:dyDescent="0.25">
      <c r="B33" s="1067" t="b">
        <v>1</v>
      </c>
      <c r="C33" s="1090">
        <v>10</v>
      </c>
      <c r="D33" s="1202" t="s">
        <v>584</v>
      </c>
      <c r="E33" s="1062">
        <v>7</v>
      </c>
      <c r="F33" s="1062" t="s">
        <v>3850</v>
      </c>
    </row>
    <row r="34" spans="2:6" ht="15.75" x14ac:dyDescent="0.25">
      <c r="B34" s="1067" t="b">
        <v>1</v>
      </c>
      <c r="C34" s="1089">
        <v>11</v>
      </c>
      <c r="D34" s="1202" t="s">
        <v>155</v>
      </c>
      <c r="E34" s="1062">
        <v>157</v>
      </c>
      <c r="F34" s="1062" t="s">
        <v>3850</v>
      </c>
    </row>
    <row r="35" spans="2:6" ht="15.75" x14ac:dyDescent="0.25">
      <c r="B35" s="1067" t="b">
        <v>1</v>
      </c>
      <c r="C35" s="1090">
        <v>12</v>
      </c>
      <c r="D35" s="1202" t="s">
        <v>82</v>
      </c>
      <c r="E35" s="1062">
        <v>344</v>
      </c>
      <c r="F35" s="1062" t="s">
        <v>3850</v>
      </c>
    </row>
    <row r="36" spans="2:6" ht="15.75" x14ac:dyDescent="0.25">
      <c r="B36" s="1067" t="b">
        <v>1</v>
      </c>
      <c r="C36" s="1089">
        <v>13</v>
      </c>
      <c r="D36" s="1202" t="s">
        <v>3994</v>
      </c>
      <c r="E36" s="1062">
        <v>435</v>
      </c>
      <c r="F36" s="1062" t="s">
        <v>3850</v>
      </c>
    </row>
    <row r="37" spans="2:6" ht="15.75" x14ac:dyDescent="0.25">
      <c r="B37" s="1067" t="b">
        <v>1</v>
      </c>
      <c r="C37" s="1089">
        <v>14</v>
      </c>
      <c r="D37" s="1202" t="s">
        <v>1591</v>
      </c>
      <c r="E37" s="1062">
        <v>599</v>
      </c>
      <c r="F37" s="1062" t="s">
        <v>3850</v>
      </c>
    </row>
    <row r="38" spans="2:6" ht="15.75" x14ac:dyDescent="0.25">
      <c r="B38" s="1067" t="b">
        <v>1</v>
      </c>
      <c r="C38" s="1090">
        <v>15</v>
      </c>
      <c r="D38" s="1202" t="s">
        <v>1413</v>
      </c>
      <c r="E38" s="1062">
        <v>746</v>
      </c>
      <c r="F38" s="1062" t="s">
        <v>3850</v>
      </c>
    </row>
    <row r="39" spans="2:6" ht="15.75" x14ac:dyDescent="0.25">
      <c r="B39" s="1067" t="b">
        <v>1</v>
      </c>
      <c r="C39" s="1089">
        <v>16</v>
      </c>
      <c r="D39" s="1202" t="s">
        <v>972</v>
      </c>
      <c r="E39" s="1062">
        <v>846</v>
      </c>
      <c r="F39" s="1062" t="s">
        <v>3850</v>
      </c>
    </row>
    <row r="40" spans="2:6" ht="15.75" x14ac:dyDescent="0.25">
      <c r="B40" s="1067" t="b">
        <v>1</v>
      </c>
      <c r="C40" s="1090">
        <v>17</v>
      </c>
      <c r="D40" s="1202" t="s">
        <v>992</v>
      </c>
      <c r="E40" s="1062">
        <v>882</v>
      </c>
      <c r="F40" s="1062" t="s">
        <v>3850</v>
      </c>
    </row>
    <row r="41" spans="2:6" ht="15.75" x14ac:dyDescent="0.25">
      <c r="B41" s="1067" t="b">
        <v>1</v>
      </c>
      <c r="C41" s="1089">
        <v>18</v>
      </c>
      <c r="D41" s="1202" t="s">
        <v>189</v>
      </c>
      <c r="E41" s="1062">
        <v>964</v>
      </c>
      <c r="F41" s="1062" t="s">
        <v>3850</v>
      </c>
    </row>
    <row r="42" spans="2:6" ht="15.75" x14ac:dyDescent="0.25">
      <c r="B42" s="1067" t="b">
        <v>1</v>
      </c>
      <c r="C42" s="1090">
        <v>19</v>
      </c>
      <c r="D42" s="1202" t="s">
        <v>279</v>
      </c>
      <c r="E42" s="1062">
        <v>1086</v>
      </c>
      <c r="F42" s="1062" t="s">
        <v>3850</v>
      </c>
    </row>
    <row r="43" spans="2:6" ht="15.75" x14ac:dyDescent="0.25">
      <c r="B43" s="1067" t="b">
        <v>1</v>
      </c>
      <c r="C43" s="1089">
        <v>20</v>
      </c>
      <c r="D43" s="1202" t="s">
        <v>616</v>
      </c>
      <c r="E43" s="1062">
        <v>1105</v>
      </c>
      <c r="F43" s="1062" t="s">
        <v>3850</v>
      </c>
    </row>
    <row r="44" spans="2:6" ht="15.75" x14ac:dyDescent="0.25">
      <c r="B44" s="1067" t="b">
        <v>1</v>
      </c>
      <c r="C44" s="1090">
        <v>21</v>
      </c>
      <c r="D44" s="1202" t="s">
        <v>281</v>
      </c>
      <c r="E44" s="1062">
        <v>1131</v>
      </c>
      <c r="F44" s="1062" t="s">
        <v>3850</v>
      </c>
    </row>
    <row r="45" spans="2:6" ht="15.75" x14ac:dyDescent="0.25">
      <c r="B45" s="1067" t="b">
        <v>1</v>
      </c>
      <c r="C45" s="1091">
        <v>22</v>
      </c>
      <c r="D45" s="1202" t="s">
        <v>664</v>
      </c>
      <c r="E45" s="1062">
        <v>1302</v>
      </c>
      <c r="F45" s="1062" t="s">
        <v>3850</v>
      </c>
    </row>
    <row r="46" spans="2:6" ht="15.75" x14ac:dyDescent="0.25">
      <c r="B46" s="1067" t="b">
        <v>1</v>
      </c>
      <c r="C46" s="1090">
        <v>23</v>
      </c>
      <c r="D46" s="1202" t="s">
        <v>1458</v>
      </c>
      <c r="E46" s="1062">
        <v>1330</v>
      </c>
      <c r="F46" s="1062" t="s">
        <v>3850</v>
      </c>
    </row>
    <row r="47" spans="2:6" ht="15.75" x14ac:dyDescent="0.25">
      <c r="B47" s="1067" t="b">
        <v>1</v>
      </c>
      <c r="C47" s="1089">
        <v>24</v>
      </c>
      <c r="D47" s="1202" t="s">
        <v>575</v>
      </c>
      <c r="E47" s="1062">
        <v>1342</v>
      </c>
      <c r="F47" s="1062" t="s">
        <v>3850</v>
      </c>
    </row>
    <row r="48" spans="2:6" ht="15.75" x14ac:dyDescent="0.25">
      <c r="B48" s="1067" t="b">
        <v>1</v>
      </c>
      <c r="C48" s="1090">
        <v>25</v>
      </c>
      <c r="D48" s="1202" t="s">
        <v>1494</v>
      </c>
      <c r="E48" s="1062">
        <v>1213</v>
      </c>
      <c r="F48" s="1062" t="s">
        <v>3850</v>
      </c>
    </row>
    <row r="49" spans="2:6" ht="15.75" x14ac:dyDescent="0.25">
      <c r="B49" s="1067" t="b">
        <v>1</v>
      </c>
      <c r="C49" s="1089">
        <v>26</v>
      </c>
      <c r="D49" s="1202" t="s">
        <v>103</v>
      </c>
      <c r="E49" s="1062">
        <v>1419</v>
      </c>
      <c r="F49" s="1062" t="s">
        <v>3850</v>
      </c>
    </row>
    <row r="50" spans="2:6" ht="15.75" x14ac:dyDescent="0.25">
      <c r="B50" s="1067" t="b">
        <v>1</v>
      </c>
      <c r="C50" s="1090">
        <v>27</v>
      </c>
      <c r="D50" s="1202" t="s">
        <v>843</v>
      </c>
      <c r="E50" s="1062">
        <v>1523</v>
      </c>
      <c r="F50" s="1062" t="s">
        <v>3850</v>
      </c>
    </row>
    <row r="51" spans="2:6" ht="15.75" x14ac:dyDescent="0.25">
      <c r="B51" s="1067" t="b">
        <v>1</v>
      </c>
      <c r="C51" s="1089">
        <v>28</v>
      </c>
      <c r="D51" s="1202" t="s">
        <v>277</v>
      </c>
      <c r="E51" s="1062">
        <v>1686</v>
      </c>
      <c r="F51" s="1062" t="s">
        <v>3850</v>
      </c>
    </row>
    <row r="52" spans="2:6" ht="15.75" x14ac:dyDescent="0.25">
      <c r="B52" s="1067" t="b">
        <v>1</v>
      </c>
      <c r="C52" s="1090">
        <v>29</v>
      </c>
      <c r="D52" s="1202" t="s">
        <v>1410</v>
      </c>
      <c r="E52" s="1062">
        <v>1875</v>
      </c>
      <c r="F52" s="1062" t="s">
        <v>3850</v>
      </c>
    </row>
    <row r="53" spans="2:6" ht="15.75" x14ac:dyDescent="0.25">
      <c r="B53" s="1067" t="b">
        <v>1</v>
      </c>
      <c r="C53" s="1089">
        <v>30</v>
      </c>
      <c r="D53" s="1202" t="s">
        <v>808</v>
      </c>
      <c r="E53" s="1062">
        <v>1915</v>
      </c>
      <c r="F53" s="1062" t="s">
        <v>3850</v>
      </c>
    </row>
    <row r="54" spans="2:6" ht="15.75" x14ac:dyDescent="0.25">
      <c r="B54" s="1067" t="b">
        <v>1</v>
      </c>
      <c r="C54" s="1088">
        <v>31</v>
      </c>
      <c r="D54" s="1202" t="s">
        <v>815</v>
      </c>
      <c r="E54" s="1062">
        <v>1949</v>
      </c>
      <c r="F54" s="1062" t="s">
        <v>3850</v>
      </c>
    </row>
    <row r="55" spans="2:6" ht="15.75" x14ac:dyDescent="0.25">
      <c r="B55" s="1067" t="b">
        <v>1</v>
      </c>
      <c r="C55" s="1089">
        <v>32</v>
      </c>
      <c r="D55" s="1202" t="s">
        <v>117</v>
      </c>
      <c r="E55" s="1062">
        <v>2001</v>
      </c>
      <c r="F55" s="1062" t="s">
        <v>3850</v>
      </c>
    </row>
    <row r="56" spans="2:6" ht="15.75" x14ac:dyDescent="0.25">
      <c r="B56" s="1067" t="b">
        <v>1</v>
      </c>
      <c r="C56" s="1088">
        <v>33</v>
      </c>
      <c r="D56" s="1202" t="s">
        <v>386</v>
      </c>
      <c r="E56" s="1062">
        <v>2047</v>
      </c>
      <c r="F56" s="1062" t="s">
        <v>3850</v>
      </c>
    </row>
    <row r="57" spans="2:6" ht="15.75" x14ac:dyDescent="0.25">
      <c r="B57" s="1067" t="b">
        <v>1</v>
      </c>
      <c r="C57" s="1091">
        <v>34</v>
      </c>
      <c r="D57" s="1202" t="s">
        <v>1623</v>
      </c>
      <c r="E57" s="1062">
        <v>2335</v>
      </c>
      <c r="F57" s="1062" t="s">
        <v>3850</v>
      </c>
    </row>
    <row r="58" spans="2:6" ht="15.75" x14ac:dyDescent="0.25">
      <c r="B58" s="1067" t="b">
        <v>1</v>
      </c>
      <c r="C58" s="1088">
        <v>35</v>
      </c>
      <c r="D58" s="1202" t="s">
        <v>120</v>
      </c>
      <c r="E58" s="1062">
        <v>2405</v>
      </c>
      <c r="F58" s="1062" t="s">
        <v>3850</v>
      </c>
    </row>
    <row r="59" spans="2:6" ht="15.75" x14ac:dyDescent="0.25">
      <c r="B59" s="1067" t="b">
        <v>1</v>
      </c>
      <c r="C59" s="1091">
        <v>36</v>
      </c>
      <c r="D59" s="1202" t="s">
        <v>1045</v>
      </c>
      <c r="E59" s="1062">
        <v>2428</v>
      </c>
      <c r="F59" s="1062" t="s">
        <v>3850</v>
      </c>
    </row>
    <row r="60" spans="2:6" ht="15.75" x14ac:dyDescent="0.25">
      <c r="B60" s="1067" t="b">
        <v>1</v>
      </c>
      <c r="C60" s="1088">
        <v>37</v>
      </c>
      <c r="D60" s="1202" t="s">
        <v>1031</v>
      </c>
      <c r="E60" s="1062">
        <v>2450</v>
      </c>
      <c r="F60" s="1062" t="s">
        <v>3850</v>
      </c>
    </row>
    <row r="61" spans="2:6" ht="15.75" x14ac:dyDescent="0.25">
      <c r="B61" s="1067" t="b">
        <v>1</v>
      </c>
      <c r="C61" s="1091">
        <v>38</v>
      </c>
      <c r="D61" s="1202" t="s">
        <v>1637</v>
      </c>
      <c r="E61" s="1062">
        <v>2498</v>
      </c>
      <c r="F61" s="1062" t="s">
        <v>3850</v>
      </c>
    </row>
    <row r="62" spans="2:6" ht="15.75" x14ac:dyDescent="0.25">
      <c r="B62" s="1067" t="b">
        <v>1</v>
      </c>
      <c r="C62" s="1088">
        <v>39</v>
      </c>
      <c r="D62" s="1202" t="s">
        <v>387</v>
      </c>
      <c r="E62" s="1062">
        <v>2531</v>
      </c>
      <c r="F62" s="1062" t="s">
        <v>3850</v>
      </c>
    </row>
    <row r="63" spans="2:6" ht="15.75" x14ac:dyDescent="0.25">
      <c r="B63" s="1067" t="b">
        <v>1</v>
      </c>
      <c r="C63" s="1091">
        <v>40</v>
      </c>
      <c r="D63" s="1202" t="s">
        <v>125</v>
      </c>
      <c r="E63" s="1062">
        <v>2694</v>
      </c>
      <c r="F63" s="1062" t="s">
        <v>3850</v>
      </c>
    </row>
    <row r="64" spans="2:6" ht="15.75" x14ac:dyDescent="0.25">
      <c r="B64" s="1067" t="b">
        <v>1</v>
      </c>
      <c r="C64" s="1090">
        <v>41</v>
      </c>
      <c r="D64" s="1202" t="s">
        <v>1067</v>
      </c>
      <c r="E64" s="1062">
        <v>2725</v>
      </c>
      <c r="F64" s="1062" t="s">
        <v>3850</v>
      </c>
    </row>
    <row r="65" spans="2:6" ht="15.75" x14ac:dyDescent="0.25">
      <c r="B65" s="1067" t="b">
        <v>1</v>
      </c>
      <c r="C65" s="1091">
        <v>42</v>
      </c>
      <c r="D65" s="1202" t="s">
        <v>1072</v>
      </c>
      <c r="E65" s="1062">
        <v>2748</v>
      </c>
      <c r="F65" s="1062" t="s">
        <v>3850</v>
      </c>
    </row>
    <row r="66" spans="2:6" ht="15.75" x14ac:dyDescent="0.25">
      <c r="B66" s="1067" t="b">
        <v>1</v>
      </c>
      <c r="C66" s="1088">
        <v>43</v>
      </c>
      <c r="D66" s="1202" t="s">
        <v>1628</v>
      </c>
      <c r="E66" s="1062">
        <v>2807</v>
      </c>
      <c r="F66" s="1062" t="s">
        <v>3850</v>
      </c>
    </row>
    <row r="67" spans="2:6" ht="15.75" x14ac:dyDescent="0.25">
      <c r="B67" s="1067" t="b">
        <v>1</v>
      </c>
      <c r="C67" s="1091">
        <v>44</v>
      </c>
      <c r="D67" s="1202" t="s">
        <v>646</v>
      </c>
      <c r="E67" s="1062">
        <v>2835</v>
      </c>
      <c r="F67" s="1062" t="s">
        <v>3850</v>
      </c>
    </row>
    <row r="68" spans="2:6" ht="15.75" x14ac:dyDescent="0.25">
      <c r="B68" s="1067" t="b">
        <v>1</v>
      </c>
      <c r="C68" s="1090">
        <v>45</v>
      </c>
      <c r="D68" s="1202" t="s">
        <v>1629</v>
      </c>
      <c r="E68" s="1062">
        <v>2849</v>
      </c>
      <c r="F68" s="1062" t="s">
        <v>3850</v>
      </c>
    </row>
    <row r="69" spans="2:6" ht="15.75" x14ac:dyDescent="0.25">
      <c r="B69" s="1067" t="b">
        <v>1</v>
      </c>
      <c r="C69" s="1091">
        <v>46</v>
      </c>
      <c r="D69" s="1202" t="s">
        <v>648</v>
      </c>
      <c r="E69" s="1062">
        <v>2878</v>
      </c>
      <c r="F69" s="1062" t="s">
        <v>3850</v>
      </c>
    </row>
    <row r="70" spans="2:6" ht="15.75" x14ac:dyDescent="0.25">
      <c r="B70" s="1067" t="b">
        <v>1</v>
      </c>
      <c r="C70" s="1090">
        <v>47</v>
      </c>
      <c r="D70" s="1203" t="s">
        <v>1079</v>
      </c>
      <c r="E70" s="1062">
        <v>2912</v>
      </c>
      <c r="F70" s="1062" t="s">
        <v>3850</v>
      </c>
    </row>
    <row r="71" spans="2:6" ht="15.75" x14ac:dyDescent="0.25">
      <c r="B71" s="1067" t="b">
        <v>1</v>
      </c>
      <c r="C71" s="1091">
        <v>48</v>
      </c>
      <c r="D71" s="1203" t="s">
        <v>150</v>
      </c>
      <c r="E71" s="1062">
        <v>2922</v>
      </c>
      <c r="F71" s="1062" t="s">
        <v>3850</v>
      </c>
    </row>
    <row r="72" spans="2:6" ht="15.75" x14ac:dyDescent="0.25">
      <c r="B72" s="1067" t="b">
        <v>1</v>
      </c>
      <c r="C72" s="1090">
        <v>49</v>
      </c>
      <c r="D72" s="1202" t="s">
        <v>1085</v>
      </c>
      <c r="E72" s="1062">
        <v>3009</v>
      </c>
      <c r="F72" s="1062" t="s">
        <v>3850</v>
      </c>
    </row>
    <row r="73" spans="2:6" ht="15.75" x14ac:dyDescent="0.25">
      <c r="B73" s="1067" t="b">
        <v>1</v>
      </c>
      <c r="C73" s="1089">
        <v>50</v>
      </c>
      <c r="D73" s="1202" t="s">
        <v>702</v>
      </c>
      <c r="E73" s="1062">
        <v>3032</v>
      </c>
      <c r="F73" s="1062" t="s">
        <v>3850</v>
      </c>
    </row>
    <row r="74" spans="2:6" ht="15.75" x14ac:dyDescent="0.25">
      <c r="B74" s="1067" t="b">
        <v>1</v>
      </c>
      <c r="C74" s="1090">
        <v>51</v>
      </c>
      <c r="D74" s="1202" t="s">
        <v>215</v>
      </c>
      <c r="E74" s="1062">
        <v>3117</v>
      </c>
      <c r="F74" s="1062" t="s">
        <v>3850</v>
      </c>
    </row>
    <row r="75" spans="2:6" ht="15.75" x14ac:dyDescent="0.25">
      <c r="B75" s="1067" t="b">
        <v>1</v>
      </c>
      <c r="C75" s="1089">
        <v>52</v>
      </c>
      <c r="D75" s="1202" t="s">
        <v>178</v>
      </c>
      <c r="E75" s="1062">
        <v>3549</v>
      </c>
      <c r="F75" s="1062" t="s">
        <v>3850</v>
      </c>
    </row>
    <row r="76" spans="2:6" ht="15.75" x14ac:dyDescent="0.25">
      <c r="B76" s="1067" t="b">
        <v>1</v>
      </c>
      <c r="C76" s="1090">
        <v>53</v>
      </c>
      <c r="D76" s="1203" t="s">
        <v>1542</v>
      </c>
      <c r="E76" s="1062">
        <v>3821</v>
      </c>
      <c r="F76" s="1062" t="s">
        <v>3850</v>
      </c>
    </row>
    <row r="77" spans="2:6" ht="15.75" x14ac:dyDescent="0.25">
      <c r="B77" s="1067" t="b">
        <v>1</v>
      </c>
      <c r="C77" s="1091">
        <v>54</v>
      </c>
      <c r="D77" s="1203" t="s">
        <v>650</v>
      </c>
      <c r="E77" s="1062">
        <v>3840</v>
      </c>
      <c r="F77" s="1062" t="s">
        <v>3850</v>
      </c>
    </row>
    <row r="78" spans="2:6" ht="15.75" x14ac:dyDescent="0.25">
      <c r="B78" s="1067" t="b">
        <v>1</v>
      </c>
      <c r="C78" s="1090">
        <v>55</v>
      </c>
      <c r="D78" s="1202" t="s">
        <v>1119</v>
      </c>
      <c r="E78" s="1062">
        <v>3885</v>
      </c>
      <c r="F78" s="1062" t="s">
        <v>3850</v>
      </c>
    </row>
    <row r="79" spans="2:6" ht="15.75" x14ac:dyDescent="0.25">
      <c r="B79" s="1067" t="b">
        <v>1</v>
      </c>
      <c r="C79" s="1089">
        <v>56</v>
      </c>
      <c r="D79" s="1202" t="s">
        <v>1120</v>
      </c>
      <c r="E79" s="1062">
        <v>3893</v>
      </c>
      <c r="F79" s="1062" t="s">
        <v>3850</v>
      </c>
    </row>
    <row r="80" spans="2:6" ht="15.75" x14ac:dyDescent="0.25">
      <c r="B80" s="1067" t="b">
        <v>1</v>
      </c>
      <c r="C80" s="1090">
        <v>57</v>
      </c>
      <c r="D80" s="1202" t="s">
        <v>188</v>
      </c>
      <c r="E80" s="1062">
        <v>3939</v>
      </c>
      <c r="F80" s="1062" t="s">
        <v>3850</v>
      </c>
    </row>
    <row r="81" spans="2:6" ht="15.75" x14ac:dyDescent="0.25">
      <c r="B81" s="1067" t="b">
        <v>1</v>
      </c>
      <c r="C81" s="1089">
        <v>58</v>
      </c>
      <c r="D81" s="1203" t="s">
        <v>341</v>
      </c>
      <c r="E81" s="1062">
        <v>3953</v>
      </c>
      <c r="F81" s="1062" t="s">
        <v>3850</v>
      </c>
    </row>
    <row r="82" spans="2:6" ht="15.75" x14ac:dyDescent="0.25">
      <c r="B82" s="1067" t="b">
        <v>1</v>
      </c>
      <c r="C82" s="1090">
        <v>59</v>
      </c>
      <c r="D82" s="1203" t="s">
        <v>2561</v>
      </c>
      <c r="E82" s="1062">
        <v>4024</v>
      </c>
      <c r="F82" s="1062" t="s">
        <v>3850</v>
      </c>
    </row>
    <row r="83" spans="2:6" ht="15.75" x14ac:dyDescent="0.25">
      <c r="B83" s="1067" t="b">
        <v>1</v>
      </c>
      <c r="C83" s="1089">
        <v>60</v>
      </c>
      <c r="D83" s="1203" t="s">
        <v>1150</v>
      </c>
      <c r="E83" s="1062">
        <v>4210</v>
      </c>
      <c r="F83" s="1062" t="s">
        <v>3850</v>
      </c>
    </row>
    <row r="84" spans="2:6" ht="15.75" x14ac:dyDescent="0.25">
      <c r="B84" s="1067" t="b">
        <v>1</v>
      </c>
      <c r="C84" s="1090">
        <v>61</v>
      </c>
      <c r="D84" s="1203" t="s">
        <v>495</v>
      </c>
      <c r="E84" s="1062">
        <v>4267</v>
      </c>
      <c r="F84" s="1062" t="s">
        <v>3850</v>
      </c>
    </row>
    <row r="85" spans="2:6" ht="15.75" x14ac:dyDescent="0.25">
      <c r="B85" s="1067" t="b">
        <v>1</v>
      </c>
      <c r="C85" s="1089">
        <v>62</v>
      </c>
      <c r="D85" s="1203" t="s">
        <v>1245</v>
      </c>
      <c r="E85" s="1062">
        <v>7</v>
      </c>
      <c r="F85" s="1062" t="s">
        <v>3851</v>
      </c>
    </row>
    <row r="86" spans="2:6" ht="15.75" x14ac:dyDescent="0.25">
      <c r="B86" s="1067" t="b">
        <v>1</v>
      </c>
      <c r="C86" s="1090">
        <v>63</v>
      </c>
      <c r="D86" s="1203" t="s">
        <v>703</v>
      </c>
      <c r="E86" s="1062">
        <v>101</v>
      </c>
      <c r="F86" s="1062" t="s">
        <v>3851</v>
      </c>
    </row>
    <row r="87" spans="2:6" ht="15.75" x14ac:dyDescent="0.25">
      <c r="B87" s="1067" t="b">
        <v>1</v>
      </c>
      <c r="C87" s="1089">
        <v>64</v>
      </c>
      <c r="D87" s="1203" t="s">
        <v>62</v>
      </c>
      <c r="E87" s="1062">
        <v>203</v>
      </c>
      <c r="F87" s="1062" t="s">
        <v>3851</v>
      </c>
    </row>
    <row r="88" spans="2:6" ht="15.75" x14ac:dyDescent="0.25">
      <c r="B88" s="1067" t="b">
        <v>1</v>
      </c>
      <c r="C88" s="1090">
        <v>65</v>
      </c>
      <c r="D88" s="1203" t="s">
        <v>1260</v>
      </c>
      <c r="E88" s="1062">
        <v>302</v>
      </c>
      <c r="F88" s="1062" t="s">
        <v>3851</v>
      </c>
    </row>
    <row r="89" spans="2:6" ht="15.75" x14ac:dyDescent="0.25">
      <c r="B89" s="1067" t="b">
        <v>1</v>
      </c>
      <c r="C89" s="1090">
        <v>66</v>
      </c>
      <c r="D89" s="1203" t="s">
        <v>63</v>
      </c>
      <c r="E89" s="1062">
        <v>332</v>
      </c>
      <c r="F89" s="1062" t="s">
        <v>3851</v>
      </c>
    </row>
    <row r="90" spans="2:6" ht="15.75" x14ac:dyDescent="0.25">
      <c r="B90" s="1067" t="b">
        <v>1</v>
      </c>
      <c r="C90" s="1089">
        <v>67</v>
      </c>
      <c r="D90" s="1203" t="s">
        <v>329</v>
      </c>
      <c r="E90" s="1062">
        <v>340</v>
      </c>
      <c r="F90" s="1062" t="s">
        <v>3851</v>
      </c>
    </row>
    <row r="91" spans="2:6" ht="15.75" x14ac:dyDescent="0.25">
      <c r="B91" s="1067" t="b">
        <v>1</v>
      </c>
      <c r="C91" s="1090">
        <v>68</v>
      </c>
      <c r="D91" s="1203" t="s">
        <v>330</v>
      </c>
      <c r="E91" s="1062">
        <v>346</v>
      </c>
      <c r="F91" s="1062" t="s">
        <v>3851</v>
      </c>
    </row>
    <row r="92" spans="2:6" ht="15.75" x14ac:dyDescent="0.25">
      <c r="B92" s="1067" t="b">
        <v>1</v>
      </c>
      <c r="C92" s="1089">
        <v>69</v>
      </c>
      <c r="D92" s="1203" t="s">
        <v>1333</v>
      </c>
      <c r="E92" s="1062">
        <v>360</v>
      </c>
      <c r="F92" s="1062" t="s">
        <v>3851</v>
      </c>
    </row>
    <row r="93" spans="2:6" ht="15.75" x14ac:dyDescent="0.25">
      <c r="B93" s="1067" t="b">
        <v>1</v>
      </c>
      <c r="C93" s="1090">
        <v>70</v>
      </c>
      <c r="D93" s="1203" t="s">
        <v>4092</v>
      </c>
      <c r="E93" s="1062">
        <v>365</v>
      </c>
      <c r="F93" s="1062" t="s">
        <v>3851</v>
      </c>
    </row>
    <row r="94" spans="2:6" ht="15.75" x14ac:dyDescent="0.25">
      <c r="B94" s="1067" t="b">
        <v>1</v>
      </c>
      <c r="C94" s="1092"/>
      <c r="D94" s="1204" t="s">
        <v>3859</v>
      </c>
    </row>
    <row r="95" spans="2:6" ht="15.75" x14ac:dyDescent="0.25">
      <c r="B95" s="1067" t="b">
        <v>1</v>
      </c>
      <c r="C95" s="1092"/>
      <c r="D95" s="1204" t="s">
        <v>668</v>
      </c>
    </row>
    <row r="96" spans="2:6" ht="15.75" x14ac:dyDescent="0.25">
      <c r="B96" s="1067" t="b">
        <v>1</v>
      </c>
      <c r="C96" s="1092"/>
      <c r="D96" s="1204" t="s">
        <v>197</v>
      </c>
    </row>
    <row r="97" spans="2:4" ht="15.75" x14ac:dyDescent="0.25">
      <c r="B97" s="1067" t="b">
        <v>1</v>
      </c>
      <c r="C97" s="1092"/>
      <c r="D97" s="1204" t="s">
        <v>201</v>
      </c>
    </row>
    <row r="98" spans="2:4" ht="15.75" x14ac:dyDescent="0.25">
      <c r="B98" s="1067" t="b">
        <v>1</v>
      </c>
      <c r="C98" s="1092"/>
      <c r="D98" s="1204" t="s">
        <v>203</v>
      </c>
    </row>
    <row r="99" spans="2:4" ht="15.75" x14ac:dyDescent="0.25">
      <c r="B99" s="1067" t="b">
        <v>1</v>
      </c>
      <c r="C99" s="1092"/>
      <c r="D99" s="1204" t="s">
        <v>216</v>
      </c>
    </row>
    <row r="100" spans="2:4" ht="15.75" x14ac:dyDescent="0.25">
      <c r="B100" s="1067" t="b">
        <v>1</v>
      </c>
      <c r="C100" s="1092"/>
      <c r="D100" s="1204" t="s">
        <v>226</v>
      </c>
    </row>
    <row r="101" spans="2:4" ht="15.75" x14ac:dyDescent="0.25">
      <c r="B101" s="1067" t="b">
        <v>1</v>
      </c>
      <c r="C101" s="1092"/>
      <c r="D101" s="1204" t="s">
        <v>380</v>
      </c>
    </row>
    <row r="104" spans="2:4" ht="15.75" x14ac:dyDescent="0.25">
      <c r="B104" s="1067" t="b">
        <v>0</v>
      </c>
      <c r="C104" s="1380">
        <v>79</v>
      </c>
      <c r="D104" s="1379" t="s">
        <v>4138</v>
      </c>
    </row>
  </sheetData>
  <hyperlinks>
    <hyperlink ref="D3" location="Report1" display="INTRODUCTION"/>
    <hyperlink ref="D4" location="Report2" display="KEY FINANCIAL INDICATORS"/>
    <hyperlink ref="D5" location="Report3" display="OPERATING RESULTS"/>
    <hyperlink ref="D6" location="Report4" display="FINANCING OF CAPITAL EXPENDITURE"/>
    <hyperlink ref="D7" location="Report5" display="RECONCILIATION OF BUDGET TO ACTUAL"/>
    <hyperlink ref="D8" location="Report6" display="ACCUMULATED SURPLUS"/>
    <hyperlink ref="D9" location="Report7" display="LONG-TERM LIABILITIES"/>
    <hyperlink ref="D10" location="Report8" display="RETIREMENT BENEFIT LIABILITIES"/>
    <hyperlink ref="D11" location="Report9" display="NON-CURRENT PROVISIONS"/>
    <hyperlink ref="D12" location="Report10" display="CURRENT LIABILITIES"/>
    <hyperlink ref="D13" location="Report11" display="PROPERTY, PLANT AND EQUIPMENT"/>
    <hyperlink ref="D14" location="Report12" display="INTANGIBLE ASSETS"/>
    <hyperlink ref="D15" location="Report13" display="INVESTMENT PROPERTIES"/>
    <hyperlink ref="D16" location="Report14" display="NON-CURRENT INVESTMENTS"/>
    <hyperlink ref="D17" location="Report15" display="LONG-TERM RECEIVABLES"/>
    <hyperlink ref="D18" location="Report16" display="CURRENT ASSETS"/>
    <hyperlink ref="D19" location="Report17" display="INTER-GOVERNMENTAL GRANTS"/>
    <hyperlink ref="D20" location="Report18" display="EVENTS AFTER THE REPORTING DATE"/>
    <hyperlink ref="D21" location="Report20" display="EXPRESSION OF APPRECIATION"/>
    <hyperlink ref="D24" location="Note1" display="GENERAL INFORMATION"/>
    <hyperlink ref="D25" location="Note2" display="INVENTORY"/>
    <hyperlink ref="D26" location="Note3" display="NON-CURRENT ASSETS HELD-FOR-SALE"/>
    <hyperlink ref="D27" location="Note4" display="TRADE RECEIVABLES FROM EXCHANGE TRANSACTIONS"/>
    <hyperlink ref="D28" location="Note5" display="TRADE RECEIVABLES FROM NON-EXCHANGE TRANSACTIONS"/>
    <hyperlink ref="D29" location="Note6" display="VAT RECEIVABLE"/>
    <hyperlink ref="D30" location="Note7" display="BANK, CASH AND CASH EQUIVALENTS"/>
    <hyperlink ref="D31" location="Note8" display="OPERATING LEASE ASSETS / RECEIVABLES"/>
    <hyperlink ref="D32" location="Note9" display="CURRENT PORTION OF LONG-TERM RECEIVABLES"/>
    <hyperlink ref="D33" location="Note10" display="PROPERTY, PLANT AND EQUIPMENT (Continued)"/>
    <hyperlink ref="D34" location="Note11" display="INTANGIBLE ASSETS"/>
    <hyperlink ref="D35" location="Note12" display="INVESTMENT PROPERTY"/>
    <hyperlink ref="D37" location="Note13" display="BIOLOGICAL ASSETS"/>
    <hyperlink ref="D38" location="Note14" display="NON-CURRENT INVESTMENTS"/>
    <hyperlink ref="D39" location="Note15" display="INVESTMENTS IN ASSOCIATES"/>
    <hyperlink ref="D40" location="Note16" display="FINANCE LEASE RECEIVABLES"/>
    <hyperlink ref="D41" location="Note17" display="LONG-TERM RECEIVABLES"/>
    <hyperlink ref="D42" location="Note18" display="CONSUMER DEPOSITS"/>
    <hyperlink ref="D43" location="Note19" display="PROVISIONS"/>
    <hyperlink ref="D44" location="Note20" display="CREDITORS"/>
    <hyperlink ref="D45" location="Note21" display="UNSPENT CONDITIONAL GRANTS AND RECEIPTS"/>
    <hyperlink ref="D46" location="Note22" display="VAT PAYABLE"/>
    <hyperlink ref="D47" location="Note23" display="SHORT-TERM LOANS"/>
    <hyperlink ref="D48" location="Note24" display="OPERATING LEASE LIABILITIES / PAYABLES"/>
    <hyperlink ref="D49" location="Note25" display="LONG-TERM LIABILITIES"/>
    <hyperlink ref="D50" location="Note26" display="RETIREMENT BENEFIT LIABILITIES"/>
    <hyperlink ref="D51" location="Note27" display="NON-CURRENT PROVISIONS"/>
    <hyperlink ref="D52" location="Note28" display="STATUTORY FUNDS"/>
    <hyperlink ref="D53" location="Note29" display="RESERVES"/>
    <hyperlink ref="D54" location="Note30" display="ACCUMULATED SURPLUS"/>
    <hyperlink ref="D55" location="Note31" display="PROPERTY RATES"/>
    <hyperlink ref="D56" location="Note32" display="GOVERNMENT GRANTS AND SUBSIDIES"/>
    <hyperlink ref="D57" location="Note33" display="PUBLIC CONTRIBUTIONS AND DONATIONS"/>
    <hyperlink ref="D58" location="Note34" display="SERVICE CHARGES"/>
    <hyperlink ref="D59" location="Note35" display="RENTAL OF FACILITIES AND EQUIPMENT"/>
    <hyperlink ref="D60" location="Note36" display="INTEREST EARNED"/>
    <hyperlink ref="D61" location="Note37" display="OTHER REVENUE"/>
    <hyperlink ref="D62" location="Note38" display="EMPLOYEE RELATED COSTS"/>
    <hyperlink ref="D63" location="Note39" display="REMUNERATION OF COUNCILLORS"/>
    <hyperlink ref="D64" location="Note40" display="DEPRECIATION AND AMORTISATION"/>
    <hyperlink ref="D65" location="Note41" display="IMPAIRMENT LOSSES"/>
    <hyperlink ref="D66" location="Note42" display="FINANCE COSTS"/>
    <hyperlink ref="D67" location="Note43" display="BULK PURCHASES"/>
    <hyperlink ref="D68" location="Note44" display="CONTRACTED SERVICES"/>
    <hyperlink ref="D69" location="Note45" display="GRANTS AND SUBSIDIES PAID"/>
    <hyperlink ref="D70" location="Note46" display="RESEARCH AND DEVELOPMENT COSTS"/>
    <hyperlink ref="D71" location="Note47" display="GENERAL EXPENSES"/>
    <hyperlink ref="D72" location="Note48" display="OTHER GAINS AND LOSSES"/>
    <hyperlink ref="D73" location="Note49" display="DISCONTINUED OPERATIONS"/>
    <hyperlink ref="D74" location="Note50" display="CHANGE IN ACCOUNTING POLICY"/>
    <hyperlink ref="D75" location="Note51" display="CORRECTION OF ERROR"/>
    <hyperlink ref="D76" location="Note52" display="CHANGE IN ACCOUNTING ESTIMATES"/>
    <hyperlink ref="D77" location="Note53" display="CASH GENERATED BY OPERATIONS"/>
    <hyperlink ref="D78" location="Note54" display="NON-CASH INVESTING AND FINANCING TRANSACTIONS"/>
    <hyperlink ref="D79" location="Note55" display="FINANCING FACILITIES"/>
    <hyperlink ref="D80" location="Note56" display="UTILISATION OF LONG-TERM LIABILITIES RECONCILIATION"/>
    <hyperlink ref="D81" location="Note57" display="UNAUTHORISED, IRREGULAR, FRUITLESS AND WASTEFUL EXPENDITURE DISALLOWED"/>
    <hyperlink ref="D82" location="Note58" display="ADDITIONAL DISCLOSURES IN TERMS OF MUNICIPAL FINANCE MANAGEMENT ACT"/>
    <hyperlink ref="D83" location="Note59" display="COMMITMENTS FOR EXPENDITURE"/>
    <hyperlink ref="D84" location="Note61" display="FINANCIAL INSTRUMENTS"/>
    <hyperlink ref="D85" location="Note62" display="MULTI-EMPLOYER RETIREMENT BENEFIT INFORMATION"/>
    <hyperlink ref="D86" location="Note63" display="RELATED PARTY TRANSACTIONS"/>
    <hyperlink ref="D87" location="Note64" display="CONTINGENT LIABILITIES"/>
    <hyperlink ref="D88" location="Note65" display="CONTINGENT ASSETS"/>
    <hyperlink ref="D89" location="Note67" display="IN-KIND DONATIONS AND ASSISTANCE"/>
    <hyperlink ref="D90" location="Note68" display="PRIVATE PUBLIC PARTNERSHIPS"/>
    <hyperlink ref="D91" location="Note69" display="EVENTS AFTER THE REPORTING DATE "/>
    <hyperlink ref="D92" location="Note70" display="COMPARATIVE FIGURES"/>
    <hyperlink ref="D93" location="Note71" display="STANDARDS AND INTERPRETATIONS IN ISSUE NOT YET ADOPTED"/>
    <hyperlink ref="D94" location="Note10" display="PPE Note"/>
    <hyperlink ref="D95" location="AppendixA" display="APPENDIX A"/>
    <hyperlink ref="D96" location="AppendixB" display="APPENDIX B"/>
    <hyperlink ref="D97" location="AppendixC" display="APPENDIX C"/>
    <hyperlink ref="D98" location="AppendixD" display="APPENDIX D"/>
    <hyperlink ref="D99" location="AppendixE1" display="APPENDIX E(1)"/>
    <hyperlink ref="D100" location="AppendixE2" display="APPENDIX E(2)"/>
    <hyperlink ref="D101" location="AppendixF" display="APPENDIX F"/>
    <hyperlink ref="D36" location="NOTE12B" display="HERITAGE ASSETS"/>
  </hyperlinks>
  <pageMargins left="0.7" right="0.7" top="0.75" bottom="0.75" header="0.3" footer="0.3"/>
  <pageSetup paperSize="9"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macro="[0]!Sheet19.RenumberReport">
                <anchor moveWithCells="1">
                  <from>
                    <xdr:col>0</xdr:col>
                    <xdr:colOff>180975</xdr:colOff>
                    <xdr:row>4</xdr:row>
                    <xdr:rowOff>9525</xdr:rowOff>
                  </from>
                  <to>
                    <xdr:col>2</xdr:col>
                    <xdr:colOff>104775</xdr:colOff>
                    <xdr:row>5</xdr:row>
                    <xdr:rowOff>28575</xdr:rowOff>
                  </to>
                </anchor>
              </controlPr>
            </control>
          </mc:Choice>
        </mc:AlternateContent>
        <mc:AlternateContent xmlns:mc="http://schemas.openxmlformats.org/markup-compatibility/2006">
          <mc:Choice Requires="x14">
            <control shapeId="45058" r:id="rId5" name="Check Box 2">
              <controlPr defaultSize="0" autoFill="0" autoLine="0" autoPict="0" macro="[0]!Sheet19.RenumberReport">
                <anchor moveWithCells="1">
                  <from>
                    <xdr:col>0</xdr:col>
                    <xdr:colOff>180975</xdr:colOff>
                    <xdr:row>5</xdr:row>
                    <xdr:rowOff>9525</xdr:rowOff>
                  </from>
                  <to>
                    <xdr:col>2</xdr:col>
                    <xdr:colOff>104775</xdr:colOff>
                    <xdr:row>6</xdr:row>
                    <xdr:rowOff>28575</xdr:rowOff>
                  </to>
                </anchor>
              </controlPr>
            </control>
          </mc:Choice>
        </mc:AlternateContent>
        <mc:AlternateContent xmlns:mc="http://schemas.openxmlformats.org/markup-compatibility/2006">
          <mc:Choice Requires="x14">
            <control shapeId="45059" r:id="rId6" name="Check Box 3">
              <controlPr defaultSize="0" autoFill="0" autoLine="0" autoPict="0" macro="[0]!Sheet19.RenumberReport">
                <anchor moveWithCells="1">
                  <from>
                    <xdr:col>0</xdr:col>
                    <xdr:colOff>180975</xdr:colOff>
                    <xdr:row>6</xdr:row>
                    <xdr:rowOff>9525</xdr:rowOff>
                  </from>
                  <to>
                    <xdr:col>2</xdr:col>
                    <xdr:colOff>104775</xdr:colOff>
                    <xdr:row>7</xdr:row>
                    <xdr:rowOff>28575</xdr:rowOff>
                  </to>
                </anchor>
              </controlPr>
            </control>
          </mc:Choice>
        </mc:AlternateContent>
        <mc:AlternateContent xmlns:mc="http://schemas.openxmlformats.org/markup-compatibility/2006">
          <mc:Choice Requires="x14">
            <control shapeId="45060" r:id="rId7" name="Check Box 4">
              <controlPr defaultSize="0" autoFill="0" autoLine="0" autoPict="0" macro="[0]!Sheet19.RenumberReport">
                <anchor moveWithCells="1">
                  <from>
                    <xdr:col>0</xdr:col>
                    <xdr:colOff>180975</xdr:colOff>
                    <xdr:row>7</xdr:row>
                    <xdr:rowOff>9525</xdr:rowOff>
                  </from>
                  <to>
                    <xdr:col>2</xdr:col>
                    <xdr:colOff>104775</xdr:colOff>
                    <xdr:row>8</xdr:row>
                    <xdr:rowOff>28575</xdr:rowOff>
                  </to>
                </anchor>
              </controlPr>
            </control>
          </mc:Choice>
        </mc:AlternateContent>
        <mc:AlternateContent xmlns:mc="http://schemas.openxmlformats.org/markup-compatibility/2006">
          <mc:Choice Requires="x14">
            <control shapeId="45061" r:id="rId8" name="Check Box 5">
              <controlPr defaultSize="0" autoFill="0" autoLine="0" autoPict="0" macro="[0]!Sheet19.RenumberReport">
                <anchor moveWithCells="1">
                  <from>
                    <xdr:col>0</xdr:col>
                    <xdr:colOff>180975</xdr:colOff>
                    <xdr:row>8</xdr:row>
                    <xdr:rowOff>0</xdr:rowOff>
                  </from>
                  <to>
                    <xdr:col>2</xdr:col>
                    <xdr:colOff>104775</xdr:colOff>
                    <xdr:row>9</xdr:row>
                    <xdr:rowOff>19050</xdr:rowOff>
                  </to>
                </anchor>
              </controlPr>
            </control>
          </mc:Choice>
        </mc:AlternateContent>
        <mc:AlternateContent xmlns:mc="http://schemas.openxmlformats.org/markup-compatibility/2006">
          <mc:Choice Requires="x14">
            <control shapeId="45062" r:id="rId9" name="Check Box 6">
              <controlPr defaultSize="0" autoFill="0" autoLine="0" autoPict="0" macro="[0]!Sheet19.RenumberReport">
                <anchor moveWithCells="1">
                  <from>
                    <xdr:col>0</xdr:col>
                    <xdr:colOff>180975</xdr:colOff>
                    <xdr:row>9</xdr:row>
                    <xdr:rowOff>0</xdr:rowOff>
                  </from>
                  <to>
                    <xdr:col>2</xdr:col>
                    <xdr:colOff>104775</xdr:colOff>
                    <xdr:row>10</xdr:row>
                    <xdr:rowOff>19050</xdr:rowOff>
                  </to>
                </anchor>
              </controlPr>
            </control>
          </mc:Choice>
        </mc:AlternateContent>
        <mc:AlternateContent xmlns:mc="http://schemas.openxmlformats.org/markup-compatibility/2006">
          <mc:Choice Requires="x14">
            <control shapeId="45063" r:id="rId10" name="Check Box 7">
              <controlPr defaultSize="0" autoFill="0" autoLine="0" autoPict="0" macro="[0]!Sheet19.RenumberReport">
                <anchor moveWithCells="1">
                  <from>
                    <xdr:col>0</xdr:col>
                    <xdr:colOff>180975</xdr:colOff>
                    <xdr:row>10</xdr:row>
                    <xdr:rowOff>0</xdr:rowOff>
                  </from>
                  <to>
                    <xdr:col>2</xdr:col>
                    <xdr:colOff>104775</xdr:colOff>
                    <xdr:row>11</xdr:row>
                    <xdr:rowOff>19050</xdr:rowOff>
                  </to>
                </anchor>
              </controlPr>
            </control>
          </mc:Choice>
        </mc:AlternateContent>
        <mc:AlternateContent xmlns:mc="http://schemas.openxmlformats.org/markup-compatibility/2006">
          <mc:Choice Requires="x14">
            <control shapeId="45064" r:id="rId11" name="Check Box 8">
              <controlPr defaultSize="0" autoFill="0" autoLine="0" autoPict="0" macro="[0]!Sheet19.RenumberReport">
                <anchor moveWithCells="1">
                  <from>
                    <xdr:col>0</xdr:col>
                    <xdr:colOff>180975</xdr:colOff>
                    <xdr:row>11</xdr:row>
                    <xdr:rowOff>0</xdr:rowOff>
                  </from>
                  <to>
                    <xdr:col>2</xdr:col>
                    <xdr:colOff>104775</xdr:colOff>
                    <xdr:row>12</xdr:row>
                    <xdr:rowOff>19050</xdr:rowOff>
                  </to>
                </anchor>
              </controlPr>
            </control>
          </mc:Choice>
        </mc:AlternateContent>
        <mc:AlternateContent xmlns:mc="http://schemas.openxmlformats.org/markup-compatibility/2006">
          <mc:Choice Requires="x14">
            <control shapeId="45065" r:id="rId12" name="Check Box 9">
              <controlPr defaultSize="0" autoFill="0" autoLine="0" autoPict="0" macro="[0]!Sheet19.RenumberReport">
                <anchor moveWithCells="1">
                  <from>
                    <xdr:col>0</xdr:col>
                    <xdr:colOff>180975</xdr:colOff>
                    <xdr:row>12</xdr:row>
                    <xdr:rowOff>0</xdr:rowOff>
                  </from>
                  <to>
                    <xdr:col>2</xdr:col>
                    <xdr:colOff>104775</xdr:colOff>
                    <xdr:row>13</xdr:row>
                    <xdr:rowOff>19050</xdr:rowOff>
                  </to>
                </anchor>
              </controlPr>
            </control>
          </mc:Choice>
        </mc:AlternateContent>
        <mc:AlternateContent xmlns:mc="http://schemas.openxmlformats.org/markup-compatibility/2006">
          <mc:Choice Requires="x14">
            <control shapeId="45066" r:id="rId13" name="Check Box 10">
              <controlPr defaultSize="0" autoFill="0" autoLine="0" autoPict="0" macro="[0]!Sheet19.RenumberReport">
                <anchor moveWithCells="1">
                  <from>
                    <xdr:col>0</xdr:col>
                    <xdr:colOff>180975</xdr:colOff>
                    <xdr:row>13</xdr:row>
                    <xdr:rowOff>0</xdr:rowOff>
                  </from>
                  <to>
                    <xdr:col>2</xdr:col>
                    <xdr:colOff>104775</xdr:colOff>
                    <xdr:row>14</xdr:row>
                    <xdr:rowOff>19050</xdr:rowOff>
                  </to>
                </anchor>
              </controlPr>
            </control>
          </mc:Choice>
        </mc:AlternateContent>
        <mc:AlternateContent xmlns:mc="http://schemas.openxmlformats.org/markup-compatibility/2006">
          <mc:Choice Requires="x14">
            <control shapeId="45067" r:id="rId14" name="Check Box 11">
              <controlPr defaultSize="0" autoFill="0" autoLine="0" autoPict="0" macro="[0]!Sheet19.RenumberReport">
                <anchor moveWithCells="1">
                  <from>
                    <xdr:col>0</xdr:col>
                    <xdr:colOff>180975</xdr:colOff>
                    <xdr:row>14</xdr:row>
                    <xdr:rowOff>0</xdr:rowOff>
                  </from>
                  <to>
                    <xdr:col>2</xdr:col>
                    <xdr:colOff>104775</xdr:colOff>
                    <xdr:row>15</xdr:row>
                    <xdr:rowOff>19050</xdr:rowOff>
                  </to>
                </anchor>
              </controlPr>
            </control>
          </mc:Choice>
        </mc:AlternateContent>
        <mc:AlternateContent xmlns:mc="http://schemas.openxmlformats.org/markup-compatibility/2006">
          <mc:Choice Requires="x14">
            <control shapeId="45068" r:id="rId15" name="Check Box 12">
              <controlPr defaultSize="0" autoFill="0" autoLine="0" autoPict="0" macro="[0]!Sheet19.RenumberReport">
                <anchor moveWithCells="1">
                  <from>
                    <xdr:col>0</xdr:col>
                    <xdr:colOff>180975</xdr:colOff>
                    <xdr:row>15</xdr:row>
                    <xdr:rowOff>0</xdr:rowOff>
                  </from>
                  <to>
                    <xdr:col>2</xdr:col>
                    <xdr:colOff>104775</xdr:colOff>
                    <xdr:row>16</xdr:row>
                    <xdr:rowOff>19050</xdr:rowOff>
                  </to>
                </anchor>
              </controlPr>
            </control>
          </mc:Choice>
        </mc:AlternateContent>
        <mc:AlternateContent xmlns:mc="http://schemas.openxmlformats.org/markup-compatibility/2006">
          <mc:Choice Requires="x14">
            <control shapeId="45069" r:id="rId16" name="Check Box 13">
              <controlPr defaultSize="0" autoFill="0" autoLine="0" autoPict="0" macro="[0]!Sheet19.RenumberReport">
                <anchor moveWithCells="1">
                  <from>
                    <xdr:col>0</xdr:col>
                    <xdr:colOff>180975</xdr:colOff>
                    <xdr:row>16</xdr:row>
                    <xdr:rowOff>0</xdr:rowOff>
                  </from>
                  <to>
                    <xdr:col>2</xdr:col>
                    <xdr:colOff>104775</xdr:colOff>
                    <xdr:row>17</xdr:row>
                    <xdr:rowOff>19050</xdr:rowOff>
                  </to>
                </anchor>
              </controlPr>
            </control>
          </mc:Choice>
        </mc:AlternateContent>
        <mc:AlternateContent xmlns:mc="http://schemas.openxmlformats.org/markup-compatibility/2006">
          <mc:Choice Requires="x14">
            <control shapeId="45070" r:id="rId17" name="Check Box 14">
              <controlPr defaultSize="0" autoFill="0" autoLine="0" autoPict="0" macro="[0]!Sheet19.RenumberReport">
                <anchor moveWithCells="1">
                  <from>
                    <xdr:col>0</xdr:col>
                    <xdr:colOff>180975</xdr:colOff>
                    <xdr:row>17</xdr:row>
                    <xdr:rowOff>0</xdr:rowOff>
                  </from>
                  <to>
                    <xdr:col>2</xdr:col>
                    <xdr:colOff>104775</xdr:colOff>
                    <xdr:row>18</xdr:row>
                    <xdr:rowOff>19050</xdr:rowOff>
                  </to>
                </anchor>
              </controlPr>
            </control>
          </mc:Choice>
        </mc:AlternateContent>
        <mc:AlternateContent xmlns:mc="http://schemas.openxmlformats.org/markup-compatibility/2006">
          <mc:Choice Requires="x14">
            <control shapeId="45071" r:id="rId18" name="Check Box 15">
              <controlPr defaultSize="0" autoFill="0" autoLine="0" autoPict="0" macro="[0]!Sheet19.RenumberReport">
                <anchor moveWithCells="1">
                  <from>
                    <xdr:col>0</xdr:col>
                    <xdr:colOff>180975</xdr:colOff>
                    <xdr:row>18</xdr:row>
                    <xdr:rowOff>0</xdr:rowOff>
                  </from>
                  <to>
                    <xdr:col>2</xdr:col>
                    <xdr:colOff>104775</xdr:colOff>
                    <xdr:row>19</xdr:row>
                    <xdr:rowOff>19050</xdr:rowOff>
                  </to>
                </anchor>
              </controlPr>
            </control>
          </mc:Choice>
        </mc:AlternateContent>
        <mc:AlternateContent xmlns:mc="http://schemas.openxmlformats.org/markup-compatibility/2006">
          <mc:Choice Requires="x14">
            <control shapeId="45072" r:id="rId19" name="Check Box 16">
              <controlPr defaultSize="0" autoFill="0" autoLine="0" autoPict="0" macro="[0]!Sheet19.RenumberReport">
                <anchor moveWithCells="1">
                  <from>
                    <xdr:col>0</xdr:col>
                    <xdr:colOff>180975</xdr:colOff>
                    <xdr:row>19</xdr:row>
                    <xdr:rowOff>0</xdr:rowOff>
                  </from>
                  <to>
                    <xdr:col>2</xdr:col>
                    <xdr:colOff>104775</xdr:colOff>
                    <xdr:row>20</xdr:row>
                    <xdr:rowOff>19050</xdr:rowOff>
                  </to>
                </anchor>
              </controlPr>
            </control>
          </mc:Choice>
        </mc:AlternateContent>
        <mc:AlternateContent xmlns:mc="http://schemas.openxmlformats.org/markup-compatibility/2006">
          <mc:Choice Requires="x14">
            <control shapeId="45074" r:id="rId20" name="Check Box 18">
              <controlPr defaultSize="0" autoFill="0" autoLine="0" autoPict="0" macro="[0]!Sheet19.RenumberNotes">
                <anchor moveWithCells="1">
                  <from>
                    <xdr:col>0</xdr:col>
                    <xdr:colOff>180975</xdr:colOff>
                    <xdr:row>24</xdr:row>
                    <xdr:rowOff>9525</xdr:rowOff>
                  </from>
                  <to>
                    <xdr:col>2</xdr:col>
                    <xdr:colOff>104775</xdr:colOff>
                    <xdr:row>25</xdr:row>
                    <xdr:rowOff>28575</xdr:rowOff>
                  </to>
                </anchor>
              </controlPr>
            </control>
          </mc:Choice>
        </mc:AlternateContent>
        <mc:AlternateContent xmlns:mc="http://schemas.openxmlformats.org/markup-compatibility/2006">
          <mc:Choice Requires="x14">
            <control shapeId="45075" r:id="rId21" name="Check Box 19">
              <controlPr defaultSize="0" autoFill="0" autoLine="0" autoPict="0" macro="[0]!Sheet19.RenumberNotes">
                <anchor moveWithCells="1">
                  <from>
                    <xdr:col>0</xdr:col>
                    <xdr:colOff>180975</xdr:colOff>
                    <xdr:row>25</xdr:row>
                    <xdr:rowOff>9525</xdr:rowOff>
                  </from>
                  <to>
                    <xdr:col>2</xdr:col>
                    <xdr:colOff>104775</xdr:colOff>
                    <xdr:row>26</xdr:row>
                    <xdr:rowOff>28575</xdr:rowOff>
                  </to>
                </anchor>
              </controlPr>
            </control>
          </mc:Choice>
        </mc:AlternateContent>
        <mc:AlternateContent xmlns:mc="http://schemas.openxmlformats.org/markup-compatibility/2006">
          <mc:Choice Requires="x14">
            <control shapeId="45076" r:id="rId22" name="Check Box 20">
              <controlPr defaultSize="0" autoFill="0" autoLine="0" autoPict="0" macro="[0]!Sheet19.RenumberNotes">
                <anchor moveWithCells="1">
                  <from>
                    <xdr:col>0</xdr:col>
                    <xdr:colOff>180975</xdr:colOff>
                    <xdr:row>26</xdr:row>
                    <xdr:rowOff>9525</xdr:rowOff>
                  </from>
                  <to>
                    <xdr:col>2</xdr:col>
                    <xdr:colOff>104775</xdr:colOff>
                    <xdr:row>27</xdr:row>
                    <xdr:rowOff>28575</xdr:rowOff>
                  </to>
                </anchor>
              </controlPr>
            </control>
          </mc:Choice>
        </mc:AlternateContent>
        <mc:AlternateContent xmlns:mc="http://schemas.openxmlformats.org/markup-compatibility/2006">
          <mc:Choice Requires="x14">
            <control shapeId="45077" r:id="rId23" name="Check Box 21">
              <controlPr defaultSize="0" autoFill="0" autoLine="0" autoPict="0" macro="[0]!Sheet19.RenumberNotes">
                <anchor moveWithCells="1">
                  <from>
                    <xdr:col>0</xdr:col>
                    <xdr:colOff>180975</xdr:colOff>
                    <xdr:row>27</xdr:row>
                    <xdr:rowOff>9525</xdr:rowOff>
                  </from>
                  <to>
                    <xdr:col>2</xdr:col>
                    <xdr:colOff>104775</xdr:colOff>
                    <xdr:row>28</xdr:row>
                    <xdr:rowOff>28575</xdr:rowOff>
                  </to>
                </anchor>
              </controlPr>
            </control>
          </mc:Choice>
        </mc:AlternateContent>
        <mc:AlternateContent xmlns:mc="http://schemas.openxmlformats.org/markup-compatibility/2006">
          <mc:Choice Requires="x14">
            <control shapeId="45078" r:id="rId24" name="Check Box 22">
              <controlPr defaultSize="0" autoFill="0" autoLine="0" autoPict="0" macro="[0]!Sheet19.RenumberNotes">
                <anchor moveWithCells="1">
                  <from>
                    <xdr:col>0</xdr:col>
                    <xdr:colOff>180975</xdr:colOff>
                    <xdr:row>28</xdr:row>
                    <xdr:rowOff>9525</xdr:rowOff>
                  </from>
                  <to>
                    <xdr:col>2</xdr:col>
                    <xdr:colOff>104775</xdr:colOff>
                    <xdr:row>29</xdr:row>
                    <xdr:rowOff>28575</xdr:rowOff>
                  </to>
                </anchor>
              </controlPr>
            </control>
          </mc:Choice>
        </mc:AlternateContent>
        <mc:AlternateContent xmlns:mc="http://schemas.openxmlformats.org/markup-compatibility/2006">
          <mc:Choice Requires="x14">
            <control shapeId="45079" r:id="rId25" name="Check Box 23">
              <controlPr defaultSize="0" autoFill="0" autoLine="0" autoPict="0" macro="[0]!Sheet19.RenumberNotes">
                <anchor moveWithCells="1">
                  <from>
                    <xdr:col>0</xdr:col>
                    <xdr:colOff>180975</xdr:colOff>
                    <xdr:row>29</xdr:row>
                    <xdr:rowOff>0</xdr:rowOff>
                  </from>
                  <to>
                    <xdr:col>2</xdr:col>
                    <xdr:colOff>104775</xdr:colOff>
                    <xdr:row>30</xdr:row>
                    <xdr:rowOff>19050</xdr:rowOff>
                  </to>
                </anchor>
              </controlPr>
            </control>
          </mc:Choice>
        </mc:AlternateContent>
        <mc:AlternateContent xmlns:mc="http://schemas.openxmlformats.org/markup-compatibility/2006">
          <mc:Choice Requires="x14">
            <control shapeId="45080" r:id="rId26" name="Check Box 24">
              <controlPr defaultSize="0" autoFill="0" autoLine="0" autoPict="0" macro="[0]!Sheet19.RenumberNotes">
                <anchor moveWithCells="1">
                  <from>
                    <xdr:col>0</xdr:col>
                    <xdr:colOff>180975</xdr:colOff>
                    <xdr:row>30</xdr:row>
                    <xdr:rowOff>0</xdr:rowOff>
                  </from>
                  <to>
                    <xdr:col>2</xdr:col>
                    <xdr:colOff>95250</xdr:colOff>
                    <xdr:row>31</xdr:row>
                    <xdr:rowOff>19050</xdr:rowOff>
                  </to>
                </anchor>
              </controlPr>
            </control>
          </mc:Choice>
        </mc:AlternateContent>
        <mc:AlternateContent xmlns:mc="http://schemas.openxmlformats.org/markup-compatibility/2006">
          <mc:Choice Requires="x14">
            <control shapeId="45081" r:id="rId27" name="Check Box 25">
              <controlPr defaultSize="0" autoFill="0" autoLine="0" autoPict="0" macro="[0]!Sheet19.RenumberNotes">
                <anchor moveWithCells="1">
                  <from>
                    <xdr:col>0</xdr:col>
                    <xdr:colOff>180975</xdr:colOff>
                    <xdr:row>32</xdr:row>
                    <xdr:rowOff>0</xdr:rowOff>
                  </from>
                  <to>
                    <xdr:col>2</xdr:col>
                    <xdr:colOff>104775</xdr:colOff>
                    <xdr:row>33</xdr:row>
                    <xdr:rowOff>19050</xdr:rowOff>
                  </to>
                </anchor>
              </controlPr>
            </control>
          </mc:Choice>
        </mc:AlternateContent>
        <mc:AlternateContent xmlns:mc="http://schemas.openxmlformats.org/markup-compatibility/2006">
          <mc:Choice Requires="x14">
            <control shapeId="45082" r:id="rId28" name="Check Box 26">
              <controlPr defaultSize="0" autoFill="0" autoLine="0" autoPict="0" macro="[0]!Sheet19.RenumberNotes">
                <anchor moveWithCells="1">
                  <from>
                    <xdr:col>0</xdr:col>
                    <xdr:colOff>180975</xdr:colOff>
                    <xdr:row>33</xdr:row>
                    <xdr:rowOff>0</xdr:rowOff>
                  </from>
                  <to>
                    <xdr:col>2</xdr:col>
                    <xdr:colOff>104775</xdr:colOff>
                    <xdr:row>34</xdr:row>
                    <xdr:rowOff>19050</xdr:rowOff>
                  </to>
                </anchor>
              </controlPr>
            </control>
          </mc:Choice>
        </mc:AlternateContent>
        <mc:AlternateContent xmlns:mc="http://schemas.openxmlformats.org/markup-compatibility/2006">
          <mc:Choice Requires="x14">
            <control shapeId="45083" r:id="rId29" name="Check Box 27">
              <controlPr defaultSize="0" autoFill="0" autoLine="0" autoPict="0" macro="[0]!Sheet19.RenumberNotes">
                <anchor moveWithCells="1">
                  <from>
                    <xdr:col>0</xdr:col>
                    <xdr:colOff>180975</xdr:colOff>
                    <xdr:row>34</xdr:row>
                    <xdr:rowOff>0</xdr:rowOff>
                  </from>
                  <to>
                    <xdr:col>2</xdr:col>
                    <xdr:colOff>95250</xdr:colOff>
                    <xdr:row>35</xdr:row>
                    <xdr:rowOff>19050</xdr:rowOff>
                  </to>
                </anchor>
              </controlPr>
            </control>
          </mc:Choice>
        </mc:AlternateContent>
        <mc:AlternateContent xmlns:mc="http://schemas.openxmlformats.org/markup-compatibility/2006">
          <mc:Choice Requires="x14">
            <control shapeId="45084" r:id="rId30" name="Check Box 28">
              <controlPr defaultSize="0" autoFill="0" autoLine="0" autoPict="0" macro="[0]!Sheet19.RenumberNotes">
                <anchor moveWithCells="1">
                  <from>
                    <xdr:col>0</xdr:col>
                    <xdr:colOff>180975</xdr:colOff>
                    <xdr:row>36</xdr:row>
                    <xdr:rowOff>0</xdr:rowOff>
                  </from>
                  <to>
                    <xdr:col>2</xdr:col>
                    <xdr:colOff>104775</xdr:colOff>
                    <xdr:row>37</xdr:row>
                    <xdr:rowOff>19050</xdr:rowOff>
                  </to>
                </anchor>
              </controlPr>
            </control>
          </mc:Choice>
        </mc:AlternateContent>
        <mc:AlternateContent xmlns:mc="http://schemas.openxmlformats.org/markup-compatibility/2006">
          <mc:Choice Requires="x14">
            <control shapeId="45085" r:id="rId31" name="Check Box 29">
              <controlPr defaultSize="0" autoFill="0" autoLine="0" autoPict="0" macro="[0]!Sheet19.RenumberNotes">
                <anchor moveWithCells="1">
                  <from>
                    <xdr:col>0</xdr:col>
                    <xdr:colOff>180975</xdr:colOff>
                    <xdr:row>37</xdr:row>
                    <xdr:rowOff>0</xdr:rowOff>
                  </from>
                  <to>
                    <xdr:col>2</xdr:col>
                    <xdr:colOff>104775</xdr:colOff>
                    <xdr:row>38</xdr:row>
                    <xdr:rowOff>19050</xdr:rowOff>
                  </to>
                </anchor>
              </controlPr>
            </control>
          </mc:Choice>
        </mc:AlternateContent>
        <mc:AlternateContent xmlns:mc="http://schemas.openxmlformats.org/markup-compatibility/2006">
          <mc:Choice Requires="x14">
            <control shapeId="45086" r:id="rId32" name="Check Box 30">
              <controlPr defaultSize="0" autoFill="0" autoLine="0" autoPict="0" macro="[0]!Sheet19.RenumberNotes">
                <anchor moveWithCells="1">
                  <from>
                    <xdr:col>0</xdr:col>
                    <xdr:colOff>180975</xdr:colOff>
                    <xdr:row>38</xdr:row>
                    <xdr:rowOff>0</xdr:rowOff>
                  </from>
                  <to>
                    <xdr:col>2</xdr:col>
                    <xdr:colOff>104775</xdr:colOff>
                    <xdr:row>39</xdr:row>
                    <xdr:rowOff>19050</xdr:rowOff>
                  </to>
                </anchor>
              </controlPr>
            </control>
          </mc:Choice>
        </mc:AlternateContent>
        <mc:AlternateContent xmlns:mc="http://schemas.openxmlformats.org/markup-compatibility/2006">
          <mc:Choice Requires="x14">
            <control shapeId="45087" r:id="rId33" name="Check Box 31">
              <controlPr defaultSize="0" autoFill="0" autoLine="0" autoPict="0" macro="[0]!Sheet19.RenumberNotes">
                <anchor moveWithCells="1">
                  <from>
                    <xdr:col>0</xdr:col>
                    <xdr:colOff>180975</xdr:colOff>
                    <xdr:row>39</xdr:row>
                    <xdr:rowOff>0</xdr:rowOff>
                  </from>
                  <to>
                    <xdr:col>2</xdr:col>
                    <xdr:colOff>104775</xdr:colOff>
                    <xdr:row>40</xdr:row>
                    <xdr:rowOff>19050</xdr:rowOff>
                  </to>
                </anchor>
              </controlPr>
            </control>
          </mc:Choice>
        </mc:AlternateContent>
        <mc:AlternateContent xmlns:mc="http://schemas.openxmlformats.org/markup-compatibility/2006">
          <mc:Choice Requires="x14">
            <control shapeId="45088" r:id="rId34" name="Check Box 32">
              <controlPr defaultSize="0" autoFill="0" autoLine="0" autoPict="0" macro="[0]!Sheet19.RenumberNotes">
                <anchor moveWithCells="1">
                  <from>
                    <xdr:col>0</xdr:col>
                    <xdr:colOff>180975</xdr:colOff>
                    <xdr:row>40</xdr:row>
                    <xdr:rowOff>0</xdr:rowOff>
                  </from>
                  <to>
                    <xdr:col>2</xdr:col>
                    <xdr:colOff>104775</xdr:colOff>
                    <xdr:row>41</xdr:row>
                    <xdr:rowOff>19050</xdr:rowOff>
                  </to>
                </anchor>
              </controlPr>
            </control>
          </mc:Choice>
        </mc:AlternateContent>
        <mc:AlternateContent xmlns:mc="http://schemas.openxmlformats.org/markup-compatibility/2006">
          <mc:Choice Requires="x14">
            <control shapeId="45089" r:id="rId35" name="Check Box 33">
              <controlPr defaultSize="0" autoFill="0" autoLine="0" autoPict="0" macro="[0]!Sheet19.RenumberNotes">
                <anchor moveWithCells="1">
                  <from>
                    <xdr:col>0</xdr:col>
                    <xdr:colOff>180975</xdr:colOff>
                    <xdr:row>41</xdr:row>
                    <xdr:rowOff>0</xdr:rowOff>
                  </from>
                  <to>
                    <xdr:col>2</xdr:col>
                    <xdr:colOff>104775</xdr:colOff>
                    <xdr:row>42</xdr:row>
                    <xdr:rowOff>19050</xdr:rowOff>
                  </to>
                </anchor>
              </controlPr>
            </control>
          </mc:Choice>
        </mc:AlternateContent>
        <mc:AlternateContent xmlns:mc="http://schemas.openxmlformats.org/markup-compatibility/2006">
          <mc:Choice Requires="x14">
            <control shapeId="45090" r:id="rId36" name="Check Box 34">
              <controlPr defaultSize="0" autoFill="0" autoLine="0" autoPict="0" macro="[0]!Sheet19.RenumberNotes">
                <anchor moveWithCells="1">
                  <from>
                    <xdr:col>0</xdr:col>
                    <xdr:colOff>180975</xdr:colOff>
                    <xdr:row>42</xdr:row>
                    <xdr:rowOff>0</xdr:rowOff>
                  </from>
                  <to>
                    <xdr:col>2</xdr:col>
                    <xdr:colOff>104775</xdr:colOff>
                    <xdr:row>43</xdr:row>
                    <xdr:rowOff>19050</xdr:rowOff>
                  </to>
                </anchor>
              </controlPr>
            </control>
          </mc:Choice>
        </mc:AlternateContent>
        <mc:AlternateContent xmlns:mc="http://schemas.openxmlformats.org/markup-compatibility/2006">
          <mc:Choice Requires="x14">
            <control shapeId="45091" r:id="rId37" name="Check Box 35">
              <controlPr defaultSize="0" autoFill="0" autoLine="0" autoPict="0" macro="[0]!Sheet19.RenumberNotes">
                <anchor moveWithCells="1">
                  <from>
                    <xdr:col>0</xdr:col>
                    <xdr:colOff>180975</xdr:colOff>
                    <xdr:row>43</xdr:row>
                    <xdr:rowOff>0</xdr:rowOff>
                  </from>
                  <to>
                    <xdr:col>2</xdr:col>
                    <xdr:colOff>104775</xdr:colOff>
                    <xdr:row>44</xdr:row>
                    <xdr:rowOff>19050</xdr:rowOff>
                  </to>
                </anchor>
              </controlPr>
            </control>
          </mc:Choice>
        </mc:AlternateContent>
        <mc:AlternateContent xmlns:mc="http://schemas.openxmlformats.org/markup-compatibility/2006">
          <mc:Choice Requires="x14">
            <control shapeId="45092" r:id="rId38" name="Check Box 36">
              <controlPr defaultSize="0" autoFill="0" autoLine="0" autoPict="0" macro="[0]!Sheet19.RenumberNotes">
                <anchor moveWithCells="1">
                  <from>
                    <xdr:col>0</xdr:col>
                    <xdr:colOff>180975</xdr:colOff>
                    <xdr:row>44</xdr:row>
                    <xdr:rowOff>0</xdr:rowOff>
                  </from>
                  <to>
                    <xdr:col>2</xdr:col>
                    <xdr:colOff>104775</xdr:colOff>
                    <xdr:row>45</xdr:row>
                    <xdr:rowOff>19050</xdr:rowOff>
                  </to>
                </anchor>
              </controlPr>
            </control>
          </mc:Choice>
        </mc:AlternateContent>
        <mc:AlternateContent xmlns:mc="http://schemas.openxmlformats.org/markup-compatibility/2006">
          <mc:Choice Requires="x14">
            <control shapeId="45093" r:id="rId39" name="Check Box 37">
              <controlPr defaultSize="0" autoFill="0" autoLine="0" autoPict="0" macro="[0]!Sheet19.RenumberNotes">
                <anchor moveWithCells="1">
                  <from>
                    <xdr:col>0</xdr:col>
                    <xdr:colOff>180975</xdr:colOff>
                    <xdr:row>45</xdr:row>
                    <xdr:rowOff>0</xdr:rowOff>
                  </from>
                  <to>
                    <xdr:col>2</xdr:col>
                    <xdr:colOff>104775</xdr:colOff>
                    <xdr:row>46</xdr:row>
                    <xdr:rowOff>19050</xdr:rowOff>
                  </to>
                </anchor>
              </controlPr>
            </control>
          </mc:Choice>
        </mc:AlternateContent>
        <mc:AlternateContent xmlns:mc="http://schemas.openxmlformats.org/markup-compatibility/2006">
          <mc:Choice Requires="x14">
            <control shapeId="45094" r:id="rId40" name="Check Box 38">
              <controlPr defaultSize="0" autoFill="0" autoLine="0" autoPict="0" macro="[0]!Sheet19.RenumberNotes">
                <anchor moveWithCells="1">
                  <from>
                    <xdr:col>0</xdr:col>
                    <xdr:colOff>180975</xdr:colOff>
                    <xdr:row>46</xdr:row>
                    <xdr:rowOff>0</xdr:rowOff>
                  </from>
                  <to>
                    <xdr:col>2</xdr:col>
                    <xdr:colOff>104775</xdr:colOff>
                    <xdr:row>47</xdr:row>
                    <xdr:rowOff>19050</xdr:rowOff>
                  </to>
                </anchor>
              </controlPr>
            </control>
          </mc:Choice>
        </mc:AlternateContent>
        <mc:AlternateContent xmlns:mc="http://schemas.openxmlformats.org/markup-compatibility/2006">
          <mc:Choice Requires="x14">
            <control shapeId="45095" r:id="rId41" name="Check Box 39">
              <controlPr defaultSize="0" autoFill="0" autoLine="0" autoPict="0" macro="[0]!Sheet19.RenumberNotes">
                <anchor moveWithCells="1">
                  <from>
                    <xdr:col>0</xdr:col>
                    <xdr:colOff>180975</xdr:colOff>
                    <xdr:row>47</xdr:row>
                    <xdr:rowOff>9525</xdr:rowOff>
                  </from>
                  <to>
                    <xdr:col>2</xdr:col>
                    <xdr:colOff>104775</xdr:colOff>
                    <xdr:row>48</xdr:row>
                    <xdr:rowOff>28575</xdr:rowOff>
                  </to>
                </anchor>
              </controlPr>
            </control>
          </mc:Choice>
        </mc:AlternateContent>
        <mc:AlternateContent xmlns:mc="http://schemas.openxmlformats.org/markup-compatibility/2006">
          <mc:Choice Requires="x14">
            <control shapeId="45096" r:id="rId42" name="Check Box 40">
              <controlPr defaultSize="0" autoFill="0" autoLine="0" autoPict="0" macro="[0]!Sheet19.RenumberNotes">
                <anchor moveWithCells="1">
                  <from>
                    <xdr:col>0</xdr:col>
                    <xdr:colOff>180975</xdr:colOff>
                    <xdr:row>48</xdr:row>
                    <xdr:rowOff>0</xdr:rowOff>
                  </from>
                  <to>
                    <xdr:col>2</xdr:col>
                    <xdr:colOff>104775</xdr:colOff>
                    <xdr:row>49</xdr:row>
                    <xdr:rowOff>19050</xdr:rowOff>
                  </to>
                </anchor>
              </controlPr>
            </control>
          </mc:Choice>
        </mc:AlternateContent>
        <mc:AlternateContent xmlns:mc="http://schemas.openxmlformats.org/markup-compatibility/2006">
          <mc:Choice Requires="x14">
            <control shapeId="45097" r:id="rId43" name="Check Box 41">
              <controlPr defaultSize="0" autoFill="0" autoLine="0" autoPict="0" macro="[0]!Sheet19.RenumberNotes">
                <anchor moveWithCells="1">
                  <from>
                    <xdr:col>0</xdr:col>
                    <xdr:colOff>180975</xdr:colOff>
                    <xdr:row>49</xdr:row>
                    <xdr:rowOff>0</xdr:rowOff>
                  </from>
                  <to>
                    <xdr:col>2</xdr:col>
                    <xdr:colOff>104775</xdr:colOff>
                    <xdr:row>50</xdr:row>
                    <xdr:rowOff>19050</xdr:rowOff>
                  </to>
                </anchor>
              </controlPr>
            </control>
          </mc:Choice>
        </mc:AlternateContent>
        <mc:AlternateContent xmlns:mc="http://schemas.openxmlformats.org/markup-compatibility/2006">
          <mc:Choice Requires="x14">
            <control shapeId="45098" r:id="rId44" name="Check Box 42">
              <controlPr defaultSize="0" autoFill="0" autoLine="0" autoPict="0" macro="[0]!Sheet19.RenumberNotes">
                <anchor moveWithCells="1">
                  <from>
                    <xdr:col>0</xdr:col>
                    <xdr:colOff>180975</xdr:colOff>
                    <xdr:row>50</xdr:row>
                    <xdr:rowOff>0</xdr:rowOff>
                  </from>
                  <to>
                    <xdr:col>2</xdr:col>
                    <xdr:colOff>104775</xdr:colOff>
                    <xdr:row>51</xdr:row>
                    <xdr:rowOff>19050</xdr:rowOff>
                  </to>
                </anchor>
              </controlPr>
            </control>
          </mc:Choice>
        </mc:AlternateContent>
        <mc:AlternateContent xmlns:mc="http://schemas.openxmlformats.org/markup-compatibility/2006">
          <mc:Choice Requires="x14">
            <control shapeId="45099" r:id="rId45" name="Check Box 43">
              <controlPr defaultSize="0" autoFill="0" autoLine="0" autoPict="0" macro="[0]!Sheet19.RenumberNotes">
                <anchor moveWithCells="1">
                  <from>
                    <xdr:col>0</xdr:col>
                    <xdr:colOff>180975</xdr:colOff>
                    <xdr:row>51</xdr:row>
                    <xdr:rowOff>9525</xdr:rowOff>
                  </from>
                  <to>
                    <xdr:col>2</xdr:col>
                    <xdr:colOff>104775</xdr:colOff>
                    <xdr:row>52</xdr:row>
                    <xdr:rowOff>28575</xdr:rowOff>
                  </to>
                </anchor>
              </controlPr>
            </control>
          </mc:Choice>
        </mc:AlternateContent>
        <mc:AlternateContent xmlns:mc="http://schemas.openxmlformats.org/markup-compatibility/2006">
          <mc:Choice Requires="x14">
            <control shapeId="45100" r:id="rId46" name="Check Box 44">
              <controlPr defaultSize="0" autoFill="0" autoLine="0" autoPict="0" macro="[0]!Sheet19.RenumberNotes">
                <anchor moveWithCells="1">
                  <from>
                    <xdr:col>0</xdr:col>
                    <xdr:colOff>180975</xdr:colOff>
                    <xdr:row>52</xdr:row>
                    <xdr:rowOff>0</xdr:rowOff>
                  </from>
                  <to>
                    <xdr:col>2</xdr:col>
                    <xdr:colOff>104775</xdr:colOff>
                    <xdr:row>53</xdr:row>
                    <xdr:rowOff>19050</xdr:rowOff>
                  </to>
                </anchor>
              </controlPr>
            </control>
          </mc:Choice>
        </mc:AlternateContent>
        <mc:AlternateContent xmlns:mc="http://schemas.openxmlformats.org/markup-compatibility/2006">
          <mc:Choice Requires="x14">
            <control shapeId="45101" r:id="rId47" name="Check Box 45">
              <controlPr defaultSize="0" autoFill="0" autoLine="0" autoPict="0" macro="[0]!Sheet19.RenumberNotes">
                <anchor moveWithCells="1">
                  <from>
                    <xdr:col>0</xdr:col>
                    <xdr:colOff>180975</xdr:colOff>
                    <xdr:row>53</xdr:row>
                    <xdr:rowOff>0</xdr:rowOff>
                  </from>
                  <to>
                    <xdr:col>2</xdr:col>
                    <xdr:colOff>104775</xdr:colOff>
                    <xdr:row>54</xdr:row>
                    <xdr:rowOff>19050</xdr:rowOff>
                  </to>
                </anchor>
              </controlPr>
            </control>
          </mc:Choice>
        </mc:AlternateContent>
        <mc:AlternateContent xmlns:mc="http://schemas.openxmlformats.org/markup-compatibility/2006">
          <mc:Choice Requires="x14">
            <control shapeId="45102" r:id="rId48" name="Check Box 46">
              <controlPr defaultSize="0" autoFill="0" autoLine="0" autoPict="0" macro="[0]!Sheet19.RenumberNotes">
                <anchor moveWithCells="1">
                  <from>
                    <xdr:col>0</xdr:col>
                    <xdr:colOff>180975</xdr:colOff>
                    <xdr:row>54</xdr:row>
                    <xdr:rowOff>0</xdr:rowOff>
                  </from>
                  <to>
                    <xdr:col>2</xdr:col>
                    <xdr:colOff>104775</xdr:colOff>
                    <xdr:row>55</xdr:row>
                    <xdr:rowOff>19050</xdr:rowOff>
                  </to>
                </anchor>
              </controlPr>
            </control>
          </mc:Choice>
        </mc:AlternateContent>
        <mc:AlternateContent xmlns:mc="http://schemas.openxmlformats.org/markup-compatibility/2006">
          <mc:Choice Requires="x14">
            <control shapeId="45103" r:id="rId49" name="Check Box 47">
              <controlPr defaultSize="0" autoFill="0" autoLine="0" autoPict="0" macro="[0]!Sheet19.RenumberNotes">
                <anchor moveWithCells="1">
                  <from>
                    <xdr:col>0</xdr:col>
                    <xdr:colOff>180975</xdr:colOff>
                    <xdr:row>55</xdr:row>
                    <xdr:rowOff>19050</xdr:rowOff>
                  </from>
                  <to>
                    <xdr:col>2</xdr:col>
                    <xdr:colOff>104775</xdr:colOff>
                    <xdr:row>56</xdr:row>
                    <xdr:rowOff>38100</xdr:rowOff>
                  </to>
                </anchor>
              </controlPr>
            </control>
          </mc:Choice>
        </mc:AlternateContent>
        <mc:AlternateContent xmlns:mc="http://schemas.openxmlformats.org/markup-compatibility/2006">
          <mc:Choice Requires="x14">
            <control shapeId="45104" r:id="rId50" name="Check Box 48">
              <controlPr defaultSize="0" autoFill="0" autoLine="0" autoPict="0" macro="[0]!Sheet19.RenumberNotes">
                <anchor moveWithCells="1">
                  <from>
                    <xdr:col>0</xdr:col>
                    <xdr:colOff>180975</xdr:colOff>
                    <xdr:row>56</xdr:row>
                    <xdr:rowOff>19050</xdr:rowOff>
                  </from>
                  <to>
                    <xdr:col>2</xdr:col>
                    <xdr:colOff>104775</xdr:colOff>
                    <xdr:row>57</xdr:row>
                    <xdr:rowOff>38100</xdr:rowOff>
                  </to>
                </anchor>
              </controlPr>
            </control>
          </mc:Choice>
        </mc:AlternateContent>
        <mc:AlternateContent xmlns:mc="http://schemas.openxmlformats.org/markup-compatibility/2006">
          <mc:Choice Requires="x14">
            <control shapeId="45105" r:id="rId51" name="Check Box 49">
              <controlPr defaultSize="0" autoFill="0" autoLine="0" autoPict="0" macro="[0]!Sheet19.RenumberNotes">
                <anchor moveWithCells="1">
                  <from>
                    <xdr:col>0</xdr:col>
                    <xdr:colOff>180975</xdr:colOff>
                    <xdr:row>57</xdr:row>
                    <xdr:rowOff>19050</xdr:rowOff>
                  </from>
                  <to>
                    <xdr:col>2</xdr:col>
                    <xdr:colOff>104775</xdr:colOff>
                    <xdr:row>58</xdr:row>
                    <xdr:rowOff>38100</xdr:rowOff>
                  </to>
                </anchor>
              </controlPr>
            </control>
          </mc:Choice>
        </mc:AlternateContent>
        <mc:AlternateContent xmlns:mc="http://schemas.openxmlformats.org/markup-compatibility/2006">
          <mc:Choice Requires="x14">
            <control shapeId="45106" r:id="rId52" name="Check Box 50">
              <controlPr defaultSize="0" autoFill="0" autoLine="0" autoPict="0" macro="[0]!Sheet19.RenumberNotes">
                <anchor moveWithCells="1">
                  <from>
                    <xdr:col>0</xdr:col>
                    <xdr:colOff>180975</xdr:colOff>
                    <xdr:row>58</xdr:row>
                    <xdr:rowOff>19050</xdr:rowOff>
                  </from>
                  <to>
                    <xdr:col>2</xdr:col>
                    <xdr:colOff>104775</xdr:colOff>
                    <xdr:row>59</xdr:row>
                    <xdr:rowOff>38100</xdr:rowOff>
                  </to>
                </anchor>
              </controlPr>
            </control>
          </mc:Choice>
        </mc:AlternateContent>
        <mc:AlternateContent xmlns:mc="http://schemas.openxmlformats.org/markup-compatibility/2006">
          <mc:Choice Requires="x14">
            <control shapeId="45107" r:id="rId53" name="Check Box 51">
              <controlPr defaultSize="0" autoFill="0" autoLine="0" autoPict="0" macro="[0]!Sheet19.RenumberNotes">
                <anchor moveWithCells="1">
                  <from>
                    <xdr:col>0</xdr:col>
                    <xdr:colOff>180975</xdr:colOff>
                    <xdr:row>59</xdr:row>
                    <xdr:rowOff>19050</xdr:rowOff>
                  </from>
                  <to>
                    <xdr:col>2</xdr:col>
                    <xdr:colOff>104775</xdr:colOff>
                    <xdr:row>60</xdr:row>
                    <xdr:rowOff>38100</xdr:rowOff>
                  </to>
                </anchor>
              </controlPr>
            </control>
          </mc:Choice>
        </mc:AlternateContent>
        <mc:AlternateContent xmlns:mc="http://schemas.openxmlformats.org/markup-compatibility/2006">
          <mc:Choice Requires="x14">
            <control shapeId="45108" r:id="rId54" name="Check Box 52">
              <controlPr defaultSize="0" autoFill="0" autoLine="0" autoPict="0" macro="[0]!Sheet19.RenumberNotes">
                <anchor moveWithCells="1">
                  <from>
                    <xdr:col>0</xdr:col>
                    <xdr:colOff>180975</xdr:colOff>
                    <xdr:row>60</xdr:row>
                    <xdr:rowOff>19050</xdr:rowOff>
                  </from>
                  <to>
                    <xdr:col>2</xdr:col>
                    <xdr:colOff>104775</xdr:colOff>
                    <xdr:row>61</xdr:row>
                    <xdr:rowOff>38100</xdr:rowOff>
                  </to>
                </anchor>
              </controlPr>
            </control>
          </mc:Choice>
        </mc:AlternateContent>
        <mc:AlternateContent xmlns:mc="http://schemas.openxmlformats.org/markup-compatibility/2006">
          <mc:Choice Requires="x14">
            <control shapeId="45109" r:id="rId55" name="Check Box 53">
              <controlPr defaultSize="0" autoFill="0" autoLine="0" autoPict="0" macro="[0]!Sheet19.RenumberNotes">
                <anchor moveWithCells="1">
                  <from>
                    <xdr:col>0</xdr:col>
                    <xdr:colOff>180975</xdr:colOff>
                    <xdr:row>61</xdr:row>
                    <xdr:rowOff>19050</xdr:rowOff>
                  </from>
                  <to>
                    <xdr:col>2</xdr:col>
                    <xdr:colOff>104775</xdr:colOff>
                    <xdr:row>62</xdr:row>
                    <xdr:rowOff>38100</xdr:rowOff>
                  </to>
                </anchor>
              </controlPr>
            </control>
          </mc:Choice>
        </mc:AlternateContent>
        <mc:AlternateContent xmlns:mc="http://schemas.openxmlformats.org/markup-compatibility/2006">
          <mc:Choice Requires="x14">
            <control shapeId="45110" r:id="rId56" name="Check Box 54">
              <controlPr defaultSize="0" autoFill="0" autoLine="0" autoPict="0" macro="[0]!Sheet19.RenumberNotes">
                <anchor moveWithCells="1">
                  <from>
                    <xdr:col>0</xdr:col>
                    <xdr:colOff>180975</xdr:colOff>
                    <xdr:row>62</xdr:row>
                    <xdr:rowOff>19050</xdr:rowOff>
                  </from>
                  <to>
                    <xdr:col>2</xdr:col>
                    <xdr:colOff>104775</xdr:colOff>
                    <xdr:row>63</xdr:row>
                    <xdr:rowOff>38100</xdr:rowOff>
                  </to>
                </anchor>
              </controlPr>
            </control>
          </mc:Choice>
        </mc:AlternateContent>
        <mc:AlternateContent xmlns:mc="http://schemas.openxmlformats.org/markup-compatibility/2006">
          <mc:Choice Requires="x14">
            <control shapeId="45111" r:id="rId57" name="Check Box 55">
              <controlPr defaultSize="0" autoFill="0" autoLine="0" autoPict="0" macro="[0]!Sheet19.RenumberNotes">
                <anchor moveWithCells="1">
                  <from>
                    <xdr:col>0</xdr:col>
                    <xdr:colOff>180975</xdr:colOff>
                    <xdr:row>63</xdr:row>
                    <xdr:rowOff>28575</xdr:rowOff>
                  </from>
                  <to>
                    <xdr:col>2</xdr:col>
                    <xdr:colOff>104775</xdr:colOff>
                    <xdr:row>64</xdr:row>
                    <xdr:rowOff>47625</xdr:rowOff>
                  </to>
                </anchor>
              </controlPr>
            </control>
          </mc:Choice>
        </mc:AlternateContent>
        <mc:AlternateContent xmlns:mc="http://schemas.openxmlformats.org/markup-compatibility/2006">
          <mc:Choice Requires="x14">
            <control shapeId="45112" r:id="rId58" name="Check Box 56">
              <controlPr defaultSize="0" autoFill="0" autoLine="0" autoPict="0" macro="[0]!Sheet19.RenumberNotes">
                <anchor moveWithCells="1">
                  <from>
                    <xdr:col>0</xdr:col>
                    <xdr:colOff>180975</xdr:colOff>
                    <xdr:row>64</xdr:row>
                    <xdr:rowOff>19050</xdr:rowOff>
                  </from>
                  <to>
                    <xdr:col>2</xdr:col>
                    <xdr:colOff>104775</xdr:colOff>
                    <xdr:row>65</xdr:row>
                    <xdr:rowOff>38100</xdr:rowOff>
                  </to>
                </anchor>
              </controlPr>
            </control>
          </mc:Choice>
        </mc:AlternateContent>
        <mc:AlternateContent xmlns:mc="http://schemas.openxmlformats.org/markup-compatibility/2006">
          <mc:Choice Requires="x14">
            <control shapeId="45113" r:id="rId59" name="Check Box 57">
              <controlPr defaultSize="0" autoFill="0" autoLine="0" autoPict="0" macro="[0]!Sheet19.RenumberNotes">
                <anchor moveWithCells="1">
                  <from>
                    <xdr:col>0</xdr:col>
                    <xdr:colOff>180975</xdr:colOff>
                    <xdr:row>65</xdr:row>
                    <xdr:rowOff>19050</xdr:rowOff>
                  </from>
                  <to>
                    <xdr:col>2</xdr:col>
                    <xdr:colOff>104775</xdr:colOff>
                    <xdr:row>66</xdr:row>
                    <xdr:rowOff>38100</xdr:rowOff>
                  </to>
                </anchor>
              </controlPr>
            </control>
          </mc:Choice>
        </mc:AlternateContent>
        <mc:AlternateContent xmlns:mc="http://schemas.openxmlformats.org/markup-compatibility/2006">
          <mc:Choice Requires="x14">
            <control shapeId="45114" r:id="rId60" name="Check Box 58">
              <controlPr defaultSize="0" autoFill="0" autoLine="0" autoPict="0" macro="[0]!Sheet19.RenumberNotes">
                <anchor moveWithCells="1">
                  <from>
                    <xdr:col>0</xdr:col>
                    <xdr:colOff>180975</xdr:colOff>
                    <xdr:row>66</xdr:row>
                    <xdr:rowOff>19050</xdr:rowOff>
                  </from>
                  <to>
                    <xdr:col>2</xdr:col>
                    <xdr:colOff>104775</xdr:colOff>
                    <xdr:row>67</xdr:row>
                    <xdr:rowOff>38100</xdr:rowOff>
                  </to>
                </anchor>
              </controlPr>
            </control>
          </mc:Choice>
        </mc:AlternateContent>
        <mc:AlternateContent xmlns:mc="http://schemas.openxmlformats.org/markup-compatibility/2006">
          <mc:Choice Requires="x14">
            <control shapeId="45115" r:id="rId61" name="Check Box 59">
              <controlPr defaultSize="0" autoFill="0" autoLine="0" autoPict="0" macro="[0]!Sheet19.RenumberNotes">
                <anchor moveWithCells="1">
                  <from>
                    <xdr:col>0</xdr:col>
                    <xdr:colOff>180975</xdr:colOff>
                    <xdr:row>67</xdr:row>
                    <xdr:rowOff>28575</xdr:rowOff>
                  </from>
                  <to>
                    <xdr:col>2</xdr:col>
                    <xdr:colOff>104775</xdr:colOff>
                    <xdr:row>68</xdr:row>
                    <xdr:rowOff>47625</xdr:rowOff>
                  </to>
                </anchor>
              </controlPr>
            </control>
          </mc:Choice>
        </mc:AlternateContent>
        <mc:AlternateContent xmlns:mc="http://schemas.openxmlformats.org/markup-compatibility/2006">
          <mc:Choice Requires="x14">
            <control shapeId="45116" r:id="rId62" name="Check Box 60">
              <controlPr defaultSize="0" autoFill="0" autoLine="0" autoPict="0" macro="[0]!Sheet19.RenumberNotes">
                <anchor moveWithCells="1">
                  <from>
                    <xdr:col>0</xdr:col>
                    <xdr:colOff>180975</xdr:colOff>
                    <xdr:row>68</xdr:row>
                    <xdr:rowOff>19050</xdr:rowOff>
                  </from>
                  <to>
                    <xdr:col>2</xdr:col>
                    <xdr:colOff>104775</xdr:colOff>
                    <xdr:row>69</xdr:row>
                    <xdr:rowOff>38100</xdr:rowOff>
                  </to>
                </anchor>
              </controlPr>
            </control>
          </mc:Choice>
        </mc:AlternateContent>
        <mc:AlternateContent xmlns:mc="http://schemas.openxmlformats.org/markup-compatibility/2006">
          <mc:Choice Requires="x14">
            <control shapeId="45117" r:id="rId63" name="Check Box 61">
              <controlPr defaultSize="0" autoFill="0" autoLine="0" autoPict="0" macro="[0]!Sheet19.RenumberNotes">
                <anchor moveWithCells="1">
                  <from>
                    <xdr:col>0</xdr:col>
                    <xdr:colOff>180975</xdr:colOff>
                    <xdr:row>69</xdr:row>
                    <xdr:rowOff>19050</xdr:rowOff>
                  </from>
                  <to>
                    <xdr:col>2</xdr:col>
                    <xdr:colOff>104775</xdr:colOff>
                    <xdr:row>70</xdr:row>
                    <xdr:rowOff>38100</xdr:rowOff>
                  </to>
                </anchor>
              </controlPr>
            </control>
          </mc:Choice>
        </mc:AlternateContent>
        <mc:AlternateContent xmlns:mc="http://schemas.openxmlformats.org/markup-compatibility/2006">
          <mc:Choice Requires="x14">
            <control shapeId="45118" r:id="rId64" name="Check Box 62">
              <controlPr defaultSize="0" autoFill="0" autoLine="0" autoPict="0" macro="[0]!Sheet19.RenumberNotes">
                <anchor moveWithCells="1">
                  <from>
                    <xdr:col>0</xdr:col>
                    <xdr:colOff>180975</xdr:colOff>
                    <xdr:row>70</xdr:row>
                    <xdr:rowOff>19050</xdr:rowOff>
                  </from>
                  <to>
                    <xdr:col>2</xdr:col>
                    <xdr:colOff>104775</xdr:colOff>
                    <xdr:row>71</xdr:row>
                    <xdr:rowOff>38100</xdr:rowOff>
                  </to>
                </anchor>
              </controlPr>
            </control>
          </mc:Choice>
        </mc:AlternateContent>
        <mc:AlternateContent xmlns:mc="http://schemas.openxmlformats.org/markup-compatibility/2006">
          <mc:Choice Requires="x14">
            <control shapeId="45119" r:id="rId65" name="Check Box 63">
              <controlPr defaultSize="0" autoFill="0" autoLine="0" autoPict="0" macro="[0]!Sheet19.RenumberNotes">
                <anchor moveWithCells="1">
                  <from>
                    <xdr:col>0</xdr:col>
                    <xdr:colOff>180975</xdr:colOff>
                    <xdr:row>71</xdr:row>
                    <xdr:rowOff>0</xdr:rowOff>
                  </from>
                  <to>
                    <xdr:col>2</xdr:col>
                    <xdr:colOff>104775</xdr:colOff>
                    <xdr:row>72</xdr:row>
                    <xdr:rowOff>19050</xdr:rowOff>
                  </to>
                </anchor>
              </controlPr>
            </control>
          </mc:Choice>
        </mc:AlternateContent>
        <mc:AlternateContent xmlns:mc="http://schemas.openxmlformats.org/markup-compatibility/2006">
          <mc:Choice Requires="x14">
            <control shapeId="45120" r:id="rId66" name="Check Box 64">
              <controlPr defaultSize="0" autoFill="0" autoLine="0" autoPict="0" macro="[0]!Sheet19.RenumberNotes">
                <anchor moveWithCells="1">
                  <from>
                    <xdr:col>0</xdr:col>
                    <xdr:colOff>180975</xdr:colOff>
                    <xdr:row>72</xdr:row>
                    <xdr:rowOff>9525</xdr:rowOff>
                  </from>
                  <to>
                    <xdr:col>2</xdr:col>
                    <xdr:colOff>104775</xdr:colOff>
                    <xdr:row>73</xdr:row>
                    <xdr:rowOff>28575</xdr:rowOff>
                  </to>
                </anchor>
              </controlPr>
            </control>
          </mc:Choice>
        </mc:AlternateContent>
        <mc:AlternateContent xmlns:mc="http://schemas.openxmlformats.org/markup-compatibility/2006">
          <mc:Choice Requires="x14">
            <control shapeId="45121" r:id="rId67" name="Check Box 65">
              <controlPr defaultSize="0" autoFill="0" autoLine="0" autoPict="0" macro="[0]!Sheet19.RenumberNotes">
                <anchor moveWithCells="1">
                  <from>
                    <xdr:col>0</xdr:col>
                    <xdr:colOff>180975</xdr:colOff>
                    <xdr:row>73</xdr:row>
                    <xdr:rowOff>0</xdr:rowOff>
                  </from>
                  <to>
                    <xdr:col>2</xdr:col>
                    <xdr:colOff>104775</xdr:colOff>
                    <xdr:row>74</xdr:row>
                    <xdr:rowOff>19050</xdr:rowOff>
                  </to>
                </anchor>
              </controlPr>
            </control>
          </mc:Choice>
        </mc:AlternateContent>
        <mc:AlternateContent xmlns:mc="http://schemas.openxmlformats.org/markup-compatibility/2006">
          <mc:Choice Requires="x14">
            <control shapeId="45122" r:id="rId68" name="Check Box 66">
              <controlPr defaultSize="0" autoFill="0" autoLine="0" autoPict="0" macro="[0]!Sheet19.RenumberNotes">
                <anchor moveWithCells="1">
                  <from>
                    <xdr:col>0</xdr:col>
                    <xdr:colOff>180975</xdr:colOff>
                    <xdr:row>74</xdr:row>
                    <xdr:rowOff>0</xdr:rowOff>
                  </from>
                  <to>
                    <xdr:col>2</xdr:col>
                    <xdr:colOff>104775</xdr:colOff>
                    <xdr:row>75</xdr:row>
                    <xdr:rowOff>19050</xdr:rowOff>
                  </to>
                </anchor>
              </controlPr>
            </control>
          </mc:Choice>
        </mc:AlternateContent>
        <mc:AlternateContent xmlns:mc="http://schemas.openxmlformats.org/markup-compatibility/2006">
          <mc:Choice Requires="x14">
            <control shapeId="45123" r:id="rId69" name="Check Box 67">
              <controlPr defaultSize="0" autoFill="0" autoLine="0" autoPict="0" macro="[0]!Sheet19.RenumberNotes">
                <anchor moveWithCells="1">
                  <from>
                    <xdr:col>0</xdr:col>
                    <xdr:colOff>180975</xdr:colOff>
                    <xdr:row>75</xdr:row>
                    <xdr:rowOff>0</xdr:rowOff>
                  </from>
                  <to>
                    <xdr:col>2</xdr:col>
                    <xdr:colOff>104775</xdr:colOff>
                    <xdr:row>76</xdr:row>
                    <xdr:rowOff>19050</xdr:rowOff>
                  </to>
                </anchor>
              </controlPr>
            </control>
          </mc:Choice>
        </mc:AlternateContent>
        <mc:AlternateContent xmlns:mc="http://schemas.openxmlformats.org/markup-compatibility/2006">
          <mc:Choice Requires="x14">
            <control shapeId="45124" r:id="rId70" name="Check Box 68">
              <controlPr defaultSize="0" autoFill="0" autoLine="0" autoPict="0" macro="[0]!Sheet19.RenumberNotes">
                <anchor moveWithCells="1">
                  <from>
                    <xdr:col>0</xdr:col>
                    <xdr:colOff>180975</xdr:colOff>
                    <xdr:row>76</xdr:row>
                    <xdr:rowOff>9525</xdr:rowOff>
                  </from>
                  <to>
                    <xdr:col>2</xdr:col>
                    <xdr:colOff>104775</xdr:colOff>
                    <xdr:row>77</xdr:row>
                    <xdr:rowOff>28575</xdr:rowOff>
                  </to>
                </anchor>
              </controlPr>
            </control>
          </mc:Choice>
        </mc:AlternateContent>
        <mc:AlternateContent xmlns:mc="http://schemas.openxmlformats.org/markup-compatibility/2006">
          <mc:Choice Requires="x14">
            <control shapeId="45125" r:id="rId71" name="Check Box 69">
              <controlPr defaultSize="0" autoFill="0" autoLine="0" autoPict="0" macro="[0]!Sheet19.RenumberNotes">
                <anchor moveWithCells="1">
                  <from>
                    <xdr:col>0</xdr:col>
                    <xdr:colOff>180975</xdr:colOff>
                    <xdr:row>77</xdr:row>
                    <xdr:rowOff>0</xdr:rowOff>
                  </from>
                  <to>
                    <xdr:col>2</xdr:col>
                    <xdr:colOff>104775</xdr:colOff>
                    <xdr:row>78</xdr:row>
                    <xdr:rowOff>19050</xdr:rowOff>
                  </to>
                </anchor>
              </controlPr>
            </control>
          </mc:Choice>
        </mc:AlternateContent>
        <mc:AlternateContent xmlns:mc="http://schemas.openxmlformats.org/markup-compatibility/2006">
          <mc:Choice Requires="x14">
            <control shapeId="45126" r:id="rId72" name="Check Box 70">
              <controlPr defaultSize="0" autoFill="0" autoLine="0" autoPict="0" macro="[0]!Sheet19.RenumberNotes">
                <anchor moveWithCells="1">
                  <from>
                    <xdr:col>0</xdr:col>
                    <xdr:colOff>180975</xdr:colOff>
                    <xdr:row>78</xdr:row>
                    <xdr:rowOff>0</xdr:rowOff>
                  </from>
                  <to>
                    <xdr:col>2</xdr:col>
                    <xdr:colOff>104775</xdr:colOff>
                    <xdr:row>79</xdr:row>
                    <xdr:rowOff>19050</xdr:rowOff>
                  </to>
                </anchor>
              </controlPr>
            </control>
          </mc:Choice>
        </mc:AlternateContent>
        <mc:AlternateContent xmlns:mc="http://schemas.openxmlformats.org/markup-compatibility/2006">
          <mc:Choice Requires="x14">
            <control shapeId="45127" r:id="rId73" name="Check Box 71">
              <controlPr defaultSize="0" autoFill="0" autoLine="0" autoPict="0" macro="[0]!Sheet19.RenumberNotes">
                <anchor moveWithCells="1">
                  <from>
                    <xdr:col>0</xdr:col>
                    <xdr:colOff>180975</xdr:colOff>
                    <xdr:row>79</xdr:row>
                    <xdr:rowOff>0</xdr:rowOff>
                  </from>
                  <to>
                    <xdr:col>2</xdr:col>
                    <xdr:colOff>104775</xdr:colOff>
                    <xdr:row>80</xdr:row>
                    <xdr:rowOff>19050</xdr:rowOff>
                  </to>
                </anchor>
              </controlPr>
            </control>
          </mc:Choice>
        </mc:AlternateContent>
        <mc:AlternateContent xmlns:mc="http://schemas.openxmlformats.org/markup-compatibility/2006">
          <mc:Choice Requires="x14">
            <control shapeId="45128" r:id="rId74" name="Check Box 72">
              <controlPr defaultSize="0" autoFill="0" autoLine="0" autoPict="0" macro="[0]!Sheet19.RenumberNotes">
                <anchor moveWithCells="1">
                  <from>
                    <xdr:col>0</xdr:col>
                    <xdr:colOff>180975</xdr:colOff>
                    <xdr:row>80</xdr:row>
                    <xdr:rowOff>0</xdr:rowOff>
                  </from>
                  <to>
                    <xdr:col>2</xdr:col>
                    <xdr:colOff>104775</xdr:colOff>
                    <xdr:row>81</xdr:row>
                    <xdr:rowOff>19050</xdr:rowOff>
                  </to>
                </anchor>
              </controlPr>
            </control>
          </mc:Choice>
        </mc:AlternateContent>
        <mc:AlternateContent xmlns:mc="http://schemas.openxmlformats.org/markup-compatibility/2006">
          <mc:Choice Requires="x14">
            <control shapeId="45129" r:id="rId75" name="Check Box 73">
              <controlPr defaultSize="0" autoFill="0" autoLine="0" autoPict="0" macro="[0]!Sheet19.RenumberNotes">
                <anchor moveWithCells="1">
                  <from>
                    <xdr:col>0</xdr:col>
                    <xdr:colOff>180975</xdr:colOff>
                    <xdr:row>85</xdr:row>
                    <xdr:rowOff>9525</xdr:rowOff>
                  </from>
                  <to>
                    <xdr:col>2</xdr:col>
                    <xdr:colOff>104775</xdr:colOff>
                    <xdr:row>86</xdr:row>
                    <xdr:rowOff>28575</xdr:rowOff>
                  </to>
                </anchor>
              </controlPr>
            </control>
          </mc:Choice>
        </mc:AlternateContent>
        <mc:AlternateContent xmlns:mc="http://schemas.openxmlformats.org/markup-compatibility/2006">
          <mc:Choice Requires="x14">
            <control shapeId="45130" r:id="rId76" name="Check Box 74">
              <controlPr defaultSize="0" autoFill="0" autoLine="0" autoPict="0" macro="[0]!Sheet19.RenumberNotes">
                <anchor moveWithCells="1">
                  <from>
                    <xdr:col>0</xdr:col>
                    <xdr:colOff>180975</xdr:colOff>
                    <xdr:row>86</xdr:row>
                    <xdr:rowOff>0</xdr:rowOff>
                  </from>
                  <to>
                    <xdr:col>2</xdr:col>
                    <xdr:colOff>104775</xdr:colOff>
                    <xdr:row>87</xdr:row>
                    <xdr:rowOff>19050</xdr:rowOff>
                  </to>
                </anchor>
              </controlPr>
            </control>
          </mc:Choice>
        </mc:AlternateContent>
        <mc:AlternateContent xmlns:mc="http://schemas.openxmlformats.org/markup-compatibility/2006">
          <mc:Choice Requires="x14">
            <control shapeId="45131" r:id="rId77" name="Check Box 75">
              <controlPr defaultSize="0" autoFill="0" autoLine="0" autoPict="0" macro="[0]!Sheet19.RenumberNotes">
                <anchor moveWithCells="1">
                  <from>
                    <xdr:col>0</xdr:col>
                    <xdr:colOff>180975</xdr:colOff>
                    <xdr:row>87</xdr:row>
                    <xdr:rowOff>0</xdr:rowOff>
                  </from>
                  <to>
                    <xdr:col>2</xdr:col>
                    <xdr:colOff>104775</xdr:colOff>
                    <xdr:row>88</xdr:row>
                    <xdr:rowOff>19050</xdr:rowOff>
                  </to>
                </anchor>
              </controlPr>
            </control>
          </mc:Choice>
        </mc:AlternateContent>
        <mc:AlternateContent xmlns:mc="http://schemas.openxmlformats.org/markup-compatibility/2006">
          <mc:Choice Requires="x14">
            <control shapeId="45132" r:id="rId78" name="Check Box 76">
              <controlPr defaultSize="0" autoFill="0" autoLine="0" autoPict="0" macro="[0]!Sheet19.RenumberNotes">
                <anchor moveWithCells="1">
                  <from>
                    <xdr:col>0</xdr:col>
                    <xdr:colOff>180975</xdr:colOff>
                    <xdr:row>88</xdr:row>
                    <xdr:rowOff>0</xdr:rowOff>
                  </from>
                  <to>
                    <xdr:col>2</xdr:col>
                    <xdr:colOff>104775</xdr:colOff>
                    <xdr:row>89</xdr:row>
                    <xdr:rowOff>19050</xdr:rowOff>
                  </to>
                </anchor>
              </controlPr>
            </control>
          </mc:Choice>
        </mc:AlternateContent>
        <mc:AlternateContent xmlns:mc="http://schemas.openxmlformats.org/markup-compatibility/2006">
          <mc:Choice Requires="x14">
            <control shapeId="45133" r:id="rId79" name="Check Box 77">
              <controlPr defaultSize="0" autoFill="0" autoLine="0" autoPict="0" macro="[0]!Sheet19.RenumberNotes">
                <anchor moveWithCells="1">
                  <from>
                    <xdr:col>0</xdr:col>
                    <xdr:colOff>180975</xdr:colOff>
                    <xdr:row>88</xdr:row>
                    <xdr:rowOff>9525</xdr:rowOff>
                  </from>
                  <to>
                    <xdr:col>2</xdr:col>
                    <xdr:colOff>104775</xdr:colOff>
                    <xdr:row>89</xdr:row>
                    <xdr:rowOff>28575</xdr:rowOff>
                  </to>
                </anchor>
              </controlPr>
            </control>
          </mc:Choice>
        </mc:AlternateContent>
        <mc:AlternateContent xmlns:mc="http://schemas.openxmlformats.org/markup-compatibility/2006">
          <mc:Choice Requires="x14">
            <control shapeId="45134" r:id="rId80" name="Check Box 78">
              <controlPr defaultSize="0" autoFill="0" autoLine="0" autoPict="0" macro="[0]!Sheet19.RenumberNotes">
                <anchor moveWithCells="1">
                  <from>
                    <xdr:col>0</xdr:col>
                    <xdr:colOff>180975</xdr:colOff>
                    <xdr:row>89</xdr:row>
                    <xdr:rowOff>0</xdr:rowOff>
                  </from>
                  <to>
                    <xdr:col>2</xdr:col>
                    <xdr:colOff>104775</xdr:colOff>
                    <xdr:row>90</xdr:row>
                    <xdr:rowOff>19050</xdr:rowOff>
                  </to>
                </anchor>
              </controlPr>
            </control>
          </mc:Choice>
        </mc:AlternateContent>
        <mc:AlternateContent xmlns:mc="http://schemas.openxmlformats.org/markup-compatibility/2006">
          <mc:Choice Requires="x14">
            <control shapeId="45135" r:id="rId81" name="Check Box 79">
              <controlPr defaultSize="0" autoFill="0" autoLine="0" autoPict="0" macro="[0]!Sheet19.RenumberNotes">
                <anchor moveWithCells="1">
                  <from>
                    <xdr:col>0</xdr:col>
                    <xdr:colOff>180975</xdr:colOff>
                    <xdr:row>90</xdr:row>
                    <xdr:rowOff>0</xdr:rowOff>
                  </from>
                  <to>
                    <xdr:col>2</xdr:col>
                    <xdr:colOff>104775</xdr:colOff>
                    <xdr:row>91</xdr:row>
                    <xdr:rowOff>19050</xdr:rowOff>
                  </to>
                </anchor>
              </controlPr>
            </control>
          </mc:Choice>
        </mc:AlternateContent>
        <mc:AlternateContent xmlns:mc="http://schemas.openxmlformats.org/markup-compatibility/2006">
          <mc:Choice Requires="x14">
            <control shapeId="45136" r:id="rId82" name="Check Box 80">
              <controlPr defaultSize="0" autoFill="0" autoLine="0" autoPict="0" macro="[0]!Sheet19.RenumberNotes">
                <anchor moveWithCells="1">
                  <from>
                    <xdr:col>0</xdr:col>
                    <xdr:colOff>180975</xdr:colOff>
                    <xdr:row>91</xdr:row>
                    <xdr:rowOff>0</xdr:rowOff>
                  </from>
                  <to>
                    <xdr:col>2</xdr:col>
                    <xdr:colOff>104775</xdr:colOff>
                    <xdr:row>92</xdr:row>
                    <xdr:rowOff>19050</xdr:rowOff>
                  </to>
                </anchor>
              </controlPr>
            </control>
          </mc:Choice>
        </mc:AlternateContent>
        <mc:AlternateContent xmlns:mc="http://schemas.openxmlformats.org/markup-compatibility/2006">
          <mc:Choice Requires="x14">
            <control shapeId="45137" r:id="rId83" name="Check Box 81">
              <controlPr defaultSize="0" autoFill="0" autoLine="0" autoPict="0" macro="[0]!Sheet19.RenumberNotes">
                <anchor moveWithCells="1">
                  <from>
                    <xdr:col>0</xdr:col>
                    <xdr:colOff>180975</xdr:colOff>
                    <xdr:row>92</xdr:row>
                    <xdr:rowOff>0</xdr:rowOff>
                  </from>
                  <to>
                    <xdr:col>2</xdr:col>
                    <xdr:colOff>95250</xdr:colOff>
                    <xdr:row>93</xdr:row>
                    <xdr:rowOff>19050</xdr:rowOff>
                  </to>
                </anchor>
              </controlPr>
            </control>
          </mc:Choice>
        </mc:AlternateContent>
        <mc:AlternateContent xmlns:mc="http://schemas.openxmlformats.org/markup-compatibility/2006">
          <mc:Choice Requires="x14">
            <control shapeId="45138" r:id="rId84" name="Check Box 82">
              <controlPr defaultSize="0" autoFill="0" autoLine="0" autoPict="0" macro="[0]!Sheet19.RenumberNotes">
                <anchor moveWithCells="1">
                  <from>
                    <xdr:col>0</xdr:col>
                    <xdr:colOff>180975</xdr:colOff>
                    <xdr:row>94</xdr:row>
                    <xdr:rowOff>0</xdr:rowOff>
                  </from>
                  <to>
                    <xdr:col>2</xdr:col>
                    <xdr:colOff>104775</xdr:colOff>
                    <xdr:row>95</xdr:row>
                    <xdr:rowOff>19050</xdr:rowOff>
                  </to>
                </anchor>
              </controlPr>
            </control>
          </mc:Choice>
        </mc:AlternateContent>
        <mc:AlternateContent xmlns:mc="http://schemas.openxmlformats.org/markup-compatibility/2006">
          <mc:Choice Requires="x14">
            <control shapeId="45139" r:id="rId85" name="Check Box 83">
              <controlPr defaultSize="0" autoFill="0" autoLine="0" autoPict="0" macro="[0]!Sheet19.RenumberNotes">
                <anchor moveWithCells="1">
                  <from>
                    <xdr:col>0</xdr:col>
                    <xdr:colOff>180975</xdr:colOff>
                    <xdr:row>95</xdr:row>
                    <xdr:rowOff>0</xdr:rowOff>
                  </from>
                  <to>
                    <xdr:col>2</xdr:col>
                    <xdr:colOff>104775</xdr:colOff>
                    <xdr:row>96</xdr:row>
                    <xdr:rowOff>19050</xdr:rowOff>
                  </to>
                </anchor>
              </controlPr>
            </control>
          </mc:Choice>
        </mc:AlternateContent>
        <mc:AlternateContent xmlns:mc="http://schemas.openxmlformats.org/markup-compatibility/2006">
          <mc:Choice Requires="x14">
            <control shapeId="45140" r:id="rId86" name="Check Box 84">
              <controlPr defaultSize="0" autoFill="0" autoLine="0" autoPict="0" macro="[0]!Sheet19.RenumberNotes">
                <anchor moveWithCells="1">
                  <from>
                    <xdr:col>0</xdr:col>
                    <xdr:colOff>180975</xdr:colOff>
                    <xdr:row>96</xdr:row>
                    <xdr:rowOff>0</xdr:rowOff>
                  </from>
                  <to>
                    <xdr:col>2</xdr:col>
                    <xdr:colOff>104775</xdr:colOff>
                    <xdr:row>97</xdr:row>
                    <xdr:rowOff>19050</xdr:rowOff>
                  </to>
                </anchor>
              </controlPr>
            </control>
          </mc:Choice>
        </mc:AlternateContent>
        <mc:AlternateContent xmlns:mc="http://schemas.openxmlformats.org/markup-compatibility/2006">
          <mc:Choice Requires="x14">
            <control shapeId="45141" r:id="rId87" name="Check Box 85">
              <controlPr defaultSize="0" autoFill="0" autoLine="0" autoPict="0" macro="[0]!Sheet19.RenumberNotes">
                <anchor moveWithCells="1">
                  <from>
                    <xdr:col>0</xdr:col>
                    <xdr:colOff>180975</xdr:colOff>
                    <xdr:row>97</xdr:row>
                    <xdr:rowOff>9525</xdr:rowOff>
                  </from>
                  <to>
                    <xdr:col>2</xdr:col>
                    <xdr:colOff>104775</xdr:colOff>
                    <xdr:row>98</xdr:row>
                    <xdr:rowOff>28575</xdr:rowOff>
                  </to>
                </anchor>
              </controlPr>
            </control>
          </mc:Choice>
        </mc:AlternateContent>
        <mc:AlternateContent xmlns:mc="http://schemas.openxmlformats.org/markup-compatibility/2006">
          <mc:Choice Requires="x14">
            <control shapeId="45142" r:id="rId88" name="Check Box 86">
              <controlPr defaultSize="0" autoFill="0" autoLine="0" autoPict="0" macro="[0]!Sheet19.RenumberNotes">
                <anchor moveWithCells="1">
                  <from>
                    <xdr:col>0</xdr:col>
                    <xdr:colOff>180975</xdr:colOff>
                    <xdr:row>98</xdr:row>
                    <xdr:rowOff>0</xdr:rowOff>
                  </from>
                  <to>
                    <xdr:col>2</xdr:col>
                    <xdr:colOff>104775</xdr:colOff>
                    <xdr:row>99</xdr:row>
                    <xdr:rowOff>19050</xdr:rowOff>
                  </to>
                </anchor>
              </controlPr>
            </control>
          </mc:Choice>
        </mc:AlternateContent>
        <mc:AlternateContent xmlns:mc="http://schemas.openxmlformats.org/markup-compatibility/2006">
          <mc:Choice Requires="x14">
            <control shapeId="45143" r:id="rId89" name="Check Box 87">
              <controlPr defaultSize="0" autoFill="0" autoLine="0" autoPict="0" macro="[0]!Sheet19.RenumberNotes">
                <anchor moveWithCells="1">
                  <from>
                    <xdr:col>0</xdr:col>
                    <xdr:colOff>180975</xdr:colOff>
                    <xdr:row>99</xdr:row>
                    <xdr:rowOff>0</xdr:rowOff>
                  </from>
                  <to>
                    <xdr:col>2</xdr:col>
                    <xdr:colOff>104775</xdr:colOff>
                    <xdr:row>100</xdr:row>
                    <xdr:rowOff>19050</xdr:rowOff>
                  </to>
                </anchor>
              </controlPr>
            </control>
          </mc:Choice>
        </mc:AlternateContent>
        <mc:AlternateContent xmlns:mc="http://schemas.openxmlformats.org/markup-compatibility/2006">
          <mc:Choice Requires="x14">
            <control shapeId="45144" r:id="rId90" name="Check Box 88">
              <controlPr defaultSize="0" autoFill="0" autoLine="0" autoPict="0" macro="[0]!Sheet19.RenumberNotes">
                <anchor moveWithCells="1">
                  <from>
                    <xdr:col>0</xdr:col>
                    <xdr:colOff>180975</xdr:colOff>
                    <xdr:row>100</xdr:row>
                    <xdr:rowOff>0</xdr:rowOff>
                  </from>
                  <to>
                    <xdr:col>2</xdr:col>
                    <xdr:colOff>104775</xdr:colOff>
                    <xdr:row>101</xdr:row>
                    <xdr:rowOff>19050</xdr:rowOff>
                  </to>
                </anchor>
              </controlPr>
            </control>
          </mc:Choice>
        </mc:AlternateContent>
        <mc:AlternateContent xmlns:mc="http://schemas.openxmlformats.org/markup-compatibility/2006">
          <mc:Choice Requires="x14">
            <control shapeId="45145" r:id="rId91" name="Button 89">
              <controlPr defaultSize="0" print="0" autoFill="0" autoPict="0" macro="[0]!Sheet19.HideHighlights">
                <anchor moveWithCells="1" sizeWithCells="1">
                  <from>
                    <xdr:col>3</xdr:col>
                    <xdr:colOff>3667125</xdr:colOff>
                    <xdr:row>0</xdr:row>
                    <xdr:rowOff>57150</xdr:rowOff>
                  </from>
                  <to>
                    <xdr:col>3</xdr:col>
                    <xdr:colOff>5467350</xdr:colOff>
                    <xdr:row>1</xdr:row>
                    <xdr:rowOff>161925</xdr:rowOff>
                  </to>
                </anchor>
              </controlPr>
            </control>
          </mc:Choice>
        </mc:AlternateContent>
        <mc:AlternateContent xmlns:mc="http://schemas.openxmlformats.org/markup-compatibility/2006">
          <mc:Choice Requires="x14">
            <control shapeId="45146" r:id="rId92" name="Check Box 90">
              <controlPr defaultSize="0" autoFill="0" autoLine="0" autoPict="0" macro="[0]!Sheet19.RenumberNotes">
                <anchor moveWithCells="1">
                  <from>
                    <xdr:col>0</xdr:col>
                    <xdr:colOff>180975</xdr:colOff>
                    <xdr:row>80</xdr:row>
                    <xdr:rowOff>190500</xdr:rowOff>
                  </from>
                  <to>
                    <xdr:col>2</xdr:col>
                    <xdr:colOff>104775</xdr:colOff>
                    <xdr:row>82</xdr:row>
                    <xdr:rowOff>9525</xdr:rowOff>
                  </to>
                </anchor>
              </controlPr>
            </control>
          </mc:Choice>
        </mc:AlternateContent>
        <mc:AlternateContent xmlns:mc="http://schemas.openxmlformats.org/markup-compatibility/2006">
          <mc:Choice Requires="x14">
            <control shapeId="45147" r:id="rId93" name="Check Box 91">
              <controlPr defaultSize="0" autoFill="0" autoLine="0" autoPict="0" macro="[0]!Sheet19.RenumberNotes">
                <anchor moveWithCells="1">
                  <from>
                    <xdr:col>0</xdr:col>
                    <xdr:colOff>180975</xdr:colOff>
                    <xdr:row>81</xdr:row>
                    <xdr:rowOff>190500</xdr:rowOff>
                  </from>
                  <to>
                    <xdr:col>2</xdr:col>
                    <xdr:colOff>104775</xdr:colOff>
                    <xdr:row>83</xdr:row>
                    <xdr:rowOff>9525</xdr:rowOff>
                  </to>
                </anchor>
              </controlPr>
            </control>
          </mc:Choice>
        </mc:AlternateContent>
        <mc:AlternateContent xmlns:mc="http://schemas.openxmlformats.org/markup-compatibility/2006">
          <mc:Choice Requires="x14">
            <control shapeId="45148" r:id="rId94" name="Check Box 92">
              <controlPr defaultSize="0" autoFill="0" autoLine="0" autoPict="0" macro="[0]!Sheet19.RenumberNotes">
                <anchor moveWithCells="1">
                  <from>
                    <xdr:col>0</xdr:col>
                    <xdr:colOff>180975</xdr:colOff>
                    <xdr:row>82</xdr:row>
                    <xdr:rowOff>190500</xdr:rowOff>
                  </from>
                  <to>
                    <xdr:col>2</xdr:col>
                    <xdr:colOff>104775</xdr:colOff>
                    <xdr:row>84</xdr:row>
                    <xdr:rowOff>9525</xdr:rowOff>
                  </to>
                </anchor>
              </controlPr>
            </control>
          </mc:Choice>
        </mc:AlternateContent>
        <mc:AlternateContent xmlns:mc="http://schemas.openxmlformats.org/markup-compatibility/2006">
          <mc:Choice Requires="x14">
            <control shapeId="45149" r:id="rId95" name="Check Box 93">
              <controlPr defaultSize="0" autoFill="0" autoLine="0" autoPict="0" macro="[0]!Sheet19.RenumberNotes">
                <anchor moveWithCells="1">
                  <from>
                    <xdr:col>0</xdr:col>
                    <xdr:colOff>180975</xdr:colOff>
                    <xdr:row>83</xdr:row>
                    <xdr:rowOff>190500</xdr:rowOff>
                  </from>
                  <to>
                    <xdr:col>2</xdr:col>
                    <xdr:colOff>104775</xdr:colOff>
                    <xdr:row>85</xdr:row>
                    <xdr:rowOff>9525</xdr:rowOff>
                  </to>
                </anchor>
              </controlPr>
            </control>
          </mc:Choice>
        </mc:AlternateContent>
        <mc:AlternateContent xmlns:mc="http://schemas.openxmlformats.org/markup-compatibility/2006">
          <mc:Choice Requires="x14">
            <control shapeId="45150" r:id="rId96" name="Check Box 94">
              <controlPr defaultSize="0" autoFill="0" autoLine="0" autoPict="0" macro="[0]!Sheet19.RenumberReport">
                <anchor moveWithCells="1">
                  <from>
                    <xdr:col>0</xdr:col>
                    <xdr:colOff>180975</xdr:colOff>
                    <xdr:row>2</xdr:row>
                    <xdr:rowOff>190500</xdr:rowOff>
                  </from>
                  <to>
                    <xdr:col>2</xdr:col>
                    <xdr:colOff>104775</xdr:colOff>
                    <xdr:row>4</xdr:row>
                    <xdr:rowOff>9525</xdr:rowOff>
                  </to>
                </anchor>
              </controlPr>
            </control>
          </mc:Choice>
        </mc:AlternateContent>
        <mc:AlternateContent xmlns:mc="http://schemas.openxmlformats.org/markup-compatibility/2006">
          <mc:Choice Requires="x14">
            <control shapeId="45152" r:id="rId97" name="Button 96">
              <controlPr defaultSize="0" print="0" autoFill="0" autoPict="0" macro="[0]!Sheet19.UnhideAllRows">
                <anchor moveWithCells="1" sizeWithCells="1">
                  <from>
                    <xdr:col>3</xdr:col>
                    <xdr:colOff>7124700</xdr:colOff>
                    <xdr:row>0</xdr:row>
                    <xdr:rowOff>57150</xdr:rowOff>
                  </from>
                  <to>
                    <xdr:col>3</xdr:col>
                    <xdr:colOff>9229725</xdr:colOff>
                    <xdr:row>1</xdr:row>
                    <xdr:rowOff>161925</xdr:rowOff>
                  </to>
                </anchor>
              </controlPr>
            </control>
          </mc:Choice>
        </mc:AlternateContent>
        <mc:AlternateContent xmlns:mc="http://schemas.openxmlformats.org/markup-compatibility/2006">
          <mc:Choice Requires="x14">
            <control shapeId="45153" r:id="rId98" name="Check Box 97">
              <controlPr defaultSize="0" autoFill="0" autoLine="0" autoPict="0" macro="[0]!Sheet19.RenumberReport">
                <anchor moveWithCells="1">
                  <from>
                    <xdr:col>0</xdr:col>
                    <xdr:colOff>0</xdr:colOff>
                    <xdr:row>0</xdr:row>
                    <xdr:rowOff>152400</xdr:rowOff>
                  </from>
                  <to>
                    <xdr:col>1</xdr:col>
                    <xdr:colOff>114300</xdr:colOff>
                    <xdr:row>2</xdr:row>
                    <xdr:rowOff>9525</xdr:rowOff>
                  </to>
                </anchor>
              </controlPr>
            </control>
          </mc:Choice>
        </mc:AlternateContent>
        <mc:AlternateContent xmlns:mc="http://schemas.openxmlformats.org/markup-compatibility/2006">
          <mc:Choice Requires="x14">
            <control shapeId="45154" r:id="rId99" name="Button 98">
              <controlPr defaultSize="0" print="0" autoFill="0" autoPict="0" macro="[0]!Sheet19.HideRenum">
                <anchor moveWithCells="1" sizeWithCells="1">
                  <from>
                    <xdr:col>3</xdr:col>
                    <xdr:colOff>2371725</xdr:colOff>
                    <xdr:row>0</xdr:row>
                    <xdr:rowOff>66675</xdr:rowOff>
                  </from>
                  <to>
                    <xdr:col>3</xdr:col>
                    <xdr:colOff>3533775</xdr:colOff>
                    <xdr:row>1</xdr:row>
                    <xdr:rowOff>171450</xdr:rowOff>
                  </to>
                </anchor>
              </controlPr>
            </control>
          </mc:Choice>
        </mc:AlternateContent>
        <mc:AlternateContent xmlns:mc="http://schemas.openxmlformats.org/markup-compatibility/2006">
          <mc:Choice Requires="x14">
            <control shapeId="45155" r:id="rId100" name="Button 99">
              <controlPr defaultSize="0" print="0" autoFill="0" autoPict="0" macro="[0]!Sheet19.RenumNotes">
                <anchor moveWithCells="1" sizeWithCells="1">
                  <from>
                    <xdr:col>3</xdr:col>
                    <xdr:colOff>5562600</xdr:colOff>
                    <xdr:row>0</xdr:row>
                    <xdr:rowOff>66675</xdr:rowOff>
                  </from>
                  <to>
                    <xdr:col>3</xdr:col>
                    <xdr:colOff>7010400</xdr:colOff>
                    <xdr:row>1</xdr:row>
                    <xdr:rowOff>171450</xdr:rowOff>
                  </to>
                </anchor>
              </controlPr>
            </control>
          </mc:Choice>
        </mc:AlternateContent>
        <mc:AlternateContent xmlns:mc="http://schemas.openxmlformats.org/markup-compatibility/2006">
          <mc:Choice Requires="x14">
            <control shapeId="45156" r:id="rId101" name="Check Box 100">
              <controlPr defaultSize="0" autoFill="0" autoLine="0" autoPict="0" macro="[0]!Sheet19.RenumberNotes">
                <anchor moveWithCells="1">
                  <from>
                    <xdr:col>0</xdr:col>
                    <xdr:colOff>180975</xdr:colOff>
                    <xdr:row>93</xdr:row>
                    <xdr:rowOff>0</xdr:rowOff>
                  </from>
                  <to>
                    <xdr:col>2</xdr:col>
                    <xdr:colOff>95250</xdr:colOff>
                    <xdr:row>94</xdr:row>
                    <xdr:rowOff>19050</xdr:rowOff>
                  </to>
                </anchor>
              </controlPr>
            </control>
          </mc:Choice>
        </mc:AlternateContent>
        <mc:AlternateContent xmlns:mc="http://schemas.openxmlformats.org/markup-compatibility/2006">
          <mc:Choice Requires="x14">
            <control shapeId="45157" r:id="rId102" name="Check Box 101">
              <controlPr defaultSize="0" autoFill="0" autoLine="0" autoPict="0" macro="[0]!Sheet19.RenumberNotes">
                <anchor moveWithCells="1">
                  <from>
                    <xdr:col>0</xdr:col>
                    <xdr:colOff>180975</xdr:colOff>
                    <xdr:row>31</xdr:row>
                    <xdr:rowOff>0</xdr:rowOff>
                  </from>
                  <to>
                    <xdr:col>2</xdr:col>
                    <xdr:colOff>95250</xdr:colOff>
                    <xdr:row>32</xdr:row>
                    <xdr:rowOff>19050</xdr:rowOff>
                  </to>
                </anchor>
              </controlPr>
            </control>
          </mc:Choice>
        </mc:AlternateContent>
        <mc:AlternateContent xmlns:mc="http://schemas.openxmlformats.org/markup-compatibility/2006">
          <mc:Choice Requires="x14">
            <control shapeId="45159" r:id="rId103" name="Check Box 103">
              <controlPr defaultSize="0" autoFill="0" autoLine="0" autoPict="0" macro="[0]!Sheet19.HideBudgetCols">
                <anchor moveWithCells="1">
                  <from>
                    <xdr:col>0</xdr:col>
                    <xdr:colOff>180975</xdr:colOff>
                    <xdr:row>103</xdr:row>
                    <xdr:rowOff>0</xdr:rowOff>
                  </from>
                  <to>
                    <xdr:col>2</xdr:col>
                    <xdr:colOff>95250</xdr:colOff>
                    <xdr:row>104</xdr:row>
                    <xdr:rowOff>19050</xdr:rowOff>
                  </to>
                </anchor>
              </controlPr>
            </control>
          </mc:Choice>
        </mc:AlternateContent>
        <mc:AlternateContent xmlns:mc="http://schemas.openxmlformats.org/markup-compatibility/2006">
          <mc:Choice Requires="x14">
            <control shapeId="45160" r:id="rId104" name="Check Box 104">
              <controlPr defaultSize="0" autoFill="0" autoLine="0" autoPict="0" macro="[0]!Sheet19.RenumberNotes">
                <anchor moveWithCells="1">
                  <from>
                    <xdr:col>0</xdr:col>
                    <xdr:colOff>180975</xdr:colOff>
                    <xdr:row>35</xdr:row>
                    <xdr:rowOff>0</xdr:rowOff>
                  </from>
                  <to>
                    <xdr:col>2</xdr:col>
                    <xdr:colOff>95250</xdr:colOff>
                    <xdr:row>36</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5"/>
  <sheetViews>
    <sheetView workbookViewId="0">
      <selection activeCell="E7" sqref="E7"/>
    </sheetView>
  </sheetViews>
  <sheetFormatPr defaultRowHeight="12.75" x14ac:dyDescent="0.2"/>
  <cols>
    <col min="1" max="1" width="19.7109375" bestFit="1" customWidth="1"/>
    <col min="2" max="2" width="25.140625" bestFit="1" customWidth="1"/>
    <col min="3" max="3" width="17.5703125" bestFit="1" customWidth="1"/>
    <col min="4" max="4" width="9.7109375" bestFit="1" customWidth="1"/>
    <col min="5" max="5" width="8.42578125" bestFit="1" customWidth="1"/>
    <col min="6" max="6" width="10.28515625" bestFit="1" customWidth="1"/>
  </cols>
  <sheetData>
    <row r="1" spans="1:6" x14ac:dyDescent="0.2">
      <c r="A1" s="1127" t="s">
        <v>3524</v>
      </c>
      <c r="B1" s="1127" t="s">
        <v>3525</v>
      </c>
      <c r="C1" s="1127" t="s">
        <v>3526</v>
      </c>
      <c r="D1" s="1127" t="s">
        <v>3527</v>
      </c>
      <c r="E1" s="1127" t="s">
        <v>3528</v>
      </c>
      <c r="F1" s="1127" t="s">
        <v>3529</v>
      </c>
    </row>
    <row r="2" spans="1:6" x14ac:dyDescent="0.2">
      <c r="A2" s="1127" t="s">
        <v>3530</v>
      </c>
      <c r="B2" s="1061" t="s">
        <v>3531</v>
      </c>
      <c r="C2" s="1061" t="s">
        <v>247</v>
      </c>
      <c r="D2" s="1127" t="s">
        <v>3532</v>
      </c>
      <c r="E2" s="1127" t="s">
        <v>1441</v>
      </c>
      <c r="F2" s="1127" t="s">
        <v>3533</v>
      </c>
    </row>
    <row r="3" spans="1:6" x14ac:dyDescent="0.2">
      <c r="A3" s="1127" t="s">
        <v>3534</v>
      </c>
      <c r="B3" s="1061" t="s">
        <v>105</v>
      </c>
      <c r="C3" s="1061" t="s">
        <v>235</v>
      </c>
      <c r="D3" s="1127" t="s">
        <v>3535</v>
      </c>
      <c r="E3" s="1127" t="s">
        <v>3536</v>
      </c>
      <c r="F3" s="1127" t="s">
        <v>3537</v>
      </c>
    </row>
    <row r="4" spans="1:6" x14ac:dyDescent="0.2">
      <c r="A4" s="1061"/>
      <c r="B4" s="1061" t="s">
        <v>3538</v>
      </c>
      <c r="C4" s="1061" t="s">
        <v>3539</v>
      </c>
      <c r="D4" s="1061"/>
      <c r="E4" s="1127" t="s">
        <v>3540</v>
      </c>
      <c r="F4" s="1127" t="s">
        <v>3541</v>
      </c>
    </row>
    <row r="5" spans="1:6" x14ac:dyDescent="0.2">
      <c r="A5" s="1061"/>
      <c r="B5" s="1061" t="s">
        <v>104</v>
      </c>
      <c r="C5" s="1061"/>
      <c r="D5" s="1061"/>
      <c r="E5" s="1061"/>
      <c r="F5" s="1127" t="s">
        <v>3542</v>
      </c>
    </row>
    <row r="6" spans="1:6" x14ac:dyDescent="0.2">
      <c r="A6" s="1061"/>
      <c r="B6" s="1061" t="s">
        <v>3543</v>
      </c>
      <c r="C6" s="1061"/>
      <c r="D6" s="1061"/>
      <c r="E6" s="1061"/>
      <c r="F6" s="1127" t="s">
        <v>3544</v>
      </c>
    </row>
    <row r="7" spans="1:6" x14ac:dyDescent="0.2">
      <c r="A7" s="1061"/>
      <c r="B7" s="1061"/>
      <c r="C7" s="1061"/>
      <c r="D7" s="1061"/>
      <c r="E7" s="1061"/>
      <c r="F7" s="1127" t="s">
        <v>3545</v>
      </c>
    </row>
    <row r="8" spans="1:6" x14ac:dyDescent="0.2">
      <c r="A8" s="1061"/>
      <c r="B8" s="1061"/>
      <c r="C8" s="1061"/>
      <c r="D8" s="1061"/>
      <c r="E8" s="1061"/>
      <c r="F8" s="1127" t="s">
        <v>3546</v>
      </c>
    </row>
    <row r="9" spans="1:6" x14ac:dyDescent="0.2">
      <c r="A9" s="1061"/>
      <c r="B9" s="1061"/>
      <c r="C9" s="1061"/>
      <c r="D9" s="1061"/>
      <c r="E9" s="1061"/>
      <c r="F9" s="1127" t="s">
        <v>3547</v>
      </c>
    </row>
    <row r="10" spans="1:6" x14ac:dyDescent="0.2">
      <c r="A10" s="1061"/>
      <c r="B10" s="1061"/>
      <c r="C10" s="1061"/>
      <c r="D10" s="1061"/>
      <c r="E10" s="1061"/>
      <c r="F10" s="1127" t="s">
        <v>3548</v>
      </c>
    </row>
    <row r="11" spans="1:6" x14ac:dyDescent="0.2">
      <c r="A11" s="1061"/>
      <c r="B11" s="1061"/>
      <c r="C11" s="1061"/>
      <c r="D11" s="1061"/>
      <c r="E11" s="1061"/>
      <c r="F11" s="1127" t="s">
        <v>3549</v>
      </c>
    </row>
    <row r="12" spans="1:6" x14ac:dyDescent="0.2">
      <c r="A12" s="1061"/>
      <c r="B12" s="1061"/>
      <c r="C12" s="1061"/>
      <c r="D12" s="1061"/>
      <c r="E12" s="1061"/>
      <c r="F12" s="1127" t="s">
        <v>3550</v>
      </c>
    </row>
    <row r="13" spans="1:6" x14ac:dyDescent="0.2">
      <c r="A13" s="1061"/>
      <c r="B13" s="1061"/>
      <c r="C13" s="1061"/>
      <c r="D13" s="1061"/>
      <c r="E13" s="1061"/>
      <c r="F13" s="1127" t="s">
        <v>3551</v>
      </c>
    </row>
    <row r="14" spans="1:6" x14ac:dyDescent="0.2">
      <c r="A14" s="1061"/>
      <c r="B14" s="1061"/>
      <c r="C14" s="1061"/>
      <c r="D14" s="1061"/>
      <c r="E14" s="1061"/>
      <c r="F14" s="1127" t="s">
        <v>3552</v>
      </c>
    </row>
    <row r="15" spans="1:6" x14ac:dyDescent="0.2">
      <c r="A15" s="1061"/>
      <c r="B15" s="1061"/>
      <c r="C15" s="1061"/>
      <c r="D15" s="1061"/>
      <c r="E15" s="1061"/>
      <c r="F15" s="1127" t="s">
        <v>3553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9"/>
  <sheetViews>
    <sheetView workbookViewId="0">
      <pane ySplit="4" topLeftCell="A59" activePane="bottomLeft" state="frozen"/>
      <selection pane="bottomLeft" activeCell="F71" sqref="F71"/>
    </sheetView>
  </sheetViews>
  <sheetFormatPr defaultRowHeight="12.75" x14ac:dyDescent="0.2"/>
  <cols>
    <col min="1" max="1" width="18.7109375" style="2009" customWidth="1"/>
    <col min="2" max="2" width="27.5703125" style="2009" bestFit="1" customWidth="1"/>
    <col min="3" max="6" width="18.7109375" style="2070" customWidth="1"/>
    <col min="7" max="8" width="18.7109375" style="2011" customWidth="1"/>
    <col min="9" max="9" width="91.28515625" customWidth="1"/>
  </cols>
  <sheetData>
    <row r="1" spans="1:9" ht="15" x14ac:dyDescent="0.25">
      <c r="A1" s="2010" t="s">
        <v>6380</v>
      </c>
    </row>
    <row r="2" spans="1:9" ht="15" x14ac:dyDescent="0.25">
      <c r="A2" s="2010" t="s">
        <v>6378</v>
      </c>
    </row>
    <row r="3" spans="1:9" ht="15.75" thickBot="1" x14ac:dyDescent="0.3">
      <c r="A3" s="2010" t="s">
        <v>4510</v>
      </c>
    </row>
    <row r="4" spans="1:9" ht="15.75" thickBot="1" x14ac:dyDescent="0.3">
      <c r="A4" s="2012" t="s">
        <v>174</v>
      </c>
      <c r="B4" s="2013" t="s">
        <v>7</v>
      </c>
      <c r="C4" s="2071" t="s">
        <v>347</v>
      </c>
      <c r="D4" s="2071" t="s">
        <v>2696</v>
      </c>
      <c r="E4" s="2071" t="s">
        <v>1241</v>
      </c>
      <c r="F4" s="2071" t="s">
        <v>4511</v>
      </c>
      <c r="G4" s="2014" t="s">
        <v>4105</v>
      </c>
      <c r="H4" s="2015" t="s">
        <v>4512</v>
      </c>
    </row>
    <row r="5" spans="1:9" ht="15.75" thickBot="1" x14ac:dyDescent="0.3">
      <c r="A5" s="2133"/>
      <c r="B5" s="2134" t="s">
        <v>4513</v>
      </c>
      <c r="C5" s="2135">
        <f t="shared" ref="C5:H5" si="0">SUM(C10,C29,C55,C63,C87,C99,C109,C127,C146,C156,C164,C259,C268,C282,C37,C288,C295)</f>
        <v>9.9998079240322113E-3</v>
      </c>
      <c r="D5" s="2135">
        <f t="shared" si="0"/>
        <v>714025850.3599999</v>
      </c>
      <c r="E5" s="2135">
        <f t="shared" si="0"/>
        <v>-731420768.13</v>
      </c>
      <c r="F5" s="2135">
        <f t="shared" si="0"/>
        <v>-17040531.770000111</v>
      </c>
      <c r="G5" s="2135">
        <f t="shared" si="0"/>
        <v>0</v>
      </c>
      <c r="H5" s="2135">
        <f t="shared" si="0"/>
        <v>0</v>
      </c>
    </row>
    <row r="6" spans="1:9" s="2024" customFormat="1" x14ac:dyDescent="0.2">
      <c r="A6" s="2111" t="s">
        <v>4518</v>
      </c>
      <c r="B6" s="2112" t="s">
        <v>4519</v>
      </c>
      <c r="C6" s="2140">
        <f>VLOOKUP(A6,'2012 - TB'!$A$1:$H$733,4,FALSE)</f>
        <v>1501779.84</v>
      </c>
      <c r="D6" s="2140">
        <f>VLOOKUP(A6,'2012 - TB'!$A$3:$H$733,5,FALSE)</f>
        <v>0</v>
      </c>
      <c r="E6" s="2140">
        <f>VLOOKUP(A6,'2012 - TB'!$A$3:$H$733,6,FALSE)</f>
        <v>0</v>
      </c>
      <c r="F6" s="2140">
        <f>VLOOKUP(A6,'2012 - TB'!$A$3:$I$733,9,FALSE)</f>
        <v>1501779.84</v>
      </c>
      <c r="G6" s="2114">
        <v>0</v>
      </c>
      <c r="H6" s="2114">
        <v>0</v>
      </c>
      <c r="I6" s="2115" t="s">
        <v>5973</v>
      </c>
    </row>
    <row r="7" spans="1:9" s="2024" customFormat="1" x14ac:dyDescent="0.2">
      <c r="A7" s="1283" t="s">
        <v>4520</v>
      </c>
      <c r="B7" s="2117" t="s">
        <v>4521</v>
      </c>
      <c r="C7" s="2138">
        <f>VLOOKUP(A7,'2012 - TB'!$A$1:$H$733,4,FALSE)</f>
        <v>-306665903.81000012</v>
      </c>
      <c r="D7" s="2138">
        <f>VLOOKUP(A7,'2012 - TB'!$A$3:$H$733,5,FALSE)</f>
        <v>80494.31</v>
      </c>
      <c r="E7" s="2138">
        <f>VLOOKUP(A7,'2012 - TB'!$A$3:$H$733,6,FALSE)</f>
        <v>-80494.260000000009</v>
      </c>
      <c r="F7" s="2138">
        <f>VLOOKUP(A7,'2012 - TB'!$A$3:$I$733,9,FALSE)</f>
        <v>-306665903.76000011</v>
      </c>
      <c r="G7" s="2118">
        <v>0</v>
      </c>
      <c r="H7" s="2118">
        <v>0</v>
      </c>
      <c r="I7" s="2119" t="s">
        <v>5973</v>
      </c>
    </row>
    <row r="8" spans="1:9" s="2024" customFormat="1" x14ac:dyDescent="0.2">
      <c r="A8" s="2116" t="s">
        <v>4522</v>
      </c>
      <c r="B8" s="2117" t="s">
        <v>4523</v>
      </c>
      <c r="C8" s="2138">
        <f>VLOOKUP(A8,'2012 - TB'!$A$1:$H$733,4,FALSE)</f>
        <v>1945897.45</v>
      </c>
      <c r="D8" s="2138">
        <f>VLOOKUP(A8,'2012 - TB'!$A$3:$H$733,5,FALSE)</f>
        <v>0</v>
      </c>
      <c r="E8" s="2138">
        <f>VLOOKUP(A8,'2012 - TB'!$A$3:$H$733,6,FALSE)</f>
        <v>0</v>
      </c>
      <c r="F8" s="2138">
        <f>VLOOKUP(A8,'2012 - TB'!$A$3:$I$733,9,FALSE)</f>
        <v>1945897.45</v>
      </c>
      <c r="G8" s="2118">
        <v>0</v>
      </c>
      <c r="H8" s="2118">
        <v>0</v>
      </c>
      <c r="I8" s="2119" t="s">
        <v>5973</v>
      </c>
    </row>
    <row r="9" spans="1:9" s="2024" customFormat="1" ht="13.5" thickBot="1" x14ac:dyDescent="0.25">
      <c r="A9" s="2120" t="s">
        <v>4514</v>
      </c>
      <c r="B9" s="2121" t="s">
        <v>4515</v>
      </c>
      <c r="C9" s="2141">
        <f>VLOOKUP(A9,'2012 - TB'!$A$1:$H$733,4,FALSE)</f>
        <v>362</v>
      </c>
      <c r="D9" s="2141">
        <f>VLOOKUP(A9,'2012 - TB'!$A$3:$H$733,5,FALSE)</f>
        <v>0</v>
      </c>
      <c r="E9" s="2141">
        <f>VLOOKUP(A9,'2012 - TB'!$A$3:$H$733,6,FALSE)</f>
        <v>0</v>
      </c>
      <c r="F9" s="2141">
        <f>VLOOKUP(A9,'2012 - TB'!$A$3:$I$733,9,FALSE)</f>
        <v>362</v>
      </c>
      <c r="G9" s="2123">
        <v>0</v>
      </c>
      <c r="H9" s="2123">
        <v>0</v>
      </c>
      <c r="I9" s="2124" t="s">
        <v>4067</v>
      </c>
    </row>
    <row r="10" spans="1:9" s="2024" customFormat="1" ht="13.5" thickBot="1" x14ac:dyDescent="0.25">
      <c r="A10" s="2145" t="s">
        <v>6467</v>
      </c>
      <c r="B10" s="2146"/>
      <c r="C10" s="2089">
        <f>SUM(C6:C9)</f>
        <v>-303217864.52000016</v>
      </c>
      <c r="D10" s="2089">
        <f t="shared" ref="D10:E10" si="1">SUM(D6:D9)</f>
        <v>80494.31</v>
      </c>
      <c r="E10" s="2089">
        <f t="shared" si="1"/>
        <v>-80494.260000000009</v>
      </c>
      <c r="F10" s="2089">
        <f>SUM(F6:F9)</f>
        <v>-303217864.47000015</v>
      </c>
      <c r="G10" s="2139">
        <f t="shared" ref="G10:H10" si="2">SUM(G6:G8)</f>
        <v>0</v>
      </c>
      <c r="H10" s="2139">
        <f t="shared" si="2"/>
        <v>0</v>
      </c>
      <c r="I10" s="2026"/>
    </row>
    <row r="11" spans="1:9" s="2024" customFormat="1" ht="7.5" customHeight="1" thickTop="1" x14ac:dyDescent="0.2">
      <c r="C11" s="2072"/>
      <c r="D11" s="2072"/>
      <c r="E11" s="2072"/>
      <c r="F11" s="2072"/>
      <c r="G11" s="2067"/>
      <c r="H11" s="2067"/>
      <c r="I11" s="2026"/>
    </row>
    <row r="12" spans="1:9" s="2024" customFormat="1" x14ac:dyDescent="0.2">
      <c r="A12" s="2148">
        <v>163352810</v>
      </c>
      <c r="B12" s="2068" t="s">
        <v>1212</v>
      </c>
      <c r="C12" s="2073">
        <f>'Fin Pos'!L60</f>
        <v>303217864.52000016</v>
      </c>
      <c r="D12" s="2072"/>
      <c r="E12" s="2072"/>
      <c r="F12" s="2073">
        <f>'Fin Pos'!J60</f>
        <v>286177332.7700001</v>
      </c>
      <c r="G12" s="2067"/>
      <c r="H12" s="2067"/>
      <c r="I12" s="2026"/>
    </row>
    <row r="13" spans="1:9" s="2024" customFormat="1" ht="7.5" customHeight="1" x14ac:dyDescent="0.2">
      <c r="C13" s="2072"/>
      <c r="D13" s="2072"/>
      <c r="E13" s="2072"/>
      <c r="F13" s="2072"/>
      <c r="G13" s="2067"/>
      <c r="H13" s="2067"/>
      <c r="I13" s="2026"/>
    </row>
    <row r="14" spans="1:9" s="2024" customFormat="1" ht="13.5" thickBot="1" x14ac:dyDescent="0.25">
      <c r="A14" s="2147">
        <f>C12-A12</f>
        <v>139865054.52000016</v>
      </c>
      <c r="B14" s="1208" t="s">
        <v>6423</v>
      </c>
      <c r="C14" s="2087">
        <f>C10+C12</f>
        <v>0</v>
      </c>
      <c r="D14" s="2072"/>
      <c r="E14" s="2072"/>
      <c r="F14" s="2087">
        <f>F10+F12</f>
        <v>-17040531.700000048</v>
      </c>
      <c r="G14" s="2067"/>
      <c r="H14" s="2067"/>
      <c r="I14" s="2099" t="s">
        <v>6538</v>
      </c>
    </row>
    <row r="15" spans="1:9" s="2024" customFormat="1" ht="14.25" thickTop="1" thickBot="1" x14ac:dyDescent="0.25">
      <c r="C15" s="2074"/>
      <c r="D15" s="2074"/>
      <c r="E15" s="2074"/>
      <c r="F15" s="2074"/>
      <c r="G15" s="2025"/>
      <c r="H15" s="2025"/>
      <c r="I15" s="2026"/>
    </row>
    <row r="16" spans="1:9" s="2024" customFormat="1" x14ac:dyDescent="0.2">
      <c r="A16" s="2111" t="s">
        <v>4594</v>
      </c>
      <c r="B16" s="2112" t="s">
        <v>4595</v>
      </c>
      <c r="C16" s="2140">
        <f>VLOOKUP(A16,'2012 - TB'!$A$1:$H$733,4,FALSE)</f>
        <v>0</v>
      </c>
      <c r="D16" s="2140">
        <f>VLOOKUP(A16,'2012 - TB'!$A$3:$H$733,5,FALSE)</f>
        <v>4181304.48</v>
      </c>
      <c r="E16" s="2140">
        <f>VLOOKUP(A16,'2012 - TB'!$A$3:$H$733,6,FALSE)</f>
        <v>-4181304.48</v>
      </c>
      <c r="F16" s="2140">
        <f>VLOOKUP(A16,'2012 - TB'!$A$3:$I$733,9,FALSE)</f>
        <v>0</v>
      </c>
      <c r="G16" s="2114">
        <v>0</v>
      </c>
      <c r="H16" s="2114">
        <v>0</v>
      </c>
      <c r="I16" s="2115" t="s">
        <v>6424</v>
      </c>
    </row>
    <row r="17" spans="1:9" s="2024" customFormat="1" x14ac:dyDescent="0.2">
      <c r="A17" s="1283" t="s">
        <v>4596</v>
      </c>
      <c r="B17" s="2117" t="s">
        <v>4597</v>
      </c>
      <c r="C17" s="2138">
        <f>VLOOKUP(A17,'2012 - TB'!$A$1:$H$733,4,FALSE)</f>
        <v>26063.87</v>
      </c>
      <c r="D17" s="2138">
        <f>VLOOKUP(A17,'2012 - TB'!$A$3:$H$733,5,FALSE)</f>
        <v>100243593.79000001</v>
      </c>
      <c r="E17" s="2138">
        <f>VLOOKUP(A17,'2012 - TB'!$A$3:$H$733,6,FALSE)</f>
        <v>-100269657.66</v>
      </c>
      <c r="F17" s="2138">
        <f>VLOOKUP(A17,'2012 - TB'!$A$3:$I$733,9,FALSE)</f>
        <v>0</v>
      </c>
      <c r="G17" s="2118">
        <v>0</v>
      </c>
      <c r="H17" s="2118">
        <v>0</v>
      </c>
      <c r="I17" s="2119" t="s">
        <v>6424</v>
      </c>
    </row>
    <row r="18" spans="1:9" s="2024" customFormat="1" x14ac:dyDescent="0.2">
      <c r="A18" s="2116" t="s">
        <v>4744</v>
      </c>
      <c r="B18" s="2117" t="s">
        <v>4745</v>
      </c>
      <c r="C18" s="2138">
        <f>VLOOKUP(A18,'2012 - TB'!$A$1:$H$733,4,FALSE)</f>
        <v>120653</v>
      </c>
      <c r="D18" s="2138">
        <f>VLOOKUP(A18,'2012 - TB'!$A$3:$H$733,5,FALSE)</f>
        <v>0</v>
      </c>
      <c r="E18" s="2138">
        <f>VLOOKUP(A18,'2012 - TB'!$A$3:$H$733,6,FALSE)</f>
        <v>0</v>
      </c>
      <c r="F18" s="2138">
        <f>VLOOKUP(A18,'2012 - TB'!$A$3:$I$733,9,FALSE)</f>
        <v>120653</v>
      </c>
      <c r="G18" s="2118">
        <v>0</v>
      </c>
      <c r="H18" s="2117"/>
      <c r="I18" s="1363" t="s">
        <v>7297</v>
      </c>
    </row>
    <row r="19" spans="1:9" s="2024" customFormat="1" x14ac:dyDescent="0.2">
      <c r="A19" s="2116" t="s">
        <v>4734</v>
      </c>
      <c r="B19" s="2117" t="s">
        <v>4735</v>
      </c>
      <c r="C19" s="2138">
        <f>VLOOKUP(A19,'2012 - TB'!$A$1:$H$733,4,FALSE)</f>
        <v>88840.25</v>
      </c>
      <c r="D19" s="2138">
        <f>VLOOKUP(A19,'2012 - TB'!$A$3:$H$733,5,FALSE)</f>
        <v>1809699.59</v>
      </c>
      <c r="E19" s="2138">
        <f>VLOOKUP(A19,'2012 - TB'!$A$3:$H$733,6,FALSE)</f>
        <v>-1807046.89</v>
      </c>
      <c r="F19" s="2138">
        <f>VLOOKUP(A19,'2012 - TB'!$A$3:$I$733,9,FALSE)</f>
        <v>91492.950000000186</v>
      </c>
      <c r="G19" s="2118">
        <v>0</v>
      </c>
      <c r="H19" s="2118">
        <v>0</v>
      </c>
      <c r="I19" s="2119" t="s">
        <v>7297</v>
      </c>
    </row>
    <row r="20" spans="1:9" s="2024" customFormat="1" x14ac:dyDescent="0.2">
      <c r="A20" s="2116" t="s">
        <v>4736</v>
      </c>
      <c r="B20" s="2117" t="s">
        <v>4737</v>
      </c>
      <c r="C20" s="2138">
        <f>VLOOKUP(A20,'2012 - TB'!$A$1:$H$733,4,FALSE)</f>
        <v>277.87</v>
      </c>
      <c r="D20" s="2138">
        <f>VLOOKUP(A20,'2012 - TB'!$A$3:$H$733,5,FALSE)</f>
        <v>3.73</v>
      </c>
      <c r="E20" s="2138">
        <f>VLOOKUP(A20,'2012 - TB'!$A$3:$H$733,6,FALSE)</f>
        <v>0</v>
      </c>
      <c r="F20" s="2138">
        <f>VLOOKUP(A20,'2012 - TB'!$A$3:$I$733,9,FALSE)</f>
        <v>281.60000000000002</v>
      </c>
      <c r="G20" s="2118">
        <v>0</v>
      </c>
      <c r="H20" s="2118">
        <v>0</v>
      </c>
      <c r="I20" s="2119" t="s">
        <v>7297</v>
      </c>
    </row>
    <row r="21" spans="1:9" s="2024" customFormat="1" x14ac:dyDescent="0.2">
      <c r="A21" s="2116" t="s">
        <v>4738</v>
      </c>
      <c r="B21" s="2117" t="s">
        <v>4739</v>
      </c>
      <c r="C21" s="2138">
        <f>VLOOKUP(A21,'2012 - TB'!$A$1:$H$733,4,FALSE)</f>
        <v>1628.34</v>
      </c>
      <c r="D21" s="2138">
        <f>VLOOKUP(A21,'2012 - TB'!$A$3:$H$733,5,FALSE)</f>
        <v>0</v>
      </c>
      <c r="E21" s="2138">
        <f>VLOOKUP(A21,'2012 - TB'!$A$3:$H$733,6,FALSE)</f>
        <v>-69.41</v>
      </c>
      <c r="F21" s="2138">
        <f>VLOOKUP(A21,'2012 - TB'!$A$3:$I$733,9,FALSE)</f>
        <v>1558.9299999999998</v>
      </c>
      <c r="G21" s="2118">
        <v>0</v>
      </c>
      <c r="H21" s="2118">
        <v>0</v>
      </c>
      <c r="I21" s="2119" t="s">
        <v>7297</v>
      </c>
    </row>
    <row r="22" spans="1:9" s="2024" customFormat="1" x14ac:dyDescent="0.2">
      <c r="A22" s="2116" t="s">
        <v>4740</v>
      </c>
      <c r="B22" s="2117" t="s">
        <v>4741</v>
      </c>
      <c r="C22" s="2138">
        <f>VLOOKUP(A22,'2012 - TB'!$A$1:$H$733,4,FALSE)</f>
        <v>31640.080000000002</v>
      </c>
      <c r="D22" s="2138">
        <f>VLOOKUP(A22,'2012 - TB'!$A$3:$H$733,5,FALSE)</f>
        <v>18809000</v>
      </c>
      <c r="E22" s="2138">
        <f>VLOOKUP(A22,'2012 - TB'!$A$3:$H$733,6,FALSE)</f>
        <v>-18839609.600000001</v>
      </c>
      <c r="F22" s="2138">
        <f>VLOOKUP(A22,'2012 - TB'!$A$3:$I$733,9,FALSE)</f>
        <v>1030.4799999967217</v>
      </c>
      <c r="G22" s="2118">
        <v>0</v>
      </c>
      <c r="H22" s="2118">
        <v>0</v>
      </c>
      <c r="I22" s="2119" t="s">
        <v>7297</v>
      </c>
    </row>
    <row r="23" spans="1:9" s="2024" customFormat="1" x14ac:dyDescent="0.2">
      <c r="A23" s="2116" t="s">
        <v>4742</v>
      </c>
      <c r="B23" s="1133" t="s">
        <v>4743</v>
      </c>
      <c r="C23" s="2138">
        <f>VLOOKUP(A23,'2012 - TB'!$A$1:$H$733,4,FALSE)</f>
        <v>56189.57</v>
      </c>
      <c r="D23" s="2138">
        <f>VLOOKUP(A23,'2012 - TB'!$A$3:$H$733,5,FALSE)</f>
        <v>0</v>
      </c>
      <c r="E23" s="2138">
        <f>VLOOKUP(A23,'2012 - TB'!$A$3:$H$733,6,FALSE)</f>
        <v>0</v>
      </c>
      <c r="F23" s="2138">
        <f>VLOOKUP(A23,'2012 - TB'!$A$3:$I$733,9,FALSE)</f>
        <v>56189.57</v>
      </c>
      <c r="G23" s="2118">
        <v>0</v>
      </c>
      <c r="H23" s="2118">
        <v>0</v>
      </c>
      <c r="I23" s="2119" t="s">
        <v>7297</v>
      </c>
    </row>
    <row r="24" spans="1:9" s="2024" customFormat="1" x14ac:dyDescent="0.2">
      <c r="A24" s="1283" t="s">
        <v>4634</v>
      </c>
      <c r="B24" s="2117" t="s">
        <v>4635</v>
      </c>
      <c r="C24" s="2138">
        <f>VLOOKUP(A24,'2012 - TB'!$A$1:$H$733,4,FALSE)</f>
        <v>-2091729.91</v>
      </c>
      <c r="D24" s="2138">
        <f>VLOOKUP(A24,'2012 - TB'!$A$3:$H$733,5,FALSE)</f>
        <v>123427599.41</v>
      </c>
      <c r="E24" s="2138">
        <f>VLOOKUP(A24,'2012 - TB'!$A$3:$H$733,6,FALSE)</f>
        <v>-125251228.2</v>
      </c>
      <c r="F24" s="2138">
        <f>VLOOKUP(A24,'2012 - TB'!$A$3:$I$733,9,FALSE)</f>
        <v>-3915358.700000003</v>
      </c>
      <c r="G24" s="2118">
        <v>0</v>
      </c>
      <c r="H24" s="2118">
        <v>0</v>
      </c>
      <c r="I24" s="2119" t="s">
        <v>6424</v>
      </c>
    </row>
    <row r="25" spans="1:9" s="2024" customFormat="1" x14ac:dyDescent="0.2">
      <c r="A25" s="2116" t="s">
        <v>4799</v>
      </c>
      <c r="B25" s="2117" t="s">
        <v>4800</v>
      </c>
      <c r="C25" s="2138">
        <f>VLOOKUP(A25,'2012 - TB'!$A$1:$H$733,4,FALSE)</f>
        <v>18051.21</v>
      </c>
      <c r="D25" s="2138">
        <f>VLOOKUP(A25,'2012 - TB'!$A$3:$H$733,5,FALSE)</f>
        <v>29349</v>
      </c>
      <c r="E25" s="2138">
        <f>VLOOKUP(A25,'2012 - TB'!$A$3:$H$733,6,FALSE)</f>
        <v>-46669.66</v>
      </c>
      <c r="F25" s="2138">
        <f>VLOOKUP(A25,'2012 - TB'!$A$3:$I$733,9,FALSE)</f>
        <v>730.54999999999563</v>
      </c>
      <c r="G25" s="2118">
        <v>0</v>
      </c>
      <c r="H25" s="2118">
        <v>0</v>
      </c>
      <c r="I25" s="2119" t="s">
        <v>6424</v>
      </c>
    </row>
    <row r="26" spans="1:9" s="2024" customFormat="1" x14ac:dyDescent="0.2">
      <c r="A26" s="2116" t="s">
        <v>4801</v>
      </c>
      <c r="B26" s="2117" t="s">
        <v>4802</v>
      </c>
      <c r="C26" s="2138">
        <f>VLOOKUP(A26,'2012 - TB'!$A$1:$H$733,4,FALSE)</f>
        <v>87328.11</v>
      </c>
      <c r="D26" s="2138">
        <f>VLOOKUP(A26,'2012 - TB'!$A$3:$H$733,5,FALSE)</f>
        <v>1623918.6</v>
      </c>
      <c r="E26" s="2138">
        <f>VLOOKUP(A26,'2012 - TB'!$A$3:$H$733,6,FALSE)</f>
        <v>-1704478.6099999999</v>
      </c>
      <c r="F26" s="2138">
        <f>VLOOKUP(A26,'2012 - TB'!$A$3:$I$733,9,FALSE)</f>
        <v>6768.100000000326</v>
      </c>
      <c r="G26" s="2118">
        <v>0</v>
      </c>
      <c r="H26" s="2118">
        <v>0</v>
      </c>
      <c r="I26" s="2119" t="s">
        <v>6424</v>
      </c>
    </row>
    <row r="27" spans="1:9" s="2024" customFormat="1" x14ac:dyDescent="0.2">
      <c r="A27" s="2116" t="s">
        <v>4803</v>
      </c>
      <c r="B27" s="2117" t="s">
        <v>4804</v>
      </c>
      <c r="C27" s="2138">
        <f>VLOOKUP(A27,'2012 - TB'!$A$1:$H$733,4,FALSE)</f>
        <v>1179.9000000000001</v>
      </c>
      <c r="D27" s="2138">
        <f>VLOOKUP(A27,'2012 - TB'!$A$3:$H$733,5,FALSE)</f>
        <v>0</v>
      </c>
      <c r="E27" s="2138">
        <f>VLOOKUP(A27,'2012 - TB'!$A$3:$H$733,6,FALSE)</f>
        <v>0</v>
      </c>
      <c r="F27" s="2138">
        <f>VLOOKUP(A27,'2012 - TB'!$A$3:$I$733,9,FALSE)</f>
        <v>1179.9000000000001</v>
      </c>
      <c r="G27" s="2118">
        <v>0</v>
      </c>
      <c r="H27" s="2118">
        <v>0</v>
      </c>
      <c r="I27" s="2119" t="s">
        <v>5988</v>
      </c>
    </row>
    <row r="28" spans="1:9" s="2024" customFormat="1" ht="13.5" thickBot="1" x14ac:dyDescent="0.25">
      <c r="A28" s="2120" t="s">
        <v>4805</v>
      </c>
      <c r="B28" s="2121" t="s">
        <v>4806</v>
      </c>
      <c r="C28" s="2141">
        <f>VLOOKUP(A28,'2012 - TB'!$A$1:$H$733,4,FALSE)</f>
        <v>107085.45</v>
      </c>
      <c r="D28" s="2141">
        <f>VLOOKUP(A28,'2012 - TB'!$A$3:$H$733,5,FALSE)</f>
        <v>2014183.54</v>
      </c>
      <c r="E28" s="2141">
        <f>VLOOKUP(A28,'2012 - TB'!$A$3:$H$733,6,FALSE)</f>
        <v>-2112558.06</v>
      </c>
      <c r="F28" s="2141">
        <f>VLOOKUP(A28,'2012 - TB'!$A$3:$I$733,9,FALSE)</f>
        <v>8710.9300000001676</v>
      </c>
      <c r="G28" s="2123">
        <v>0</v>
      </c>
      <c r="H28" s="2123">
        <v>0</v>
      </c>
      <c r="I28" s="2124" t="s">
        <v>6424</v>
      </c>
    </row>
    <row r="29" spans="1:9" s="2024" customFormat="1" ht="13.5" thickBot="1" x14ac:dyDescent="0.25">
      <c r="C29" s="2089">
        <f t="shared" ref="C29:H29" si="3">SUM(C16:C28)</f>
        <v>-1552792.26</v>
      </c>
      <c r="D29" s="2089">
        <f t="shared" si="3"/>
        <v>252138652.13999999</v>
      </c>
      <c r="E29" s="2089">
        <f t="shared" si="3"/>
        <v>-254212622.57000002</v>
      </c>
      <c r="F29" s="2089">
        <f>SUM(F16:F28)</f>
        <v>-3626762.690000006</v>
      </c>
      <c r="G29" s="2139">
        <f t="shared" si="3"/>
        <v>0</v>
      </c>
      <c r="H29" s="2139">
        <f t="shared" si="3"/>
        <v>0</v>
      </c>
      <c r="I29" s="2026"/>
    </row>
    <row r="30" spans="1:9" s="2024" customFormat="1" ht="7.5" customHeight="1" thickTop="1" x14ac:dyDescent="0.2">
      <c r="C30" s="2074"/>
      <c r="D30" s="2074"/>
      <c r="E30" s="2074"/>
      <c r="F30" s="2074"/>
      <c r="G30" s="2025"/>
      <c r="H30" s="2025"/>
      <c r="I30" s="2026"/>
    </row>
    <row r="31" spans="1:9" s="2024" customFormat="1" x14ac:dyDescent="0.2">
      <c r="B31" s="2068" t="s">
        <v>1212</v>
      </c>
      <c r="C31" s="2073">
        <f>'Fin Pos'!L16-'Fin Pos'!L45</f>
        <v>-1552792.0299999998</v>
      </c>
      <c r="D31" s="2072"/>
      <c r="E31" s="2072"/>
      <c r="F31" s="2073">
        <f>'Fin Pos'!J16-'Fin Pos'!J45</f>
        <v>-3626761.5700000031</v>
      </c>
      <c r="G31" s="2025"/>
      <c r="H31" s="2025"/>
      <c r="I31" s="2026"/>
    </row>
    <row r="32" spans="1:9" s="2024" customFormat="1" ht="7.5" customHeight="1" x14ac:dyDescent="0.2">
      <c r="C32" s="2072"/>
      <c r="D32" s="2072"/>
      <c r="E32" s="2072"/>
      <c r="F32" s="2072"/>
      <c r="G32" s="2025"/>
      <c r="H32" s="2025"/>
      <c r="I32" s="2026"/>
    </row>
    <row r="33" spans="1:9" s="2024" customFormat="1" ht="13.5" thickBot="1" x14ac:dyDescent="0.25">
      <c r="B33" s="1208" t="s">
        <v>6423</v>
      </c>
      <c r="C33" s="2087">
        <f>C29-C31</f>
        <v>-0.23000000021420419</v>
      </c>
      <c r="D33" s="2072"/>
      <c r="E33" s="2072"/>
      <c r="F33" s="2087">
        <f>F29-F31</f>
        <v>-1.1200000029057264</v>
      </c>
      <c r="G33" s="2025"/>
      <c r="H33" s="2025"/>
      <c r="I33" s="2026"/>
    </row>
    <row r="34" spans="1:9" s="2024" customFormat="1" ht="14.25" thickTop="1" thickBot="1" x14ac:dyDescent="0.25">
      <c r="C34" s="2074"/>
      <c r="D34" s="2074"/>
      <c r="E34" s="2074"/>
      <c r="F34" s="2074"/>
      <c r="G34" s="2025"/>
      <c r="H34" s="2025"/>
      <c r="I34" s="2026"/>
    </row>
    <row r="35" spans="1:9" s="2024" customFormat="1" x14ac:dyDescent="0.2">
      <c r="A35" s="2111" t="s">
        <v>4746</v>
      </c>
      <c r="B35" s="2112" t="s">
        <v>4747</v>
      </c>
      <c r="C35" s="2140">
        <f>VLOOKUP(A35,'2012 - TB'!$A$1:$H$733,4,FALSE)</f>
        <v>33650.5</v>
      </c>
      <c r="D35" s="2140">
        <f>VLOOKUP(A35,'2012 - TB'!$A$3:$H$733,5,FALSE)</f>
        <v>6738.38</v>
      </c>
      <c r="E35" s="2140">
        <f>VLOOKUP(A35,'2012 - TB'!$A$3:$H$733,6,FALSE)</f>
        <v>0</v>
      </c>
      <c r="F35" s="2140">
        <f>VLOOKUP(A35,'2012 - TB'!$A$3:$I$733,9,FALSE)</f>
        <v>40388.879999999997</v>
      </c>
      <c r="G35" s="2114">
        <v>0</v>
      </c>
      <c r="H35" s="2529">
        <v>0</v>
      </c>
      <c r="I35" s="2142" t="s">
        <v>7298</v>
      </c>
    </row>
    <row r="36" spans="1:9" s="2024" customFormat="1" ht="13.5" thickBot="1" x14ac:dyDescent="0.25">
      <c r="A36" s="2120" t="s">
        <v>4748</v>
      </c>
      <c r="B36" s="2121" t="s">
        <v>4749</v>
      </c>
      <c r="C36" s="2141">
        <f>VLOOKUP(A36,'2012 - TB'!$A$1:$H$733,4,FALSE)</f>
        <v>62175</v>
      </c>
      <c r="D36" s="2141">
        <f>VLOOKUP(A36,'2012 - TB'!$A$3:$H$733,5,FALSE)</f>
        <v>10095.92</v>
      </c>
      <c r="E36" s="2141">
        <f>VLOOKUP(A36,'2012 - TB'!$A$3:$H$733,6,FALSE)</f>
        <v>0</v>
      </c>
      <c r="F36" s="2141">
        <f>VLOOKUP(A36,'2012 - TB'!$A$3:$I$733,9,FALSE)</f>
        <v>72270.92</v>
      </c>
      <c r="G36" s="2123">
        <v>0</v>
      </c>
      <c r="H36" s="2275">
        <v>0</v>
      </c>
      <c r="I36" s="1362" t="s">
        <v>7298</v>
      </c>
    </row>
    <row r="37" spans="1:9" s="2024" customFormat="1" ht="13.5" thickBot="1" x14ac:dyDescent="0.25">
      <c r="C37" s="2089">
        <f>SUM(C35:C36)</f>
        <v>95825.5</v>
      </c>
      <c r="D37" s="2089">
        <f>SUM(D35:D36)</f>
        <v>16834.3</v>
      </c>
      <c r="E37" s="2089">
        <f>SUM(E35:E36)</f>
        <v>0</v>
      </c>
      <c r="F37" s="2089">
        <f>SUM(F35:F36)</f>
        <v>112659.79999999999</v>
      </c>
      <c r="G37" s="2277">
        <f>SUM(G35:G36)</f>
        <v>0</v>
      </c>
      <c r="H37" s="2025"/>
      <c r="I37" s="2026"/>
    </row>
    <row r="38" spans="1:9" s="2024" customFormat="1" ht="7.5" customHeight="1" thickTop="1" x14ac:dyDescent="0.2">
      <c r="C38" s="2074"/>
      <c r="D38" s="2074"/>
      <c r="E38" s="2074"/>
      <c r="F38" s="2074"/>
      <c r="G38" s="2025"/>
      <c r="H38" s="2025"/>
      <c r="I38" s="2026"/>
    </row>
    <row r="39" spans="1:9" s="2024" customFormat="1" x14ac:dyDescent="0.2">
      <c r="B39" s="2068" t="s">
        <v>1212</v>
      </c>
      <c r="C39" s="2073">
        <f>'Fin Pos'!L27</f>
        <v>95825.5</v>
      </c>
      <c r="D39" s="2072"/>
      <c r="E39" s="2072"/>
      <c r="F39" s="2073">
        <f>'Fin Pos'!J27</f>
        <v>112659.79999999999</v>
      </c>
      <c r="G39" s="2025"/>
      <c r="H39" s="2025"/>
      <c r="I39" s="2026"/>
    </row>
    <row r="40" spans="1:9" s="2024" customFormat="1" ht="7.5" customHeight="1" x14ac:dyDescent="0.2">
      <c r="C40" s="2072"/>
      <c r="D40" s="2072"/>
      <c r="E40" s="2072"/>
      <c r="F40" s="2072"/>
      <c r="G40" s="2025"/>
      <c r="H40" s="2025"/>
      <c r="I40" s="2026"/>
    </row>
    <row r="41" spans="1:9" s="2024" customFormat="1" ht="13.5" thickBot="1" x14ac:dyDescent="0.25">
      <c r="B41" s="1208" t="s">
        <v>6423</v>
      </c>
      <c r="C41" s="2087">
        <f>C37-C39</f>
        <v>0</v>
      </c>
      <c r="D41" s="2072"/>
      <c r="E41" s="2072"/>
      <c r="F41" s="2087">
        <f>F37-F39</f>
        <v>0</v>
      </c>
      <c r="G41" s="2025"/>
      <c r="H41" s="2025"/>
      <c r="I41" s="2026"/>
    </row>
    <row r="42" spans="1:9" s="2024" customFormat="1" ht="14.25" thickTop="1" thickBot="1" x14ac:dyDescent="0.25">
      <c r="C42" s="2074"/>
      <c r="D42" s="2074"/>
      <c r="E42" s="2074"/>
      <c r="F42" s="2074"/>
      <c r="G42" s="2025"/>
      <c r="H42" s="2025"/>
      <c r="I42" s="2026"/>
    </row>
    <row r="43" spans="1:9" s="2024" customFormat="1" x14ac:dyDescent="0.2">
      <c r="A43" s="2111" t="s">
        <v>4755</v>
      </c>
      <c r="B43" s="2112" t="s">
        <v>4756</v>
      </c>
      <c r="C43" s="2140">
        <f>VLOOKUP(A43,'2012 - TB'!$A$1:$H$733,4,FALSE)</f>
        <v>2510796.9300000002</v>
      </c>
      <c r="D43" s="2140">
        <f>VLOOKUP(A43,'2012 - TB'!$A$3:$H$733,5,FALSE)</f>
        <v>164.43</v>
      </c>
      <c r="E43" s="2140">
        <f>VLOOKUP(A43,'2012 - TB'!$A$3:$H$733,6,FALSE)</f>
        <v>-86937.599999999249</v>
      </c>
      <c r="F43" s="2140">
        <f>VLOOKUP(A43,'2012 - TB'!$A$3:$I$733,9,FALSE)</f>
        <v>2424023.7600000012</v>
      </c>
      <c r="G43" s="2114">
        <v>0</v>
      </c>
      <c r="H43" s="2114">
        <v>0</v>
      </c>
      <c r="I43" s="2115" t="s">
        <v>5986</v>
      </c>
    </row>
    <row r="44" spans="1:9" s="2024" customFormat="1" x14ac:dyDescent="0.2">
      <c r="A44" s="2116" t="s">
        <v>4760</v>
      </c>
      <c r="B44" s="2117" t="s">
        <v>4761</v>
      </c>
      <c r="C44" s="2138">
        <f>VLOOKUP(A44,'2012 - TB'!$A$1:$H$733,4,FALSE)</f>
        <v>421097.62</v>
      </c>
      <c r="D44" s="2138">
        <f>VLOOKUP(A44,'2012 - TB'!$A$3:$H$733,5,FALSE)</f>
        <v>0</v>
      </c>
      <c r="E44" s="2138">
        <f>VLOOKUP(A44,'2012 - TB'!$A$3:$H$733,6,FALSE)</f>
        <v>0</v>
      </c>
      <c r="F44" s="2138">
        <f>VLOOKUP(A44,'2012 - TB'!$A$3:$I$733,9,FALSE)</f>
        <v>421097.62</v>
      </c>
      <c r="G44" s="2118">
        <v>0</v>
      </c>
      <c r="H44" s="2118">
        <v>0</v>
      </c>
      <c r="I44" s="2119" t="s">
        <v>5986</v>
      </c>
    </row>
    <row r="45" spans="1:9" s="2024" customFormat="1" x14ac:dyDescent="0.2">
      <c r="A45" s="2116" t="s">
        <v>4762</v>
      </c>
      <c r="B45" s="2117" t="s">
        <v>4763</v>
      </c>
      <c r="C45" s="2224">
        <f>VLOOKUP(A45,'2012 - TB'!$A$1:$H$733,4,FALSE)</f>
        <v>540134.42000000004</v>
      </c>
      <c r="D45" s="2138">
        <f>VLOOKUP(A45,'2012 - TB'!$A$3:$H$733,5,FALSE)</f>
        <v>243952.57</v>
      </c>
      <c r="E45" s="2138">
        <f>VLOOKUP(A45,'2012 - TB'!$A$3:$H$733,6,FALSE)</f>
        <v>-4097.0800000000181</v>
      </c>
      <c r="F45" s="2224">
        <f>VLOOKUP(A45,'2012 - TB'!$A$3:$I$733,9,FALSE)</f>
        <v>779989.90999999992</v>
      </c>
      <c r="G45" s="2118">
        <v>0</v>
      </c>
      <c r="H45" s="2118">
        <v>0</v>
      </c>
      <c r="I45" s="2119" t="s">
        <v>5986</v>
      </c>
    </row>
    <row r="46" spans="1:9" s="2024" customFormat="1" x14ac:dyDescent="0.2">
      <c r="A46" s="2116" t="s">
        <v>4764</v>
      </c>
      <c r="B46" s="2117" t="s">
        <v>4765</v>
      </c>
      <c r="C46" s="2138">
        <f>VLOOKUP(A46,'2012 - TB'!$A$1:$H$733,4,FALSE)</f>
        <v>4588917.53</v>
      </c>
      <c r="D46" s="2138">
        <f>VLOOKUP(A46,'2012 - TB'!$A$3:$H$733,5,FALSE)</f>
        <v>1249770</v>
      </c>
      <c r="E46" s="2138">
        <f>VLOOKUP(A46,'2012 - TB'!$A$3:$H$733,6,FALSE)</f>
        <v>-214503.6</v>
      </c>
      <c r="F46" s="2138">
        <f>VLOOKUP(A46,'2012 - TB'!$A$3:$I$733,9,FALSE)</f>
        <v>5624183.9300000006</v>
      </c>
      <c r="G46" s="2118">
        <v>0</v>
      </c>
      <c r="H46" s="2118">
        <v>0</v>
      </c>
      <c r="I46" s="2119" t="s">
        <v>5986</v>
      </c>
    </row>
    <row r="47" spans="1:9" s="2024" customFormat="1" x14ac:dyDescent="0.2">
      <c r="A47" s="2116" t="s">
        <v>4766</v>
      </c>
      <c r="B47" s="2117" t="s">
        <v>4767</v>
      </c>
      <c r="C47" s="2138">
        <f>VLOOKUP(A47,'2012 - TB'!$A$1:$H$733,4,FALSE)</f>
        <v>1459.56</v>
      </c>
      <c r="D47" s="2138">
        <f>VLOOKUP(A47,'2012 - TB'!$A$3:$H$733,5,FALSE)</f>
        <v>33376.94</v>
      </c>
      <c r="E47" s="2138">
        <f>VLOOKUP(A47,'2012 - TB'!$A$3:$H$733,6,FALSE)</f>
        <v>0</v>
      </c>
      <c r="F47" s="2138">
        <f>VLOOKUP(A47,'2012 - TB'!$A$3:$I$733,9,FALSE)</f>
        <v>34836.5</v>
      </c>
      <c r="G47" s="2118">
        <v>0</v>
      </c>
      <c r="H47" s="2118">
        <v>0</v>
      </c>
      <c r="I47" s="2119" t="s">
        <v>5986</v>
      </c>
    </row>
    <row r="48" spans="1:9" s="2024" customFormat="1" x14ac:dyDescent="0.2">
      <c r="A48" s="2116" t="s">
        <v>4768</v>
      </c>
      <c r="B48" s="2117" t="s">
        <v>4769</v>
      </c>
      <c r="C48" s="2138">
        <f>VLOOKUP(A48,'2012 - TB'!$A$1:$H$733,4,FALSE)</f>
        <v>16826.5</v>
      </c>
      <c r="D48" s="2138">
        <f>VLOOKUP(A48,'2012 - TB'!$A$3:$H$733,5,FALSE)</f>
        <v>28705.8</v>
      </c>
      <c r="E48" s="2138">
        <f>VLOOKUP(A48,'2012 - TB'!$A$3:$H$733,6,FALSE)</f>
        <v>-17691.39</v>
      </c>
      <c r="F48" s="2138">
        <f>VLOOKUP(A48,'2012 - TB'!$A$3:$I$733,9,FALSE)</f>
        <v>27840.910000000003</v>
      </c>
      <c r="G48" s="2118">
        <v>0</v>
      </c>
      <c r="H48" s="2118">
        <v>0</v>
      </c>
      <c r="I48" s="2119" t="s">
        <v>5986</v>
      </c>
    </row>
    <row r="49" spans="1:9" s="2024" customFormat="1" x14ac:dyDescent="0.2">
      <c r="A49" s="2116" t="s">
        <v>4772</v>
      </c>
      <c r="B49" s="2117" t="s">
        <v>4773</v>
      </c>
      <c r="C49" s="2223">
        <f>VLOOKUP(A49,'2012 - TB'!$A$1:$H$733,4,FALSE)</f>
        <v>6526920.75</v>
      </c>
      <c r="D49" s="2138">
        <f>VLOOKUP(A49,'2012 - TB'!$A$3:$H$733,5,FALSE)</f>
        <v>5167782.8899999997</v>
      </c>
      <c r="E49" s="2138">
        <f>VLOOKUP(A49,'2012 - TB'!$A$3:$H$733,6,FALSE)</f>
        <v>-1000490.07</v>
      </c>
      <c r="F49" s="2223">
        <f>VLOOKUP(A49,'2012 - TB'!$A$3:$I$733,9,FALSE)</f>
        <v>10694213.57</v>
      </c>
      <c r="G49" s="2118">
        <v>0</v>
      </c>
      <c r="H49" s="2118">
        <v>0</v>
      </c>
      <c r="I49" s="2119" t="s">
        <v>5986</v>
      </c>
    </row>
    <row r="50" spans="1:9" s="2024" customFormat="1" x14ac:dyDescent="0.2">
      <c r="A50" s="2116" t="s">
        <v>4774</v>
      </c>
      <c r="B50" s="2117" t="s">
        <v>4775</v>
      </c>
      <c r="C50" s="2149">
        <f>VLOOKUP(A50,'2012 - TB'!$A$1:$H$733,4,FALSE)</f>
        <v>544619.55000000005</v>
      </c>
      <c r="D50" s="2138">
        <f>VLOOKUP(A50,'2012 - TB'!$A$3:$H$733,5,FALSE)</f>
        <v>377524.54999999993</v>
      </c>
      <c r="E50" s="2138">
        <f>VLOOKUP(A50,'2012 - TB'!$A$3:$H$733,6,FALSE)</f>
        <v>-225040.65</v>
      </c>
      <c r="F50" s="2149">
        <f>VLOOKUP(A50,'2012 - TB'!$A$3:$I$733,9,FALSE)</f>
        <v>697103.45</v>
      </c>
      <c r="G50" s="2118">
        <v>0</v>
      </c>
      <c r="H50" s="2118">
        <v>0</v>
      </c>
      <c r="I50" s="2119" t="s">
        <v>5986</v>
      </c>
    </row>
    <row r="51" spans="1:9" s="2024" customFormat="1" x14ac:dyDescent="0.2">
      <c r="A51" s="2116" t="s">
        <v>4776</v>
      </c>
      <c r="B51" s="2117" t="s">
        <v>4777</v>
      </c>
      <c r="C51" s="2138">
        <f>VLOOKUP(A51,'2012 - TB'!$A$1:$H$733,4,FALSE)</f>
        <v>9386734.0399999991</v>
      </c>
      <c r="D51" s="2138">
        <f>VLOOKUP(A51,'2012 - TB'!$A$3:$H$733,5,FALSE)</f>
        <v>357.2</v>
      </c>
      <c r="E51" s="2138">
        <f>VLOOKUP(A51,'2012 - TB'!$A$3:$H$733,6,FALSE)</f>
        <v>-61057.279999999999</v>
      </c>
      <c r="F51" s="2138">
        <f>VLOOKUP(A51,'2012 - TB'!$A$3:$I$733,9,FALSE)</f>
        <v>9326033.959999999</v>
      </c>
      <c r="G51" s="2118">
        <v>0</v>
      </c>
      <c r="H51" s="2118">
        <v>0</v>
      </c>
      <c r="I51" s="2119" t="s">
        <v>5986</v>
      </c>
    </row>
    <row r="52" spans="1:9" s="2024" customFormat="1" x14ac:dyDescent="0.2">
      <c r="A52" s="2116" t="s">
        <v>4778</v>
      </c>
      <c r="B52" s="2117" t="s">
        <v>4705</v>
      </c>
      <c r="C52" s="2222">
        <f>VLOOKUP(A52,'2012 - TB'!$A$1:$H$733,4,FALSE)</f>
        <v>8350622.5999999996</v>
      </c>
      <c r="D52" s="2138">
        <f>VLOOKUP(A52,'2012 - TB'!$A$3:$H$733,5,FALSE)</f>
        <v>7754180.0700000003</v>
      </c>
      <c r="E52" s="2138">
        <f>VLOOKUP(A52,'2012 - TB'!$A$3:$H$733,6,FALSE)</f>
        <v>-2201861.4499999997</v>
      </c>
      <c r="F52" s="2222">
        <f>VLOOKUP(A52,'2012 - TB'!$A$3:$I$733,9,FALSE)</f>
        <v>13902941.220000001</v>
      </c>
      <c r="G52" s="2118">
        <v>0</v>
      </c>
      <c r="H52" s="2118">
        <v>0</v>
      </c>
      <c r="I52" s="2119" t="s">
        <v>5986</v>
      </c>
    </row>
    <row r="53" spans="1:9" s="2024" customFormat="1" x14ac:dyDescent="0.2">
      <c r="A53" s="2116" t="s">
        <v>4779</v>
      </c>
      <c r="B53" s="2117" t="s">
        <v>4780</v>
      </c>
      <c r="C53" s="2221">
        <f>VLOOKUP(A53,'2012 - TB'!$A$1:$H$733,4,FALSE)</f>
        <v>15301840.9</v>
      </c>
      <c r="D53" s="2138">
        <f>VLOOKUP(A53,'2012 - TB'!$A$3:$H$733,5,FALSE)</f>
        <v>170556805.42000002</v>
      </c>
      <c r="E53" s="2138">
        <f>VLOOKUP(A53,'2012 - TB'!$A$3:$H$733,6,FALSE)</f>
        <v>-162249328.71000001</v>
      </c>
      <c r="F53" s="2221">
        <f>VLOOKUP(A53,'2012 - TB'!$A$3:$I$733,9,FALSE)</f>
        <v>23609317.610000014</v>
      </c>
      <c r="G53" s="2118">
        <v>0</v>
      </c>
      <c r="H53" s="2118">
        <v>0</v>
      </c>
      <c r="I53" s="2119" t="s">
        <v>5986</v>
      </c>
    </row>
    <row r="54" spans="1:9" s="2024" customFormat="1" ht="13.5" thickBot="1" x14ac:dyDescent="0.25">
      <c r="A54" s="2120" t="s">
        <v>4758</v>
      </c>
      <c r="B54" s="2121" t="s">
        <v>4759</v>
      </c>
      <c r="C54" s="2141">
        <f>VLOOKUP(A54,'2012 - TB'!$A$1:$H$733,4,FALSE)</f>
        <v>-42303021.899999999</v>
      </c>
      <c r="D54" s="2141">
        <f>VLOOKUP(A54,'2012 - TB'!$A$3:$H$733,5,FALSE)</f>
        <v>16858903.460000001</v>
      </c>
      <c r="E54" s="2141">
        <f>VLOOKUP(A54,'2012 - TB'!$A$3:$H$733,6,FALSE)</f>
        <v>-47832103.059999995</v>
      </c>
      <c r="F54" s="2141">
        <f>VLOOKUP(A54,'2012 - TB'!$A$3:$I$733,9,FALSE)</f>
        <v>-73276221.5</v>
      </c>
      <c r="G54" s="2123">
        <v>0</v>
      </c>
      <c r="H54" s="2123">
        <v>0</v>
      </c>
      <c r="I54" s="2124" t="s">
        <v>5987</v>
      </c>
    </row>
    <row r="55" spans="1:9" s="2024" customFormat="1" ht="13.5" thickBot="1" x14ac:dyDescent="0.25">
      <c r="C55" s="2089">
        <f t="shared" ref="C55:H55" si="4">SUM(C43:C54)</f>
        <v>5886948.5</v>
      </c>
      <c r="D55" s="2089">
        <f t="shared" si="4"/>
        <v>202271523.33000001</v>
      </c>
      <c r="E55" s="2089">
        <f t="shared" si="4"/>
        <v>-213893110.89000002</v>
      </c>
      <c r="F55" s="2089">
        <f>SUM(F43:F54)</f>
        <v>-5734639.0599999875</v>
      </c>
      <c r="G55" s="2139">
        <f t="shared" si="4"/>
        <v>0</v>
      </c>
      <c r="H55" s="2139">
        <f t="shared" si="4"/>
        <v>0</v>
      </c>
      <c r="I55" s="2026"/>
    </row>
    <row r="56" spans="1:9" s="2024" customFormat="1" ht="7.5" customHeight="1" thickTop="1" x14ac:dyDescent="0.2">
      <c r="C56" s="2074"/>
      <c r="D56" s="2074"/>
      <c r="E56" s="2074"/>
      <c r="F56" s="2074"/>
      <c r="G56" s="2025"/>
      <c r="H56" s="2025"/>
      <c r="I56" s="2026"/>
    </row>
    <row r="57" spans="1:9" s="2024" customFormat="1" x14ac:dyDescent="0.2">
      <c r="B57" s="2068" t="s">
        <v>1212</v>
      </c>
      <c r="C57" s="2073">
        <f>'Fin Pos'!L12</f>
        <v>5886949.312715169</v>
      </c>
      <c r="D57" s="2074"/>
      <c r="E57" s="2074"/>
      <c r="F57" s="2073">
        <f>'Fin Pos'!J12</f>
        <v>862467.0199999999</v>
      </c>
      <c r="G57" s="2025"/>
      <c r="H57" s="2025"/>
      <c r="I57" s="2026"/>
    </row>
    <row r="58" spans="1:9" s="2024" customFormat="1" ht="7.5" customHeight="1" x14ac:dyDescent="0.2">
      <c r="C58" s="2072"/>
      <c r="D58" s="2074"/>
      <c r="E58" s="2074"/>
      <c r="F58" s="2072"/>
      <c r="G58" s="2025"/>
      <c r="H58" s="2025"/>
      <c r="I58" s="2026"/>
    </row>
    <row r="59" spans="1:9" s="2024" customFormat="1" ht="13.5" thickBot="1" x14ac:dyDescent="0.25">
      <c r="B59" s="1208" t="s">
        <v>6423</v>
      </c>
      <c r="C59" s="2087">
        <f>C55-C57</f>
        <v>-0.81271516904234886</v>
      </c>
      <c r="D59" s="2074"/>
      <c r="E59" s="2074"/>
      <c r="F59" s="2087">
        <f>F55-F57</f>
        <v>-6597106.079999987</v>
      </c>
      <c r="G59" s="2025"/>
      <c r="H59" s="2025"/>
      <c r="I59" s="2099" t="s">
        <v>6539</v>
      </c>
    </row>
    <row r="60" spans="1:9" s="2024" customFormat="1" ht="14.25" thickTop="1" thickBot="1" x14ac:dyDescent="0.25">
      <c r="C60" s="2074"/>
      <c r="D60" s="2074"/>
      <c r="E60" s="2074"/>
      <c r="F60" s="2074"/>
      <c r="G60" s="2025"/>
      <c r="H60" s="2025"/>
      <c r="I60" s="2026"/>
    </row>
    <row r="61" spans="1:9" s="2024" customFormat="1" x14ac:dyDescent="0.2">
      <c r="A61" s="1275" t="s">
        <v>4770</v>
      </c>
      <c r="B61" s="2112" t="s">
        <v>4771</v>
      </c>
      <c r="C61" s="2140">
        <f>VLOOKUP(A61,'2012 - TB'!$A$1:$H$733,4,FALSE)</f>
        <v>4126580.5</v>
      </c>
      <c r="D61" s="2140">
        <f>VLOOKUP(A61,'2012 - TB'!$A$3:$H$733,5,FALSE)</f>
        <v>10159794.59</v>
      </c>
      <c r="E61" s="2140">
        <f>VLOOKUP(A61,'2012 - TB'!$A$3:$H$733,6,FALSE)</f>
        <v>-7688907.6600000001</v>
      </c>
      <c r="F61" s="2140">
        <f>VLOOKUP(A61,'2012 - TB'!$A$3:$I$733,9,FALSE)</f>
        <v>6597467.4299999997</v>
      </c>
      <c r="G61" s="2114">
        <v>0</v>
      </c>
      <c r="H61" s="2114"/>
      <c r="I61" s="2115" t="s">
        <v>6452</v>
      </c>
    </row>
    <row r="62" spans="1:9" s="2024" customFormat="1" ht="13.5" thickBot="1" x14ac:dyDescent="0.25">
      <c r="A62" s="2120" t="s">
        <v>4797</v>
      </c>
      <c r="B62" s="2121" t="s">
        <v>4798</v>
      </c>
      <c r="C62" s="2141">
        <f>VLOOKUP(A62,'2012 - TB'!$A$1:$H$733,4,FALSE)</f>
        <v>0</v>
      </c>
      <c r="D62" s="2141">
        <f>VLOOKUP(A62,'2012 - TB'!$A$3:$H$733,5,FALSE)</f>
        <v>0</v>
      </c>
      <c r="E62" s="2141">
        <f>VLOOKUP(A62,'2012 - TB'!$A$3:$H$733,6,FALSE)</f>
        <v>0</v>
      </c>
      <c r="F62" s="2141">
        <f>VLOOKUP(A62,'2012 - TB'!$A$3:$I$733,9,FALSE)</f>
        <v>0</v>
      </c>
      <c r="G62" s="2123">
        <v>0</v>
      </c>
      <c r="H62" s="2123">
        <v>0</v>
      </c>
      <c r="I62" s="2124" t="s">
        <v>6451</v>
      </c>
    </row>
    <row r="63" spans="1:9" s="2024" customFormat="1" ht="13.5" thickBot="1" x14ac:dyDescent="0.25">
      <c r="C63" s="2089">
        <f>SUM(C61:C62)</f>
        <v>4126580.5</v>
      </c>
      <c r="D63" s="2089">
        <f t="shared" ref="D63:E63" si="5">SUM(D61:D62)</f>
        <v>10159794.59</v>
      </c>
      <c r="E63" s="2089">
        <f t="shared" si="5"/>
        <v>-7688907.6600000001</v>
      </c>
      <c r="F63" s="2089">
        <f>SUM(F61:F62)</f>
        <v>6597467.4299999997</v>
      </c>
      <c r="G63" s="2139">
        <f t="shared" ref="G63:H63" si="6">G62</f>
        <v>0</v>
      </c>
      <c r="H63" s="2139">
        <f t="shared" si="6"/>
        <v>0</v>
      </c>
      <c r="I63" s="2026"/>
    </row>
    <row r="64" spans="1:9" s="2024" customFormat="1" ht="7.5" customHeight="1" thickTop="1" x14ac:dyDescent="0.2">
      <c r="C64" s="2072"/>
      <c r="D64" s="2072"/>
      <c r="E64" s="2072"/>
      <c r="F64" s="2072"/>
      <c r="G64" s="2067"/>
      <c r="H64" s="2067"/>
      <c r="I64" s="2026"/>
    </row>
    <row r="65" spans="1:9" s="2024" customFormat="1" x14ac:dyDescent="0.2">
      <c r="B65" s="2068" t="s">
        <v>1212</v>
      </c>
      <c r="C65" s="2073">
        <f>'Fin Pos'!L13</f>
        <v>4126580.5</v>
      </c>
      <c r="D65" s="2072"/>
      <c r="E65" s="2072"/>
      <c r="F65" s="2073">
        <f>'Fin Pos'!J13</f>
        <v>360.42999999970198</v>
      </c>
      <c r="G65" s="2067"/>
      <c r="H65" s="2067"/>
      <c r="I65" s="2026"/>
    </row>
    <row r="66" spans="1:9" s="2024" customFormat="1" ht="7.5" customHeight="1" x14ac:dyDescent="0.2">
      <c r="C66" s="2072"/>
      <c r="D66" s="2072"/>
      <c r="E66" s="2072"/>
      <c r="F66" s="2072"/>
      <c r="G66" s="2067"/>
      <c r="H66" s="2067"/>
      <c r="I66" s="2026"/>
    </row>
    <row r="67" spans="1:9" s="2024" customFormat="1" ht="13.5" thickBot="1" x14ac:dyDescent="0.25">
      <c r="B67" s="1208" t="s">
        <v>6423</v>
      </c>
      <c r="C67" s="2087">
        <f>C63-C65</f>
        <v>0</v>
      </c>
      <c r="D67" s="2072"/>
      <c r="E67" s="2072"/>
      <c r="F67" s="2087">
        <f>F63-F65</f>
        <v>6597107</v>
      </c>
      <c r="G67" s="2067">
        <f>F67+F59</f>
        <v>0.92000001296401024</v>
      </c>
      <c r="H67" s="2067"/>
      <c r="I67" s="2026"/>
    </row>
    <row r="68" spans="1:9" s="2024" customFormat="1" ht="14.25" thickTop="1" thickBot="1" x14ac:dyDescent="0.25">
      <c r="C68" s="2074"/>
      <c r="D68" s="2074"/>
      <c r="E68" s="2074"/>
      <c r="F68" s="2074"/>
      <c r="G68" s="2025"/>
      <c r="H68" s="2025"/>
      <c r="I68" s="2026"/>
    </row>
    <row r="69" spans="1:9" s="2024" customFormat="1" x14ac:dyDescent="0.2">
      <c r="A69" s="2111" t="s">
        <v>4543</v>
      </c>
      <c r="B69" s="2112" t="s">
        <v>4544</v>
      </c>
      <c r="C69" s="2140">
        <f>VLOOKUP(A69,'2012 - TB'!$A$1:$H$733,4,FALSE)</f>
        <v>46.25</v>
      </c>
      <c r="D69" s="2140">
        <f>VLOOKUP(A69,'2012 - TB'!$A$3:$H$733,5,FALSE)</f>
        <v>0</v>
      </c>
      <c r="E69" s="2140">
        <f>VLOOKUP(A69,'2012 - TB'!$A$3:$H$733,6,FALSE)</f>
        <v>0</v>
      </c>
      <c r="F69" s="2140">
        <f>VLOOKUP(A69,'2012 - TB'!$A$3:$I$733,9,FALSE)</f>
        <v>46.25</v>
      </c>
      <c r="G69" s="2114">
        <v>0</v>
      </c>
      <c r="H69" s="2114">
        <v>0</v>
      </c>
      <c r="I69" s="2115" t="s">
        <v>5976</v>
      </c>
    </row>
    <row r="70" spans="1:9" s="2024" customFormat="1" x14ac:dyDescent="0.2">
      <c r="A70" s="2116" t="s">
        <v>4545</v>
      </c>
      <c r="B70" s="2117" t="s">
        <v>4546</v>
      </c>
      <c r="C70" s="2138">
        <f>VLOOKUP(A70,'2012 - TB'!$A$1:$H$733,4,FALSE)</f>
        <v>630.5</v>
      </c>
      <c r="D70" s="2138">
        <f>VLOOKUP(A70,'2012 - TB'!$A$3:$H$733,5,FALSE)</f>
        <v>0</v>
      </c>
      <c r="E70" s="2138">
        <f>VLOOKUP(A70,'2012 - TB'!$A$3:$H$733,6,FALSE)</f>
        <v>-1064.8</v>
      </c>
      <c r="F70" s="2138">
        <f>VLOOKUP(A70,'2012 - TB'!$A$3:$I$733,9,FALSE)</f>
        <v>-434.29999999999995</v>
      </c>
      <c r="G70" s="2118">
        <v>0</v>
      </c>
      <c r="H70" s="2118">
        <v>0</v>
      </c>
      <c r="I70" s="2119" t="s">
        <v>5976</v>
      </c>
    </row>
    <row r="71" spans="1:9" s="2024" customFormat="1" x14ac:dyDescent="0.2">
      <c r="A71" s="2116" t="s">
        <v>4562</v>
      </c>
      <c r="B71" s="2117" t="s">
        <v>4563</v>
      </c>
      <c r="C71" s="2138">
        <f>VLOOKUP(A71,'2012 - TB'!$A$1:$H$733,4,FALSE)</f>
        <v>198547.47</v>
      </c>
      <c r="D71" s="2138">
        <f>VLOOKUP(A71,'2012 - TB'!$A$3:$H$733,5,FALSE)</f>
        <v>0</v>
      </c>
      <c r="E71" s="2138">
        <f>VLOOKUP(A71,'2012 - TB'!$A$3:$H$733,6,FALSE)</f>
        <v>-533532.43000000005</v>
      </c>
      <c r="F71" s="2149">
        <f>VLOOKUP(A71,'2012 - TB'!$A$3:$I$733,9,FALSE)</f>
        <v>-334984.96000000008</v>
      </c>
      <c r="G71" s="2118">
        <v>0</v>
      </c>
      <c r="H71" s="2118">
        <v>0</v>
      </c>
      <c r="I71" s="2119" t="s">
        <v>5976</v>
      </c>
    </row>
    <row r="72" spans="1:9" s="2024" customFormat="1" x14ac:dyDescent="0.2">
      <c r="A72" s="2116" t="s">
        <v>4564</v>
      </c>
      <c r="B72" s="2117" t="s">
        <v>4563</v>
      </c>
      <c r="C72" s="2138">
        <v>0</v>
      </c>
      <c r="D72" s="2138">
        <v>0</v>
      </c>
      <c r="E72" s="2138">
        <v>0</v>
      </c>
      <c r="F72" s="2138">
        <v>0</v>
      </c>
      <c r="G72" s="2118">
        <v>0</v>
      </c>
      <c r="H72" s="2118">
        <v>0</v>
      </c>
      <c r="I72" s="2119" t="s">
        <v>5976</v>
      </c>
    </row>
    <row r="73" spans="1:9" s="2024" customFormat="1" x14ac:dyDescent="0.2">
      <c r="A73" s="2116" t="s">
        <v>4565</v>
      </c>
      <c r="B73" s="2117" t="s">
        <v>4566</v>
      </c>
      <c r="C73" s="2138">
        <f>VLOOKUP(A73,'2012 - TB'!$A$1:$H$733,4,FALSE)</f>
        <v>20565.13</v>
      </c>
      <c r="D73" s="2138">
        <f>VLOOKUP(A73,'2012 - TB'!$A$3:$H$733,5,FALSE)</f>
        <v>0</v>
      </c>
      <c r="E73" s="2138">
        <f>VLOOKUP(A73,'2012 - TB'!$A$3:$H$733,6,FALSE)</f>
        <v>-106.15</v>
      </c>
      <c r="F73" s="2138">
        <f>VLOOKUP(A73,'2012 - TB'!$A$3:$I$733,9,FALSE)</f>
        <v>20458.98</v>
      </c>
      <c r="G73" s="2118">
        <v>0</v>
      </c>
      <c r="H73" s="2118">
        <v>0</v>
      </c>
      <c r="I73" s="2119" t="s">
        <v>5976</v>
      </c>
    </row>
    <row r="74" spans="1:9" s="2024" customFormat="1" x14ac:dyDescent="0.2">
      <c r="A74" s="2116" t="s">
        <v>4567</v>
      </c>
      <c r="B74" s="2117" t="s">
        <v>4566</v>
      </c>
      <c r="C74" s="2138">
        <v>0</v>
      </c>
      <c r="D74" s="2138">
        <v>0</v>
      </c>
      <c r="E74" s="2138">
        <v>0</v>
      </c>
      <c r="F74" s="2138">
        <v>0</v>
      </c>
      <c r="G74" s="2118">
        <v>0</v>
      </c>
      <c r="H74" s="2118">
        <v>0</v>
      </c>
      <c r="I74" s="2119" t="s">
        <v>5976</v>
      </c>
    </row>
    <row r="75" spans="1:9" s="2024" customFormat="1" x14ac:dyDescent="0.2">
      <c r="A75" s="2116" t="s">
        <v>4568</v>
      </c>
      <c r="B75" s="2117" t="s">
        <v>4566</v>
      </c>
      <c r="C75" s="2138">
        <v>0</v>
      </c>
      <c r="D75" s="2138">
        <v>0</v>
      </c>
      <c r="E75" s="2138">
        <v>0</v>
      </c>
      <c r="F75" s="2138">
        <v>0</v>
      </c>
      <c r="G75" s="2118">
        <v>0</v>
      </c>
      <c r="H75" s="2118">
        <v>0</v>
      </c>
      <c r="I75" s="2119" t="s">
        <v>5976</v>
      </c>
    </row>
    <row r="76" spans="1:9" s="2024" customFormat="1" x14ac:dyDescent="0.2">
      <c r="A76" s="2116" t="s">
        <v>4569</v>
      </c>
      <c r="B76" s="2117" t="s">
        <v>4566</v>
      </c>
      <c r="C76" s="2138">
        <v>0</v>
      </c>
      <c r="D76" s="2138">
        <v>0</v>
      </c>
      <c r="E76" s="2138">
        <v>0</v>
      </c>
      <c r="F76" s="2138">
        <v>0</v>
      </c>
      <c r="G76" s="2118">
        <v>0</v>
      </c>
      <c r="H76" s="2118">
        <v>0</v>
      </c>
      <c r="I76" s="2119" t="s">
        <v>5976</v>
      </c>
    </row>
    <row r="77" spans="1:9" s="2024" customFormat="1" x14ac:dyDescent="0.2">
      <c r="A77" s="2116" t="s">
        <v>4570</v>
      </c>
      <c r="B77" s="2117" t="s">
        <v>4566</v>
      </c>
      <c r="C77" s="2138">
        <v>0</v>
      </c>
      <c r="D77" s="2138">
        <v>0</v>
      </c>
      <c r="E77" s="2138">
        <v>0</v>
      </c>
      <c r="F77" s="2138">
        <v>0</v>
      </c>
      <c r="G77" s="2118">
        <v>0</v>
      </c>
      <c r="H77" s="2118">
        <v>0</v>
      </c>
      <c r="I77" s="2119" t="s">
        <v>5976</v>
      </c>
    </row>
    <row r="78" spans="1:9" s="2024" customFormat="1" x14ac:dyDescent="0.2">
      <c r="A78" s="1283" t="s">
        <v>4577</v>
      </c>
      <c r="B78" s="2117" t="s">
        <v>4578</v>
      </c>
      <c r="C78" s="2138">
        <f>VLOOKUP(A78,'2012 - TB'!$A$1:$H$733,4,FALSE)</f>
        <v>511704.77</v>
      </c>
      <c r="D78" s="2138">
        <f>VLOOKUP(A78,'2012 - TB'!$A$3:$H$733,5,FALSE)</f>
        <v>41038916.700000003</v>
      </c>
      <c r="E78" s="2138">
        <f>VLOOKUP(A78,'2012 - TB'!$A$3:$H$733,6,FALSE)</f>
        <v>-41550621.469999991</v>
      </c>
      <c r="F78" s="2138">
        <f>VLOOKUP(A78,'2012 - TB'!$A$3:$I$733,9,FALSE)</f>
        <v>0</v>
      </c>
      <c r="G78" s="2118">
        <v>0</v>
      </c>
      <c r="H78" s="2118">
        <v>0</v>
      </c>
      <c r="I78" s="2143" t="s">
        <v>5976</v>
      </c>
    </row>
    <row r="79" spans="1:9" s="2024" customFormat="1" x14ac:dyDescent="0.2">
      <c r="A79" s="2116" t="s">
        <v>4581</v>
      </c>
      <c r="B79" s="2117" t="s">
        <v>4582</v>
      </c>
      <c r="C79" s="2138">
        <f>VLOOKUP(A79,'2012 - TB'!$A$1:$H$733,4,FALSE)</f>
        <v>9339.31</v>
      </c>
      <c r="D79" s="2138">
        <f>VLOOKUP(A79,'2012 - TB'!$A$3:$H$733,5,FALSE)</f>
        <v>0</v>
      </c>
      <c r="E79" s="2138">
        <f>VLOOKUP(A79,'2012 - TB'!$A$3:$H$733,6,FALSE)</f>
        <v>0</v>
      </c>
      <c r="F79" s="2138">
        <f>VLOOKUP(A79,'2012 - TB'!$A$3:$I$733,9,FALSE)</f>
        <v>9339.31</v>
      </c>
      <c r="G79" s="2118">
        <v>0</v>
      </c>
      <c r="H79" s="2118">
        <v>0</v>
      </c>
      <c r="I79" s="2119" t="s">
        <v>5976</v>
      </c>
    </row>
    <row r="80" spans="1:9" s="2024" customFormat="1" x14ac:dyDescent="0.2">
      <c r="A80" s="2116" t="s">
        <v>4583</v>
      </c>
      <c r="B80" s="2117" t="s">
        <v>4582</v>
      </c>
      <c r="C80" s="2138">
        <v>0</v>
      </c>
      <c r="D80" s="2138">
        <v>0</v>
      </c>
      <c r="E80" s="2138">
        <v>0</v>
      </c>
      <c r="F80" s="2138">
        <v>0</v>
      </c>
      <c r="G80" s="2118">
        <v>0</v>
      </c>
      <c r="H80" s="2118">
        <v>0</v>
      </c>
      <c r="I80" s="2119" t="s">
        <v>5976</v>
      </c>
    </row>
    <row r="81" spans="1:9" s="2024" customFormat="1" x14ac:dyDescent="0.2">
      <c r="A81" s="2116" t="s">
        <v>4586</v>
      </c>
      <c r="B81" s="2117" t="s">
        <v>4587</v>
      </c>
      <c r="C81" s="2138">
        <f>VLOOKUP(A81,'2012 - TB'!$A$1:$H$733,4,FALSE)</f>
        <v>22734</v>
      </c>
      <c r="D81" s="2138">
        <f>VLOOKUP(A81,'2012 - TB'!$A$3:$H$733,5,FALSE)</f>
        <v>0</v>
      </c>
      <c r="E81" s="2138">
        <f>VLOOKUP(A81,'2012 - TB'!$A$3:$H$733,6,FALSE)</f>
        <v>0</v>
      </c>
      <c r="F81" s="2138">
        <f>VLOOKUP(A81,'2012 - TB'!$A$3:$I$733,9,FALSE)</f>
        <v>22734</v>
      </c>
      <c r="G81" s="2118">
        <v>0</v>
      </c>
      <c r="H81" s="2118">
        <v>0</v>
      </c>
      <c r="I81" s="2119" t="s">
        <v>5976</v>
      </c>
    </row>
    <row r="82" spans="1:9" s="2024" customFormat="1" x14ac:dyDescent="0.2">
      <c r="A82" s="2116" t="s">
        <v>4588</v>
      </c>
      <c r="B82" s="2117" t="s">
        <v>4587</v>
      </c>
      <c r="C82" s="2138">
        <v>0</v>
      </c>
      <c r="D82" s="2138">
        <v>0</v>
      </c>
      <c r="E82" s="2138">
        <f>VLOOKUP(A82,'2012 - TB'!$A$3:$H$733,6,FALSE)</f>
        <v>0</v>
      </c>
      <c r="F82" s="2138">
        <f>VLOOKUP(A82,'2012 - TB'!$A$3:$I$733,9,FALSE)</f>
        <v>354386</v>
      </c>
      <c r="G82" s="2118">
        <v>0</v>
      </c>
      <c r="H82" s="2118">
        <v>0</v>
      </c>
      <c r="I82" s="2119" t="s">
        <v>5976</v>
      </c>
    </row>
    <row r="83" spans="1:9" s="2024" customFormat="1" x14ac:dyDescent="0.2">
      <c r="A83" s="2116" t="s">
        <v>4789</v>
      </c>
      <c r="B83" s="2117" t="s">
        <v>4790</v>
      </c>
      <c r="C83" s="2138">
        <f>VLOOKUP(A83,'2012 - TB'!$A$1:$H$733,4,FALSE)</f>
        <v>12406.74</v>
      </c>
      <c r="D83" s="2138">
        <f>VLOOKUP(A83,'2012 - TB'!$A$3:$H$733,5,FALSE)</f>
        <v>10427.9</v>
      </c>
      <c r="E83" s="2138">
        <f>VLOOKUP(A83,'2012 - TB'!$A$3:$H$733,6,FALSE)</f>
        <v>0</v>
      </c>
      <c r="F83" s="2138">
        <f>VLOOKUP(A83,'2012 - TB'!$A$3:$I$733,9,FALSE)</f>
        <v>22834.639999999999</v>
      </c>
      <c r="G83" s="2118">
        <v>0</v>
      </c>
      <c r="H83" s="2118">
        <v>0</v>
      </c>
      <c r="I83" s="2119" t="s">
        <v>5976</v>
      </c>
    </row>
    <row r="84" spans="1:9" s="2024" customFormat="1" x14ac:dyDescent="0.2">
      <c r="A84" s="2116" t="s">
        <v>4791</v>
      </c>
      <c r="B84" s="2117" t="s">
        <v>4790</v>
      </c>
      <c r="C84" s="2138">
        <v>0</v>
      </c>
      <c r="D84" s="2138">
        <v>0</v>
      </c>
      <c r="E84" s="2138">
        <v>0</v>
      </c>
      <c r="F84" s="2138">
        <v>0</v>
      </c>
      <c r="G84" s="2118">
        <v>0</v>
      </c>
      <c r="H84" s="2118">
        <v>0</v>
      </c>
      <c r="I84" s="2119" t="s">
        <v>5976</v>
      </c>
    </row>
    <row r="85" spans="1:9" s="2024" customFormat="1" x14ac:dyDescent="0.2">
      <c r="A85" s="2116" t="s">
        <v>4792</v>
      </c>
      <c r="B85" s="2117" t="s">
        <v>4793</v>
      </c>
      <c r="C85" s="2138">
        <f>VLOOKUP(A85,'2012 - TB'!$A$1:$H$733,4,FALSE)</f>
        <v>4704</v>
      </c>
      <c r="D85" s="2138">
        <f>VLOOKUP(A85,'2012 - TB'!$A$3:$H$733,5,FALSE)</f>
        <v>0</v>
      </c>
      <c r="E85" s="2138">
        <f>VLOOKUP(A85,'2012 - TB'!$A$3:$H$733,6,FALSE)</f>
        <v>0</v>
      </c>
      <c r="F85" s="2138">
        <f>VLOOKUP(A85,'2012 - TB'!$A$3:$I$733,9,FALSE)</f>
        <v>4704</v>
      </c>
      <c r="G85" s="2118">
        <v>0</v>
      </c>
      <c r="H85" s="2118">
        <v>0</v>
      </c>
      <c r="I85" s="2119" t="s">
        <v>5976</v>
      </c>
    </row>
    <row r="86" spans="1:9" s="2024" customFormat="1" ht="13.5" thickBot="1" x14ac:dyDescent="0.25">
      <c r="A86" s="2120" t="s">
        <v>4794</v>
      </c>
      <c r="B86" s="2121" t="s">
        <v>4793</v>
      </c>
      <c r="C86" s="2141">
        <f>VLOOKUP(A86,'2012 - TB'!$A$1:$H$733,4,FALSE)</f>
        <v>376166.96</v>
      </c>
      <c r="D86" s="2141">
        <f>'2012 - TB'!E727</f>
        <v>347825.70999999996</v>
      </c>
      <c r="E86" s="2141">
        <v>0</v>
      </c>
      <c r="F86" s="2141">
        <f>VLOOKUP(A86,'2012 - TB'!$A$3:$I$733,9,FALSE)</f>
        <v>723992.66999999993</v>
      </c>
      <c r="G86" s="2123">
        <v>0</v>
      </c>
      <c r="H86" s="2123">
        <v>0</v>
      </c>
      <c r="I86" s="2124" t="s">
        <v>5976</v>
      </c>
    </row>
    <row r="87" spans="1:9" s="2024" customFormat="1" ht="13.5" thickBot="1" x14ac:dyDescent="0.25">
      <c r="C87" s="2089">
        <f t="shared" ref="C87:H87" si="7">SUM(C69:C86)</f>
        <v>1156845.1300000001</v>
      </c>
      <c r="D87" s="2089">
        <f t="shared" si="7"/>
        <v>41397170.310000002</v>
      </c>
      <c r="E87" s="2089">
        <f t="shared" si="7"/>
        <v>-42085324.849999994</v>
      </c>
      <c r="F87" s="2089">
        <f t="shared" si="7"/>
        <v>823076.58999999985</v>
      </c>
      <c r="G87" s="2139">
        <f t="shared" si="7"/>
        <v>0</v>
      </c>
      <c r="H87" s="2139">
        <f t="shared" si="7"/>
        <v>0</v>
      </c>
      <c r="I87" s="2026"/>
    </row>
    <row r="88" spans="1:9" s="2024" customFormat="1" ht="7.5" customHeight="1" thickTop="1" x14ac:dyDescent="0.2">
      <c r="C88" s="2074"/>
      <c r="D88" s="2074"/>
      <c r="E88" s="2074"/>
      <c r="F88" s="2074"/>
      <c r="G88" s="2025"/>
      <c r="H88" s="2025"/>
      <c r="I88" s="2026"/>
    </row>
    <row r="89" spans="1:9" s="2024" customFormat="1" x14ac:dyDescent="0.2">
      <c r="B89" s="2068" t="s">
        <v>1212</v>
      </c>
      <c r="C89" s="2073">
        <f>'Fin Pos'!L14</f>
        <v>1156845.1300000001</v>
      </c>
      <c r="D89" s="2074"/>
      <c r="E89" s="2074"/>
      <c r="F89" s="2073">
        <f>'Fin Pos'!J14</f>
        <v>1158061.5499999998</v>
      </c>
      <c r="G89" s="2025"/>
      <c r="H89" s="2025"/>
      <c r="I89" s="2026"/>
    </row>
    <row r="90" spans="1:9" s="2024" customFormat="1" ht="7.5" customHeight="1" x14ac:dyDescent="0.2">
      <c r="C90" s="2072"/>
      <c r="D90" s="2074"/>
      <c r="E90" s="2074"/>
      <c r="F90" s="2072"/>
      <c r="G90" s="2025"/>
      <c r="H90" s="2025"/>
      <c r="I90" s="2026"/>
    </row>
    <row r="91" spans="1:9" s="2024" customFormat="1" ht="13.5" thickBot="1" x14ac:dyDescent="0.25">
      <c r="B91" s="1208" t="s">
        <v>6423</v>
      </c>
      <c r="C91" s="2087">
        <f>C87-C89</f>
        <v>0</v>
      </c>
      <c r="D91" s="2074"/>
      <c r="E91" s="2074"/>
      <c r="F91" s="2087">
        <f>F87-F89</f>
        <v>-334984.95999999996</v>
      </c>
      <c r="G91" s="2025"/>
      <c r="H91" s="2025"/>
      <c r="I91" s="2026"/>
    </row>
    <row r="92" spans="1:9" s="2024" customFormat="1" ht="14.25" thickTop="1" thickBot="1" x14ac:dyDescent="0.25">
      <c r="C92" s="2074"/>
      <c r="D92" s="2074"/>
      <c r="E92" s="2074"/>
      <c r="F92" s="2074"/>
      <c r="G92" s="2025"/>
      <c r="H92" s="2025"/>
      <c r="I92" s="2026"/>
    </row>
    <row r="93" spans="1:9" s="2024" customFormat="1" x14ac:dyDescent="0.2">
      <c r="A93" s="2111" t="s">
        <v>4575</v>
      </c>
      <c r="B93" s="2112" t="s">
        <v>4576</v>
      </c>
      <c r="C93" s="2140">
        <f>VLOOKUP(A93,'2012 - TB'!$A$1:$H$733,4,FALSE)</f>
        <v>-944761.98</v>
      </c>
      <c r="D93" s="2140">
        <f>VLOOKUP(A93,'2012 - TB'!$A$3:$H$733,5,FALSE)</f>
        <v>18017567.829999998</v>
      </c>
      <c r="E93" s="2140">
        <f>VLOOKUP(A93,'2012 - TB'!$A$3:$H$733,6,FALSE)</f>
        <v>-22315321.239999998</v>
      </c>
      <c r="F93" s="2140">
        <f>VLOOKUP(A93,'2012 - TB'!$A$3:$I$733,9,FALSE)</f>
        <v>-5242515.3900000006</v>
      </c>
      <c r="G93" s="2114">
        <v>0</v>
      </c>
      <c r="H93" s="2114">
        <v>0</v>
      </c>
      <c r="I93" s="2115" t="s">
        <v>5982</v>
      </c>
    </row>
    <row r="94" spans="1:9" s="2024" customFormat="1" x14ac:dyDescent="0.2">
      <c r="A94" s="2116" t="s">
        <v>4784</v>
      </c>
      <c r="B94" s="2117" t="s">
        <v>4785</v>
      </c>
      <c r="C94" s="2138">
        <f>VLOOKUP(A94,'2012 - TB'!$A$1:$H$733,4,FALSE)</f>
        <v>-1483730.49</v>
      </c>
      <c r="D94" s="2138">
        <f>VLOOKUP(A94,'2012 - TB'!$A$3:$H$733,5,FALSE)</f>
        <v>2720234.39</v>
      </c>
      <c r="E94" s="2138">
        <f>VLOOKUP(A94,'2012 - TB'!$A$3:$H$733,6,FALSE)</f>
        <v>-2667402.7599999998</v>
      </c>
      <c r="F94" s="2138">
        <f>VLOOKUP(A94,'2012 - TB'!$A$3:$I$733,9,FALSE)</f>
        <v>-1430898.8599999996</v>
      </c>
      <c r="G94" s="2118">
        <v>0</v>
      </c>
      <c r="H94" s="2118">
        <v>0</v>
      </c>
      <c r="I94" s="2119" t="s">
        <v>5982</v>
      </c>
    </row>
    <row r="95" spans="1:9" s="2024" customFormat="1" x14ac:dyDescent="0.2">
      <c r="A95" s="2116" t="s">
        <v>4786</v>
      </c>
      <c r="B95" s="2117" t="s">
        <v>4785</v>
      </c>
      <c r="C95" s="2138">
        <v>0</v>
      </c>
      <c r="D95" s="2138">
        <v>0</v>
      </c>
      <c r="E95" s="2138">
        <v>0</v>
      </c>
      <c r="F95" s="2138">
        <v>0</v>
      </c>
      <c r="G95" s="2118">
        <v>0</v>
      </c>
      <c r="H95" s="2118">
        <v>0</v>
      </c>
      <c r="I95" s="2119" t="s">
        <v>5982</v>
      </c>
    </row>
    <row r="96" spans="1:9" s="2024" customFormat="1" x14ac:dyDescent="0.2">
      <c r="A96" s="2116" t="s">
        <v>4787</v>
      </c>
      <c r="B96" s="2117" t="s">
        <v>4785</v>
      </c>
      <c r="C96" s="2138">
        <v>0</v>
      </c>
      <c r="D96" s="2138">
        <v>0</v>
      </c>
      <c r="E96" s="2138">
        <v>0</v>
      </c>
      <c r="F96" s="2138">
        <v>0</v>
      </c>
      <c r="G96" s="2118">
        <v>0</v>
      </c>
      <c r="H96" s="2118">
        <v>0</v>
      </c>
      <c r="I96" s="2119" t="s">
        <v>5982</v>
      </c>
    </row>
    <row r="97" spans="1:9" s="2024" customFormat="1" x14ac:dyDescent="0.2">
      <c r="A97" s="2116" t="s">
        <v>4788</v>
      </c>
      <c r="B97" s="2117" t="s">
        <v>4785</v>
      </c>
      <c r="C97" s="2138">
        <v>0</v>
      </c>
      <c r="D97" s="2138">
        <v>0</v>
      </c>
      <c r="E97" s="2138">
        <v>0</v>
      </c>
      <c r="F97" s="2138">
        <v>0</v>
      </c>
      <c r="G97" s="2118">
        <v>0</v>
      </c>
      <c r="H97" s="2118">
        <v>0</v>
      </c>
      <c r="I97" s="2119" t="s">
        <v>5982</v>
      </c>
    </row>
    <row r="98" spans="1:9" s="2024" customFormat="1" ht="13.5" thickBot="1" x14ac:dyDescent="0.25">
      <c r="A98" s="2137" t="s">
        <v>4795</v>
      </c>
      <c r="B98" s="2121" t="s">
        <v>4796</v>
      </c>
      <c r="C98" s="2141">
        <f>VLOOKUP(A98,'2012 - TB'!$A$1:$H$733,4,FALSE)</f>
        <v>17611755.57</v>
      </c>
      <c r="D98" s="2141">
        <f>VLOOKUP(A98,'2012 - TB'!$A$3:$H$733,5,FALSE)</f>
        <v>6110643.1600000001</v>
      </c>
      <c r="E98" s="2141">
        <f>VLOOKUP(A98,'2012 - TB'!$A$3:$H$733,6,FALSE)</f>
        <v>-4681316.92</v>
      </c>
      <c r="F98" s="2141">
        <f>VLOOKUP(A98,'2012 - TB'!$A$3:$I$733,9,FALSE)</f>
        <v>19041081.810000002</v>
      </c>
      <c r="G98" s="2123">
        <v>0</v>
      </c>
      <c r="H98" s="2123">
        <v>0</v>
      </c>
      <c r="I98" s="2124" t="s">
        <v>5982</v>
      </c>
    </row>
    <row r="99" spans="1:9" s="2024" customFormat="1" ht="13.5" thickBot="1" x14ac:dyDescent="0.25">
      <c r="C99" s="2089">
        <f t="shared" ref="C99:H99" si="8">SUM(C93:C98)</f>
        <v>15183263.100000001</v>
      </c>
      <c r="D99" s="2089">
        <f t="shared" si="8"/>
        <v>26848445.379999999</v>
      </c>
      <c r="E99" s="2089">
        <f t="shared" si="8"/>
        <v>-29664040.920000002</v>
      </c>
      <c r="F99" s="2089">
        <f>SUM(F93:F98)</f>
        <v>12367667.560000002</v>
      </c>
      <c r="G99" s="2139">
        <f t="shared" si="8"/>
        <v>0</v>
      </c>
      <c r="H99" s="2139">
        <f t="shared" si="8"/>
        <v>0</v>
      </c>
      <c r="I99" s="2026"/>
    </row>
    <row r="100" spans="1:9" s="2024" customFormat="1" ht="7.5" customHeight="1" thickTop="1" x14ac:dyDescent="0.2">
      <c r="C100" s="2074"/>
      <c r="D100" s="2074"/>
      <c r="E100" s="2074"/>
      <c r="F100" s="2074"/>
      <c r="G100" s="2025"/>
      <c r="H100" s="2025"/>
      <c r="I100" s="2026"/>
    </row>
    <row r="101" spans="1:9" s="2024" customFormat="1" x14ac:dyDescent="0.2">
      <c r="B101" s="2068" t="s">
        <v>1212</v>
      </c>
      <c r="C101" s="2073">
        <f>'Fin Pos'!L15</f>
        <v>15183263.100000001</v>
      </c>
      <c r="D101" s="2074"/>
      <c r="E101" s="2074"/>
      <c r="F101" s="2073">
        <f>'Fin Pos'!J15</f>
        <v>12367667.560000002</v>
      </c>
      <c r="G101" s="2025"/>
      <c r="H101" s="2025"/>
      <c r="I101" s="2026"/>
    </row>
    <row r="102" spans="1:9" s="2024" customFormat="1" ht="7.5" customHeight="1" x14ac:dyDescent="0.2">
      <c r="C102" s="2072"/>
      <c r="D102" s="2074"/>
      <c r="E102" s="2074"/>
      <c r="F102" s="2072"/>
      <c r="G102" s="2025"/>
      <c r="H102" s="2025"/>
      <c r="I102" s="2026"/>
    </row>
    <row r="103" spans="1:9" s="2024" customFormat="1" ht="13.5" thickBot="1" x14ac:dyDescent="0.25">
      <c r="B103" s="1208" t="s">
        <v>6423</v>
      </c>
      <c r="C103" s="2087">
        <f>C99-C101</f>
        <v>0</v>
      </c>
      <c r="D103" s="2074"/>
      <c r="E103" s="2074"/>
      <c r="F103" s="2087">
        <f>F99-F101</f>
        <v>0</v>
      </c>
      <c r="G103" s="2025"/>
      <c r="H103" s="2025"/>
      <c r="I103" s="2026"/>
    </row>
    <row r="104" spans="1:9" s="2024" customFormat="1" ht="14.25" thickTop="1" thickBot="1" x14ac:dyDescent="0.25">
      <c r="C104" s="2074"/>
      <c r="D104" s="2074"/>
      <c r="E104" s="2074"/>
      <c r="F104" s="2074"/>
      <c r="G104" s="2025"/>
      <c r="H104" s="2025"/>
      <c r="I104" s="2026"/>
    </row>
    <row r="105" spans="1:9" s="2024" customFormat="1" x14ac:dyDescent="0.2">
      <c r="A105" s="2111" t="s">
        <v>4547</v>
      </c>
      <c r="B105" s="2112" t="s">
        <v>4517</v>
      </c>
      <c r="C105" s="2140">
        <f>VLOOKUP(A105,'2012 - TB'!$A$1:$H$733,4,FALSE)</f>
        <v>-97051.04</v>
      </c>
      <c r="D105" s="2140">
        <f>VLOOKUP(A105,'2012 - TB'!$A$3:$H$733,5,FALSE)</f>
        <v>0</v>
      </c>
      <c r="E105" s="2140">
        <f>VLOOKUP(A105,'2012 - TB'!$A$3:$H$733,6,FALSE)</f>
        <v>-431.45</v>
      </c>
      <c r="F105" s="2140">
        <f>VLOOKUP(A105,'2012 - TB'!$A$3:$I$733,9,FALSE)</f>
        <v>-97482.489999999991</v>
      </c>
      <c r="G105" s="2114">
        <v>0</v>
      </c>
      <c r="H105" s="2114">
        <v>0</v>
      </c>
      <c r="I105" s="2115" t="s">
        <v>5977</v>
      </c>
    </row>
    <row r="106" spans="1:9" s="2024" customFormat="1" x14ac:dyDescent="0.2">
      <c r="A106" s="2116" t="s">
        <v>4548</v>
      </c>
      <c r="B106" s="2117" t="s">
        <v>4544</v>
      </c>
      <c r="C106" s="2138">
        <f>VLOOKUP(A106,'2012 - TB'!$A$1:$H$733,4,FALSE)</f>
        <v>-800</v>
      </c>
      <c r="D106" s="2138">
        <f>VLOOKUP(A106,'2012 - TB'!$A$3:$H$733,5,FALSE)</f>
        <v>0</v>
      </c>
      <c r="E106" s="2138">
        <f>VLOOKUP(A106,'2012 - TB'!$A$3:$H$733,6,FALSE)</f>
        <v>0</v>
      </c>
      <c r="F106" s="2138">
        <f>VLOOKUP(A106,'2012 - TB'!$A$3:$I$733,9,FALSE)</f>
        <v>-800</v>
      </c>
      <c r="G106" s="2118">
        <v>0</v>
      </c>
      <c r="H106" s="2118">
        <v>0</v>
      </c>
      <c r="I106" s="2119" t="s">
        <v>5977</v>
      </c>
    </row>
    <row r="107" spans="1:9" s="2024" customFormat="1" x14ac:dyDescent="0.2">
      <c r="A107" s="2116" t="s">
        <v>4549</v>
      </c>
      <c r="B107" s="2117" t="s">
        <v>4546</v>
      </c>
      <c r="C107" s="2138">
        <f>VLOOKUP(A107,'2012 - TB'!$A$1:$H$733,4,FALSE)</f>
        <v>-66120</v>
      </c>
      <c r="D107" s="2138">
        <f>VLOOKUP(A107,'2012 - TB'!$A$3:$H$733,5,FALSE)</f>
        <v>0</v>
      </c>
      <c r="E107" s="2138">
        <f>VLOOKUP(A107,'2012 - TB'!$A$3:$H$733,6,FALSE)</f>
        <v>0</v>
      </c>
      <c r="F107" s="2138">
        <f>VLOOKUP(A107,'2012 - TB'!$A$3:$I$733,9,FALSE)</f>
        <v>-66120</v>
      </c>
      <c r="G107" s="2118">
        <v>0</v>
      </c>
      <c r="H107" s="2118">
        <v>0</v>
      </c>
      <c r="I107" s="2119" t="s">
        <v>5977</v>
      </c>
    </row>
    <row r="108" spans="1:9" s="2024" customFormat="1" ht="13.5" thickBot="1" x14ac:dyDescent="0.25">
      <c r="A108" s="2120" t="s">
        <v>4550</v>
      </c>
      <c r="B108" s="2121" t="s">
        <v>4546</v>
      </c>
      <c r="C108" s="2141">
        <v>0</v>
      </c>
      <c r="D108" s="2141">
        <v>0</v>
      </c>
      <c r="E108" s="2141">
        <v>0</v>
      </c>
      <c r="F108" s="2141">
        <v>0</v>
      </c>
      <c r="G108" s="2123">
        <v>0</v>
      </c>
      <c r="H108" s="2123">
        <v>0</v>
      </c>
      <c r="I108" s="2124" t="s">
        <v>5977</v>
      </c>
    </row>
    <row r="109" spans="1:9" s="2024" customFormat="1" ht="13.5" thickBot="1" x14ac:dyDescent="0.25">
      <c r="C109" s="2089">
        <f t="shared" ref="C109:H109" si="9">SUM(C105:C108)</f>
        <v>-163971.03999999998</v>
      </c>
      <c r="D109" s="2089">
        <f t="shared" si="9"/>
        <v>0</v>
      </c>
      <c r="E109" s="2089">
        <f t="shared" si="9"/>
        <v>-431.45</v>
      </c>
      <c r="F109" s="2089">
        <f>SUM(F105:F108)</f>
        <v>-164402.49</v>
      </c>
      <c r="G109" s="2139">
        <f t="shared" si="9"/>
        <v>0</v>
      </c>
      <c r="H109" s="2139">
        <f t="shared" si="9"/>
        <v>0</v>
      </c>
      <c r="I109" s="2026"/>
    </row>
    <row r="110" spans="1:9" s="2024" customFormat="1" ht="7.5" customHeight="1" thickTop="1" x14ac:dyDescent="0.2">
      <c r="C110" s="2074"/>
      <c r="D110" s="2074"/>
      <c r="E110" s="2074"/>
      <c r="F110" s="2074"/>
      <c r="G110" s="2025"/>
      <c r="H110" s="2025"/>
      <c r="I110" s="2026"/>
    </row>
    <row r="111" spans="1:9" s="2024" customFormat="1" x14ac:dyDescent="0.2">
      <c r="B111" s="2068" t="s">
        <v>1212</v>
      </c>
      <c r="C111" s="2073">
        <f>-'Fin Pos'!L37</f>
        <v>-163971.03999999998</v>
      </c>
      <c r="D111" s="2074"/>
      <c r="E111" s="2074"/>
      <c r="F111" s="2073">
        <f>-'Fin Pos'!J37</f>
        <v>-164402.49</v>
      </c>
      <c r="G111" s="2025"/>
      <c r="H111" s="2025"/>
      <c r="I111" s="2026"/>
    </row>
    <row r="112" spans="1:9" s="2024" customFormat="1" ht="7.5" customHeight="1" x14ac:dyDescent="0.2">
      <c r="C112" s="2072"/>
      <c r="D112" s="2074"/>
      <c r="E112" s="2074"/>
      <c r="F112" s="2072"/>
      <c r="G112" s="2025"/>
      <c r="H112" s="2025"/>
      <c r="I112" s="2026"/>
    </row>
    <row r="113" spans="1:9" s="2024" customFormat="1" ht="13.5" thickBot="1" x14ac:dyDescent="0.25">
      <c r="B113" s="1208" t="s">
        <v>6423</v>
      </c>
      <c r="C113" s="2087">
        <f>C109-C111</f>
        <v>0</v>
      </c>
      <c r="D113" s="2074"/>
      <c r="E113" s="2074"/>
      <c r="F113" s="2087">
        <f>F109-F111</f>
        <v>0</v>
      </c>
      <c r="G113" s="2025"/>
      <c r="H113" s="2025"/>
      <c r="I113" s="2026"/>
    </row>
    <row r="114" spans="1:9" s="2024" customFormat="1" ht="14.25" thickTop="1" thickBot="1" x14ac:dyDescent="0.25">
      <c r="C114" s="2074"/>
      <c r="D114" s="2074"/>
      <c r="E114" s="2074"/>
      <c r="F114" s="2074"/>
      <c r="G114" s="2025"/>
      <c r="H114" s="2025"/>
      <c r="I114" s="2026"/>
    </row>
    <row r="115" spans="1:9" s="2024" customFormat="1" x14ac:dyDescent="0.2">
      <c r="A115" s="1275" t="s">
        <v>4553</v>
      </c>
      <c r="B115" s="2112" t="s">
        <v>4554</v>
      </c>
      <c r="C115" s="2140">
        <f>VLOOKUP(A115,'2012 - TB'!$A$1:$H$733,4,FALSE)</f>
        <v>-689433.13</v>
      </c>
      <c r="D115" s="2140">
        <f>VLOOKUP(A115,'2012 - TB'!$A$3:$H$733,5,FALSE)</f>
        <v>0</v>
      </c>
      <c r="E115" s="2140">
        <f>VLOOKUP(A115,'2012 - TB'!$A$3:$H$733,6,FALSE)</f>
        <v>-145295.19</v>
      </c>
      <c r="F115" s="2140">
        <f>VLOOKUP(A115,'2012 - TB'!$A$3:$I$733,9,FALSE)</f>
        <v>-834728.32000000007</v>
      </c>
      <c r="G115" s="2114">
        <v>0</v>
      </c>
      <c r="H115" s="2114">
        <v>0</v>
      </c>
      <c r="I115" s="2115" t="s">
        <v>5979</v>
      </c>
    </row>
    <row r="116" spans="1:9" s="2024" customFormat="1" x14ac:dyDescent="0.2">
      <c r="A116" s="2116" t="s">
        <v>4555</v>
      </c>
      <c r="B116" s="2117" t="s">
        <v>4554</v>
      </c>
      <c r="C116" s="2138">
        <v>0</v>
      </c>
      <c r="D116" s="2138">
        <v>0</v>
      </c>
      <c r="E116" s="2138">
        <v>0</v>
      </c>
      <c r="F116" s="2138">
        <v>0</v>
      </c>
      <c r="G116" s="2118">
        <v>0</v>
      </c>
      <c r="H116" s="2118">
        <v>0</v>
      </c>
      <c r="I116" s="2119" t="s">
        <v>5979</v>
      </c>
    </row>
    <row r="117" spans="1:9" s="2024" customFormat="1" x14ac:dyDescent="0.2">
      <c r="A117" s="2116" t="s">
        <v>4551</v>
      </c>
      <c r="B117" s="2117" t="s">
        <v>4552</v>
      </c>
      <c r="C117" s="2138">
        <f>VLOOKUP(A117,'2012 - TB'!$A$1:$H$733,4,FALSE)</f>
        <v>-2147944.4300000002</v>
      </c>
      <c r="D117" s="2138">
        <f>VLOOKUP(A117,'2012 - TB'!$A$3:$H$733,5,FALSE)</f>
        <v>0</v>
      </c>
      <c r="E117" s="2138">
        <f>VLOOKUP(A117,'2012 - TB'!$A$3:$H$733,6,FALSE)</f>
        <v>-135460.98000000001</v>
      </c>
      <c r="F117" s="2138">
        <f>VLOOKUP(A117,'2012 - TB'!$A$3:$I$733,9,FALSE)</f>
        <v>-2283405.41</v>
      </c>
      <c r="G117" s="2118">
        <v>0</v>
      </c>
      <c r="H117" s="2118">
        <v>0</v>
      </c>
      <c r="I117" s="2119" t="s">
        <v>5978</v>
      </c>
    </row>
    <row r="118" spans="1:9" s="2024" customFormat="1" x14ac:dyDescent="0.2">
      <c r="A118" s="2116" t="s">
        <v>4571</v>
      </c>
      <c r="B118" s="2117" t="s">
        <v>4572</v>
      </c>
      <c r="C118" s="2138">
        <f>VLOOKUP(A118,'2012 - TB'!$A$1:$H$733,4,FALSE)</f>
        <v>-5030</v>
      </c>
      <c r="D118" s="2138">
        <f>VLOOKUP(A118,'2012 - TB'!$A$3:$H$733,5,FALSE)</f>
        <v>1721.2</v>
      </c>
      <c r="E118" s="2138">
        <f>VLOOKUP(A118,'2012 - TB'!$A$3:$H$733,6,FALSE)</f>
        <v>-5354.1</v>
      </c>
      <c r="F118" s="2138">
        <f>VLOOKUP(A118,'2012 - TB'!$A$3:$I$733,9,FALSE)</f>
        <v>-8662.9000000000015</v>
      </c>
      <c r="G118" s="2118">
        <v>0</v>
      </c>
      <c r="H118" s="2118">
        <v>0</v>
      </c>
      <c r="I118" s="2119" t="s">
        <v>5981</v>
      </c>
    </row>
    <row r="119" spans="1:9" s="2024" customFormat="1" x14ac:dyDescent="0.2">
      <c r="A119" s="2116" t="s">
        <v>4573</v>
      </c>
      <c r="B119" s="2117" t="s">
        <v>4574</v>
      </c>
      <c r="C119" s="2138">
        <f>VLOOKUP(A119,'2012 - TB'!$A$1:$H$733,4,FALSE)</f>
        <v>-31284</v>
      </c>
      <c r="D119" s="2138">
        <f>VLOOKUP(A119,'2012 - TB'!$A$3:$H$733,5,FALSE)</f>
        <v>0</v>
      </c>
      <c r="E119" s="2138">
        <f>VLOOKUP(A119,'2012 - TB'!$A$3:$H$733,6,FALSE)</f>
        <v>-16128</v>
      </c>
      <c r="F119" s="2138">
        <f>VLOOKUP(A119,'2012 - TB'!$A$3:$I$733,9,FALSE)</f>
        <v>-47412</v>
      </c>
      <c r="G119" s="2118">
        <v>0</v>
      </c>
      <c r="H119" s="2118">
        <v>0</v>
      </c>
      <c r="I119" s="2119" t="s">
        <v>5981</v>
      </c>
    </row>
    <row r="120" spans="1:9" s="2024" customFormat="1" x14ac:dyDescent="0.2">
      <c r="A120" s="2116" t="s">
        <v>4584</v>
      </c>
      <c r="B120" s="2117" t="s">
        <v>4585</v>
      </c>
      <c r="C120" s="2138">
        <f>VLOOKUP(A120,'2012 - TB'!$A$1:$H$733,4,FALSE)</f>
        <v>-28.03</v>
      </c>
      <c r="D120" s="2138">
        <f>VLOOKUP(A120,'2012 - TB'!$A$3:$H$733,5,FALSE)</f>
        <v>0</v>
      </c>
      <c r="E120" s="2138">
        <f>VLOOKUP(A120,'2012 - TB'!$A$3:$H$733,6,FALSE)</f>
        <v>0</v>
      </c>
      <c r="F120" s="2138">
        <f>VLOOKUP(A120,'2012 - TB'!$A$3:$I$733,9,FALSE)</f>
        <v>-28.03</v>
      </c>
      <c r="G120" s="2118">
        <v>0</v>
      </c>
      <c r="H120" s="2118">
        <v>0</v>
      </c>
      <c r="I120" s="2119" t="s">
        <v>5981</v>
      </c>
    </row>
    <row r="121" spans="1:9" s="2024" customFormat="1" x14ac:dyDescent="0.2">
      <c r="A121" s="1283" t="s">
        <v>4589</v>
      </c>
      <c r="B121" s="2117" t="s">
        <v>4590</v>
      </c>
      <c r="C121" s="2138">
        <f>VLOOKUP(A121,'2012 - TB'!$A$1:$H$733,4,FALSE)</f>
        <v>-236574.36</v>
      </c>
      <c r="D121" s="2138">
        <f>VLOOKUP(A121,'2012 - TB'!$A$3:$H$733,5,FALSE)</f>
        <v>211803.2</v>
      </c>
      <c r="E121" s="2138">
        <f>VLOOKUP(A121,'2012 - TB'!$A$3:$H$733,6,FALSE)</f>
        <v>-1016935.9900000001</v>
      </c>
      <c r="F121" s="2138">
        <f>VLOOKUP(A121,'2012 - TB'!$A$3:$I$733,9,FALSE)</f>
        <v>-1041707.1500000001</v>
      </c>
      <c r="G121" s="2118">
        <v>0</v>
      </c>
      <c r="H121" s="2118">
        <v>0</v>
      </c>
      <c r="I121" s="2119" t="s">
        <v>5981</v>
      </c>
    </row>
    <row r="122" spans="1:9" s="2024" customFormat="1" x14ac:dyDescent="0.2">
      <c r="A122" s="2116" t="s">
        <v>4592</v>
      </c>
      <c r="B122" s="2117" t="s">
        <v>4593</v>
      </c>
      <c r="C122" s="2138">
        <f>VLOOKUP(A122,'2012 - TB'!$A$1:$H$733,4,FALSE)</f>
        <v>-39526</v>
      </c>
      <c r="D122" s="2138">
        <f>VLOOKUP(A122,'2012 - TB'!$A$3:$H$733,5,FALSE)</f>
        <v>0</v>
      </c>
      <c r="E122" s="2138">
        <f>VLOOKUP(A122,'2012 - TB'!$A$3:$H$733,6,FALSE)</f>
        <v>0</v>
      </c>
      <c r="F122" s="2138">
        <f>VLOOKUP(A122,'2012 - TB'!$A$3:$I$733,9,FALSE)</f>
        <v>-39526</v>
      </c>
      <c r="G122" s="2118">
        <v>0</v>
      </c>
      <c r="H122" s="2118">
        <v>0</v>
      </c>
      <c r="I122" s="2119" t="s">
        <v>5981</v>
      </c>
    </row>
    <row r="123" spans="1:9" s="2024" customFormat="1" x14ac:dyDescent="0.2">
      <c r="A123" s="2116" t="s">
        <v>4598</v>
      </c>
      <c r="B123" s="2117" t="s">
        <v>4599</v>
      </c>
      <c r="C123" s="2138">
        <f>VLOOKUP(A123,'2012 - TB'!$A$1:$H$733,4,FALSE)</f>
        <v>-780</v>
      </c>
      <c r="D123" s="2138">
        <f>VLOOKUP(A123,'2012 - TB'!$A$3:$H$733,5,FALSE)</f>
        <v>16128</v>
      </c>
      <c r="E123" s="2138">
        <f>VLOOKUP(A123,'2012 - TB'!$A$3:$H$733,6,FALSE)</f>
        <v>-20290</v>
      </c>
      <c r="F123" s="2138">
        <f>VLOOKUP(A123,'2012 - TB'!$A$3:$I$733,9,FALSE)</f>
        <v>-4942</v>
      </c>
      <c r="G123" s="2118">
        <v>0</v>
      </c>
      <c r="H123" s="2118">
        <v>0</v>
      </c>
      <c r="I123" s="2119" t="s">
        <v>5981</v>
      </c>
    </row>
    <row r="124" spans="1:9" s="2024" customFormat="1" x14ac:dyDescent="0.2">
      <c r="A124" s="2116" t="s">
        <v>4579</v>
      </c>
      <c r="B124" s="2117" t="s">
        <v>4580</v>
      </c>
      <c r="C124" s="2138">
        <f>VLOOKUP(A124,'2012 - TB'!$A$1:$H$733,4,FALSE)</f>
        <v>-1402051.14</v>
      </c>
      <c r="D124" s="2138">
        <f>VLOOKUP(A124,'2012 - TB'!$A$3:$H$733,5,FALSE)</f>
        <v>853751.14</v>
      </c>
      <c r="E124" s="2138">
        <f>VLOOKUP(A124,'2012 - TB'!$A$3:$H$733,6,FALSE)</f>
        <v>-2171437.0499999998</v>
      </c>
      <c r="F124" s="2138">
        <f>VLOOKUP(A124,'2012 - TB'!$A$3:$I$733,9,FALSE)</f>
        <v>-2719737.05</v>
      </c>
      <c r="G124" s="2118">
        <v>0</v>
      </c>
      <c r="H124" s="2118">
        <v>0</v>
      </c>
      <c r="I124" s="2119" t="s">
        <v>5981</v>
      </c>
    </row>
    <row r="125" spans="1:9" s="2024" customFormat="1" x14ac:dyDescent="0.2">
      <c r="A125" s="1283" t="s">
        <v>4556</v>
      </c>
      <c r="B125" s="2117" t="s">
        <v>4557</v>
      </c>
      <c r="C125" s="2138">
        <f>VLOOKUP(A125,'2012 - TB'!$A$1:$H$733,4,FALSE)</f>
        <v>-34472.54</v>
      </c>
      <c r="D125" s="2138">
        <f>VLOOKUP(A125,'2012 - TB'!$A$3:$H$733,5,FALSE)</f>
        <v>123492.86</v>
      </c>
      <c r="E125" s="2138">
        <f>VLOOKUP(A125,'2012 - TB'!$A$3:$H$733,6,FALSE)</f>
        <v>-123492.86</v>
      </c>
      <c r="F125" s="2138">
        <f>VLOOKUP(A125,'2012 - TB'!$A$3:$I$733,9,FALSE)</f>
        <v>-34472.539999999994</v>
      </c>
      <c r="G125" s="2118">
        <v>0</v>
      </c>
      <c r="H125" s="2118">
        <v>0</v>
      </c>
      <c r="I125" s="2119" t="s">
        <v>5980</v>
      </c>
    </row>
    <row r="126" spans="1:9" s="2024" customFormat="1" ht="13.5" thickBot="1" x14ac:dyDescent="0.25">
      <c r="A126" s="2137" t="s">
        <v>4558</v>
      </c>
      <c r="B126" s="2121" t="s">
        <v>4559</v>
      </c>
      <c r="C126" s="2141">
        <f>VLOOKUP(A126,'2012 - TB'!$A$1:$H$733,4,FALSE)</f>
        <v>-14322312.239999998</v>
      </c>
      <c r="D126" s="2141">
        <f>VLOOKUP(A126,'2012 - TB'!$A$3:$H$733,5,FALSE)</f>
        <v>69675240.420000002</v>
      </c>
      <c r="E126" s="2141">
        <f>VLOOKUP(A126,'2012 - TB'!$A$3:$H$733,6,FALSE)</f>
        <v>-64072189.129999995</v>
      </c>
      <c r="F126" s="2141">
        <f>VLOOKUP(A126,'2012 - TB'!$A$3:$I$733,9,FALSE)</f>
        <v>-8719260.9499999881</v>
      </c>
      <c r="G126" s="2123">
        <v>0</v>
      </c>
      <c r="H126" s="2123">
        <v>0</v>
      </c>
      <c r="I126" s="2124" t="s">
        <v>5980</v>
      </c>
    </row>
    <row r="127" spans="1:9" s="2024" customFormat="1" ht="13.5" thickBot="1" x14ac:dyDescent="0.25">
      <c r="C127" s="2089">
        <f t="shared" ref="C127:H127" si="10">SUM(C115:C126)</f>
        <v>-18909435.869999997</v>
      </c>
      <c r="D127" s="2089">
        <f t="shared" si="10"/>
        <v>70882136.820000008</v>
      </c>
      <c r="E127" s="2089">
        <f t="shared" si="10"/>
        <v>-67706583.299999997</v>
      </c>
      <c r="F127" s="2089">
        <f t="shared" si="10"/>
        <v>-15733882.349999988</v>
      </c>
      <c r="G127" s="2139">
        <f t="shared" si="10"/>
        <v>0</v>
      </c>
      <c r="H127" s="2139">
        <f t="shared" si="10"/>
        <v>0</v>
      </c>
      <c r="I127" s="2026"/>
    </row>
    <row r="128" spans="1:9" s="2024" customFormat="1" ht="7.5" customHeight="1" thickTop="1" x14ac:dyDescent="0.2">
      <c r="C128" s="2072"/>
      <c r="D128" s="2072"/>
      <c r="E128" s="2072"/>
      <c r="F128" s="2072"/>
      <c r="G128" s="2067"/>
      <c r="H128" s="2067"/>
      <c r="I128" s="2026"/>
    </row>
    <row r="129" spans="1:9" s="2024" customFormat="1" x14ac:dyDescent="0.2">
      <c r="B129" s="2068" t="s">
        <v>1212</v>
      </c>
      <c r="C129" s="2073">
        <f>-'Fin Pos'!L39</f>
        <v>-18909435.870000001</v>
      </c>
      <c r="D129" s="2074"/>
      <c r="E129" s="2074"/>
      <c r="F129" s="2073">
        <f>-'Fin Pos'!J39</f>
        <v>-16068867.309999986</v>
      </c>
      <c r="G129" s="2067"/>
      <c r="H129" s="2067"/>
      <c r="I129" s="2026"/>
    </row>
    <row r="130" spans="1:9" s="2024" customFormat="1" ht="7.5" customHeight="1" x14ac:dyDescent="0.2">
      <c r="C130" s="2072"/>
      <c r="D130" s="2074"/>
      <c r="E130" s="2074"/>
      <c r="F130" s="2072"/>
      <c r="G130" s="2067"/>
      <c r="H130" s="2067"/>
      <c r="I130" s="2026"/>
    </row>
    <row r="131" spans="1:9" s="2024" customFormat="1" ht="13.5" thickBot="1" x14ac:dyDescent="0.25">
      <c r="B131" s="1208" t="s">
        <v>6423</v>
      </c>
      <c r="C131" s="2087">
        <f>C127-C129</f>
        <v>0</v>
      </c>
      <c r="D131" s="2074"/>
      <c r="E131" s="2074"/>
      <c r="F131" s="2087">
        <f>F127-F129</f>
        <v>334984.95999999717</v>
      </c>
      <c r="G131" s="2067"/>
      <c r="H131" s="2067"/>
      <c r="I131" s="2026"/>
    </row>
    <row r="132" spans="1:9" s="2024" customFormat="1" ht="14.25" thickTop="1" thickBot="1" x14ac:dyDescent="0.25">
      <c r="C132" s="2074"/>
      <c r="D132" s="2074"/>
      <c r="E132" s="2074"/>
      <c r="F132" s="2074"/>
      <c r="G132" s="2025"/>
      <c r="H132" s="2025"/>
      <c r="I132" s="2026"/>
    </row>
    <row r="133" spans="1:9" s="2024" customFormat="1" x14ac:dyDescent="0.2">
      <c r="A133" s="2111" t="s">
        <v>4600</v>
      </c>
      <c r="B133" s="2112" t="s">
        <v>4601</v>
      </c>
      <c r="C133" s="2140">
        <f>VLOOKUP(A133,'2012 - TB'!$A$1:$H$733,4,FALSE)</f>
        <v>0</v>
      </c>
      <c r="D133" s="2140">
        <f>VLOOKUP(A133,'2012 - TB'!$A$3:$H$733,5,FALSE)</f>
        <v>0</v>
      </c>
      <c r="E133" s="2140">
        <f>VLOOKUP(A133,'2012 - TB'!$A$3:$H$733,6,FALSE)</f>
        <v>0</v>
      </c>
      <c r="F133" s="2140">
        <f>VLOOKUP(A133,'2012 - TB'!$A$3:$I$733,9,FALSE)</f>
        <v>0</v>
      </c>
      <c r="G133" s="2114">
        <v>0</v>
      </c>
      <c r="H133" s="2114">
        <v>0</v>
      </c>
      <c r="I133" s="2115" t="s">
        <v>5983</v>
      </c>
    </row>
    <row r="134" spans="1:9" s="2024" customFormat="1" x14ac:dyDescent="0.2">
      <c r="A134" s="2116" t="s">
        <v>4602</v>
      </c>
      <c r="B134" s="2117" t="s">
        <v>4603</v>
      </c>
      <c r="C134" s="2138">
        <v>0</v>
      </c>
      <c r="D134" s="2138">
        <f>VLOOKUP(A134,'2012 - TB'!$A$3:$H$733,5,FALSE)</f>
        <v>6856838.9400000004</v>
      </c>
      <c r="E134" s="2138">
        <f>VLOOKUP(A134,'2012 - TB'!$A$3:$H$733,6,FALSE)</f>
        <v>-6856838.9300000006</v>
      </c>
      <c r="F134" s="2138">
        <f>VLOOKUP(A134,'2012 - TB'!$A$3:$I$733,9,FALSE)</f>
        <v>0</v>
      </c>
      <c r="G134" s="2118">
        <v>0</v>
      </c>
      <c r="H134" s="2118">
        <v>0</v>
      </c>
      <c r="I134" s="2119" t="s">
        <v>5983</v>
      </c>
    </row>
    <row r="135" spans="1:9" s="2024" customFormat="1" x14ac:dyDescent="0.2">
      <c r="A135" s="2116" t="s">
        <v>4604</v>
      </c>
      <c r="B135" s="2117" t="s">
        <v>4605</v>
      </c>
      <c r="C135" s="2138">
        <f>VLOOKUP(A135,'2012 - TB'!$A$1:$H$733,4,FALSE)</f>
        <v>0</v>
      </c>
      <c r="D135" s="2138">
        <f>VLOOKUP(A135,'2012 - TB'!$A$3:$H$733,5,FALSE)</f>
        <v>975800.55</v>
      </c>
      <c r="E135" s="2138">
        <f>VLOOKUP(A135,'2012 - TB'!$A$3:$H$733,6,FALSE)</f>
        <v>-975800.55</v>
      </c>
      <c r="F135" s="2138">
        <f>VLOOKUP(A135,'2012 - TB'!$A$3:$I$733,9,FALSE)</f>
        <v>0</v>
      </c>
      <c r="G135" s="2118">
        <v>0</v>
      </c>
      <c r="H135" s="2118">
        <v>0</v>
      </c>
      <c r="I135" s="2119" t="s">
        <v>5983</v>
      </c>
    </row>
    <row r="136" spans="1:9" s="2024" customFormat="1" x14ac:dyDescent="0.2">
      <c r="A136" s="2117" t="s">
        <v>4606</v>
      </c>
      <c r="B136" s="2117" t="s">
        <v>4607</v>
      </c>
      <c r="C136" s="2138">
        <f>VLOOKUP(A136,'2012 - TB'!$A$1:$H$733,4,FALSE)</f>
        <v>0</v>
      </c>
      <c r="D136" s="2138">
        <f>VLOOKUP(A136,'2012 - TB'!$A$3:$H$733,5,FALSE)</f>
        <v>0</v>
      </c>
      <c r="E136" s="2138">
        <f>VLOOKUP(A136,'2012 - TB'!$A$3:$H$733,6,FALSE)</f>
        <v>-41049</v>
      </c>
      <c r="F136" s="2138">
        <f>VLOOKUP(A136,'2012 - TB'!$A$3:$I$733,9,FALSE)</f>
        <v>-41049</v>
      </c>
      <c r="G136" s="2118">
        <v>0</v>
      </c>
      <c r="H136" s="2118">
        <v>0</v>
      </c>
      <c r="I136" s="2119" t="s">
        <v>5983</v>
      </c>
    </row>
    <row r="137" spans="1:9" s="2024" customFormat="1" x14ac:dyDescent="0.2">
      <c r="A137" s="2116" t="s">
        <v>4608</v>
      </c>
      <c r="B137" s="2117" t="s">
        <v>4609</v>
      </c>
      <c r="C137" s="2138">
        <f>VLOOKUP(A137,'2012 - TB'!$A$1:$H$733,4,FALSE)</f>
        <v>-12487502.699999999</v>
      </c>
      <c r="D137" s="2138">
        <f>VLOOKUP(A137,'2012 - TB'!$A$3:$H$733,5,FALSE)</f>
        <v>1475500.2</v>
      </c>
      <c r="E137" s="2138">
        <f>VLOOKUP(A137,'2012 - TB'!$A$3:$H$733,6,FALSE)</f>
        <v>-1027607.78</v>
      </c>
      <c r="F137" s="2138">
        <f>VLOOKUP(A137,'2012 - TB'!$A$3:$I$733,9,FALSE)</f>
        <v>-12039610.279999999</v>
      </c>
      <c r="G137" s="2118">
        <v>0</v>
      </c>
      <c r="H137" s="2118">
        <v>0</v>
      </c>
      <c r="I137" s="2119" t="s">
        <v>5983</v>
      </c>
    </row>
    <row r="138" spans="1:9" s="2024" customFormat="1" x14ac:dyDescent="0.2">
      <c r="A138" s="2116" t="s">
        <v>4610</v>
      </c>
      <c r="B138" s="2117" t="s">
        <v>4611</v>
      </c>
      <c r="C138" s="2138">
        <f>VLOOKUP(A138,'2012 - TB'!$A$1:$H$733,4,FALSE)</f>
        <v>0</v>
      </c>
      <c r="D138" s="2138">
        <f>VLOOKUP(A138,'2012 - TB'!$A$3:$H$733,5,FALSE)</f>
        <v>387206.33</v>
      </c>
      <c r="E138" s="2138">
        <f>VLOOKUP(A138,'2012 - TB'!$A$3:$H$733,6,FALSE)</f>
        <v>-387206.33</v>
      </c>
      <c r="F138" s="2138">
        <f>VLOOKUP(A138,'2012 - TB'!$A$3:$I$733,9,FALSE)</f>
        <v>0</v>
      </c>
      <c r="G138" s="2118">
        <v>0</v>
      </c>
      <c r="H138" s="2118">
        <v>0</v>
      </c>
      <c r="I138" s="2119" t="s">
        <v>5983</v>
      </c>
    </row>
    <row r="139" spans="1:9" s="2024" customFormat="1" x14ac:dyDescent="0.2">
      <c r="A139" s="2116" t="s">
        <v>4612</v>
      </c>
      <c r="B139" s="2117" t="s">
        <v>4613</v>
      </c>
      <c r="C139" s="2138">
        <f>VLOOKUP(A139,'2012 - TB'!$A$1:$H$733,4,FALSE)</f>
        <v>0</v>
      </c>
      <c r="D139" s="2138">
        <f>VLOOKUP(A139,'2012 - TB'!$A$3:$H$733,5,FALSE)</f>
        <v>0</v>
      </c>
      <c r="E139" s="2138">
        <f>VLOOKUP(A139,'2012 - TB'!$A$3:$H$733,6,FALSE)</f>
        <v>0</v>
      </c>
      <c r="F139" s="2138">
        <f>VLOOKUP(A139,'2012 - TB'!$A$3:$I$733,9,FALSE)</f>
        <v>0</v>
      </c>
      <c r="G139" s="2118">
        <v>0</v>
      </c>
      <c r="H139" s="2118">
        <v>0</v>
      </c>
      <c r="I139" s="2119" t="s">
        <v>5983</v>
      </c>
    </row>
    <row r="140" spans="1:9" s="2024" customFormat="1" x14ac:dyDescent="0.2">
      <c r="A140" s="2116" t="s">
        <v>4614</v>
      </c>
      <c r="B140" s="2117" t="s">
        <v>4615</v>
      </c>
      <c r="C140" s="2138">
        <f>VLOOKUP(A140,'2012 - TB'!$A$1:$H$733,4,FALSE)</f>
        <v>0</v>
      </c>
      <c r="D140" s="2138">
        <f>VLOOKUP(A140,'2012 - TB'!$A$3:$H$733,5,FALSE)</f>
        <v>0</v>
      </c>
      <c r="E140" s="2138">
        <f>VLOOKUP(A140,'2012 - TB'!$A$3:$H$733,6,FALSE)</f>
        <v>0</v>
      </c>
      <c r="F140" s="2138">
        <f>VLOOKUP(A140,'2012 - TB'!$A$3:$I$733,9,FALSE)</f>
        <v>0</v>
      </c>
      <c r="G140" s="2118">
        <v>0</v>
      </c>
      <c r="H140" s="2118">
        <v>0</v>
      </c>
      <c r="I140" s="2119" t="s">
        <v>5983</v>
      </c>
    </row>
    <row r="141" spans="1:9" s="2024" customFormat="1" x14ac:dyDescent="0.2">
      <c r="A141" s="2116" t="s">
        <v>4616</v>
      </c>
      <c r="B141" s="2117" t="s">
        <v>4617</v>
      </c>
      <c r="C141" s="2138">
        <f>VLOOKUP(A141,'2012 - TB'!$A$1:$H$733,4,FALSE)</f>
        <v>0</v>
      </c>
      <c r="D141" s="2138">
        <f>VLOOKUP(A141,'2012 - TB'!$A$3:$H$733,5,FALSE)</f>
        <v>0</v>
      </c>
      <c r="E141" s="2138">
        <f>VLOOKUP(A141,'2012 - TB'!$A$3:$H$733,6,FALSE)</f>
        <v>0</v>
      </c>
      <c r="F141" s="2138">
        <f>VLOOKUP(A141,'2012 - TB'!$A$3:$I$733,9,FALSE)</f>
        <v>0</v>
      </c>
      <c r="G141" s="2118">
        <v>0</v>
      </c>
      <c r="H141" s="2118">
        <v>0</v>
      </c>
      <c r="I141" s="2119" t="s">
        <v>5983</v>
      </c>
    </row>
    <row r="142" spans="1:9" s="2024" customFormat="1" x14ac:dyDescent="0.2">
      <c r="A142" s="2116" t="s">
        <v>4618</v>
      </c>
      <c r="B142" s="2117" t="s">
        <v>4619</v>
      </c>
      <c r="C142" s="2138">
        <f>VLOOKUP(A142,'2012 - TB'!$A$1:$H$733,4,FALSE)</f>
        <v>0</v>
      </c>
      <c r="D142" s="2138">
        <f>VLOOKUP(A142,'2012 - TB'!$A$3:$H$733,5,FALSE)</f>
        <v>0</v>
      </c>
      <c r="E142" s="2138">
        <f>VLOOKUP(A142,'2012 - TB'!$A$3:$H$733,6,FALSE)</f>
        <v>0</v>
      </c>
      <c r="F142" s="2138">
        <f>VLOOKUP(A142,'2012 - TB'!$A$3:$I$733,9,FALSE)</f>
        <v>0</v>
      </c>
      <c r="G142" s="2118">
        <v>0</v>
      </c>
      <c r="H142" s="2118">
        <v>0</v>
      </c>
      <c r="I142" s="2119" t="s">
        <v>5983</v>
      </c>
    </row>
    <row r="143" spans="1:9" s="2024" customFormat="1" x14ac:dyDescent="0.2">
      <c r="A143" s="2116" t="s">
        <v>4620</v>
      </c>
      <c r="B143" s="2117" t="s">
        <v>4621</v>
      </c>
      <c r="C143" s="2138">
        <f>VLOOKUP(A143,'2012 - TB'!$A$1:$H$733,4,FALSE)</f>
        <v>0</v>
      </c>
      <c r="D143" s="2138">
        <f>VLOOKUP(A143,'2012 - TB'!$A$3:$H$733,5,FALSE)</f>
        <v>1651000</v>
      </c>
      <c r="E143" s="2138">
        <f>VLOOKUP(A143,'2012 - TB'!$A$3:$H$733,6,FALSE)</f>
        <v>-1651000</v>
      </c>
      <c r="F143" s="2138">
        <f>VLOOKUP(A143,'2012 - TB'!$A$3:$I$733,9,FALSE)</f>
        <v>0</v>
      </c>
      <c r="G143" s="2118">
        <v>0</v>
      </c>
      <c r="H143" s="2118">
        <v>0</v>
      </c>
      <c r="I143" s="2119" t="s">
        <v>5983</v>
      </c>
    </row>
    <row r="144" spans="1:9" s="2024" customFormat="1" x14ac:dyDescent="0.2">
      <c r="A144" s="2116" t="s">
        <v>4622</v>
      </c>
      <c r="B144" s="2117" t="s">
        <v>4623</v>
      </c>
      <c r="C144" s="2138">
        <f>VLOOKUP(A144,'2012 - TB'!$A$1:$H$733,4,FALSE)</f>
        <v>0</v>
      </c>
      <c r="D144" s="2138">
        <f>VLOOKUP(A144,'2012 - TB'!$A$3:$H$733,5,FALSE)</f>
        <v>0</v>
      </c>
      <c r="E144" s="2138">
        <f>VLOOKUP(A144,'2012 - TB'!$A$3:$H$733,6,FALSE)</f>
        <v>0</v>
      </c>
      <c r="F144" s="2138">
        <f>VLOOKUP(A144,'2012 - TB'!$A$3:$I$733,9,FALSE)</f>
        <v>0</v>
      </c>
      <c r="G144" s="2118">
        <v>0</v>
      </c>
      <c r="H144" s="2118">
        <v>0</v>
      </c>
      <c r="I144" s="2119" t="s">
        <v>5983</v>
      </c>
    </row>
    <row r="145" spans="1:9" s="2024" customFormat="1" ht="13.5" thickBot="1" x14ac:dyDescent="0.25">
      <c r="A145" s="2120" t="s">
        <v>4624</v>
      </c>
      <c r="B145" s="2121" t="s">
        <v>4625</v>
      </c>
      <c r="C145" s="2141">
        <f>VLOOKUP(A145,'2012 - TB'!$A$1:$H$733,4,FALSE)</f>
        <v>0</v>
      </c>
      <c r="D145" s="2141">
        <f>VLOOKUP(A145,'2012 - TB'!$A$3:$H$733,5,FALSE)</f>
        <v>0</v>
      </c>
      <c r="E145" s="2141">
        <f>VLOOKUP(A145,'2012 - TB'!$A$3:$H$733,6,FALSE)</f>
        <v>0</v>
      </c>
      <c r="F145" s="2141">
        <f>VLOOKUP(A145,'2012 - TB'!$A$3:$I$733,9,FALSE)</f>
        <v>0</v>
      </c>
      <c r="G145" s="2123">
        <v>0</v>
      </c>
      <c r="H145" s="2123">
        <v>0</v>
      </c>
      <c r="I145" s="2124" t="s">
        <v>5983</v>
      </c>
    </row>
    <row r="146" spans="1:9" s="2024" customFormat="1" ht="13.5" thickBot="1" x14ac:dyDescent="0.25">
      <c r="C146" s="2089">
        <f t="shared" ref="C146:H146" si="11">SUM(C133:C145)</f>
        <v>-12487502.699999999</v>
      </c>
      <c r="D146" s="2089">
        <f t="shared" si="11"/>
        <v>11346346.02</v>
      </c>
      <c r="E146" s="2089">
        <f t="shared" si="11"/>
        <v>-10939502.59</v>
      </c>
      <c r="F146" s="2089">
        <f t="shared" si="11"/>
        <v>-12080659.279999999</v>
      </c>
      <c r="G146" s="2139">
        <f t="shared" si="11"/>
        <v>0</v>
      </c>
      <c r="H146" s="2139">
        <f t="shared" si="11"/>
        <v>0</v>
      </c>
      <c r="I146" s="2026"/>
    </row>
    <row r="147" spans="1:9" s="2024" customFormat="1" ht="7.5" customHeight="1" thickTop="1" x14ac:dyDescent="0.2">
      <c r="C147" s="2074"/>
      <c r="D147" s="2074"/>
      <c r="E147" s="2074"/>
      <c r="F147" s="2074"/>
      <c r="G147" s="2025"/>
      <c r="H147" s="2025"/>
      <c r="I147" s="2026"/>
    </row>
    <row r="148" spans="1:9" s="2024" customFormat="1" x14ac:dyDescent="0.2">
      <c r="B148" s="2068" t="s">
        <v>1212</v>
      </c>
      <c r="C148" s="2073">
        <f>-'Fin Pos'!L40</f>
        <v>-12487502.699999999</v>
      </c>
      <c r="D148" s="2074"/>
      <c r="E148" s="2074"/>
      <c r="F148" s="2073">
        <f>-'Fin Pos'!J40</f>
        <v>-12080659.279999999</v>
      </c>
      <c r="G148" s="2025"/>
      <c r="H148" s="2025"/>
      <c r="I148" s="2026"/>
    </row>
    <row r="149" spans="1:9" s="2024" customFormat="1" ht="7.5" customHeight="1" x14ac:dyDescent="0.2">
      <c r="C149" s="2072"/>
      <c r="D149" s="2074"/>
      <c r="E149" s="2074"/>
      <c r="F149" s="2072"/>
      <c r="G149" s="2025"/>
      <c r="H149" s="2025"/>
      <c r="I149" s="2026"/>
    </row>
    <row r="150" spans="1:9" s="2024" customFormat="1" ht="13.5" thickBot="1" x14ac:dyDescent="0.25">
      <c r="B150" s="1208" t="s">
        <v>6423</v>
      </c>
      <c r="C150" s="2087">
        <f>C146-C148</f>
        <v>0</v>
      </c>
      <c r="D150" s="2074"/>
      <c r="E150" s="2074"/>
      <c r="F150" s="2087">
        <f>F146-F148</f>
        <v>0</v>
      </c>
      <c r="G150" s="2025"/>
      <c r="H150" s="2025"/>
      <c r="I150" s="2026"/>
    </row>
    <row r="151" spans="1:9" s="2024" customFormat="1" ht="14.25" thickTop="1" thickBot="1" x14ac:dyDescent="0.25">
      <c r="C151" s="2074"/>
      <c r="D151" s="2074"/>
      <c r="E151" s="2074"/>
      <c r="F151" s="2074"/>
      <c r="G151" s="2025"/>
      <c r="H151" s="2025"/>
      <c r="I151" s="2026"/>
    </row>
    <row r="152" spans="1:9" s="2024" customFormat="1" x14ac:dyDescent="0.2">
      <c r="A152" s="2111" t="s">
        <v>4750</v>
      </c>
      <c r="B152" s="2112" t="s">
        <v>4751</v>
      </c>
      <c r="C152" s="2140">
        <f>VLOOKUP(A152,'2012 - TB'!$A$1:$H$733,4,FALSE)</f>
        <v>585000</v>
      </c>
      <c r="D152" s="2140">
        <f>VLOOKUP(A152,'2012 - TB'!$A$3:$H$733,5,FALSE)</f>
        <v>0</v>
      </c>
      <c r="E152" s="2140">
        <f>VLOOKUP(A152,'2012 - TB'!$A$3:$H$733,6,FALSE)</f>
        <v>-154320</v>
      </c>
      <c r="F152" s="2140">
        <f>VLOOKUP(A152,'2012 - TB'!$A$3:$I$733,9,FALSE)</f>
        <v>430680</v>
      </c>
      <c r="G152" s="2114">
        <v>0</v>
      </c>
      <c r="H152" s="2114">
        <v>0</v>
      </c>
      <c r="I152" s="2115" t="s">
        <v>5985</v>
      </c>
    </row>
    <row r="153" spans="1:9" s="2024" customFormat="1" x14ac:dyDescent="0.2">
      <c r="A153" s="2116" t="s">
        <v>4752</v>
      </c>
      <c r="B153" s="2117" t="s">
        <v>4751</v>
      </c>
      <c r="C153" s="2138">
        <v>0</v>
      </c>
      <c r="D153" s="2138">
        <v>0</v>
      </c>
      <c r="E153" s="2138">
        <v>0</v>
      </c>
      <c r="F153" s="2138">
        <v>0</v>
      </c>
      <c r="G153" s="2118">
        <v>0</v>
      </c>
      <c r="H153" s="2118">
        <v>0</v>
      </c>
      <c r="I153" s="2119" t="s">
        <v>5985</v>
      </c>
    </row>
    <row r="154" spans="1:9" s="2024" customFormat="1" x14ac:dyDescent="0.2">
      <c r="A154" s="2116" t="s">
        <v>4753</v>
      </c>
      <c r="B154" s="2117" t="s">
        <v>4751</v>
      </c>
      <c r="C154" s="2138">
        <v>0</v>
      </c>
      <c r="D154" s="2138">
        <v>0</v>
      </c>
      <c r="E154" s="2138">
        <v>0</v>
      </c>
      <c r="F154" s="2138">
        <v>0</v>
      </c>
      <c r="G154" s="2118">
        <v>0</v>
      </c>
      <c r="H154" s="2118">
        <v>0</v>
      </c>
      <c r="I154" s="2119" t="s">
        <v>5985</v>
      </c>
    </row>
    <row r="155" spans="1:9" s="2024" customFormat="1" ht="13.5" thickBot="1" x14ac:dyDescent="0.25">
      <c r="A155" s="2120" t="s">
        <v>4754</v>
      </c>
      <c r="B155" s="2121" t="s">
        <v>4751</v>
      </c>
      <c r="C155" s="2141">
        <v>0</v>
      </c>
      <c r="D155" s="2141">
        <v>0</v>
      </c>
      <c r="E155" s="2141">
        <v>0</v>
      </c>
      <c r="F155" s="2141">
        <v>0</v>
      </c>
      <c r="G155" s="2123">
        <v>0</v>
      </c>
      <c r="H155" s="2123">
        <v>0</v>
      </c>
      <c r="I155" s="2124" t="s">
        <v>5985</v>
      </c>
    </row>
    <row r="156" spans="1:9" s="2024" customFormat="1" ht="13.5" thickBot="1" x14ac:dyDescent="0.25">
      <c r="C156" s="2089">
        <f t="shared" ref="C156:H156" si="12">SUM(C152:C155)</f>
        <v>585000</v>
      </c>
      <c r="D156" s="2089">
        <f t="shared" si="12"/>
        <v>0</v>
      </c>
      <c r="E156" s="2089">
        <f t="shared" si="12"/>
        <v>-154320</v>
      </c>
      <c r="F156" s="2089">
        <f>SUM(F152:F155)</f>
        <v>430680</v>
      </c>
      <c r="G156" s="2139">
        <f t="shared" si="12"/>
        <v>0</v>
      </c>
      <c r="H156" s="2139">
        <f t="shared" si="12"/>
        <v>0</v>
      </c>
      <c r="I156" s="2026"/>
    </row>
    <row r="157" spans="1:9" s="2024" customFormat="1" ht="7.5" customHeight="1" thickTop="1" x14ac:dyDescent="0.2">
      <c r="C157" s="2074"/>
      <c r="D157" s="2074"/>
      <c r="E157" s="2074"/>
      <c r="F157" s="2074"/>
      <c r="G157" s="2025"/>
      <c r="H157" s="2025"/>
      <c r="I157" s="2026"/>
    </row>
    <row r="158" spans="1:9" s="2024" customFormat="1" x14ac:dyDescent="0.2">
      <c r="B158" s="2068" t="s">
        <v>1212</v>
      </c>
      <c r="C158" s="2073">
        <f>'Fin Pos'!L26</f>
        <v>585000</v>
      </c>
      <c r="D158" s="2074"/>
      <c r="E158" s="2074"/>
      <c r="F158" s="2073">
        <f>'Fin Pos'!J26</f>
        <v>430680</v>
      </c>
      <c r="G158" s="2025"/>
      <c r="H158" s="2025"/>
      <c r="I158" s="2026"/>
    </row>
    <row r="159" spans="1:9" s="2024" customFormat="1" ht="7.5" customHeight="1" x14ac:dyDescent="0.2">
      <c r="C159" s="2072"/>
      <c r="D159" s="2074"/>
      <c r="E159" s="2074"/>
      <c r="F159" s="2072"/>
      <c r="G159" s="2025"/>
      <c r="H159" s="2025"/>
      <c r="I159" s="2026"/>
    </row>
    <row r="160" spans="1:9" s="2024" customFormat="1" ht="13.5" thickBot="1" x14ac:dyDescent="0.25">
      <c r="B160" s="1208" t="s">
        <v>6423</v>
      </c>
      <c r="C160" s="2087">
        <f>C156-C158</f>
        <v>0</v>
      </c>
      <c r="D160" s="2074"/>
      <c r="E160" s="2074"/>
      <c r="F160" s="2087">
        <f>F156-F158</f>
        <v>0</v>
      </c>
      <c r="G160" s="2025"/>
      <c r="H160" s="2025"/>
      <c r="I160" s="2026"/>
    </row>
    <row r="161" spans="1:9" s="2024" customFormat="1" ht="14.25" thickTop="1" thickBot="1" x14ac:dyDescent="0.25">
      <c r="C161" s="2074"/>
      <c r="D161" s="2074"/>
      <c r="E161" s="2074"/>
      <c r="F161" s="2074"/>
      <c r="G161" s="2025"/>
      <c r="H161" s="2025"/>
      <c r="I161" s="2026"/>
    </row>
    <row r="162" spans="1:9" s="2024" customFormat="1" x14ac:dyDescent="0.2">
      <c r="A162" s="2111" t="s">
        <v>4680</v>
      </c>
      <c r="B162" s="2112" t="s">
        <v>4681</v>
      </c>
      <c r="C162" s="2140">
        <f>VLOOKUP(A162,'2012 - TB'!$A$1:$H$733,4,FALSE)</f>
        <v>20519205</v>
      </c>
      <c r="D162" s="2140">
        <f>VLOOKUP(A162,'2012 - TB'!$A$3:$H$733,5,FALSE)</f>
        <v>0</v>
      </c>
      <c r="E162" s="2140">
        <f>VLOOKUP(A162,'2012 - TB'!$A$3:$H$733,6,FALSE)</f>
        <v>0</v>
      </c>
      <c r="F162" s="2140">
        <f>VLOOKUP(A162,'2012 - TB'!$A$3:$I$733,9,FALSE)</f>
        <v>20519205</v>
      </c>
      <c r="G162" s="2114">
        <v>0</v>
      </c>
      <c r="H162" s="2140">
        <v>0</v>
      </c>
      <c r="I162" s="2115" t="s">
        <v>5984</v>
      </c>
    </row>
    <row r="163" spans="1:9" s="2024" customFormat="1" ht="13.5" thickBot="1" x14ac:dyDescent="0.25">
      <c r="A163" s="2120" t="s">
        <v>4682</v>
      </c>
      <c r="B163" s="2121" t="s">
        <v>4681</v>
      </c>
      <c r="C163" s="2141">
        <v>0</v>
      </c>
      <c r="D163" s="2141">
        <v>0</v>
      </c>
      <c r="E163" s="2141">
        <v>0</v>
      </c>
      <c r="F163" s="2141">
        <v>0</v>
      </c>
      <c r="G163" s="2123">
        <v>0</v>
      </c>
      <c r="H163" s="2123">
        <v>0</v>
      </c>
      <c r="I163" s="2124" t="s">
        <v>5984</v>
      </c>
    </row>
    <row r="164" spans="1:9" s="2024" customFormat="1" ht="13.5" thickBot="1" x14ac:dyDescent="0.25">
      <c r="C164" s="2089">
        <f t="shared" ref="C164:H164" si="13">SUM(C162:C163)</f>
        <v>20519205</v>
      </c>
      <c r="D164" s="2089">
        <f t="shared" si="13"/>
        <v>0</v>
      </c>
      <c r="E164" s="2089">
        <f t="shared" si="13"/>
        <v>0</v>
      </c>
      <c r="F164" s="2089">
        <f t="shared" si="13"/>
        <v>20519205</v>
      </c>
      <c r="G164" s="2139">
        <f t="shared" si="13"/>
        <v>0</v>
      </c>
      <c r="H164" s="2139">
        <f t="shared" si="13"/>
        <v>0</v>
      </c>
      <c r="I164" s="2026"/>
    </row>
    <row r="165" spans="1:9" s="2024" customFormat="1" ht="7.5" customHeight="1" thickTop="1" x14ac:dyDescent="0.2">
      <c r="C165" s="2074"/>
      <c r="D165" s="2074"/>
      <c r="E165" s="2074"/>
      <c r="F165" s="2074"/>
      <c r="G165" s="2025"/>
      <c r="H165" s="2025"/>
      <c r="I165" s="2026"/>
    </row>
    <row r="166" spans="1:9" s="2024" customFormat="1" x14ac:dyDescent="0.2">
      <c r="B166" s="2068" t="s">
        <v>1212</v>
      </c>
      <c r="C166" s="2073">
        <f>'Fin Pos'!L24</f>
        <v>20519205</v>
      </c>
      <c r="D166" s="2074"/>
      <c r="E166" s="2074"/>
      <c r="F166" s="2073">
        <f>'Fin Pos'!J24</f>
        <v>20519205</v>
      </c>
      <c r="G166" s="2025"/>
      <c r="H166" s="2025"/>
      <c r="I166" s="2026"/>
    </row>
    <row r="167" spans="1:9" s="2024" customFormat="1" ht="7.5" customHeight="1" x14ac:dyDescent="0.2">
      <c r="C167" s="2072"/>
      <c r="D167" s="2074"/>
      <c r="E167" s="2074"/>
      <c r="F167" s="2072"/>
      <c r="G167" s="2025"/>
      <c r="H167" s="2025"/>
      <c r="I167" s="2026"/>
    </row>
    <row r="168" spans="1:9" s="2024" customFormat="1" ht="13.5" thickBot="1" x14ac:dyDescent="0.25">
      <c r="B168" s="1208" t="s">
        <v>6423</v>
      </c>
      <c r="C168" s="2087">
        <f>C164-C166</f>
        <v>0</v>
      </c>
      <c r="D168" s="2074"/>
      <c r="E168" s="2074"/>
      <c r="F168" s="2087">
        <f>F164-F166</f>
        <v>0</v>
      </c>
      <c r="G168" s="2025"/>
      <c r="H168" s="2025"/>
      <c r="I168" s="2026"/>
    </row>
    <row r="169" spans="1:9" s="2024" customFormat="1" ht="14.25" thickTop="1" thickBot="1" x14ac:dyDescent="0.25">
      <c r="C169" s="2074"/>
      <c r="D169" s="2074"/>
      <c r="E169" s="2074"/>
      <c r="F169" s="2074"/>
      <c r="G169" s="2025"/>
      <c r="H169" s="2025"/>
      <c r="I169" s="2026"/>
    </row>
    <row r="170" spans="1:9" s="2024" customFormat="1" x14ac:dyDescent="0.2">
      <c r="A170" s="1275" t="s">
        <v>4636</v>
      </c>
      <c r="B170" s="2112" t="s">
        <v>4637</v>
      </c>
      <c r="C170" s="2140">
        <f>VLOOKUP(A170,'2012 - TB'!$A$1:$H$733,4,FALSE)</f>
        <v>6734183</v>
      </c>
      <c r="D170" s="2140">
        <f>VLOOKUP(A170,'2012 - TB'!$A$3:$H$733,5,FALSE)</f>
        <v>404000</v>
      </c>
      <c r="E170" s="2140">
        <f>VLOOKUP(A170,'2012 - TB'!$A$3:$H$733,6,FALSE)</f>
        <v>-420781.01</v>
      </c>
      <c r="F170" s="2749">
        <f>VLOOKUP(A170,'2012 - TB'!$A$3:$I$733,9,FALSE)</f>
        <v>6717401.9900000002</v>
      </c>
      <c r="G170" s="2114">
        <v>0</v>
      </c>
      <c r="H170" s="2278">
        <v>0</v>
      </c>
      <c r="I170" s="2115" t="s">
        <v>5966</v>
      </c>
    </row>
    <row r="171" spans="1:9" s="2024" customFormat="1" x14ac:dyDescent="0.2">
      <c r="A171" s="2116" t="s">
        <v>4638</v>
      </c>
      <c r="B171" s="2117" t="s">
        <v>4637</v>
      </c>
      <c r="C171" s="2138">
        <f>VLOOKUP(A171,'2012 - TB'!$A$1:$H$733,4,FALSE)</f>
        <v>-1806970</v>
      </c>
      <c r="D171" s="2138">
        <f>VLOOKUP(A171,'2012 - TB'!$A$3:$H$733,5,FALSE)</f>
        <v>0</v>
      </c>
      <c r="E171" s="2138">
        <f>VLOOKUP(A171,'2012 - TB'!$A$3:$H$733,6,FALSE)</f>
        <v>-829247</v>
      </c>
      <c r="F171" s="2138">
        <f>VLOOKUP(A171,'2012 - TB'!$A$3:$I$733,9,FALSE)</f>
        <v>-2636217</v>
      </c>
      <c r="G171" s="2118">
        <v>0</v>
      </c>
      <c r="H171" s="2279">
        <v>0</v>
      </c>
      <c r="I171" s="2119" t="s">
        <v>5966</v>
      </c>
    </row>
    <row r="172" spans="1:9" s="2024" customFormat="1" x14ac:dyDescent="0.2">
      <c r="A172" s="2116" t="s">
        <v>4639</v>
      </c>
      <c r="B172" s="2117" t="s">
        <v>4640</v>
      </c>
      <c r="C172" s="2138">
        <f>VLOOKUP(A172,'2012 - TB'!$A$1:$H$733,4,FALSE)</f>
        <v>1291611</v>
      </c>
      <c r="D172" s="2138">
        <f>VLOOKUP(A172,'2012 - TB'!$A$3:$H$733,5,FALSE)</f>
        <v>0</v>
      </c>
      <c r="E172" s="2138">
        <f>VLOOKUP(A172,'2012 - TB'!$A$3:$H$733,6,FALSE)</f>
        <v>0</v>
      </c>
      <c r="F172" s="2149">
        <f>VLOOKUP(A172,'2012 - TB'!$A$3:$I$733,9,FALSE)</f>
        <v>1291611</v>
      </c>
      <c r="G172" s="2118">
        <v>0</v>
      </c>
      <c r="H172" s="2279">
        <v>0</v>
      </c>
      <c r="I172" s="2119" t="s">
        <v>5966</v>
      </c>
    </row>
    <row r="173" spans="1:9" s="2024" customFormat="1" x14ac:dyDescent="0.2">
      <c r="A173" s="2116" t="s">
        <v>4641</v>
      </c>
      <c r="B173" s="2117" t="s">
        <v>4640</v>
      </c>
      <c r="C173" s="2138">
        <f>VLOOKUP(A173,'2012 - TB'!$A$1:$H$733,4,FALSE)</f>
        <v>-625129</v>
      </c>
      <c r="D173" s="2138">
        <f>VLOOKUP(A173,'2012 - TB'!$A$3:$H$733,5,FALSE)</f>
        <v>0</v>
      </c>
      <c r="E173" s="2138">
        <f>VLOOKUP(A173,'2012 - TB'!$A$3:$H$733,6,FALSE)</f>
        <v>-327445</v>
      </c>
      <c r="F173" s="2138">
        <f>VLOOKUP(A173,'2012 - TB'!$A$3:$I$733,9,FALSE)</f>
        <v>-952574</v>
      </c>
      <c r="G173" s="2118">
        <v>0</v>
      </c>
      <c r="H173" s="2279">
        <v>0</v>
      </c>
      <c r="I173" s="2119" t="s">
        <v>5966</v>
      </c>
    </row>
    <row r="174" spans="1:9" s="2024" customFormat="1" x14ac:dyDescent="0.2">
      <c r="A174" s="2116" t="s">
        <v>4642</v>
      </c>
      <c r="B174" s="2117" t="s">
        <v>4643</v>
      </c>
      <c r="C174" s="2138">
        <f>VLOOKUP(A174,'2012 - TB'!$A$1:$H$733,4,FALSE)</f>
        <v>0</v>
      </c>
      <c r="D174" s="2138">
        <f>VLOOKUP(A174,'2012 - TB'!$A$3:$H$733,5,FALSE)</f>
        <v>0</v>
      </c>
      <c r="E174" s="2138">
        <f>VLOOKUP(A174,'2012 - TB'!$A$3:$H$733,6,FALSE)</f>
        <v>0</v>
      </c>
      <c r="F174" s="2138">
        <f>VLOOKUP(A174,'2012 - TB'!$A$3:$I$733,9,FALSE)</f>
        <v>0</v>
      </c>
      <c r="G174" s="2118">
        <v>0</v>
      </c>
      <c r="H174" s="2279">
        <v>0</v>
      </c>
      <c r="I174" s="2119" t="s">
        <v>5966</v>
      </c>
    </row>
    <row r="175" spans="1:9" s="2024" customFormat="1" x14ac:dyDescent="0.2">
      <c r="A175" s="2116" t="s">
        <v>4644</v>
      </c>
      <c r="B175" s="2117" t="s">
        <v>4643</v>
      </c>
      <c r="C175" s="2138">
        <v>0</v>
      </c>
      <c r="D175" s="2138">
        <v>0</v>
      </c>
      <c r="E175" s="2138">
        <v>0</v>
      </c>
      <c r="F175" s="2138">
        <v>0</v>
      </c>
      <c r="G175" s="2118">
        <v>0</v>
      </c>
      <c r="H175" s="2279">
        <v>0</v>
      </c>
      <c r="I175" s="2119" t="s">
        <v>5966</v>
      </c>
    </row>
    <row r="176" spans="1:9" s="2024" customFormat="1" x14ac:dyDescent="0.2">
      <c r="A176" s="2116" t="s">
        <v>4645</v>
      </c>
      <c r="B176" s="2117" t="s">
        <v>4646</v>
      </c>
      <c r="C176" s="2138">
        <f>VLOOKUP(A176,'2012 - TB'!$A$1:$H$733,4,FALSE)</f>
        <v>0</v>
      </c>
      <c r="D176" s="2138">
        <f>VLOOKUP(A176,'2012 - TB'!$A$3:$H$733,5,FALSE)</f>
        <v>0</v>
      </c>
      <c r="E176" s="2138">
        <f>VLOOKUP(A176,'2012 - TB'!$A$3:$H$733,6,FALSE)</f>
        <v>0</v>
      </c>
      <c r="F176" s="2138">
        <f>VLOOKUP(A176,'2012 - TB'!$A$3:$I$733,9,FALSE)</f>
        <v>0</v>
      </c>
      <c r="G176" s="2118">
        <v>0</v>
      </c>
      <c r="H176" s="2279">
        <v>0</v>
      </c>
      <c r="I176" s="2119" t="s">
        <v>5966</v>
      </c>
    </row>
    <row r="177" spans="1:9" s="2024" customFormat="1" x14ac:dyDescent="0.2">
      <c r="A177" s="2116" t="s">
        <v>4647</v>
      </c>
      <c r="B177" s="2117" t="s">
        <v>4646</v>
      </c>
      <c r="C177" s="2138">
        <v>0</v>
      </c>
      <c r="D177" s="2138">
        <v>0</v>
      </c>
      <c r="E177" s="2138">
        <v>0</v>
      </c>
      <c r="F177" s="2138">
        <v>0</v>
      </c>
      <c r="G177" s="2118">
        <v>0</v>
      </c>
      <c r="H177" s="2279">
        <v>0</v>
      </c>
      <c r="I177" s="2119" t="s">
        <v>5966</v>
      </c>
    </row>
    <row r="178" spans="1:9" s="2024" customFormat="1" x14ac:dyDescent="0.2">
      <c r="A178" s="2116" t="s">
        <v>5410</v>
      </c>
      <c r="B178" s="2117" t="s">
        <v>5411</v>
      </c>
      <c r="C178" s="2138">
        <v>0</v>
      </c>
      <c r="D178" s="2138">
        <v>0</v>
      </c>
      <c r="E178" s="2138">
        <v>0</v>
      </c>
      <c r="F178" s="2138">
        <v>0</v>
      </c>
      <c r="G178" s="2118">
        <v>0</v>
      </c>
      <c r="H178" s="2279">
        <v>0</v>
      </c>
      <c r="I178" s="2119" t="s">
        <v>5966</v>
      </c>
    </row>
    <row r="179" spans="1:9" s="2024" customFormat="1" x14ac:dyDescent="0.2">
      <c r="A179" s="2116" t="s">
        <v>5703</v>
      </c>
      <c r="B179" s="2117" t="s">
        <v>5411</v>
      </c>
      <c r="C179" s="2138">
        <v>0</v>
      </c>
      <c r="D179" s="2138">
        <v>0</v>
      </c>
      <c r="E179" s="2138">
        <v>0</v>
      </c>
      <c r="F179" s="2138">
        <v>0</v>
      </c>
      <c r="G179" s="2118">
        <v>0</v>
      </c>
      <c r="H179" s="2279">
        <v>0</v>
      </c>
      <c r="I179" s="2119" t="s">
        <v>5966</v>
      </c>
    </row>
    <row r="180" spans="1:9" s="2024" customFormat="1" x14ac:dyDescent="0.2">
      <c r="A180" s="2116" t="s">
        <v>5759</v>
      </c>
      <c r="B180" s="2117" t="s">
        <v>5411</v>
      </c>
      <c r="C180" s="2138">
        <v>0</v>
      </c>
      <c r="D180" s="2138">
        <v>0</v>
      </c>
      <c r="E180" s="2138">
        <v>0</v>
      </c>
      <c r="F180" s="2138">
        <v>0</v>
      </c>
      <c r="G180" s="2118">
        <v>0</v>
      </c>
      <c r="H180" s="2279">
        <v>0</v>
      </c>
      <c r="I180" s="2119" t="s">
        <v>5966</v>
      </c>
    </row>
    <row r="181" spans="1:9" s="2024" customFormat="1" x14ac:dyDescent="0.2">
      <c r="A181" s="1283" t="s">
        <v>5810</v>
      </c>
      <c r="B181" s="2117" t="s">
        <v>5411</v>
      </c>
      <c r="C181" s="2138">
        <f>VLOOKUP(A181,'2012 - TB'!$A$1:$H$733,4,FALSE)</f>
        <v>0</v>
      </c>
      <c r="D181" s="2138">
        <f>VLOOKUP(A181,'2012 - TB'!$A$3:$H$733,5,FALSE)</f>
        <v>332599.43</v>
      </c>
      <c r="E181" s="2138">
        <f>VLOOKUP(A181,'2012 - TB'!$A$3:$H$733,6,FALSE)</f>
        <v>-332599.43</v>
      </c>
      <c r="F181" s="2138">
        <f>VLOOKUP(A181,'2012 - TB'!$A$3:$I$733,9,FALSE)</f>
        <v>0</v>
      </c>
      <c r="G181" s="2118">
        <v>0</v>
      </c>
      <c r="H181" s="2279">
        <v>0</v>
      </c>
      <c r="I181" s="2119" t="s">
        <v>5966</v>
      </c>
    </row>
    <row r="182" spans="1:9" s="2024" customFormat="1" x14ac:dyDescent="0.2">
      <c r="A182" s="2116" t="s">
        <v>4928</v>
      </c>
      <c r="B182" s="2117" t="s">
        <v>4929</v>
      </c>
      <c r="C182" s="2138">
        <f>VLOOKUP(A182,'2012 - TB'!$A$1:$H$733,4,FALSE)</f>
        <v>0</v>
      </c>
      <c r="D182" s="2138">
        <f>VLOOKUP(A182,'2012 - TB'!$A$3:$H$733,5,FALSE)</f>
        <v>1595067.95</v>
      </c>
      <c r="E182" s="2138">
        <f>VLOOKUP(A182,'2012 - TB'!$A$3:$H$733,6,FALSE)</f>
        <v>-1595067.95</v>
      </c>
      <c r="F182" s="2138">
        <f>VLOOKUP(A182,'2012 - TB'!$A$3:$I$733,9,FALSE)</f>
        <v>0</v>
      </c>
      <c r="G182" s="2118">
        <v>0</v>
      </c>
      <c r="H182" s="2279">
        <v>0</v>
      </c>
      <c r="I182" s="2119" t="s">
        <v>5966</v>
      </c>
    </row>
    <row r="183" spans="1:9" s="2024" customFormat="1" x14ac:dyDescent="0.2">
      <c r="A183" s="2116" t="s">
        <v>5043</v>
      </c>
      <c r="B183" s="2117" t="s">
        <v>4929</v>
      </c>
      <c r="C183" s="2138">
        <f>VLOOKUP(A183,'2012 - TB'!$A$1:$H$733,4,FALSE)</f>
        <v>0</v>
      </c>
      <c r="D183" s="2138">
        <f>VLOOKUP(A183,'2012 - TB'!$A$3:$H$733,5,FALSE)</f>
        <v>404000</v>
      </c>
      <c r="E183" s="2138">
        <f>VLOOKUP(A183,'2012 - TB'!$A$3:$H$733,6,FALSE)</f>
        <v>-404000</v>
      </c>
      <c r="F183" s="2138">
        <f>VLOOKUP(A183,'2012 - TB'!$A$3:$I$733,9,FALSE)</f>
        <v>0</v>
      </c>
      <c r="G183" s="2118">
        <v>0</v>
      </c>
      <c r="H183" s="2279">
        <v>0</v>
      </c>
      <c r="I183" s="2119" t="s">
        <v>5966</v>
      </c>
    </row>
    <row r="184" spans="1:9" s="2024" customFormat="1" x14ac:dyDescent="0.2">
      <c r="A184" s="1283" t="s">
        <v>5293</v>
      </c>
      <c r="B184" s="2117" t="s">
        <v>4929</v>
      </c>
      <c r="C184" s="2138">
        <f>VLOOKUP(A184,'2012 - TB'!$A$1:$H$733,4,FALSE)</f>
        <v>0</v>
      </c>
      <c r="D184" s="2138">
        <f>VLOOKUP(A184,'2012 - TB'!$A$3:$H$733,5,FALSE)</f>
        <v>8126220.790000001</v>
      </c>
      <c r="E184" s="2138">
        <f>VLOOKUP(A184,'2012 - TB'!$A$3:$H$733,6,FALSE)</f>
        <v>-8126220.79</v>
      </c>
      <c r="F184" s="2138">
        <f>VLOOKUP(A184,'2012 - TB'!$A$3:$I$733,9,FALSE)</f>
        <v>0</v>
      </c>
      <c r="G184" s="2118">
        <v>0</v>
      </c>
      <c r="H184" s="2279">
        <v>0</v>
      </c>
      <c r="I184" s="2119" t="s">
        <v>5966</v>
      </c>
    </row>
    <row r="185" spans="1:9" s="2024" customFormat="1" x14ac:dyDescent="0.2">
      <c r="A185" s="2116" t="s">
        <v>5352</v>
      </c>
      <c r="B185" s="2117" t="s">
        <v>4929</v>
      </c>
      <c r="C185" s="2138">
        <v>0</v>
      </c>
      <c r="D185" s="2138">
        <v>0</v>
      </c>
      <c r="E185" s="2138">
        <v>0</v>
      </c>
      <c r="F185" s="2138">
        <v>0</v>
      </c>
      <c r="G185" s="2118">
        <v>0</v>
      </c>
      <c r="H185" s="2279">
        <v>0</v>
      </c>
      <c r="I185" s="2119" t="s">
        <v>5966</v>
      </c>
    </row>
    <row r="186" spans="1:9" s="2024" customFormat="1" x14ac:dyDescent="0.2">
      <c r="A186" s="2116" t="s">
        <v>5412</v>
      </c>
      <c r="B186" s="2117" t="s">
        <v>4929</v>
      </c>
      <c r="C186" s="2138">
        <v>0</v>
      </c>
      <c r="D186" s="2138">
        <v>0</v>
      </c>
      <c r="E186" s="2138">
        <v>0</v>
      </c>
      <c r="F186" s="2138">
        <v>0</v>
      </c>
      <c r="G186" s="2118">
        <v>0</v>
      </c>
      <c r="H186" s="2279">
        <v>0</v>
      </c>
      <c r="I186" s="2119" t="s">
        <v>5966</v>
      </c>
    </row>
    <row r="187" spans="1:9" s="2024" customFormat="1" x14ac:dyDescent="0.2">
      <c r="A187" s="2116" t="s">
        <v>5413</v>
      </c>
      <c r="B187" s="2117" t="s">
        <v>4929</v>
      </c>
      <c r="C187" s="2138">
        <v>0</v>
      </c>
      <c r="D187" s="2138">
        <v>0</v>
      </c>
      <c r="E187" s="2138">
        <v>0</v>
      </c>
      <c r="F187" s="2138">
        <v>0</v>
      </c>
      <c r="G187" s="2118">
        <v>0</v>
      </c>
      <c r="H187" s="2279">
        <v>0</v>
      </c>
      <c r="I187" s="2119" t="s">
        <v>5966</v>
      </c>
    </row>
    <row r="188" spans="1:9" s="2024" customFormat="1" x14ac:dyDescent="0.2">
      <c r="A188" s="2116" t="s">
        <v>5414</v>
      </c>
      <c r="B188" s="2117" t="s">
        <v>4929</v>
      </c>
      <c r="C188" s="2138">
        <v>0</v>
      </c>
      <c r="D188" s="2138">
        <v>0</v>
      </c>
      <c r="E188" s="2138">
        <v>0</v>
      </c>
      <c r="F188" s="2138">
        <v>0</v>
      </c>
      <c r="G188" s="2118">
        <v>0</v>
      </c>
      <c r="H188" s="2279">
        <v>0</v>
      </c>
      <c r="I188" s="2119" t="s">
        <v>5966</v>
      </c>
    </row>
    <row r="189" spans="1:9" s="2024" customFormat="1" x14ac:dyDescent="0.2">
      <c r="A189" s="2116" t="s">
        <v>5624</v>
      </c>
      <c r="B189" s="2117" t="s">
        <v>4929</v>
      </c>
      <c r="C189" s="2138">
        <v>0</v>
      </c>
      <c r="D189" s="2138">
        <v>0</v>
      </c>
      <c r="E189" s="2138">
        <v>0</v>
      </c>
      <c r="F189" s="2138">
        <v>0</v>
      </c>
      <c r="G189" s="2118">
        <v>0</v>
      </c>
      <c r="H189" s="2279">
        <v>0</v>
      </c>
      <c r="I189" s="2119" t="s">
        <v>5966</v>
      </c>
    </row>
    <row r="190" spans="1:9" s="2024" customFormat="1" x14ac:dyDescent="0.2">
      <c r="A190" s="2116" t="s">
        <v>5704</v>
      </c>
      <c r="B190" s="2117" t="s">
        <v>4929</v>
      </c>
      <c r="C190" s="2138">
        <v>0</v>
      </c>
      <c r="D190" s="2138">
        <v>0</v>
      </c>
      <c r="E190" s="2138">
        <v>0</v>
      </c>
      <c r="F190" s="2138">
        <v>0</v>
      </c>
      <c r="G190" s="2118">
        <v>0</v>
      </c>
      <c r="H190" s="2279">
        <v>0</v>
      </c>
      <c r="I190" s="2119" t="s">
        <v>5966</v>
      </c>
    </row>
    <row r="191" spans="1:9" s="2024" customFormat="1" x14ac:dyDescent="0.2">
      <c r="A191" s="2116" t="s">
        <v>4648</v>
      </c>
      <c r="B191" s="2117" t="s">
        <v>4649</v>
      </c>
      <c r="C191" s="2138">
        <f>VLOOKUP(A191,'2012 - TB'!$A$1:$H$733,4,FALSE)</f>
        <v>0</v>
      </c>
      <c r="D191" s="2138">
        <f>VLOOKUP(A191,'2012 - TB'!$A$3:$H$733,5,FALSE)</f>
        <v>0</v>
      </c>
      <c r="E191" s="2138">
        <f>VLOOKUP(A191,'2012 - TB'!$A$3:$H$733,6,FALSE)</f>
        <v>0</v>
      </c>
      <c r="F191" s="2138">
        <f>VLOOKUP(A191,'2012 - TB'!$A$3:$I$733,9,FALSE)</f>
        <v>0</v>
      </c>
      <c r="G191" s="2118">
        <v>0</v>
      </c>
      <c r="H191" s="2279">
        <v>0</v>
      </c>
      <c r="I191" s="2119" t="s">
        <v>5966</v>
      </c>
    </row>
    <row r="192" spans="1:9" s="2024" customFormat="1" x14ac:dyDescent="0.2">
      <c r="A192" s="2116" t="s">
        <v>4650</v>
      </c>
      <c r="B192" s="2117" t="s">
        <v>4649</v>
      </c>
      <c r="C192" s="2138">
        <v>0</v>
      </c>
      <c r="D192" s="2138">
        <v>0</v>
      </c>
      <c r="E192" s="2138">
        <v>0</v>
      </c>
      <c r="F192" s="2138">
        <v>0</v>
      </c>
      <c r="G192" s="2118">
        <v>0</v>
      </c>
      <c r="H192" s="2279">
        <v>0</v>
      </c>
      <c r="I192" s="2119" t="s">
        <v>5966</v>
      </c>
    </row>
    <row r="193" spans="1:9" s="2024" customFormat="1" x14ac:dyDescent="0.2">
      <c r="A193" s="2116" t="s">
        <v>4651</v>
      </c>
      <c r="B193" s="2117" t="s">
        <v>4652</v>
      </c>
      <c r="C193" s="2138">
        <f>VLOOKUP(A193,'2012 - TB'!$A$1:$H$733,4,FALSE)</f>
        <v>54617584</v>
      </c>
      <c r="D193" s="2138">
        <f>VLOOKUP(A193,'2012 - TB'!$A$3:$H$733,5,FALSE)</f>
        <v>4215670</v>
      </c>
      <c r="E193" s="2138">
        <f>VLOOKUP(A193,'2012 - TB'!$A$3:$H$733,6,FALSE)</f>
        <v>-4215670</v>
      </c>
      <c r="F193" s="2745">
        <f>VLOOKUP(A193,'2012 - TB'!$A$3:$I$733,9,FALSE)</f>
        <v>54617584</v>
      </c>
      <c r="G193" s="2118">
        <v>0</v>
      </c>
      <c r="H193" s="2279">
        <v>0</v>
      </c>
      <c r="I193" s="2119" t="s">
        <v>7453</v>
      </c>
    </row>
    <row r="194" spans="1:9" s="2024" customFormat="1" x14ac:dyDescent="0.2">
      <c r="A194" s="2116" t="s">
        <v>4653</v>
      </c>
      <c r="B194" s="2117" t="s">
        <v>4652</v>
      </c>
      <c r="C194" s="2138">
        <f>VLOOKUP(A194,'2012 - TB'!$A$1:$H$733,4,FALSE)</f>
        <v>-30420019</v>
      </c>
      <c r="D194" s="2138">
        <f>VLOOKUP(A194,'2012 - TB'!$A$3:$H$733,5,FALSE)</f>
        <v>15459936</v>
      </c>
      <c r="E194" s="2138">
        <f>VLOOKUP(A194,'2012 - TB'!$A$3:$H$733,6,FALSE)</f>
        <v>-17502350.91</v>
      </c>
      <c r="F194" s="2138">
        <f>VLOOKUP(A194,'2012 - TB'!$A$3:$I$733,9,FALSE)</f>
        <v>-32462433.91</v>
      </c>
      <c r="G194" s="2118">
        <v>0</v>
      </c>
      <c r="H194" s="2279">
        <v>0</v>
      </c>
      <c r="I194" s="2119" t="s">
        <v>7454</v>
      </c>
    </row>
    <row r="195" spans="1:9" s="2024" customFormat="1" x14ac:dyDescent="0.2">
      <c r="A195" s="2116" t="s">
        <v>4654</v>
      </c>
      <c r="B195" s="2117" t="s">
        <v>4655</v>
      </c>
      <c r="C195" s="2138">
        <f>VLOOKUP(A195,'2012 - TB'!$A$1:$H$733,4,FALSE)</f>
        <v>0</v>
      </c>
      <c r="D195" s="2138">
        <f>VLOOKUP(A195,'2012 - TB'!$A$3:$H$733,5,FALSE)</f>
        <v>422.4</v>
      </c>
      <c r="E195" s="2138">
        <f>VLOOKUP(A195,'2012 - TB'!$A$3:$H$733,6,FALSE)</f>
        <v>-422.4</v>
      </c>
      <c r="F195" s="2138">
        <f>VLOOKUP(A195,'2012 - TB'!$A$3:$I$733,9,FALSE)</f>
        <v>0</v>
      </c>
      <c r="G195" s="2118">
        <v>0</v>
      </c>
      <c r="H195" s="2279">
        <v>0</v>
      </c>
      <c r="I195" s="2119" t="s">
        <v>5966</v>
      </c>
    </row>
    <row r="196" spans="1:9" s="2024" customFormat="1" x14ac:dyDescent="0.2">
      <c r="A196" s="2116" t="s">
        <v>4656</v>
      </c>
      <c r="B196" s="2117" t="s">
        <v>4655</v>
      </c>
      <c r="C196" s="2138">
        <v>0</v>
      </c>
      <c r="D196" s="2138">
        <v>0</v>
      </c>
      <c r="E196" s="2138">
        <v>0</v>
      </c>
      <c r="F196" s="2138">
        <v>0</v>
      </c>
      <c r="G196" s="2118">
        <v>0</v>
      </c>
      <c r="H196" s="2279">
        <v>0</v>
      </c>
      <c r="I196" s="2119" t="s">
        <v>5966</v>
      </c>
    </row>
    <row r="197" spans="1:9" s="2024" customFormat="1" x14ac:dyDescent="0.2">
      <c r="A197" s="2116" t="s">
        <v>4657</v>
      </c>
      <c r="B197" s="2117" t="s">
        <v>4655</v>
      </c>
      <c r="C197" s="2138">
        <v>0</v>
      </c>
      <c r="D197" s="2138">
        <v>0</v>
      </c>
      <c r="E197" s="2138">
        <v>0</v>
      </c>
      <c r="F197" s="2138">
        <v>0</v>
      </c>
      <c r="G197" s="2118">
        <v>0</v>
      </c>
      <c r="H197" s="2279">
        <v>0</v>
      </c>
      <c r="I197" s="2119" t="s">
        <v>5966</v>
      </c>
    </row>
    <row r="198" spans="1:9" s="2024" customFormat="1" x14ac:dyDescent="0.2">
      <c r="A198" s="2116" t="s">
        <v>4658</v>
      </c>
      <c r="B198" s="2117" t="s">
        <v>4655</v>
      </c>
      <c r="C198" s="2138">
        <v>0</v>
      </c>
      <c r="D198" s="2138">
        <v>0</v>
      </c>
      <c r="E198" s="2138">
        <v>0</v>
      </c>
      <c r="F198" s="2138">
        <v>0</v>
      </c>
      <c r="G198" s="2118">
        <v>0</v>
      </c>
      <c r="H198" s="2279">
        <v>0</v>
      </c>
      <c r="I198" s="2119" t="s">
        <v>5966</v>
      </c>
    </row>
    <row r="199" spans="1:9" s="2024" customFormat="1" x14ac:dyDescent="0.2">
      <c r="A199" s="2116" t="s">
        <v>4659</v>
      </c>
      <c r="B199" s="2117" t="s">
        <v>4655</v>
      </c>
      <c r="C199" s="2138">
        <v>0</v>
      </c>
      <c r="D199" s="2138">
        <v>0</v>
      </c>
      <c r="E199" s="2138">
        <v>0</v>
      </c>
      <c r="F199" s="2138">
        <v>0</v>
      </c>
      <c r="G199" s="2118">
        <v>0</v>
      </c>
      <c r="H199" s="2279">
        <v>0</v>
      </c>
      <c r="I199" s="2119" t="s">
        <v>5966</v>
      </c>
    </row>
    <row r="200" spans="1:9" s="2024" customFormat="1" x14ac:dyDescent="0.2">
      <c r="A200" s="2116" t="s">
        <v>4660</v>
      </c>
      <c r="B200" s="2117" t="s">
        <v>4655</v>
      </c>
      <c r="C200" s="2138">
        <v>0</v>
      </c>
      <c r="D200" s="2138">
        <v>0</v>
      </c>
      <c r="E200" s="2138">
        <v>0</v>
      </c>
      <c r="F200" s="2138">
        <v>0</v>
      </c>
      <c r="G200" s="2118">
        <v>0</v>
      </c>
      <c r="H200" s="2279">
        <v>0</v>
      </c>
      <c r="I200" s="2119" t="s">
        <v>5966</v>
      </c>
    </row>
    <row r="201" spans="1:9" s="2024" customFormat="1" x14ac:dyDescent="0.2">
      <c r="A201" s="2116" t="s">
        <v>4661</v>
      </c>
      <c r="B201" s="1133" t="s">
        <v>1698</v>
      </c>
      <c r="C201" s="2138">
        <f>VLOOKUP(A201,'2012 - TB'!$A$1:$H$733,4,FALSE)</f>
        <v>2193676</v>
      </c>
      <c r="D201" s="2138">
        <f>VLOOKUP(A201,'2012 - TB'!$A$3:$H$733,5,FALSE)</f>
        <v>9684498.0099999998</v>
      </c>
      <c r="E201" s="2138">
        <f>VLOOKUP(A201,'2012 - TB'!$A$3:$H$733,6,FALSE)</f>
        <v>0</v>
      </c>
      <c r="F201" s="2746">
        <f>VLOOKUP(A201,'2012 - TB'!$A$3:$I$733,9,FALSE)</f>
        <v>11878174.01</v>
      </c>
      <c r="G201" s="2118">
        <v>0</v>
      </c>
      <c r="H201" s="2279">
        <v>0</v>
      </c>
      <c r="I201" s="2119" t="s">
        <v>7448</v>
      </c>
    </row>
    <row r="202" spans="1:9" s="2024" customFormat="1" x14ac:dyDescent="0.2">
      <c r="A202" s="2116" t="s">
        <v>4663</v>
      </c>
      <c r="B202" s="2117" t="s">
        <v>4662</v>
      </c>
      <c r="C202" s="2138">
        <v>0</v>
      </c>
      <c r="D202" s="2138">
        <v>0</v>
      </c>
      <c r="E202" s="2138">
        <v>0</v>
      </c>
      <c r="F202" s="2138">
        <v>0</v>
      </c>
      <c r="G202" s="2118">
        <v>0</v>
      </c>
      <c r="H202" s="2279">
        <v>0</v>
      </c>
      <c r="I202" s="2119" t="s">
        <v>5966</v>
      </c>
    </row>
    <row r="203" spans="1:9" s="2024" customFormat="1" x14ac:dyDescent="0.2">
      <c r="A203" s="2116" t="s">
        <v>4664</v>
      </c>
      <c r="B203" s="2117" t="s">
        <v>4665</v>
      </c>
      <c r="C203" s="2138">
        <f>VLOOKUP(A203,'2012 - TB'!$A$1:$H$733,4,FALSE)</f>
        <v>63615725</v>
      </c>
      <c r="D203" s="2138">
        <f>VLOOKUP(A203,'2012 - TB'!$A$3:$H$733,5,FALSE)</f>
        <v>0</v>
      </c>
      <c r="E203" s="2138">
        <f>VLOOKUP(A203,'2012 - TB'!$A$3:$H$733,6,FALSE)</f>
        <v>0</v>
      </c>
      <c r="F203" s="2747">
        <f>VLOOKUP(A203,'2012 - TB'!$A$3:$I$733,9,FALSE)</f>
        <v>63615725</v>
      </c>
      <c r="G203" s="2118">
        <v>0</v>
      </c>
      <c r="H203" s="2279">
        <v>0</v>
      </c>
      <c r="I203" s="2119" t="s">
        <v>7457</v>
      </c>
    </row>
    <row r="204" spans="1:9" s="2024" customFormat="1" x14ac:dyDescent="0.2">
      <c r="A204" s="2116" t="s">
        <v>4666</v>
      </c>
      <c r="B204" s="2117" t="s">
        <v>4667</v>
      </c>
      <c r="C204" s="2138">
        <f>VLOOKUP(A204,'2012 - TB'!$A$1:$H$733,4,FALSE)</f>
        <v>0</v>
      </c>
      <c r="D204" s="2138">
        <f>VLOOKUP(A204,'2012 - TB'!$A$3:$H$733,5,FALSE)</f>
        <v>0</v>
      </c>
      <c r="E204" s="2138">
        <f>VLOOKUP(A204,'2012 - TB'!$A$3:$H$733,6,FALSE)</f>
        <v>0</v>
      </c>
      <c r="F204" s="2138">
        <f>VLOOKUP(A204,'2012 - TB'!$A$3:$I$733,9,FALSE)</f>
        <v>0</v>
      </c>
      <c r="G204" s="2118">
        <v>0</v>
      </c>
      <c r="H204" s="2279">
        <v>0</v>
      </c>
      <c r="I204" s="2119" t="s">
        <v>5966</v>
      </c>
    </row>
    <row r="205" spans="1:9" s="2024" customFormat="1" x14ac:dyDescent="0.2">
      <c r="A205" s="2116" t="s">
        <v>4668</v>
      </c>
      <c r="B205" s="2117" t="s">
        <v>4667</v>
      </c>
      <c r="C205" s="2138">
        <f>VLOOKUP(A205,'2012 - TB'!$A$1:$H$733,4,FALSE)</f>
        <v>-25753061</v>
      </c>
      <c r="D205" s="2138">
        <f>VLOOKUP(A205,'2012 - TB'!$A$3:$H$733,5,FALSE)</f>
        <v>0</v>
      </c>
      <c r="E205" s="2138">
        <f>VLOOKUP(A205,'2012 - TB'!$A$3:$H$733,6,FALSE)</f>
        <v>-1707367.52</v>
      </c>
      <c r="F205" s="2138">
        <f>VLOOKUP(A205,'2012 - TB'!$A$3:$I$733,9,FALSE)</f>
        <v>-27460428.52</v>
      </c>
      <c r="G205" s="2118">
        <v>0</v>
      </c>
      <c r="H205" s="2279">
        <v>0</v>
      </c>
      <c r="I205" s="2119" t="s">
        <v>7458</v>
      </c>
    </row>
    <row r="206" spans="1:9" s="2024" customFormat="1" x14ac:dyDescent="0.2">
      <c r="A206" s="2116" t="s">
        <v>4669</v>
      </c>
      <c r="B206" s="2117" t="s">
        <v>4607</v>
      </c>
      <c r="C206" s="2138">
        <f>VLOOKUP(A206,'2012 - TB'!$A$1:$H$733,4,FALSE)</f>
        <v>605341.9</v>
      </c>
      <c r="D206" s="2138">
        <f>VLOOKUP(A206,'2012 - TB'!$A$3:$H$733,5,FALSE)</f>
        <v>1214788.17</v>
      </c>
      <c r="E206" s="2138">
        <f>VLOOKUP(A206,'2012 - TB'!$A$3:$H$733,6,FALSE)</f>
        <v>0</v>
      </c>
      <c r="F206" s="2746">
        <f>VLOOKUP(A206,'2012 - TB'!$A$3:$I$733,9,FALSE)</f>
        <v>1820130.0699999998</v>
      </c>
      <c r="G206" s="2118">
        <v>0</v>
      </c>
      <c r="H206" s="2279">
        <v>0</v>
      </c>
      <c r="I206" s="2119" t="s">
        <v>7448</v>
      </c>
    </row>
    <row r="207" spans="1:9" s="2024" customFormat="1" x14ac:dyDescent="0.2">
      <c r="A207" s="2116" t="s">
        <v>4670</v>
      </c>
      <c r="B207" s="2117" t="s">
        <v>4607</v>
      </c>
      <c r="C207" s="2138">
        <v>0</v>
      </c>
      <c r="D207" s="2138">
        <v>0</v>
      </c>
      <c r="E207" s="2138">
        <v>0</v>
      </c>
      <c r="F207" s="2138">
        <v>0</v>
      </c>
      <c r="G207" s="2118">
        <v>0</v>
      </c>
      <c r="H207" s="2279">
        <v>0</v>
      </c>
      <c r="I207" s="2119" t="s">
        <v>5966</v>
      </c>
    </row>
    <row r="208" spans="1:9" s="2024" customFormat="1" x14ac:dyDescent="0.2">
      <c r="A208" s="2116" t="s">
        <v>4626</v>
      </c>
      <c r="B208" s="2117" t="s">
        <v>4627</v>
      </c>
      <c r="C208" s="2138">
        <f>VLOOKUP(A208,'2012 - TB'!$A$1:$H$733,4,FALSE)</f>
        <v>5252344.51</v>
      </c>
      <c r="D208" s="2138">
        <f>VLOOKUP(A208,'2012 - TB'!$A$3:$H$733,5,FALSE)</f>
        <v>1597891.26</v>
      </c>
      <c r="E208" s="2138">
        <f>VLOOKUP(A208,'2012 - TB'!$A$3:$H$733,6,FALSE)</f>
        <v>-196232.26</v>
      </c>
      <c r="F208" s="2746">
        <f>VLOOKUP(A208,'2012 - TB'!$A$3:$I$733,9,FALSE)</f>
        <v>6654003.5099999998</v>
      </c>
      <c r="G208" s="2118">
        <v>0</v>
      </c>
      <c r="H208" s="2279">
        <v>0</v>
      </c>
      <c r="I208" s="2119" t="s">
        <v>7448</v>
      </c>
    </row>
    <row r="209" spans="1:9" s="2024" customFormat="1" x14ac:dyDescent="0.2">
      <c r="A209" s="2116" t="s">
        <v>4630</v>
      </c>
      <c r="B209" s="2117" t="s">
        <v>4631</v>
      </c>
      <c r="C209" s="2138">
        <f>VLOOKUP(A209,'2012 - TB'!$A$1:$H$733,4,FALSE)</f>
        <v>5710899.4399999995</v>
      </c>
      <c r="D209" s="2138">
        <f>VLOOKUP(A209,'2012 - TB'!$A$3:$H$733,5,FALSE)</f>
        <v>2184134.3199999998</v>
      </c>
      <c r="E209" s="2138">
        <f>VLOOKUP(A209,'2012 - TB'!$A$3:$H$733,6,FALSE)</f>
        <v>-268227.02</v>
      </c>
      <c r="F209" s="2746">
        <f>VLOOKUP(A209,'2012 - TB'!$A$3:$I$733,9,FALSE)</f>
        <v>7626806.7400000002</v>
      </c>
      <c r="G209" s="2118">
        <v>0</v>
      </c>
      <c r="H209" s="2279">
        <v>0</v>
      </c>
      <c r="I209" s="2119" t="s">
        <v>7448</v>
      </c>
    </row>
    <row r="210" spans="1:9" s="2024" customFormat="1" x14ac:dyDescent="0.2">
      <c r="A210" s="2116" t="s">
        <v>4628</v>
      </c>
      <c r="B210" s="2117" t="s">
        <v>4629</v>
      </c>
      <c r="C210" s="2138">
        <f>VLOOKUP(A210,'2012 - TB'!$A$1:$H$733,4,FALSE)</f>
        <v>11974594.189999999</v>
      </c>
      <c r="D210" s="2138">
        <f>VLOOKUP(A210,'2012 - TB'!$A$3:$H$733,5,FALSE)</f>
        <v>1124764.6000000001</v>
      </c>
      <c r="E210" s="2138">
        <f>VLOOKUP(A210,'2012 - TB'!$A$3:$H$733,6,FALSE)</f>
        <v>-3585296.2199999997</v>
      </c>
      <c r="F210" s="2746">
        <f>VLOOKUP(A210,'2012 - TB'!$A$3:$I$733,9,FALSE)</f>
        <v>9514062.5700000003</v>
      </c>
      <c r="G210" s="2118">
        <v>0</v>
      </c>
      <c r="H210" s="2279">
        <v>0</v>
      </c>
      <c r="I210" s="2119" t="s">
        <v>7448</v>
      </c>
    </row>
    <row r="211" spans="1:9" s="2024" customFormat="1" x14ac:dyDescent="0.2">
      <c r="A211" s="2116" t="s">
        <v>4632</v>
      </c>
      <c r="B211" s="2117" t="s">
        <v>4633</v>
      </c>
      <c r="C211" s="2138">
        <f>VLOOKUP(A211,'2012 - TB'!$A$1:$H$733,4,FALSE)</f>
        <v>4335196.4799999995</v>
      </c>
      <c r="D211" s="2138">
        <f>VLOOKUP(A211,'2012 - TB'!$A$3:$H$733,5,FALSE)</f>
        <v>9793602.0399999991</v>
      </c>
      <c r="E211" s="2138">
        <f>VLOOKUP(A211,'2012 - TB'!$A$3:$H$733,6,FALSE)</f>
        <v>-1450971.04</v>
      </c>
      <c r="F211" s="2746">
        <f>VLOOKUP(A211,'2012 - TB'!$A$3:$I$733,9,FALSE)</f>
        <v>12677827.48</v>
      </c>
      <c r="G211" s="2118">
        <v>0</v>
      </c>
      <c r="H211" s="2279">
        <v>0</v>
      </c>
      <c r="I211" s="2119" t="s">
        <v>7448</v>
      </c>
    </row>
    <row r="212" spans="1:9" s="2024" customFormat="1" x14ac:dyDescent="0.2">
      <c r="A212" s="2116" t="s">
        <v>4671</v>
      </c>
      <c r="B212" s="2117" t="s">
        <v>4672</v>
      </c>
      <c r="C212" s="2138">
        <f>VLOOKUP(A212,'2012 - TB'!$A$1:$H$733,4,FALSE)</f>
        <v>24713953</v>
      </c>
      <c r="D212" s="2138">
        <f>VLOOKUP(A212,'2012 - TB'!$A$3:$H$733,5,FALSE)</f>
        <v>0</v>
      </c>
      <c r="E212" s="2138">
        <f>VLOOKUP(A212,'2012 - TB'!$A$3:$H$733,6,FALSE)</f>
        <v>-230376</v>
      </c>
      <c r="F212" s="2748">
        <f>VLOOKUP(A212,'2012 - TB'!$A$3:$I$733,9,FALSE)</f>
        <v>24483577</v>
      </c>
      <c r="G212" s="2118">
        <v>0</v>
      </c>
      <c r="H212" s="2279">
        <v>0</v>
      </c>
      <c r="I212" s="2119" t="s">
        <v>7451</v>
      </c>
    </row>
    <row r="213" spans="1:9" s="2024" customFormat="1" x14ac:dyDescent="0.2">
      <c r="A213" s="2116" t="s">
        <v>4673</v>
      </c>
      <c r="B213" s="2117" t="s">
        <v>4672</v>
      </c>
      <c r="C213" s="2138">
        <f>VLOOKUP(A213,'2012 - TB'!$A$1:$H$733,4,FALSE)</f>
        <v>-16883743</v>
      </c>
      <c r="D213" s="2138">
        <f>VLOOKUP(A213,'2012 - TB'!$A$3:$H$733,5,FALSE)</f>
        <v>-37940</v>
      </c>
      <c r="E213" s="2138">
        <f>VLOOKUP(A213,'2012 - TB'!$A$3:$H$733,6,FALSE)</f>
        <v>-721842.24</v>
      </c>
      <c r="F213" s="2138">
        <f>VLOOKUP(A213,'2012 - TB'!$A$3:$I$733,9,FALSE)</f>
        <v>-17643525.239999998</v>
      </c>
      <c r="G213" s="2118">
        <v>0</v>
      </c>
      <c r="H213" s="2279">
        <v>0</v>
      </c>
      <c r="I213" s="2119" t="s">
        <v>7452</v>
      </c>
    </row>
    <row r="214" spans="1:9" s="2024" customFormat="1" x14ac:dyDescent="0.2">
      <c r="A214" s="2116" t="s">
        <v>4674</v>
      </c>
      <c r="B214" s="2117" t="s">
        <v>4675</v>
      </c>
      <c r="C214" s="2138">
        <f>VLOOKUP(A214,'2012 - TB'!$A$1:$H$733,4,FALSE)</f>
        <v>70473013</v>
      </c>
      <c r="D214" s="2138">
        <f>VLOOKUP(A214,'2012 - TB'!$A$3:$H$733,5,FALSE)</f>
        <v>0</v>
      </c>
      <c r="E214" s="2138">
        <f>VLOOKUP(A214,'2012 - TB'!$A$3:$H$733,6,FALSE)</f>
        <v>0</v>
      </c>
      <c r="F214" s="2745">
        <f>VLOOKUP(A214,'2012 - TB'!$A$3:$I$733,9,FALSE)</f>
        <v>70473013</v>
      </c>
      <c r="G214" s="2118">
        <v>0</v>
      </c>
      <c r="H214" s="2279">
        <v>0</v>
      </c>
      <c r="I214" s="2119" t="s">
        <v>7455</v>
      </c>
    </row>
    <row r="215" spans="1:9" s="2024" customFormat="1" x14ac:dyDescent="0.2">
      <c r="A215" s="2116" t="s">
        <v>4676</v>
      </c>
      <c r="B215" s="2117" t="s">
        <v>4675</v>
      </c>
      <c r="C215" s="2138">
        <f>VLOOKUP(A215,'2012 - TB'!$A$1:$H$733,4,FALSE)</f>
        <v>-34742245</v>
      </c>
      <c r="D215" s="2138">
        <f>VLOOKUP(A215,'2012 - TB'!$A$3:$H$733,5,FALSE)</f>
        <v>0</v>
      </c>
      <c r="E215" s="2138">
        <f>VLOOKUP(A215,'2012 - TB'!$A$3:$H$733,6,FALSE)</f>
        <v>-1897254.08</v>
      </c>
      <c r="F215" s="2138">
        <f>VLOOKUP(A215,'2012 - TB'!$A$3:$I$733,9,FALSE)</f>
        <v>-36639499.079999998</v>
      </c>
      <c r="G215" s="2118">
        <v>0</v>
      </c>
      <c r="H215" s="2279">
        <v>0</v>
      </c>
      <c r="I215" s="2119" t="s">
        <v>7456</v>
      </c>
    </row>
    <row r="216" spans="1:9" s="2024" customFormat="1" x14ac:dyDescent="0.2">
      <c r="A216" s="2116" t="s">
        <v>4677</v>
      </c>
      <c r="B216" s="2117" t="s">
        <v>4678</v>
      </c>
      <c r="C216" s="2138">
        <f>VLOOKUP(A216,'2012 - TB'!$A$1:$H$733,4,FALSE)</f>
        <v>0</v>
      </c>
      <c r="D216" s="2138">
        <f>VLOOKUP(A216,'2012 - TB'!$A$3:$H$733,5,FALSE)</f>
        <v>0</v>
      </c>
      <c r="E216" s="2138">
        <f>VLOOKUP(A216,'2012 - TB'!$A$3:$H$733,6,FALSE)</f>
        <v>0</v>
      </c>
      <c r="F216" s="2138">
        <f>VLOOKUP(A216,'2012 - TB'!$A$3:$I$733,9,FALSE)</f>
        <v>0</v>
      </c>
      <c r="G216" s="2118">
        <v>0</v>
      </c>
      <c r="H216" s="2279">
        <v>0</v>
      </c>
      <c r="I216" s="2119" t="s">
        <v>5966</v>
      </c>
    </row>
    <row r="217" spans="1:9" s="2024" customFormat="1" x14ac:dyDescent="0.2">
      <c r="A217" s="2116" t="s">
        <v>4679</v>
      </c>
      <c r="B217" s="2117" t="s">
        <v>4678</v>
      </c>
      <c r="C217" s="2138">
        <v>0</v>
      </c>
      <c r="D217" s="2138">
        <v>0</v>
      </c>
      <c r="E217" s="2138">
        <v>0</v>
      </c>
      <c r="F217" s="2138">
        <v>0</v>
      </c>
      <c r="G217" s="2118">
        <v>0</v>
      </c>
      <c r="H217" s="2279">
        <v>0</v>
      </c>
      <c r="I217" s="2119" t="s">
        <v>5966</v>
      </c>
    </row>
    <row r="218" spans="1:9" s="2024" customFormat="1" x14ac:dyDescent="0.2">
      <c r="A218" s="2116" t="s">
        <v>4683</v>
      </c>
      <c r="B218" s="2117" t="s">
        <v>4684</v>
      </c>
      <c r="C218" s="2138">
        <f>VLOOKUP(A218,'2012 - TB'!$A$1:$H$733,4,FALSE)</f>
        <v>0</v>
      </c>
      <c r="D218" s="2138">
        <f>VLOOKUP(A218,'2012 - TB'!$A$3:$H$733,5,FALSE)</f>
        <v>0</v>
      </c>
      <c r="E218" s="2138">
        <f>VLOOKUP(A218,'2012 - TB'!$A$3:$H$733,6,FALSE)</f>
        <v>0</v>
      </c>
      <c r="F218" s="2138">
        <f>VLOOKUP(A218,'2012 - TB'!$A$3:$I$733,9,FALSE)</f>
        <v>0</v>
      </c>
      <c r="G218" s="2118">
        <v>0</v>
      </c>
      <c r="H218" s="2279">
        <v>0</v>
      </c>
      <c r="I218" s="2119" t="s">
        <v>5966</v>
      </c>
    </row>
    <row r="219" spans="1:9" s="2024" customFormat="1" x14ac:dyDescent="0.2">
      <c r="A219" s="2116" t="s">
        <v>4685</v>
      </c>
      <c r="B219" s="2117" t="s">
        <v>4684</v>
      </c>
      <c r="C219" s="2138">
        <v>0</v>
      </c>
      <c r="D219" s="2138">
        <v>0</v>
      </c>
      <c r="E219" s="2138">
        <v>0</v>
      </c>
      <c r="F219" s="2138">
        <v>0</v>
      </c>
      <c r="G219" s="2118">
        <v>0</v>
      </c>
      <c r="H219" s="2279">
        <v>0</v>
      </c>
      <c r="I219" s="2119" t="s">
        <v>5966</v>
      </c>
    </row>
    <row r="220" spans="1:9" s="2024" customFormat="1" x14ac:dyDescent="0.2">
      <c r="A220" s="2116" t="s">
        <v>4686</v>
      </c>
      <c r="B220" s="2117" t="s">
        <v>4687</v>
      </c>
      <c r="C220" s="2138">
        <f>VLOOKUP(A220,'2012 - TB'!$A$1:$H$733,4,FALSE)</f>
        <v>121234548</v>
      </c>
      <c r="D220" s="2138">
        <f>VLOOKUP(A220,'2012 - TB'!$A$3:$H$733,5,FALSE)</f>
        <v>0</v>
      </c>
      <c r="E220" s="2138">
        <f>VLOOKUP(A220,'2012 - TB'!$A$3:$H$733,6,FALSE)</f>
        <v>0</v>
      </c>
      <c r="F220" s="2747">
        <f>VLOOKUP(A220,'2012 - TB'!$A$3:$I$733,9,FALSE)</f>
        <v>121234548</v>
      </c>
      <c r="G220" s="2118">
        <v>0</v>
      </c>
      <c r="H220" s="2279">
        <v>0</v>
      </c>
      <c r="I220" s="2119" t="s">
        <v>7459</v>
      </c>
    </row>
    <row r="221" spans="1:9" s="2024" customFormat="1" x14ac:dyDescent="0.2">
      <c r="A221" s="2116" t="s">
        <v>4688</v>
      </c>
      <c r="B221" s="2117" t="s">
        <v>4687</v>
      </c>
      <c r="C221" s="2138">
        <f>VLOOKUP(A221,'2012 - TB'!$A$1:$H$733,4,FALSE)</f>
        <v>-74539435</v>
      </c>
      <c r="D221" s="2138">
        <f>VLOOKUP(A221,'2012 - TB'!$A$3:$H$733,5,FALSE)</f>
        <v>0</v>
      </c>
      <c r="E221" s="2138">
        <f>VLOOKUP(A221,'2012 - TB'!$A$3:$H$733,6,FALSE)</f>
        <v>-5747430.9900000002</v>
      </c>
      <c r="F221" s="2138">
        <f>VLOOKUP(A221,'2012 - TB'!$A$3:$I$733,9,FALSE)</f>
        <v>-80286865.989999995</v>
      </c>
      <c r="G221" s="2118">
        <v>0</v>
      </c>
      <c r="H221" s="2279">
        <v>0</v>
      </c>
      <c r="I221" s="2119" t="s">
        <v>7460</v>
      </c>
    </row>
    <row r="222" spans="1:9" s="2024" customFormat="1" x14ac:dyDescent="0.2">
      <c r="A222" s="2116" t="s">
        <v>4689</v>
      </c>
      <c r="B222" s="2117" t="s">
        <v>4690</v>
      </c>
      <c r="C222" s="2138">
        <f>VLOOKUP(A222,'2012 - TB'!$A$1:$H$733,4,FALSE)</f>
        <v>135950096</v>
      </c>
      <c r="D222" s="2138">
        <f>VLOOKUP(A222,'2012 - TB'!$A$3:$H$733,5,FALSE)</f>
        <v>0</v>
      </c>
      <c r="E222" s="2138">
        <f>VLOOKUP(A222,'2012 - TB'!$A$3:$H$733,6,FALSE)</f>
        <v>0</v>
      </c>
      <c r="F222" s="2747">
        <f>VLOOKUP(A222,'2012 - TB'!$A$3:$I$733,9,FALSE)</f>
        <v>135950096</v>
      </c>
      <c r="G222" s="2118">
        <v>0</v>
      </c>
      <c r="H222" s="2279">
        <v>0</v>
      </c>
      <c r="I222" s="2119" t="s">
        <v>7463</v>
      </c>
    </row>
    <row r="223" spans="1:9" s="2024" customFormat="1" x14ac:dyDescent="0.2">
      <c r="A223" s="2116" t="s">
        <v>4691</v>
      </c>
      <c r="B223" s="2117" t="s">
        <v>4690</v>
      </c>
      <c r="C223" s="2138">
        <f>VLOOKUP(A223,'2012 - TB'!$A$1:$H$733,4,FALSE)</f>
        <v>-78103108</v>
      </c>
      <c r="D223" s="2138">
        <f>VLOOKUP(A223,'2012 - TB'!$A$3:$H$733,5,FALSE)</f>
        <v>0</v>
      </c>
      <c r="E223" s="2138">
        <f>VLOOKUP(A223,'2012 - TB'!$A$3:$H$733,6,FALSE)</f>
        <v>-4433078.53</v>
      </c>
      <c r="F223" s="2138">
        <f>VLOOKUP(A223,'2012 - TB'!$A$3:$I$733,9,FALSE)</f>
        <v>-82536186.530000001</v>
      </c>
      <c r="G223" s="2118">
        <v>0</v>
      </c>
      <c r="H223" s="2279">
        <v>0</v>
      </c>
      <c r="I223" s="2119" t="s">
        <v>7464</v>
      </c>
    </row>
    <row r="224" spans="1:9" s="2024" customFormat="1" x14ac:dyDescent="0.2">
      <c r="A224" s="2116" t="s">
        <v>4692</v>
      </c>
      <c r="B224" s="2117" t="s">
        <v>4693</v>
      </c>
      <c r="C224" s="2138">
        <f>VLOOKUP(A224,'2012 - TB'!$A$1:$H$733,4,FALSE)</f>
        <v>130873296</v>
      </c>
      <c r="D224" s="2138">
        <f>VLOOKUP(A224,'2012 - TB'!$A$3:$H$733,5,FALSE)</f>
        <v>0</v>
      </c>
      <c r="E224" s="2138">
        <f>VLOOKUP(A224,'2012 - TB'!$A$3:$H$733,6,FALSE)</f>
        <v>0</v>
      </c>
      <c r="F224" s="2747">
        <f>VLOOKUP(A224,'2012 - TB'!$A$3:$I$733,9,FALSE)</f>
        <v>130873296</v>
      </c>
      <c r="G224" s="2118">
        <v>0</v>
      </c>
      <c r="H224" s="2279">
        <v>0</v>
      </c>
      <c r="I224" s="2119" t="s">
        <v>7461</v>
      </c>
    </row>
    <row r="225" spans="1:9" s="2024" customFormat="1" x14ac:dyDescent="0.2">
      <c r="A225" s="2116" t="s">
        <v>4694</v>
      </c>
      <c r="B225" s="2117" t="s">
        <v>4693</v>
      </c>
      <c r="C225" s="2138">
        <f>VLOOKUP(A225,'2012 - TB'!$A$1:$H$733,4,FALSE)</f>
        <v>-78695245</v>
      </c>
      <c r="D225" s="2138">
        <f>VLOOKUP(A225,'2012 - TB'!$A$3:$H$733,5,FALSE)</f>
        <v>0</v>
      </c>
      <c r="E225" s="2138">
        <f>VLOOKUP(A225,'2012 - TB'!$A$3:$H$733,6,FALSE)</f>
        <v>-3223854.72</v>
      </c>
      <c r="F225" s="2138">
        <f>VLOOKUP(A225,'2012 - TB'!$A$3:$I$733,9,FALSE)</f>
        <v>-81919099.719999999</v>
      </c>
      <c r="G225" s="2118">
        <v>0</v>
      </c>
      <c r="H225" s="2279">
        <v>0</v>
      </c>
      <c r="I225" s="2119" t="s">
        <v>7462</v>
      </c>
    </row>
    <row r="226" spans="1:9" s="2024" customFormat="1" x14ac:dyDescent="0.2">
      <c r="A226" s="2116" t="s">
        <v>4695</v>
      </c>
      <c r="B226" s="2117" t="s">
        <v>4696</v>
      </c>
      <c r="C226" s="2138">
        <f>VLOOKUP(A226,'2012 - TB'!$A$1:$H$733,4,FALSE)</f>
        <v>0</v>
      </c>
      <c r="D226" s="2138">
        <f>VLOOKUP(A226,'2012 - TB'!$A$3:$H$733,5,FALSE)</f>
        <v>0</v>
      </c>
      <c r="E226" s="2138">
        <f>VLOOKUP(A226,'2012 - TB'!$A$3:$H$733,6,FALSE)</f>
        <v>0</v>
      </c>
      <c r="F226" s="2138">
        <f>VLOOKUP(A226,'2012 - TB'!$A$3:$I$733,9,FALSE)</f>
        <v>0</v>
      </c>
      <c r="G226" s="2118">
        <v>0</v>
      </c>
      <c r="H226" s="2279">
        <v>0</v>
      </c>
      <c r="I226" s="2119" t="s">
        <v>5966</v>
      </c>
    </row>
    <row r="227" spans="1:9" s="2024" customFormat="1" x14ac:dyDescent="0.2">
      <c r="A227" s="2116" t="s">
        <v>4697</v>
      </c>
      <c r="B227" s="2117" t="s">
        <v>4696</v>
      </c>
      <c r="C227" s="2138">
        <v>0</v>
      </c>
      <c r="D227" s="2138">
        <v>0</v>
      </c>
      <c r="E227" s="2138">
        <v>0</v>
      </c>
      <c r="F227" s="2138">
        <v>0</v>
      </c>
      <c r="G227" s="2118">
        <v>0</v>
      </c>
      <c r="H227" s="2279">
        <v>0</v>
      </c>
      <c r="I227" s="2119" t="s">
        <v>5966</v>
      </c>
    </row>
    <row r="228" spans="1:9" s="2024" customFormat="1" x14ac:dyDescent="0.2">
      <c r="A228" s="2116" t="s">
        <v>4698</v>
      </c>
      <c r="B228" s="2117" t="s">
        <v>4699</v>
      </c>
      <c r="C228" s="2138">
        <f>VLOOKUP(A228,'2012 - TB'!$A$1:$H$733,4,FALSE)</f>
        <v>0</v>
      </c>
      <c r="D228" s="2138">
        <f>VLOOKUP(A228,'2012 - TB'!$A$3:$H$733,5,FALSE)</f>
        <v>0</v>
      </c>
      <c r="E228" s="2138">
        <f>VLOOKUP(A228,'2012 - TB'!$A$3:$H$733,6,FALSE)</f>
        <v>0</v>
      </c>
      <c r="F228" s="2138">
        <f>VLOOKUP(A228,'2012 - TB'!$A$3:$I$733,9,FALSE)</f>
        <v>0</v>
      </c>
      <c r="G228" s="2118">
        <v>0</v>
      </c>
      <c r="H228" s="2279">
        <v>0</v>
      </c>
      <c r="I228" s="2119" t="s">
        <v>5966</v>
      </c>
    </row>
    <row r="229" spans="1:9" s="2024" customFormat="1" x14ac:dyDescent="0.2">
      <c r="A229" s="2116" t="s">
        <v>4700</v>
      </c>
      <c r="B229" s="2117" t="s">
        <v>4699</v>
      </c>
      <c r="C229" s="2138">
        <v>0</v>
      </c>
      <c r="D229" s="2138">
        <v>0</v>
      </c>
      <c r="E229" s="2138">
        <v>0</v>
      </c>
      <c r="F229" s="2138">
        <v>0</v>
      </c>
      <c r="G229" s="2118">
        <v>0</v>
      </c>
      <c r="H229" s="2279">
        <v>0</v>
      </c>
      <c r="I229" s="2119" t="s">
        <v>5966</v>
      </c>
    </row>
    <row r="230" spans="1:9" s="2024" customFormat="1" x14ac:dyDescent="0.2">
      <c r="A230" s="2116" t="s">
        <v>4701</v>
      </c>
      <c r="B230" s="2117" t="s">
        <v>4702</v>
      </c>
      <c r="C230" s="2138">
        <f>VLOOKUP(A230,'2012 - TB'!$A$1:$H$733,4,FALSE)</f>
        <v>0</v>
      </c>
      <c r="D230" s="2138">
        <f>VLOOKUP(A230,'2012 - TB'!$A$3:$H$733,5,FALSE)</f>
        <v>0</v>
      </c>
      <c r="E230" s="2138">
        <f>VLOOKUP(A230,'2012 - TB'!$A$3:$H$733,6,FALSE)</f>
        <v>0</v>
      </c>
      <c r="F230" s="2138">
        <f>VLOOKUP(A230,'2012 - TB'!$A$3:$I$733,9,FALSE)</f>
        <v>0</v>
      </c>
      <c r="G230" s="2118">
        <v>0</v>
      </c>
      <c r="H230" s="2279">
        <v>0</v>
      </c>
      <c r="I230" s="2119" t="s">
        <v>5966</v>
      </c>
    </row>
    <row r="231" spans="1:9" s="2024" customFormat="1" x14ac:dyDescent="0.2">
      <c r="A231" s="2116" t="s">
        <v>4703</v>
      </c>
      <c r="B231" s="2117" t="s">
        <v>4702</v>
      </c>
      <c r="C231" s="2138">
        <v>0</v>
      </c>
      <c r="D231" s="2138">
        <v>0</v>
      </c>
      <c r="E231" s="2138">
        <v>0</v>
      </c>
      <c r="F231" s="2138">
        <v>0</v>
      </c>
      <c r="G231" s="2118">
        <v>0</v>
      </c>
      <c r="H231" s="2279">
        <v>0</v>
      </c>
      <c r="I231" s="2119" t="s">
        <v>5966</v>
      </c>
    </row>
    <row r="232" spans="1:9" s="2024" customFormat="1" x14ac:dyDescent="0.2">
      <c r="A232" s="2116" t="s">
        <v>4704</v>
      </c>
      <c r="B232" s="2117" t="s">
        <v>4705</v>
      </c>
      <c r="C232" s="2138">
        <f>VLOOKUP(A232,'2012 - TB'!$A$1:$H$733,4,FALSE)</f>
        <v>0</v>
      </c>
      <c r="D232" s="2138">
        <f>VLOOKUP(A232,'2012 - TB'!$A$3:$H$733,5,FALSE)</f>
        <v>0</v>
      </c>
      <c r="E232" s="2138">
        <f>VLOOKUP(A232,'2012 - TB'!$A$3:$H$733,6,FALSE)</f>
        <v>0</v>
      </c>
      <c r="F232" s="2138">
        <f>VLOOKUP(A232,'2012 - TB'!$A$3:$I$733,9,FALSE)</f>
        <v>0</v>
      </c>
      <c r="G232" s="2118">
        <v>0</v>
      </c>
      <c r="H232" s="2279">
        <v>0</v>
      </c>
      <c r="I232" s="2119" t="s">
        <v>5966</v>
      </c>
    </row>
    <row r="233" spans="1:9" s="2024" customFormat="1" x14ac:dyDescent="0.2">
      <c r="A233" s="2116" t="s">
        <v>4706</v>
      </c>
      <c r="B233" s="2117" t="s">
        <v>4705</v>
      </c>
      <c r="C233" s="2138">
        <v>0</v>
      </c>
      <c r="D233" s="2138">
        <v>0</v>
      </c>
      <c r="E233" s="2138">
        <v>0</v>
      </c>
      <c r="F233" s="2138">
        <v>0</v>
      </c>
      <c r="G233" s="2118">
        <v>0</v>
      </c>
      <c r="H233" s="2279">
        <v>0</v>
      </c>
      <c r="I233" s="2119" t="s">
        <v>5966</v>
      </c>
    </row>
    <row r="234" spans="1:9" s="2024" customFormat="1" x14ac:dyDescent="0.2">
      <c r="A234" s="2116" t="s">
        <v>4707</v>
      </c>
      <c r="B234" s="2117" t="s">
        <v>4708</v>
      </c>
      <c r="C234" s="2138">
        <f>VLOOKUP(A234,'2012 - TB'!$A$1:$H$733,4,FALSE)</f>
        <v>0</v>
      </c>
      <c r="D234" s="2138">
        <f>VLOOKUP(A234,'2012 - TB'!$A$3:$H$733,5,FALSE)</f>
        <v>0</v>
      </c>
      <c r="E234" s="2138">
        <f>VLOOKUP(A234,'2012 - TB'!$A$3:$H$733,6,FALSE)</f>
        <v>0</v>
      </c>
      <c r="F234" s="2138">
        <f>VLOOKUP(A234,'2012 - TB'!$A$3:$I$733,9,FALSE)</f>
        <v>0</v>
      </c>
      <c r="G234" s="2118">
        <v>0</v>
      </c>
      <c r="H234" s="2279">
        <v>0</v>
      </c>
      <c r="I234" s="2119" t="s">
        <v>5966</v>
      </c>
    </row>
    <row r="235" spans="1:9" s="2024" customFormat="1" x14ac:dyDescent="0.2">
      <c r="A235" s="2116" t="s">
        <v>4709</v>
      </c>
      <c r="B235" s="2117" t="s">
        <v>4708</v>
      </c>
      <c r="C235" s="2138">
        <v>0</v>
      </c>
      <c r="D235" s="2138">
        <v>0</v>
      </c>
      <c r="E235" s="2138">
        <v>0</v>
      </c>
      <c r="F235" s="2138">
        <v>0</v>
      </c>
      <c r="G235" s="2118">
        <v>0</v>
      </c>
      <c r="H235" s="2279">
        <v>0</v>
      </c>
      <c r="I235" s="2119" t="s">
        <v>5966</v>
      </c>
    </row>
    <row r="236" spans="1:9" s="2024" customFormat="1" x14ac:dyDescent="0.2">
      <c r="A236" s="2116" t="s">
        <v>4710</v>
      </c>
      <c r="B236" s="2117" t="s">
        <v>4711</v>
      </c>
      <c r="C236" s="2138">
        <f>VLOOKUP(A236,'2012 - TB'!$A$1:$H$733,4,FALSE)</f>
        <v>18341175</v>
      </c>
      <c r="D236" s="2138">
        <f>VLOOKUP(A236,'2012 - TB'!$A$3:$H$733,5,FALSE)</f>
        <v>0</v>
      </c>
      <c r="E236" s="2138">
        <f>VLOOKUP(A236,'2012 - TB'!$A$3:$H$733,6,FALSE)</f>
        <v>0</v>
      </c>
      <c r="F236" s="2748">
        <f>VLOOKUP(A236,'2012 - TB'!$A$3:$I$733,9,FALSE)</f>
        <v>18341175</v>
      </c>
      <c r="G236" s="2118">
        <v>0</v>
      </c>
      <c r="H236" s="2279">
        <v>0</v>
      </c>
      <c r="I236" s="2119" t="s">
        <v>7449</v>
      </c>
    </row>
    <row r="237" spans="1:9" s="2024" customFormat="1" x14ac:dyDescent="0.2">
      <c r="A237" s="2116" t="s">
        <v>4712</v>
      </c>
      <c r="B237" s="2117" t="s">
        <v>4711</v>
      </c>
      <c r="C237" s="2138">
        <f>VLOOKUP(A237,'2012 - TB'!$A$1:$H$733,4,FALSE)</f>
        <v>-6895363</v>
      </c>
      <c r="D237" s="2138">
        <f>VLOOKUP(A237,'2012 - TB'!$A$3:$H$733,5,FALSE)</f>
        <v>0</v>
      </c>
      <c r="E237" s="2138">
        <f>VLOOKUP(A237,'2012 - TB'!$A$3:$H$733,6,FALSE)</f>
        <v>-285501.53000000003</v>
      </c>
      <c r="F237" s="2138">
        <f>VLOOKUP(A237,'2012 - TB'!$A$3:$I$733,9,FALSE)</f>
        <v>-7180864.5300000003</v>
      </c>
      <c r="G237" s="2118">
        <v>0</v>
      </c>
      <c r="H237" s="2279">
        <v>0</v>
      </c>
      <c r="I237" s="2119" t="s">
        <v>7450</v>
      </c>
    </row>
    <row r="238" spans="1:9" s="2024" customFormat="1" x14ac:dyDescent="0.2">
      <c r="A238" s="2116" t="s">
        <v>4713</v>
      </c>
      <c r="B238" s="2117" t="s">
        <v>4711</v>
      </c>
      <c r="C238" s="2138">
        <f>VLOOKUP(A238,'2012 - TB'!$A$1:$H$733,4,FALSE)</f>
        <v>534123.09</v>
      </c>
      <c r="D238" s="2138">
        <f>VLOOKUP(A238,'2012 - TB'!$A$3:$H$733,5,FALSE)</f>
        <v>0</v>
      </c>
      <c r="E238" s="2138">
        <f>VLOOKUP(A238,'2012 - TB'!$A$3:$H$733,6,FALSE)</f>
        <v>0</v>
      </c>
      <c r="F238" s="2744">
        <f>VLOOKUP(A238,'2012 - TB'!$A$3:$I$733,9,FALSE)</f>
        <v>534123.09</v>
      </c>
      <c r="G238" s="2118">
        <v>0</v>
      </c>
      <c r="H238" s="2279">
        <v>0</v>
      </c>
      <c r="I238" s="2119" t="s">
        <v>733</v>
      </c>
    </row>
    <row r="239" spans="1:9" s="2024" customFormat="1" x14ac:dyDescent="0.2">
      <c r="A239" s="2116" t="s">
        <v>4714</v>
      </c>
      <c r="B239" s="2117" t="s">
        <v>4711</v>
      </c>
      <c r="C239" s="2138">
        <v>0</v>
      </c>
      <c r="D239" s="2138">
        <v>0</v>
      </c>
      <c r="E239" s="2138">
        <v>0</v>
      </c>
      <c r="F239" s="2138">
        <v>0</v>
      </c>
      <c r="G239" s="2118">
        <v>0</v>
      </c>
      <c r="H239" s="2279">
        <v>0</v>
      </c>
      <c r="I239" s="2119" t="s">
        <v>7522</v>
      </c>
    </row>
    <row r="240" spans="1:9" s="2024" customFormat="1" x14ac:dyDescent="0.2">
      <c r="A240" s="2116" t="s">
        <v>4715</v>
      </c>
      <c r="B240" s="2117" t="s">
        <v>4711</v>
      </c>
      <c r="C240" s="2138">
        <f>VLOOKUP(A240,'2012 - TB'!$A$1:$H$733,4,FALSE)</f>
        <v>4215670</v>
      </c>
      <c r="D240" s="2138">
        <f>VLOOKUP(A240,'2012 - TB'!$A$3:$H$733,5,FALSE)</f>
        <v>40592000</v>
      </c>
      <c r="E240" s="2138">
        <f>VLOOKUP(A240,'2012 - TB'!$A$3:$H$733,6,FALSE)</f>
        <v>-40592000</v>
      </c>
      <c r="F240" s="2744">
        <f>VLOOKUP(A240,'2012 - TB'!$A$3:$I$733,9,FALSE)</f>
        <v>4215670</v>
      </c>
      <c r="G240" s="2118">
        <v>0</v>
      </c>
      <c r="H240" s="2279">
        <v>0</v>
      </c>
      <c r="I240" s="2119" t="s">
        <v>7522</v>
      </c>
    </row>
    <row r="241" spans="1:9" s="2024" customFormat="1" x14ac:dyDescent="0.2">
      <c r="A241" s="2116" t="s">
        <v>4716</v>
      </c>
      <c r="B241" s="2117" t="s">
        <v>4711</v>
      </c>
      <c r="C241" s="2138">
        <v>0</v>
      </c>
      <c r="D241" s="2138">
        <v>0</v>
      </c>
      <c r="E241" s="2138">
        <v>0</v>
      </c>
      <c r="F241" s="2138">
        <v>0</v>
      </c>
      <c r="G241" s="2118">
        <v>0</v>
      </c>
      <c r="H241" s="2279">
        <v>0</v>
      </c>
      <c r="I241" s="2119" t="s">
        <v>5966</v>
      </c>
    </row>
    <row r="242" spans="1:9" s="2024" customFormat="1" x14ac:dyDescent="0.2">
      <c r="A242" s="2116" t="s">
        <v>4717</v>
      </c>
      <c r="B242" s="2117" t="s">
        <v>4711</v>
      </c>
      <c r="C242" s="2138">
        <v>0</v>
      </c>
      <c r="D242" s="2138">
        <v>0</v>
      </c>
      <c r="E242" s="2138">
        <v>0</v>
      </c>
      <c r="F242" s="2138">
        <v>0</v>
      </c>
      <c r="G242" s="2118">
        <v>0</v>
      </c>
      <c r="H242" s="2279">
        <v>0</v>
      </c>
      <c r="I242" s="2119" t="s">
        <v>5966</v>
      </c>
    </row>
    <row r="243" spans="1:9" s="2024" customFormat="1" x14ac:dyDescent="0.2">
      <c r="A243" s="2116" t="s">
        <v>4718</v>
      </c>
      <c r="B243" s="2117" t="s">
        <v>4711</v>
      </c>
      <c r="C243" s="2138">
        <v>0</v>
      </c>
      <c r="D243" s="2138">
        <v>0</v>
      </c>
      <c r="E243" s="2138">
        <v>0</v>
      </c>
      <c r="F243" s="2138">
        <v>0</v>
      </c>
      <c r="G243" s="2118">
        <v>0</v>
      </c>
      <c r="H243" s="2279">
        <v>0</v>
      </c>
      <c r="I243" s="2119" t="s">
        <v>5966</v>
      </c>
    </row>
    <row r="244" spans="1:9" s="2024" customFormat="1" x14ac:dyDescent="0.2">
      <c r="A244" s="2116" t="s">
        <v>4719</v>
      </c>
      <c r="B244" s="2117" t="s">
        <v>4711</v>
      </c>
      <c r="C244" s="2138">
        <v>0</v>
      </c>
      <c r="D244" s="2138">
        <v>0</v>
      </c>
      <c r="E244" s="2138">
        <v>0</v>
      </c>
      <c r="F244" s="2138">
        <v>0</v>
      </c>
      <c r="G244" s="2118">
        <v>0</v>
      </c>
      <c r="H244" s="2279">
        <v>0</v>
      </c>
      <c r="I244" s="2119" t="s">
        <v>5966</v>
      </c>
    </row>
    <row r="245" spans="1:9" s="2024" customFormat="1" x14ac:dyDescent="0.2">
      <c r="A245" s="2116" t="s">
        <v>4720</v>
      </c>
      <c r="B245" s="2117" t="s">
        <v>4711</v>
      </c>
      <c r="C245" s="2138">
        <v>0</v>
      </c>
      <c r="D245" s="2138">
        <v>0</v>
      </c>
      <c r="E245" s="2138">
        <v>0</v>
      </c>
      <c r="F245" s="2138">
        <v>0</v>
      </c>
      <c r="G245" s="2118">
        <v>0</v>
      </c>
      <c r="H245" s="2279">
        <v>0</v>
      </c>
      <c r="I245" s="2119" t="s">
        <v>5966</v>
      </c>
    </row>
    <row r="246" spans="1:9" s="2024" customFormat="1" x14ac:dyDescent="0.2">
      <c r="A246" s="2116" t="s">
        <v>4721</v>
      </c>
      <c r="B246" s="2117" t="s">
        <v>4711</v>
      </c>
      <c r="C246" s="2138">
        <v>0</v>
      </c>
      <c r="D246" s="2138">
        <v>0</v>
      </c>
      <c r="E246" s="2138">
        <v>0</v>
      </c>
      <c r="F246" s="2138">
        <v>0</v>
      </c>
      <c r="G246" s="2118">
        <v>0</v>
      </c>
      <c r="H246" s="2279">
        <v>0</v>
      </c>
      <c r="I246" s="2119" t="s">
        <v>5966</v>
      </c>
    </row>
    <row r="247" spans="1:9" s="2024" customFormat="1" x14ac:dyDescent="0.2">
      <c r="A247" s="2116" t="s">
        <v>4722</v>
      </c>
      <c r="B247" s="2117" t="s">
        <v>4711</v>
      </c>
      <c r="C247" s="2138">
        <v>0</v>
      </c>
      <c r="D247" s="2138">
        <v>0</v>
      </c>
      <c r="E247" s="2138">
        <v>0</v>
      </c>
      <c r="F247" s="2138">
        <v>0</v>
      </c>
      <c r="G247" s="2118">
        <v>0</v>
      </c>
      <c r="H247" s="2279">
        <v>0</v>
      </c>
      <c r="I247" s="2119" t="s">
        <v>5966</v>
      </c>
    </row>
    <row r="248" spans="1:9" s="2024" customFormat="1" x14ac:dyDescent="0.2">
      <c r="A248" s="2116" t="s">
        <v>4723</v>
      </c>
      <c r="B248" s="2117" t="s">
        <v>4711</v>
      </c>
      <c r="C248" s="2138">
        <v>0</v>
      </c>
      <c r="D248" s="2138">
        <v>0</v>
      </c>
      <c r="E248" s="2138">
        <v>0</v>
      </c>
      <c r="F248" s="2138">
        <v>0</v>
      </c>
      <c r="G248" s="2118">
        <v>0</v>
      </c>
      <c r="H248" s="2279">
        <v>0</v>
      </c>
      <c r="I248" s="2119" t="s">
        <v>5966</v>
      </c>
    </row>
    <row r="249" spans="1:9" s="2024" customFormat="1" x14ac:dyDescent="0.2">
      <c r="A249" s="2116" t="s">
        <v>4724</v>
      </c>
      <c r="B249" s="2117" t="s">
        <v>4711</v>
      </c>
      <c r="C249" s="2138">
        <v>0</v>
      </c>
      <c r="D249" s="2138">
        <v>0</v>
      </c>
      <c r="E249" s="2138">
        <v>0</v>
      </c>
      <c r="F249" s="2138">
        <v>0</v>
      </c>
      <c r="G249" s="2118">
        <v>0</v>
      </c>
      <c r="H249" s="2279">
        <v>0</v>
      </c>
      <c r="I249" s="2119" t="s">
        <v>5966</v>
      </c>
    </row>
    <row r="250" spans="1:9" s="2024" customFormat="1" x14ac:dyDescent="0.2">
      <c r="A250" s="2116" t="s">
        <v>4725</v>
      </c>
      <c r="B250" s="2117" t="s">
        <v>4711</v>
      </c>
      <c r="C250" s="2138">
        <v>0</v>
      </c>
      <c r="D250" s="2138">
        <v>0</v>
      </c>
      <c r="E250" s="2138">
        <v>0</v>
      </c>
      <c r="F250" s="2138">
        <v>0</v>
      </c>
      <c r="G250" s="2118">
        <v>0</v>
      </c>
      <c r="H250" s="2279">
        <v>0</v>
      </c>
      <c r="I250" s="2119" t="s">
        <v>5966</v>
      </c>
    </row>
    <row r="251" spans="1:9" s="2024" customFormat="1" x14ac:dyDescent="0.2">
      <c r="A251" s="2116" t="s">
        <v>4726</v>
      </c>
      <c r="B251" s="2117" t="s">
        <v>4711</v>
      </c>
      <c r="C251" s="2138">
        <v>0</v>
      </c>
      <c r="D251" s="2138">
        <v>0</v>
      </c>
      <c r="E251" s="2138">
        <v>0</v>
      </c>
      <c r="F251" s="2138">
        <v>0</v>
      </c>
      <c r="G251" s="2118">
        <v>0</v>
      </c>
      <c r="H251" s="2279">
        <v>0</v>
      </c>
      <c r="I251" s="2119" t="s">
        <v>5966</v>
      </c>
    </row>
    <row r="252" spans="1:9" s="2024" customFormat="1" x14ac:dyDescent="0.2">
      <c r="A252" s="2116" t="s">
        <v>4727</v>
      </c>
      <c r="B252" s="2117" t="s">
        <v>4711</v>
      </c>
      <c r="C252" s="2138">
        <v>0</v>
      </c>
      <c r="D252" s="2138">
        <v>0</v>
      </c>
      <c r="E252" s="2138">
        <v>0</v>
      </c>
      <c r="F252" s="2138">
        <v>0</v>
      </c>
      <c r="G252" s="2118">
        <v>0</v>
      </c>
      <c r="H252" s="2279">
        <v>0</v>
      </c>
      <c r="I252" s="2119" t="s">
        <v>5966</v>
      </c>
    </row>
    <row r="253" spans="1:9" s="2024" customFormat="1" x14ac:dyDescent="0.2">
      <c r="A253" s="2116" t="s">
        <v>4728</v>
      </c>
      <c r="B253" s="2117" t="s">
        <v>4711</v>
      </c>
      <c r="C253" s="2138">
        <v>0</v>
      </c>
      <c r="D253" s="2138">
        <v>0</v>
      </c>
      <c r="E253" s="2138">
        <v>0</v>
      </c>
      <c r="F253" s="2138">
        <v>0</v>
      </c>
      <c r="G253" s="2118">
        <v>0</v>
      </c>
      <c r="H253" s="2279">
        <v>0</v>
      </c>
      <c r="I253" s="2119" t="s">
        <v>5966</v>
      </c>
    </row>
    <row r="254" spans="1:9" s="2024" customFormat="1" x14ac:dyDescent="0.2">
      <c r="A254" s="2116" t="s">
        <v>4729</v>
      </c>
      <c r="B254" s="2117" t="s">
        <v>4711</v>
      </c>
      <c r="C254" s="2138">
        <v>0</v>
      </c>
      <c r="D254" s="2138">
        <v>0</v>
      </c>
      <c r="E254" s="2138">
        <v>0</v>
      </c>
      <c r="F254" s="2138">
        <v>0</v>
      </c>
      <c r="G254" s="2118">
        <v>0</v>
      </c>
      <c r="H254" s="2279">
        <v>0</v>
      </c>
      <c r="I254" s="2119" t="s">
        <v>5966</v>
      </c>
    </row>
    <row r="255" spans="1:9" s="2024" customFormat="1" x14ac:dyDescent="0.2">
      <c r="A255" s="2116" t="s">
        <v>4730</v>
      </c>
      <c r="B255" s="2117" t="s">
        <v>4711</v>
      </c>
      <c r="C255" s="2138">
        <v>0</v>
      </c>
      <c r="D255" s="2138">
        <v>0</v>
      </c>
      <c r="E255" s="2138">
        <v>0</v>
      </c>
      <c r="F255" s="2138">
        <v>0</v>
      </c>
      <c r="G255" s="2118">
        <v>0</v>
      </c>
      <c r="H255" s="2279">
        <v>0</v>
      </c>
      <c r="I255" s="2119" t="s">
        <v>5966</v>
      </c>
    </row>
    <row r="256" spans="1:9" s="2024" customFormat="1" x14ac:dyDescent="0.2">
      <c r="A256" s="2116" t="s">
        <v>4731</v>
      </c>
      <c r="B256" s="2117" t="s">
        <v>4711</v>
      </c>
      <c r="C256" s="2138">
        <v>0</v>
      </c>
      <c r="D256" s="2138">
        <v>0</v>
      </c>
      <c r="E256" s="2138">
        <v>0</v>
      </c>
      <c r="F256" s="2138">
        <v>0</v>
      </c>
      <c r="G256" s="2118">
        <v>0</v>
      </c>
      <c r="H256" s="2279">
        <v>0</v>
      </c>
      <c r="I256" s="2119" t="s">
        <v>5966</v>
      </c>
    </row>
    <row r="257" spans="1:9" s="2024" customFormat="1" x14ac:dyDescent="0.2">
      <c r="A257" s="2116" t="s">
        <v>4732</v>
      </c>
      <c r="B257" s="2117" t="s">
        <v>4711</v>
      </c>
      <c r="C257" s="2138">
        <v>0</v>
      </c>
      <c r="D257" s="2138">
        <v>0</v>
      </c>
      <c r="E257" s="2138">
        <v>0</v>
      </c>
      <c r="F257" s="2138">
        <v>0</v>
      </c>
      <c r="G257" s="2118">
        <v>0</v>
      </c>
      <c r="H257" s="2279">
        <v>0</v>
      </c>
      <c r="I257" s="2119" t="s">
        <v>5966</v>
      </c>
    </row>
    <row r="258" spans="1:9" s="2024" customFormat="1" ht="13.5" thickBot="1" x14ac:dyDescent="0.25">
      <c r="A258" s="2120" t="s">
        <v>4733</v>
      </c>
      <c r="B258" s="2121" t="s">
        <v>4711</v>
      </c>
      <c r="C258" s="2141">
        <v>0</v>
      </c>
      <c r="D258" s="2141">
        <v>0</v>
      </c>
      <c r="E258" s="2141">
        <v>0</v>
      </c>
      <c r="F258" s="2141">
        <v>0</v>
      </c>
      <c r="G258" s="2123">
        <v>0</v>
      </c>
      <c r="H258" s="2280">
        <v>0</v>
      </c>
      <c r="I258" s="2124" t="s">
        <v>5966</v>
      </c>
    </row>
    <row r="259" spans="1:9" s="2024" customFormat="1" ht="13.5" thickBot="1" x14ac:dyDescent="0.25">
      <c r="C259" s="2144">
        <f t="shared" ref="C259:H259" si="14">SUM(C170:C258)</f>
        <v>314202711.60999995</v>
      </c>
      <c r="D259" s="2144">
        <f t="shared" si="14"/>
        <v>96691654.969999999</v>
      </c>
      <c r="E259" s="2144">
        <f t="shared" si="14"/>
        <v>-98093236.640000015</v>
      </c>
      <c r="F259" s="2144">
        <f t="shared" si="14"/>
        <v>312801129.94</v>
      </c>
      <c r="G259" s="2130">
        <f t="shared" si="14"/>
        <v>0</v>
      </c>
      <c r="H259" s="2130">
        <f t="shared" si="14"/>
        <v>0</v>
      </c>
      <c r="I259" s="2026"/>
    </row>
    <row r="260" spans="1:9" s="2024" customFormat="1" ht="7.5" customHeight="1" thickTop="1" x14ac:dyDescent="0.2">
      <c r="C260" s="2074"/>
      <c r="D260" s="2074"/>
      <c r="E260" s="2074"/>
      <c r="F260" s="2074"/>
      <c r="G260" s="2025"/>
      <c r="H260" s="2025"/>
      <c r="I260" s="2026"/>
    </row>
    <row r="261" spans="1:9" s="2024" customFormat="1" x14ac:dyDescent="0.2">
      <c r="B261" s="2068" t="s">
        <v>1212</v>
      </c>
      <c r="C261" s="2073">
        <f>'Fin Pos'!L22+'Fin Pos'!L23</f>
        <v>309987042.06</v>
      </c>
      <c r="D261" s="2074"/>
      <c r="E261" s="2074"/>
      <c r="F261" s="2073">
        <f>'Fin Pos'!J22+'Fin Pos'!J23+'Fin Pos'!J11</f>
        <v>312801129.51999986</v>
      </c>
      <c r="G261" s="2025"/>
      <c r="H261" s="2025"/>
      <c r="I261" s="2026"/>
    </row>
    <row r="262" spans="1:9" s="2024" customFormat="1" ht="7.5" customHeight="1" x14ac:dyDescent="0.2">
      <c r="C262" s="2072"/>
      <c r="D262" s="2074"/>
      <c r="E262" s="2074"/>
      <c r="F262" s="2072"/>
      <c r="G262" s="2025"/>
      <c r="H262" s="2025"/>
      <c r="I262" s="2026"/>
    </row>
    <row r="263" spans="1:9" s="2024" customFormat="1" ht="13.5" thickBot="1" x14ac:dyDescent="0.25">
      <c r="B263" s="1208" t="s">
        <v>6423</v>
      </c>
      <c r="C263" s="2567">
        <f>C259-C261</f>
        <v>4215669.5499999523</v>
      </c>
      <c r="D263" s="2074"/>
      <c r="E263" s="2074"/>
      <c r="F263" s="2567">
        <f>F259-F261</f>
        <v>0.42000013589859009</v>
      </c>
      <c r="G263" s="2025"/>
      <c r="H263" s="2025"/>
      <c r="I263" s="2026"/>
    </row>
    <row r="264" spans="1:9" s="2024" customFormat="1" ht="14.25" thickTop="1" thickBot="1" x14ac:dyDescent="0.25">
      <c r="C264" s="2074"/>
      <c r="D264" s="2074"/>
      <c r="E264" s="2074"/>
      <c r="F264" s="2074"/>
      <c r="G264" s="2025"/>
      <c r="H264" s="2025"/>
      <c r="I264" s="2026"/>
    </row>
    <row r="265" spans="1:9" s="2024" customFormat="1" x14ac:dyDescent="0.2">
      <c r="A265" s="1275" t="s">
        <v>4540</v>
      </c>
      <c r="B265" s="2112" t="s">
        <v>4541</v>
      </c>
      <c r="C265" s="2140">
        <f>VLOOKUP(A265,'2012 - TB'!$A$1:$H$733,4,FALSE)</f>
        <v>-1108598.6099999999</v>
      </c>
      <c r="D265" s="2140">
        <f>VLOOKUP(A265,'2012 - TB'!$A$3:$H$733,5,FALSE)</f>
        <v>458272.44</v>
      </c>
      <c r="E265" s="2140">
        <f>VLOOKUP(A265,'2012 - TB'!$A$3:$H$733,6,FALSE)</f>
        <v>0</v>
      </c>
      <c r="F265" s="2140">
        <f>VLOOKUP(A265,'2012 - TB'!$A$3:$I$733,9,FALSE)</f>
        <v>-650326.16999999993</v>
      </c>
      <c r="G265" s="2114">
        <v>0</v>
      </c>
      <c r="H265" s="2114">
        <v>0</v>
      </c>
      <c r="I265" s="2115" t="s">
        <v>5975</v>
      </c>
    </row>
    <row r="266" spans="1:9" s="2024" customFormat="1" x14ac:dyDescent="0.2">
      <c r="A266" s="2116" t="s">
        <v>4526</v>
      </c>
      <c r="B266" s="2117" t="s">
        <v>4527</v>
      </c>
      <c r="C266" s="2138">
        <f>VLOOKUP(A266,'2012 - TB'!$A$1:$H$733,4,FALSE)</f>
        <v>-1441412.07</v>
      </c>
      <c r="D266" s="2138">
        <f>VLOOKUP(A266,'2012 - TB'!$A$3:$H$733,5,FALSE)</f>
        <v>268472.33</v>
      </c>
      <c r="E266" s="2138">
        <f>VLOOKUP(A266,'2012 - TB'!$A$3:$H$733,6,FALSE)</f>
        <v>-238769.92000000001</v>
      </c>
      <c r="F266" s="2138">
        <f>VLOOKUP(A266,'2012 - TB'!$A$3:$I$733,9,FALSE)</f>
        <v>-1411709.66</v>
      </c>
      <c r="G266" s="2118">
        <v>1369463.11</v>
      </c>
      <c r="H266" s="2118">
        <f>F266+G266</f>
        <v>-42246.549999999814</v>
      </c>
      <c r="I266" s="2119" t="s">
        <v>5974</v>
      </c>
    </row>
    <row r="267" spans="1:9" s="2024" customFormat="1" ht="13.5" thickBot="1" x14ac:dyDescent="0.25">
      <c r="A267" s="2137" t="s">
        <v>4560</v>
      </c>
      <c r="B267" s="2121" t="s">
        <v>4561</v>
      </c>
      <c r="C267" s="2141">
        <f>VLOOKUP(A267,'2012 - TB'!$A$1:$H$733,4,FALSE)</f>
        <v>-287038.65999999997</v>
      </c>
      <c r="D267" s="2141">
        <f>VLOOKUP(A267,'2012 - TB'!$A$3:$H$733,5,FALSE)</f>
        <v>287038.65999999997</v>
      </c>
      <c r="E267" s="2141">
        <f>VLOOKUP(A267,'2012 - TB'!$A$3:$H$733,6,FALSE)</f>
        <v>0</v>
      </c>
      <c r="F267" s="2141">
        <f>VLOOKUP(A267,'2012 - TB'!$A$3:$I$733,9,FALSE)</f>
        <v>0</v>
      </c>
      <c r="G267" s="2123">
        <v>0</v>
      </c>
      <c r="H267" s="2123">
        <v>0</v>
      </c>
      <c r="I267" s="2124" t="s">
        <v>5974</v>
      </c>
    </row>
    <row r="268" spans="1:9" s="2024" customFormat="1" ht="13.5" thickBot="1" x14ac:dyDescent="0.25">
      <c r="C268" s="2144">
        <f>SUM(C265:C267)</f>
        <v>-2837049.34</v>
      </c>
      <c r="D268" s="2144">
        <f t="shared" ref="D268:E268" si="15">SUM(D265:D267)</f>
        <v>1013783.4299999999</v>
      </c>
      <c r="E268" s="2144">
        <f t="shared" si="15"/>
        <v>-238769.92000000001</v>
      </c>
      <c r="F268" s="2144">
        <f>SUM(F265:F267)</f>
        <v>-2062035.8299999998</v>
      </c>
      <c r="G268" s="2130">
        <f>G265</f>
        <v>0</v>
      </c>
      <c r="H268" s="2130">
        <f>H265</f>
        <v>0</v>
      </c>
      <c r="I268" s="2026"/>
    </row>
    <row r="269" spans="1:9" s="2024" customFormat="1" ht="7.5" customHeight="1" thickTop="1" x14ac:dyDescent="0.2">
      <c r="C269" s="2074"/>
      <c r="D269" s="2074"/>
      <c r="E269" s="2074"/>
      <c r="F269" s="2074"/>
      <c r="G269" s="2025"/>
      <c r="H269" s="2025"/>
      <c r="I269" s="2026"/>
    </row>
    <row r="270" spans="1:9" s="2024" customFormat="1" x14ac:dyDescent="0.2">
      <c r="B270" s="2068" t="s">
        <v>1212</v>
      </c>
      <c r="C270" s="2073">
        <f>'Fin Pos'!L49+'Fin Pos'!L46</f>
        <v>10373708.619999999</v>
      </c>
      <c r="D270" s="2074"/>
      <c r="E270" s="2074"/>
      <c r="F270" s="2073">
        <f>SUM('Fin Pos'!J49,'Fin Pos'!J46)</f>
        <v>13711093.029999997</v>
      </c>
      <c r="G270" s="2025"/>
      <c r="H270" s="2025"/>
      <c r="I270" s="2026"/>
    </row>
    <row r="271" spans="1:9" s="2024" customFormat="1" ht="7.5" customHeight="1" x14ac:dyDescent="0.2">
      <c r="C271" s="2072"/>
      <c r="D271" s="2074"/>
      <c r="E271" s="2074"/>
      <c r="F271" s="2072"/>
      <c r="G271" s="2025"/>
      <c r="H271" s="2025"/>
      <c r="I271" s="2026"/>
    </row>
    <row r="272" spans="1:9" s="2024" customFormat="1" ht="13.5" thickBot="1" x14ac:dyDescent="0.25">
      <c r="B272" s="1208" t="s">
        <v>6423</v>
      </c>
      <c r="C272" s="2087">
        <f>C268+C270</f>
        <v>7536659.2799999993</v>
      </c>
      <c r="D272" s="2074"/>
      <c r="E272" s="2074"/>
      <c r="F272" s="2087">
        <f>F268+F270</f>
        <v>11649057.199999997</v>
      </c>
      <c r="G272" s="2025"/>
      <c r="H272" s="2025"/>
      <c r="I272" s="2099" t="s">
        <v>6448</v>
      </c>
    </row>
    <row r="273" spans="1:9" s="2024" customFormat="1" ht="14.25" thickTop="1" thickBot="1" x14ac:dyDescent="0.25">
      <c r="C273" s="2074"/>
      <c r="D273" s="2074"/>
      <c r="E273" s="2074"/>
      <c r="F273" s="2074"/>
      <c r="G273" s="2025"/>
      <c r="H273" s="2025"/>
      <c r="I273" s="2026"/>
    </row>
    <row r="274" spans="1:9" s="2024" customFormat="1" x14ac:dyDescent="0.2">
      <c r="A274" s="1275" t="s">
        <v>4524</v>
      </c>
      <c r="B274" s="2112" t="s">
        <v>4525</v>
      </c>
      <c r="C274" s="2140">
        <f>VLOOKUP(A274,'2012 - TB'!$A$1:$H$733,4,FALSE)</f>
        <v>-6198904.6399999997</v>
      </c>
      <c r="D274" s="2140">
        <f>VLOOKUP(A274,'2012 - TB'!$A$3:$H$733,5,FALSE)</f>
        <v>123492.86</v>
      </c>
      <c r="E274" s="2140">
        <f>VLOOKUP(A274,'2012 - TB'!$A$3:$H$733,6,FALSE)</f>
        <v>-4359383.6399999997</v>
      </c>
      <c r="F274" s="2140">
        <f>VLOOKUP(A274,'2012 - TB'!$A$3:$I$733,9,FALSE)</f>
        <v>-10434795.419999998</v>
      </c>
      <c r="G274" s="2114">
        <v>0</v>
      </c>
      <c r="H274" s="2114">
        <v>0</v>
      </c>
      <c r="I274" s="2115" t="s">
        <v>5974</v>
      </c>
    </row>
    <row r="275" spans="1:9" s="2024" customFormat="1" x14ac:dyDescent="0.2">
      <c r="A275" s="2116" t="s">
        <v>4528</v>
      </c>
      <c r="B275" s="2117" t="s">
        <v>4529</v>
      </c>
      <c r="C275" s="2138">
        <f>VLOOKUP(A275,'2012 - TB'!$A$1:$H$733,4,FALSE)</f>
        <v>-64927.619999999995</v>
      </c>
      <c r="D275" s="2138">
        <f>VLOOKUP(A275,'2012 - TB'!$A$3:$H$733,5,FALSE)</f>
        <v>5557.08</v>
      </c>
      <c r="E275" s="2138">
        <f>VLOOKUP(A275,'2012 - TB'!$A$3:$H$733,6,FALSE)</f>
        <v>0</v>
      </c>
      <c r="F275" s="2138">
        <f>VLOOKUP(A275,'2012 - TB'!$A$3:$I$733,9,FALSE)</f>
        <v>-59370.539999999994</v>
      </c>
      <c r="G275" s="2118">
        <v>0</v>
      </c>
      <c r="H275" s="2118">
        <v>0</v>
      </c>
      <c r="I275" s="2119" t="s">
        <v>5974</v>
      </c>
    </row>
    <row r="276" spans="1:9" s="2024" customFormat="1" x14ac:dyDescent="0.2">
      <c r="A276" s="2116" t="s">
        <v>4530</v>
      </c>
      <c r="B276" s="2117" t="s">
        <v>4529</v>
      </c>
      <c r="C276" s="2138">
        <f>VLOOKUP(A276,'2012 - TB'!$A$1:$H$733,4,FALSE)</f>
        <v>-261156.69</v>
      </c>
      <c r="D276" s="2138">
        <f>VLOOKUP(A276,'2012 - TB'!$A$3:$H$733,5,FALSE)</f>
        <v>20088.98</v>
      </c>
      <c r="E276" s="2138">
        <f>VLOOKUP(A276,'2012 - TB'!$A$3:$H$733,6,FALSE)</f>
        <v>0</v>
      </c>
      <c r="F276" s="2138">
        <f>VLOOKUP(A276,'2012 - TB'!$A$3:$I$733,9,FALSE)</f>
        <v>-241067.71</v>
      </c>
      <c r="G276" s="2118">
        <v>0</v>
      </c>
      <c r="H276" s="2118">
        <v>0</v>
      </c>
      <c r="I276" s="2119" t="s">
        <v>5974</v>
      </c>
    </row>
    <row r="277" spans="1:9" s="2024" customFormat="1" x14ac:dyDescent="0.2">
      <c r="A277" s="2116" t="s">
        <v>4531</v>
      </c>
      <c r="B277" s="2117" t="s">
        <v>4529</v>
      </c>
      <c r="C277" s="2138">
        <f>VLOOKUP(A277,'2012 - TB'!$A$1:$H$733,4,FALSE)</f>
        <v>-331257.37</v>
      </c>
      <c r="D277" s="2138">
        <f>VLOOKUP(A277,'2012 - TB'!$A$3:$H$733,5,FALSE)</f>
        <v>30269.38</v>
      </c>
      <c r="E277" s="2138">
        <f>VLOOKUP(A277,'2012 - TB'!$A$3:$H$733,6,FALSE)</f>
        <v>0</v>
      </c>
      <c r="F277" s="2138">
        <f>VLOOKUP(A277,'2012 - TB'!$A$3:$I$733,9,FALSE)</f>
        <v>-300987.99</v>
      </c>
      <c r="G277" s="2118">
        <v>0</v>
      </c>
      <c r="H277" s="2118">
        <v>0</v>
      </c>
      <c r="I277" s="2119" t="s">
        <v>5974</v>
      </c>
    </row>
    <row r="278" spans="1:9" s="2024" customFormat="1" x14ac:dyDescent="0.2">
      <c r="A278" s="2116" t="s">
        <v>4532</v>
      </c>
      <c r="B278" s="2117" t="s">
        <v>4533</v>
      </c>
      <c r="C278" s="2138">
        <f>VLOOKUP(A278,'2012 - TB'!$A$1:$H$733,4,FALSE)</f>
        <v>-330423.37</v>
      </c>
      <c r="D278" s="2138">
        <f>VLOOKUP(A278,'2012 - TB'!$A$3:$H$733,5,FALSE)</f>
        <v>31484.63</v>
      </c>
      <c r="E278" s="2138">
        <f>VLOOKUP(A278,'2012 - TB'!$A$3:$H$733,6,FALSE)</f>
        <v>0</v>
      </c>
      <c r="F278" s="2138">
        <f>VLOOKUP(A278,'2012 - TB'!$A$3:$I$733,9,FALSE)</f>
        <v>-298938.74</v>
      </c>
      <c r="G278" s="2118">
        <v>0</v>
      </c>
      <c r="H278" s="2118">
        <v>0</v>
      </c>
      <c r="I278" s="2119" t="s">
        <v>5974</v>
      </c>
    </row>
    <row r="279" spans="1:9" s="2024" customFormat="1" x14ac:dyDescent="0.2">
      <c r="A279" s="2116" t="s">
        <v>4534</v>
      </c>
      <c r="B279" s="2117" t="s">
        <v>4535</v>
      </c>
      <c r="C279" s="2138">
        <f>VLOOKUP(A279,'2012 - TB'!$A$1:$H$733,4,FALSE)</f>
        <v>0</v>
      </c>
      <c r="D279" s="2138">
        <f>VLOOKUP(A279,'2012 - TB'!$A$3:$H$733,5,FALSE)</f>
        <v>0</v>
      </c>
      <c r="E279" s="2138">
        <f>VLOOKUP(A279,'2012 - TB'!$A$3:$H$733,6,FALSE)</f>
        <v>0</v>
      </c>
      <c r="F279" s="2138">
        <f>VLOOKUP(A279,'2012 - TB'!$A$3:$I$733,9,FALSE)</f>
        <v>0</v>
      </c>
      <c r="G279" s="2118">
        <v>0</v>
      </c>
      <c r="H279" s="2118">
        <v>0</v>
      </c>
      <c r="I279" s="2119" t="s">
        <v>5974</v>
      </c>
    </row>
    <row r="280" spans="1:9" s="2024" customFormat="1" x14ac:dyDescent="0.2">
      <c r="A280" s="2116" t="s">
        <v>4536</v>
      </c>
      <c r="B280" s="2117" t="s">
        <v>4537</v>
      </c>
      <c r="C280" s="2138">
        <f>VLOOKUP(A280,'2012 - TB'!$A$1:$H$733,4,FALSE)</f>
        <v>-83040.88</v>
      </c>
      <c r="D280" s="2138">
        <f>VLOOKUP(A280,'2012 - TB'!$A$3:$H$733,5,FALSE)</f>
        <v>13847.07</v>
      </c>
      <c r="E280" s="2138">
        <f>VLOOKUP(A280,'2012 - TB'!$A$3:$H$733,6,FALSE)</f>
        <v>0</v>
      </c>
      <c r="F280" s="2138">
        <f>VLOOKUP(A280,'2012 - TB'!$A$3:$I$733,9,FALSE)</f>
        <v>-69193.81</v>
      </c>
      <c r="G280" s="2118">
        <v>0</v>
      </c>
      <c r="H280" s="2118">
        <v>0</v>
      </c>
      <c r="I280" s="2119" t="s">
        <v>5974</v>
      </c>
    </row>
    <row r="281" spans="1:9" s="2024" customFormat="1" ht="13.5" thickBot="1" x14ac:dyDescent="0.25">
      <c r="A281" s="2120" t="s">
        <v>4538</v>
      </c>
      <c r="B281" s="2121" t="s">
        <v>4539</v>
      </c>
      <c r="C281" s="2141">
        <f>VLOOKUP(A281,'2012 - TB'!$A$1:$H$733,4,FALSE)</f>
        <v>-266948.71000000002</v>
      </c>
      <c r="D281" s="2141">
        <f>VLOOKUP(A281,'2012 - TB'!$A$3:$H$733,5,FALSE)</f>
        <v>22245.72</v>
      </c>
      <c r="E281" s="2141">
        <f>VLOOKUP(A281,'2012 - TB'!$A$3:$H$733,6,FALSE)</f>
        <v>0</v>
      </c>
      <c r="F281" s="2141">
        <f>VLOOKUP(A281,'2012 - TB'!$A$3:$I$733,9,FALSE)</f>
        <v>-244702.99000000002</v>
      </c>
      <c r="G281" s="2123">
        <v>0</v>
      </c>
      <c r="H281" s="2123">
        <v>0</v>
      </c>
      <c r="I281" s="2124" t="s">
        <v>5974</v>
      </c>
    </row>
    <row r="282" spans="1:9" s="2024" customFormat="1" ht="13.5" thickBot="1" x14ac:dyDescent="0.25">
      <c r="C282" s="2144">
        <f>SUM(C274:C281)</f>
        <v>-7536659.2800000003</v>
      </c>
      <c r="D282" s="2144">
        <f t="shared" ref="D282:E282" si="16">SUM(D274:D281)</f>
        <v>246985.72000000003</v>
      </c>
      <c r="E282" s="2144">
        <f t="shared" si="16"/>
        <v>-4359383.6399999997</v>
      </c>
      <c r="F282" s="2144">
        <f>SUM(F274:F281)</f>
        <v>-11649057.199999999</v>
      </c>
      <c r="G282" s="2130">
        <f>SUM(G275:G281)</f>
        <v>0</v>
      </c>
      <c r="H282" s="2130">
        <f>SUM(H275:H281)</f>
        <v>0</v>
      </c>
      <c r="I282" s="2026"/>
    </row>
    <row r="283" spans="1:9" s="2024" customFormat="1" ht="7.5" customHeight="1" thickTop="1" x14ac:dyDescent="0.2">
      <c r="C283" s="2074"/>
      <c r="D283" s="2074"/>
      <c r="E283" s="2074"/>
      <c r="F283" s="2074"/>
      <c r="G283" s="2025"/>
      <c r="H283" s="2025"/>
      <c r="I283" s="2026"/>
    </row>
    <row r="284" spans="1:9" s="2024" customFormat="1" ht="13.5" thickBot="1" x14ac:dyDescent="0.25">
      <c r="C284" s="2098">
        <f>C272+C282</f>
        <v>0</v>
      </c>
      <c r="D284" s="2097">
        <f t="shared" ref="D284:F284" si="17">D272+D282</f>
        <v>246985.72000000003</v>
      </c>
      <c r="E284" s="2097">
        <f t="shared" si="17"/>
        <v>-4359383.6399999997</v>
      </c>
      <c r="F284" s="2098">
        <f t="shared" si="17"/>
        <v>0</v>
      </c>
      <c r="G284" s="2025"/>
      <c r="H284" s="2025"/>
      <c r="I284" s="2026"/>
    </row>
    <row r="285" spans="1:9" s="2024" customFormat="1" ht="14.25" thickTop="1" thickBot="1" x14ac:dyDescent="0.25">
      <c r="C285" s="2074"/>
      <c r="D285" s="2074"/>
      <c r="E285" s="2074"/>
      <c r="F285" s="2074"/>
      <c r="G285" s="2025"/>
      <c r="H285" s="2025"/>
      <c r="I285" s="2026"/>
    </row>
    <row r="286" spans="1:9" s="2024" customFormat="1" x14ac:dyDescent="0.2">
      <c r="A286" s="2111" t="s">
        <v>5872</v>
      </c>
      <c r="B286" s="2112" t="s">
        <v>5411</v>
      </c>
      <c r="C286" s="2140">
        <f>VLOOKUP(A286,'2012 - TB'!$A$1:$H$733,4,FALSE)</f>
        <v>83566</v>
      </c>
      <c r="D286" s="2140">
        <f>VLOOKUP(A286,'2012 - TB'!$A$3:$H$733,5,FALSE)</f>
        <v>700329.23</v>
      </c>
      <c r="E286" s="2140">
        <f>VLOOKUP(A286,'2012 - TB'!$A$3:$H$733,6,FALSE)</f>
        <v>-584159.39</v>
      </c>
      <c r="F286" s="2140">
        <f>VLOOKUP(A286,'2012 - TB'!$A$3:$I$733,9,FALSE)</f>
        <v>199735.83999999997</v>
      </c>
      <c r="G286" s="2114">
        <f>VLOOKUP(A286,'2012 Budget'!$A$18:$F$2107,4,FALSE)</f>
        <v>0</v>
      </c>
      <c r="H286" s="2114">
        <v>0</v>
      </c>
      <c r="I286" s="2115" t="s">
        <v>231</v>
      </c>
    </row>
    <row r="287" spans="1:9" s="2024" customFormat="1" ht="13.5" thickBot="1" x14ac:dyDescent="0.25">
      <c r="A287" s="2120" t="s">
        <v>5811</v>
      </c>
      <c r="B287" s="2121" t="s">
        <v>4929</v>
      </c>
      <c r="C287" s="2141">
        <f>VLOOKUP(A287,'2012 - TB'!$A$1:$H$733,4,FALSE)</f>
        <v>428338</v>
      </c>
      <c r="D287" s="2141">
        <f>VLOOKUP(A287,'2012 - TB'!$A$3:$H$733,5,FALSE)</f>
        <v>231699.81</v>
      </c>
      <c r="E287" s="2141">
        <f>VLOOKUP(A287,'2012 - TB'!$A$3:$H$733,6,FALSE)</f>
        <v>-232943.55000000002</v>
      </c>
      <c r="F287" s="2141">
        <f>VLOOKUP(A287,'2012 - TB'!$A$3:$I$733,9,FALSE)</f>
        <v>427094.26</v>
      </c>
      <c r="G287" s="2123">
        <f>VLOOKUP(A287,'2012 Budget'!$A$18:$F$2107,4,FALSE)</f>
        <v>0</v>
      </c>
      <c r="H287" s="2123">
        <v>0</v>
      </c>
      <c r="I287" s="2124" t="s">
        <v>231</v>
      </c>
    </row>
    <row r="288" spans="1:9" s="2024" customFormat="1" ht="13.5" thickBot="1" x14ac:dyDescent="0.25">
      <c r="A288" s="2117"/>
      <c r="B288" s="2117"/>
      <c r="C288" s="2144">
        <f>SUM(C286:C287)</f>
        <v>511904</v>
      </c>
      <c r="D288" s="2144">
        <f>SUM(D286:D287)</f>
        <v>932029.04</v>
      </c>
      <c r="E288" s="2144">
        <f>SUM(E286:E287)</f>
        <v>-817102.94000000006</v>
      </c>
      <c r="F288" s="2144">
        <f>SUM(F286:F287)</f>
        <v>626830.1</v>
      </c>
      <c r="G288" s="2117"/>
      <c r="H288" s="2117"/>
      <c r="I288" s="2117"/>
    </row>
    <row r="289" spans="1:9" s="2024" customFormat="1" ht="7.5" customHeight="1" thickTop="1" x14ac:dyDescent="0.2">
      <c r="A289" s="2117"/>
      <c r="B289" s="2117"/>
      <c r="C289" s="2117"/>
      <c r="D289" s="2117"/>
      <c r="E289" s="2117"/>
      <c r="F289" s="2117"/>
      <c r="G289" s="2117"/>
      <c r="H289" s="2117"/>
      <c r="I289" s="2117"/>
    </row>
    <row r="290" spans="1:9" s="2024" customFormat="1" x14ac:dyDescent="0.2">
      <c r="A290" s="2117"/>
      <c r="B290" s="2068" t="s">
        <v>1212</v>
      </c>
      <c r="C290" s="2073">
        <f>'Fin Pos'!L10</f>
        <v>511904</v>
      </c>
      <c r="D290" s="2074"/>
      <c r="E290" s="2074"/>
      <c r="F290" s="2073">
        <f>'Fin Pos'!J10</f>
        <v>626830.1</v>
      </c>
      <c r="G290" s="2117"/>
      <c r="H290" s="2117"/>
      <c r="I290" s="2117"/>
    </row>
    <row r="291" spans="1:9" s="2024" customFormat="1" ht="7.5" customHeight="1" x14ac:dyDescent="0.2">
      <c r="A291" s="2117"/>
      <c r="C291" s="2072"/>
      <c r="D291" s="2074"/>
      <c r="E291" s="2074"/>
      <c r="F291" s="2072"/>
      <c r="G291" s="2117"/>
      <c r="H291" s="2117"/>
      <c r="I291" s="2117"/>
    </row>
    <row r="292" spans="1:9" s="2024" customFormat="1" ht="13.5" thickBot="1" x14ac:dyDescent="0.25">
      <c r="A292" s="2117"/>
      <c r="B292" s="1208" t="s">
        <v>6423</v>
      </c>
      <c r="C292" s="2087">
        <f>C288-C290</f>
        <v>0</v>
      </c>
      <c r="D292" s="2074"/>
      <c r="E292" s="2074"/>
      <c r="F292" s="2087">
        <f>F288-F290</f>
        <v>0</v>
      </c>
      <c r="G292" s="2117"/>
      <c r="H292" s="2117"/>
      <c r="I292" s="2117"/>
    </row>
    <row r="293" spans="1:9" s="2024" customFormat="1" ht="14.25" thickTop="1" thickBot="1" x14ac:dyDescent="0.25">
      <c r="A293" s="2117"/>
      <c r="B293" s="2117"/>
      <c r="C293" s="2117"/>
      <c r="D293" s="2117"/>
      <c r="E293" s="2117"/>
      <c r="F293" s="2117"/>
      <c r="G293" s="2117"/>
      <c r="H293" s="2117"/>
      <c r="I293" s="2117"/>
    </row>
    <row r="294" spans="1:9" s="2024" customFormat="1" ht="13.5" thickBot="1" x14ac:dyDescent="0.25">
      <c r="A294" s="2125" t="s">
        <v>4591</v>
      </c>
      <c r="B294" s="2276" t="s">
        <v>5990</v>
      </c>
      <c r="C294" s="2563">
        <f>VLOOKUP(A294,'2012 - TB'!$A$1:$H$733,4,FALSE)</f>
        <v>-15563008.32</v>
      </c>
      <c r="D294" s="2563">
        <f>VLOOKUP(A294,'2012 - TB'!$A$3:$H$733,5,FALSE)</f>
        <v>0</v>
      </c>
      <c r="E294" s="2563">
        <f>VLOOKUP(A294,'2012 - TB'!$A$3:$H$733,6,FALSE)</f>
        <v>-1486936.5</v>
      </c>
      <c r="F294" s="2563">
        <f>VLOOKUP(A294,'2012 - TB'!$A$3:$I$733,9,FALSE)</f>
        <v>-17049944.82</v>
      </c>
      <c r="G294" s="2128">
        <v>0</v>
      </c>
      <c r="H294" s="2128">
        <v>0</v>
      </c>
      <c r="I294" s="2129" t="s">
        <v>7477</v>
      </c>
    </row>
    <row r="295" spans="1:9" s="2018" customFormat="1" ht="13.5" thickBot="1" x14ac:dyDescent="0.25">
      <c r="A295" s="2117"/>
      <c r="B295" s="2117"/>
      <c r="C295" s="2144">
        <f>SUM(C293:C294)</f>
        <v>-15563008.32</v>
      </c>
      <c r="D295" s="2144">
        <f t="shared" ref="D295:F295" si="18">SUM(D293:D294)</f>
        <v>0</v>
      </c>
      <c r="E295" s="2144">
        <f t="shared" si="18"/>
        <v>-1486936.5</v>
      </c>
      <c r="F295" s="2144">
        <f t="shared" si="18"/>
        <v>-17049944.82</v>
      </c>
      <c r="G295" s="2117"/>
      <c r="H295" s="2117"/>
      <c r="I295" s="2117"/>
    </row>
    <row r="296" spans="1:9" s="2018" customFormat="1" ht="7.5" customHeight="1" thickTop="1" x14ac:dyDescent="0.2">
      <c r="A296" s="2117"/>
      <c r="B296" s="2117"/>
      <c r="C296" s="2117"/>
      <c r="D296" s="2117"/>
      <c r="E296" s="2117"/>
      <c r="F296" s="2117"/>
      <c r="G296" s="2117"/>
      <c r="H296" s="2117"/>
      <c r="I296" s="2117"/>
    </row>
    <row r="297" spans="1:9" s="2018" customFormat="1" x14ac:dyDescent="0.2">
      <c r="A297" s="2117"/>
      <c r="B297" s="2068" t="s">
        <v>1212</v>
      </c>
      <c r="C297" s="2073">
        <f>'Fin Pos'!L51</f>
        <v>15563008.82</v>
      </c>
      <c r="D297" s="2074"/>
      <c r="E297" s="2074"/>
      <c r="F297" s="2073">
        <f>'Fin Pos'!J51</f>
        <v>17049944.82</v>
      </c>
      <c r="G297" s="2117"/>
      <c r="H297" s="2117"/>
      <c r="I297" s="2117"/>
    </row>
    <row r="298" spans="1:9" s="2018" customFormat="1" ht="7.5" customHeight="1" x14ac:dyDescent="0.2">
      <c r="A298" s="2117"/>
      <c r="B298" s="2024"/>
      <c r="C298" s="2072"/>
      <c r="D298" s="2074"/>
      <c r="E298" s="2074"/>
      <c r="F298" s="2072"/>
      <c r="G298" s="2117"/>
      <c r="H298" s="2117"/>
      <c r="I298" s="2117"/>
    </row>
    <row r="299" spans="1:9" s="2018" customFormat="1" ht="13.5" thickBot="1" x14ac:dyDescent="0.25">
      <c r="A299" s="2117"/>
      <c r="B299" s="1208" t="s">
        <v>6423</v>
      </c>
      <c r="C299" s="2087">
        <f>C295+C297</f>
        <v>0.5</v>
      </c>
      <c r="D299" s="2074"/>
      <c r="E299" s="2074"/>
      <c r="F299" s="2087">
        <f>F295+F297</f>
        <v>0</v>
      </c>
      <c r="G299" s="2117"/>
      <c r="H299" s="2117"/>
      <c r="I299" s="2117"/>
    </row>
    <row r="300" spans="1:9" s="2024" customFormat="1" ht="13.5" thickTop="1" x14ac:dyDescent="0.2">
      <c r="A300" s="2117"/>
      <c r="B300" s="1208"/>
      <c r="C300" s="2072"/>
      <c r="D300" s="2074"/>
      <c r="E300" s="2074"/>
      <c r="F300" s="2072"/>
      <c r="G300" s="2117"/>
      <c r="H300" s="2117"/>
      <c r="I300" s="2117"/>
    </row>
    <row r="301" spans="1:9" s="2018" customFormat="1" x14ac:dyDescent="0.2">
      <c r="A301" s="2018" t="s">
        <v>4516</v>
      </c>
      <c r="B301" s="2018" t="s">
        <v>4517</v>
      </c>
      <c r="C301" s="2075">
        <v>0</v>
      </c>
      <c r="D301" s="2075">
        <v>0</v>
      </c>
      <c r="E301" s="2075">
        <v>0</v>
      </c>
      <c r="F301" s="2075">
        <f>SUM(C301:E301)</f>
        <v>0</v>
      </c>
      <c r="G301" s="2019">
        <v>0</v>
      </c>
      <c r="H301" s="2019">
        <v>0</v>
      </c>
      <c r="I301" s="2017"/>
    </row>
    <row r="302" spans="1:9" s="2018" customFormat="1" x14ac:dyDescent="0.2">
      <c r="A302" s="2018" t="s">
        <v>4542</v>
      </c>
      <c r="B302" s="2018" t="s">
        <v>4525</v>
      </c>
      <c r="C302" s="2075">
        <v>0</v>
      </c>
      <c r="D302" s="2075">
        <v>0</v>
      </c>
      <c r="E302" s="2075">
        <v>0</v>
      </c>
      <c r="F302" s="2075">
        <f>SUM(C302:E302)</f>
        <v>0</v>
      </c>
      <c r="G302" s="2019">
        <v>0</v>
      </c>
      <c r="H302" s="2019">
        <v>0</v>
      </c>
      <c r="I302" s="2017"/>
    </row>
    <row r="303" spans="1:9" s="2018" customFormat="1" x14ac:dyDescent="0.2">
      <c r="A303" s="2018" t="s">
        <v>4757</v>
      </c>
      <c r="B303" s="2018" t="s">
        <v>4756</v>
      </c>
      <c r="C303" s="2075">
        <v>0</v>
      </c>
      <c r="D303" s="2075">
        <v>0</v>
      </c>
      <c r="E303" s="2075">
        <v>0</v>
      </c>
      <c r="F303" s="2075">
        <f>SUM(C303:E303)</f>
        <v>0</v>
      </c>
      <c r="G303" s="2019">
        <v>0</v>
      </c>
      <c r="H303" s="2019">
        <v>0</v>
      </c>
      <c r="I303" s="2017"/>
    </row>
    <row r="304" spans="1:9" s="2018" customFormat="1" x14ac:dyDescent="0.2">
      <c r="A304" s="2018" t="s">
        <v>4781</v>
      </c>
      <c r="B304" s="2018" t="s">
        <v>4782</v>
      </c>
      <c r="C304" s="2075">
        <v>0</v>
      </c>
      <c r="D304" s="2075">
        <v>0</v>
      </c>
      <c r="E304" s="2075">
        <v>0</v>
      </c>
      <c r="F304" s="2075">
        <f>SUM(C304:E304)</f>
        <v>0</v>
      </c>
      <c r="G304" s="2019">
        <v>0</v>
      </c>
      <c r="H304" s="2019">
        <v>0</v>
      </c>
      <c r="I304" s="2017"/>
    </row>
    <row r="305" spans="1:9" x14ac:dyDescent="0.2">
      <c r="A305" s="2018" t="s">
        <v>4783</v>
      </c>
      <c r="B305" s="2018" t="s">
        <v>4782</v>
      </c>
      <c r="C305" s="2075">
        <v>0</v>
      </c>
      <c r="D305" s="2075">
        <v>0</v>
      </c>
      <c r="E305" s="2075">
        <v>0</v>
      </c>
      <c r="F305" s="2075">
        <f>SUM(C305:E305)</f>
        <v>0</v>
      </c>
      <c r="G305" s="2019">
        <v>0</v>
      </c>
      <c r="H305" s="2019">
        <v>0</v>
      </c>
      <c r="I305" s="2017"/>
    </row>
    <row r="307" spans="1:9" x14ac:dyDescent="0.2">
      <c r="B307" s="2066"/>
    </row>
    <row r="308" spans="1:9" x14ac:dyDescent="0.2">
      <c r="B308" s="2066"/>
    </row>
    <row r="309" spans="1:9" x14ac:dyDescent="0.2">
      <c r="B309" s="2066"/>
    </row>
  </sheetData>
  <sortState ref="A171:I259">
    <sortCondition ref="B171:B259"/>
  </sortState>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8"/>
  <sheetViews>
    <sheetView zoomScaleNormal="100" workbookViewId="0">
      <pane ySplit="4" topLeftCell="A1059" activePane="bottomLeft" state="frozen"/>
      <selection pane="bottomLeft" activeCell="G1069" sqref="G1069"/>
    </sheetView>
  </sheetViews>
  <sheetFormatPr defaultRowHeight="12.75" x14ac:dyDescent="0.2"/>
  <cols>
    <col min="1" max="1" width="14.28515625" style="2009" customWidth="1"/>
    <col min="2" max="2" width="30.28515625" style="2009" customWidth="1"/>
    <col min="3" max="3" width="15.42578125" style="2021" customWidth="1"/>
    <col min="4" max="9" width="15.42578125" style="2011" customWidth="1"/>
    <col min="10" max="10" width="48.5703125" customWidth="1"/>
  </cols>
  <sheetData>
    <row r="1" spans="1:12" ht="15" x14ac:dyDescent="0.25">
      <c r="A1" s="2010" t="s">
        <v>6380</v>
      </c>
    </row>
    <row r="2" spans="1:12" ht="15" x14ac:dyDescent="0.25">
      <c r="A2" s="2010" t="s">
        <v>6379</v>
      </c>
    </row>
    <row r="3" spans="1:12" ht="15.75" thickBot="1" x14ac:dyDescent="0.3">
      <c r="A3" s="2010" t="s">
        <v>4510</v>
      </c>
      <c r="G3" s="2011">
        <f>G5+'Trial Balance - FPos'!F5</f>
        <v>-7.0000074803829193E-2</v>
      </c>
    </row>
    <row r="4" spans="1:12" ht="15.75" thickBot="1" x14ac:dyDescent="0.3">
      <c r="A4" s="2012" t="s">
        <v>174</v>
      </c>
      <c r="B4" s="2013" t="s">
        <v>7</v>
      </c>
      <c r="C4" s="2013">
        <v>2011</v>
      </c>
      <c r="D4" s="2014" t="s">
        <v>347</v>
      </c>
      <c r="E4" s="2014" t="s">
        <v>2696</v>
      </c>
      <c r="F4" s="2014" t="s">
        <v>1241</v>
      </c>
      <c r="G4" s="2014" t="s">
        <v>4511</v>
      </c>
      <c r="H4" s="2014" t="s">
        <v>4105</v>
      </c>
      <c r="I4" s="2015" t="s">
        <v>4512</v>
      </c>
    </row>
    <row r="5" spans="1:12" ht="15" x14ac:dyDescent="0.25">
      <c r="A5" s="2133"/>
      <c r="B5" s="2134" t="s">
        <v>4513</v>
      </c>
      <c r="C5" s="2135">
        <f>SUM(C15,C33,C41,C439,C451,C757,C837,C857,C867,C877,C928,C939,C946,C958,C977,C1068,C1081,C912,C920,C780,C884,C1088,C1095,C1108)</f>
        <v>14835325.109999996</v>
      </c>
      <c r="D5" s="2135">
        <f t="shared" ref="D5:H5" si="0">SUM(D15,D33,D41,D439,D451,D757,D837,D857,D867,D877,D928,D939,D946,D958,D977,D1068,D1081,D912,D920,D780,D884,D1088,D1095,D1108)</f>
        <v>0</v>
      </c>
      <c r="E5" s="2135">
        <f t="shared" si="0"/>
        <v>309861933.3900001</v>
      </c>
      <c r="F5" s="2135">
        <f t="shared" si="0"/>
        <v>-294639777.64000005</v>
      </c>
      <c r="G5" s="2135">
        <f t="shared" si="0"/>
        <v>17040531.700000037</v>
      </c>
      <c r="H5" s="2135">
        <f t="shared" si="0"/>
        <v>-4772320.4599999608</v>
      </c>
      <c r="I5" s="2135">
        <f>SUM(I15,I33,I41,I439,I451,I757,I837,I857,I867,I877,I928,I939,I946,I958,I977,I1068,I1081,I912,I920,I780,I884,I1088,I1095,I1108)</f>
        <v>-20439128.169999979</v>
      </c>
    </row>
    <row r="6" spans="1:12" s="2024" customFormat="1" ht="13.5" thickBot="1" x14ac:dyDescent="0.25">
      <c r="C6" s="2042"/>
      <c r="D6" s="2025"/>
      <c r="E6" s="2025"/>
      <c r="F6" s="2025"/>
      <c r="G6" s="2025"/>
      <c r="H6" s="2025"/>
      <c r="I6" s="2025"/>
      <c r="J6" s="2026"/>
    </row>
    <row r="7" spans="1:12" s="2024" customFormat="1" x14ac:dyDescent="0.2">
      <c r="A7" s="1275" t="s">
        <v>5905</v>
      </c>
      <c r="B7" s="2112" t="s">
        <v>5906</v>
      </c>
      <c r="C7" s="2113">
        <f>VLOOKUP(A7,'2011 - TB'!$A$3:$B$971,2,FALSE)</f>
        <v>16009593.859999999</v>
      </c>
      <c r="D7" s="2114">
        <f>VLOOKUP(A7,'2012 - TB'!$A$3:$H$733,4,FALSE)</f>
        <v>0</v>
      </c>
      <c r="E7" s="2114">
        <f>VLOOKUP(A7,'2012 - TB'!$A$3:$H$733,5,FALSE)</f>
        <v>1982915.79</v>
      </c>
      <c r="F7" s="2114">
        <f>VLOOKUP(A7,'2012 - TB'!$A$3:$H$733,6,FALSE)</f>
        <v>-1982915.79</v>
      </c>
      <c r="G7" s="2114">
        <f t="shared" ref="G7:G14" si="1">E7+F7</f>
        <v>0</v>
      </c>
      <c r="H7" s="2640">
        <f>SUMIF('Original Budget'!$A$1:$A$691,'Trial Balance - FPer'!A7,'Original Budget'!$C$1:$C$691)</f>
        <v>0</v>
      </c>
      <c r="I7" s="2640">
        <f>VLOOKUP(A7,'2012 - TB'!$A$3:$C$733,3,FALSE)</f>
        <v>1400000</v>
      </c>
      <c r="J7" s="2115" t="s">
        <v>420</v>
      </c>
      <c r="L7" s="2024" t="str">
        <f>VLOOKUP(A7,'2012 Budget'!$A$18:$B$2152,2,FALSE)</f>
        <v>Bulk Electricit</v>
      </c>
    </row>
    <row r="8" spans="1:12" s="2024" customFormat="1" x14ac:dyDescent="0.2">
      <c r="A8" s="2116" t="s">
        <v>5845</v>
      </c>
      <c r="B8" s="2117" t="s">
        <v>5846</v>
      </c>
      <c r="C8" s="2109">
        <f>VLOOKUP(A8,'2011 - TB'!$A$3:$B$971,2,FALSE)</f>
        <v>0</v>
      </c>
      <c r="D8" s="2118">
        <f>VLOOKUP(A8,'2012 - TB'!$A$3:$H$733,4,FALSE)</f>
        <v>0</v>
      </c>
      <c r="E8" s="2118">
        <f>VLOOKUP(A8,'2012 - TB'!$A$3:$H$733,5,FALSE)</f>
        <v>2315.79</v>
      </c>
      <c r="F8" s="2118">
        <f>VLOOKUP(A8,'2012 - TB'!$A$3:$H$733,6,FALSE)</f>
        <v>-2315.79</v>
      </c>
      <c r="G8" s="2118">
        <f t="shared" si="1"/>
        <v>0</v>
      </c>
      <c r="H8" s="2640">
        <f>SUMIF('Original Budget'!$A$1:$A$691,'Trial Balance - FPer'!A8,'Original Budget'!$C$1:$C$691)</f>
        <v>0</v>
      </c>
      <c r="I8" s="2640">
        <f>VLOOKUP(A8,'2012 - TB'!$A$3:$C$733,3,FALSE)</f>
        <v>2315.79</v>
      </c>
      <c r="J8" s="2119" t="s">
        <v>420</v>
      </c>
      <c r="L8" s="2024" t="str">
        <f>VLOOKUP(A8,'2012 Budget'!$A$18:$B$2152,2,FALSE)</f>
        <v>Bulk Water Purc</v>
      </c>
    </row>
    <row r="9" spans="1:12" s="2024" customFormat="1" x14ac:dyDescent="0.2">
      <c r="A9" s="2116" t="s">
        <v>5408</v>
      </c>
      <c r="B9" s="2117" t="s">
        <v>5409</v>
      </c>
      <c r="C9" s="2109">
        <f>VLOOKUP(A9,'2011 - TB'!$A$3:$B$971,2,FALSE)</f>
        <v>7901.79</v>
      </c>
      <c r="D9" s="2118">
        <f>VLOOKUP(A9,'2012 - TB'!$A$3:$H$733,4,FALSE)</f>
        <v>0</v>
      </c>
      <c r="E9" s="2118">
        <f>VLOOKUP(A9,'2012 - TB'!$A$3:$H$733,5,FALSE)</f>
        <v>9385.99</v>
      </c>
      <c r="F9" s="2118">
        <f>VLOOKUP(A9,'2012 - TB'!$A$3:$H$733,6,FALSE)</f>
        <v>-9385.99</v>
      </c>
      <c r="G9" s="2118">
        <f t="shared" si="1"/>
        <v>0</v>
      </c>
      <c r="H9" s="2640">
        <f>SUMIF('Original Budget'!$A$1:$A$691,'Trial Balance - FPer'!A9,'Original Budget'!$C$1:$C$691)</f>
        <v>13493.39</v>
      </c>
      <c r="I9" s="2640">
        <f>VLOOKUP(A9,'2012 - TB'!$A$3:$C$733,3,FALSE)</f>
        <v>13493.39</v>
      </c>
      <c r="J9" s="2119" t="s">
        <v>420</v>
      </c>
      <c r="L9" s="2024" t="str">
        <f>VLOOKUP(A9,'2012 Budget'!$A$18:$B$2152,2,FALSE)</f>
        <v>Electricity Pur</v>
      </c>
    </row>
    <row r="10" spans="1:12" s="2024" customFormat="1" x14ac:dyDescent="0.2">
      <c r="A10" s="2116" t="s">
        <v>5622</v>
      </c>
      <c r="B10" s="2117" t="s">
        <v>5409</v>
      </c>
      <c r="C10" s="2109" t="str">
        <f>VLOOKUP(A10,'2011 - TB'!$A$3:$B$971,2,FALSE)</f>
        <v xml:space="preserve">                               -  </v>
      </c>
      <c r="D10" s="2118">
        <v>0</v>
      </c>
      <c r="E10" s="2118">
        <v>0</v>
      </c>
      <c r="F10" s="2118">
        <v>0</v>
      </c>
      <c r="G10" s="2118">
        <f t="shared" si="1"/>
        <v>0</v>
      </c>
      <c r="H10" s="2640">
        <f>SUMIF('Original Budget'!$A$1:$A$691,'Trial Balance - FPer'!A10,'Original Budget'!$C$1:$C$691)</f>
        <v>23585.67</v>
      </c>
      <c r="I10" s="2640"/>
      <c r="J10" s="2119" t="s">
        <v>420</v>
      </c>
      <c r="L10" s="2024" t="str">
        <f>VLOOKUP(A10,'2012 Budget'!$A$18:$B$2152,2,FALSE)</f>
        <v>Electricity Pur</v>
      </c>
    </row>
    <row r="11" spans="1:12" s="2024" customFormat="1" x14ac:dyDescent="0.2">
      <c r="A11" s="2116" t="s">
        <v>5701</v>
      </c>
      <c r="B11" s="2117" t="s">
        <v>5409</v>
      </c>
      <c r="C11" s="2109" t="str">
        <f>VLOOKUP(A11,'2011 - TB'!$A$3:$B$971,2,FALSE)</f>
        <v xml:space="preserve">                               -  </v>
      </c>
      <c r="D11" s="2118">
        <v>0</v>
      </c>
      <c r="E11" s="2118">
        <v>0</v>
      </c>
      <c r="F11" s="2118">
        <v>0</v>
      </c>
      <c r="G11" s="2118">
        <f t="shared" si="1"/>
        <v>0</v>
      </c>
      <c r="H11" s="2640">
        <f>SUMIF('Original Budget'!$A$1:$A$691,'Trial Balance - FPer'!A11,'Original Budget'!$C$1:$C$691)</f>
        <v>316854.44</v>
      </c>
      <c r="I11" s="2640"/>
      <c r="J11" s="2119" t="s">
        <v>420</v>
      </c>
      <c r="L11" s="2024" t="str">
        <f>VLOOKUP(A11,'2012 Budget'!$A$18:$B$2152,2,FALSE)</f>
        <v>Electricity Pur</v>
      </c>
    </row>
    <row r="12" spans="1:12" s="2024" customFormat="1" x14ac:dyDescent="0.2">
      <c r="A12" s="2116" t="s">
        <v>5702</v>
      </c>
      <c r="B12" s="2117" t="s">
        <v>5409</v>
      </c>
      <c r="C12" s="2109">
        <v>0</v>
      </c>
      <c r="D12" s="2118">
        <v>0</v>
      </c>
      <c r="E12" s="2118">
        <v>0</v>
      </c>
      <c r="F12" s="2118">
        <v>0</v>
      </c>
      <c r="G12" s="2118">
        <f t="shared" si="1"/>
        <v>0</v>
      </c>
      <c r="H12" s="2640">
        <f>SUMIF('Original Budget'!$A$1:$A$691,'Trial Balance - FPer'!A12,'Original Budget'!$C$1:$C$691)</f>
        <v>0</v>
      </c>
      <c r="I12" s="2640"/>
      <c r="J12" s="2119" t="s">
        <v>420</v>
      </c>
      <c r="L12" s="2024" t="str">
        <f>VLOOKUP(A12,'2012 Budget'!$A$18:$B$2152,2,FALSE)</f>
        <v>CCA - Infrastru</v>
      </c>
    </row>
    <row r="13" spans="1:12" s="2024" customFormat="1" x14ac:dyDescent="0.2">
      <c r="A13" s="2116" t="s">
        <v>5870</v>
      </c>
      <c r="B13" s="2117" t="s">
        <v>5409</v>
      </c>
      <c r="C13" s="2109">
        <f>VLOOKUP(A13,'2011 - TB'!$A$3:$B$971,2,FALSE)</f>
        <v>119363.76</v>
      </c>
      <c r="D13" s="2118">
        <f>VLOOKUP(A13,'2012 - TB'!$A$3:$H$733,4,FALSE)</f>
        <v>0</v>
      </c>
      <c r="E13" s="2118">
        <f>VLOOKUP(A13,'2012 - TB'!$A$3:$H$733,5,FALSE)</f>
        <v>457.85</v>
      </c>
      <c r="F13" s="2118">
        <f>VLOOKUP(A13,'2012 - TB'!$A$3:$H$733,6,FALSE)</f>
        <v>-457.85</v>
      </c>
      <c r="G13" s="2118">
        <f t="shared" si="1"/>
        <v>0</v>
      </c>
      <c r="H13" s="2640">
        <f>SUMIF('Original Budget'!$A$1:$A$691,'Trial Balance - FPer'!A13,'Original Budget'!$C$1:$C$691)</f>
        <v>139163.75</v>
      </c>
      <c r="I13" s="2640">
        <f>VLOOKUP(A13,'2012 - TB'!$A$3:$C$733,3,FALSE)</f>
        <v>10000</v>
      </c>
      <c r="J13" s="2119" t="s">
        <v>420</v>
      </c>
      <c r="L13" s="2024" t="str">
        <f>VLOOKUP(A13,'2012 Budget'!$A$18:$B$2152,2,FALSE)</f>
        <v>Electricity Pur</v>
      </c>
    </row>
    <row r="14" spans="1:12" s="2024" customFormat="1" ht="13.5" thickBot="1" x14ac:dyDescent="0.25">
      <c r="A14" s="2120" t="s">
        <v>5871</v>
      </c>
      <c r="B14" s="2121" t="s">
        <v>5409</v>
      </c>
      <c r="C14" s="2122">
        <v>0</v>
      </c>
      <c r="D14" s="2123">
        <v>0</v>
      </c>
      <c r="E14" s="2123">
        <v>0</v>
      </c>
      <c r="F14" s="2123">
        <v>0</v>
      </c>
      <c r="G14" s="2123">
        <f t="shared" si="1"/>
        <v>0</v>
      </c>
      <c r="H14" s="2640">
        <f>SUMIF('Original Budget'!$A$1:$A$691,'Trial Balance - FPer'!A14,'Original Budget'!$C$1:$C$691)</f>
        <v>0</v>
      </c>
      <c r="I14" s="2640"/>
      <c r="J14" s="2124" t="s">
        <v>420</v>
      </c>
      <c r="L14" s="2024" t="str">
        <f>VLOOKUP(A14,'2012 Budget'!$A$18:$B$2152,2,FALSE)</f>
        <v>CCA - Infrastru</v>
      </c>
    </row>
    <row r="15" spans="1:12" s="2024" customFormat="1" ht="13.5" thickBot="1" x14ac:dyDescent="0.25">
      <c r="C15" s="2130">
        <f t="shared" ref="C15:F15" si="2">SUM(C7:C14)</f>
        <v>16136859.409999998</v>
      </c>
      <c r="D15" s="2130">
        <f t="shared" si="2"/>
        <v>0</v>
      </c>
      <c r="E15" s="2130">
        <f t="shared" si="2"/>
        <v>1995075.4200000002</v>
      </c>
      <c r="F15" s="2130">
        <f t="shared" si="2"/>
        <v>-1995075.4200000002</v>
      </c>
      <c r="G15" s="2130">
        <f>SUM(G7:G14)</f>
        <v>0</v>
      </c>
      <c r="H15" s="2641">
        <f t="shared" ref="H15:I15" si="3">SUM(H7:H14)</f>
        <v>493097.25</v>
      </c>
      <c r="I15" s="2641">
        <f t="shared" si="3"/>
        <v>1425809.18</v>
      </c>
      <c r="J15" s="2026"/>
      <c r="L15" s="2024" t="e">
        <f>VLOOKUP(A15,'2012 Budget'!$A$18:$B$2152,2,FALSE)</f>
        <v>#N/A</v>
      </c>
    </row>
    <row r="16" spans="1:12" s="2024" customFormat="1" ht="7.5" customHeight="1" thickTop="1" x14ac:dyDescent="0.2">
      <c r="C16" s="2109"/>
      <c r="D16" s="2109"/>
      <c r="E16" s="2109"/>
      <c r="F16" s="2109"/>
      <c r="G16" s="2109"/>
      <c r="H16" s="2118">
        <f>SUMIF('Original Budget'!$A$1:$A$691,'Trial Balance - FPer'!A16,'Original Budget'!$C$1:$C$691)</f>
        <v>0</v>
      </c>
      <c r="I16" s="2118"/>
      <c r="J16" s="2026"/>
      <c r="L16" s="2024" t="e">
        <f>VLOOKUP(A16,'2012 Budget'!$A$18:$B$2152,2,FALSE)</f>
        <v>#N/A</v>
      </c>
    </row>
    <row r="17" spans="1:12" s="2024" customFormat="1" x14ac:dyDescent="0.2">
      <c r="B17" s="1208" t="s">
        <v>1212</v>
      </c>
      <c r="C17" s="2110">
        <f>'Fin Perform'!K40</f>
        <v>16136859.409999998</v>
      </c>
      <c r="D17" s="2109"/>
      <c r="E17" s="2109"/>
      <c r="F17" s="2109"/>
      <c r="G17" s="2646">
        <f>'Fin Perform'!I40</f>
        <v>14183362.850000001</v>
      </c>
      <c r="H17" s="2118">
        <f>SUMIF('Original Budget'!$A$1:$A$691,'Trial Balance - FPer'!A17,'Original Budget'!$C$1:$C$691)</f>
        <v>0</v>
      </c>
      <c r="I17" s="2118"/>
      <c r="J17" s="2026"/>
      <c r="L17" s="2024" t="e">
        <f>VLOOKUP(A17,'2012 Budget'!$A$18:$B$2152,2,FALSE)</f>
        <v>#N/A</v>
      </c>
    </row>
    <row r="18" spans="1:12" s="2024" customFormat="1" ht="7.5" customHeight="1" x14ac:dyDescent="0.2">
      <c r="C18" s="2109"/>
      <c r="D18" s="2109"/>
      <c r="E18" s="2109"/>
      <c r="F18" s="2109"/>
      <c r="G18" s="2109"/>
      <c r="H18" s="2118">
        <f>SUMIF('Original Budget'!$A$1:$A$691,'Trial Balance - FPer'!A18,'Original Budget'!$C$1:$C$691)</f>
        <v>0</v>
      </c>
      <c r="I18" s="2118"/>
      <c r="J18" s="2026"/>
      <c r="L18" s="2024" t="e">
        <f>VLOOKUP(A18,'2012 Budget'!$A$18:$B$2152,2,FALSE)</f>
        <v>#N/A</v>
      </c>
    </row>
    <row r="19" spans="1:12" s="2024" customFormat="1" ht="13.5" thickBot="1" x14ac:dyDescent="0.25">
      <c r="B19" s="1208" t="s">
        <v>6423</v>
      </c>
      <c r="C19" s="2103">
        <f>C15-C17</f>
        <v>0</v>
      </c>
      <c r="D19" s="2109"/>
      <c r="E19" s="2109"/>
      <c r="F19" s="2109"/>
      <c r="G19" s="2103">
        <f>G15-G17</f>
        <v>-14183362.850000001</v>
      </c>
      <c r="H19" s="2118">
        <f>SUMIF('Original Budget'!$A$1:$A$691,'Trial Balance - FPer'!A19,'Original Budget'!$C$1:$C$691)</f>
        <v>0</v>
      </c>
      <c r="I19" s="2118"/>
      <c r="J19" s="2026"/>
      <c r="L19" s="2024" t="e">
        <f>VLOOKUP(A19,'2012 Budget'!$A$18:$B$2152,2,FALSE)</f>
        <v>#N/A</v>
      </c>
    </row>
    <row r="20" spans="1:12" s="2024" customFormat="1" ht="14.25" thickTop="1" thickBot="1" x14ac:dyDescent="0.25">
      <c r="C20" s="2042"/>
      <c r="D20" s="2025"/>
      <c r="E20" s="2025"/>
      <c r="F20" s="2025"/>
      <c r="G20" s="2025"/>
      <c r="H20" s="2118">
        <f>SUMIF('Original Budget'!$A$1:$A$691,'Trial Balance - FPer'!A20,'Original Budget'!$C$1:$C$691)</f>
        <v>0</v>
      </c>
      <c r="I20" s="2118"/>
      <c r="J20" s="2026"/>
      <c r="L20" s="2024" t="e">
        <f>VLOOKUP(A20,'2012 Budget'!$A$18:$B$2152,2,FALSE)</f>
        <v>#N/A</v>
      </c>
    </row>
    <row r="21" spans="1:12" s="2024" customFormat="1" x14ac:dyDescent="0.2">
      <c r="A21" s="2111" t="s">
        <v>4976</v>
      </c>
      <c r="B21" s="2112" t="s">
        <v>4977</v>
      </c>
      <c r="C21" s="2113">
        <v>0</v>
      </c>
      <c r="D21" s="2114">
        <f>VLOOKUP(A21,'2012 - TB'!$A$3:$H$733,4,FALSE)</f>
        <v>0</v>
      </c>
      <c r="E21" s="2114">
        <f>VLOOKUP(A21,'2012 - TB'!$A$3:$H$733,5,FALSE)</f>
        <v>0</v>
      </c>
      <c r="F21" s="2114">
        <f>VLOOKUP(A21,'2012 - TB'!$A$3:$H$733,6,FALSE)</f>
        <v>0</v>
      </c>
      <c r="G21" s="2114">
        <f t="shared" ref="G21:G32" si="4">E21+F21</f>
        <v>0</v>
      </c>
      <c r="H21" s="2640">
        <f>SUMIF('Original Budget'!$A$1:$A$691,'Trial Balance - FPer'!A21,'Original Budget'!$C$1:$C$691)</f>
        <v>371153.55</v>
      </c>
      <c r="I21" s="2640">
        <f>VLOOKUP(A21,'2012 - TB'!$A$3:$C$733,3,FALSE)</f>
        <v>371153.55</v>
      </c>
      <c r="J21" s="2115" t="s">
        <v>5972</v>
      </c>
      <c r="L21" s="2024" t="str">
        <f>VLOOKUP(A21,'2012 Budget'!$A$18:$B$2152,2,FALSE)</f>
        <v>Bad Debts;</v>
      </c>
    </row>
    <row r="22" spans="1:12" s="2024" customFormat="1" x14ac:dyDescent="0.2">
      <c r="A22" s="2116" t="s">
        <v>4978</v>
      </c>
      <c r="B22" s="2117" t="s">
        <v>4977</v>
      </c>
      <c r="C22" s="2109">
        <v>0</v>
      </c>
      <c r="D22" s="2118">
        <v>0</v>
      </c>
      <c r="E22" s="2118">
        <v>0</v>
      </c>
      <c r="F22" s="2118">
        <v>0</v>
      </c>
      <c r="G22" s="2118">
        <f t="shared" si="4"/>
        <v>0</v>
      </c>
      <c r="H22" s="2640">
        <f>SUMIF('Original Budget'!$A$1:$A$691,'Trial Balance - FPer'!A22,'Original Budget'!$C$1:$C$691)</f>
        <v>0</v>
      </c>
      <c r="I22" s="2640"/>
      <c r="J22" s="2119" t="s">
        <v>5972</v>
      </c>
      <c r="L22" s="2024" t="str">
        <f>VLOOKUP(A22,'2012 Budget'!$A$18:$B$2152,2,FALSE)</f>
        <v>Depreciation;</v>
      </c>
    </row>
    <row r="23" spans="1:12" s="2024" customFormat="1" x14ac:dyDescent="0.2">
      <c r="A23" s="1283" t="s">
        <v>5880</v>
      </c>
      <c r="B23" s="1133" t="s">
        <v>4977</v>
      </c>
      <c r="C23" s="2109">
        <f>VLOOKUP(A23,'2011 - TB'!$A$3:$B$971,2,FALSE)</f>
        <v>12421478.710000001</v>
      </c>
      <c r="D23" s="2118">
        <v>0</v>
      </c>
      <c r="E23" s="2118">
        <f>VLOOKUP(A23,'2012 - TB'!$A$3:$H$733,5,FALSE)</f>
        <v>47832103.059999995</v>
      </c>
      <c r="F23" s="2118">
        <f>VLOOKUP(A23,'2012 - TB'!$A$3:$H$733,6,FALSE)</f>
        <v>-16858903.460000001</v>
      </c>
      <c r="G23" s="2118">
        <f t="shared" si="4"/>
        <v>30973199.599999994</v>
      </c>
      <c r="H23" s="2640">
        <f>SUMIF('Original Budget'!$A$1:$A$691,'Trial Balance - FPer'!A23,'Original Budget'!$C$1:$C$691)</f>
        <v>0</v>
      </c>
      <c r="I23" s="2640">
        <f>VLOOKUP(A23,'2012 - TB'!$A$3:$C$733,3,FALSE)</f>
        <v>0</v>
      </c>
      <c r="J23" s="2119" t="s">
        <v>5972</v>
      </c>
      <c r="L23" s="2024" t="str">
        <f>VLOOKUP(A23,'2012 Budget'!$A$18:$B$2152,2,FALSE)</f>
        <v>Contr - Bad Deb</v>
      </c>
    </row>
    <row r="24" spans="1:12" s="2024" customFormat="1" x14ac:dyDescent="0.2">
      <c r="A24" s="2116" t="s">
        <v>5676</v>
      </c>
      <c r="B24" s="2117" t="s">
        <v>4977</v>
      </c>
      <c r="C24" s="2109">
        <v>0</v>
      </c>
      <c r="D24" s="2118">
        <f>VLOOKUP(A24,'2012 - TB'!$A$3:$H$733,4,FALSE)</f>
        <v>0</v>
      </c>
      <c r="E24" s="2118">
        <f>VLOOKUP(A24,'2012 - TB'!$A$3:$H$733,5,FALSE)</f>
        <v>0</v>
      </c>
      <c r="F24" s="2118">
        <f>VLOOKUP(A24,'2012 - TB'!$A$3:$H$733,6,FALSE)</f>
        <v>0</v>
      </c>
      <c r="G24" s="2118">
        <f t="shared" si="4"/>
        <v>0</v>
      </c>
      <c r="H24" s="2640">
        <f>SUMIF('Original Budget'!$A$1:$A$691,'Trial Balance - FPer'!A24,'Original Budget'!$C$1:$C$691)</f>
        <v>400000</v>
      </c>
      <c r="I24" s="2640">
        <f>VLOOKUP(A24,'2012 - TB'!$A$3:$C$733,3,FALSE)</f>
        <v>400000</v>
      </c>
      <c r="J24" s="2119" t="s">
        <v>5972</v>
      </c>
      <c r="L24" s="2024" t="str">
        <f>VLOOKUP(A24,'2012 Budget'!$A$18:$B$2152,2,FALSE)</f>
        <v>Bad Debts;</v>
      </c>
    </row>
    <row r="25" spans="1:12" s="2024" customFormat="1" x14ac:dyDescent="0.2">
      <c r="A25" s="2116" t="s">
        <v>5677</v>
      </c>
      <c r="B25" s="2117" t="s">
        <v>4977</v>
      </c>
      <c r="C25" s="2109">
        <v>0</v>
      </c>
      <c r="D25" s="2118">
        <v>0</v>
      </c>
      <c r="E25" s="2118">
        <v>0</v>
      </c>
      <c r="F25" s="2118">
        <v>0</v>
      </c>
      <c r="G25" s="2118">
        <f t="shared" si="4"/>
        <v>0</v>
      </c>
      <c r="H25" s="2640">
        <f>SUMIF('Original Budget'!$A$1:$A$691,'Trial Balance - FPer'!A25,'Original Budget'!$C$1:$C$691)</f>
        <v>0</v>
      </c>
      <c r="I25" s="2640"/>
      <c r="J25" s="2119" t="s">
        <v>5972</v>
      </c>
      <c r="L25" s="2024" t="str">
        <f>VLOOKUP(A25,'2012 Budget'!$A$18:$B$2152,2,FALSE)</f>
        <v>Depreciation;</v>
      </c>
    </row>
    <row r="26" spans="1:12" s="2024" customFormat="1" x14ac:dyDescent="0.2">
      <c r="A26" s="2116" t="s">
        <v>5740</v>
      </c>
      <c r="B26" s="2117" t="s">
        <v>4977</v>
      </c>
      <c r="C26" s="2109">
        <v>0</v>
      </c>
      <c r="D26" s="2118">
        <f>VLOOKUP(A26,'2012 - TB'!$A$3:$H$733,4,FALSE)</f>
        <v>0</v>
      </c>
      <c r="E26" s="2118">
        <f>VLOOKUP(A26,'2012 - TB'!$A$3:$H$733,5,FALSE)</f>
        <v>0</v>
      </c>
      <c r="F26" s="2118">
        <f>VLOOKUP(A26,'2012 - TB'!$A$3:$H$733,6,FALSE)</f>
        <v>0</v>
      </c>
      <c r="G26" s="2118">
        <f t="shared" si="4"/>
        <v>0</v>
      </c>
      <c r="H26" s="2640">
        <f>SUMIF('Original Budget'!$A$1:$A$691,'Trial Balance - FPer'!A26,'Original Budget'!$C$1:$C$691)</f>
        <v>389410.38</v>
      </c>
      <c r="I26" s="2640">
        <f>VLOOKUP(A26,'2012 - TB'!$A$3:$C$733,3,FALSE)</f>
        <v>389410.38</v>
      </c>
      <c r="J26" s="2119" t="s">
        <v>5972</v>
      </c>
      <c r="L26" s="2024" t="str">
        <f>VLOOKUP(A26,'2012 Budget'!$A$18:$B$2152,2,FALSE)</f>
        <v>Bad Debts;</v>
      </c>
    </row>
    <row r="27" spans="1:12" s="2024" customFormat="1" x14ac:dyDescent="0.2">
      <c r="A27" s="2116" t="s">
        <v>5741</v>
      </c>
      <c r="B27" s="2117" t="s">
        <v>4977</v>
      </c>
      <c r="C27" s="2109">
        <v>0</v>
      </c>
      <c r="D27" s="2118">
        <v>0</v>
      </c>
      <c r="E27" s="2118">
        <v>0</v>
      </c>
      <c r="F27" s="2118">
        <v>0</v>
      </c>
      <c r="G27" s="2118">
        <f t="shared" si="4"/>
        <v>0</v>
      </c>
      <c r="H27" s="2640">
        <f>SUMIF('Original Budget'!$A$1:$A$691,'Trial Balance - FPer'!A27,'Original Budget'!$C$1:$C$691)</f>
        <v>0</v>
      </c>
      <c r="I27" s="2640"/>
      <c r="J27" s="2119" t="s">
        <v>5972</v>
      </c>
      <c r="L27" s="2024" t="str">
        <f>VLOOKUP(A27,'2012 Budget'!$A$18:$B$2152,2,FALSE)</f>
        <v>Depreciation;</v>
      </c>
    </row>
    <row r="28" spans="1:12" s="2024" customFormat="1" x14ac:dyDescent="0.2">
      <c r="A28" s="2116" t="s">
        <v>5785</v>
      </c>
      <c r="B28" s="2117" t="s">
        <v>4977</v>
      </c>
      <c r="C28" s="2109">
        <v>0</v>
      </c>
      <c r="D28" s="2118">
        <v>0</v>
      </c>
      <c r="E28" s="2118">
        <v>0</v>
      </c>
      <c r="F28" s="2118">
        <v>0</v>
      </c>
      <c r="G28" s="2118">
        <f t="shared" si="4"/>
        <v>0</v>
      </c>
      <c r="H28" s="2640">
        <f>SUMIF('Original Budget'!$A$1:$A$691,'Trial Balance - FPer'!A28,'Original Budget'!$C$1:$C$691)</f>
        <v>0</v>
      </c>
      <c r="I28" s="2640"/>
      <c r="J28" s="2119" t="s">
        <v>5972</v>
      </c>
      <c r="L28" s="2024" t="str">
        <f>VLOOKUP(A28,'2012 Budget'!$A$18:$B$2152,2,FALSE)</f>
        <v>Depreciation;</v>
      </c>
    </row>
    <row r="29" spans="1:12" s="2024" customFormat="1" x14ac:dyDescent="0.2">
      <c r="A29" s="2116" t="s">
        <v>5841</v>
      </c>
      <c r="B29" s="2117" t="s">
        <v>4977</v>
      </c>
      <c r="C29" s="2109">
        <v>0</v>
      </c>
      <c r="D29" s="2118">
        <f>VLOOKUP(A29,'2012 - TB'!$A$3:$H$733,4,FALSE)</f>
        <v>0</v>
      </c>
      <c r="E29" s="2118">
        <f>VLOOKUP(A29,'2012 - TB'!$A$3:$H$733,5,FALSE)</f>
        <v>0</v>
      </c>
      <c r="F29" s="2118">
        <f>VLOOKUP(A29,'2012 - TB'!$A$3:$H$733,6,FALSE)</f>
        <v>0</v>
      </c>
      <c r="G29" s="2118">
        <f t="shared" si="4"/>
        <v>0</v>
      </c>
      <c r="H29" s="2640">
        <f>SUMIF('Original Budget'!$A$1:$A$691,'Trial Balance - FPer'!A29,'Original Budget'!$C$1:$C$691)</f>
        <v>434745.59999999998</v>
      </c>
      <c r="I29" s="2640">
        <f>VLOOKUP(A29,'2012 - TB'!$A$3:$C$733,3,FALSE)</f>
        <v>434745.59999999998</v>
      </c>
      <c r="J29" s="2119" t="s">
        <v>5972</v>
      </c>
      <c r="L29" s="2024" t="str">
        <f>VLOOKUP(A29,'2012 Budget'!$A$18:$B$2152,2,FALSE)</f>
        <v>Bad Debts;</v>
      </c>
    </row>
    <row r="30" spans="1:12" s="2024" customFormat="1" x14ac:dyDescent="0.2">
      <c r="A30" s="2116" t="s">
        <v>5842</v>
      </c>
      <c r="B30" s="2117" t="s">
        <v>4977</v>
      </c>
      <c r="C30" s="2109">
        <v>0</v>
      </c>
      <c r="D30" s="2118">
        <v>0</v>
      </c>
      <c r="E30" s="2118">
        <v>0</v>
      </c>
      <c r="F30" s="2118">
        <v>0</v>
      </c>
      <c r="G30" s="2118">
        <f t="shared" si="4"/>
        <v>0</v>
      </c>
      <c r="H30" s="2640">
        <f>SUMIF('Original Budget'!$A$1:$A$691,'Trial Balance - FPer'!A30,'Original Budget'!$C$1:$C$691)</f>
        <v>0</v>
      </c>
      <c r="I30" s="2640"/>
      <c r="J30" s="2119" t="s">
        <v>5972</v>
      </c>
      <c r="L30" s="2024" t="str">
        <f>VLOOKUP(A30,'2012 Budget'!$A$18:$B$2152,2,FALSE)</f>
        <v>Depreciation;</v>
      </c>
    </row>
    <row r="31" spans="1:12" s="2024" customFormat="1" ht="13.5" thickBot="1" x14ac:dyDescent="0.25">
      <c r="A31" s="2120" t="s">
        <v>5902</v>
      </c>
      <c r="B31" s="2121" t="s">
        <v>4977</v>
      </c>
      <c r="C31" s="2122">
        <v>0</v>
      </c>
      <c r="D31" s="2123">
        <v>0</v>
      </c>
      <c r="E31" s="2123">
        <v>0</v>
      </c>
      <c r="F31" s="2123">
        <v>0</v>
      </c>
      <c r="G31" s="2123">
        <f t="shared" si="4"/>
        <v>0</v>
      </c>
      <c r="H31" s="2640">
        <f>SUMIF('Original Budget'!$A$1:$A$691,'Trial Balance - FPer'!A31,'Original Budget'!$C$1:$C$691)</f>
        <v>0</v>
      </c>
      <c r="I31" s="2640"/>
      <c r="J31" s="2124" t="s">
        <v>5972</v>
      </c>
      <c r="L31" s="2024" t="str">
        <f>VLOOKUP(A31,'2012 Budget'!$A$18:$B$2152,2,FALSE)</f>
        <v>Depreciation;</v>
      </c>
    </row>
    <row r="32" spans="1:12" s="2024" customFormat="1" ht="13.5" thickBot="1" x14ac:dyDescent="0.25">
      <c r="A32" s="2125" t="s">
        <v>5065</v>
      </c>
      <c r="B32" s="2126" t="s">
        <v>5066</v>
      </c>
      <c r="C32" s="2127">
        <f>VLOOKUP(A32,'2011 - TB'!$A$3:$B$971,2,FALSE)</f>
        <v>2849677.71</v>
      </c>
      <c r="D32" s="2128">
        <v>0</v>
      </c>
      <c r="E32" s="2128">
        <f>VLOOKUP(A32,'2012 - TB'!$A$3:$H$733,5,FALSE)</f>
        <v>1818375.95</v>
      </c>
      <c r="F32" s="2128">
        <f>VLOOKUP(A32,'2012 - TB'!$A$3:$H$733,6,FALSE)</f>
        <v>0</v>
      </c>
      <c r="G32" s="2128">
        <f t="shared" si="4"/>
        <v>1818375.95</v>
      </c>
      <c r="H32" s="2640"/>
      <c r="I32" s="2640"/>
      <c r="J32" s="2129" t="s">
        <v>404</v>
      </c>
      <c r="L32" s="2024" t="str">
        <f>VLOOKUP(A32,'2012 Budget'!$A$18:$B$2152,2,FALSE)</f>
        <v>Rebate - Proper</v>
      </c>
    </row>
    <row r="33" spans="1:12" s="2024" customFormat="1" ht="13.5" thickBot="1" x14ac:dyDescent="0.25">
      <c r="C33" s="2130">
        <f>SUM(C21:C32)</f>
        <v>15271156.420000002</v>
      </c>
      <c r="D33" s="2130">
        <f t="shared" ref="D33:F33" si="5">SUM(D21:D31)</f>
        <v>0</v>
      </c>
      <c r="E33" s="2130">
        <f t="shared" si="5"/>
        <v>47832103.059999995</v>
      </c>
      <c r="F33" s="2130">
        <f t="shared" si="5"/>
        <v>-16858903.460000001</v>
      </c>
      <c r="G33" s="2130">
        <f>SUM(G21:G32)</f>
        <v>32791575.549999993</v>
      </c>
      <c r="H33" s="2641">
        <f>SUM(H21:H32)</f>
        <v>1595309.5300000003</v>
      </c>
      <c r="I33" s="2641">
        <f>SUM(I21:I32)</f>
        <v>1595309.5300000003</v>
      </c>
      <c r="J33" s="2026"/>
      <c r="L33" s="2024" t="e">
        <f>VLOOKUP(A33,'2012 Budget'!$A$18:$B$2152,2,FALSE)</f>
        <v>#N/A</v>
      </c>
    </row>
    <row r="34" spans="1:12" s="2024" customFormat="1" ht="7.5" customHeight="1" thickTop="1" x14ac:dyDescent="0.2">
      <c r="C34" s="2042"/>
      <c r="D34" s="2025"/>
      <c r="E34" s="2025"/>
      <c r="F34" s="2025"/>
      <c r="G34" s="2025"/>
      <c r="H34" s="2118">
        <f>SUMIF('Original Budget'!$A$1:$A$691,'Trial Balance - FPer'!A34,'Original Budget'!$C$1:$C$691)</f>
        <v>0</v>
      </c>
      <c r="I34" s="2118"/>
      <c r="J34" s="2026"/>
      <c r="L34" s="2024" t="e">
        <f>VLOOKUP(A34,'2012 Budget'!$A$18:$B$2152,2,FALSE)</f>
        <v>#N/A</v>
      </c>
    </row>
    <row r="35" spans="1:12" s="2024" customFormat="1" x14ac:dyDescent="0.2">
      <c r="B35" s="1208" t="s">
        <v>1212</v>
      </c>
      <c r="C35" s="2110">
        <f>'Fin Perform'!K37</f>
        <v>15271156.710000001</v>
      </c>
      <c r="D35" s="2109"/>
      <c r="E35" s="2109"/>
      <c r="F35" s="2109"/>
      <c r="G35" s="2646">
        <f>'Fin Perform'!I37</f>
        <v>32945570.969999999</v>
      </c>
      <c r="H35" s="2118">
        <f>SUMIF('Original Budget'!$A$1:$A$691,'Trial Balance - FPer'!A35,'Original Budget'!$C$1:$C$691)</f>
        <v>0</v>
      </c>
      <c r="I35" s="2118"/>
      <c r="J35" s="2026"/>
      <c r="L35" s="2024" t="e">
        <f>VLOOKUP(A35,'2012 Budget'!$A$18:$B$2152,2,FALSE)</f>
        <v>#N/A</v>
      </c>
    </row>
    <row r="36" spans="1:12" s="2024" customFormat="1" ht="7.5" customHeight="1" x14ac:dyDescent="0.2">
      <c r="C36" s="2109"/>
      <c r="D36" s="2109"/>
      <c r="E36" s="2109"/>
      <c r="F36" s="2109"/>
      <c r="G36" s="2109"/>
      <c r="H36" s="2118">
        <f>SUMIF('Original Budget'!$A$1:$A$691,'Trial Balance - FPer'!A36,'Original Budget'!$C$1:$C$691)</f>
        <v>0</v>
      </c>
      <c r="I36" s="2118"/>
      <c r="J36" s="2026"/>
      <c r="L36" s="2024" t="e">
        <f>VLOOKUP(A36,'2012 Budget'!$A$18:$B$2152,2,FALSE)</f>
        <v>#N/A</v>
      </c>
    </row>
    <row r="37" spans="1:12" s="2024" customFormat="1" ht="13.5" thickBot="1" x14ac:dyDescent="0.25">
      <c r="B37" s="1208" t="s">
        <v>6423</v>
      </c>
      <c r="C37" s="2103">
        <f>C33-C35</f>
        <v>-0.28999999910593033</v>
      </c>
      <c r="D37" s="2109"/>
      <c r="E37" s="2109"/>
      <c r="F37" s="2109"/>
      <c r="G37" s="2103">
        <f>G33-G35</f>
        <v>-153995.42000000551</v>
      </c>
      <c r="H37" s="2118">
        <f>SUMIF('Original Budget'!$A$1:$A$691,'Trial Balance - FPer'!A37,'Original Budget'!$C$1:$C$691)</f>
        <v>0</v>
      </c>
      <c r="I37" s="2118"/>
      <c r="J37" s="2026"/>
      <c r="L37" s="2024" t="e">
        <f>VLOOKUP(A37,'2012 Budget'!$A$18:$B$2152,2,FALSE)</f>
        <v>#N/A</v>
      </c>
    </row>
    <row r="38" spans="1:12" s="2024" customFormat="1" ht="14.25" thickTop="1" thickBot="1" x14ac:dyDescent="0.25">
      <c r="C38" s="2042"/>
      <c r="D38" s="2025"/>
      <c r="E38" s="2025"/>
      <c r="F38" s="2025"/>
      <c r="G38" s="2025"/>
      <c r="H38" s="2118">
        <f>SUMIF('Original Budget'!$A$1:$A$691,'Trial Balance - FPer'!A38,'Original Budget'!$C$1:$C$691)</f>
        <v>0</v>
      </c>
      <c r="I38" s="2118"/>
      <c r="J38" s="2026"/>
      <c r="L38" s="2024" t="e">
        <f>VLOOKUP(A38,'2012 Budget'!$A$18:$B$2152,2,FALSE)</f>
        <v>#N/A</v>
      </c>
    </row>
    <row r="39" spans="1:12" s="2024" customFormat="1" x14ac:dyDescent="0.2">
      <c r="A39" s="2111" t="s">
        <v>5079</v>
      </c>
      <c r="B39" s="2112" t="s">
        <v>5080</v>
      </c>
      <c r="C39" s="2113" t="str">
        <f>VLOOKUP(A39,'2011 - TB'!$A$3:$B$971,2,FALSE)</f>
        <v xml:space="preserve">                               -  </v>
      </c>
      <c r="D39" s="2114">
        <f>VLOOKUP(A39,'2012 - TB'!$A$3:$H$733,4,FALSE)</f>
        <v>0</v>
      </c>
      <c r="E39" s="2114">
        <f>VLOOKUP(A39,'2012 - TB'!$A$3:$H$733,5,FALSE)</f>
        <v>0</v>
      </c>
      <c r="F39" s="2114">
        <f>VLOOKUP(A39,'2012 - TB'!$A$3:$H$733,6,FALSE)</f>
        <v>0</v>
      </c>
      <c r="G39" s="2114">
        <f>E39+F39</f>
        <v>0</v>
      </c>
      <c r="H39" s="2640">
        <f>SUMIF('Original Budget'!$A$1:$A$691,'Trial Balance - FPer'!A39,'Original Budget'!$C$1:$C$691)</f>
        <v>-7625.82</v>
      </c>
      <c r="I39" s="2640">
        <f>VLOOKUP(A39,'2012 - TB'!$A$3:$C$733,3,FALSE)</f>
        <v>-7625.82</v>
      </c>
      <c r="J39" s="2115" t="s">
        <v>65</v>
      </c>
      <c r="L39" s="2024" t="str">
        <f>VLOOKUP(A39,'2012 Budget'!$A$18:$B$2152,2,FALSE)</f>
        <v>Dividends Recei</v>
      </c>
    </row>
    <row r="40" spans="1:12" s="2024" customFormat="1" ht="13.5" thickBot="1" x14ac:dyDescent="0.25">
      <c r="A40" s="2120" t="s">
        <v>5081</v>
      </c>
      <c r="B40" s="2121" t="s">
        <v>5082</v>
      </c>
      <c r="C40" s="2122">
        <f>VLOOKUP(A40,'2011 - TB'!$A$3:$B$971,2,FALSE)</f>
        <v>-1733.14</v>
      </c>
      <c r="D40" s="2123">
        <f>VLOOKUP(A40,'2012 - TB'!$A$3:$H$733,4,FALSE)</f>
        <v>0</v>
      </c>
      <c r="E40" s="2123">
        <f>VLOOKUP(A40,'2012 - TB'!$A$3:$H$733,5,FALSE)</f>
        <v>0</v>
      </c>
      <c r="F40" s="2123">
        <f>VLOOKUP(A40,'2012 - TB'!$A$3:$H$733,6,FALSE)</f>
        <v>-2961.77</v>
      </c>
      <c r="G40" s="2123">
        <f>E40+F40</f>
        <v>-2961.77</v>
      </c>
      <c r="H40" s="2640">
        <f>SUMIF('Original Budget'!$A$1:$A$691,'Trial Balance - FPer'!A40,'Original Budget'!$C$1:$C$691)</f>
        <v>0</v>
      </c>
      <c r="I40" s="2640">
        <f>VLOOKUP(A40,'2012 - TB'!$A$3:$C$733,3,FALSE)</f>
        <v>0</v>
      </c>
      <c r="J40" s="2124" t="s">
        <v>65</v>
      </c>
      <c r="L40" s="2024" t="str">
        <f>VLOOKUP(A40,'2012 Budget'!$A$18:$B$2152,2,FALSE)</f>
        <v>Dividends;</v>
      </c>
    </row>
    <row r="41" spans="1:12" s="2024" customFormat="1" ht="13.5" thickBot="1" x14ac:dyDescent="0.25">
      <c r="C41" s="2130">
        <f t="shared" ref="C41:I41" si="6">SUM(C39:C40)</f>
        <v>-1733.14</v>
      </c>
      <c r="D41" s="2130">
        <f t="shared" si="6"/>
        <v>0</v>
      </c>
      <c r="E41" s="2130">
        <f t="shared" si="6"/>
        <v>0</v>
      </c>
      <c r="F41" s="2130">
        <f t="shared" si="6"/>
        <v>-2961.77</v>
      </c>
      <c r="G41" s="2130">
        <f t="shared" si="6"/>
        <v>-2961.77</v>
      </c>
      <c r="H41" s="2641">
        <f t="shared" si="6"/>
        <v>-7625.82</v>
      </c>
      <c r="I41" s="2641">
        <f t="shared" si="6"/>
        <v>-7625.82</v>
      </c>
      <c r="J41" s="2026"/>
      <c r="L41" s="2024" t="e">
        <f>VLOOKUP(A41,'2012 Budget'!$A$18:$B$2152,2,FALSE)</f>
        <v>#N/A</v>
      </c>
    </row>
    <row r="42" spans="1:12" s="2024" customFormat="1" ht="7.5" customHeight="1" thickTop="1" x14ac:dyDescent="0.2">
      <c r="C42" s="2042"/>
      <c r="D42" s="2025"/>
      <c r="E42" s="2025"/>
      <c r="F42" s="2025"/>
      <c r="G42" s="2025"/>
      <c r="H42" s="2118">
        <f>SUMIF('Original Budget'!$A$1:$A$691,'Trial Balance - FPer'!A42,'Original Budget'!$C$1:$C$691)</f>
        <v>0</v>
      </c>
      <c r="I42" s="2118"/>
      <c r="J42" s="2026"/>
      <c r="L42" s="2024" t="e">
        <f>VLOOKUP(A42,'2012 Budget'!$A$18:$B$2152,2,FALSE)</f>
        <v>#N/A</v>
      </c>
    </row>
    <row r="43" spans="1:12" s="2024" customFormat="1" x14ac:dyDescent="0.2">
      <c r="B43" s="1208" t="s">
        <v>1212</v>
      </c>
      <c r="C43" s="2110">
        <f>'Fin Perform'!K22</f>
        <v>1733.14</v>
      </c>
      <c r="D43" s="2109"/>
      <c r="E43" s="2109"/>
      <c r="F43" s="2109"/>
      <c r="G43" s="2646">
        <f>'Fin Perform'!I22</f>
        <v>2961.77</v>
      </c>
      <c r="H43" s="2118">
        <f>SUMIF('Original Budget'!$A$1:$A$691,'Trial Balance - FPer'!A43,'Original Budget'!$C$1:$C$691)</f>
        <v>0</v>
      </c>
      <c r="I43" s="2118"/>
      <c r="J43" s="2026"/>
      <c r="L43" s="2024" t="e">
        <f>VLOOKUP(A43,'2012 Budget'!$A$18:$B$2152,2,FALSE)</f>
        <v>#N/A</v>
      </c>
    </row>
    <row r="44" spans="1:12" s="2024" customFormat="1" ht="7.5" customHeight="1" x14ac:dyDescent="0.2">
      <c r="C44" s="2109"/>
      <c r="D44" s="2109"/>
      <c r="E44" s="2109"/>
      <c r="F44" s="2109"/>
      <c r="G44" s="2109"/>
      <c r="H44" s="2118">
        <f>SUMIF('Original Budget'!$A$1:$A$691,'Trial Balance - FPer'!A44,'Original Budget'!$C$1:$C$691)</f>
        <v>0</v>
      </c>
      <c r="I44" s="2118"/>
      <c r="J44" s="2026"/>
      <c r="L44" s="2024" t="e">
        <f>VLOOKUP(A44,'2012 Budget'!$A$18:$B$2152,2,FALSE)</f>
        <v>#N/A</v>
      </c>
    </row>
    <row r="45" spans="1:12" s="2024" customFormat="1" ht="13.5" thickBot="1" x14ac:dyDescent="0.25">
      <c r="B45" s="1208" t="s">
        <v>6423</v>
      </c>
      <c r="C45" s="2103">
        <f>C41+C43</f>
        <v>0</v>
      </c>
      <c r="D45" s="2109"/>
      <c r="E45" s="2109"/>
      <c r="F45" s="2109"/>
      <c r="G45" s="2103">
        <f>G41+G43</f>
        <v>0</v>
      </c>
      <c r="H45" s="2118">
        <f>SUMIF('Original Budget'!$A$1:$A$691,'Trial Balance - FPer'!A45,'Original Budget'!$C$1:$C$691)</f>
        <v>0</v>
      </c>
      <c r="I45" s="2118"/>
      <c r="J45" s="2026"/>
      <c r="L45" s="2024" t="e">
        <f>VLOOKUP(A45,'2012 Budget'!$A$18:$B$2152,2,FALSE)</f>
        <v>#N/A</v>
      </c>
    </row>
    <row r="46" spans="1:12" s="2024" customFormat="1" ht="14.25" thickTop="1" thickBot="1" x14ac:dyDescent="0.25">
      <c r="C46" s="2042"/>
      <c r="D46" s="2025"/>
      <c r="E46" s="2025"/>
      <c r="F46" s="2025"/>
      <c r="G46" s="2025"/>
      <c r="H46" s="2118">
        <f>SUMIF('Original Budget'!$A$1:$A$691,'Trial Balance - FPer'!A46,'Original Budget'!$C$1:$C$691)</f>
        <v>0</v>
      </c>
      <c r="I46" s="2118"/>
      <c r="J46" s="2026"/>
      <c r="L46" s="2024" t="e">
        <f>VLOOKUP(A46,'2012 Budget'!$A$18:$B$2152,2,FALSE)</f>
        <v>#N/A</v>
      </c>
    </row>
    <row r="47" spans="1:12" s="2024" customFormat="1" x14ac:dyDescent="0.2">
      <c r="A47" s="2111" t="s">
        <v>4819</v>
      </c>
      <c r="B47" s="2112" t="s">
        <v>4820</v>
      </c>
      <c r="C47" s="2113">
        <f>VLOOKUP(A47,'2011 - TB'!$A$3:$B$971,2,FALSE)</f>
        <v>566.24</v>
      </c>
      <c r="D47" s="2114">
        <f>VLOOKUP(A47,'2012 - TB'!$A$3:$H$733,4,FALSE)</f>
        <v>0</v>
      </c>
      <c r="E47" s="2114">
        <f>VLOOKUP(A47,'2012 - TB'!$A$3:$H$733,5,FALSE)</f>
        <v>3584</v>
      </c>
      <c r="F47" s="2114">
        <f>VLOOKUP(A47,'2012 - TB'!$A$3:$H$733,6,FALSE)</f>
        <v>-800</v>
      </c>
      <c r="G47" s="2114">
        <f t="shared" ref="G47:G110" si="7">E47+F47</f>
        <v>2784</v>
      </c>
      <c r="H47" s="2640">
        <f>SUMIF('Original Budget'!$A$1:$A$691,'Trial Balance - FPer'!A47,'Original Budget'!$C$1:$C$691)</f>
        <v>0</v>
      </c>
      <c r="I47" s="2640">
        <f>VLOOKUP(A47,'2012 - TB'!$A$3:$C$733,3,FALSE)</f>
        <v>4832</v>
      </c>
      <c r="J47" s="2115" t="s">
        <v>6388</v>
      </c>
      <c r="L47" s="2024" t="str">
        <f>VLOOKUP(A47,'2012 Budget'!$A$18:$B$2152,2,FALSE)</f>
        <v>Allowance - Oth</v>
      </c>
    </row>
    <row r="48" spans="1:12" s="2024" customFormat="1" x14ac:dyDescent="0.2">
      <c r="A48" s="1283" t="s">
        <v>4909</v>
      </c>
      <c r="B48" s="2117" t="s">
        <v>4820</v>
      </c>
      <c r="C48" s="2109">
        <f>VLOOKUP(A48,'2011 - TB'!$A$3:$B$971,2,FALSE)</f>
        <v>0</v>
      </c>
      <c r="D48" s="2118">
        <v>0</v>
      </c>
      <c r="E48" s="2118">
        <f>VLOOKUP(A48,'2012 - TB'!$A$3:$H$733,5,FALSE)</f>
        <v>135460.98000000001</v>
      </c>
      <c r="F48" s="2118">
        <v>0</v>
      </c>
      <c r="G48" s="2118">
        <f t="shared" si="7"/>
        <v>135460.98000000001</v>
      </c>
      <c r="H48" s="2640">
        <f>SUMIF('Original Budget'!$A$1:$A$691,'Trial Balance - FPer'!A48,'Original Budget'!$C$1:$C$691)</f>
        <v>0</v>
      </c>
      <c r="I48" s="2640"/>
      <c r="J48" s="2119" t="s">
        <v>6388</v>
      </c>
      <c r="L48" s="2024" t="str">
        <f>VLOOKUP(A48,'2012 Budget'!$A$18:$B$2152,2,FALSE)</f>
        <v>Allowance - Oth</v>
      </c>
    </row>
    <row r="49" spans="1:12" s="2024" customFormat="1" x14ac:dyDescent="0.2">
      <c r="A49" s="2116" t="s">
        <v>4950</v>
      </c>
      <c r="B49" s="2117" t="s">
        <v>4820</v>
      </c>
      <c r="C49" s="2109">
        <f>VLOOKUP(A49,'2011 - TB'!$A$3:$B$971,2,FALSE)</f>
        <v>0</v>
      </c>
      <c r="D49" s="2118">
        <v>0</v>
      </c>
      <c r="E49" s="2118">
        <v>0</v>
      </c>
      <c r="F49" s="2118">
        <v>0</v>
      </c>
      <c r="G49" s="2118">
        <f t="shared" si="7"/>
        <v>0</v>
      </c>
      <c r="H49" s="2640">
        <f>SUMIF('Original Budget'!$A$1:$A$691,'Trial Balance - FPer'!A49,'Original Budget'!$C$1:$C$691)</f>
        <v>0</v>
      </c>
      <c r="I49" s="2640"/>
      <c r="J49" s="2119" t="s">
        <v>6388</v>
      </c>
      <c r="L49" s="2024" t="str">
        <f>VLOOKUP(A49,'2012 Budget'!$A$18:$B$2152,2,FALSE)</f>
        <v>Allowance - Oth</v>
      </c>
    </row>
    <row r="50" spans="1:12" s="2024" customFormat="1" x14ac:dyDescent="0.2">
      <c r="A50" s="2116" t="s">
        <v>4951</v>
      </c>
      <c r="B50" s="2117" t="s">
        <v>4820</v>
      </c>
      <c r="C50" s="2109">
        <f>VLOOKUP(A50,'2011 - TB'!$A$3:$B$971,2,FALSE)</f>
        <v>7376.2</v>
      </c>
      <c r="D50" s="2118">
        <v>0</v>
      </c>
      <c r="E50" s="2118">
        <v>0</v>
      </c>
      <c r="F50" s="2118">
        <v>0</v>
      </c>
      <c r="G50" s="2118">
        <f t="shared" si="7"/>
        <v>0</v>
      </c>
      <c r="H50" s="2640">
        <f>SUMIF('Original Budget'!$A$1:$A$691,'Trial Balance - FPer'!A50,'Original Budget'!$C$1:$C$691)</f>
        <v>10846.02</v>
      </c>
      <c r="I50" s="2640"/>
      <c r="J50" s="2119" t="s">
        <v>6388</v>
      </c>
      <c r="L50" s="2024" t="str">
        <f>VLOOKUP(A50,'2012 Budget'!$A$18:$B$2152,2,FALSE)</f>
        <v>Allowance - Oth</v>
      </c>
    </row>
    <row r="51" spans="1:12" s="2024" customFormat="1" x14ac:dyDescent="0.2">
      <c r="A51" s="2116" t="s">
        <v>4952</v>
      </c>
      <c r="B51" s="2117" t="s">
        <v>4820</v>
      </c>
      <c r="C51" s="2109">
        <f>VLOOKUP(A51,'2011 - TB'!$A$3:$B$971,2,FALSE)</f>
        <v>0</v>
      </c>
      <c r="D51" s="2118">
        <v>0</v>
      </c>
      <c r="E51" s="2118">
        <v>0</v>
      </c>
      <c r="F51" s="2118">
        <v>0</v>
      </c>
      <c r="G51" s="2118">
        <f t="shared" si="7"/>
        <v>0</v>
      </c>
      <c r="H51" s="2640">
        <f>SUMIF('Original Budget'!$A$1:$A$691,'Trial Balance - FPer'!A51,'Original Budget'!$C$1:$C$691)</f>
        <v>0</v>
      </c>
      <c r="I51" s="2640"/>
      <c r="J51" s="2119" t="s">
        <v>6388</v>
      </c>
      <c r="L51" s="2024" t="str">
        <f>VLOOKUP(A51,'2012 Budget'!$A$18:$B$2152,2,FALSE)</f>
        <v>Allowance - Oth</v>
      </c>
    </row>
    <row r="52" spans="1:12" s="2024" customFormat="1" x14ac:dyDescent="0.2">
      <c r="A52" s="2116" t="s">
        <v>5102</v>
      </c>
      <c r="B52" s="2117" t="s">
        <v>4820</v>
      </c>
      <c r="C52" s="2109">
        <f>VLOOKUP(A52,'2011 - TB'!$A$3:$B$971,2,FALSE)</f>
        <v>409.96</v>
      </c>
      <c r="D52" s="2118">
        <v>0</v>
      </c>
      <c r="E52" s="2118">
        <v>0</v>
      </c>
      <c r="F52" s="2118">
        <v>0</v>
      </c>
      <c r="G52" s="2118">
        <f t="shared" si="7"/>
        <v>0</v>
      </c>
      <c r="H52" s="2640">
        <f>SUMIF('Original Budget'!$A$1:$A$691,'Trial Balance - FPer'!A52,'Original Budget'!$C$1:$C$691)</f>
        <v>0</v>
      </c>
      <c r="I52" s="2640"/>
      <c r="J52" s="2119" t="s">
        <v>6388</v>
      </c>
      <c r="L52" s="2024" t="str">
        <f>VLOOKUP(A52,'2012 Budget'!$A$18:$B$2152,2,FALSE)</f>
        <v>Allowance - Oth</v>
      </c>
    </row>
    <row r="53" spans="1:12" s="2024" customFormat="1" x14ac:dyDescent="0.2">
      <c r="A53" s="2116" t="s">
        <v>5130</v>
      </c>
      <c r="B53" s="2117" t="s">
        <v>4820</v>
      </c>
      <c r="C53" s="2109">
        <f>VLOOKUP(A53,'2011 - TB'!$A$3:$B$971,2,FALSE)</f>
        <v>573.25</v>
      </c>
      <c r="D53" s="2118">
        <v>0</v>
      </c>
      <c r="E53" s="2118">
        <v>0</v>
      </c>
      <c r="F53" s="2118">
        <v>0</v>
      </c>
      <c r="G53" s="2118">
        <f t="shared" si="7"/>
        <v>0</v>
      </c>
      <c r="H53" s="2640">
        <f>SUMIF('Original Budget'!$A$1:$A$691,'Trial Balance - FPer'!A53,'Original Budget'!$C$1:$C$691)</f>
        <v>0</v>
      </c>
      <c r="I53" s="2640"/>
      <c r="J53" s="2119" t="s">
        <v>6388</v>
      </c>
      <c r="L53" s="2024" t="str">
        <f>VLOOKUP(A53,'2012 Budget'!$A$18:$B$2152,2,FALSE)</f>
        <v>Allowance - Oth</v>
      </c>
    </row>
    <row r="54" spans="1:12" s="2024" customFormat="1" x14ac:dyDescent="0.2">
      <c r="A54" s="2116" t="s">
        <v>5216</v>
      </c>
      <c r="B54" s="2117" t="s">
        <v>4820</v>
      </c>
      <c r="C54" s="2109" t="str">
        <f>VLOOKUP(A54,'2011 - TB'!$A$3:$B$971,2,FALSE)</f>
        <v xml:space="preserve">                               -  </v>
      </c>
      <c r="D54" s="2118">
        <v>0</v>
      </c>
      <c r="E54" s="2118">
        <v>0</v>
      </c>
      <c r="F54" s="2118">
        <v>0</v>
      </c>
      <c r="G54" s="2118">
        <f t="shared" si="7"/>
        <v>0</v>
      </c>
      <c r="H54" s="2640">
        <f>SUMIF('Original Budget'!$A$1:$A$691,'Trial Balance - FPer'!A54,'Original Budget'!$C$1:$C$691)</f>
        <v>0</v>
      </c>
      <c r="I54" s="2640"/>
      <c r="J54" s="2119" t="s">
        <v>6388</v>
      </c>
      <c r="L54" s="2024" t="str">
        <f>VLOOKUP(A54,'2012 Budget'!$A$18:$B$2152,2,FALSE)</f>
        <v>Allowance - Oth</v>
      </c>
    </row>
    <row r="55" spans="1:12" s="2024" customFormat="1" x14ac:dyDescent="0.2">
      <c r="A55" s="2116" t="s">
        <v>5217</v>
      </c>
      <c r="B55" s="2117" t="s">
        <v>4820</v>
      </c>
      <c r="C55" s="2109" t="str">
        <f>VLOOKUP(A55,'2011 - TB'!$A$3:$B$971,2,FALSE)</f>
        <v xml:space="preserve">                               -  </v>
      </c>
      <c r="D55" s="2118">
        <v>0</v>
      </c>
      <c r="E55" s="2118">
        <v>0</v>
      </c>
      <c r="F55" s="2118">
        <v>0</v>
      </c>
      <c r="G55" s="2118">
        <f t="shared" si="7"/>
        <v>0</v>
      </c>
      <c r="H55" s="2640">
        <f>SUMIF('Original Budget'!$A$1:$A$691,'Trial Balance - FPer'!A55,'Original Budget'!$C$1:$C$691)</f>
        <v>0</v>
      </c>
      <c r="I55" s="2640"/>
      <c r="J55" s="2119" t="s">
        <v>6388</v>
      </c>
      <c r="L55" s="2024" t="str">
        <f>VLOOKUP(A55,'2012 Budget'!$A$18:$B$2152,2,FALSE)</f>
        <v>Allowance - Oth</v>
      </c>
    </row>
    <row r="56" spans="1:12" s="2024" customFormat="1" x14ac:dyDescent="0.2">
      <c r="A56" s="2116" t="s">
        <v>5218</v>
      </c>
      <c r="B56" s="2117" t="s">
        <v>4820</v>
      </c>
      <c r="C56" s="2109">
        <f>VLOOKUP(A56,'2011 - TB'!$A$3:$B$971,2,FALSE)</f>
        <v>1560.5</v>
      </c>
      <c r="D56" s="2118">
        <v>0</v>
      </c>
      <c r="E56" s="2118">
        <v>0</v>
      </c>
      <c r="F56" s="2118">
        <v>0</v>
      </c>
      <c r="G56" s="2118">
        <f t="shared" si="7"/>
        <v>0</v>
      </c>
      <c r="H56" s="2640">
        <f>SUMIF('Original Budget'!$A$1:$A$691,'Trial Balance - FPer'!A56,'Original Budget'!$C$1:$C$691)</f>
        <v>0</v>
      </c>
      <c r="I56" s="2640"/>
      <c r="J56" s="2119" t="s">
        <v>6388</v>
      </c>
      <c r="L56" s="2024" t="str">
        <f>VLOOKUP(A56,'2012 Budget'!$A$18:$B$2152,2,FALSE)</f>
        <v>Allowance - Oth</v>
      </c>
    </row>
    <row r="57" spans="1:12" s="2024" customFormat="1" x14ac:dyDescent="0.2">
      <c r="A57" s="2116" t="s">
        <v>5322</v>
      </c>
      <c r="B57" s="2117" t="s">
        <v>4820</v>
      </c>
      <c r="C57" s="2109">
        <f>VLOOKUP(A57,'2011 - TB'!$A$3:$B$971,2,FALSE)</f>
        <v>287.52999999999997</v>
      </c>
      <c r="D57" s="2118">
        <v>0</v>
      </c>
      <c r="E57" s="2118">
        <v>0</v>
      </c>
      <c r="F57" s="2118">
        <v>0</v>
      </c>
      <c r="G57" s="2118">
        <f t="shared" si="7"/>
        <v>0</v>
      </c>
      <c r="H57" s="2640">
        <f>SUMIF('Original Budget'!$A$1:$A$691,'Trial Balance - FPer'!A57,'Original Budget'!$C$1:$C$691)</f>
        <v>13624.23</v>
      </c>
      <c r="I57" s="2640"/>
      <c r="J57" s="2119" t="s">
        <v>6388</v>
      </c>
      <c r="L57" s="2024" t="str">
        <f>VLOOKUP(A57,'2012 Budget'!$A$18:$B$2152,2,FALSE)</f>
        <v>Allowance - Oth</v>
      </c>
    </row>
    <row r="58" spans="1:12" s="2024" customFormat="1" x14ac:dyDescent="0.2">
      <c r="A58" s="2116" t="s">
        <v>5362</v>
      </c>
      <c r="B58" s="2117" t="s">
        <v>4820</v>
      </c>
      <c r="C58" s="2109">
        <f>VLOOKUP(A58,'2011 - TB'!$A$3:$B$971,2,FALSE)</f>
        <v>1107.97</v>
      </c>
      <c r="D58" s="2118">
        <v>0</v>
      </c>
      <c r="E58" s="2118">
        <f>VLOOKUP(A58,'2012 - TB'!$A$3:$H$733,5,FALSE)</f>
        <v>367.87</v>
      </c>
      <c r="F58" s="2118">
        <f>VLOOKUP(A58,'2012 - TB'!$A$3:$H$733,6,FALSE)</f>
        <v>0</v>
      </c>
      <c r="G58" s="2118">
        <f t="shared" si="7"/>
        <v>367.87</v>
      </c>
      <c r="H58" s="2640">
        <f>SUMIF('Original Budget'!$A$1:$A$691,'Trial Balance - FPer'!A58,'Original Budget'!$C$1:$C$691)</f>
        <v>6463.57</v>
      </c>
      <c r="I58" s="2640">
        <f>VLOOKUP(A58,'2012 - TB'!$A$3:$C$733,3,FALSE)</f>
        <v>367.87</v>
      </c>
      <c r="J58" s="2119" t="s">
        <v>6388</v>
      </c>
      <c r="L58" s="2024" t="str">
        <f>VLOOKUP(A58,'2012 Budget'!$A$18:$B$2152,2,FALSE)</f>
        <v>Allowance - Oth</v>
      </c>
    </row>
    <row r="59" spans="1:12" s="2024" customFormat="1" x14ac:dyDescent="0.2">
      <c r="A59" s="2116" t="s">
        <v>5390</v>
      </c>
      <c r="B59" s="2117" t="s">
        <v>4820</v>
      </c>
      <c r="C59" s="2109">
        <f>VLOOKUP(A59,'2011 - TB'!$A$3:$B$971,2,FALSE)</f>
        <v>282.99</v>
      </c>
      <c r="D59" s="2118">
        <v>0</v>
      </c>
      <c r="E59" s="2118">
        <v>0</v>
      </c>
      <c r="F59" s="2118">
        <v>0</v>
      </c>
      <c r="G59" s="2118">
        <f t="shared" si="7"/>
        <v>0</v>
      </c>
      <c r="H59" s="2640">
        <f>SUMIF('Original Budget'!$A$1:$A$691,'Trial Balance - FPer'!A59,'Original Budget'!$C$1:$C$691)</f>
        <v>2686.11</v>
      </c>
      <c r="I59" s="2640"/>
      <c r="J59" s="2119" t="s">
        <v>6388</v>
      </c>
      <c r="L59" s="2024" t="str">
        <f>VLOOKUP(A59,'2012 Budget'!$A$18:$B$2152,2,FALSE)</f>
        <v>Allowance - Oth</v>
      </c>
    </row>
    <row r="60" spans="1:12" s="2024" customFormat="1" x14ac:dyDescent="0.2">
      <c r="A60" s="2116" t="s">
        <v>5444</v>
      </c>
      <c r="B60" s="2117" t="s">
        <v>4820</v>
      </c>
      <c r="C60" s="2109">
        <f>VLOOKUP(A60,'2011 - TB'!$A$3:$B$971,2,FALSE)</f>
        <v>0</v>
      </c>
      <c r="D60" s="2118">
        <v>0</v>
      </c>
      <c r="E60" s="2118">
        <v>0</v>
      </c>
      <c r="F60" s="2118">
        <v>0</v>
      </c>
      <c r="G60" s="2118">
        <f t="shared" si="7"/>
        <v>0</v>
      </c>
      <c r="H60" s="2640">
        <f>SUMIF('Original Budget'!$A$1:$A$691,'Trial Balance - FPer'!A60,'Original Budget'!$C$1:$C$691)</f>
        <v>0</v>
      </c>
      <c r="I60" s="2640"/>
      <c r="J60" s="2119" t="s">
        <v>6388</v>
      </c>
      <c r="L60" s="2024" t="str">
        <f>VLOOKUP(A60,'2012 Budget'!$A$18:$B$2152,2,FALSE)</f>
        <v>Allowance - Oth</v>
      </c>
    </row>
    <row r="61" spans="1:12" s="2024" customFormat="1" x14ac:dyDescent="0.2">
      <c r="A61" s="2116" t="s">
        <v>5445</v>
      </c>
      <c r="B61" s="2117" t="s">
        <v>4820</v>
      </c>
      <c r="C61" s="2109">
        <f>VLOOKUP(A61,'2011 - TB'!$A$3:$B$971,2,FALSE)</f>
        <v>363.1</v>
      </c>
      <c r="D61" s="2118">
        <v>0</v>
      </c>
      <c r="E61" s="2118">
        <f>VLOOKUP(A61,'2012 - TB'!$A$3:$H$733,5,FALSE)</f>
        <v>3634.77</v>
      </c>
      <c r="F61" s="2118">
        <f>VLOOKUP(A61,'2012 - TB'!$A$3:$H$733,6,FALSE)</f>
        <v>0</v>
      </c>
      <c r="G61" s="2118">
        <f t="shared" si="7"/>
        <v>3634.77</v>
      </c>
      <c r="H61" s="2640">
        <f>SUMIF('Original Budget'!$A$1:$A$691,'Trial Balance - FPer'!A61,'Original Budget'!$C$1:$C$691)</f>
        <v>570.27</v>
      </c>
      <c r="I61" s="2640">
        <f>VLOOKUP(A61,'2012 - TB'!$A$3:$C$733,3,FALSE)</f>
        <v>2093.39</v>
      </c>
      <c r="J61" s="2119" t="s">
        <v>6388</v>
      </c>
      <c r="L61" s="2024" t="str">
        <f>VLOOKUP(A61,'2012 Budget'!$A$18:$B$2152,2,FALSE)</f>
        <v>Allowance - Oth</v>
      </c>
    </row>
    <row r="62" spans="1:12" s="2024" customFormat="1" x14ac:dyDescent="0.2">
      <c r="A62" s="2116" t="s">
        <v>5446</v>
      </c>
      <c r="B62" s="2117" t="s">
        <v>4820</v>
      </c>
      <c r="C62" s="2109">
        <f>VLOOKUP(A62,'2011 - TB'!$A$3:$B$971,2,FALSE)</f>
        <v>0</v>
      </c>
      <c r="D62" s="2118">
        <v>0</v>
      </c>
      <c r="E62" s="2118">
        <v>0</v>
      </c>
      <c r="F62" s="2118">
        <v>0</v>
      </c>
      <c r="G62" s="2118">
        <f t="shared" si="7"/>
        <v>0</v>
      </c>
      <c r="H62" s="2640">
        <f>SUMIF('Original Budget'!$A$1:$A$691,'Trial Balance - FPer'!A62,'Original Budget'!$C$1:$C$691)</f>
        <v>0</v>
      </c>
      <c r="I62" s="2640"/>
      <c r="J62" s="2119" t="s">
        <v>6388</v>
      </c>
      <c r="L62" s="2024" t="str">
        <f>VLOOKUP(A62,'2012 Budget'!$A$18:$B$2152,2,FALSE)</f>
        <v>Allowance - Oth</v>
      </c>
    </row>
    <row r="63" spans="1:12" s="2024" customFormat="1" x14ac:dyDescent="0.2">
      <c r="A63" s="2116" t="s">
        <v>5492</v>
      </c>
      <c r="B63" s="2117" t="s">
        <v>4820</v>
      </c>
      <c r="C63" s="2109">
        <f>VLOOKUP(A63,'2011 - TB'!$A$3:$B$971,2,FALSE)</f>
        <v>526.63</v>
      </c>
      <c r="D63" s="2118">
        <v>0</v>
      </c>
      <c r="E63" s="2118">
        <f>VLOOKUP(A63,'2012 - TB'!$A$3:$H$733,5,FALSE)</f>
        <v>2500</v>
      </c>
      <c r="F63" s="2118">
        <f>VLOOKUP(A63,'2012 - TB'!$A$3:$H$733,6,FALSE)</f>
        <v>0</v>
      </c>
      <c r="G63" s="2118">
        <f t="shared" si="7"/>
        <v>2500</v>
      </c>
      <c r="H63" s="2640">
        <f>SUMIF('Original Budget'!$A$1:$A$691,'Trial Balance - FPer'!A63,'Original Budget'!$C$1:$C$691)</f>
        <v>51277.120000000003</v>
      </c>
      <c r="I63" s="2640">
        <f>VLOOKUP(A63,'2012 - TB'!$A$3:$C$733,3,FALSE)</f>
        <v>2500</v>
      </c>
      <c r="J63" s="2119" t="s">
        <v>6388</v>
      </c>
      <c r="L63" s="2024" t="str">
        <f>VLOOKUP(A63,'2012 Budget'!$A$18:$B$2152,2,FALSE)</f>
        <v>Allowance - Oth</v>
      </c>
    </row>
    <row r="64" spans="1:12" s="2024" customFormat="1" x14ac:dyDescent="0.2">
      <c r="A64" s="2116" t="s">
        <v>5522</v>
      </c>
      <c r="B64" s="2117" t="s">
        <v>4820</v>
      </c>
      <c r="C64" s="2109">
        <f>VLOOKUP(A64,'2011 - TB'!$A$3:$B$971,2,FALSE)</f>
        <v>392.34</v>
      </c>
      <c r="D64" s="2118">
        <v>0</v>
      </c>
      <c r="E64" s="2118">
        <f>VLOOKUP(A64,'2012 - TB'!$A$3:$H$733,5,FALSE)</f>
        <v>600</v>
      </c>
      <c r="F64" s="2118">
        <f>VLOOKUP(A64,'2012 - TB'!$A$3:$H$733,6,FALSE)</f>
        <v>0</v>
      </c>
      <c r="G64" s="2118">
        <f t="shared" si="7"/>
        <v>600</v>
      </c>
      <c r="H64" s="2640">
        <f>SUMIF('Original Budget'!$A$1:$A$691,'Trial Balance - FPer'!A64,'Original Budget'!$C$1:$C$691)</f>
        <v>1423.81</v>
      </c>
      <c r="I64" s="2640">
        <f>VLOOKUP(A64,'2012 - TB'!$A$3:$C$733,3,FALSE)</f>
        <v>600</v>
      </c>
      <c r="J64" s="2119" t="s">
        <v>6388</v>
      </c>
      <c r="L64" s="2024" t="str">
        <f>VLOOKUP(A64,'2012 Budget'!$A$18:$B$2152,2,FALSE)</f>
        <v>Allowance - Oth</v>
      </c>
    </row>
    <row r="65" spans="1:12" s="2024" customFormat="1" x14ac:dyDescent="0.2">
      <c r="A65" s="2116" t="s">
        <v>5554</v>
      </c>
      <c r="B65" s="2117" t="s">
        <v>4820</v>
      </c>
      <c r="C65" s="2109">
        <f>VLOOKUP(A65,'2011 - TB'!$A$3:$B$971,2,FALSE)</f>
        <v>0</v>
      </c>
      <c r="D65" s="2118">
        <v>0</v>
      </c>
      <c r="E65" s="2118">
        <v>0</v>
      </c>
      <c r="F65" s="2118">
        <v>0</v>
      </c>
      <c r="G65" s="2118">
        <f t="shared" si="7"/>
        <v>0</v>
      </c>
      <c r="H65" s="2640">
        <f>SUMIF('Original Budget'!$A$1:$A$691,'Trial Balance - FPer'!A65,'Original Budget'!$C$1:$C$691)</f>
        <v>0</v>
      </c>
      <c r="I65" s="2640"/>
      <c r="J65" s="2119" t="s">
        <v>6388</v>
      </c>
      <c r="L65" s="2024" t="str">
        <f>VLOOKUP(A65,'2012 Budget'!$A$18:$B$2152,2,FALSE)</f>
        <v>Allowance - Oth</v>
      </c>
    </row>
    <row r="66" spans="1:12" s="2024" customFormat="1" x14ac:dyDescent="0.2">
      <c r="A66" s="2116" t="s">
        <v>5568</v>
      </c>
      <c r="B66" s="2117" t="s">
        <v>4820</v>
      </c>
      <c r="C66" s="2109">
        <f>VLOOKUP(A66,'2011 - TB'!$A$3:$B$971,2,FALSE)</f>
        <v>184.28</v>
      </c>
      <c r="D66" s="2118">
        <v>0</v>
      </c>
      <c r="E66" s="2118">
        <v>0</v>
      </c>
      <c r="F66" s="2118">
        <v>0</v>
      </c>
      <c r="G66" s="2118">
        <f t="shared" si="7"/>
        <v>0</v>
      </c>
      <c r="H66" s="2640">
        <f>SUMIF('Original Budget'!$A$1:$A$691,'Trial Balance - FPer'!A66,'Original Budget'!$C$1:$C$691)</f>
        <v>1311.51</v>
      </c>
      <c r="I66" s="2640"/>
      <c r="J66" s="2119" t="s">
        <v>6388</v>
      </c>
      <c r="L66" s="2024" t="str">
        <f>VLOOKUP(A66,'2012 Budget'!$A$18:$B$2152,2,FALSE)</f>
        <v>Allowance - Oth</v>
      </c>
    </row>
    <row r="67" spans="1:12" s="2024" customFormat="1" x14ac:dyDescent="0.2">
      <c r="A67" s="2116" t="s">
        <v>5596</v>
      </c>
      <c r="B67" s="2117" t="s">
        <v>4820</v>
      </c>
      <c r="C67" s="2109">
        <f>VLOOKUP(A67,'2011 - TB'!$A$3:$B$971,2,FALSE)</f>
        <v>975.54</v>
      </c>
      <c r="D67" s="2118">
        <v>0</v>
      </c>
      <c r="E67" s="2118">
        <f>VLOOKUP(A67,'2012 - TB'!$A$3:$H$733,5,FALSE)</f>
        <v>6182.35</v>
      </c>
      <c r="F67" s="2118">
        <f>VLOOKUP(A67,'2012 - TB'!$A$3:$H$733,6,FALSE)</f>
        <v>0</v>
      </c>
      <c r="G67" s="2118">
        <f t="shared" si="7"/>
        <v>6182.35</v>
      </c>
      <c r="H67" s="2640">
        <f>SUMIF('Original Budget'!$A$1:$A$691,'Trial Balance - FPer'!A67,'Original Budget'!$C$1:$C$691)</f>
        <v>20685.84</v>
      </c>
      <c r="I67" s="2640">
        <f>VLOOKUP(A67,'2012 - TB'!$A$3:$C$733,3,FALSE)</f>
        <v>6182.35</v>
      </c>
      <c r="J67" s="2119" t="s">
        <v>6388</v>
      </c>
      <c r="L67" s="2024" t="str">
        <f>VLOOKUP(A67,'2012 Budget'!$A$18:$B$2152,2,FALSE)</f>
        <v>Allowance - Oth</v>
      </c>
    </row>
    <row r="68" spans="1:12" s="2024" customFormat="1" x14ac:dyDescent="0.2">
      <c r="A68" s="2116" t="s">
        <v>5597</v>
      </c>
      <c r="B68" s="2117" t="s">
        <v>4820</v>
      </c>
      <c r="C68" s="2109">
        <f>VLOOKUP(A68,'2011 - TB'!$A$3:$B$971,2,FALSE)</f>
        <v>471.65</v>
      </c>
      <c r="D68" s="2118">
        <v>0</v>
      </c>
      <c r="E68" s="2118">
        <v>0</v>
      </c>
      <c r="F68" s="2118">
        <v>0</v>
      </c>
      <c r="G68" s="2118">
        <f t="shared" si="7"/>
        <v>0</v>
      </c>
      <c r="H68" s="2640">
        <f>SUMIF('Original Budget'!$A$1:$A$691,'Trial Balance - FPer'!A68,'Original Budget'!$C$1:$C$691)</f>
        <v>3135.9</v>
      </c>
      <c r="I68" s="2640"/>
      <c r="J68" s="2119" t="s">
        <v>6388</v>
      </c>
      <c r="L68" s="2024" t="str">
        <f>VLOOKUP(A68,'2012 Budget'!$A$18:$B$2152,2,FALSE)</f>
        <v>Allowance - Oth</v>
      </c>
    </row>
    <row r="69" spans="1:12" s="2024" customFormat="1" x14ac:dyDescent="0.2">
      <c r="A69" s="1283" t="s">
        <v>5668</v>
      </c>
      <c r="B69" s="2117" t="s">
        <v>4820</v>
      </c>
      <c r="C69" s="2109">
        <f>VLOOKUP(A69,'2011 - TB'!$A$3:$B$971,2,FALSE)</f>
        <v>10310.719999999999</v>
      </c>
      <c r="D69" s="2118">
        <v>0</v>
      </c>
      <c r="E69" s="2118">
        <f>VLOOKUP(A69,'2012 - TB'!$A$3:$H$733,5,FALSE)</f>
        <v>97741.95</v>
      </c>
      <c r="F69" s="2118">
        <f>VLOOKUP(A69,'2012 - TB'!$A$3:$H$733,6,FALSE)</f>
        <v>0</v>
      </c>
      <c r="G69" s="2118">
        <f t="shared" si="7"/>
        <v>97741.95</v>
      </c>
      <c r="H69" s="2640">
        <f>SUMIF('Original Budget'!$A$1:$A$691,'Trial Balance - FPer'!A69,'Original Budget'!$C$1:$C$691)</f>
        <v>5156.42</v>
      </c>
      <c r="I69" s="2640">
        <f>VLOOKUP(A69,'2012 - TB'!$A$3:$C$733,3,FALSE)</f>
        <v>97741.95</v>
      </c>
      <c r="J69" s="2119" t="s">
        <v>6388</v>
      </c>
      <c r="L69" s="2024" t="str">
        <f>VLOOKUP(A69,'2012 Budget'!$A$18:$B$2152,2,FALSE)</f>
        <v>Allowance - Oth</v>
      </c>
    </row>
    <row r="70" spans="1:12" s="2024" customFormat="1" x14ac:dyDescent="0.2">
      <c r="A70" s="2116" t="s">
        <v>5732</v>
      </c>
      <c r="B70" s="2117" t="s">
        <v>4820</v>
      </c>
      <c r="C70" s="2109">
        <f>VLOOKUP(A70,'2011 - TB'!$A$3:$B$971,2,FALSE)</f>
        <v>2105.0700000000002</v>
      </c>
      <c r="D70" s="2118">
        <v>0</v>
      </c>
      <c r="E70" s="2118">
        <v>0</v>
      </c>
      <c r="F70" s="2118">
        <v>0</v>
      </c>
      <c r="G70" s="2118">
        <f t="shared" si="7"/>
        <v>0</v>
      </c>
      <c r="H70" s="2640">
        <f>SUMIF('Original Budget'!$A$1:$A$691,'Trial Balance - FPer'!A70,'Original Budget'!$C$1:$C$691)</f>
        <v>18409.77</v>
      </c>
      <c r="I70" s="2640"/>
      <c r="J70" s="2119" t="s">
        <v>6388</v>
      </c>
      <c r="L70" s="2024" t="str">
        <f>VLOOKUP(A70,'2012 Budget'!$A$18:$B$2152,2,FALSE)</f>
        <v>Allowance - Oth</v>
      </c>
    </row>
    <row r="71" spans="1:12" s="2024" customFormat="1" x14ac:dyDescent="0.2">
      <c r="A71" s="2116" t="s">
        <v>5777</v>
      </c>
      <c r="B71" s="2117" t="s">
        <v>4820</v>
      </c>
      <c r="C71" s="2109">
        <f>VLOOKUP(A71,'2011 - TB'!$A$3:$B$971,2,FALSE)</f>
        <v>17959.07</v>
      </c>
      <c r="D71" s="2118">
        <v>0</v>
      </c>
      <c r="E71" s="2118">
        <v>0</v>
      </c>
      <c r="F71" s="2118">
        <v>0</v>
      </c>
      <c r="G71" s="2118">
        <f t="shared" si="7"/>
        <v>0</v>
      </c>
      <c r="H71" s="2640">
        <f>SUMIF('Original Budget'!$A$1:$A$691,'Trial Balance - FPer'!A71,'Original Budget'!$C$1:$C$691)</f>
        <v>22683.88</v>
      </c>
      <c r="I71" s="2640"/>
      <c r="J71" s="2119" t="s">
        <v>6388</v>
      </c>
      <c r="L71" s="2024" t="str">
        <f>VLOOKUP(A71,'2012 Budget'!$A$18:$B$2152,2,FALSE)</f>
        <v>Allowance - Oth</v>
      </c>
    </row>
    <row r="72" spans="1:12" s="2024" customFormat="1" ht="13.5" thickBot="1" x14ac:dyDescent="0.25">
      <c r="A72" s="2120" t="s">
        <v>5834</v>
      </c>
      <c r="B72" s="2121" t="s">
        <v>4820</v>
      </c>
      <c r="C72" s="2122">
        <f>VLOOKUP(A72,'2011 - TB'!$A$3:$B$971,2,FALSE)</f>
        <v>3622.41</v>
      </c>
      <c r="D72" s="2123">
        <v>0</v>
      </c>
      <c r="E72" s="2123">
        <v>0</v>
      </c>
      <c r="F72" s="2123">
        <v>0</v>
      </c>
      <c r="G72" s="2123">
        <f t="shared" si="7"/>
        <v>0</v>
      </c>
      <c r="H72" s="2640">
        <f>SUMIF('Original Budget'!$A$1:$A$691,'Trial Balance - FPer'!A72,'Original Budget'!$C$1:$C$691)</f>
        <v>2230.92</v>
      </c>
      <c r="I72" s="2640"/>
      <c r="J72" s="2124" t="s">
        <v>6388</v>
      </c>
      <c r="L72" s="2024" t="str">
        <f>VLOOKUP(A72,'2012 Budget'!$A$18:$B$2152,2,FALSE)</f>
        <v>Allowance - Oth</v>
      </c>
    </row>
    <row r="73" spans="1:12" s="2024" customFormat="1" x14ac:dyDescent="0.2">
      <c r="A73" s="2116" t="s">
        <v>4813</v>
      </c>
      <c r="B73" s="2117" t="s">
        <v>4814</v>
      </c>
      <c r="C73" s="2109">
        <f>VLOOKUP(A73,'2011 - TB'!$A$3:$B$971,2,FALSE)</f>
        <v>4500</v>
      </c>
      <c r="D73" s="2118">
        <v>0</v>
      </c>
      <c r="E73" s="2118">
        <f>VLOOKUP(A73,'2012 - TB'!$A$3:$H$733,5,FALSE)</f>
        <v>6100</v>
      </c>
      <c r="F73" s="2118">
        <f>VLOOKUP(A73,'2012 - TB'!$A$3:$H$733,6,FALSE)</f>
        <v>0</v>
      </c>
      <c r="G73" s="2118">
        <f t="shared" si="7"/>
        <v>6100</v>
      </c>
      <c r="H73" s="2640">
        <f>SUMIF('Original Budget'!$A$1:$A$691,'Trial Balance - FPer'!A73,'Original Budget'!$C$1:$C$691)</f>
        <v>4326</v>
      </c>
      <c r="I73" s="2640">
        <f>VLOOKUP(A73,'2012 - TB'!$A$3:$C$733,3,FALSE)</f>
        <v>6100</v>
      </c>
      <c r="J73" s="2119" t="s">
        <v>6388</v>
      </c>
      <c r="L73" s="2024" t="str">
        <f>VLOOKUP(A73,'2012 Budget'!$A$18:$B$2152,2,FALSE)</f>
        <v>Allowance - Tel</v>
      </c>
    </row>
    <row r="74" spans="1:12" s="2024" customFormat="1" x14ac:dyDescent="0.2">
      <c r="A74" s="2116" t="s">
        <v>4907</v>
      </c>
      <c r="B74" s="2117" t="s">
        <v>4814</v>
      </c>
      <c r="C74" s="2109">
        <f>VLOOKUP(A74,'2011 - TB'!$A$3:$B$971,2,FALSE)</f>
        <v>19138.400000000001</v>
      </c>
      <c r="D74" s="2118">
        <v>0</v>
      </c>
      <c r="E74" s="2118">
        <f>VLOOKUP(A74,'2012 - TB'!$A$3:$H$733,5,FALSE)</f>
        <v>3656.4</v>
      </c>
      <c r="F74" s="2118">
        <f>VLOOKUP(A74,'2012 - TB'!$A$3:$H$733,6,FALSE)</f>
        <v>0</v>
      </c>
      <c r="G74" s="2118">
        <f t="shared" si="7"/>
        <v>3656.4</v>
      </c>
      <c r="H74" s="2640">
        <f>SUMIF('Original Budget'!$A$1:$A$691,'Trial Balance - FPer'!A74,'Original Budget'!$C$1:$C$691)</f>
        <v>23787.38</v>
      </c>
      <c r="I74" s="2640">
        <f>VLOOKUP(A74,'2012 - TB'!$A$3:$C$733,3,FALSE)</f>
        <v>3656.4</v>
      </c>
      <c r="J74" s="2119" t="s">
        <v>6388</v>
      </c>
      <c r="L74" s="2024" t="str">
        <f>VLOOKUP(A74,'2012 Budget'!$A$18:$B$2152,2,FALSE)</f>
        <v>Allowance - Tel</v>
      </c>
    </row>
    <row r="75" spans="1:12" s="2024" customFormat="1" x14ac:dyDescent="0.2">
      <c r="A75" s="2116" t="s">
        <v>4942</v>
      </c>
      <c r="B75" s="2117" t="s">
        <v>4814</v>
      </c>
      <c r="C75" s="2109">
        <f>VLOOKUP(A75,'2011 - TB'!$A$3:$B$971,2,FALSE)</f>
        <v>20965.38</v>
      </c>
      <c r="D75" s="2118">
        <v>0</v>
      </c>
      <c r="E75" s="2118">
        <f>VLOOKUP(A75,'2012 - TB'!$A$3:$H$733,5,FALSE)</f>
        <v>5817</v>
      </c>
      <c r="F75" s="2118">
        <f>VLOOKUP(A75,'2012 - TB'!$A$3:$H$733,6,FALSE)</f>
        <v>0</v>
      </c>
      <c r="G75" s="2118">
        <f t="shared" si="7"/>
        <v>5817</v>
      </c>
      <c r="H75" s="2640">
        <f>SUMIF('Original Budget'!$A$1:$A$691,'Trial Balance - FPer'!A75,'Original Budget'!$C$1:$C$691)</f>
        <v>26540.83</v>
      </c>
      <c r="I75" s="2640">
        <f>VLOOKUP(A75,'2012 - TB'!$A$3:$C$733,3,FALSE)</f>
        <v>7017</v>
      </c>
      <c r="J75" s="2119" t="s">
        <v>6388</v>
      </c>
      <c r="L75" s="2024" t="str">
        <f>VLOOKUP(A75,'2012 Budget'!$A$18:$B$2152,2,FALSE)</f>
        <v>Allowance - Tel</v>
      </c>
    </row>
    <row r="76" spans="1:12" s="2024" customFormat="1" x14ac:dyDescent="0.2">
      <c r="A76" s="2116" t="s">
        <v>4943</v>
      </c>
      <c r="B76" s="2117" t="s">
        <v>4814</v>
      </c>
      <c r="C76" s="2109">
        <f>VLOOKUP(A76,'2011 - TB'!$A$3:$B$971,2,FALSE)</f>
        <v>2400</v>
      </c>
      <c r="D76" s="2118">
        <v>0</v>
      </c>
      <c r="E76" s="2118">
        <f>VLOOKUP(A76,'2012 - TB'!$A$3:$H$733,5,FALSE)</f>
        <v>7300</v>
      </c>
      <c r="F76" s="2118">
        <f>VLOOKUP(A76,'2012 - TB'!$A$3:$H$733,6,FALSE)</f>
        <v>0</v>
      </c>
      <c r="G76" s="2118">
        <f t="shared" si="7"/>
        <v>7300</v>
      </c>
      <c r="H76" s="2640">
        <f>SUMIF('Original Budget'!$A$1:$A$691,'Trial Balance - FPer'!A76,'Original Budget'!$C$1:$C$691)</f>
        <v>3028.2</v>
      </c>
      <c r="I76" s="2640">
        <f>VLOOKUP(A76,'2012 - TB'!$A$3:$C$733,3,FALSE)</f>
        <v>6200</v>
      </c>
      <c r="J76" s="2119" t="s">
        <v>6388</v>
      </c>
      <c r="L76" s="2024" t="str">
        <f>VLOOKUP(A76,'2012 Budget'!$A$18:$B$2152,2,FALSE)</f>
        <v>Allowance - Tel</v>
      </c>
    </row>
    <row r="77" spans="1:12" s="2024" customFormat="1" x14ac:dyDescent="0.2">
      <c r="A77" s="2116" t="s">
        <v>4944</v>
      </c>
      <c r="B77" s="2117" t="s">
        <v>4814</v>
      </c>
      <c r="C77" s="2109">
        <f>VLOOKUP(A77,'2011 - TB'!$A$3:$B$971,2,FALSE)</f>
        <v>0</v>
      </c>
      <c r="D77" s="2118">
        <v>0</v>
      </c>
      <c r="E77" s="2118">
        <v>0</v>
      </c>
      <c r="F77" s="2118">
        <v>0</v>
      </c>
      <c r="G77" s="2118">
        <f t="shared" si="7"/>
        <v>0</v>
      </c>
      <c r="H77" s="2640">
        <f>SUMIF('Original Budget'!$A$1:$A$691,'Trial Balance - FPer'!A77,'Original Budget'!$C$1:$C$691)</f>
        <v>0</v>
      </c>
      <c r="I77" s="2640"/>
      <c r="J77" s="2119" t="s">
        <v>6388</v>
      </c>
      <c r="L77" s="2024" t="str">
        <f>VLOOKUP(A77,'2012 Budget'!$A$18:$B$2152,2,FALSE)</f>
        <v>Allowance - Tel</v>
      </c>
    </row>
    <row r="78" spans="1:12" s="2024" customFormat="1" x14ac:dyDescent="0.2">
      <c r="A78" s="2116" t="s">
        <v>5101</v>
      </c>
      <c r="B78" s="2117" t="s">
        <v>4814</v>
      </c>
      <c r="C78" s="2109">
        <f>VLOOKUP(A78,'2011 - TB'!$A$3:$B$971,2,FALSE)</f>
        <v>4500</v>
      </c>
      <c r="D78" s="2118">
        <v>0</v>
      </c>
      <c r="E78" s="2118">
        <f>VLOOKUP(A78,'2012 - TB'!$A$3:$H$733,5,FALSE)</f>
        <v>1300</v>
      </c>
      <c r="F78" s="2118">
        <f>VLOOKUP(A78,'2012 - TB'!$A$3:$H$733,6,FALSE)</f>
        <v>0</v>
      </c>
      <c r="G78" s="2118">
        <f t="shared" si="7"/>
        <v>1300</v>
      </c>
      <c r="H78" s="2640">
        <f>SUMIF('Original Budget'!$A$1:$A$691,'Trial Balance - FPer'!A78,'Original Budget'!$C$1:$C$691)</f>
        <v>7570.5</v>
      </c>
      <c r="I78" s="2640">
        <f>VLOOKUP(A78,'2012 - TB'!$A$3:$C$733,3,FALSE)</f>
        <v>1300</v>
      </c>
      <c r="J78" s="2119" t="s">
        <v>6388</v>
      </c>
      <c r="L78" s="2024" t="str">
        <f>VLOOKUP(A78,'2012 Budget'!$A$18:$B$2152,2,FALSE)</f>
        <v>Allowance - Tel</v>
      </c>
    </row>
    <row r="79" spans="1:12" s="2024" customFormat="1" x14ac:dyDescent="0.2">
      <c r="A79" s="2116" t="s">
        <v>5127</v>
      </c>
      <c r="B79" s="2117" t="s">
        <v>4814</v>
      </c>
      <c r="C79" s="2109">
        <f>VLOOKUP(A79,'2011 - TB'!$A$3:$B$971,2,FALSE)</f>
        <v>0</v>
      </c>
      <c r="D79" s="2118">
        <v>0</v>
      </c>
      <c r="E79" s="2118">
        <f>VLOOKUP(A79,'2012 - TB'!$A$3:$H$733,5,FALSE)</f>
        <v>1000</v>
      </c>
      <c r="F79" s="2118">
        <f>VLOOKUP(A79,'2012 - TB'!$A$3:$H$733,6,FALSE)</f>
        <v>0</v>
      </c>
      <c r="G79" s="2118">
        <f t="shared" si="7"/>
        <v>1000</v>
      </c>
      <c r="H79" s="2640">
        <f>SUMIF('Original Budget'!$A$1:$A$691,'Trial Balance - FPer'!A79,'Original Budget'!$C$1:$C$691)</f>
        <v>0</v>
      </c>
      <c r="I79" s="2640">
        <f>VLOOKUP(A79,'2012 - TB'!$A$3:$C$733,3,FALSE)</f>
        <v>2200</v>
      </c>
      <c r="J79" s="2119" t="s">
        <v>6388</v>
      </c>
      <c r="L79" s="2024" t="str">
        <f>VLOOKUP(A79,'2012 Budget'!$A$18:$B$2152,2,FALSE)</f>
        <v>Allowance - Tel</v>
      </c>
    </row>
    <row r="80" spans="1:12" s="2024" customFormat="1" x14ac:dyDescent="0.2">
      <c r="A80" s="2116" t="s">
        <v>5208</v>
      </c>
      <c r="B80" s="2117" t="s">
        <v>4814</v>
      </c>
      <c r="C80" s="2109" t="str">
        <f>VLOOKUP(A80,'2011 - TB'!$A$3:$B$971,2,FALSE)</f>
        <v xml:space="preserve">                               -  </v>
      </c>
      <c r="D80" s="2118">
        <v>0</v>
      </c>
      <c r="E80" s="2118">
        <v>0</v>
      </c>
      <c r="F80" s="2118">
        <v>0</v>
      </c>
      <c r="G80" s="2118">
        <f t="shared" si="7"/>
        <v>0</v>
      </c>
      <c r="H80" s="2640">
        <f>SUMIF('Original Budget'!$A$1:$A$691,'Trial Balance - FPer'!A80,'Original Budget'!$C$1:$C$691)</f>
        <v>26540.83</v>
      </c>
      <c r="I80" s="2640"/>
      <c r="J80" s="2119" t="s">
        <v>6388</v>
      </c>
      <c r="L80" s="2024" t="str">
        <f>VLOOKUP(A80,'2012 Budget'!$A$18:$B$2152,2,FALSE)</f>
        <v>Allowance - Tel</v>
      </c>
    </row>
    <row r="81" spans="1:12" s="2024" customFormat="1" x14ac:dyDescent="0.2">
      <c r="A81" s="2116" t="s">
        <v>5209</v>
      </c>
      <c r="B81" s="2117" t="s">
        <v>4814</v>
      </c>
      <c r="C81" s="2109" t="str">
        <f>VLOOKUP(A81,'2011 - TB'!$A$3:$B$971,2,FALSE)</f>
        <v xml:space="preserve">                               -  </v>
      </c>
      <c r="D81" s="2118">
        <v>0</v>
      </c>
      <c r="E81" s="2118">
        <v>0</v>
      </c>
      <c r="F81" s="2118">
        <v>0</v>
      </c>
      <c r="G81" s="2118">
        <f t="shared" si="7"/>
        <v>0</v>
      </c>
      <c r="H81" s="2640">
        <f>SUMIF('Original Budget'!$A$1:$A$691,'Trial Balance - FPer'!A81,'Original Budget'!$C$1:$C$691)</f>
        <v>26540.83</v>
      </c>
      <c r="I81" s="2640"/>
      <c r="J81" s="2119" t="s">
        <v>6388</v>
      </c>
      <c r="L81" s="2024" t="str">
        <f>VLOOKUP(A81,'2012 Budget'!$A$18:$B$2152,2,FALSE)</f>
        <v>Allowance - Tel</v>
      </c>
    </row>
    <row r="82" spans="1:12" s="2024" customFormat="1" x14ac:dyDescent="0.2">
      <c r="A82" s="2116" t="s">
        <v>5210</v>
      </c>
      <c r="B82" s="2117" t="s">
        <v>4814</v>
      </c>
      <c r="C82" s="2109">
        <f>VLOOKUP(A82,'2011 - TB'!$A$3:$B$971,2,FALSE)</f>
        <v>4000</v>
      </c>
      <c r="D82" s="2118">
        <v>0</v>
      </c>
      <c r="E82" s="2118">
        <f>VLOOKUP(A82,'2012 - TB'!$A$3:$H$733,5,FALSE)</f>
        <v>5885</v>
      </c>
      <c r="F82" s="2118">
        <f>VLOOKUP(A82,'2012 - TB'!$A$3:$H$733,6,FALSE)</f>
        <v>0</v>
      </c>
      <c r="G82" s="2118">
        <f t="shared" si="7"/>
        <v>5885</v>
      </c>
      <c r="H82" s="2640">
        <f>SUMIF('Original Budget'!$A$1:$A$691,'Trial Balance - FPer'!A82,'Original Budget'!$C$1:$C$691)</f>
        <v>7570.5</v>
      </c>
      <c r="I82" s="2640">
        <f>VLOOKUP(A82,'2012 - TB'!$A$3:$C$733,3,FALSE)</f>
        <v>5001</v>
      </c>
      <c r="J82" s="2119" t="s">
        <v>6388</v>
      </c>
      <c r="L82" s="2024" t="str">
        <f>VLOOKUP(A82,'2012 Budget'!$A$18:$B$2152,2,FALSE)</f>
        <v>Allowance - Tel</v>
      </c>
    </row>
    <row r="83" spans="1:12" s="2024" customFormat="1" x14ac:dyDescent="0.2">
      <c r="A83" s="2116" t="s">
        <v>5319</v>
      </c>
      <c r="B83" s="2117" t="s">
        <v>4814</v>
      </c>
      <c r="C83" s="2109">
        <f>VLOOKUP(A83,'2011 - TB'!$A$3:$B$971,2,FALSE)</f>
        <v>9776</v>
      </c>
      <c r="D83" s="2118">
        <v>0</v>
      </c>
      <c r="E83" s="2118">
        <f>VLOOKUP(A83,'2012 - TB'!$A$3:$H$733,5,FALSE)</f>
        <v>4444</v>
      </c>
      <c r="F83" s="2118">
        <f>VLOOKUP(A83,'2012 - TB'!$A$3:$H$733,6,FALSE)</f>
        <v>0</v>
      </c>
      <c r="G83" s="2118">
        <f t="shared" si="7"/>
        <v>4444</v>
      </c>
      <c r="H83" s="2640">
        <f>SUMIF('Original Budget'!$A$1:$A$691,'Trial Balance - FPer'!A83,'Original Budget'!$C$1:$C$691)</f>
        <v>9811.3700000000008</v>
      </c>
      <c r="I83" s="2640">
        <f>VLOOKUP(A83,'2012 - TB'!$A$3:$C$733,3,FALSE)</f>
        <v>4444</v>
      </c>
      <c r="J83" s="2119" t="s">
        <v>6388</v>
      </c>
      <c r="L83" s="2024" t="str">
        <f>VLOOKUP(A83,'2012 Budget'!$A$18:$B$2152,2,FALSE)</f>
        <v>Allowance - Tel</v>
      </c>
    </row>
    <row r="84" spans="1:12" s="2024" customFormat="1" x14ac:dyDescent="0.2">
      <c r="A84" s="2116" t="s">
        <v>5439</v>
      </c>
      <c r="B84" s="2117" t="s">
        <v>4814</v>
      </c>
      <c r="C84" s="2109">
        <f>VLOOKUP(A84,'2011 - TB'!$A$3:$B$971,2,FALSE)</f>
        <v>-500</v>
      </c>
      <c r="D84" s="2118">
        <v>0</v>
      </c>
      <c r="E84" s="2118">
        <f>VLOOKUP(A84,'2012 - TB'!$A$3:$H$733,5,FALSE)</f>
        <v>500</v>
      </c>
      <c r="F84" s="2118">
        <f>VLOOKUP(A84,'2012 - TB'!$A$3:$H$733,6,FALSE)</f>
        <v>0</v>
      </c>
      <c r="G84" s="2118">
        <f t="shared" si="7"/>
        <v>500</v>
      </c>
      <c r="H84" s="2640">
        <f>SUMIF('Original Budget'!$A$1:$A$691,'Trial Balance - FPer'!A84,'Original Budget'!$C$1:$C$691)</f>
        <v>26540.83</v>
      </c>
      <c r="I84" s="2640">
        <f>VLOOKUP(A84,'2012 - TB'!$A$3:$C$733,3,FALSE)</f>
        <v>500</v>
      </c>
      <c r="J84" s="2119" t="s">
        <v>6388</v>
      </c>
      <c r="L84" s="2024" t="str">
        <f>VLOOKUP(A84,'2012 Budget'!$A$18:$B$2152,2,FALSE)</f>
        <v>Allowance - Tel</v>
      </c>
    </row>
    <row r="85" spans="1:12" s="2024" customFormat="1" x14ac:dyDescent="0.2">
      <c r="A85" s="2116" t="s">
        <v>5440</v>
      </c>
      <c r="B85" s="2117" t="s">
        <v>4814</v>
      </c>
      <c r="C85" s="2109">
        <f>VLOOKUP(A85,'2011 - TB'!$A$3:$B$971,2,FALSE)</f>
        <v>6500</v>
      </c>
      <c r="D85" s="2118">
        <v>0</v>
      </c>
      <c r="E85" s="2118">
        <f>VLOOKUP(A85,'2012 - TB'!$A$3:$H$733,5,FALSE)</f>
        <v>6000</v>
      </c>
      <c r="F85" s="2118">
        <f>VLOOKUP(A85,'2012 - TB'!$A$3:$H$733,6,FALSE)</f>
        <v>0</v>
      </c>
      <c r="G85" s="2118">
        <f t="shared" si="7"/>
        <v>6000</v>
      </c>
      <c r="H85" s="2640">
        <f>SUMIF('Original Budget'!$A$1:$A$691,'Trial Balance - FPer'!A85,'Original Budget'!$C$1:$C$691)</f>
        <v>7570.5</v>
      </c>
      <c r="I85" s="2640">
        <f>VLOOKUP(A85,'2012 - TB'!$A$3:$C$733,3,FALSE)</f>
        <v>6000</v>
      </c>
      <c r="J85" s="2119" t="s">
        <v>6388</v>
      </c>
      <c r="L85" s="2024" t="str">
        <f>VLOOKUP(A85,'2012 Budget'!$A$18:$B$2152,2,FALSE)</f>
        <v>Allowance - Tel</v>
      </c>
    </row>
    <row r="86" spans="1:12" s="2024" customFormat="1" x14ac:dyDescent="0.2">
      <c r="A86" s="2116" t="s">
        <v>5441</v>
      </c>
      <c r="B86" s="2117" t="s">
        <v>4814</v>
      </c>
      <c r="C86" s="2109">
        <f>VLOOKUP(A86,'2011 - TB'!$A$3:$B$971,2,FALSE)</f>
        <v>0</v>
      </c>
      <c r="D86" s="2118">
        <v>0</v>
      </c>
      <c r="E86" s="2118">
        <v>0</v>
      </c>
      <c r="F86" s="2118">
        <v>0</v>
      </c>
      <c r="G86" s="2118">
        <f t="shared" si="7"/>
        <v>0</v>
      </c>
      <c r="H86" s="2640">
        <f>SUMIF('Original Budget'!$A$1:$A$691,'Trial Balance - FPer'!A86,'Original Budget'!$C$1:$C$691)</f>
        <v>0</v>
      </c>
      <c r="I86" s="2640"/>
      <c r="J86" s="2119" t="s">
        <v>6388</v>
      </c>
      <c r="L86" s="2024" t="str">
        <f>VLOOKUP(A86,'2012 Budget'!$A$18:$B$2152,2,FALSE)</f>
        <v>Allowance - Tel</v>
      </c>
    </row>
    <row r="87" spans="1:12" s="2024" customFormat="1" x14ac:dyDescent="0.2">
      <c r="A87" s="2116" t="s">
        <v>5519</v>
      </c>
      <c r="B87" s="2117" t="s">
        <v>4814</v>
      </c>
      <c r="C87" s="2109">
        <f>VLOOKUP(A87,'2011 - TB'!$A$3:$B$971,2,FALSE)</f>
        <v>2400</v>
      </c>
      <c r="D87" s="2118">
        <v>0</v>
      </c>
      <c r="E87" s="2118">
        <f>VLOOKUP(A87,'2012 - TB'!$A$3:$H$733,5,FALSE)</f>
        <v>6600</v>
      </c>
      <c r="F87" s="2118">
        <f>VLOOKUP(A87,'2012 - TB'!$A$3:$H$733,6,FALSE)</f>
        <v>0</v>
      </c>
      <c r="G87" s="2118">
        <f t="shared" si="7"/>
        <v>6600</v>
      </c>
      <c r="H87" s="2640">
        <f>SUMIF('Original Budget'!$A$1:$A$691,'Trial Balance - FPer'!A87,'Original Budget'!$C$1:$C$691)</f>
        <v>0</v>
      </c>
      <c r="I87" s="2640">
        <f>VLOOKUP(A87,'2012 - TB'!$A$3:$C$733,3,FALSE)</f>
        <v>6600</v>
      </c>
      <c r="J87" s="2119" t="s">
        <v>6388</v>
      </c>
      <c r="L87" s="2024" t="str">
        <f>VLOOKUP(A87,'2012 Budget'!$A$18:$B$2152,2,FALSE)</f>
        <v>Allowance - Tel</v>
      </c>
    </row>
    <row r="88" spans="1:12" s="2024" customFormat="1" x14ac:dyDescent="0.2">
      <c r="A88" s="2116" t="s">
        <v>5553</v>
      </c>
      <c r="B88" s="2117" t="s">
        <v>4814</v>
      </c>
      <c r="C88" s="2109">
        <f>VLOOKUP(A88,'2011 - TB'!$A$3:$B$971,2,FALSE)</f>
        <v>0</v>
      </c>
      <c r="D88" s="2118">
        <v>0</v>
      </c>
      <c r="E88" s="2118">
        <v>0</v>
      </c>
      <c r="F88" s="2118">
        <v>0</v>
      </c>
      <c r="G88" s="2118">
        <f t="shared" si="7"/>
        <v>0</v>
      </c>
      <c r="H88" s="2640">
        <f>SUMIF('Original Budget'!$A$1:$A$691,'Trial Balance - FPer'!A88,'Original Budget'!$C$1:$C$691)</f>
        <v>0</v>
      </c>
      <c r="I88" s="2640"/>
      <c r="J88" s="2119" t="s">
        <v>6388</v>
      </c>
      <c r="L88" s="2024" t="str">
        <f>VLOOKUP(A88,'2012 Budget'!$A$18:$B$2152,2,FALSE)</f>
        <v>Allowance - Tel</v>
      </c>
    </row>
    <row r="89" spans="1:12" s="2024" customFormat="1" x14ac:dyDescent="0.2">
      <c r="A89" s="2116" t="s">
        <v>5591</v>
      </c>
      <c r="B89" s="2117" t="s">
        <v>4814</v>
      </c>
      <c r="C89" s="2109">
        <f>VLOOKUP(A89,'2011 - TB'!$A$3:$B$971,2,FALSE)</f>
        <v>0</v>
      </c>
      <c r="D89" s="2118">
        <v>0</v>
      </c>
      <c r="E89" s="2118">
        <v>0</v>
      </c>
      <c r="F89" s="2118">
        <v>0</v>
      </c>
      <c r="G89" s="2118">
        <f t="shared" si="7"/>
        <v>0</v>
      </c>
      <c r="H89" s="2640">
        <f>SUMIF('Original Budget'!$A$1:$A$691,'Trial Balance - FPer'!A89,'Original Budget'!$C$1:$C$691)</f>
        <v>0</v>
      </c>
      <c r="I89" s="2640"/>
      <c r="J89" s="2119" t="s">
        <v>6388</v>
      </c>
      <c r="L89" s="2024" t="str">
        <f>VLOOKUP(A89,'2012 Budget'!$A$18:$B$2152,2,FALSE)</f>
        <v>Allowance - Tel</v>
      </c>
    </row>
    <row r="90" spans="1:12" s="2024" customFormat="1" x14ac:dyDescent="0.2">
      <c r="A90" s="2116" t="s">
        <v>5646</v>
      </c>
      <c r="B90" s="2117" t="s">
        <v>4814</v>
      </c>
      <c r="C90" s="2109">
        <f>VLOOKUP(A90,'2011 - TB'!$A$3:$B$971,2,FALSE)</f>
        <v>0</v>
      </c>
      <c r="D90" s="2118">
        <v>0</v>
      </c>
      <c r="E90" s="2118">
        <v>0</v>
      </c>
      <c r="F90" s="2118">
        <v>0</v>
      </c>
      <c r="G90" s="2118">
        <f t="shared" si="7"/>
        <v>0</v>
      </c>
      <c r="H90" s="2640">
        <f>SUMIF('Original Budget'!$A$1:$A$691,'Trial Balance - FPer'!A90,'Original Budget'!$C$1:$C$691)</f>
        <v>0</v>
      </c>
      <c r="I90" s="2640"/>
      <c r="J90" s="2119" t="s">
        <v>6388</v>
      </c>
      <c r="L90" s="2024" t="str">
        <f>VLOOKUP(A90,'2012 Budget'!$A$18:$B$2152,2,FALSE)</f>
        <v>Allowance - Tel</v>
      </c>
    </row>
    <row r="91" spans="1:12" s="2024" customFormat="1" x14ac:dyDescent="0.2">
      <c r="A91" s="2116" t="s">
        <v>5664</v>
      </c>
      <c r="B91" s="2117" t="s">
        <v>4814</v>
      </c>
      <c r="C91" s="2109">
        <f>VLOOKUP(A91,'2011 - TB'!$A$3:$B$971,2,FALSE)</f>
        <v>2400</v>
      </c>
      <c r="D91" s="2118">
        <v>0</v>
      </c>
      <c r="E91" s="2118">
        <f>VLOOKUP(A91,'2012 - TB'!$A$3:$H$733,5,FALSE)</f>
        <v>1000</v>
      </c>
      <c r="F91" s="2118">
        <f>VLOOKUP(A91,'2012 - TB'!$A$3:$H$733,6,FALSE)</f>
        <v>0</v>
      </c>
      <c r="G91" s="2118">
        <f t="shared" si="7"/>
        <v>1000</v>
      </c>
      <c r="H91" s="2640">
        <f>SUMIF('Original Budget'!$A$1:$A$691,'Trial Balance - FPer'!A91,'Original Budget'!$C$1:$C$691)</f>
        <v>3028.2</v>
      </c>
      <c r="I91" s="2640">
        <f>VLOOKUP(A91,'2012 - TB'!$A$3:$C$733,3,FALSE)</f>
        <v>1000</v>
      </c>
      <c r="J91" s="2119" t="s">
        <v>6388</v>
      </c>
      <c r="L91" s="2024" t="str">
        <f>VLOOKUP(A91,'2012 Budget'!$A$18:$B$2152,2,FALSE)</f>
        <v>Allowance - Tel</v>
      </c>
    </row>
    <row r="92" spans="1:12" s="2024" customFormat="1" x14ac:dyDescent="0.2">
      <c r="A92" s="2116" t="s">
        <v>5728</v>
      </c>
      <c r="B92" s="2117" t="s">
        <v>4814</v>
      </c>
      <c r="C92" s="2109">
        <f>VLOOKUP(A92,'2011 - TB'!$A$3:$B$971,2,FALSE)</f>
        <v>0</v>
      </c>
      <c r="D92" s="2118">
        <v>0</v>
      </c>
      <c r="E92" s="2118">
        <v>0</v>
      </c>
      <c r="F92" s="2118">
        <v>0</v>
      </c>
      <c r="G92" s="2118">
        <f t="shared" si="7"/>
        <v>0</v>
      </c>
      <c r="H92" s="2640">
        <f>SUMIF('Original Budget'!$A$1:$A$691,'Trial Balance - FPer'!A92,'Original Budget'!$C$1:$C$691)</f>
        <v>0</v>
      </c>
      <c r="I92" s="2640"/>
      <c r="J92" s="2119" t="s">
        <v>6388</v>
      </c>
      <c r="L92" s="2024" t="str">
        <f>VLOOKUP(A92,'2012 Budget'!$A$18:$B$2152,2,FALSE)</f>
        <v>Allowance - Tel</v>
      </c>
    </row>
    <row r="93" spans="1:12" s="2024" customFormat="1" x14ac:dyDescent="0.2">
      <c r="A93" s="2116" t="s">
        <v>5773</v>
      </c>
      <c r="B93" s="2117" t="s">
        <v>4814</v>
      </c>
      <c r="C93" s="2109">
        <f>VLOOKUP(A93,'2011 - TB'!$A$3:$B$971,2,FALSE)</f>
        <v>0</v>
      </c>
      <c r="D93" s="2118">
        <v>0</v>
      </c>
      <c r="E93" s="2118">
        <v>0</v>
      </c>
      <c r="F93" s="2118">
        <v>0</v>
      </c>
      <c r="G93" s="2118">
        <f t="shared" si="7"/>
        <v>0</v>
      </c>
      <c r="H93" s="2640">
        <f>SUMIF('Original Budget'!$A$1:$A$691,'Trial Balance - FPer'!A93,'Original Budget'!$C$1:$C$691)</f>
        <v>0</v>
      </c>
      <c r="I93" s="2640"/>
      <c r="J93" s="2119" t="s">
        <v>6388</v>
      </c>
      <c r="L93" s="2024" t="str">
        <f>VLOOKUP(A93,'2012 Budget'!$A$18:$B$2152,2,FALSE)</f>
        <v>Allowance - Tel</v>
      </c>
    </row>
    <row r="94" spans="1:12" s="2024" customFormat="1" x14ac:dyDescent="0.2">
      <c r="A94" s="2116" t="s">
        <v>5830</v>
      </c>
      <c r="B94" s="2117" t="s">
        <v>4814</v>
      </c>
      <c r="C94" s="2109">
        <f>VLOOKUP(A94,'2011 - TB'!$A$3:$B$971,2,FALSE)</f>
        <v>0</v>
      </c>
      <c r="D94" s="2118">
        <v>0</v>
      </c>
      <c r="E94" s="2118">
        <f>VLOOKUP(A94,'2012 - TB'!$A$3:$H$733,5,FALSE)</f>
        <v>300</v>
      </c>
      <c r="F94" s="2118">
        <f>VLOOKUP(A94,'2012 - TB'!$A$3:$H$733,6,FALSE)</f>
        <v>0</v>
      </c>
      <c r="G94" s="2118">
        <f t="shared" si="7"/>
        <v>300</v>
      </c>
      <c r="H94" s="2640">
        <f>SUMIF('Original Budget'!$A$1:$A$691,'Trial Balance - FPer'!A94,'Original Budget'!$C$1:$C$691)</f>
        <v>0</v>
      </c>
      <c r="I94" s="2640">
        <f>VLOOKUP(A94,'2012 - TB'!$A$3:$C$733,3,FALSE)</f>
        <v>1800</v>
      </c>
      <c r="J94" s="2119" t="s">
        <v>6388</v>
      </c>
      <c r="L94" s="2024" t="str">
        <f>VLOOKUP(A94,'2012 Budget'!$A$18:$B$2152,2,FALSE)</f>
        <v>Allowance - Tel</v>
      </c>
    </row>
    <row r="95" spans="1:12" s="2024" customFormat="1" ht="13.5" thickBot="1" x14ac:dyDescent="0.25">
      <c r="A95" s="2116" t="s">
        <v>5894</v>
      </c>
      <c r="B95" s="2117" t="s">
        <v>4814</v>
      </c>
      <c r="C95" s="2109">
        <f>VLOOKUP(A95,'2011 - TB'!$A$3:$B$971,2,FALSE)</f>
        <v>7600</v>
      </c>
      <c r="D95" s="2118">
        <v>0</v>
      </c>
      <c r="E95" s="2118">
        <f>VLOOKUP(A95,'2012 - TB'!$A$3:$H$733,5,FALSE)</f>
        <v>8400</v>
      </c>
      <c r="F95" s="2118">
        <f>VLOOKUP(A95,'2012 - TB'!$A$3:$H$733,6,FALSE)</f>
        <v>0</v>
      </c>
      <c r="G95" s="2118">
        <f t="shared" si="7"/>
        <v>8400</v>
      </c>
      <c r="H95" s="2640">
        <f>SUMIF('Original Budget'!$A$1:$A$691,'Trial Balance - FPer'!A95,'Original Budget'!$C$1:$C$691)</f>
        <v>8435.7000000000007</v>
      </c>
      <c r="I95" s="2640">
        <f>VLOOKUP(A95,'2012 - TB'!$A$3:$C$733,3,FALSE)</f>
        <v>8400</v>
      </c>
      <c r="J95" s="2119" t="s">
        <v>6388</v>
      </c>
      <c r="L95" s="2024" t="str">
        <f>VLOOKUP(A95,'2012 Budget'!$A$18:$B$2152,2,FALSE)</f>
        <v>Allowance - Tel</v>
      </c>
    </row>
    <row r="96" spans="1:12" s="2024" customFormat="1" x14ac:dyDescent="0.2">
      <c r="A96" s="2111" t="s">
        <v>4821</v>
      </c>
      <c r="B96" s="2112" t="s">
        <v>4822</v>
      </c>
      <c r="C96" s="2113">
        <f>VLOOKUP(A96,'2011 - TB'!$A$3:$B$971,2,FALSE)</f>
        <v>13141.04</v>
      </c>
      <c r="D96" s="2114">
        <v>0</v>
      </c>
      <c r="E96" s="2114">
        <f>VLOOKUP(A96,'2012 - TB'!$A$3:$H$733,5,FALSE)</f>
        <v>186542.41</v>
      </c>
      <c r="F96" s="2114">
        <f>VLOOKUP(A96,'2012 - TB'!$A$3:$H$733,6,FALSE)</f>
        <v>-3135.07</v>
      </c>
      <c r="G96" s="2114">
        <f t="shared" si="7"/>
        <v>183407.34</v>
      </c>
      <c r="H96" s="2640">
        <f>SUMIF('Original Budget'!$A$1:$A$691,'Trial Balance - FPer'!A96,'Original Budget'!$C$1:$C$691)</f>
        <v>0</v>
      </c>
      <c r="I96" s="2640">
        <f>VLOOKUP(A96,'2012 - TB'!$A$3:$C$733,3,FALSE)</f>
        <v>200907.34</v>
      </c>
      <c r="J96" s="2115" t="s">
        <v>6388</v>
      </c>
      <c r="L96" s="2024" t="str">
        <f>VLOOKUP(A96,'2012 Budget'!$A$18:$B$2152,2,FALSE)</f>
        <v>Allowance - Veh</v>
      </c>
    </row>
    <row r="97" spans="1:12" s="2024" customFormat="1" x14ac:dyDescent="0.2">
      <c r="A97" s="2116" t="s">
        <v>4910</v>
      </c>
      <c r="B97" s="2117" t="s">
        <v>4822</v>
      </c>
      <c r="C97" s="2109">
        <f>VLOOKUP(A97,'2011 - TB'!$A$3:$B$971,2,FALSE)</f>
        <v>73759.8</v>
      </c>
      <c r="D97" s="2118">
        <v>0</v>
      </c>
      <c r="E97" s="2118">
        <f>VLOOKUP(A97,'2012 - TB'!$A$3:$H$733,5,FALSE)</f>
        <v>168043.3</v>
      </c>
      <c r="F97" s="2118">
        <f>VLOOKUP(A97,'2012 - TB'!$A$3:$H$733,6,FALSE)</f>
        <v>0</v>
      </c>
      <c r="G97" s="2118">
        <f t="shared" si="7"/>
        <v>168043.3</v>
      </c>
      <c r="H97" s="2640">
        <f>SUMIF('Original Budget'!$A$1:$A$691,'Trial Balance - FPer'!A97,'Original Budget'!$C$1:$C$691)</f>
        <v>93066.43</v>
      </c>
      <c r="I97" s="2640">
        <f>VLOOKUP(A97,'2012 - TB'!$A$3:$C$733,3,FALSE)</f>
        <v>267000</v>
      </c>
      <c r="J97" s="2119" t="s">
        <v>6388</v>
      </c>
      <c r="L97" s="2024" t="str">
        <f>VLOOKUP(A97,'2012 Budget'!$A$18:$B$2152,2,FALSE)</f>
        <v>Allowance - Veh</v>
      </c>
    </row>
    <row r="98" spans="1:12" s="2024" customFormat="1" x14ac:dyDescent="0.2">
      <c r="A98" s="2116" t="s">
        <v>4955</v>
      </c>
      <c r="B98" s="2117" t="s">
        <v>4822</v>
      </c>
      <c r="C98" s="2109">
        <f>VLOOKUP(A98,'2011 - TB'!$A$3:$B$971,2,FALSE)</f>
        <v>4223.29</v>
      </c>
      <c r="D98" s="2118">
        <v>0</v>
      </c>
      <c r="E98" s="2118">
        <f>VLOOKUP(A98,'2012 - TB'!$A$3:$H$733,5,FALSE)</f>
        <v>145543.17000000001</v>
      </c>
      <c r="F98" s="2118">
        <f>VLOOKUP(A98,'2012 - TB'!$A$3:$H$733,6,FALSE)</f>
        <v>0</v>
      </c>
      <c r="G98" s="2118">
        <f t="shared" si="7"/>
        <v>145543.17000000001</v>
      </c>
      <c r="H98" s="2640">
        <f>SUMIF('Original Budget'!$A$1:$A$691,'Trial Balance - FPer'!A98,'Original Budget'!$C$1:$C$691)</f>
        <v>9134.98</v>
      </c>
      <c r="I98" s="2640">
        <f>VLOOKUP(A98,'2012 - TB'!$A$3:$C$733,3,FALSE)</f>
        <v>145543.17000000001</v>
      </c>
      <c r="J98" s="2119" t="s">
        <v>6388</v>
      </c>
      <c r="L98" s="2024" t="str">
        <f>VLOOKUP(A98,'2012 Budget'!$A$18:$B$2152,2,FALSE)</f>
        <v>Allowance - Veh</v>
      </c>
    </row>
    <row r="99" spans="1:12" s="2024" customFormat="1" x14ac:dyDescent="0.2">
      <c r="A99" s="2116" t="s">
        <v>4956</v>
      </c>
      <c r="B99" s="2117" t="s">
        <v>4822</v>
      </c>
      <c r="C99" s="2109">
        <f>VLOOKUP(A99,'2011 - TB'!$A$3:$B$971,2,FALSE)</f>
        <v>30000</v>
      </c>
      <c r="D99" s="2118">
        <v>0</v>
      </c>
      <c r="E99" s="2118">
        <f>VLOOKUP(A99,'2012 - TB'!$A$3:$H$733,5,FALSE)</f>
        <v>138975.29999999999</v>
      </c>
      <c r="F99" s="2118">
        <f>VLOOKUP(A99,'2012 - TB'!$A$3:$H$733,6,FALSE)</f>
        <v>0</v>
      </c>
      <c r="G99" s="2118">
        <f t="shared" si="7"/>
        <v>138975.29999999999</v>
      </c>
      <c r="H99" s="2640">
        <f>SUMIF('Original Budget'!$A$1:$A$691,'Trial Balance - FPer'!A99,'Original Budget'!$C$1:$C$691)</f>
        <v>37852.5</v>
      </c>
      <c r="I99" s="2640">
        <f>VLOOKUP(A99,'2012 - TB'!$A$3:$C$733,3,FALSE)</f>
        <v>152975.29999999999</v>
      </c>
      <c r="J99" s="2119" t="s">
        <v>6388</v>
      </c>
      <c r="L99" s="2024" t="str">
        <f>VLOOKUP(A99,'2012 Budget'!$A$18:$B$2152,2,FALSE)</f>
        <v>Allowance - Veh</v>
      </c>
    </row>
    <row r="100" spans="1:12" s="2024" customFormat="1" x14ac:dyDescent="0.2">
      <c r="A100" s="2116" t="s">
        <v>4957</v>
      </c>
      <c r="B100" s="2117" t="s">
        <v>4822</v>
      </c>
      <c r="C100" s="2109">
        <f>VLOOKUP(A100,'2011 - TB'!$A$3:$B$971,2,FALSE)</f>
        <v>11200</v>
      </c>
      <c r="D100" s="2118">
        <v>0</v>
      </c>
      <c r="E100" s="2118">
        <v>0</v>
      </c>
      <c r="F100" s="2118">
        <v>0</v>
      </c>
      <c r="G100" s="2118">
        <f t="shared" si="7"/>
        <v>0</v>
      </c>
      <c r="H100" s="2640">
        <f>SUMIF('Original Budget'!$A$1:$A$691,'Trial Balance - FPer'!A100,'Original Budget'!$C$1:$C$691)</f>
        <v>30282</v>
      </c>
      <c r="I100" s="2640"/>
      <c r="J100" s="2119" t="s">
        <v>6388</v>
      </c>
      <c r="L100" s="2024" t="str">
        <f>VLOOKUP(A100,'2012 Budget'!$A$18:$B$2152,2,FALSE)</f>
        <v>Allowance - Veh</v>
      </c>
    </row>
    <row r="101" spans="1:12" s="2024" customFormat="1" x14ac:dyDescent="0.2">
      <c r="A101" s="2116" t="s">
        <v>5103</v>
      </c>
      <c r="B101" s="2117" t="s">
        <v>4822</v>
      </c>
      <c r="C101" s="2109">
        <f>VLOOKUP(A101,'2011 - TB'!$A$3:$B$971,2,FALSE)</f>
        <v>25000</v>
      </c>
      <c r="D101" s="2118">
        <v>0</v>
      </c>
      <c r="E101" s="2118">
        <f>VLOOKUP(A101,'2012 - TB'!$A$3:$H$733,5,FALSE)</f>
        <v>130434.04</v>
      </c>
      <c r="F101" s="2118">
        <f>VLOOKUP(A101,'2012 - TB'!$A$3:$H$733,6,FALSE)</f>
        <v>0</v>
      </c>
      <c r="G101" s="2118">
        <f t="shared" si="7"/>
        <v>130434.04</v>
      </c>
      <c r="H101" s="2640">
        <f>SUMIF('Original Budget'!$A$1:$A$691,'Trial Balance - FPer'!A101,'Original Budget'!$C$1:$C$691)</f>
        <v>37852.5</v>
      </c>
      <c r="I101" s="2640">
        <f>VLOOKUP(A101,'2012 - TB'!$A$3:$C$733,3,FALSE)</f>
        <v>130434.04</v>
      </c>
      <c r="J101" s="2119" t="s">
        <v>6388</v>
      </c>
      <c r="L101" s="2024" t="str">
        <f>VLOOKUP(A101,'2012 Budget'!$A$18:$B$2152,2,FALSE)</f>
        <v>Allowance - Veh</v>
      </c>
    </row>
    <row r="102" spans="1:12" s="2024" customFormat="1" x14ac:dyDescent="0.2">
      <c r="A102" s="2116" t="s">
        <v>5131</v>
      </c>
      <c r="B102" s="2117" t="s">
        <v>4822</v>
      </c>
      <c r="C102" s="2109">
        <f>VLOOKUP(A102,'2011 - TB'!$A$3:$B$971,2,FALSE)</f>
        <v>22400</v>
      </c>
      <c r="D102" s="2118">
        <v>0</v>
      </c>
      <c r="E102" s="2118">
        <f>VLOOKUP(A102,'2012 - TB'!$A$3:$H$733,5,FALSE)</f>
        <v>37850.78</v>
      </c>
      <c r="F102" s="2118">
        <f>VLOOKUP(A102,'2012 - TB'!$A$3:$H$733,6,FALSE)</f>
        <v>0</v>
      </c>
      <c r="G102" s="2118">
        <f t="shared" si="7"/>
        <v>37850.78</v>
      </c>
      <c r="H102" s="2640">
        <f>SUMIF('Original Budget'!$A$1:$A$691,'Trial Balance - FPer'!A102,'Original Budget'!$C$1:$C$691)</f>
        <v>12112.8</v>
      </c>
      <c r="I102" s="2640">
        <f>VLOOKUP(A102,'2012 - TB'!$A$3:$C$733,3,FALSE)</f>
        <v>49162.78</v>
      </c>
      <c r="J102" s="2119" t="s">
        <v>6388</v>
      </c>
      <c r="L102" s="2024" t="str">
        <f>VLOOKUP(A102,'2012 Budget'!$A$18:$B$2152,2,FALSE)</f>
        <v>Allowance - Veh</v>
      </c>
    </row>
    <row r="103" spans="1:12" s="2024" customFormat="1" x14ac:dyDescent="0.2">
      <c r="A103" s="2116" t="s">
        <v>5219</v>
      </c>
      <c r="B103" s="2117" t="s">
        <v>4822</v>
      </c>
      <c r="C103" s="2109">
        <f>VLOOKUP(A103,'2011 - TB'!$A$3:$B$971,2,FALSE)</f>
        <v>30000</v>
      </c>
      <c r="D103" s="2118">
        <v>0</v>
      </c>
      <c r="E103" s="2118">
        <f>VLOOKUP(A103,'2012 - TB'!$A$3:$H$733,5,FALSE)</f>
        <v>128938.69</v>
      </c>
      <c r="F103" s="2118">
        <f>VLOOKUP(A103,'2012 - TB'!$A$3:$H$733,6,FALSE)</f>
        <v>0</v>
      </c>
      <c r="G103" s="2118">
        <f t="shared" si="7"/>
        <v>128938.69</v>
      </c>
      <c r="H103" s="2640">
        <f>SUMIF('Original Budget'!$A$1:$A$691,'Trial Balance - FPer'!A103,'Original Budget'!$C$1:$C$691)</f>
        <v>9134.98</v>
      </c>
      <c r="I103" s="2640">
        <f>VLOOKUP(A103,'2012 - TB'!$A$3:$C$733,3,FALSE)</f>
        <v>128938.69</v>
      </c>
      <c r="J103" s="2119" t="s">
        <v>6388</v>
      </c>
      <c r="L103" s="2024" t="str">
        <f>VLOOKUP(A103,'2012 Budget'!$A$18:$B$2152,2,FALSE)</f>
        <v>Allowance - Veh</v>
      </c>
    </row>
    <row r="104" spans="1:12" s="2024" customFormat="1" x14ac:dyDescent="0.2">
      <c r="A104" s="2116" t="s">
        <v>5220</v>
      </c>
      <c r="B104" s="2117" t="s">
        <v>4822</v>
      </c>
      <c r="C104" s="2109" t="str">
        <f>VLOOKUP(A104,'2011 - TB'!$A$3:$B$971,2,FALSE)</f>
        <v xml:space="preserve">                               -  </v>
      </c>
      <c r="D104" s="2118">
        <v>0</v>
      </c>
      <c r="E104" s="2118">
        <f>VLOOKUP(A104,'2012 - TB'!$A$3:$H$733,5,FALSE)</f>
        <v>37516.32</v>
      </c>
      <c r="F104" s="2118">
        <f>VLOOKUP(A104,'2012 - TB'!$A$3:$H$733,6,FALSE)</f>
        <v>0</v>
      </c>
      <c r="G104" s="2118">
        <f t="shared" si="7"/>
        <v>37516.32</v>
      </c>
      <c r="H104" s="2640">
        <f>SUMIF('Original Budget'!$A$1:$A$691,'Trial Balance - FPer'!A104,'Original Budget'!$C$1:$C$691)</f>
        <v>9134.98</v>
      </c>
      <c r="I104" s="2640">
        <f>VLOOKUP(A104,'2012 - TB'!$A$3:$C$733,3,FALSE)</f>
        <v>37516.32</v>
      </c>
      <c r="J104" s="2119" t="s">
        <v>6388</v>
      </c>
      <c r="L104" s="2024" t="str">
        <f>VLOOKUP(A104,'2012 Budget'!$A$18:$B$2152,2,FALSE)</f>
        <v>Allowance - Veh</v>
      </c>
    </row>
    <row r="105" spans="1:12" s="2024" customFormat="1" x14ac:dyDescent="0.2">
      <c r="A105" s="2116" t="s">
        <v>5221</v>
      </c>
      <c r="B105" s="2117" t="s">
        <v>4822</v>
      </c>
      <c r="C105" s="2109">
        <f>VLOOKUP(A105,'2011 - TB'!$A$3:$B$971,2,FALSE)</f>
        <v>24000</v>
      </c>
      <c r="D105" s="2118">
        <v>0</v>
      </c>
      <c r="E105" s="2118">
        <f>VLOOKUP(A105,'2012 - TB'!$A$3:$H$733,5,FALSE)</f>
        <v>0</v>
      </c>
      <c r="F105" s="2118">
        <f>VLOOKUP(A105,'2012 - TB'!$A$3:$H$733,6,FALSE)</f>
        <v>-1500</v>
      </c>
      <c r="G105" s="2118">
        <f t="shared" si="7"/>
        <v>-1500</v>
      </c>
      <c r="H105" s="2640">
        <f>SUMIF('Original Budget'!$A$1:$A$691,'Trial Balance - FPer'!A105,'Original Budget'!$C$1:$C$691)</f>
        <v>37852.5</v>
      </c>
      <c r="I105" s="2640">
        <f>VLOOKUP(A105,'2012 - TB'!$A$3:$C$733,3,FALSE)</f>
        <v>0</v>
      </c>
      <c r="J105" s="2119" t="s">
        <v>6388</v>
      </c>
      <c r="L105" s="2024" t="str">
        <f>VLOOKUP(A105,'2012 Budget'!$A$18:$B$2152,2,FALSE)</f>
        <v>Allowance - Veh</v>
      </c>
    </row>
    <row r="106" spans="1:12" s="2024" customFormat="1" x14ac:dyDescent="0.2">
      <c r="A106" s="2116" t="s">
        <v>5222</v>
      </c>
      <c r="B106" s="2117" t="s">
        <v>4822</v>
      </c>
      <c r="C106" s="2109">
        <f>VLOOKUP(A106,'2011 - TB'!$A$3:$B$971,2,FALSE)</f>
        <v>22862.080000000002</v>
      </c>
      <c r="D106" s="2118">
        <v>0</v>
      </c>
      <c r="E106" s="2118">
        <f>VLOOKUP(A106,'2012 - TB'!$A$3:$H$733,5,FALSE)</f>
        <v>71489.86</v>
      </c>
      <c r="F106" s="2118">
        <f>VLOOKUP(A106,'2012 - TB'!$A$3:$H$733,6,FALSE)</f>
        <v>-1200</v>
      </c>
      <c r="G106" s="2118">
        <f t="shared" si="7"/>
        <v>70289.86</v>
      </c>
      <c r="H106" s="2640">
        <f>SUMIF('Original Budget'!$A$1:$A$691,'Trial Balance - FPer'!A106,'Original Budget'!$C$1:$C$691)</f>
        <v>43269.34</v>
      </c>
      <c r="I106" s="2640">
        <f>VLOOKUP(A106,'2012 - TB'!$A$3:$C$733,3,FALSE)</f>
        <v>75449.86</v>
      </c>
      <c r="J106" s="2119" t="s">
        <v>6388</v>
      </c>
      <c r="L106" s="2024" t="str">
        <f>VLOOKUP(A106,'2012 Budget'!$A$18:$B$2152,2,FALSE)</f>
        <v>Allowance - Veh</v>
      </c>
    </row>
    <row r="107" spans="1:12" s="2024" customFormat="1" x14ac:dyDescent="0.2">
      <c r="A107" s="2116" t="s">
        <v>5323</v>
      </c>
      <c r="B107" s="2117" t="s">
        <v>4822</v>
      </c>
      <c r="C107" s="2109">
        <f>VLOOKUP(A107,'2011 - TB'!$A$3:$B$971,2,FALSE)</f>
        <v>43231.040000000001</v>
      </c>
      <c r="D107" s="2118">
        <v>0</v>
      </c>
      <c r="E107" s="2118">
        <f>VLOOKUP(A107,'2012 - TB'!$A$3:$H$733,5,FALSE)</f>
        <v>147400.62</v>
      </c>
      <c r="F107" s="2118">
        <f>VLOOKUP(A107,'2012 - TB'!$A$3:$H$733,6,FALSE)</f>
        <v>0</v>
      </c>
      <c r="G107" s="2118">
        <f t="shared" si="7"/>
        <v>147400.62</v>
      </c>
      <c r="H107" s="2640">
        <f>SUMIF('Original Budget'!$A$1:$A$691,'Trial Balance - FPer'!A107,'Original Budget'!$C$1:$C$691)</f>
        <v>40123.65</v>
      </c>
      <c r="I107" s="2640">
        <f>VLOOKUP(A107,'2012 - TB'!$A$3:$C$733,3,FALSE)</f>
        <v>133400.62</v>
      </c>
      <c r="J107" s="2119" t="s">
        <v>6388</v>
      </c>
      <c r="L107" s="2024" t="str">
        <f>VLOOKUP(A107,'2012 Budget'!$A$18:$B$2152,2,FALSE)</f>
        <v>Allowance - Veh</v>
      </c>
    </row>
    <row r="108" spans="1:12" s="2024" customFormat="1" x14ac:dyDescent="0.2">
      <c r="A108" s="2116" t="s">
        <v>5447</v>
      </c>
      <c r="B108" s="2117" t="s">
        <v>4822</v>
      </c>
      <c r="C108" s="2109" t="str">
        <f>VLOOKUP(A108,'2011 - TB'!$A$3:$B$971,2,FALSE)</f>
        <v xml:space="preserve">                               -  </v>
      </c>
      <c r="D108" s="2118">
        <v>0</v>
      </c>
      <c r="E108" s="2118">
        <f>VLOOKUP(A108,'2012 - TB'!$A$3:$H$733,5,FALSE)</f>
        <v>20410.509999999998</v>
      </c>
      <c r="F108" s="2118">
        <f>VLOOKUP(A108,'2012 - TB'!$A$3:$H$733,6,FALSE)</f>
        <v>0</v>
      </c>
      <c r="G108" s="2118">
        <f t="shared" si="7"/>
        <v>20410.509999999998</v>
      </c>
      <c r="H108" s="2640">
        <f>SUMIF('Original Budget'!$A$1:$A$691,'Trial Balance - FPer'!A108,'Original Budget'!$C$1:$C$691)</f>
        <v>9134.98</v>
      </c>
      <c r="I108" s="2640">
        <f>VLOOKUP(A108,'2012 - TB'!$A$3:$C$733,3,FALSE)</f>
        <v>20410.509999999998</v>
      </c>
      <c r="J108" s="2119" t="s">
        <v>6388</v>
      </c>
      <c r="L108" s="2024" t="str">
        <f>VLOOKUP(A108,'2012 Budget'!$A$18:$B$2152,2,FALSE)</f>
        <v>Allowance - Veh</v>
      </c>
    </row>
    <row r="109" spans="1:12" s="2024" customFormat="1" x14ac:dyDescent="0.2">
      <c r="A109" s="2116" t="s">
        <v>5448</v>
      </c>
      <c r="B109" s="2117" t="s">
        <v>4822</v>
      </c>
      <c r="C109" s="2109">
        <f>VLOOKUP(A109,'2011 - TB'!$A$3:$B$971,2,FALSE)</f>
        <v>30000</v>
      </c>
      <c r="D109" s="2118">
        <v>0</v>
      </c>
      <c r="E109" s="2118">
        <f>VLOOKUP(A109,'2012 - TB'!$A$3:$H$733,5,FALSE)</f>
        <v>108514.97</v>
      </c>
      <c r="F109" s="2118">
        <f>VLOOKUP(A109,'2012 - TB'!$A$3:$H$733,6,FALSE)</f>
        <v>0</v>
      </c>
      <c r="G109" s="2118">
        <f t="shared" si="7"/>
        <v>108514.97</v>
      </c>
      <c r="H109" s="2640">
        <f>SUMIF('Original Budget'!$A$1:$A$691,'Trial Balance - FPer'!A109,'Original Budget'!$C$1:$C$691)</f>
        <v>37852.5</v>
      </c>
      <c r="I109" s="2640">
        <f>VLOOKUP(A109,'2012 - TB'!$A$3:$C$733,3,FALSE)</f>
        <v>94514.97</v>
      </c>
      <c r="J109" s="2119" t="s">
        <v>6388</v>
      </c>
      <c r="L109" s="2024" t="str">
        <f>VLOOKUP(A109,'2012 Budget'!$A$18:$B$2152,2,FALSE)</f>
        <v>Allowance - Veh</v>
      </c>
    </row>
    <row r="110" spans="1:12" s="2024" customFormat="1" x14ac:dyDescent="0.2">
      <c r="A110" s="2116" t="s">
        <v>5493</v>
      </c>
      <c r="B110" s="2117" t="s">
        <v>4822</v>
      </c>
      <c r="C110" s="2109">
        <f>VLOOKUP(A110,'2011 - TB'!$A$3:$B$971,2,FALSE)</f>
        <v>30000</v>
      </c>
      <c r="D110" s="2118">
        <v>0</v>
      </c>
      <c r="E110" s="2118">
        <f>VLOOKUP(A110,'2012 - TB'!$A$3:$H$733,5,FALSE)</f>
        <v>40000</v>
      </c>
      <c r="F110" s="2118">
        <f>VLOOKUP(A110,'2012 - TB'!$A$3:$H$733,6,FALSE)</f>
        <v>0</v>
      </c>
      <c r="G110" s="2118">
        <f t="shared" si="7"/>
        <v>40000</v>
      </c>
      <c r="H110" s="2640">
        <f>SUMIF('Original Budget'!$A$1:$A$691,'Trial Balance - FPer'!A110,'Original Budget'!$C$1:$C$691)</f>
        <v>37852.5</v>
      </c>
      <c r="I110" s="2640">
        <f>VLOOKUP(A110,'2012 - TB'!$A$3:$C$733,3,FALSE)</f>
        <v>40000</v>
      </c>
      <c r="J110" s="2119" t="s">
        <v>6388</v>
      </c>
      <c r="L110" s="2024" t="str">
        <f>VLOOKUP(A110,'2012 Budget'!$A$18:$B$2152,2,FALSE)</f>
        <v>Allowance - Veh</v>
      </c>
    </row>
    <row r="111" spans="1:12" s="2024" customFormat="1" x14ac:dyDescent="0.2">
      <c r="A111" s="2116" t="s">
        <v>5523</v>
      </c>
      <c r="B111" s="2117" t="s">
        <v>4822</v>
      </c>
      <c r="C111" s="2109">
        <f>VLOOKUP(A111,'2011 - TB'!$A$3:$B$971,2,FALSE)</f>
        <v>61400</v>
      </c>
      <c r="D111" s="2118">
        <v>0</v>
      </c>
      <c r="E111" s="2118">
        <f>VLOOKUP(A111,'2012 - TB'!$A$3:$H$733,5,FALSE)</f>
        <v>189336.95999999999</v>
      </c>
      <c r="F111" s="2118">
        <f>VLOOKUP(A111,'2012 - TB'!$A$3:$H$733,6,FALSE)</f>
        <v>0</v>
      </c>
      <c r="G111" s="2118">
        <f t="shared" ref="G111:G174" si="8">E111+F111</f>
        <v>189336.95999999999</v>
      </c>
      <c r="H111" s="2640">
        <f>SUMIF('Original Budget'!$A$1:$A$691,'Trial Balance - FPer'!A111,'Original Budget'!$C$1:$C$691)</f>
        <v>42394.8</v>
      </c>
      <c r="I111" s="2640">
        <f>VLOOKUP(A111,'2012 - TB'!$A$3:$C$733,3,FALSE)</f>
        <v>189336.95999999999</v>
      </c>
      <c r="J111" s="2119" t="s">
        <v>6388</v>
      </c>
      <c r="L111" s="2024" t="str">
        <f>VLOOKUP(A111,'2012 Budget'!$A$18:$B$2152,2,FALSE)</f>
        <v>Allowance - Veh</v>
      </c>
    </row>
    <row r="112" spans="1:12" s="2024" customFormat="1" ht="13.5" thickBot="1" x14ac:dyDescent="0.25">
      <c r="A112" s="2120" t="s">
        <v>5778</v>
      </c>
      <c r="B112" s="2121" t="s">
        <v>4822</v>
      </c>
      <c r="C112" s="2122">
        <f>VLOOKUP(A112,'2011 - TB'!$A$3:$B$971,2,FALSE)</f>
        <v>0</v>
      </c>
      <c r="D112" s="2123">
        <v>0</v>
      </c>
      <c r="E112" s="2123">
        <f>VLOOKUP(A112,'2012 - TB'!$A$3:$H$733,5,FALSE)</f>
        <v>18335.310000000001</v>
      </c>
      <c r="F112" s="2123">
        <f>VLOOKUP(A112,'2012 - TB'!$A$3:$H$733,6,FALSE)</f>
        <v>0</v>
      </c>
      <c r="G112" s="2123">
        <f t="shared" si="8"/>
        <v>18335.310000000001</v>
      </c>
      <c r="H112" s="2640">
        <f>SUMIF('Original Budget'!$A$1:$A$691,'Trial Balance - FPer'!A112,'Original Budget'!$C$1:$C$691)</f>
        <v>0</v>
      </c>
      <c r="I112" s="2640">
        <f>VLOOKUP(A112,'2012 - TB'!$A$3:$C$733,3,FALSE)</f>
        <v>18335.310000000001</v>
      </c>
      <c r="J112" s="2124" t="s">
        <v>6388</v>
      </c>
      <c r="L112" s="2024" t="str">
        <f>VLOOKUP(A112,'2012 Budget'!$A$18:$B$2152,2,FALSE)</f>
        <v>Allowance - Veh</v>
      </c>
    </row>
    <row r="113" spans="1:12" s="2024" customFormat="1" x14ac:dyDescent="0.2">
      <c r="A113" s="2116" t="s">
        <v>5665</v>
      </c>
      <c r="B113" s="2117" t="s">
        <v>5666</v>
      </c>
      <c r="C113" s="2109">
        <f>VLOOKUP(A113,'2011 - TB'!$A$3:$B$971,2,FALSE)</f>
        <v>0</v>
      </c>
      <c r="D113" s="2118">
        <v>0</v>
      </c>
      <c r="E113" s="2118">
        <f>VLOOKUP(A113,'2012 - TB'!$A$3:$H$733,5,FALSE)</f>
        <v>30631.510000000002</v>
      </c>
      <c r="F113" s="2118">
        <f>VLOOKUP(A113,'2012 - TB'!$A$3:$H$733,6,FALSE)</f>
        <v>0</v>
      </c>
      <c r="G113" s="2118">
        <f t="shared" si="8"/>
        <v>30631.510000000002</v>
      </c>
      <c r="H113" s="2640">
        <f>SUMIF('Original Budget'!$A$1:$A$691,'Trial Balance - FPer'!A113,'Original Budget'!$C$1:$C$691)</f>
        <v>0</v>
      </c>
      <c r="I113" s="2640">
        <f>VLOOKUP(A113,'2012 - TB'!$A$3:$C$733,3,FALSE)</f>
        <v>16354.51</v>
      </c>
      <c r="J113" s="2119" t="s">
        <v>6388</v>
      </c>
      <c r="L113" s="2024" t="str">
        <f>VLOOKUP(A113,'2012 Budget'!$A$18:$B$2152,2,FALSE)</f>
        <v>Allowance Stand</v>
      </c>
    </row>
    <row r="114" spans="1:12" s="2024" customFormat="1" x14ac:dyDescent="0.2">
      <c r="A114" s="2116" t="s">
        <v>5729</v>
      </c>
      <c r="B114" s="2117" t="s">
        <v>5666</v>
      </c>
      <c r="C114" s="2109">
        <f>VLOOKUP(A114,'2011 - TB'!$A$3:$B$971,2,FALSE)</f>
        <v>0</v>
      </c>
      <c r="D114" s="2118">
        <v>0</v>
      </c>
      <c r="E114" s="2118">
        <f>VLOOKUP(A114,'2012 - TB'!$A$3:$H$733,5,FALSE)</f>
        <v>8167.03</v>
      </c>
      <c r="F114" s="2118">
        <f>VLOOKUP(A114,'2012 - TB'!$A$3:$H$733,6,FALSE)</f>
        <v>0</v>
      </c>
      <c r="G114" s="2118">
        <f t="shared" si="8"/>
        <v>8167.03</v>
      </c>
      <c r="H114" s="2640">
        <f>SUMIF('Original Budget'!$A$1:$A$691,'Trial Balance - FPer'!A114,'Original Budget'!$C$1:$C$691)</f>
        <v>0</v>
      </c>
      <c r="I114" s="2640">
        <f>VLOOKUP(A114,'2012 - TB'!$A$3:$C$733,3,FALSE)</f>
        <v>8167.03</v>
      </c>
      <c r="J114" s="2119" t="s">
        <v>6388</v>
      </c>
      <c r="L114" s="2024" t="str">
        <f>VLOOKUP(A114,'2012 Budget'!$A$18:$B$2152,2,FALSE)</f>
        <v>Allowance Stand</v>
      </c>
    </row>
    <row r="115" spans="1:12" s="2024" customFormat="1" x14ac:dyDescent="0.2">
      <c r="A115" s="2116" t="s">
        <v>5774</v>
      </c>
      <c r="B115" s="2117" t="s">
        <v>5666</v>
      </c>
      <c r="C115" s="2109">
        <f>VLOOKUP(A115,'2011 - TB'!$A$3:$B$971,2,FALSE)</f>
        <v>0</v>
      </c>
      <c r="D115" s="2118">
        <v>0</v>
      </c>
      <c r="E115" s="2118">
        <f>VLOOKUP(A115,'2012 - TB'!$A$3:$H$733,5,FALSE)</f>
        <v>3987.46</v>
      </c>
      <c r="F115" s="2118">
        <f>VLOOKUP(A115,'2012 - TB'!$A$3:$H$733,6,FALSE)</f>
        <v>0</v>
      </c>
      <c r="G115" s="2118">
        <f t="shared" si="8"/>
        <v>3987.46</v>
      </c>
      <c r="H115" s="2640">
        <f>SUMIF('Original Budget'!$A$1:$A$691,'Trial Balance - FPer'!A115,'Original Budget'!$C$1:$C$691)</f>
        <v>0</v>
      </c>
      <c r="I115" s="2640">
        <f>VLOOKUP(A115,'2012 - TB'!$A$3:$C$733,3,FALSE)</f>
        <v>3987.46</v>
      </c>
      <c r="J115" s="2119" t="s">
        <v>6388</v>
      </c>
      <c r="L115" s="2024" t="str">
        <f>VLOOKUP(A115,'2012 Budget'!$A$18:$B$2152,2,FALSE)</f>
        <v>Allowance Stand</v>
      </c>
    </row>
    <row r="116" spans="1:12" s="2024" customFormat="1" ht="13.5" thickBot="1" x14ac:dyDescent="0.25">
      <c r="A116" s="2116" t="s">
        <v>5831</v>
      </c>
      <c r="B116" s="2117" t="s">
        <v>5666</v>
      </c>
      <c r="C116" s="2109">
        <f>VLOOKUP(A116,'2011 - TB'!$A$3:$B$971,2,FALSE)</f>
        <v>0</v>
      </c>
      <c r="D116" s="2118">
        <v>0</v>
      </c>
      <c r="E116" s="2118">
        <f>VLOOKUP(A116,'2012 - TB'!$A$3:$H$733,5,FALSE)</f>
        <v>30911.919999999998</v>
      </c>
      <c r="F116" s="2118">
        <f>VLOOKUP(A116,'2012 - TB'!$A$3:$H$733,6,FALSE)</f>
        <v>0</v>
      </c>
      <c r="G116" s="2118">
        <f t="shared" si="8"/>
        <v>30911.919999999998</v>
      </c>
      <c r="H116" s="2640">
        <f>SUMIF('Original Budget'!$A$1:$A$691,'Trial Balance - FPer'!A116,'Original Budget'!$C$1:$C$691)</f>
        <v>0</v>
      </c>
      <c r="I116" s="2640">
        <f>VLOOKUP(A116,'2012 - TB'!$A$3:$C$733,3,FALSE)</f>
        <v>30911.919999999998</v>
      </c>
      <c r="J116" s="2119" t="s">
        <v>6388</v>
      </c>
      <c r="L116" s="2024" t="str">
        <f>VLOOKUP(A116,'2012 Budget'!$A$18:$B$2152,2,FALSE)</f>
        <v>Allowance Stand</v>
      </c>
    </row>
    <row r="117" spans="1:12" s="2024" customFormat="1" x14ac:dyDescent="0.2">
      <c r="A117" s="1275" t="s">
        <v>4811</v>
      </c>
      <c r="B117" s="2112" t="s">
        <v>4812</v>
      </c>
      <c r="C117" s="2113">
        <f>VLOOKUP(A117,'2011 - TB'!$A$3:$B$971,2,FALSE)</f>
        <v>1368.71</v>
      </c>
      <c r="D117" s="2114">
        <v>0</v>
      </c>
      <c r="E117" s="2114">
        <f>VLOOKUP(A117,'2012 - TB'!$A$3:$H$733,5,FALSE)</f>
        <v>231161.61</v>
      </c>
      <c r="F117" s="2114">
        <f>VLOOKUP(A117,'2012 - TB'!$A$3:$H$733,6,FALSE)</f>
        <v>0</v>
      </c>
      <c r="G117" s="2114">
        <f t="shared" si="8"/>
        <v>231161.61</v>
      </c>
      <c r="H117" s="2640">
        <f>SUMIF('Original Budget'!$A$1:$A$691,'Trial Balance - FPer'!A117,'Original Budget'!$C$1:$C$691)</f>
        <v>28790.27</v>
      </c>
      <c r="I117" s="2640">
        <f>VLOOKUP(A117,'2012 - TB'!$A$3:$C$733,3,FALSE)</f>
        <v>116860.07</v>
      </c>
      <c r="J117" s="2115" t="s">
        <v>6394</v>
      </c>
      <c r="L117" s="2024" t="str">
        <f>VLOOKUP(A117,'2012 Budget'!$A$18:$B$2152,2,FALSE)</f>
        <v>Annual Bonus;</v>
      </c>
    </row>
    <row r="118" spans="1:12" s="2024" customFormat="1" x14ac:dyDescent="0.2">
      <c r="A118" s="2116" t="s">
        <v>4906</v>
      </c>
      <c r="B118" s="2117" t="s">
        <v>4812</v>
      </c>
      <c r="C118" s="2109">
        <f>VLOOKUP(A118,'2011 - TB'!$A$3:$B$971,2,FALSE)</f>
        <v>551.87</v>
      </c>
      <c r="D118" s="2118">
        <v>0</v>
      </c>
      <c r="E118" s="2118">
        <f>VLOOKUP(A118,'2012 - TB'!$A$3:$H$733,5,FALSE)</f>
        <v>8596.6200000000008</v>
      </c>
      <c r="F118" s="2118">
        <f>VLOOKUP(A118,'2012 - TB'!$A$3:$H$733,6,FALSE)</f>
        <v>0</v>
      </c>
      <c r="G118" s="2118">
        <f t="shared" si="8"/>
        <v>8596.6200000000008</v>
      </c>
      <c r="H118" s="2640">
        <f>SUMIF('Original Budget'!$A$1:$A$691,'Trial Balance - FPer'!A118,'Original Budget'!$C$1:$C$691)</f>
        <v>17464.78</v>
      </c>
      <c r="I118" s="2640">
        <f>VLOOKUP(A118,'2012 - TB'!$A$3:$C$733,3,FALSE)</f>
        <v>6902</v>
      </c>
      <c r="J118" s="2119" t="s">
        <v>6394</v>
      </c>
      <c r="L118" s="2024" t="str">
        <f>VLOOKUP(A118,'2012 Budget'!$A$18:$B$2152,2,FALSE)</f>
        <v>Annual Bonus;</v>
      </c>
    </row>
    <row r="119" spans="1:12" s="2024" customFormat="1" x14ac:dyDescent="0.2">
      <c r="A119" s="2116" t="s">
        <v>4939</v>
      </c>
      <c r="B119" s="2117" t="s">
        <v>4812</v>
      </c>
      <c r="C119" s="2109">
        <f>VLOOKUP(A119,'2011 - TB'!$A$3:$B$971,2,FALSE)</f>
        <v>5742.46</v>
      </c>
      <c r="D119" s="2118">
        <v>0</v>
      </c>
      <c r="E119" s="2118">
        <f>VLOOKUP(A119,'2012 - TB'!$A$3:$H$733,5,FALSE)</f>
        <v>0</v>
      </c>
      <c r="F119" s="2118">
        <f>VLOOKUP(A119,'2012 - TB'!$A$3:$H$733,6,FALSE)</f>
        <v>0</v>
      </c>
      <c r="G119" s="2118">
        <f t="shared" si="8"/>
        <v>0</v>
      </c>
      <c r="H119" s="2640">
        <f>SUMIF('Original Budget'!$A$1:$A$691,'Trial Balance - FPer'!A119,'Original Budget'!$C$1:$C$691)</f>
        <v>0</v>
      </c>
      <c r="I119" s="2640">
        <f>VLOOKUP(A119,'2012 - TB'!$A$3:$C$733,3,FALSE)</f>
        <v>9850</v>
      </c>
      <c r="J119" s="2119" t="s">
        <v>6394</v>
      </c>
      <c r="L119" s="2024" t="str">
        <f>VLOOKUP(A119,'2012 Budget'!$A$18:$B$2152,2,FALSE)</f>
        <v>Annual Bonus;</v>
      </c>
    </row>
    <row r="120" spans="1:12" s="2024" customFormat="1" x14ac:dyDescent="0.2">
      <c r="A120" s="2116" t="s">
        <v>4940</v>
      </c>
      <c r="B120" s="2117" t="s">
        <v>4812</v>
      </c>
      <c r="C120" s="2109">
        <f>VLOOKUP(A120,'2011 - TB'!$A$3:$B$971,2,FALSE)</f>
        <v>164134.84</v>
      </c>
      <c r="D120" s="2118">
        <v>0</v>
      </c>
      <c r="E120" s="2118">
        <f>VLOOKUP(A120,'2012 - TB'!$A$3:$H$733,5,FALSE)</f>
        <v>241190.21</v>
      </c>
      <c r="F120" s="2118">
        <f>VLOOKUP(A120,'2012 - TB'!$A$3:$H$733,6,FALSE)</f>
        <v>0</v>
      </c>
      <c r="G120" s="2118">
        <f t="shared" si="8"/>
        <v>241190.21</v>
      </c>
      <c r="H120" s="2640">
        <f>SUMIF('Original Budget'!$A$1:$A$691,'Trial Balance - FPer'!A120,'Original Budget'!$C$1:$C$691)</f>
        <v>208942.92</v>
      </c>
      <c r="I120" s="2640">
        <f>VLOOKUP(A120,'2012 - TB'!$A$3:$C$733,3,FALSE)</f>
        <v>311303.28999999998</v>
      </c>
      <c r="J120" s="2119" t="s">
        <v>6394</v>
      </c>
      <c r="L120" s="2024" t="str">
        <f>VLOOKUP(A120,'2012 Budget'!$A$18:$B$2152,2,FALSE)</f>
        <v>Annual Bonus;</v>
      </c>
    </row>
    <row r="121" spans="1:12" s="2024" customFormat="1" x14ac:dyDescent="0.2">
      <c r="A121" s="2116" t="s">
        <v>4941</v>
      </c>
      <c r="B121" s="2117" t="s">
        <v>4812</v>
      </c>
      <c r="C121" s="2109">
        <f>VLOOKUP(A121,'2011 - TB'!$A$3:$B$971,2,FALSE)</f>
        <v>4625.04</v>
      </c>
      <c r="D121" s="2118">
        <v>0</v>
      </c>
      <c r="E121" s="2118">
        <v>0</v>
      </c>
      <c r="F121" s="2118">
        <v>0</v>
      </c>
      <c r="G121" s="2118">
        <f t="shared" si="8"/>
        <v>0</v>
      </c>
      <c r="H121" s="2640">
        <f>SUMIF('Original Budget'!$A$1:$A$691,'Trial Balance - FPer'!A121,'Original Budget'!$C$1:$C$691)</f>
        <v>5001.9799999999996</v>
      </c>
      <c r="I121" s="2640"/>
      <c r="J121" s="2119" t="s">
        <v>6394</v>
      </c>
      <c r="L121" s="2024" t="str">
        <f>VLOOKUP(A121,'2012 Budget'!$A$18:$B$2152,2,FALSE)</f>
        <v>Annual Bonus;</v>
      </c>
    </row>
    <row r="122" spans="1:12" s="2024" customFormat="1" x14ac:dyDescent="0.2">
      <c r="A122" s="2116" t="s">
        <v>5100</v>
      </c>
      <c r="B122" s="2117" t="s">
        <v>4812</v>
      </c>
      <c r="C122" s="2109">
        <f>VLOOKUP(A122,'2011 - TB'!$A$3:$B$971,2,FALSE)</f>
        <v>30666.15</v>
      </c>
      <c r="D122" s="2118">
        <v>0</v>
      </c>
      <c r="E122" s="2118">
        <f>VLOOKUP(A122,'2012 - TB'!$A$3:$H$733,5,FALSE)</f>
        <v>48305.19</v>
      </c>
      <c r="F122" s="2118">
        <f>VLOOKUP(A122,'2012 - TB'!$A$3:$H$733,6,FALSE)</f>
        <v>0</v>
      </c>
      <c r="G122" s="2118">
        <f t="shared" si="8"/>
        <v>48305.19</v>
      </c>
      <c r="H122" s="2640">
        <f>SUMIF('Original Budget'!$A$1:$A$691,'Trial Balance - FPer'!A122,'Original Budget'!$C$1:$C$691)</f>
        <v>67186.11</v>
      </c>
      <c r="I122" s="2640">
        <f>VLOOKUP(A122,'2012 - TB'!$A$3:$C$733,3,FALSE)</f>
        <v>67186.11</v>
      </c>
      <c r="J122" s="2119" t="s">
        <v>6394</v>
      </c>
      <c r="L122" s="2024" t="str">
        <f>VLOOKUP(A122,'2012 Budget'!$A$18:$B$2152,2,FALSE)</f>
        <v>Annual Bonus;</v>
      </c>
    </row>
    <row r="123" spans="1:12" s="2024" customFormat="1" x14ac:dyDescent="0.2">
      <c r="A123" s="2116" t="s">
        <v>5126</v>
      </c>
      <c r="B123" s="2117" t="s">
        <v>4812</v>
      </c>
      <c r="C123" s="2109">
        <f>VLOOKUP(A123,'2011 - TB'!$A$3:$B$971,2,FALSE)</f>
        <v>19827.349999999999</v>
      </c>
      <c r="D123" s="2118">
        <v>0</v>
      </c>
      <c r="E123" s="2118">
        <f>VLOOKUP(A123,'2012 - TB'!$A$3:$H$733,5,FALSE)</f>
        <v>30808.959999999999</v>
      </c>
      <c r="F123" s="2118">
        <f>VLOOKUP(A123,'2012 - TB'!$A$3:$H$733,6,FALSE)</f>
        <v>0</v>
      </c>
      <c r="G123" s="2118">
        <f t="shared" si="8"/>
        <v>30808.959999999999</v>
      </c>
      <c r="H123" s="2640">
        <f>SUMIF('Original Budget'!$A$1:$A$691,'Trial Balance - FPer'!A123,'Original Budget'!$C$1:$C$691)</f>
        <v>5744.95</v>
      </c>
      <c r="I123" s="2640">
        <f>VLOOKUP(A123,'2012 - TB'!$A$3:$C$733,3,FALSE)</f>
        <v>24514.6</v>
      </c>
      <c r="J123" s="2119" t="s">
        <v>6394</v>
      </c>
      <c r="L123" s="2024" t="str">
        <f>VLOOKUP(A123,'2012 Budget'!$A$18:$B$2152,2,FALSE)</f>
        <v>Annual Bonus;</v>
      </c>
    </row>
    <row r="124" spans="1:12" s="2024" customFormat="1" x14ac:dyDescent="0.2">
      <c r="A124" s="2116" t="s">
        <v>5204</v>
      </c>
      <c r="B124" s="2117" t="s">
        <v>4812</v>
      </c>
      <c r="C124" s="2109" t="str">
        <f>VLOOKUP(A124,'2011 - TB'!$A$3:$B$971,2,FALSE)</f>
        <v xml:space="preserve">                               -  </v>
      </c>
      <c r="D124" s="2118">
        <v>0</v>
      </c>
      <c r="E124" s="2118">
        <f>VLOOKUP(A124,'2012 - TB'!$A$3:$H$733,5,FALSE)</f>
        <v>0</v>
      </c>
      <c r="F124" s="2118">
        <f>VLOOKUP(A124,'2012 - TB'!$A$3:$H$733,6,FALSE)</f>
        <v>0</v>
      </c>
      <c r="G124" s="2118">
        <f t="shared" si="8"/>
        <v>0</v>
      </c>
      <c r="H124" s="2640">
        <f>SUMIF('Original Budget'!$A$1:$A$691,'Trial Balance - FPer'!A124,'Original Budget'!$C$1:$C$691)</f>
        <v>0</v>
      </c>
      <c r="I124" s="2640">
        <f>VLOOKUP(A124,'2012 - TB'!$A$3:$C$733,3,FALSE)</f>
        <v>51665.34</v>
      </c>
      <c r="J124" s="2119" t="s">
        <v>6394</v>
      </c>
      <c r="L124" s="2024" t="str">
        <f>VLOOKUP(A124,'2012 Budget'!$A$18:$B$2152,2,FALSE)</f>
        <v>Annual Bonus;</v>
      </c>
    </row>
    <row r="125" spans="1:12" s="2024" customFormat="1" x14ac:dyDescent="0.2">
      <c r="A125" s="2116" t="s">
        <v>5205</v>
      </c>
      <c r="B125" s="2117" t="s">
        <v>4812</v>
      </c>
      <c r="C125" s="2109" t="str">
        <f>VLOOKUP(A125,'2011 - TB'!$A$3:$B$971,2,FALSE)</f>
        <v xml:space="preserve">                               -  </v>
      </c>
      <c r="D125" s="2118">
        <v>0</v>
      </c>
      <c r="E125" s="2118">
        <f>VLOOKUP(A125,'2012 - TB'!$A$3:$H$733,5,FALSE)</f>
        <v>0</v>
      </c>
      <c r="F125" s="2118">
        <f>VLOOKUP(A125,'2012 - TB'!$A$3:$H$733,6,FALSE)</f>
        <v>0</v>
      </c>
      <c r="G125" s="2118">
        <f t="shared" si="8"/>
        <v>0</v>
      </c>
      <c r="H125" s="2640">
        <f>SUMIF('Original Budget'!$A$1:$A$691,'Trial Balance - FPer'!A125,'Original Budget'!$C$1:$C$691)</f>
        <v>0</v>
      </c>
      <c r="I125" s="2640">
        <f>VLOOKUP(A125,'2012 - TB'!$A$3:$C$733,3,FALSE)</f>
        <v>51144</v>
      </c>
      <c r="J125" s="2119" t="s">
        <v>6394</v>
      </c>
      <c r="L125" s="2024" t="str">
        <f>VLOOKUP(A125,'2012 Budget'!$A$18:$B$2152,2,FALSE)</f>
        <v>Annual Bonus;</v>
      </c>
    </row>
    <row r="126" spans="1:12" s="2024" customFormat="1" x14ac:dyDescent="0.2">
      <c r="A126" s="2116" t="s">
        <v>5206</v>
      </c>
      <c r="B126" s="2117" t="s">
        <v>4812</v>
      </c>
      <c r="C126" s="2109">
        <f>VLOOKUP(A126,'2011 - TB'!$A$3:$B$971,2,FALSE)</f>
        <v>17475.91</v>
      </c>
      <c r="D126" s="2118">
        <v>0</v>
      </c>
      <c r="E126" s="2118">
        <v>0</v>
      </c>
      <c r="F126" s="2118">
        <v>0</v>
      </c>
      <c r="G126" s="2118">
        <f t="shared" si="8"/>
        <v>0</v>
      </c>
      <c r="H126" s="2640">
        <f>SUMIF('Original Budget'!$A$1:$A$691,'Trial Balance - FPer'!A126,'Original Budget'!$C$1:$C$691)</f>
        <v>5141.97</v>
      </c>
      <c r="I126" s="2640"/>
      <c r="J126" s="2119" t="s">
        <v>6394</v>
      </c>
      <c r="L126" s="2024" t="str">
        <f>VLOOKUP(A126,'2012 Budget'!$A$18:$B$2152,2,FALSE)</f>
        <v>Annual Bonus;</v>
      </c>
    </row>
    <row r="127" spans="1:12" s="2024" customFormat="1" x14ac:dyDescent="0.2">
      <c r="A127" s="2116" t="s">
        <v>5207</v>
      </c>
      <c r="B127" s="2117" t="s">
        <v>4812</v>
      </c>
      <c r="C127" s="2109">
        <f>VLOOKUP(A127,'2011 - TB'!$A$3:$B$971,2,FALSE)</f>
        <v>67276.539999999994</v>
      </c>
      <c r="D127" s="2118">
        <v>0</v>
      </c>
      <c r="E127" s="2118">
        <f>VLOOKUP(A127,'2012 - TB'!$A$3:$H$733,5,FALSE)</f>
        <v>75263.399999999994</v>
      </c>
      <c r="F127" s="2118">
        <f>VLOOKUP(A127,'2012 - TB'!$A$3:$H$733,6,FALSE)</f>
        <v>0</v>
      </c>
      <c r="G127" s="2118">
        <f t="shared" si="8"/>
        <v>75263.399999999994</v>
      </c>
      <c r="H127" s="2640">
        <f>SUMIF('Original Budget'!$A$1:$A$691,'Trial Balance - FPer'!A127,'Original Budget'!$C$1:$C$691)</f>
        <v>25148.49</v>
      </c>
      <c r="I127" s="2640">
        <f>VLOOKUP(A127,'2012 - TB'!$A$3:$C$733,3,FALSE)</f>
        <v>97040.67</v>
      </c>
      <c r="J127" s="2119" t="s">
        <v>6394</v>
      </c>
      <c r="L127" s="2024" t="str">
        <f>VLOOKUP(A127,'2012 Budget'!$A$18:$B$2152,2,FALSE)</f>
        <v>Annual Bonus;</v>
      </c>
    </row>
    <row r="128" spans="1:12" s="2024" customFormat="1" x14ac:dyDescent="0.2">
      <c r="A128" s="2116" t="s">
        <v>5318</v>
      </c>
      <c r="B128" s="2117" t="s">
        <v>4812</v>
      </c>
      <c r="C128" s="2109">
        <f>VLOOKUP(A128,'2011 - TB'!$A$3:$B$971,2,FALSE)</f>
        <v>42708.66</v>
      </c>
      <c r="D128" s="2118">
        <v>0</v>
      </c>
      <c r="E128" s="2118">
        <f>VLOOKUP(A128,'2012 - TB'!$A$3:$H$733,5,FALSE)</f>
        <v>64455.3</v>
      </c>
      <c r="F128" s="2118">
        <f>VLOOKUP(A128,'2012 - TB'!$A$3:$H$733,6,FALSE)</f>
        <v>0</v>
      </c>
      <c r="G128" s="2118">
        <f t="shared" si="8"/>
        <v>64455.3</v>
      </c>
      <c r="H128" s="2640">
        <f>SUMIF('Original Budget'!$A$1:$A$691,'Trial Balance - FPer'!A128,'Original Budget'!$C$1:$C$691)</f>
        <v>22923.43</v>
      </c>
      <c r="I128" s="2640">
        <f>VLOOKUP(A128,'2012 - TB'!$A$3:$C$733,3,FALSE)</f>
        <v>54905.94</v>
      </c>
      <c r="J128" s="2119" t="s">
        <v>6394</v>
      </c>
      <c r="L128" s="2024" t="str">
        <f>VLOOKUP(A128,'2012 Budget'!$A$18:$B$2152,2,FALSE)</f>
        <v>Annual Bonus;</v>
      </c>
    </row>
    <row r="129" spans="1:12" s="2024" customFormat="1" x14ac:dyDescent="0.2">
      <c r="A129" s="2116" t="s">
        <v>5361</v>
      </c>
      <c r="B129" s="2117" t="s">
        <v>4812</v>
      </c>
      <c r="C129" s="2109">
        <f>VLOOKUP(A129,'2011 - TB'!$A$3:$B$971,2,FALSE)</f>
        <v>54326.07</v>
      </c>
      <c r="D129" s="2118">
        <v>0</v>
      </c>
      <c r="E129" s="2118">
        <f>VLOOKUP(A129,'2012 - TB'!$A$3:$H$733,5,FALSE)</f>
        <v>57466.3</v>
      </c>
      <c r="F129" s="2118">
        <f>VLOOKUP(A129,'2012 - TB'!$A$3:$H$733,6,FALSE)</f>
        <v>0</v>
      </c>
      <c r="G129" s="2118">
        <f t="shared" si="8"/>
        <v>57466.3</v>
      </c>
      <c r="H129" s="2640">
        <f>SUMIF('Original Budget'!$A$1:$A$691,'Trial Balance - FPer'!A129,'Original Budget'!$C$1:$C$691)</f>
        <v>123329.85</v>
      </c>
      <c r="I129" s="2640">
        <f>VLOOKUP(A129,'2012 - TB'!$A$3:$C$733,3,FALSE)</f>
        <v>60000</v>
      </c>
      <c r="J129" s="2119" t="s">
        <v>6394</v>
      </c>
      <c r="L129" s="2024" t="str">
        <f>VLOOKUP(A129,'2012 Budget'!$A$18:$B$2152,2,FALSE)</f>
        <v>Annual Bonus;</v>
      </c>
    </row>
    <row r="130" spans="1:12" s="2024" customFormat="1" x14ac:dyDescent="0.2">
      <c r="A130" s="2116" t="s">
        <v>5388</v>
      </c>
      <c r="B130" s="2117" t="s">
        <v>4812</v>
      </c>
      <c r="C130" s="2109">
        <f>VLOOKUP(A130,'2011 - TB'!$A$3:$B$971,2,FALSE)</f>
        <v>13875.12</v>
      </c>
      <c r="D130" s="2118">
        <v>0</v>
      </c>
      <c r="E130" s="2118">
        <f>VLOOKUP(A130,'2012 - TB'!$A$3:$H$733,5,FALSE)</f>
        <v>10018.18</v>
      </c>
      <c r="F130" s="2118">
        <f>VLOOKUP(A130,'2012 - TB'!$A$3:$H$733,6,FALSE)</f>
        <v>0</v>
      </c>
      <c r="G130" s="2118">
        <f t="shared" si="8"/>
        <v>10018.18</v>
      </c>
      <c r="H130" s="2640">
        <f>SUMIF('Original Budget'!$A$1:$A$691,'Trial Balance - FPer'!A130,'Original Budget'!$C$1:$C$691)</f>
        <v>20007.919999999998</v>
      </c>
      <c r="I130" s="2640">
        <f>VLOOKUP(A130,'2012 - TB'!$A$3:$C$733,3,FALSE)</f>
        <v>15027.27</v>
      </c>
      <c r="J130" s="2119" t="s">
        <v>6394</v>
      </c>
      <c r="L130" s="2024" t="str">
        <f>VLOOKUP(A130,'2012 Budget'!$A$18:$B$2152,2,FALSE)</f>
        <v>Annual Bonus;</v>
      </c>
    </row>
    <row r="131" spans="1:12" s="2024" customFormat="1" x14ac:dyDescent="0.2">
      <c r="A131" s="2116" t="s">
        <v>5436</v>
      </c>
      <c r="B131" s="2117" t="s">
        <v>4812</v>
      </c>
      <c r="C131" s="2109" t="str">
        <f>VLOOKUP(A131,'2011 - TB'!$A$3:$B$971,2,FALSE)</f>
        <v xml:space="preserve">                               -  </v>
      </c>
      <c r="D131" s="2118">
        <v>0</v>
      </c>
      <c r="E131" s="2118">
        <v>0</v>
      </c>
      <c r="F131" s="2118">
        <v>0</v>
      </c>
      <c r="G131" s="2118">
        <f t="shared" si="8"/>
        <v>0</v>
      </c>
      <c r="H131" s="2640">
        <f>SUMIF('Original Budget'!$A$1:$A$691,'Trial Balance - FPer'!A131,'Original Budget'!$C$1:$C$691)</f>
        <v>0</v>
      </c>
      <c r="I131" s="2640"/>
      <c r="J131" s="2119" t="s">
        <v>6394</v>
      </c>
      <c r="L131" s="2024" t="str">
        <f>VLOOKUP(A131,'2012 Budget'!$A$18:$B$2152,2,FALSE)</f>
        <v>Annual Bonus;</v>
      </c>
    </row>
    <row r="132" spans="1:12" s="2024" customFormat="1" x14ac:dyDescent="0.2">
      <c r="A132" s="2116" t="s">
        <v>5437</v>
      </c>
      <c r="B132" s="2117" t="s">
        <v>4812</v>
      </c>
      <c r="C132" s="2109">
        <f>VLOOKUP(A132,'2011 - TB'!$A$3:$B$971,2,FALSE)</f>
        <v>37699.51</v>
      </c>
      <c r="D132" s="2118">
        <v>0</v>
      </c>
      <c r="E132" s="2118">
        <f>VLOOKUP(A132,'2012 - TB'!$A$3:$H$733,5,FALSE)</f>
        <v>75647.31</v>
      </c>
      <c r="F132" s="2118">
        <f>VLOOKUP(A132,'2012 - TB'!$A$3:$H$733,6,FALSE)</f>
        <v>0</v>
      </c>
      <c r="G132" s="2118">
        <f t="shared" si="8"/>
        <v>75647.31</v>
      </c>
      <c r="H132" s="2640">
        <f>SUMIF('Original Budget'!$A$1:$A$691,'Trial Balance - FPer'!A132,'Original Budget'!$C$1:$C$691)</f>
        <v>87048.62</v>
      </c>
      <c r="I132" s="2640">
        <f>VLOOKUP(A132,'2012 - TB'!$A$3:$C$733,3,FALSE)</f>
        <v>87048.62</v>
      </c>
      <c r="J132" s="2119" t="s">
        <v>6394</v>
      </c>
      <c r="L132" s="2024" t="str">
        <f>VLOOKUP(A132,'2012 Budget'!$A$18:$B$2152,2,FALSE)</f>
        <v>Annual Bonus;</v>
      </c>
    </row>
    <row r="133" spans="1:12" s="2024" customFormat="1" x14ac:dyDescent="0.2">
      <c r="A133" s="2116" t="s">
        <v>5438</v>
      </c>
      <c r="B133" s="2117" t="s">
        <v>4812</v>
      </c>
      <c r="C133" s="2109">
        <f>VLOOKUP(A133,'2011 - TB'!$A$3:$B$971,2,FALSE)</f>
        <v>0</v>
      </c>
      <c r="D133" s="2118">
        <v>0</v>
      </c>
      <c r="E133" s="2118">
        <v>0</v>
      </c>
      <c r="F133" s="2118">
        <v>0</v>
      </c>
      <c r="G133" s="2118">
        <f t="shared" si="8"/>
        <v>0</v>
      </c>
      <c r="H133" s="2640">
        <f>SUMIF('Original Budget'!$A$1:$A$691,'Trial Balance - FPer'!A133,'Original Budget'!$C$1:$C$691)</f>
        <v>0</v>
      </c>
      <c r="I133" s="2640"/>
      <c r="J133" s="2119" t="s">
        <v>6394</v>
      </c>
      <c r="L133" s="2024" t="str">
        <f>VLOOKUP(A133,'2012 Budget'!$A$18:$B$2152,2,FALSE)</f>
        <v>Annual Bonus;</v>
      </c>
    </row>
    <row r="134" spans="1:12" s="2024" customFormat="1" x14ac:dyDescent="0.2">
      <c r="A134" s="2116" t="s">
        <v>5491</v>
      </c>
      <c r="B134" s="2117" t="s">
        <v>4812</v>
      </c>
      <c r="C134" s="2109">
        <f>VLOOKUP(A134,'2011 - TB'!$A$3:$B$971,2,FALSE)</f>
        <v>28478</v>
      </c>
      <c r="D134" s="2118">
        <v>0</v>
      </c>
      <c r="E134" s="2118">
        <f>VLOOKUP(A134,'2012 - TB'!$A$3:$H$733,5,FALSE)</f>
        <v>40051.14</v>
      </c>
      <c r="F134" s="2118">
        <f>VLOOKUP(A134,'2012 - TB'!$A$3:$H$733,6,FALSE)</f>
        <v>0</v>
      </c>
      <c r="G134" s="2118">
        <f t="shared" si="8"/>
        <v>40051.14</v>
      </c>
      <c r="H134" s="2640">
        <f>SUMIF('Original Budget'!$A$1:$A$691,'Trial Balance - FPer'!A134,'Original Budget'!$C$1:$C$691)</f>
        <v>43782.75</v>
      </c>
      <c r="I134" s="2640">
        <f>VLOOKUP(A134,'2012 - TB'!$A$3:$C$733,3,FALSE)</f>
        <v>43782.75</v>
      </c>
      <c r="J134" s="2119" t="s">
        <v>6394</v>
      </c>
      <c r="L134" s="2024" t="str">
        <f>VLOOKUP(A134,'2012 Budget'!$A$18:$B$2152,2,FALSE)</f>
        <v>Annual Bonus;</v>
      </c>
    </row>
    <row r="135" spans="1:12" s="2024" customFormat="1" x14ac:dyDescent="0.2">
      <c r="A135" s="2116" t="s">
        <v>5518</v>
      </c>
      <c r="B135" s="2117" t="s">
        <v>4812</v>
      </c>
      <c r="C135" s="2109">
        <f>VLOOKUP(A135,'2011 - TB'!$A$3:$B$971,2,FALSE)</f>
        <v>35005.360000000001</v>
      </c>
      <c r="D135" s="2118">
        <v>0</v>
      </c>
      <c r="E135" s="2118">
        <f>VLOOKUP(A135,'2012 - TB'!$A$3:$H$733,5,FALSE)</f>
        <v>43648.25</v>
      </c>
      <c r="F135" s="2118">
        <f>VLOOKUP(A135,'2012 - TB'!$A$3:$H$733,6,FALSE)</f>
        <v>0</v>
      </c>
      <c r="G135" s="2118">
        <f t="shared" si="8"/>
        <v>43648.25</v>
      </c>
      <c r="H135" s="2640">
        <f>SUMIF('Original Budget'!$A$1:$A$691,'Trial Balance - FPer'!A135,'Original Budget'!$C$1:$C$691)</f>
        <v>75021.919999999998</v>
      </c>
      <c r="I135" s="2640">
        <f>VLOOKUP(A135,'2012 - TB'!$A$3:$C$733,3,FALSE)</f>
        <v>54098.2</v>
      </c>
      <c r="J135" s="2119" t="s">
        <v>6394</v>
      </c>
      <c r="L135" s="2024" t="str">
        <f>VLOOKUP(A135,'2012 Budget'!$A$18:$B$2152,2,FALSE)</f>
        <v>Annual Bonus;</v>
      </c>
    </row>
    <row r="136" spans="1:12" s="2024" customFormat="1" x14ac:dyDescent="0.2">
      <c r="A136" s="2116" t="s">
        <v>5566</v>
      </c>
      <c r="B136" s="2117" t="s">
        <v>4812</v>
      </c>
      <c r="C136" s="2109">
        <f>VLOOKUP(A136,'2011 - TB'!$A$3:$B$971,2,FALSE)</f>
        <v>9061.82</v>
      </c>
      <c r="D136" s="2118">
        <v>0</v>
      </c>
      <c r="E136" s="2118">
        <f>VLOOKUP(A136,'2012 - TB'!$A$3:$H$733,5,FALSE)</f>
        <v>9513.09</v>
      </c>
      <c r="F136" s="2118">
        <f>VLOOKUP(A136,'2012 - TB'!$A$3:$H$733,6,FALSE)</f>
        <v>0</v>
      </c>
      <c r="G136" s="2118">
        <f t="shared" si="8"/>
        <v>9513.09</v>
      </c>
      <c r="H136" s="2640">
        <f>SUMIF('Original Budget'!$A$1:$A$691,'Trial Balance - FPer'!A136,'Original Budget'!$C$1:$C$691)</f>
        <v>9596.76</v>
      </c>
      <c r="I136" s="2640">
        <f>VLOOKUP(A136,'2012 - TB'!$A$3:$C$733,3,FALSE)</f>
        <v>9786.93</v>
      </c>
      <c r="J136" s="2119" t="s">
        <v>6394</v>
      </c>
      <c r="L136" s="2024" t="str">
        <f>VLOOKUP(A136,'2012 Budget'!$A$18:$B$2152,2,FALSE)</f>
        <v>Annual Bonus;</v>
      </c>
    </row>
    <row r="137" spans="1:12" s="2024" customFormat="1" x14ac:dyDescent="0.2">
      <c r="A137" s="2116" t="s">
        <v>5589</v>
      </c>
      <c r="B137" s="2117" t="s">
        <v>4812</v>
      </c>
      <c r="C137" s="2109">
        <f>VLOOKUP(A137,'2011 - TB'!$A$3:$B$971,2,FALSE)</f>
        <v>56254.79</v>
      </c>
      <c r="D137" s="2118">
        <v>0</v>
      </c>
      <c r="E137" s="2118">
        <f>VLOOKUP(A137,'2012 - TB'!$A$3:$H$733,5,FALSE)</f>
        <v>69184.06</v>
      </c>
      <c r="F137" s="2118">
        <f>VLOOKUP(A137,'2012 - TB'!$A$3:$H$733,6,FALSE)</f>
        <v>0</v>
      </c>
      <c r="G137" s="2118">
        <f t="shared" si="8"/>
        <v>69184.06</v>
      </c>
      <c r="H137" s="2640">
        <f>SUMIF('Original Budget'!$A$1:$A$691,'Trial Balance - FPer'!A137,'Original Budget'!$C$1:$C$691)</f>
        <v>51889.07</v>
      </c>
      <c r="I137" s="2640">
        <f>VLOOKUP(A137,'2012 - TB'!$A$3:$C$733,3,FALSE)</f>
        <v>72305.08</v>
      </c>
      <c r="J137" s="2119" t="s">
        <v>6394</v>
      </c>
      <c r="L137" s="2024" t="str">
        <f>VLOOKUP(A137,'2012 Budget'!$A$18:$B$2152,2,FALSE)</f>
        <v>Annual Bonus;</v>
      </c>
    </row>
    <row r="138" spans="1:12" s="2024" customFormat="1" x14ac:dyDescent="0.2">
      <c r="A138" s="2116" t="s">
        <v>5590</v>
      </c>
      <c r="B138" s="2117" t="s">
        <v>4812</v>
      </c>
      <c r="C138" s="2109">
        <f>VLOOKUP(A138,'2011 - TB'!$A$3:$B$971,2,FALSE)</f>
        <v>23222.16</v>
      </c>
      <c r="D138" s="2118">
        <v>0</v>
      </c>
      <c r="E138" s="2118">
        <f>VLOOKUP(A138,'2012 - TB'!$A$3:$H$733,5,FALSE)</f>
        <v>25045.45</v>
      </c>
      <c r="F138" s="2118">
        <f>VLOOKUP(A138,'2012 - TB'!$A$3:$H$733,6,FALSE)</f>
        <v>0</v>
      </c>
      <c r="G138" s="2118">
        <f t="shared" si="8"/>
        <v>25045.45</v>
      </c>
      <c r="H138" s="2640">
        <f>SUMIF('Original Budget'!$A$1:$A$691,'Trial Balance - FPer'!A138,'Original Budget'!$C$1:$C$691)</f>
        <v>60023.77</v>
      </c>
      <c r="I138" s="2640">
        <f>VLOOKUP(A138,'2012 - TB'!$A$3:$C$733,3,FALSE)</f>
        <v>24604.66</v>
      </c>
      <c r="J138" s="2119" t="s">
        <v>6394</v>
      </c>
      <c r="L138" s="2024" t="str">
        <f>VLOOKUP(A138,'2012 Budget'!$A$18:$B$2152,2,FALSE)</f>
        <v>Annual Bonus;</v>
      </c>
    </row>
    <row r="139" spans="1:12" s="2024" customFormat="1" x14ac:dyDescent="0.2">
      <c r="A139" s="2116" t="s">
        <v>5645</v>
      </c>
      <c r="B139" s="2117" t="s">
        <v>4812</v>
      </c>
      <c r="C139" s="2109">
        <f>VLOOKUP(A139,'2011 - TB'!$A$3:$B$971,2,FALSE)</f>
        <v>8578.98</v>
      </c>
      <c r="D139" s="2118">
        <v>0</v>
      </c>
      <c r="E139" s="2118">
        <v>0</v>
      </c>
      <c r="F139" s="2118">
        <v>0</v>
      </c>
      <c r="G139" s="2118">
        <f t="shared" si="8"/>
        <v>0</v>
      </c>
      <c r="H139" s="2640">
        <f>SUMIF('Original Budget'!$A$1:$A$691,'Trial Balance - FPer'!A139,'Original Budget'!$C$1:$C$691)</f>
        <v>0</v>
      </c>
      <c r="I139" s="2640"/>
      <c r="J139" s="2119" t="s">
        <v>6394</v>
      </c>
      <c r="L139" s="2024" t="str">
        <f>VLOOKUP(A139,'2012 Budget'!$A$18:$B$2152,2,FALSE)</f>
        <v>Annual Bonus;</v>
      </c>
    </row>
    <row r="140" spans="1:12" s="2024" customFormat="1" x14ac:dyDescent="0.2">
      <c r="A140" s="2116" t="s">
        <v>5663</v>
      </c>
      <c r="B140" s="2117" t="s">
        <v>4812</v>
      </c>
      <c r="C140" s="2109">
        <f>VLOOKUP(A140,'2011 - TB'!$A$3:$B$971,2,FALSE)</f>
        <v>292565.01</v>
      </c>
      <c r="D140" s="2118">
        <v>0</v>
      </c>
      <c r="E140" s="2118">
        <f>VLOOKUP(A140,'2012 - TB'!$A$3:$H$733,5,FALSE)</f>
        <v>336735.39</v>
      </c>
      <c r="F140" s="2118">
        <f>VLOOKUP(A140,'2012 - TB'!$A$3:$H$733,6,FALSE)</f>
        <v>0</v>
      </c>
      <c r="G140" s="2118">
        <f t="shared" si="8"/>
        <v>336735.39</v>
      </c>
      <c r="H140" s="2640">
        <f>SUMIF('Original Budget'!$A$1:$A$691,'Trial Balance - FPer'!A140,'Original Budget'!$C$1:$C$691)</f>
        <v>258689.26</v>
      </c>
      <c r="I140" s="2640">
        <f>VLOOKUP(A140,'2012 - TB'!$A$3:$C$733,3,FALSE)</f>
        <v>327826.92</v>
      </c>
      <c r="J140" s="2119" t="s">
        <v>6394</v>
      </c>
      <c r="L140" s="2024" t="str">
        <f>VLOOKUP(A140,'2012 Budget'!$A$18:$B$2152,2,FALSE)</f>
        <v>Annual Bonus;</v>
      </c>
    </row>
    <row r="141" spans="1:12" s="2024" customFormat="1" x14ac:dyDescent="0.2">
      <c r="A141" s="2116" t="s">
        <v>5727</v>
      </c>
      <c r="B141" s="2117" t="s">
        <v>4812</v>
      </c>
      <c r="C141" s="2109">
        <f>VLOOKUP(A141,'2011 - TB'!$A$3:$B$971,2,FALSE)</f>
        <v>124701.19</v>
      </c>
      <c r="D141" s="2118">
        <v>0</v>
      </c>
      <c r="E141" s="2118">
        <f>VLOOKUP(A141,'2012 - TB'!$A$3:$H$733,5,FALSE)</f>
        <v>185280.98</v>
      </c>
      <c r="F141" s="2118">
        <f>VLOOKUP(A141,'2012 - TB'!$A$3:$H$733,6,FALSE)</f>
        <v>-4000</v>
      </c>
      <c r="G141" s="2118">
        <f t="shared" si="8"/>
        <v>181280.98</v>
      </c>
      <c r="H141" s="2640">
        <f>SUMIF('Original Budget'!$A$1:$A$691,'Trial Balance - FPer'!A141,'Original Budget'!$C$1:$C$691)</f>
        <v>147624.57999999999</v>
      </c>
      <c r="I141" s="2640">
        <f>VLOOKUP(A141,'2012 - TB'!$A$3:$C$733,3,FALSE)</f>
        <v>176663.02</v>
      </c>
      <c r="J141" s="2119" t="s">
        <v>6394</v>
      </c>
      <c r="L141" s="2024" t="str">
        <f>VLOOKUP(A141,'2012 Budget'!$A$18:$B$2152,2,FALSE)</f>
        <v>Annual Bonus;</v>
      </c>
    </row>
    <row r="142" spans="1:12" s="2024" customFormat="1" x14ac:dyDescent="0.2">
      <c r="A142" s="2116" t="s">
        <v>5772</v>
      </c>
      <c r="B142" s="2117" t="s">
        <v>4812</v>
      </c>
      <c r="C142" s="2109">
        <f>VLOOKUP(A142,'2011 - TB'!$A$3:$B$971,2,FALSE)</f>
        <v>94712.49</v>
      </c>
      <c r="D142" s="2118">
        <v>0</v>
      </c>
      <c r="E142" s="2118">
        <f>VLOOKUP(A142,'2012 - TB'!$A$3:$H$733,5,FALSE)</f>
        <v>144210.39000000001</v>
      </c>
      <c r="F142" s="2118">
        <f>VLOOKUP(A142,'2012 - TB'!$A$3:$H$733,6,FALSE)</f>
        <v>0</v>
      </c>
      <c r="G142" s="2118">
        <f t="shared" si="8"/>
        <v>144210.39000000001</v>
      </c>
      <c r="H142" s="2640">
        <f>SUMIF('Original Budget'!$A$1:$A$691,'Trial Balance - FPer'!A142,'Original Budget'!$C$1:$C$691)</f>
        <v>56812.19</v>
      </c>
      <c r="I142" s="2640">
        <f>VLOOKUP(A142,'2012 - TB'!$A$3:$C$733,3,FALSE)</f>
        <v>119995.23</v>
      </c>
      <c r="J142" s="2119" t="s">
        <v>6394</v>
      </c>
      <c r="L142" s="2024" t="str">
        <f>VLOOKUP(A142,'2012 Budget'!$A$18:$B$2152,2,FALSE)</f>
        <v>Annual Bonus;</v>
      </c>
    </row>
    <row r="143" spans="1:12" s="2024" customFormat="1" x14ac:dyDescent="0.2">
      <c r="A143" s="2116" t="s">
        <v>5829</v>
      </c>
      <c r="B143" s="2117" t="s">
        <v>4812</v>
      </c>
      <c r="C143" s="2109">
        <f>VLOOKUP(A143,'2011 - TB'!$A$3:$B$971,2,FALSE)</f>
        <v>166294.71</v>
      </c>
      <c r="D143" s="2118">
        <v>0</v>
      </c>
      <c r="E143" s="2118">
        <f>VLOOKUP(A143,'2012 - TB'!$A$3:$H$733,5,FALSE)</f>
        <v>211448.58</v>
      </c>
      <c r="F143" s="2118">
        <f>VLOOKUP(A143,'2012 - TB'!$A$3:$H$733,6,FALSE)</f>
        <v>0</v>
      </c>
      <c r="G143" s="2118">
        <f t="shared" si="8"/>
        <v>211448.58</v>
      </c>
      <c r="H143" s="2640">
        <f>SUMIF('Original Budget'!$A$1:$A$691,'Trial Balance - FPer'!A143,'Original Budget'!$C$1:$C$691)</f>
        <v>200967.38</v>
      </c>
      <c r="I143" s="2640">
        <f>VLOOKUP(A143,'2012 - TB'!$A$3:$C$733,3,FALSE)</f>
        <v>211623.54</v>
      </c>
      <c r="J143" s="2119" t="s">
        <v>6394</v>
      </c>
      <c r="L143" s="2024" t="str">
        <f>VLOOKUP(A143,'2012 Budget'!$A$18:$B$2152,2,FALSE)</f>
        <v>Annual Bonus;</v>
      </c>
    </row>
    <row r="144" spans="1:12" s="2024" customFormat="1" ht="13.5" thickBot="1" x14ac:dyDescent="0.25">
      <c r="A144" s="2120" t="s">
        <v>5893</v>
      </c>
      <c r="B144" s="2121" t="s">
        <v>4812</v>
      </c>
      <c r="C144" s="2122">
        <f>VLOOKUP(A144,'2011 - TB'!$A$3:$B$971,2,FALSE)</f>
        <v>19185.62</v>
      </c>
      <c r="D144" s="2123">
        <v>0</v>
      </c>
      <c r="E144" s="2123">
        <f>VLOOKUP(A144,'2012 - TB'!$A$3:$H$733,5,FALSE)</f>
        <v>33134.199999999997</v>
      </c>
      <c r="F144" s="2123">
        <f>VLOOKUP(A144,'2012 - TB'!$A$3:$H$733,6,FALSE)</f>
        <v>0</v>
      </c>
      <c r="G144" s="2123">
        <f t="shared" si="8"/>
        <v>33134.199999999997</v>
      </c>
      <c r="H144" s="2640">
        <f>SUMIF('Original Budget'!$A$1:$A$691,'Trial Balance - FPer'!A144,'Original Budget'!$C$1:$C$691)</f>
        <v>14109.81</v>
      </c>
      <c r="I144" s="2640">
        <f>VLOOKUP(A144,'2012 - TB'!$A$3:$C$733,3,FALSE)</f>
        <v>41123.379999999997</v>
      </c>
      <c r="J144" s="2124" t="s">
        <v>6394</v>
      </c>
      <c r="L144" s="2024" t="str">
        <f>VLOOKUP(A144,'2012 Budget'!$A$18:$B$2152,2,FALSE)</f>
        <v>Annual Bonus;</v>
      </c>
    </row>
    <row r="145" spans="1:12" s="2024" customFormat="1" x14ac:dyDescent="0.2">
      <c r="A145" s="2116" t="s">
        <v>4896</v>
      </c>
      <c r="B145" s="2117" t="s">
        <v>4897</v>
      </c>
      <c r="C145" s="2109">
        <f>VLOOKUP(A145,'2011 - TB'!$A$3:$B$971,2,FALSE)</f>
        <v>54745.63</v>
      </c>
      <c r="D145" s="2118">
        <v>0</v>
      </c>
      <c r="E145" s="2118">
        <f>VLOOKUP(A145,'2012 - TB'!$A$3:$H$733,5,FALSE)</f>
        <v>0</v>
      </c>
      <c r="F145" s="2118">
        <f>VLOOKUP(A145,'2012 - TB'!$A$3:$H$733,6,FALSE)</f>
        <v>0</v>
      </c>
      <c r="G145" s="2118">
        <f t="shared" si="8"/>
        <v>0</v>
      </c>
      <c r="H145" s="2640">
        <f>SUMIF('Original Budget'!$A$1:$A$691,'Trial Balance - FPer'!A145,'Original Budget'!$C$1:$C$691)</f>
        <v>36928.29</v>
      </c>
      <c r="I145" s="2640">
        <f>VLOOKUP(A145,'2012 - TB'!$A$3:$C$733,3,FALSE)</f>
        <v>36928.29</v>
      </c>
      <c r="J145" s="2119" t="s">
        <v>6382</v>
      </c>
      <c r="L145" s="2024" t="str">
        <f>VLOOKUP(A145,'2012 Budget'!$A$18:$B$2152,2,FALSE)</f>
        <v>Contr - Leave R</v>
      </c>
    </row>
    <row r="146" spans="1:12" s="2024" customFormat="1" x14ac:dyDescent="0.2">
      <c r="A146" s="2116" t="s">
        <v>5055</v>
      </c>
      <c r="B146" s="2117" t="s">
        <v>4897</v>
      </c>
      <c r="C146" s="2109">
        <f>VLOOKUP(A146,'2011 - TB'!$A$3:$B$971,2,FALSE)</f>
        <v>170633.95</v>
      </c>
      <c r="D146" s="2118">
        <v>0</v>
      </c>
      <c r="E146" s="2118">
        <f>VLOOKUP(A146,'2012 - TB'!$A$3:$H$733,5,FALSE)</f>
        <v>65087.72</v>
      </c>
      <c r="F146" s="2118">
        <f>VLOOKUP(A146,'2012 - TB'!$A$3:$H$733,6,FALSE)</f>
        <v>0</v>
      </c>
      <c r="G146" s="2118">
        <f t="shared" si="8"/>
        <v>65087.72</v>
      </c>
      <c r="H146" s="2640">
        <f>SUMIF('Original Budget'!$A$1:$A$691,'Trial Balance - FPer'!A146,'Original Budget'!$C$1:$C$691)</f>
        <v>86834.26</v>
      </c>
      <c r="I146" s="2640">
        <f>VLOOKUP(A146,'2012 - TB'!$A$3:$C$733,3,FALSE)</f>
        <v>86834.26</v>
      </c>
      <c r="J146" s="2119" t="s">
        <v>6382</v>
      </c>
      <c r="L146" s="2024" t="str">
        <f>VLOOKUP(A146,'2012 Budget'!$A$18:$B$2152,2,FALSE)</f>
        <v>Contr - Leave R</v>
      </c>
    </row>
    <row r="147" spans="1:12" s="2024" customFormat="1" x14ac:dyDescent="0.2">
      <c r="A147" s="2116" t="s">
        <v>5056</v>
      </c>
      <c r="B147" s="2117" t="s">
        <v>4897</v>
      </c>
      <c r="C147" s="2109">
        <v>0</v>
      </c>
      <c r="D147" s="2118">
        <v>0</v>
      </c>
      <c r="E147" s="2118">
        <v>0</v>
      </c>
      <c r="F147" s="2118">
        <v>0</v>
      </c>
      <c r="G147" s="2118">
        <f t="shared" si="8"/>
        <v>0</v>
      </c>
      <c r="H147" s="2640">
        <f>SUMIF('Original Budget'!$A$1:$A$691,'Trial Balance - FPer'!A147,'Original Budget'!$C$1:$C$691)</f>
        <v>0</v>
      </c>
      <c r="I147" s="2640"/>
      <c r="J147" s="2119" t="s">
        <v>6382</v>
      </c>
      <c r="L147" s="2024" t="str">
        <f>VLOOKUP(A147,'2012 Budget'!$A$18:$B$2152,2,FALSE)</f>
        <v>Contr - Leave R</v>
      </c>
    </row>
    <row r="148" spans="1:12" s="2024" customFormat="1" x14ac:dyDescent="0.2">
      <c r="A148" s="2116" t="s">
        <v>5122</v>
      </c>
      <c r="B148" s="2117" t="s">
        <v>4897</v>
      </c>
      <c r="C148" s="2109">
        <f>VLOOKUP(A148,'2011 - TB'!$A$3:$B$971,2,FALSE)</f>
        <v>26419</v>
      </c>
      <c r="D148" s="2118">
        <v>0</v>
      </c>
      <c r="E148" s="2118">
        <f>VLOOKUP(A148,'2012 - TB'!$A$3:$H$733,5,FALSE)</f>
        <v>20215.11</v>
      </c>
      <c r="F148" s="2118">
        <f>VLOOKUP(A148,'2012 - TB'!$A$3:$H$733,6,FALSE)</f>
        <v>0</v>
      </c>
      <c r="G148" s="2118">
        <f t="shared" si="8"/>
        <v>20215.11</v>
      </c>
      <c r="H148" s="2640">
        <f>SUMIF('Original Budget'!$A$1:$A$691,'Trial Balance - FPer'!A148,'Original Budget'!$C$1:$C$691)</f>
        <v>3920.66</v>
      </c>
      <c r="I148" s="2640">
        <f>VLOOKUP(A148,'2012 - TB'!$A$3:$C$733,3,FALSE)</f>
        <v>20215.11</v>
      </c>
      <c r="J148" s="2119" t="s">
        <v>6382</v>
      </c>
      <c r="L148" s="2024" t="str">
        <f>VLOOKUP(A148,'2012 Budget'!$A$18:$B$2152,2,FALSE)</f>
        <v>Contr - Leave R</v>
      </c>
    </row>
    <row r="149" spans="1:12" s="2024" customFormat="1" x14ac:dyDescent="0.2">
      <c r="A149" s="2116" t="s">
        <v>5153</v>
      </c>
      <c r="B149" s="2117" t="s">
        <v>4897</v>
      </c>
      <c r="C149" s="2109">
        <f>VLOOKUP(A149,'2011 - TB'!$A$3:$B$971,2,FALSE)</f>
        <v>30266.52</v>
      </c>
      <c r="D149" s="2118">
        <v>0</v>
      </c>
      <c r="E149" s="2118">
        <f>VLOOKUP(A149,'2012 - TB'!$A$3:$H$733,5,FALSE)</f>
        <v>38515.71</v>
      </c>
      <c r="F149" s="2118">
        <f>VLOOKUP(A149,'2012 - TB'!$A$3:$H$733,6,FALSE)</f>
        <v>0</v>
      </c>
      <c r="G149" s="2118">
        <f t="shared" si="8"/>
        <v>38515.71</v>
      </c>
      <c r="H149" s="2640">
        <f>SUMIF('Original Budget'!$A$1:$A$691,'Trial Balance - FPer'!A149,'Original Budget'!$C$1:$C$691)</f>
        <v>4726.88</v>
      </c>
      <c r="I149" s="2640">
        <f>VLOOKUP(A149,'2012 - TB'!$A$3:$C$733,3,FALSE)</f>
        <v>9095.24</v>
      </c>
      <c r="J149" s="2119" t="s">
        <v>6382</v>
      </c>
      <c r="L149" s="2024" t="str">
        <f>VLOOKUP(A149,'2012 Budget'!$A$18:$B$2152,2,FALSE)</f>
        <v>Contr - Leave R</v>
      </c>
    </row>
    <row r="150" spans="1:12" s="2024" customFormat="1" x14ac:dyDescent="0.2">
      <c r="A150" s="2116" t="s">
        <v>5301</v>
      </c>
      <c r="B150" s="2117" t="s">
        <v>4897</v>
      </c>
      <c r="C150" s="2109">
        <f>VLOOKUP(A150,'2011 - TB'!$A$3:$B$971,2,FALSE)</f>
        <v>3407.17</v>
      </c>
      <c r="D150" s="2118">
        <v>0</v>
      </c>
      <c r="E150" s="2118">
        <f>VLOOKUP(A150,'2012 - TB'!$A$3:$H$733,5,FALSE)</f>
        <v>5221.82</v>
      </c>
      <c r="F150" s="2118">
        <f>VLOOKUP(A150,'2012 - TB'!$A$3:$H$733,6,FALSE)</f>
        <v>0</v>
      </c>
      <c r="G150" s="2118">
        <f t="shared" si="8"/>
        <v>5221.82</v>
      </c>
      <c r="H150" s="2640">
        <f>SUMIF('Original Budget'!$A$1:$A$691,'Trial Balance - FPer'!A150,'Original Budget'!$C$1:$C$691)</f>
        <v>8599.26</v>
      </c>
      <c r="I150" s="2640">
        <f>VLOOKUP(A150,'2012 - TB'!$A$3:$C$733,3,FALSE)</f>
        <v>5221.82</v>
      </c>
      <c r="J150" s="2119" t="s">
        <v>6382</v>
      </c>
      <c r="L150" s="2024" t="str">
        <f>VLOOKUP(A150,'2012 Budget'!$A$18:$B$2152,2,FALSE)</f>
        <v>Contr - Leave R</v>
      </c>
    </row>
    <row r="151" spans="1:12" s="2024" customFormat="1" x14ac:dyDescent="0.2">
      <c r="A151" s="2116" t="s">
        <v>5302</v>
      </c>
      <c r="B151" s="2117" t="s">
        <v>4897</v>
      </c>
      <c r="C151" s="2109">
        <f>VLOOKUP(A151,'2011 - TB'!$A$3:$B$971,2,FALSE)</f>
        <v>121096.48</v>
      </c>
      <c r="D151" s="2118">
        <v>0</v>
      </c>
      <c r="E151" s="2118">
        <f>VLOOKUP(A151,'2012 - TB'!$A$3:$H$733,5,FALSE)</f>
        <v>0</v>
      </c>
      <c r="F151" s="2118">
        <f>VLOOKUP(A151,'2012 - TB'!$A$3:$H$733,6,FALSE)</f>
        <v>0</v>
      </c>
      <c r="G151" s="2118">
        <f t="shared" si="8"/>
        <v>0</v>
      </c>
      <c r="H151" s="2640">
        <f>SUMIF('Original Budget'!$A$1:$A$691,'Trial Balance - FPer'!A151,'Original Budget'!$C$1:$C$691)</f>
        <v>13818.53</v>
      </c>
      <c r="I151" s="2640">
        <f>VLOOKUP(A151,'2012 - TB'!$A$3:$C$733,3,FALSE)</f>
        <v>13818.53</v>
      </c>
      <c r="J151" s="2119" t="s">
        <v>6382</v>
      </c>
      <c r="L151" s="2024" t="str">
        <f>VLOOKUP(A151,'2012 Budget'!$A$18:$B$2152,2,FALSE)</f>
        <v>Contr - Leave R</v>
      </c>
    </row>
    <row r="152" spans="1:12" s="2024" customFormat="1" x14ac:dyDescent="0.2">
      <c r="A152" s="2116" t="s">
        <v>5356</v>
      </c>
      <c r="B152" s="2117" t="s">
        <v>4897</v>
      </c>
      <c r="C152" s="2109">
        <f>VLOOKUP(A152,'2011 - TB'!$A$3:$B$971,2,FALSE)</f>
        <v>99345.43</v>
      </c>
      <c r="D152" s="2118">
        <v>0</v>
      </c>
      <c r="E152" s="2118">
        <f>VLOOKUP(A152,'2012 - TB'!$A$3:$H$733,5,FALSE)</f>
        <v>0</v>
      </c>
      <c r="F152" s="2118">
        <f>VLOOKUP(A152,'2012 - TB'!$A$3:$H$733,6,FALSE)</f>
        <v>0</v>
      </c>
      <c r="G152" s="2118">
        <f t="shared" si="8"/>
        <v>0</v>
      </c>
      <c r="H152" s="2640">
        <f>SUMIF('Original Budget'!$A$1:$A$691,'Trial Balance - FPer'!A152,'Original Budget'!$C$1:$C$691)</f>
        <v>5085.1899999999996</v>
      </c>
      <c r="I152" s="2640">
        <f>VLOOKUP(A152,'2012 - TB'!$A$3:$C$733,3,FALSE)</f>
        <v>5085.1899999999996</v>
      </c>
      <c r="J152" s="2119" t="s">
        <v>6382</v>
      </c>
      <c r="L152" s="2024" t="str">
        <f>VLOOKUP(A152,'2012 Budget'!$A$18:$B$2152,2,FALSE)</f>
        <v>Contr - Leave R</v>
      </c>
    </row>
    <row r="153" spans="1:12" s="2024" customFormat="1" x14ac:dyDescent="0.2">
      <c r="A153" s="2116" t="s">
        <v>5379</v>
      </c>
      <c r="B153" s="2117" t="s">
        <v>4897</v>
      </c>
      <c r="C153" s="2109">
        <f>VLOOKUP(A153,'2011 - TB'!$A$3:$B$971,2,FALSE)</f>
        <v>30883.05</v>
      </c>
      <c r="D153" s="2118">
        <v>0</v>
      </c>
      <c r="E153" s="2118">
        <f>VLOOKUP(A153,'2012 - TB'!$A$3:$H$733,5,FALSE)</f>
        <v>0</v>
      </c>
      <c r="F153" s="2118">
        <f>VLOOKUP(A153,'2012 - TB'!$A$3:$H$733,6,FALSE)</f>
        <v>0</v>
      </c>
      <c r="G153" s="2118">
        <f t="shared" si="8"/>
        <v>0</v>
      </c>
      <c r="H153" s="2640">
        <f>SUMIF('Original Budget'!$A$1:$A$691,'Trial Balance - FPer'!A153,'Original Budget'!$C$1:$C$691)</f>
        <v>10095.32</v>
      </c>
      <c r="I153" s="2640">
        <f>VLOOKUP(A153,'2012 - TB'!$A$3:$C$733,3,FALSE)</f>
        <v>10095.32</v>
      </c>
      <c r="J153" s="2119" t="s">
        <v>6382</v>
      </c>
      <c r="L153" s="2024" t="str">
        <f>VLOOKUP(A153,'2012 Budget'!$A$18:$B$2152,2,FALSE)</f>
        <v>Contr - Leave R</v>
      </c>
    </row>
    <row r="154" spans="1:12" s="2024" customFormat="1" x14ac:dyDescent="0.2">
      <c r="A154" s="2116" t="s">
        <v>5419</v>
      </c>
      <c r="B154" s="2117" t="s">
        <v>4897</v>
      </c>
      <c r="C154" s="2109">
        <f>VLOOKUP(A154,'2011 - TB'!$A$3:$B$971,2,FALSE)</f>
        <v>34936.79</v>
      </c>
      <c r="D154" s="2118">
        <v>0</v>
      </c>
      <c r="E154" s="2118">
        <f>VLOOKUP(A154,'2012 - TB'!$A$3:$H$733,5,FALSE)</f>
        <v>0</v>
      </c>
      <c r="F154" s="2118">
        <f>VLOOKUP(A154,'2012 - TB'!$A$3:$H$733,6,FALSE)</f>
        <v>0</v>
      </c>
      <c r="G154" s="2118">
        <f t="shared" si="8"/>
        <v>0</v>
      </c>
      <c r="H154" s="2640">
        <f>SUMIF('Original Budget'!$A$1:$A$691,'Trial Balance - FPer'!A154,'Original Budget'!$C$1:$C$691)</f>
        <v>2751.71</v>
      </c>
      <c r="I154" s="2640">
        <f>VLOOKUP(A154,'2012 - TB'!$A$3:$C$733,3,FALSE)</f>
        <v>2751.71</v>
      </c>
      <c r="J154" s="2119" t="s">
        <v>6382</v>
      </c>
      <c r="L154" s="2024" t="str">
        <f>VLOOKUP(A154,'2012 Budget'!$A$18:$B$2152,2,FALSE)</f>
        <v>Contr - Leave R</v>
      </c>
    </row>
    <row r="155" spans="1:12" s="2024" customFormat="1" x14ac:dyDescent="0.2">
      <c r="A155" s="2116" t="s">
        <v>5483</v>
      </c>
      <c r="B155" s="2117" t="s">
        <v>4897</v>
      </c>
      <c r="C155" s="2109">
        <f>VLOOKUP(A155,'2011 - TB'!$A$3:$B$971,2,FALSE)</f>
        <v>100010.43</v>
      </c>
      <c r="D155" s="2118">
        <v>0</v>
      </c>
      <c r="E155" s="2118">
        <f>VLOOKUP(A155,'2012 - TB'!$A$3:$H$733,5,FALSE)</f>
        <v>8426.3799999999992</v>
      </c>
      <c r="F155" s="2118">
        <f>VLOOKUP(A155,'2012 - TB'!$A$3:$H$733,6,FALSE)</f>
        <v>0</v>
      </c>
      <c r="G155" s="2118">
        <f t="shared" si="8"/>
        <v>8426.3799999999992</v>
      </c>
      <c r="H155" s="2640">
        <f>SUMIF('Original Budget'!$A$1:$A$691,'Trial Balance - FPer'!A155,'Original Budget'!$C$1:$C$691)</f>
        <v>20000</v>
      </c>
      <c r="I155" s="2640">
        <f>VLOOKUP(A155,'2012 - TB'!$A$3:$C$733,3,FALSE)</f>
        <v>20000</v>
      </c>
      <c r="J155" s="2119" t="s">
        <v>6382</v>
      </c>
      <c r="L155" s="2024" t="str">
        <f>VLOOKUP(A155,'2012 Budget'!$A$18:$B$2152,2,FALSE)</f>
        <v>Contr - Leave R</v>
      </c>
    </row>
    <row r="156" spans="1:12" s="2024" customFormat="1" x14ac:dyDescent="0.2">
      <c r="A156" s="2116" t="s">
        <v>5508</v>
      </c>
      <c r="B156" s="2117" t="s">
        <v>4897</v>
      </c>
      <c r="C156" s="2109">
        <f>VLOOKUP(A156,'2011 - TB'!$A$3:$B$971,2,FALSE)</f>
        <v>79636.91</v>
      </c>
      <c r="D156" s="2118">
        <v>0</v>
      </c>
      <c r="E156" s="2118">
        <f>VLOOKUP(A156,'2012 - TB'!$A$3:$H$733,5,FALSE)</f>
        <v>0</v>
      </c>
      <c r="F156" s="2118">
        <f>VLOOKUP(A156,'2012 - TB'!$A$3:$H$733,6,FALSE)</f>
        <v>0</v>
      </c>
      <c r="G156" s="2118">
        <f t="shared" si="8"/>
        <v>0</v>
      </c>
      <c r="H156" s="2640">
        <f>SUMIF('Original Budget'!$A$1:$A$691,'Trial Balance - FPer'!A156,'Original Budget'!$C$1:$C$691)</f>
        <v>2993.96</v>
      </c>
      <c r="I156" s="2640">
        <f>VLOOKUP(A156,'2012 - TB'!$A$3:$C$733,3,FALSE)</f>
        <v>2993.96</v>
      </c>
      <c r="J156" s="2119" t="s">
        <v>6382</v>
      </c>
      <c r="L156" s="2024" t="str">
        <f>VLOOKUP(A156,'2012 Budget'!$A$18:$B$2152,2,FALSE)</f>
        <v>Contr - Leave R</v>
      </c>
    </row>
    <row r="157" spans="1:12" s="2024" customFormat="1" x14ac:dyDescent="0.2">
      <c r="A157" s="2116" t="s">
        <v>5547</v>
      </c>
      <c r="B157" s="2117" t="s">
        <v>4897</v>
      </c>
      <c r="C157" s="2109">
        <f>VLOOKUP(A157,'2011 - TB'!$A$3:$B$971,2,FALSE)</f>
        <v>37600.89</v>
      </c>
      <c r="D157" s="2118">
        <v>0</v>
      </c>
      <c r="E157" s="2118">
        <f>VLOOKUP(A157,'2012 - TB'!$A$3:$H$733,5,FALSE)</f>
        <v>0</v>
      </c>
      <c r="F157" s="2118">
        <f>VLOOKUP(A157,'2012 - TB'!$A$3:$H$733,6,FALSE)</f>
        <v>0</v>
      </c>
      <c r="G157" s="2118">
        <f t="shared" si="8"/>
        <v>0</v>
      </c>
      <c r="H157" s="2640">
        <f>SUMIF('Original Budget'!$A$1:$A$691,'Trial Balance - FPer'!A157,'Original Budget'!$C$1:$C$691)</f>
        <v>4885.22</v>
      </c>
      <c r="I157" s="2640">
        <f>VLOOKUP(A157,'2012 - TB'!$A$3:$C$733,3,FALSE)</f>
        <v>4885.22</v>
      </c>
      <c r="J157" s="2119" t="s">
        <v>6382</v>
      </c>
      <c r="L157" s="2024" t="str">
        <f>VLOOKUP(A157,'2012 Budget'!$A$18:$B$2152,2,FALSE)</f>
        <v>Contr - Leave R</v>
      </c>
    </row>
    <row r="158" spans="1:12" s="2024" customFormat="1" x14ac:dyDescent="0.2">
      <c r="A158" s="2116" t="s">
        <v>5582</v>
      </c>
      <c r="B158" s="2117" t="s">
        <v>4897</v>
      </c>
      <c r="C158" s="2109">
        <f>VLOOKUP(A158,'2011 - TB'!$A$3:$B$971,2,FALSE)</f>
        <v>7945.94</v>
      </c>
      <c r="D158" s="2118">
        <v>0</v>
      </c>
      <c r="E158" s="2118">
        <f>VLOOKUP(A158,'2012 - TB'!$A$3:$H$733,5,FALSE)</f>
        <v>0</v>
      </c>
      <c r="F158" s="2118">
        <f>VLOOKUP(A158,'2012 - TB'!$A$3:$H$733,6,FALSE)</f>
        <v>0</v>
      </c>
      <c r="G158" s="2118">
        <f t="shared" si="8"/>
        <v>0</v>
      </c>
      <c r="H158" s="2640">
        <f>SUMIF('Original Budget'!$A$1:$A$691,'Trial Balance - FPer'!A158,'Original Budget'!$C$1:$C$691)</f>
        <v>1300.1600000000001</v>
      </c>
      <c r="I158" s="2640">
        <f>VLOOKUP(A158,'2012 - TB'!$A$3:$C$733,3,FALSE)</f>
        <v>1300.1600000000001</v>
      </c>
      <c r="J158" s="2119" t="s">
        <v>6382</v>
      </c>
      <c r="L158" s="2024" t="str">
        <f>VLOOKUP(A158,'2012 Budget'!$A$18:$B$2152,2,FALSE)</f>
        <v>Contr - Leave R</v>
      </c>
    </row>
    <row r="159" spans="1:12" s="2024" customFormat="1" x14ac:dyDescent="0.2">
      <c r="A159" s="2116" t="s">
        <v>5633</v>
      </c>
      <c r="B159" s="2117" t="s">
        <v>4897</v>
      </c>
      <c r="C159" s="2109">
        <f>VLOOKUP(A159,'2011 - TB'!$A$3:$B$971,2,FALSE)</f>
        <v>115293.37</v>
      </c>
      <c r="D159" s="2118">
        <v>0</v>
      </c>
      <c r="E159" s="2118">
        <f>VLOOKUP(A159,'2012 - TB'!$A$3:$H$733,5,FALSE)</f>
        <v>0</v>
      </c>
      <c r="F159" s="2118">
        <f>VLOOKUP(A159,'2012 - TB'!$A$3:$H$733,6,FALSE)</f>
        <v>0</v>
      </c>
      <c r="G159" s="2118">
        <f t="shared" si="8"/>
        <v>0</v>
      </c>
      <c r="H159" s="2640">
        <f>SUMIF('Original Budget'!$A$1:$A$691,'Trial Balance - FPer'!A159,'Original Budget'!$C$1:$C$691)</f>
        <v>45841.58</v>
      </c>
      <c r="I159" s="2640">
        <f>VLOOKUP(A159,'2012 - TB'!$A$3:$C$733,3,FALSE)</f>
        <v>45841.58</v>
      </c>
      <c r="J159" s="2119" t="s">
        <v>6382</v>
      </c>
      <c r="L159" s="2024" t="str">
        <f>VLOOKUP(A159,'2012 Budget'!$A$18:$B$2152,2,FALSE)</f>
        <v>Contr - Leave R</v>
      </c>
    </row>
    <row r="160" spans="1:12" s="2024" customFormat="1" x14ac:dyDescent="0.2">
      <c r="A160" s="2116" t="s">
        <v>5634</v>
      </c>
      <c r="B160" s="2117" t="s">
        <v>4897</v>
      </c>
      <c r="C160" s="2109" t="str">
        <f>VLOOKUP(A160,'2011 - TB'!$A$3:$B$971,2,FALSE)</f>
        <v xml:space="preserve">                               -  </v>
      </c>
      <c r="D160" s="2118">
        <v>0</v>
      </c>
      <c r="E160" s="2118">
        <f>VLOOKUP(A160,'2012 - TB'!$A$3:$H$733,5,FALSE)</f>
        <v>0</v>
      </c>
      <c r="F160" s="2118">
        <f>VLOOKUP(A160,'2012 - TB'!$A$3:$H$733,6,FALSE)</f>
        <v>0</v>
      </c>
      <c r="G160" s="2118">
        <f t="shared" si="8"/>
        <v>0</v>
      </c>
      <c r="H160" s="2640">
        <f>SUMIF('Original Budget'!$A$1:$A$691,'Trial Balance - FPer'!A160,'Original Budget'!$C$1:$C$691)</f>
        <v>12162.55</v>
      </c>
      <c r="I160" s="2640">
        <f>VLOOKUP(A160,'2012 - TB'!$A$3:$C$733,3,FALSE)</f>
        <v>12162.55</v>
      </c>
      <c r="J160" s="2119" t="s">
        <v>6382</v>
      </c>
      <c r="L160" s="2024" t="str">
        <f>VLOOKUP(A160,'2012 Budget'!$A$18:$B$2152,2,FALSE)</f>
        <v>Contr - Leave R</v>
      </c>
    </row>
    <row r="161" spans="1:12" s="2024" customFormat="1" x14ac:dyDescent="0.2">
      <c r="A161" s="2116" t="s">
        <v>5713</v>
      </c>
      <c r="B161" s="2117" t="s">
        <v>4897</v>
      </c>
      <c r="C161" s="2109" t="str">
        <f>VLOOKUP(A161,'2011 - TB'!$A$3:$B$971,2,FALSE)</f>
        <v xml:space="preserve">                               -  </v>
      </c>
      <c r="D161" s="2118">
        <v>0</v>
      </c>
      <c r="E161" s="2118">
        <f>VLOOKUP(A161,'2012 - TB'!$A$3:$H$733,5,FALSE)</f>
        <v>23403.22</v>
      </c>
      <c r="F161" s="2118">
        <f>VLOOKUP(A161,'2012 - TB'!$A$3:$H$733,6,FALSE)</f>
        <v>0</v>
      </c>
      <c r="G161" s="2118">
        <f t="shared" si="8"/>
        <v>23403.22</v>
      </c>
      <c r="H161" s="2640">
        <f>SUMIF('Original Budget'!$A$1:$A$691,'Trial Balance - FPer'!A161,'Original Budget'!$C$1:$C$691)</f>
        <v>44121.35</v>
      </c>
      <c r="I161" s="2640">
        <f>VLOOKUP(A161,'2012 - TB'!$A$3:$C$733,3,FALSE)</f>
        <v>44121.35</v>
      </c>
      <c r="J161" s="2119" t="s">
        <v>6382</v>
      </c>
      <c r="L161" s="2024" t="str">
        <f>VLOOKUP(A161,'2012 Budget'!$A$18:$B$2152,2,FALSE)</f>
        <v>Contr - Leave R</v>
      </c>
    </row>
    <row r="162" spans="1:12" s="2024" customFormat="1" x14ac:dyDescent="0.2">
      <c r="A162" s="2116" t="s">
        <v>5766</v>
      </c>
      <c r="B162" s="2117" t="s">
        <v>4897</v>
      </c>
      <c r="C162" s="2109">
        <f>VLOOKUP(A162,'2011 - TB'!$A$3:$B$971,2,FALSE)</f>
        <v>152565.95000000001</v>
      </c>
      <c r="D162" s="2118">
        <v>0</v>
      </c>
      <c r="E162" s="2118">
        <f>VLOOKUP(A162,'2012 - TB'!$A$3:$H$733,5,FALSE)</f>
        <v>24106.94</v>
      </c>
      <c r="F162" s="2118">
        <f>VLOOKUP(A162,'2012 - TB'!$A$3:$H$733,6,FALSE)</f>
        <v>0</v>
      </c>
      <c r="G162" s="2118">
        <f t="shared" si="8"/>
        <v>24106.94</v>
      </c>
      <c r="H162" s="2640">
        <f>SUMIF('Original Budget'!$A$1:$A$691,'Trial Balance - FPer'!A162,'Original Budget'!$C$1:$C$691)</f>
        <v>76930.649999999994</v>
      </c>
      <c r="I162" s="2640">
        <f>VLOOKUP(A162,'2012 - TB'!$A$3:$C$733,3,FALSE)</f>
        <v>76930.649999999994</v>
      </c>
      <c r="J162" s="2119" t="s">
        <v>6382</v>
      </c>
      <c r="L162" s="2024" t="str">
        <f>VLOOKUP(A162,'2012 Budget'!$A$18:$B$2152,2,FALSE)</f>
        <v>Contr - Leave R</v>
      </c>
    </row>
    <row r="163" spans="1:12" s="2024" customFormat="1" x14ac:dyDescent="0.2">
      <c r="A163" s="2116" t="s">
        <v>5817</v>
      </c>
      <c r="B163" s="2117" t="s">
        <v>4897</v>
      </c>
      <c r="C163" s="2109">
        <f>VLOOKUP(A163,'2011 - TB'!$A$3:$B$971,2,FALSE)</f>
        <v>52861.61</v>
      </c>
      <c r="D163" s="2118">
        <v>0</v>
      </c>
      <c r="E163" s="2118">
        <f>VLOOKUP(A163,'2012 - TB'!$A$3:$H$733,5,FALSE)</f>
        <v>11606.07</v>
      </c>
      <c r="F163" s="2118">
        <f>VLOOKUP(A163,'2012 - TB'!$A$3:$H$733,6,FALSE)</f>
        <v>0</v>
      </c>
      <c r="G163" s="2118">
        <f t="shared" si="8"/>
        <v>11606.07</v>
      </c>
      <c r="H163" s="2640">
        <f>SUMIF('Original Budget'!$A$1:$A$691,'Trial Balance - FPer'!A163,'Original Budget'!$C$1:$C$691)</f>
        <v>11901.41</v>
      </c>
      <c r="I163" s="2640">
        <f>VLOOKUP(A163,'2012 - TB'!$A$3:$C$733,3,FALSE)</f>
        <v>11901.41</v>
      </c>
      <c r="J163" s="2119" t="s">
        <v>6382</v>
      </c>
      <c r="L163" s="2024" t="str">
        <f>VLOOKUP(A163,'2012 Budget'!$A$18:$B$2152,2,FALSE)</f>
        <v>Contr - Leave R</v>
      </c>
    </row>
    <row r="164" spans="1:12" s="2024" customFormat="1" ht="13.5" thickBot="1" x14ac:dyDescent="0.25">
      <c r="A164" s="2116" t="s">
        <v>5881</v>
      </c>
      <c r="B164" s="2117" t="s">
        <v>4897</v>
      </c>
      <c r="C164" s="2109">
        <f>VLOOKUP(A164,'2011 - TB'!$A$3:$B$971,2,FALSE)</f>
        <v>536888.97</v>
      </c>
      <c r="D164" s="2118">
        <v>0</v>
      </c>
      <c r="E164" s="2118">
        <f>VLOOKUP(A164,'2012 - TB'!$A$3:$H$733,5,FALSE)</f>
        <v>0</v>
      </c>
      <c r="F164" s="2118">
        <f>VLOOKUP(A164,'2012 - TB'!$A$3:$H$733,6,FALSE)</f>
        <v>0</v>
      </c>
      <c r="G164" s="2118">
        <f t="shared" si="8"/>
        <v>0</v>
      </c>
      <c r="H164" s="2640">
        <f>SUMIF('Original Budget'!$A$1:$A$691,'Trial Balance - FPer'!A164,'Original Budget'!$C$1:$C$691)</f>
        <v>652.45000000000005</v>
      </c>
      <c r="I164" s="2640">
        <f>VLOOKUP(A164,'2012 - TB'!$A$3:$C$733,3,FALSE)</f>
        <v>652.4</v>
      </c>
      <c r="J164" s="2119" t="s">
        <v>6382</v>
      </c>
      <c r="L164" s="2024" t="str">
        <f>VLOOKUP(A164,'2012 Budget'!$A$18:$B$2152,2,FALSE)</f>
        <v>Contr - Leave R</v>
      </c>
    </row>
    <row r="165" spans="1:12" s="2024" customFormat="1" x14ac:dyDescent="0.2">
      <c r="A165" s="2111" t="s">
        <v>4898</v>
      </c>
      <c r="B165" s="2112" t="s">
        <v>4899</v>
      </c>
      <c r="C165" s="2113">
        <f>VLOOKUP(A165,'2011 - TB'!$A$3:$B$971,2,FALSE)</f>
        <v>5974.53</v>
      </c>
      <c r="D165" s="2114">
        <v>0</v>
      </c>
      <c r="E165" s="2114">
        <f>VLOOKUP(A165,'2012 - TB'!$A$3:$H$733,5,FALSE)</f>
        <v>0</v>
      </c>
      <c r="F165" s="2114">
        <f>VLOOKUP(A165,'2012 - TB'!$A$3:$H$733,6,FALSE)</f>
        <v>0</v>
      </c>
      <c r="G165" s="2114">
        <f t="shared" si="8"/>
        <v>0</v>
      </c>
      <c r="H165" s="2640">
        <f>SUMIF('Original Budget'!$A$1:$A$691,'Trial Balance - FPer'!A165,'Original Budget'!$C$1:$C$691)</f>
        <v>2687.09</v>
      </c>
      <c r="I165" s="2640">
        <f>VLOOKUP(A165,'2012 - TB'!$A$3:$C$733,3,FALSE)</f>
        <v>2687.09</v>
      </c>
      <c r="J165" s="2115" t="s">
        <v>6397</v>
      </c>
      <c r="L165" s="2024" t="str">
        <f>VLOOKUP(A165,'2012 Budget'!$A$18:$B$2152,2,FALSE)</f>
        <v>Contr Fund - Pr</v>
      </c>
    </row>
    <row r="166" spans="1:12" s="2024" customFormat="1" x14ac:dyDescent="0.2">
      <c r="A166" s="2116" t="s">
        <v>5057</v>
      </c>
      <c r="B166" s="2117" t="s">
        <v>4899</v>
      </c>
      <c r="C166" s="2109">
        <f>VLOOKUP(A166,'2011 - TB'!$A$3:$B$971,2,FALSE)</f>
        <v>200.54</v>
      </c>
      <c r="D166" s="2118">
        <v>0</v>
      </c>
      <c r="E166" s="2118">
        <f>VLOOKUP(A166,'2012 - TB'!$A$3:$H$733,5,FALSE)</f>
        <v>0</v>
      </c>
      <c r="F166" s="2118">
        <f>VLOOKUP(A166,'2012 - TB'!$A$3:$H$733,6,FALSE)</f>
        <v>0</v>
      </c>
      <c r="G166" s="2118">
        <f t="shared" si="8"/>
        <v>0</v>
      </c>
      <c r="H166" s="2640">
        <f>SUMIF('Original Budget'!$A$1:$A$691,'Trial Balance - FPer'!A166,'Original Budget'!$C$1:$C$691)</f>
        <v>37060.6</v>
      </c>
      <c r="I166" s="2640">
        <f>VLOOKUP(A166,'2012 - TB'!$A$3:$C$733,3,FALSE)</f>
        <v>37060.6</v>
      </c>
      <c r="J166" s="2119" t="s">
        <v>6397</v>
      </c>
      <c r="L166" s="2024" t="str">
        <f>VLOOKUP(A166,'2012 Budget'!$A$18:$B$2152,2,FALSE)</f>
        <v>Contr Fund - Pr</v>
      </c>
    </row>
    <row r="167" spans="1:12" s="2024" customFormat="1" x14ac:dyDescent="0.2">
      <c r="A167" s="2116" t="s">
        <v>5058</v>
      </c>
      <c r="B167" s="2117" t="s">
        <v>4899</v>
      </c>
      <c r="C167" s="2109">
        <f>VLOOKUP(A167,'2011 - TB'!$A$3:$B$971,2,FALSE)</f>
        <v>16095.97</v>
      </c>
      <c r="D167" s="2118">
        <v>0</v>
      </c>
      <c r="E167" s="2118">
        <f>VLOOKUP(A167,'2012 - TB'!$A$3:$H$733,5,FALSE)</f>
        <v>9955.9</v>
      </c>
      <c r="F167" s="2118">
        <f>VLOOKUP(A167,'2012 - TB'!$A$3:$H$733,6,FALSE)</f>
        <v>0</v>
      </c>
      <c r="G167" s="2118">
        <f t="shared" si="8"/>
        <v>9955.9</v>
      </c>
      <c r="H167" s="2640">
        <f>SUMIF('Original Budget'!$A$1:$A$691,'Trial Balance - FPer'!A167,'Original Budget'!$C$1:$C$691)</f>
        <v>29893.57</v>
      </c>
      <c r="I167" s="2640">
        <f>VLOOKUP(A167,'2012 - TB'!$A$3:$C$733,3,FALSE)</f>
        <v>29893.57</v>
      </c>
      <c r="J167" s="2119" t="s">
        <v>6397</v>
      </c>
      <c r="L167" s="2024" t="str">
        <f>VLOOKUP(A167,'2012 Budget'!$A$18:$B$2152,2,FALSE)</f>
        <v>Contr Fund - Pr</v>
      </c>
    </row>
    <row r="168" spans="1:12" s="2024" customFormat="1" x14ac:dyDescent="0.2">
      <c r="A168" s="2116" t="s">
        <v>5059</v>
      </c>
      <c r="B168" s="2117" t="s">
        <v>4899</v>
      </c>
      <c r="C168" s="2109">
        <v>0</v>
      </c>
      <c r="D168" s="2118">
        <v>0</v>
      </c>
      <c r="E168" s="2118">
        <v>0</v>
      </c>
      <c r="F168" s="2118">
        <v>0</v>
      </c>
      <c r="G168" s="2118">
        <f t="shared" si="8"/>
        <v>0</v>
      </c>
      <c r="H168" s="2640">
        <f>SUMIF('Original Budget'!$A$1:$A$691,'Trial Balance - FPer'!A168,'Original Budget'!$C$1:$C$691)</f>
        <v>0</v>
      </c>
      <c r="I168" s="2640"/>
      <c r="J168" s="2119" t="s">
        <v>6397</v>
      </c>
      <c r="L168" s="2024" t="str">
        <f>VLOOKUP(A168,'2012 Budget'!$A$18:$B$2152,2,FALSE)</f>
        <v>Contr Fund - Pr</v>
      </c>
    </row>
    <row r="169" spans="1:12" s="2024" customFormat="1" x14ac:dyDescent="0.2">
      <c r="A169" s="2116" t="s">
        <v>5060</v>
      </c>
      <c r="B169" s="2117" t="s">
        <v>4899</v>
      </c>
      <c r="C169" s="2109">
        <v>0</v>
      </c>
      <c r="D169" s="2118">
        <v>0</v>
      </c>
      <c r="E169" s="2118">
        <v>0</v>
      </c>
      <c r="F169" s="2118">
        <v>0</v>
      </c>
      <c r="G169" s="2118">
        <f t="shared" si="8"/>
        <v>0</v>
      </c>
      <c r="H169" s="2640">
        <f>SUMIF('Original Budget'!$A$1:$A$691,'Trial Balance - FPer'!A169,'Original Budget'!$C$1:$C$691)</f>
        <v>259.91000000000003</v>
      </c>
      <c r="I169" s="2640"/>
      <c r="J169" s="2119" t="s">
        <v>6397</v>
      </c>
      <c r="L169" s="2024" t="str">
        <f>VLOOKUP(A169,'2012 Budget'!$A$18:$B$2152,2,FALSE)</f>
        <v>Contr - CDF;</v>
      </c>
    </row>
    <row r="170" spans="1:12" s="2024" customFormat="1" x14ac:dyDescent="0.2">
      <c r="A170" s="2116" t="s">
        <v>5123</v>
      </c>
      <c r="B170" s="2117" t="s">
        <v>4899</v>
      </c>
      <c r="C170" s="2109" t="str">
        <f>VLOOKUP(A170,'2011 - TB'!$A$3:$B$971,2,FALSE)</f>
        <v xml:space="preserve">                               -  </v>
      </c>
      <c r="D170" s="2118">
        <v>0</v>
      </c>
      <c r="E170" s="2118">
        <v>0</v>
      </c>
      <c r="F170" s="2118">
        <v>0</v>
      </c>
      <c r="G170" s="2118">
        <f t="shared" si="8"/>
        <v>0</v>
      </c>
      <c r="H170" s="2640">
        <f>SUMIF('Original Budget'!$A$1:$A$691,'Trial Balance - FPer'!A170,'Original Budget'!$C$1:$C$691)</f>
        <v>5248.58</v>
      </c>
      <c r="I170" s="2640"/>
      <c r="J170" s="2119" t="s">
        <v>6397</v>
      </c>
      <c r="L170" s="2024" t="str">
        <f>VLOOKUP(A170,'2012 Budget'!$A$18:$B$2152,2,FALSE)</f>
        <v>Contr Fund - Pr</v>
      </c>
    </row>
    <row r="171" spans="1:12" s="2024" customFormat="1" x14ac:dyDescent="0.2">
      <c r="A171" s="2116" t="s">
        <v>5154</v>
      </c>
      <c r="B171" s="2117" t="s">
        <v>4899</v>
      </c>
      <c r="C171" s="2109">
        <f>VLOOKUP(A171,'2011 - TB'!$A$3:$B$971,2,FALSE)</f>
        <v>4414.2</v>
      </c>
      <c r="D171" s="2118">
        <v>0</v>
      </c>
      <c r="E171" s="2118">
        <f>VLOOKUP(A171,'2012 - TB'!$A$3:$H$733,5,FALSE)</f>
        <v>10681.96</v>
      </c>
      <c r="F171" s="2118">
        <f>VLOOKUP(A171,'2012 - TB'!$A$3:$H$733,6,FALSE)</f>
        <v>0</v>
      </c>
      <c r="G171" s="2118">
        <f t="shared" si="8"/>
        <v>10681.96</v>
      </c>
      <c r="H171" s="2640">
        <f>SUMIF('Original Budget'!$A$1:$A$691,'Trial Balance - FPer'!A171,'Original Budget'!$C$1:$C$691)</f>
        <v>4754</v>
      </c>
      <c r="I171" s="2640"/>
      <c r="J171" s="2119" t="s">
        <v>6397</v>
      </c>
      <c r="L171" s="2024" t="str">
        <f>VLOOKUP(A171,'2012 Budget'!$A$18:$B$2152,2,FALSE)</f>
        <v>Contr Fund - Pr</v>
      </c>
    </row>
    <row r="172" spans="1:12" s="2024" customFormat="1" x14ac:dyDescent="0.2">
      <c r="A172" s="2116" t="s">
        <v>5303</v>
      </c>
      <c r="B172" s="2117" t="s">
        <v>4899</v>
      </c>
      <c r="C172" s="2109">
        <v>0</v>
      </c>
      <c r="D172" s="2118">
        <v>0</v>
      </c>
      <c r="E172" s="2118">
        <v>0</v>
      </c>
      <c r="F172" s="2118">
        <v>0</v>
      </c>
      <c r="G172" s="2118">
        <f t="shared" si="8"/>
        <v>0</v>
      </c>
      <c r="H172" s="2640">
        <f>SUMIF('Original Budget'!$A$1:$A$691,'Trial Balance - FPer'!A172,'Original Budget'!$C$1:$C$691)</f>
        <v>0</v>
      </c>
      <c r="I172" s="2640"/>
      <c r="J172" s="2119" t="s">
        <v>6397</v>
      </c>
      <c r="L172" s="2024" t="str">
        <f>VLOOKUP(A172,'2012 Budget'!$A$18:$B$2152,2,FALSE)</f>
        <v>Contr Fund - Pr</v>
      </c>
    </row>
    <row r="173" spans="1:12" s="2024" customFormat="1" x14ac:dyDescent="0.2">
      <c r="A173" s="2116" t="s">
        <v>5304</v>
      </c>
      <c r="B173" s="2117" t="s">
        <v>4899</v>
      </c>
      <c r="C173" s="2109">
        <f>VLOOKUP(A173,'2011 - TB'!$A$3:$B$971,2,FALSE)</f>
        <v>1649.15</v>
      </c>
      <c r="D173" s="2118">
        <v>0</v>
      </c>
      <c r="E173" s="2118">
        <f>VLOOKUP(A173,'2012 - TB'!$A$3:$H$733,5,FALSE)</f>
        <v>0</v>
      </c>
      <c r="F173" s="2118">
        <f>VLOOKUP(A173,'2012 - TB'!$A$3:$H$733,6,FALSE)</f>
        <v>0</v>
      </c>
      <c r="G173" s="2118">
        <f t="shared" si="8"/>
        <v>0</v>
      </c>
      <c r="H173" s="2640">
        <f>SUMIF('Original Budget'!$A$1:$A$691,'Trial Balance - FPer'!A173,'Original Budget'!$C$1:$C$691)</f>
        <v>15212.05</v>
      </c>
      <c r="I173" s="2640">
        <f>VLOOKUP(A173,'2012 - TB'!$A$3:$C$733,3,FALSE)</f>
        <v>15212.05</v>
      </c>
      <c r="J173" s="2119" t="s">
        <v>6397</v>
      </c>
      <c r="L173" s="2024" t="str">
        <f>VLOOKUP(A173,'2012 Budget'!$A$18:$B$2152,2,FALSE)</f>
        <v>Contr Fund - Pr</v>
      </c>
    </row>
    <row r="174" spans="1:12" s="2024" customFormat="1" x14ac:dyDescent="0.2">
      <c r="A174" s="2116" t="s">
        <v>5357</v>
      </c>
      <c r="B174" s="2117" t="s">
        <v>4899</v>
      </c>
      <c r="C174" s="2109">
        <f>VLOOKUP(A174,'2011 - TB'!$A$3:$B$971,2,FALSE)</f>
        <v>4451.04</v>
      </c>
      <c r="D174" s="2118">
        <v>0</v>
      </c>
      <c r="E174" s="2118">
        <f>VLOOKUP(A174,'2012 - TB'!$A$3:$H$733,5,FALSE)</f>
        <v>0</v>
      </c>
      <c r="F174" s="2118">
        <f>VLOOKUP(A174,'2012 - TB'!$A$3:$H$733,6,FALSE)</f>
        <v>0</v>
      </c>
      <c r="G174" s="2118">
        <f t="shared" si="8"/>
        <v>0</v>
      </c>
      <c r="H174" s="2640">
        <f>SUMIF('Original Budget'!$A$1:$A$691,'Trial Balance - FPer'!A174,'Original Budget'!$C$1:$C$691)</f>
        <v>5199.38</v>
      </c>
      <c r="I174" s="2640">
        <f>VLOOKUP(A174,'2012 - TB'!$A$3:$C$733,3,FALSE)</f>
        <v>5199.38</v>
      </c>
      <c r="J174" s="2119" t="s">
        <v>6397</v>
      </c>
      <c r="L174" s="2024" t="str">
        <f>VLOOKUP(A174,'2012 Budget'!$A$18:$B$2152,2,FALSE)</f>
        <v>Contr Fund - Pr</v>
      </c>
    </row>
    <row r="175" spans="1:12" s="2024" customFormat="1" x14ac:dyDescent="0.2">
      <c r="A175" s="2116" t="s">
        <v>5380</v>
      </c>
      <c r="B175" s="2117" t="s">
        <v>4899</v>
      </c>
      <c r="C175" s="2109">
        <f>VLOOKUP(A175,'2011 - TB'!$A$3:$B$971,2,FALSE)</f>
        <v>1285.08</v>
      </c>
      <c r="D175" s="2118">
        <v>0</v>
      </c>
      <c r="E175" s="2118">
        <f>VLOOKUP(A175,'2012 - TB'!$A$3:$H$733,5,FALSE)</f>
        <v>0</v>
      </c>
      <c r="F175" s="2118">
        <f>VLOOKUP(A175,'2012 - TB'!$A$3:$H$733,6,FALSE)</f>
        <v>0</v>
      </c>
      <c r="G175" s="2118">
        <f t="shared" ref="G175:G238" si="9">E175+F175</f>
        <v>0</v>
      </c>
      <c r="H175" s="2640">
        <f>SUMIF('Original Budget'!$A$1:$A$691,'Trial Balance - FPer'!A175,'Original Budget'!$C$1:$C$691)</f>
        <v>9011.5300000000007</v>
      </c>
      <c r="I175" s="2640">
        <f>VLOOKUP(A175,'2012 - TB'!$A$3:$C$733,3,FALSE)</f>
        <v>9011.5300000000007</v>
      </c>
      <c r="J175" s="2119" t="s">
        <v>6397</v>
      </c>
      <c r="L175" s="2024" t="str">
        <f>VLOOKUP(A175,'2012 Budget'!$A$18:$B$2152,2,FALSE)</f>
        <v>Contr Fund - Pr</v>
      </c>
    </row>
    <row r="176" spans="1:12" s="2024" customFormat="1" x14ac:dyDescent="0.2">
      <c r="A176" s="2116" t="s">
        <v>5420</v>
      </c>
      <c r="B176" s="2117" t="s">
        <v>4899</v>
      </c>
      <c r="C176" s="2109">
        <f>VLOOKUP(A176,'2011 - TB'!$A$3:$B$971,2,FALSE)</f>
        <v>2613.2199999999998</v>
      </c>
      <c r="D176" s="2118">
        <v>0</v>
      </c>
      <c r="E176" s="2118">
        <f>VLOOKUP(A176,'2012 - TB'!$A$3:$H$733,5,FALSE)</f>
        <v>0</v>
      </c>
      <c r="F176" s="2118">
        <f>VLOOKUP(A176,'2012 - TB'!$A$3:$H$733,6,FALSE)</f>
        <v>0</v>
      </c>
      <c r="G176" s="2118">
        <f t="shared" si="9"/>
        <v>0</v>
      </c>
      <c r="H176" s="2640">
        <f>SUMIF('Original Budget'!$A$1:$A$691,'Trial Balance - FPer'!A176,'Original Budget'!$C$1:$C$691)</f>
        <v>2320.86</v>
      </c>
      <c r="I176" s="2640">
        <f>VLOOKUP(A176,'2012 - TB'!$A$3:$C$733,3,FALSE)</f>
        <v>2320.86</v>
      </c>
      <c r="J176" s="2119" t="s">
        <v>6397</v>
      </c>
      <c r="L176" s="2024" t="str">
        <f>VLOOKUP(A176,'2012 Budget'!$A$18:$B$2152,2,FALSE)</f>
        <v>Contr Fund - Pr</v>
      </c>
    </row>
    <row r="177" spans="1:12" s="2024" customFormat="1" x14ac:dyDescent="0.2">
      <c r="A177" s="2116" t="s">
        <v>5484</v>
      </c>
      <c r="B177" s="2117" t="s">
        <v>4899</v>
      </c>
      <c r="C177" s="2132">
        <f>VLOOKUP(A177,'2011 - TB'!$A$3:$B$971,2,FALSE)</f>
        <v>-100010.43</v>
      </c>
      <c r="D177" s="2118">
        <v>0</v>
      </c>
      <c r="E177" s="2118">
        <f>VLOOKUP(A177,'2012 - TB'!$A$3:$H$733,5,FALSE)</f>
        <v>0</v>
      </c>
      <c r="F177" s="2118">
        <f>VLOOKUP(A177,'2012 - TB'!$A$3:$H$733,6,FALSE)</f>
        <v>0</v>
      </c>
      <c r="G177" s="2118">
        <f t="shared" si="9"/>
        <v>0</v>
      </c>
      <c r="H177" s="2640">
        <f>SUMIF('Original Budget'!$A$1:$A$691,'Trial Balance - FPer'!A177,'Original Budget'!$C$1:$C$691)</f>
        <v>28310.21</v>
      </c>
      <c r="I177" s="2640">
        <f>VLOOKUP(A177,'2012 - TB'!$A$3:$C$733,3,FALSE)</f>
        <v>28310.21</v>
      </c>
      <c r="J177" s="2119" t="s">
        <v>6397</v>
      </c>
      <c r="L177" s="2024" t="str">
        <f>VLOOKUP(A177,'2012 Budget'!$A$18:$B$2152,2,FALSE)</f>
        <v>Contr Fund - Pr</v>
      </c>
    </row>
    <row r="178" spans="1:12" s="2024" customFormat="1" x14ac:dyDescent="0.2">
      <c r="A178" s="2116" t="s">
        <v>5509</v>
      </c>
      <c r="B178" s="2117" t="s">
        <v>4899</v>
      </c>
      <c r="C178" s="2109">
        <f>VLOOKUP(A178,'2011 - TB'!$A$3:$B$971,2,FALSE)</f>
        <v>10661.5</v>
      </c>
      <c r="D178" s="2118">
        <v>0</v>
      </c>
      <c r="E178" s="2118">
        <f>VLOOKUP(A178,'2012 - TB'!$A$3:$H$733,5,FALSE)</f>
        <v>0</v>
      </c>
      <c r="F178" s="2118">
        <f>VLOOKUP(A178,'2012 - TB'!$A$3:$H$733,6,FALSE)</f>
        <v>0</v>
      </c>
      <c r="G178" s="2118">
        <f t="shared" si="9"/>
        <v>0</v>
      </c>
      <c r="H178" s="2640">
        <f>SUMIF('Original Budget'!$A$1:$A$691,'Trial Balance - FPer'!A178,'Original Budget'!$C$1:$C$691)</f>
        <v>1565.74</v>
      </c>
      <c r="I178" s="2640">
        <f>VLOOKUP(A178,'2012 - TB'!$A$3:$C$733,3,FALSE)</f>
        <v>1565.74</v>
      </c>
      <c r="J178" s="2119" t="s">
        <v>6397</v>
      </c>
      <c r="L178" s="2024" t="str">
        <f>VLOOKUP(A178,'2012 Budget'!$A$18:$B$2152,2,FALSE)</f>
        <v>Contr Fund - Pr</v>
      </c>
    </row>
    <row r="179" spans="1:12" s="2024" customFormat="1" x14ac:dyDescent="0.2">
      <c r="A179" s="2116" t="s">
        <v>5548</v>
      </c>
      <c r="B179" s="2117" t="s">
        <v>4899</v>
      </c>
      <c r="C179" s="2109" t="str">
        <f>VLOOKUP(A179,'2011 - TB'!$A$3:$B$971,2,FALSE)</f>
        <v xml:space="preserve">                               -  </v>
      </c>
      <c r="D179" s="2118">
        <v>0</v>
      </c>
      <c r="E179" s="2118">
        <f>VLOOKUP(A179,'2012 - TB'!$A$3:$H$733,5,FALSE)</f>
        <v>0</v>
      </c>
      <c r="F179" s="2118">
        <f>VLOOKUP(A179,'2012 - TB'!$A$3:$H$733,6,FALSE)</f>
        <v>0</v>
      </c>
      <c r="G179" s="2118">
        <f t="shared" si="9"/>
        <v>0</v>
      </c>
      <c r="H179" s="2640">
        <f>SUMIF('Original Budget'!$A$1:$A$691,'Trial Balance - FPer'!A179,'Original Budget'!$C$1:$C$691)</f>
        <v>4671.37</v>
      </c>
      <c r="I179" s="2640">
        <f>VLOOKUP(A179,'2012 - TB'!$A$3:$C$733,3,FALSE)</f>
        <v>4671.37</v>
      </c>
      <c r="J179" s="2119" t="s">
        <v>6397</v>
      </c>
      <c r="L179" s="2024" t="str">
        <f>VLOOKUP(A179,'2012 Budget'!$A$18:$B$2152,2,FALSE)</f>
        <v>Contr Fund - Pr</v>
      </c>
    </row>
    <row r="180" spans="1:12" s="2024" customFormat="1" x14ac:dyDescent="0.2">
      <c r="A180" s="2116" t="s">
        <v>5583</v>
      </c>
      <c r="B180" s="2117" t="s">
        <v>4899</v>
      </c>
      <c r="C180" s="2109">
        <f>VLOOKUP(A180,'2011 - TB'!$A$3:$B$971,2,FALSE)</f>
        <v>3173.9</v>
      </c>
      <c r="D180" s="2118">
        <v>0</v>
      </c>
      <c r="E180" s="2118">
        <f>VLOOKUP(A180,'2012 - TB'!$A$3:$H$733,5,FALSE)</f>
        <v>0</v>
      </c>
      <c r="F180" s="2118">
        <f>VLOOKUP(A180,'2012 - TB'!$A$3:$H$733,6,FALSE)</f>
        <v>0</v>
      </c>
      <c r="G180" s="2118">
        <f t="shared" si="9"/>
        <v>0</v>
      </c>
      <c r="H180" s="2640">
        <f>SUMIF('Original Budget'!$A$1:$A$691,'Trial Balance - FPer'!A180,'Original Budget'!$C$1:$C$691)</f>
        <v>2059.6799999999998</v>
      </c>
      <c r="I180" s="2640">
        <f>VLOOKUP(A180,'2012 - TB'!$A$3:$C$733,3,FALSE)</f>
        <v>2059.6799999999998</v>
      </c>
      <c r="J180" s="2119" t="s">
        <v>6397</v>
      </c>
      <c r="L180" s="2024" t="str">
        <f>VLOOKUP(A180,'2012 Budget'!$A$18:$B$2152,2,FALSE)</f>
        <v>Contr Fund - Pr</v>
      </c>
    </row>
    <row r="181" spans="1:12" s="2024" customFormat="1" x14ac:dyDescent="0.2">
      <c r="A181" s="2116" t="s">
        <v>5635</v>
      </c>
      <c r="B181" s="2117" t="s">
        <v>4899</v>
      </c>
      <c r="C181" s="2109">
        <f>VLOOKUP(A181,'2011 - TB'!$A$3:$B$971,2,FALSE)</f>
        <v>1838.1</v>
      </c>
      <c r="D181" s="2118">
        <v>0</v>
      </c>
      <c r="E181" s="2118">
        <f>VLOOKUP(A181,'2012 - TB'!$A$3:$H$733,5,FALSE)</f>
        <v>0</v>
      </c>
      <c r="F181" s="2118">
        <f>VLOOKUP(A181,'2012 - TB'!$A$3:$H$733,6,FALSE)</f>
        <v>0</v>
      </c>
      <c r="G181" s="2118">
        <f t="shared" si="9"/>
        <v>0</v>
      </c>
      <c r="H181" s="2640">
        <f>SUMIF('Original Budget'!$A$1:$A$691,'Trial Balance - FPer'!A181,'Original Budget'!$C$1:$C$691)</f>
        <v>6756.92</v>
      </c>
      <c r="I181" s="2640">
        <f>VLOOKUP(A181,'2012 - TB'!$A$3:$C$733,3,FALSE)</f>
        <v>6756.92</v>
      </c>
      <c r="J181" s="2119" t="s">
        <v>6397</v>
      </c>
      <c r="L181" s="2024" t="str">
        <f>VLOOKUP(A181,'2012 Budget'!$A$18:$B$2152,2,FALSE)</f>
        <v>Contr Fund - Pr</v>
      </c>
    </row>
    <row r="182" spans="1:12" s="2024" customFormat="1" x14ac:dyDescent="0.2">
      <c r="A182" s="2116" t="s">
        <v>5636</v>
      </c>
      <c r="B182" s="2117" t="s">
        <v>4899</v>
      </c>
      <c r="C182" s="2109">
        <f>VLOOKUP(A182,'2011 - TB'!$A$3:$B$971,2,FALSE)</f>
        <v>13187.24</v>
      </c>
      <c r="D182" s="2118">
        <v>0</v>
      </c>
      <c r="E182" s="2118">
        <f>VLOOKUP(A182,'2012 - TB'!$A$3:$H$733,5,FALSE)</f>
        <v>0</v>
      </c>
      <c r="F182" s="2118">
        <f>VLOOKUP(A182,'2012 - TB'!$A$3:$H$733,6,FALSE)</f>
        <v>0</v>
      </c>
      <c r="G182" s="2118">
        <f t="shared" si="9"/>
        <v>0</v>
      </c>
      <c r="H182" s="2640">
        <f>SUMIF('Original Budget'!$A$1:$A$691,'Trial Balance - FPer'!A182,'Original Budget'!$C$1:$C$691)</f>
        <v>4901.62</v>
      </c>
      <c r="I182" s="2640">
        <f>VLOOKUP(A182,'2012 - TB'!$A$3:$C$733,3,FALSE)</f>
        <v>4901.62</v>
      </c>
      <c r="J182" s="2119" t="s">
        <v>6397</v>
      </c>
      <c r="L182" s="2024" t="str">
        <f>VLOOKUP(A182,'2012 Budget'!$A$18:$B$2152,2,FALSE)</f>
        <v>Contr Fund - Pr</v>
      </c>
    </row>
    <row r="183" spans="1:12" s="2024" customFormat="1" x14ac:dyDescent="0.2">
      <c r="A183" s="2116" t="s">
        <v>5714</v>
      </c>
      <c r="B183" s="2117" t="s">
        <v>4899</v>
      </c>
      <c r="C183" s="2109">
        <f>VLOOKUP(A183,'2011 - TB'!$A$3:$B$971,2,FALSE)</f>
        <v>4625.04</v>
      </c>
      <c r="D183" s="2118">
        <v>0</v>
      </c>
      <c r="E183" s="2118">
        <f>VLOOKUP(A183,'2012 - TB'!$A$3:$H$733,5,FALSE)</f>
        <v>0</v>
      </c>
      <c r="F183" s="2118">
        <f>VLOOKUP(A183,'2012 - TB'!$A$3:$H$733,6,FALSE)</f>
        <v>0</v>
      </c>
      <c r="G183" s="2118">
        <f t="shared" si="9"/>
        <v>0</v>
      </c>
      <c r="H183" s="2640">
        <f>SUMIF('Original Budget'!$A$1:$A$691,'Trial Balance - FPer'!A183,'Original Budget'!$C$1:$C$691)</f>
        <v>21087.45</v>
      </c>
      <c r="I183" s="2640">
        <f>VLOOKUP(A183,'2012 - TB'!$A$3:$C$733,3,FALSE)</f>
        <v>21087.45</v>
      </c>
      <c r="J183" s="2119" t="s">
        <v>6397</v>
      </c>
      <c r="L183" s="2024" t="str">
        <f>VLOOKUP(A183,'2012 Budget'!$A$18:$B$2152,2,FALSE)</f>
        <v>Contr Fund - Pr</v>
      </c>
    </row>
    <row r="184" spans="1:12" s="2024" customFormat="1" x14ac:dyDescent="0.2">
      <c r="A184" s="2116" t="s">
        <v>5767</v>
      </c>
      <c r="B184" s="2117" t="s">
        <v>4899</v>
      </c>
      <c r="C184" s="2109">
        <f>VLOOKUP(A184,'2011 - TB'!$A$3:$B$971,2,FALSE)</f>
        <v>22835.57</v>
      </c>
      <c r="D184" s="2118">
        <v>0</v>
      </c>
      <c r="E184" s="2118">
        <f>VLOOKUP(A184,'2012 - TB'!$A$3:$H$733,5,FALSE)</f>
        <v>2082.21</v>
      </c>
      <c r="F184" s="2118">
        <f>VLOOKUP(A184,'2012 - TB'!$A$3:$H$733,6,FALSE)</f>
        <v>0</v>
      </c>
      <c r="G184" s="2118">
        <f t="shared" si="9"/>
        <v>2082.21</v>
      </c>
      <c r="H184" s="2640">
        <f>SUMIF('Original Budget'!$A$1:$A$691,'Trial Balance - FPer'!A184,'Original Budget'!$C$1:$C$691)</f>
        <v>21981.14</v>
      </c>
      <c r="I184" s="2640">
        <f>VLOOKUP(A184,'2012 - TB'!$A$3:$C$733,3,FALSE)</f>
        <v>21981.14</v>
      </c>
      <c r="J184" s="2119" t="s">
        <v>6397</v>
      </c>
      <c r="L184" s="2024" t="str">
        <f>VLOOKUP(A184,'2012 Budget'!$A$18:$B$2152,2,FALSE)</f>
        <v>Contr Fund - Pr</v>
      </c>
    </row>
    <row r="185" spans="1:12" s="2024" customFormat="1" x14ac:dyDescent="0.2">
      <c r="A185" s="2116" t="s">
        <v>5818</v>
      </c>
      <c r="B185" s="2117" t="s">
        <v>4899</v>
      </c>
      <c r="C185" s="2109">
        <f>VLOOKUP(A185,'2011 - TB'!$A$3:$B$971,2,FALSE)</f>
        <v>15918.35</v>
      </c>
      <c r="D185" s="2118">
        <v>0</v>
      </c>
      <c r="E185" s="2118">
        <f>VLOOKUP(A185,'2012 - TB'!$A$3:$H$733,5,FALSE)</f>
        <v>4387.5200000000004</v>
      </c>
      <c r="F185" s="2118">
        <f>VLOOKUP(A185,'2012 - TB'!$A$3:$H$733,6,FALSE)</f>
        <v>0</v>
      </c>
      <c r="G185" s="2118">
        <f t="shared" si="9"/>
        <v>4387.5200000000004</v>
      </c>
      <c r="H185" s="2640">
        <f>SUMIF('Original Budget'!$A$1:$A$691,'Trial Balance - FPer'!A185,'Original Budget'!$C$1:$C$691)</f>
        <v>14378.08</v>
      </c>
      <c r="I185" s="2640">
        <f>VLOOKUP(A185,'2012 - TB'!$A$3:$C$733,3,FALSE)</f>
        <v>14378.08</v>
      </c>
      <c r="J185" s="2119" t="s">
        <v>6397</v>
      </c>
      <c r="L185" s="2024" t="str">
        <f>VLOOKUP(A185,'2012 Budget'!$A$18:$B$2152,2,FALSE)</f>
        <v>Contr Fund - Pr</v>
      </c>
    </row>
    <row r="186" spans="1:12" s="2024" customFormat="1" x14ac:dyDescent="0.2">
      <c r="A186" s="2116" t="s">
        <v>5882</v>
      </c>
      <c r="B186" s="2117" t="s">
        <v>4899</v>
      </c>
      <c r="C186" s="2109">
        <f>VLOOKUP(A186,'2011 - TB'!$A$3:$B$971,2,FALSE)</f>
        <v>11265.56</v>
      </c>
      <c r="D186" s="2118">
        <v>0</v>
      </c>
      <c r="E186" s="2118">
        <f>VLOOKUP(A186,'2012 - TB'!$A$3:$H$733,5,FALSE)</f>
        <v>0</v>
      </c>
      <c r="F186" s="2118">
        <f>VLOOKUP(A186,'2012 - TB'!$A$3:$H$733,6,FALSE)</f>
        <v>0</v>
      </c>
      <c r="G186" s="2118">
        <f t="shared" si="9"/>
        <v>0</v>
      </c>
      <c r="H186" s="2640">
        <f>SUMIF('Original Budget'!$A$1:$A$691,'Trial Balance - FPer'!A186,'Original Budget'!$C$1:$C$691)</f>
        <v>18492.419999999998</v>
      </c>
      <c r="I186" s="2640">
        <f>VLOOKUP(A186,'2012 - TB'!$A$3:$C$733,3,FALSE)</f>
        <v>18492.419999999998</v>
      </c>
      <c r="J186" s="2119" t="s">
        <v>6397</v>
      </c>
      <c r="L186" s="2024" t="str">
        <f>VLOOKUP(A186,'2012 Budget'!$A$18:$B$2152,2,FALSE)</f>
        <v>Contr Fund - Pr</v>
      </c>
    </row>
    <row r="187" spans="1:12" s="2024" customFormat="1" ht="13.5" thickBot="1" x14ac:dyDescent="0.25">
      <c r="A187" s="2120" t="s">
        <v>5883</v>
      </c>
      <c r="B187" s="2121" t="s">
        <v>4899</v>
      </c>
      <c r="C187" s="2122">
        <v>0</v>
      </c>
      <c r="D187" s="2123">
        <v>0</v>
      </c>
      <c r="E187" s="2123">
        <v>0</v>
      </c>
      <c r="F187" s="2123">
        <v>0</v>
      </c>
      <c r="G187" s="2123">
        <f t="shared" si="9"/>
        <v>0</v>
      </c>
      <c r="H187" s="2640">
        <f>SUMIF('Original Budget'!$A$1:$A$691,'Trial Balance - FPer'!A187,'Original Budget'!$C$1:$C$691)</f>
        <v>0</v>
      </c>
      <c r="I187" s="2640"/>
      <c r="J187" s="2124" t="s">
        <v>6397</v>
      </c>
      <c r="L187" s="2024" t="str">
        <f>VLOOKUP(A187,'2012 Budget'!$A$18:$B$2152,2,FALSE)</f>
        <v>Transfer - Gov</v>
      </c>
    </row>
    <row r="188" spans="1:12" s="2024" customFormat="1" x14ac:dyDescent="0.2">
      <c r="A188" s="2623" t="s">
        <v>4815</v>
      </c>
      <c r="B188" s="2624" t="s">
        <v>4816</v>
      </c>
      <c r="C188" s="2109">
        <f>VLOOKUP(A188,'2011 - TB'!$A$3:$B$971,2,FALSE)</f>
        <v>0</v>
      </c>
      <c r="D188" s="2118">
        <v>0</v>
      </c>
      <c r="E188" s="2118">
        <f>VLOOKUP(A188,'2012 - TB'!$A$3:$H$733,5,FALSE)</f>
        <v>2048</v>
      </c>
      <c r="F188" s="2118">
        <f>VLOOKUP(A188,'2012 - TB'!$A$3:$H$733,6,FALSE)</f>
        <v>0</v>
      </c>
      <c r="G188" s="2118">
        <f t="shared" si="9"/>
        <v>2048</v>
      </c>
      <c r="H188" s="2640">
        <f>SUMIF('Original Budget'!$A$1:$A$691,'Trial Balance - FPer'!A188,'Original Budget'!$C$1:$C$691)</f>
        <v>0</v>
      </c>
      <c r="I188" s="2640">
        <f>VLOOKUP(A188,'2012 - TB'!$A$3:$C$733,3,FALSE)</f>
        <v>0</v>
      </c>
      <c r="J188" s="2119" t="s">
        <v>6389</v>
      </c>
      <c r="L188" s="2024" t="e">
        <f>VLOOKUP(A188,'2012 Budget'!$A$18:$B$2152,2,FALSE)</f>
        <v>#N/A</v>
      </c>
    </row>
    <row r="189" spans="1:12" s="2024" customFormat="1" x14ac:dyDescent="0.2">
      <c r="A189" s="2116" t="s">
        <v>4908</v>
      </c>
      <c r="B189" s="2117" t="s">
        <v>4816</v>
      </c>
      <c r="C189" s="2109">
        <f>VLOOKUP(A189,'2011 - TB'!$A$3:$B$971,2,FALSE)</f>
        <v>23817.599999999999</v>
      </c>
      <c r="D189" s="2118">
        <v>0</v>
      </c>
      <c r="E189" s="2118">
        <f>VLOOKUP(A189,'2012 - TB'!$A$3:$H$733,5,FALSE)</f>
        <v>3969.6</v>
      </c>
      <c r="F189" s="2118">
        <f>VLOOKUP(A189,'2012 - TB'!$A$3:$H$733,6,FALSE)</f>
        <v>0</v>
      </c>
      <c r="G189" s="2118">
        <f t="shared" si="9"/>
        <v>3969.6</v>
      </c>
      <c r="H189" s="2640">
        <f>SUMIF('Original Budget'!$A$1:$A$691,'Trial Balance - FPer'!A189,'Original Budget'!$C$1:$C$691)</f>
        <v>30051.86</v>
      </c>
      <c r="I189" s="2640">
        <f>VLOOKUP(A189,'2012 - TB'!$A$3:$C$733,3,FALSE)</f>
        <v>3969.6</v>
      </c>
      <c r="J189" s="2119" t="s">
        <v>6389</v>
      </c>
      <c r="L189" s="2024" t="str">
        <f>VLOOKUP(A189,'2012 Budget'!$A$18:$B$2152,2,FALSE)</f>
        <v>Housing Subsidy</v>
      </c>
    </row>
    <row r="190" spans="1:12" s="2024" customFormat="1" x14ac:dyDescent="0.2">
      <c r="A190" s="2116" t="s">
        <v>4945</v>
      </c>
      <c r="B190" s="2117" t="s">
        <v>4816</v>
      </c>
      <c r="C190" s="2109">
        <f>VLOOKUP(A190,'2011 - TB'!$A$3:$B$971,2,FALSE)</f>
        <v>2122.16</v>
      </c>
      <c r="D190" s="2118">
        <v>0</v>
      </c>
      <c r="E190" s="2118">
        <v>0</v>
      </c>
      <c r="F190" s="2118">
        <v>0</v>
      </c>
      <c r="G190" s="2118">
        <f t="shared" si="9"/>
        <v>0</v>
      </c>
      <c r="H190" s="2640">
        <f>SUMIF('Original Budget'!$A$1:$A$691,'Trial Balance - FPer'!A190,'Original Budget'!$C$1:$C$691)</f>
        <v>4590.2299999999996</v>
      </c>
      <c r="I190" s="2640"/>
      <c r="J190" s="2119" t="s">
        <v>6389</v>
      </c>
      <c r="L190" s="2024" t="str">
        <f>VLOOKUP(A190,'2012 Budget'!$A$18:$B$2152,2,FALSE)</f>
        <v>Housing Subsidy</v>
      </c>
    </row>
    <row r="191" spans="1:12" s="2024" customFormat="1" x14ac:dyDescent="0.2">
      <c r="A191" s="2116" t="s">
        <v>4946</v>
      </c>
      <c r="B191" s="2117" t="s">
        <v>4816</v>
      </c>
      <c r="C191" s="2109">
        <f>VLOOKUP(A191,'2011 - TB'!$A$3:$B$971,2,FALSE)</f>
        <v>17370</v>
      </c>
      <c r="D191" s="2118">
        <v>0</v>
      </c>
      <c r="E191" s="2118">
        <f>VLOOKUP(A191,'2012 - TB'!$A$3:$H$733,5,FALSE)</f>
        <v>14616</v>
      </c>
      <c r="F191" s="2118">
        <f>VLOOKUP(A191,'2012 - TB'!$A$3:$H$733,6,FALSE)</f>
        <v>0</v>
      </c>
      <c r="G191" s="2118">
        <f t="shared" si="9"/>
        <v>14616</v>
      </c>
      <c r="H191" s="2640">
        <f>SUMIF('Original Budget'!$A$1:$A$691,'Trial Balance - FPer'!A191,'Original Budget'!$C$1:$C$691)</f>
        <v>22802.35</v>
      </c>
      <c r="I191" s="2640">
        <f>VLOOKUP(A191,'2012 - TB'!$A$3:$C$733,3,FALSE)</f>
        <v>18792</v>
      </c>
      <c r="J191" s="2119" t="s">
        <v>6389</v>
      </c>
      <c r="L191" s="2024" t="str">
        <f>VLOOKUP(A191,'2012 Budget'!$A$18:$B$2152,2,FALSE)</f>
        <v>Housing Subsidy</v>
      </c>
    </row>
    <row r="192" spans="1:12" s="2024" customFormat="1" x14ac:dyDescent="0.2">
      <c r="A192" s="2116" t="s">
        <v>4947</v>
      </c>
      <c r="B192" s="2117" t="s">
        <v>4816</v>
      </c>
      <c r="C192" s="2109">
        <f>VLOOKUP(A192,'2011 - TB'!$A$3:$B$971,2,FALSE)</f>
        <v>2008</v>
      </c>
      <c r="D192" s="2118">
        <v>0</v>
      </c>
      <c r="E192" s="2118">
        <v>0</v>
      </c>
      <c r="F192" s="2118">
        <v>0</v>
      </c>
      <c r="G192" s="2118">
        <f t="shared" si="9"/>
        <v>0</v>
      </c>
      <c r="H192" s="2640">
        <f>SUMIF('Original Budget'!$A$1:$A$691,'Trial Balance - FPer'!A192,'Original Budget'!$C$1:$C$691)</f>
        <v>5429.13</v>
      </c>
      <c r="I192" s="2640"/>
      <c r="J192" s="2119" t="s">
        <v>6389</v>
      </c>
      <c r="L192" s="2024" t="str">
        <f>VLOOKUP(A192,'2012 Budget'!$A$18:$B$2152,2,FALSE)</f>
        <v>Housing Subsidy</v>
      </c>
    </row>
    <row r="193" spans="1:12" s="2024" customFormat="1" x14ac:dyDescent="0.2">
      <c r="A193" s="2116" t="s">
        <v>5128</v>
      </c>
      <c r="B193" s="2117" t="s">
        <v>4816</v>
      </c>
      <c r="C193" s="2109">
        <f>VLOOKUP(A193,'2011 - TB'!$A$3:$B$971,2,FALSE)</f>
        <v>3782</v>
      </c>
      <c r="D193" s="2118">
        <v>0</v>
      </c>
      <c r="E193" s="2118">
        <f>VLOOKUP(A193,'2012 - TB'!$A$3:$H$733,5,FALSE)</f>
        <v>4576.8999999999996</v>
      </c>
      <c r="F193" s="2118">
        <f>VLOOKUP(A193,'2012 - TB'!$A$3:$H$733,6,FALSE)</f>
        <v>0</v>
      </c>
      <c r="G193" s="2118">
        <f t="shared" si="9"/>
        <v>4576.8999999999996</v>
      </c>
      <c r="H193" s="2640">
        <f>SUMIF('Original Budget'!$A$1:$A$691,'Trial Balance - FPer'!A193,'Original Budget'!$C$1:$C$691)</f>
        <v>2171.65</v>
      </c>
      <c r="I193" s="2640">
        <f>VLOOKUP(A193,'2012 - TB'!$A$3:$C$733,3,FALSE)</f>
        <v>6264</v>
      </c>
      <c r="J193" s="2119" t="s">
        <v>6389</v>
      </c>
      <c r="L193" s="2024" t="str">
        <f>VLOOKUP(A193,'2012 Budget'!$A$18:$B$2152,2,FALSE)</f>
        <v>Housing Subsidy</v>
      </c>
    </row>
    <row r="194" spans="1:12" s="2024" customFormat="1" x14ac:dyDescent="0.2">
      <c r="A194" s="2116" t="s">
        <v>5211</v>
      </c>
      <c r="B194" s="2117" t="s">
        <v>4816</v>
      </c>
      <c r="C194" s="2109" t="str">
        <f>VLOOKUP(A194,'2011 - TB'!$A$3:$B$971,2,FALSE)</f>
        <v xml:space="preserve">                               -  </v>
      </c>
      <c r="D194" s="2118">
        <v>0</v>
      </c>
      <c r="E194" s="2118">
        <v>0</v>
      </c>
      <c r="F194" s="2118">
        <v>0</v>
      </c>
      <c r="G194" s="2118">
        <f t="shared" si="9"/>
        <v>0</v>
      </c>
      <c r="H194" s="2640">
        <f>SUMIF('Original Budget'!$A$1:$A$691,'Trial Balance - FPer'!A194,'Original Budget'!$C$1:$C$691)</f>
        <v>4590.2299999999996</v>
      </c>
      <c r="I194" s="2640"/>
      <c r="J194" s="2119" t="s">
        <v>6389</v>
      </c>
      <c r="L194" s="2024" t="str">
        <f>VLOOKUP(A194,'2012 Budget'!$A$18:$B$2152,2,FALSE)</f>
        <v>Housing Subsidy</v>
      </c>
    </row>
    <row r="195" spans="1:12" s="2024" customFormat="1" x14ac:dyDescent="0.2">
      <c r="A195" s="2116" t="s">
        <v>5212</v>
      </c>
      <c r="B195" s="2117" t="s">
        <v>4816</v>
      </c>
      <c r="C195" s="2109" t="str">
        <f>VLOOKUP(A195,'2011 - TB'!$A$3:$B$971,2,FALSE)</f>
        <v xml:space="preserve">                               -  </v>
      </c>
      <c r="D195" s="2118">
        <v>0</v>
      </c>
      <c r="E195" s="2118">
        <v>0</v>
      </c>
      <c r="F195" s="2118">
        <v>0</v>
      </c>
      <c r="G195" s="2118">
        <f t="shared" si="9"/>
        <v>0</v>
      </c>
      <c r="H195" s="2640">
        <f>SUMIF('Original Budget'!$A$1:$A$691,'Trial Balance - FPer'!A195,'Original Budget'!$C$1:$C$691)</f>
        <v>4590.2299999999996</v>
      </c>
      <c r="I195" s="2640"/>
      <c r="J195" s="2119" t="s">
        <v>6389</v>
      </c>
      <c r="L195" s="2024" t="str">
        <f>VLOOKUP(A195,'2012 Budget'!$A$18:$B$2152,2,FALSE)</f>
        <v>Housing Subsidy</v>
      </c>
    </row>
    <row r="196" spans="1:12" s="2024" customFormat="1" x14ac:dyDescent="0.2">
      <c r="A196" s="2116" t="s">
        <v>5213</v>
      </c>
      <c r="B196" s="2117" t="s">
        <v>4816</v>
      </c>
      <c r="C196" s="2109">
        <f>VLOOKUP(A196,'2011 - TB'!$A$3:$B$971,2,FALSE)</f>
        <v>4786</v>
      </c>
      <c r="D196" s="2118">
        <v>0</v>
      </c>
      <c r="E196" s="2118">
        <f>VLOOKUP(A196,'2012 - TB'!$A$3:$H$733,5,FALSE)</f>
        <v>3654</v>
      </c>
      <c r="F196" s="2118">
        <f>VLOOKUP(A196,'2012 - TB'!$A$3:$H$733,6,FALSE)</f>
        <v>0</v>
      </c>
      <c r="G196" s="2118">
        <f t="shared" si="9"/>
        <v>3654</v>
      </c>
      <c r="H196" s="2640">
        <f>SUMIF('Original Budget'!$A$1:$A$691,'Trial Balance - FPer'!A196,'Original Budget'!$C$1:$C$691)</f>
        <v>5429.13</v>
      </c>
      <c r="I196" s="2640">
        <f>VLOOKUP(A196,'2012 - TB'!$A$3:$C$733,3,FALSE)</f>
        <v>3654</v>
      </c>
      <c r="J196" s="2119" t="s">
        <v>6389</v>
      </c>
      <c r="L196" s="2024" t="str">
        <f>VLOOKUP(A196,'2012 Budget'!$A$18:$B$2152,2,FALSE)</f>
        <v>Housing Subsidy</v>
      </c>
    </row>
    <row r="197" spans="1:12" s="2024" customFormat="1" x14ac:dyDescent="0.2">
      <c r="A197" s="2116" t="s">
        <v>5214</v>
      </c>
      <c r="B197" s="2117" t="s">
        <v>4816</v>
      </c>
      <c r="C197" s="2109">
        <f>VLOOKUP(A197,'2011 - TB'!$A$3:$B$971,2,FALSE)</f>
        <v>1367.64</v>
      </c>
      <c r="D197" s="2118">
        <v>0</v>
      </c>
      <c r="E197" s="2118">
        <f>VLOOKUP(A197,'2012 - TB'!$A$3:$H$733,5,FALSE)</f>
        <v>1111</v>
      </c>
      <c r="F197" s="2118">
        <f>VLOOKUP(A197,'2012 - TB'!$A$3:$H$733,6,FALSE)</f>
        <v>0</v>
      </c>
      <c r="G197" s="2118">
        <f t="shared" si="9"/>
        <v>1111</v>
      </c>
      <c r="H197" s="2640">
        <f>SUMIF('Original Budget'!$A$1:$A$691,'Trial Balance - FPer'!A197,'Original Budget'!$C$1:$C$691)</f>
        <v>1796.33</v>
      </c>
      <c r="I197" s="2640">
        <f>VLOOKUP(A197,'2012 - TB'!$A$3:$C$733,3,FALSE)</f>
        <v>1111</v>
      </c>
      <c r="J197" s="2119" t="s">
        <v>6389</v>
      </c>
      <c r="L197" s="2024" t="str">
        <f>VLOOKUP(A197,'2012 Budget'!$A$18:$B$2152,2,FALSE)</f>
        <v>Housing Subsidy</v>
      </c>
    </row>
    <row r="198" spans="1:12" s="2024" customFormat="1" x14ac:dyDescent="0.2">
      <c r="A198" s="2116" t="s">
        <v>5320</v>
      </c>
      <c r="B198" s="2117" t="s">
        <v>4816</v>
      </c>
      <c r="C198" s="2109" t="str">
        <f>VLOOKUP(A198,'2011 - TB'!$A$3:$B$971,2,FALSE)</f>
        <v xml:space="preserve">                               -  </v>
      </c>
      <c r="D198" s="2118">
        <v>0</v>
      </c>
      <c r="E198" s="2118">
        <f>VLOOKUP(A198,'2012 - TB'!$A$3:$H$733,5,FALSE)</f>
        <v>2088</v>
      </c>
      <c r="F198" s="2118">
        <f>VLOOKUP(A198,'2012 - TB'!$A$3:$H$733,6,FALSE)</f>
        <v>0</v>
      </c>
      <c r="G198" s="2118">
        <f t="shared" si="9"/>
        <v>2088</v>
      </c>
      <c r="H198" s="2640">
        <f>SUMIF('Original Budget'!$A$1:$A$691,'Trial Balance - FPer'!A198,'Original Budget'!$C$1:$C$691)</f>
        <v>2363.7600000000002</v>
      </c>
      <c r="I198" s="2640">
        <f>VLOOKUP(A198,'2012 - TB'!$A$3:$C$733,3,FALSE)</f>
        <v>0</v>
      </c>
      <c r="J198" s="2119" t="s">
        <v>6389</v>
      </c>
      <c r="L198" s="2024" t="str">
        <f>VLOOKUP(A198,'2012 Budget'!$A$18:$B$2152,2,FALSE)</f>
        <v>Housing Subsidy</v>
      </c>
    </row>
    <row r="199" spans="1:12" s="2024" customFormat="1" x14ac:dyDescent="0.2">
      <c r="A199" s="2116" t="s">
        <v>5442</v>
      </c>
      <c r="B199" s="2117" t="s">
        <v>4816</v>
      </c>
      <c r="C199" s="2109" t="str">
        <f>VLOOKUP(A199,'2011 - TB'!$A$3:$B$971,2,FALSE)</f>
        <v xml:space="preserve">                               -  </v>
      </c>
      <c r="D199" s="2118">
        <v>0</v>
      </c>
      <c r="E199" s="2118">
        <v>0</v>
      </c>
      <c r="F199" s="2118">
        <v>0</v>
      </c>
      <c r="G199" s="2118">
        <f t="shared" si="9"/>
        <v>0</v>
      </c>
      <c r="H199" s="2640">
        <f>SUMIF('Original Budget'!$A$1:$A$691,'Trial Balance - FPer'!A199,'Original Budget'!$C$1:$C$691)</f>
        <v>4590.2299999999996</v>
      </c>
      <c r="I199" s="2640"/>
      <c r="J199" s="2119" t="s">
        <v>6389</v>
      </c>
      <c r="L199" s="2024" t="str">
        <f>VLOOKUP(A199,'2012 Budget'!$A$18:$B$2152,2,FALSE)</f>
        <v>Housing Subsidy</v>
      </c>
    </row>
    <row r="200" spans="1:12" s="2024" customFormat="1" x14ac:dyDescent="0.2">
      <c r="A200" s="2116" t="s">
        <v>5520</v>
      </c>
      <c r="B200" s="2117" t="s">
        <v>4816</v>
      </c>
      <c r="C200" s="2109">
        <f>VLOOKUP(A200,'2011 - TB'!$A$3:$B$971,2,FALSE)</f>
        <v>3725.5</v>
      </c>
      <c r="D200" s="2118">
        <v>0</v>
      </c>
      <c r="E200" s="2118">
        <f>VLOOKUP(A200,'2012 - TB'!$A$3:$H$733,5,FALSE)</f>
        <v>2328</v>
      </c>
      <c r="F200" s="2118">
        <f>VLOOKUP(A200,'2012 - TB'!$A$3:$H$733,6,FALSE)</f>
        <v>0</v>
      </c>
      <c r="G200" s="2118">
        <f t="shared" si="9"/>
        <v>2328</v>
      </c>
      <c r="H200" s="2640">
        <f>SUMIF('Original Budget'!$A$1:$A$691,'Trial Balance - FPer'!A200,'Original Budget'!$C$1:$C$691)</f>
        <v>6416.11</v>
      </c>
      <c r="I200" s="2640">
        <f>VLOOKUP(A200,'2012 - TB'!$A$3:$C$733,3,FALSE)</f>
        <v>2328</v>
      </c>
      <c r="J200" s="2119" t="s">
        <v>6389</v>
      </c>
      <c r="L200" s="2024" t="str">
        <f>VLOOKUP(A200,'2012 Budget'!$A$18:$B$2152,2,FALSE)</f>
        <v>Housing Subsidy</v>
      </c>
    </row>
    <row r="201" spans="1:12" s="2024" customFormat="1" x14ac:dyDescent="0.2">
      <c r="A201" s="2116" t="s">
        <v>5592</v>
      </c>
      <c r="B201" s="2117" t="s">
        <v>4816</v>
      </c>
      <c r="C201" s="2109">
        <f>VLOOKUP(A201,'2011 - TB'!$A$3:$B$971,2,FALSE)</f>
        <v>5786.28</v>
      </c>
      <c r="D201" s="2118">
        <v>0</v>
      </c>
      <c r="E201" s="2118">
        <f>VLOOKUP(A201,'2012 - TB'!$A$3:$H$733,5,FALSE)</f>
        <v>5367.12</v>
      </c>
      <c r="F201" s="2118">
        <f>VLOOKUP(A201,'2012 - TB'!$A$3:$H$733,6,FALSE)</f>
        <v>0</v>
      </c>
      <c r="G201" s="2118">
        <f t="shared" si="9"/>
        <v>5367.12</v>
      </c>
      <c r="H201" s="2640">
        <f>SUMIF('Original Budget'!$A$1:$A$691,'Trial Balance - FPer'!A201,'Original Budget'!$C$1:$C$691)</f>
        <v>7599.87</v>
      </c>
      <c r="I201" s="2640">
        <f>VLOOKUP(A201,'2012 - TB'!$A$3:$C$733,3,FALSE)</f>
        <v>5367.12</v>
      </c>
      <c r="J201" s="2119" t="s">
        <v>6389</v>
      </c>
      <c r="L201" s="2024" t="str">
        <f>VLOOKUP(A201,'2012 Budget'!$A$18:$B$2152,2,FALSE)</f>
        <v>Housing Subsidy</v>
      </c>
    </row>
    <row r="202" spans="1:12" s="2024" customFormat="1" x14ac:dyDescent="0.2">
      <c r="A202" s="2116" t="s">
        <v>5593</v>
      </c>
      <c r="B202" s="2117" t="s">
        <v>4816</v>
      </c>
      <c r="C202" s="2109" t="str">
        <f>VLOOKUP(A202,'2011 - TB'!$A$3:$B$971,2,FALSE)</f>
        <v xml:space="preserve">                               -  </v>
      </c>
      <c r="D202" s="2118">
        <v>0</v>
      </c>
      <c r="E202" s="2118">
        <v>0</v>
      </c>
      <c r="F202" s="2118">
        <v>0</v>
      </c>
      <c r="G202" s="2118">
        <f t="shared" si="9"/>
        <v>0</v>
      </c>
      <c r="H202" s="2640">
        <f>SUMIF('Original Budget'!$A$1:$A$691,'Trial Balance - FPer'!A202,'Original Budget'!$C$1:$C$691)</f>
        <v>1957.49</v>
      </c>
      <c r="I202" s="2640"/>
      <c r="J202" s="2119" t="s">
        <v>6389</v>
      </c>
      <c r="L202" s="2024" t="str">
        <f>VLOOKUP(A202,'2012 Budget'!$A$18:$B$2152,2,FALSE)</f>
        <v>Housing Subsidy</v>
      </c>
    </row>
    <row r="203" spans="1:12" s="2024" customFormat="1" x14ac:dyDescent="0.2">
      <c r="A203" s="2116" t="s">
        <v>5730</v>
      </c>
      <c r="B203" s="2117" t="s">
        <v>4816</v>
      </c>
      <c r="C203" s="2109">
        <f>VLOOKUP(A203,'2011 - TB'!$A$3:$B$971,2,FALSE)</f>
        <v>2367.12</v>
      </c>
      <c r="D203" s="2118">
        <v>0</v>
      </c>
      <c r="E203" s="2118">
        <f>VLOOKUP(A203,'2012 - TB'!$A$3:$H$733,5,FALSE)</f>
        <v>2088</v>
      </c>
      <c r="F203" s="2118">
        <f>VLOOKUP(A203,'2012 - TB'!$A$3:$H$733,6,FALSE)</f>
        <v>0</v>
      </c>
      <c r="G203" s="2118">
        <f t="shared" si="9"/>
        <v>2088</v>
      </c>
      <c r="H203" s="2640">
        <f>SUMIF('Original Budget'!$A$1:$A$691,'Trial Balance - FPer'!A203,'Original Budget'!$C$1:$C$691)</f>
        <v>3109.05</v>
      </c>
      <c r="I203" s="2640">
        <f>VLOOKUP(A203,'2012 - TB'!$A$3:$C$733,3,FALSE)</f>
        <v>2088</v>
      </c>
      <c r="J203" s="2119" t="s">
        <v>6389</v>
      </c>
      <c r="L203" s="2024" t="str">
        <f>VLOOKUP(A203,'2012 Budget'!$A$18:$B$2152,2,FALSE)</f>
        <v>Housing Subsidy</v>
      </c>
    </row>
    <row r="204" spans="1:12" s="2024" customFormat="1" x14ac:dyDescent="0.2">
      <c r="A204" s="2116" t="s">
        <v>5775</v>
      </c>
      <c r="B204" s="2117" t="s">
        <v>4816</v>
      </c>
      <c r="C204" s="2109">
        <f>VLOOKUP(A204,'2011 - TB'!$A$3:$B$971,2,FALSE)</f>
        <v>5790</v>
      </c>
      <c r="D204" s="2118">
        <v>0</v>
      </c>
      <c r="E204" s="2118">
        <f>VLOOKUP(A204,'2012 - TB'!$A$3:$H$733,5,FALSE)</f>
        <v>6264</v>
      </c>
      <c r="F204" s="2118">
        <f>VLOOKUP(A204,'2012 - TB'!$A$3:$H$733,6,FALSE)</f>
        <v>0</v>
      </c>
      <c r="G204" s="2118">
        <f t="shared" si="9"/>
        <v>6264</v>
      </c>
      <c r="H204" s="2640">
        <f>SUMIF('Original Budget'!$A$1:$A$691,'Trial Balance - FPer'!A204,'Original Budget'!$C$1:$C$691)</f>
        <v>7600.78</v>
      </c>
      <c r="I204" s="2640">
        <f>VLOOKUP(A204,'2012 - TB'!$A$3:$C$733,3,FALSE)</f>
        <v>6264</v>
      </c>
      <c r="J204" s="2119" t="s">
        <v>6389</v>
      </c>
      <c r="L204" s="2024" t="str">
        <f>VLOOKUP(A204,'2012 Budget'!$A$18:$B$2152,2,FALSE)</f>
        <v>Housing Subsidy</v>
      </c>
    </row>
    <row r="205" spans="1:12" s="2024" customFormat="1" ht="13.5" thickBot="1" x14ac:dyDescent="0.25">
      <c r="A205" s="2116" t="s">
        <v>5832</v>
      </c>
      <c r="B205" s="2117" t="s">
        <v>4816</v>
      </c>
      <c r="C205" s="2109">
        <f>VLOOKUP(A205,'2011 - TB'!$A$3:$B$971,2,FALSE)</f>
        <v>0</v>
      </c>
      <c r="D205" s="2118">
        <v>0</v>
      </c>
      <c r="E205" s="2118">
        <v>0</v>
      </c>
      <c r="F205" s="2118">
        <v>0</v>
      </c>
      <c r="G205" s="2118">
        <f t="shared" si="9"/>
        <v>0</v>
      </c>
      <c r="H205" s="2640">
        <f>SUMIF('Original Budget'!$A$1:$A$691,'Trial Balance - FPer'!A205,'Original Budget'!$C$1:$C$691)</f>
        <v>0</v>
      </c>
      <c r="I205" s="2640"/>
      <c r="J205" s="2119" t="s">
        <v>6389</v>
      </c>
      <c r="L205" s="2024" t="str">
        <f>VLOOKUP(A205,'2012 Budget'!$A$18:$B$2152,2,FALSE)</f>
        <v>Housing Subsidy</v>
      </c>
    </row>
    <row r="206" spans="1:12" s="2024" customFormat="1" x14ac:dyDescent="0.2">
      <c r="A206" s="2111" t="s">
        <v>4823</v>
      </c>
      <c r="B206" s="2112" t="s">
        <v>4824</v>
      </c>
      <c r="C206" s="2113">
        <f>VLOOKUP(A206,'2011 - TB'!$A$3:$B$971,2,FALSE)</f>
        <v>360.8</v>
      </c>
      <c r="D206" s="2114">
        <v>0</v>
      </c>
      <c r="E206" s="2114">
        <f>VLOOKUP(A206,'2012 - TB'!$A$3:$H$733,5,FALSE)</f>
        <v>840.50000000000011</v>
      </c>
      <c r="F206" s="2114">
        <f>VLOOKUP(A206,'2012 - TB'!$A$3:$H$733,6,FALSE)</f>
        <v>0</v>
      </c>
      <c r="G206" s="2114">
        <f t="shared" si="9"/>
        <v>840.50000000000011</v>
      </c>
      <c r="H206" s="2640">
        <f>SUMIF('Original Budget'!$A$1:$A$691,'Trial Balance - FPer'!A206,'Original Budget'!$C$1:$C$691)</f>
        <v>505.49</v>
      </c>
      <c r="I206" s="2640">
        <f>VLOOKUP(A206,'2012 - TB'!$A$3:$C$733,3,FALSE)</f>
        <v>516.6</v>
      </c>
      <c r="J206" s="2115" t="s">
        <v>6383</v>
      </c>
      <c r="L206" s="2024" t="str">
        <f>VLOOKUP(A206,'2012 Budget'!$A$18:$B$2152,2,FALSE)</f>
        <v>Industrial Coun</v>
      </c>
    </row>
    <row r="207" spans="1:12" s="2024" customFormat="1" x14ac:dyDescent="0.2">
      <c r="A207" s="2116" t="s">
        <v>4911</v>
      </c>
      <c r="B207" s="2117" t="s">
        <v>4824</v>
      </c>
      <c r="C207" s="2109">
        <f>VLOOKUP(A207,'2011 - TB'!$A$3:$B$971,2,FALSE)</f>
        <v>2049.1999999999998</v>
      </c>
      <c r="D207" s="2118">
        <v>0</v>
      </c>
      <c r="E207" s="2118">
        <f>VLOOKUP(A207,'2012 - TB'!$A$3:$H$733,5,FALSE)</f>
        <v>22340.2</v>
      </c>
      <c r="F207" s="2118">
        <f>VLOOKUP(A207,'2012 - TB'!$A$3:$H$733,6,FALSE)</f>
        <v>0</v>
      </c>
      <c r="G207" s="2118">
        <f t="shared" si="9"/>
        <v>22340.2</v>
      </c>
      <c r="H207" s="2640">
        <f>SUMIF('Original Budget'!$A$1:$A$691,'Trial Balance - FPer'!A207,'Original Budget'!$C$1:$C$691)</f>
        <v>4388.08</v>
      </c>
      <c r="I207" s="2640">
        <f>VLOOKUP(A207,'2012 - TB'!$A$3:$C$733,3,FALSE)</f>
        <v>22356.6</v>
      </c>
      <c r="J207" s="2119" t="s">
        <v>6383</v>
      </c>
      <c r="L207" s="2024" t="str">
        <f>VLOOKUP(A207,'2012 Budget'!$A$18:$B$2152,2,FALSE)</f>
        <v>Industrial Coun</v>
      </c>
    </row>
    <row r="208" spans="1:12" s="2024" customFormat="1" x14ac:dyDescent="0.2">
      <c r="A208" s="2116" t="s">
        <v>4958</v>
      </c>
      <c r="B208" s="2117" t="s">
        <v>4824</v>
      </c>
      <c r="C208" s="2109">
        <f>VLOOKUP(A208,'2011 - TB'!$A$3:$B$971,2,FALSE)</f>
        <v>-45.1</v>
      </c>
      <c r="D208" s="2118">
        <v>0</v>
      </c>
      <c r="E208" s="2118">
        <f>VLOOKUP(A208,'2012 - TB'!$A$3:$H$733,5,FALSE)</f>
        <v>65.599999999999994</v>
      </c>
      <c r="F208" s="2118">
        <f>VLOOKUP(A208,'2012 - TB'!$A$3:$H$733,6,FALSE)</f>
        <v>0</v>
      </c>
      <c r="G208" s="2118">
        <f t="shared" si="9"/>
        <v>65.599999999999994</v>
      </c>
      <c r="H208" s="2640">
        <f>SUMIF('Original Budget'!$A$1:$A$691,'Trial Balance - FPer'!A208,'Original Budget'!$C$1:$C$691)</f>
        <v>62.08</v>
      </c>
      <c r="I208" s="2640">
        <f>VLOOKUP(A208,'2012 - TB'!$A$3:$C$733,3,FALSE)</f>
        <v>82</v>
      </c>
      <c r="J208" s="2119" t="s">
        <v>6383</v>
      </c>
      <c r="L208" s="2024" t="str">
        <f>VLOOKUP(A208,'2012 Budget'!$A$18:$B$2152,2,FALSE)</f>
        <v>Industrial Coun</v>
      </c>
    </row>
    <row r="209" spans="1:12" s="2024" customFormat="1" x14ac:dyDescent="0.2">
      <c r="A209" s="2116" t="s">
        <v>4959</v>
      </c>
      <c r="B209" s="2117" t="s">
        <v>4824</v>
      </c>
      <c r="C209" s="2109">
        <f>VLOOKUP(A209,'2011 - TB'!$A$3:$B$971,2,FALSE)</f>
        <v>1201.3</v>
      </c>
      <c r="D209" s="2118">
        <v>0</v>
      </c>
      <c r="E209" s="2118">
        <f>VLOOKUP(A209,'2012 - TB'!$A$3:$H$733,5,FALSE)</f>
        <v>1201.3</v>
      </c>
      <c r="F209" s="2118">
        <f>VLOOKUP(A209,'2012 - TB'!$A$3:$H$733,6,FALSE)</f>
        <v>0</v>
      </c>
      <c r="G209" s="2118">
        <f t="shared" si="9"/>
        <v>1201.3</v>
      </c>
      <c r="H209" s="2640">
        <f>SUMIF('Original Budget'!$A$1:$A$691,'Trial Balance - FPer'!A209,'Original Budget'!$C$1:$C$691)</f>
        <v>1445.53</v>
      </c>
      <c r="I209" s="2640">
        <f>VLOOKUP(A209,'2012 - TB'!$A$3:$C$733,3,FALSE)</f>
        <v>1230</v>
      </c>
      <c r="J209" s="2119" t="s">
        <v>6383</v>
      </c>
      <c r="L209" s="2024" t="str">
        <f>VLOOKUP(A209,'2012 Budget'!$A$18:$B$2152,2,FALSE)</f>
        <v>Industrial Coun</v>
      </c>
    </row>
    <row r="210" spans="1:12" s="2024" customFormat="1" x14ac:dyDescent="0.2">
      <c r="A210" s="2116" t="s">
        <v>4960</v>
      </c>
      <c r="B210" s="2117" t="s">
        <v>4824</v>
      </c>
      <c r="C210" s="2109">
        <f>VLOOKUP(A210,'2011 - TB'!$A$3:$B$971,2,FALSE)</f>
        <v>82</v>
      </c>
      <c r="D210" s="2118">
        <v>0</v>
      </c>
      <c r="E210" s="2118">
        <v>0</v>
      </c>
      <c r="F210" s="2118">
        <v>0</v>
      </c>
      <c r="G210" s="2118">
        <f t="shared" si="9"/>
        <v>0</v>
      </c>
      <c r="H210" s="2640">
        <f>SUMIF('Original Budget'!$A$1:$A$691,'Trial Balance - FPer'!A210,'Original Budget'!$C$1:$C$691)</f>
        <v>221.71</v>
      </c>
      <c r="I210" s="2640"/>
      <c r="J210" s="2119" t="s">
        <v>6383</v>
      </c>
      <c r="L210" s="2024" t="str">
        <f>VLOOKUP(A210,'2012 Budget'!$A$18:$B$2152,2,FALSE)</f>
        <v>Industrial Coun</v>
      </c>
    </row>
    <row r="211" spans="1:12" s="2024" customFormat="1" x14ac:dyDescent="0.2">
      <c r="A211" s="2116" t="s">
        <v>5104</v>
      </c>
      <c r="B211" s="2117" t="s">
        <v>4824</v>
      </c>
      <c r="C211" s="2109">
        <f>VLOOKUP(A211,'2011 - TB'!$A$3:$B$971,2,FALSE)</f>
        <v>250.1</v>
      </c>
      <c r="D211" s="2118">
        <v>0</v>
      </c>
      <c r="E211" s="2118">
        <f>VLOOKUP(A211,'2012 - TB'!$A$3:$H$733,5,FALSE)</f>
        <v>290.75</v>
      </c>
      <c r="F211" s="2118">
        <f>VLOOKUP(A211,'2012 - TB'!$A$3:$H$733,6,FALSE)</f>
        <v>0</v>
      </c>
      <c r="G211" s="2118">
        <f t="shared" si="9"/>
        <v>290.75</v>
      </c>
      <c r="H211" s="2640">
        <f>SUMIF('Original Budget'!$A$1:$A$691,'Trial Balance - FPer'!A211,'Original Budget'!$C$1:$C$691)</f>
        <v>310.39</v>
      </c>
      <c r="I211" s="2640">
        <f>VLOOKUP(A211,'2012 - TB'!$A$3:$C$733,3,FALSE)</f>
        <v>290.75</v>
      </c>
      <c r="J211" s="2119" t="s">
        <v>6383</v>
      </c>
      <c r="L211" s="2024" t="str">
        <f>VLOOKUP(A211,'2012 Budget'!$A$18:$B$2152,2,FALSE)</f>
        <v>Industrial Coun</v>
      </c>
    </row>
    <row r="212" spans="1:12" s="2024" customFormat="1" x14ac:dyDescent="0.2">
      <c r="A212" s="2116" t="s">
        <v>5132</v>
      </c>
      <c r="B212" s="2117" t="s">
        <v>4824</v>
      </c>
      <c r="C212" s="2109">
        <f>VLOOKUP(A212,'2011 - TB'!$A$3:$B$971,2,FALSE)</f>
        <v>147.6</v>
      </c>
      <c r="D212" s="2118">
        <v>0</v>
      </c>
      <c r="E212" s="2118">
        <f>VLOOKUP(A212,'2012 - TB'!$A$3:$H$733,5,FALSE)</f>
        <v>155.80000000000001</v>
      </c>
      <c r="F212" s="2118">
        <f>VLOOKUP(A212,'2012 - TB'!$A$3:$H$733,6,FALSE)</f>
        <v>0</v>
      </c>
      <c r="G212" s="2118">
        <f t="shared" si="9"/>
        <v>155.80000000000001</v>
      </c>
      <c r="H212" s="2640">
        <f>SUMIF('Original Budget'!$A$1:$A$691,'Trial Balance - FPer'!A212,'Original Budget'!$C$1:$C$691)</f>
        <v>88.68</v>
      </c>
      <c r="I212" s="2640">
        <f>VLOOKUP(A212,'2012 - TB'!$A$3:$C$733,3,FALSE)</f>
        <v>168.1</v>
      </c>
      <c r="J212" s="2119" t="s">
        <v>6383</v>
      </c>
      <c r="L212" s="2024" t="str">
        <f>VLOOKUP(A212,'2012 Budget'!$A$18:$B$2152,2,FALSE)</f>
        <v>Industrial Coun</v>
      </c>
    </row>
    <row r="213" spans="1:12" s="2024" customFormat="1" x14ac:dyDescent="0.2">
      <c r="A213" s="2116" t="s">
        <v>5157</v>
      </c>
      <c r="B213" s="2117" t="s">
        <v>4824</v>
      </c>
      <c r="C213" s="2109">
        <f>VLOOKUP(A213,'2011 - TB'!$A$3:$B$971,2,FALSE)</f>
        <v>0</v>
      </c>
      <c r="D213" s="2118">
        <v>0</v>
      </c>
      <c r="E213" s="2118">
        <v>0</v>
      </c>
      <c r="F213" s="2118">
        <v>0</v>
      </c>
      <c r="G213" s="2118">
        <f t="shared" si="9"/>
        <v>0</v>
      </c>
      <c r="H213" s="2640">
        <f>SUMIF('Original Budget'!$A$1:$A$691,'Trial Balance - FPer'!A213,'Original Budget'!$C$1:$C$691)</f>
        <v>0</v>
      </c>
      <c r="I213" s="2640"/>
      <c r="J213" s="2119" t="s">
        <v>6383</v>
      </c>
      <c r="L213" s="2024" t="str">
        <f>VLOOKUP(A213,'2012 Budget'!$A$18:$B$2152,2,FALSE)</f>
        <v>Industrial Coun</v>
      </c>
    </row>
    <row r="214" spans="1:12" s="2024" customFormat="1" x14ac:dyDescent="0.2">
      <c r="A214" s="2116" t="s">
        <v>5223</v>
      </c>
      <c r="B214" s="2117" t="s">
        <v>4824</v>
      </c>
      <c r="C214" s="2109" t="str">
        <f>VLOOKUP(A214,'2011 - TB'!$A$3:$B$971,2,FALSE)</f>
        <v xml:space="preserve">                               -  </v>
      </c>
      <c r="D214" s="2118">
        <v>0</v>
      </c>
      <c r="E214" s="2118">
        <f>VLOOKUP(A214,'2012 - TB'!$A$3:$H$733,5,FALSE)</f>
        <v>36.9</v>
      </c>
      <c r="F214" s="2118">
        <f>VLOOKUP(A214,'2012 - TB'!$A$3:$H$733,6,FALSE)</f>
        <v>0</v>
      </c>
      <c r="G214" s="2118">
        <f t="shared" si="9"/>
        <v>36.9</v>
      </c>
      <c r="H214" s="2640">
        <f>SUMIF('Original Budget'!$A$1:$A$691,'Trial Balance - FPer'!A214,'Original Budget'!$C$1:$C$691)</f>
        <v>62.08</v>
      </c>
      <c r="I214" s="2640">
        <f>VLOOKUP(A214,'2012 - TB'!$A$3:$C$733,3,FALSE)</f>
        <v>36.9</v>
      </c>
      <c r="J214" s="2119" t="s">
        <v>6383</v>
      </c>
      <c r="L214" s="2024" t="str">
        <f>VLOOKUP(A214,'2012 Budget'!$A$18:$B$2152,2,FALSE)</f>
        <v>Industrial Coun</v>
      </c>
    </row>
    <row r="215" spans="1:12" s="2024" customFormat="1" x14ac:dyDescent="0.2">
      <c r="A215" s="2116" t="s">
        <v>5224</v>
      </c>
      <c r="B215" s="2117" t="s">
        <v>4824</v>
      </c>
      <c r="C215" s="2109" t="str">
        <f>VLOOKUP(A215,'2011 - TB'!$A$3:$B$971,2,FALSE)</f>
        <v xml:space="preserve">                               -  </v>
      </c>
      <c r="D215" s="2118">
        <v>0</v>
      </c>
      <c r="E215" s="2118">
        <f>VLOOKUP(A215,'2012 - TB'!$A$3:$H$733,5,FALSE)</f>
        <v>36.9</v>
      </c>
      <c r="F215" s="2118">
        <f>VLOOKUP(A215,'2012 - TB'!$A$3:$H$733,6,FALSE)</f>
        <v>0</v>
      </c>
      <c r="G215" s="2118">
        <f t="shared" si="9"/>
        <v>36.9</v>
      </c>
      <c r="H215" s="2640">
        <f>SUMIF('Original Budget'!$A$1:$A$691,'Trial Balance - FPer'!A215,'Original Budget'!$C$1:$C$691)</f>
        <v>62.08</v>
      </c>
      <c r="I215" s="2640">
        <f>VLOOKUP(A215,'2012 - TB'!$A$3:$C$733,3,FALSE)</f>
        <v>36.9</v>
      </c>
      <c r="J215" s="2119" t="s">
        <v>6383</v>
      </c>
      <c r="L215" s="2024" t="str">
        <f>VLOOKUP(A215,'2012 Budget'!$A$18:$B$2152,2,FALSE)</f>
        <v>Industrial Coun</v>
      </c>
    </row>
    <row r="216" spans="1:12" s="2024" customFormat="1" x14ac:dyDescent="0.2">
      <c r="A216" s="2116" t="s">
        <v>5225</v>
      </c>
      <c r="B216" s="2117" t="s">
        <v>4824</v>
      </c>
      <c r="C216" s="2109">
        <f>VLOOKUP(A216,'2011 - TB'!$A$3:$B$971,2,FALSE)</f>
        <v>45.1</v>
      </c>
      <c r="D216" s="2118">
        <v>0</v>
      </c>
      <c r="E216" s="2118">
        <f>VLOOKUP(A216,'2012 - TB'!$A$3:$H$733,5,FALSE)</f>
        <v>28.7</v>
      </c>
      <c r="F216" s="2118">
        <f>VLOOKUP(A216,'2012 - TB'!$A$3:$H$733,6,FALSE)</f>
        <v>0</v>
      </c>
      <c r="G216" s="2118">
        <f t="shared" si="9"/>
        <v>28.7</v>
      </c>
      <c r="H216" s="2640">
        <f>SUMIF('Original Budget'!$A$1:$A$691,'Trial Balance - FPer'!A216,'Original Budget'!$C$1:$C$691)</f>
        <v>53.21</v>
      </c>
      <c r="I216" s="2640">
        <f>VLOOKUP(A216,'2012 - TB'!$A$3:$C$733,3,FALSE)</f>
        <v>28.7</v>
      </c>
      <c r="J216" s="2119" t="s">
        <v>6383</v>
      </c>
      <c r="L216" s="2024" t="str">
        <f>VLOOKUP(A216,'2012 Budget'!$A$18:$B$2152,2,FALSE)</f>
        <v>Industrial Coun</v>
      </c>
    </row>
    <row r="217" spans="1:12" s="2024" customFormat="1" x14ac:dyDescent="0.2">
      <c r="A217" s="2116" t="s">
        <v>5226</v>
      </c>
      <c r="B217" s="2117" t="s">
        <v>4824</v>
      </c>
      <c r="C217" s="2109">
        <f>VLOOKUP(A217,'2011 - TB'!$A$3:$B$971,2,FALSE)</f>
        <v>463.3</v>
      </c>
      <c r="D217" s="2118">
        <v>0</v>
      </c>
      <c r="E217" s="2118">
        <f>VLOOKUP(A217,'2012 - TB'!$A$3:$H$733,5,FALSE)</f>
        <v>467.4</v>
      </c>
      <c r="F217" s="2118">
        <f>VLOOKUP(A217,'2012 - TB'!$A$3:$H$733,6,FALSE)</f>
        <v>0</v>
      </c>
      <c r="G217" s="2118">
        <f t="shared" si="9"/>
        <v>467.4</v>
      </c>
      <c r="H217" s="2640">
        <f>SUMIF('Original Budget'!$A$1:$A$691,'Trial Balance - FPer'!A217,'Original Budget'!$C$1:$C$691)</f>
        <v>620.78</v>
      </c>
      <c r="I217" s="2640">
        <f>VLOOKUP(A217,'2012 - TB'!$A$3:$C$733,3,FALSE)</f>
        <v>508.4</v>
      </c>
      <c r="J217" s="2119" t="s">
        <v>6383</v>
      </c>
      <c r="L217" s="2024" t="str">
        <f>VLOOKUP(A217,'2012 Budget'!$A$18:$B$2152,2,FALSE)</f>
        <v>Industrial Coun</v>
      </c>
    </row>
    <row r="218" spans="1:12" s="2024" customFormat="1" x14ac:dyDescent="0.2">
      <c r="A218" s="2116" t="s">
        <v>5324</v>
      </c>
      <c r="B218" s="2117" t="s">
        <v>4824</v>
      </c>
      <c r="C218" s="2109">
        <f>VLOOKUP(A218,'2011 - TB'!$A$3:$B$971,2,FALSE)</f>
        <v>77.900000000000006</v>
      </c>
      <c r="D218" s="2118">
        <v>0</v>
      </c>
      <c r="E218" s="2118">
        <f>VLOOKUP(A218,'2012 - TB'!$A$3:$H$733,5,FALSE)</f>
        <v>180.4</v>
      </c>
      <c r="F218" s="2118">
        <f>VLOOKUP(A218,'2012 - TB'!$A$3:$H$733,6,FALSE)</f>
        <v>0</v>
      </c>
      <c r="G218" s="2118">
        <f t="shared" si="9"/>
        <v>180.4</v>
      </c>
      <c r="H218" s="2640">
        <f>SUMIF('Original Budget'!$A$1:$A$691,'Trial Balance - FPer'!A218,'Original Budget'!$C$1:$C$691)</f>
        <v>62.08</v>
      </c>
      <c r="I218" s="2640">
        <f>VLOOKUP(A218,'2012 - TB'!$A$3:$C$733,3,FALSE)</f>
        <v>147.6</v>
      </c>
      <c r="J218" s="2119" t="s">
        <v>6383</v>
      </c>
      <c r="L218" s="2024" t="str">
        <f>VLOOKUP(A218,'2012 Budget'!$A$18:$B$2152,2,FALSE)</f>
        <v>Industrial Coun</v>
      </c>
    </row>
    <row r="219" spans="1:12" s="2024" customFormat="1" x14ac:dyDescent="0.2">
      <c r="A219" s="2116" t="s">
        <v>5363</v>
      </c>
      <c r="B219" s="2117" t="s">
        <v>4824</v>
      </c>
      <c r="C219" s="2109">
        <f>VLOOKUP(A219,'2011 - TB'!$A$3:$B$971,2,FALSE)</f>
        <v>344.4</v>
      </c>
      <c r="D219" s="2118">
        <v>0</v>
      </c>
      <c r="E219" s="2118">
        <f>VLOOKUP(A219,'2012 - TB'!$A$3:$H$733,5,FALSE)</f>
        <v>344.4</v>
      </c>
      <c r="F219" s="2118">
        <f>VLOOKUP(A219,'2012 - TB'!$A$3:$H$733,6,FALSE)</f>
        <v>0</v>
      </c>
      <c r="G219" s="2118">
        <f t="shared" si="9"/>
        <v>344.4</v>
      </c>
      <c r="H219" s="2640">
        <f>SUMIF('Original Budget'!$A$1:$A$691,'Trial Balance - FPer'!A219,'Original Budget'!$C$1:$C$691)</f>
        <v>434.55</v>
      </c>
      <c r="I219" s="2640">
        <f>VLOOKUP(A219,'2012 - TB'!$A$3:$C$733,3,FALSE)</f>
        <v>344.4</v>
      </c>
      <c r="J219" s="2119" t="s">
        <v>6383</v>
      </c>
      <c r="L219" s="2024" t="str">
        <f>VLOOKUP(A219,'2012 Budget'!$A$18:$B$2152,2,FALSE)</f>
        <v>Industrial Coun</v>
      </c>
    </row>
    <row r="220" spans="1:12" s="2024" customFormat="1" x14ac:dyDescent="0.2">
      <c r="A220" s="2116" t="s">
        <v>5391</v>
      </c>
      <c r="B220" s="2117" t="s">
        <v>4824</v>
      </c>
      <c r="C220" s="2109">
        <f>VLOOKUP(A220,'2011 - TB'!$A$3:$B$971,2,FALSE)</f>
        <v>147.6</v>
      </c>
      <c r="D220" s="2118">
        <v>0</v>
      </c>
      <c r="E220" s="2118">
        <f>VLOOKUP(A220,'2012 - TB'!$A$3:$H$733,5,FALSE)</f>
        <v>135.30000000000001</v>
      </c>
      <c r="F220" s="2118">
        <f>VLOOKUP(A220,'2012 - TB'!$A$3:$H$733,6,FALSE)</f>
        <v>0</v>
      </c>
      <c r="G220" s="2118">
        <f t="shared" si="9"/>
        <v>135.30000000000001</v>
      </c>
      <c r="H220" s="2640">
        <f>SUMIF('Original Budget'!$A$1:$A$691,'Trial Balance - FPer'!A220,'Original Budget'!$C$1:$C$691)</f>
        <v>186.23</v>
      </c>
      <c r="I220" s="2640">
        <f>VLOOKUP(A220,'2012 - TB'!$A$3:$C$733,3,FALSE)</f>
        <v>147.6</v>
      </c>
      <c r="J220" s="2119" t="s">
        <v>6383</v>
      </c>
      <c r="L220" s="2024" t="str">
        <f>VLOOKUP(A220,'2012 Budget'!$A$18:$B$2152,2,FALSE)</f>
        <v>Industrial Coun</v>
      </c>
    </row>
    <row r="221" spans="1:12" s="2024" customFormat="1" x14ac:dyDescent="0.2">
      <c r="A221" s="2116" t="s">
        <v>5449</v>
      </c>
      <c r="B221" s="2117" t="s">
        <v>4824</v>
      </c>
      <c r="C221" s="2109">
        <f>VLOOKUP(A221,'2011 - TB'!$A$3:$B$971,2,FALSE)</f>
        <v>0</v>
      </c>
      <c r="D221" s="2118">
        <v>0</v>
      </c>
      <c r="E221" s="2118">
        <f>VLOOKUP(A221,'2012 - TB'!$A$3:$H$733,5,FALSE)</f>
        <v>8.1999999999999993</v>
      </c>
      <c r="F221" s="2118">
        <f>VLOOKUP(A221,'2012 - TB'!$A$3:$H$733,6,FALSE)</f>
        <v>0</v>
      </c>
      <c r="G221" s="2118">
        <f t="shared" si="9"/>
        <v>8.1999999999999993</v>
      </c>
      <c r="H221" s="2640">
        <f>SUMIF('Original Budget'!$A$1:$A$691,'Trial Balance - FPer'!A221,'Original Budget'!$C$1:$C$691)</f>
        <v>62.08</v>
      </c>
      <c r="I221" s="2640">
        <f>VLOOKUP(A221,'2012 - TB'!$A$3:$C$733,3,FALSE)</f>
        <v>8.1999999999999993</v>
      </c>
      <c r="J221" s="2119" t="s">
        <v>6383</v>
      </c>
      <c r="L221" s="2024" t="str">
        <f>VLOOKUP(A221,'2012 Budget'!$A$18:$B$2152,2,FALSE)</f>
        <v>Industrial Coun</v>
      </c>
    </row>
    <row r="222" spans="1:12" s="2024" customFormat="1" x14ac:dyDescent="0.2">
      <c r="A222" s="2116" t="s">
        <v>5450</v>
      </c>
      <c r="B222" s="2117" t="s">
        <v>4824</v>
      </c>
      <c r="C222" s="2109">
        <f>VLOOKUP(A222,'2011 - TB'!$A$3:$B$971,2,FALSE)</f>
        <v>217.3</v>
      </c>
      <c r="D222" s="2118">
        <v>0</v>
      </c>
      <c r="E222" s="2118">
        <f>VLOOKUP(A222,'2012 - TB'!$A$3:$H$733,5,FALSE)</f>
        <v>303.39999999999998</v>
      </c>
      <c r="F222" s="2118">
        <f>VLOOKUP(A222,'2012 - TB'!$A$3:$H$733,6,FALSE)</f>
        <v>0</v>
      </c>
      <c r="G222" s="2118">
        <f t="shared" si="9"/>
        <v>303.39999999999998</v>
      </c>
      <c r="H222" s="2640">
        <f>SUMIF('Original Budget'!$A$1:$A$691,'Trial Balance - FPer'!A222,'Original Budget'!$C$1:$C$691)</f>
        <v>266.05</v>
      </c>
      <c r="I222" s="2640">
        <f>VLOOKUP(A222,'2012 - TB'!$A$3:$C$733,3,FALSE)</f>
        <v>287</v>
      </c>
      <c r="J222" s="2119" t="s">
        <v>6383</v>
      </c>
      <c r="L222" s="2024" t="str">
        <f>VLOOKUP(A222,'2012 Budget'!$A$18:$B$2152,2,FALSE)</f>
        <v>Industrial Coun</v>
      </c>
    </row>
    <row r="223" spans="1:12" s="2024" customFormat="1" x14ac:dyDescent="0.2">
      <c r="A223" s="2116" t="s">
        <v>5451</v>
      </c>
      <c r="B223" s="2117" t="s">
        <v>4824</v>
      </c>
      <c r="C223" s="2109">
        <f>VLOOKUP(A223,'2011 - TB'!$A$3:$B$971,2,FALSE)</f>
        <v>0</v>
      </c>
      <c r="D223" s="2118">
        <v>0</v>
      </c>
      <c r="E223" s="2118">
        <v>0</v>
      </c>
      <c r="F223" s="2118">
        <v>0</v>
      </c>
      <c r="G223" s="2118">
        <f t="shared" si="9"/>
        <v>0</v>
      </c>
      <c r="H223" s="2640">
        <f>SUMIF('Original Budget'!$A$1:$A$691,'Trial Balance - FPer'!A223,'Original Budget'!$C$1:$C$691)</f>
        <v>0</v>
      </c>
      <c r="I223" s="2640"/>
      <c r="J223" s="2119" t="s">
        <v>6383</v>
      </c>
      <c r="L223" s="2024" t="str">
        <f>VLOOKUP(A223,'2012 Budget'!$A$18:$B$2152,2,FALSE)</f>
        <v>Industrial Coun</v>
      </c>
    </row>
    <row r="224" spans="1:12" s="2024" customFormat="1" x14ac:dyDescent="0.2">
      <c r="A224" s="2116" t="s">
        <v>5494</v>
      </c>
      <c r="B224" s="2117" t="s">
        <v>4824</v>
      </c>
      <c r="C224" s="2109">
        <f>VLOOKUP(A224,'2011 - TB'!$A$3:$B$971,2,FALSE)</f>
        <v>196.8</v>
      </c>
      <c r="D224" s="2118">
        <v>0</v>
      </c>
      <c r="E224" s="2118">
        <f>VLOOKUP(A224,'2012 - TB'!$A$3:$H$733,5,FALSE)</f>
        <v>188.6</v>
      </c>
      <c r="F224" s="2118">
        <f>VLOOKUP(A224,'2012 - TB'!$A$3:$H$733,6,FALSE)</f>
        <v>0</v>
      </c>
      <c r="G224" s="2118">
        <f t="shared" si="9"/>
        <v>188.6</v>
      </c>
      <c r="H224" s="2640">
        <f>SUMIF('Original Budget'!$A$1:$A$691,'Trial Balance - FPer'!A224,'Original Budget'!$C$1:$C$691)</f>
        <v>248.31</v>
      </c>
      <c r="I224" s="2640">
        <f>VLOOKUP(A224,'2012 - TB'!$A$3:$C$733,3,FALSE)</f>
        <v>188.6</v>
      </c>
      <c r="J224" s="2119" t="s">
        <v>6383</v>
      </c>
      <c r="L224" s="2024" t="str">
        <f>VLOOKUP(A224,'2012 Budget'!$A$18:$B$2152,2,FALSE)</f>
        <v>Industrial Coun</v>
      </c>
    </row>
    <row r="225" spans="1:12" s="2024" customFormat="1" x14ac:dyDescent="0.2">
      <c r="A225" s="2116" t="s">
        <v>5524</v>
      </c>
      <c r="B225" s="2117" t="s">
        <v>4824</v>
      </c>
      <c r="C225" s="2109">
        <f>VLOOKUP(A225,'2011 - TB'!$A$3:$B$971,2,FALSE)</f>
        <v>246</v>
      </c>
      <c r="D225" s="2118">
        <v>0</v>
      </c>
      <c r="E225" s="2118">
        <f>VLOOKUP(A225,'2012 - TB'!$A$3:$H$733,5,FALSE)</f>
        <v>246</v>
      </c>
      <c r="F225" s="2118">
        <f>VLOOKUP(A225,'2012 - TB'!$A$3:$H$733,6,FALSE)</f>
        <v>0</v>
      </c>
      <c r="G225" s="2118">
        <f t="shared" si="9"/>
        <v>246</v>
      </c>
      <c r="H225" s="2640">
        <f>SUMIF('Original Budget'!$A$1:$A$691,'Trial Balance - FPer'!A225,'Original Budget'!$C$1:$C$691)</f>
        <v>310.39</v>
      </c>
      <c r="I225" s="2640">
        <f>VLOOKUP(A225,'2012 - TB'!$A$3:$C$733,3,FALSE)</f>
        <v>246</v>
      </c>
      <c r="J225" s="2119" t="s">
        <v>6383</v>
      </c>
      <c r="L225" s="2024" t="str">
        <f>VLOOKUP(A225,'2012 Budget'!$A$18:$B$2152,2,FALSE)</f>
        <v>Industrial Coun</v>
      </c>
    </row>
    <row r="226" spans="1:12" s="2024" customFormat="1" x14ac:dyDescent="0.2">
      <c r="A226" s="2116" t="s">
        <v>5555</v>
      </c>
      <c r="B226" s="2117" t="s">
        <v>4824</v>
      </c>
      <c r="C226" s="2109">
        <f>VLOOKUP(A226,'2011 - TB'!$A$3:$B$971,2,FALSE)</f>
        <v>0</v>
      </c>
      <c r="D226" s="2118">
        <v>0</v>
      </c>
      <c r="E226" s="2118">
        <v>0</v>
      </c>
      <c r="F226" s="2118">
        <v>0</v>
      </c>
      <c r="G226" s="2118">
        <f t="shared" si="9"/>
        <v>0</v>
      </c>
      <c r="H226" s="2640">
        <f>SUMIF('Original Budget'!$A$1:$A$691,'Trial Balance - FPer'!A226,'Original Budget'!$C$1:$C$691)</f>
        <v>0</v>
      </c>
      <c r="I226" s="2640"/>
      <c r="J226" s="2119" t="s">
        <v>6383</v>
      </c>
      <c r="L226" s="2024" t="str">
        <f>VLOOKUP(A226,'2012 Budget'!$A$18:$B$2152,2,FALSE)</f>
        <v>Industrial Coun</v>
      </c>
    </row>
    <row r="227" spans="1:12" s="2024" customFormat="1" x14ac:dyDescent="0.2">
      <c r="A227" s="2116" t="s">
        <v>5569</v>
      </c>
      <c r="B227" s="2117" t="s">
        <v>4824</v>
      </c>
      <c r="C227" s="2109">
        <f>VLOOKUP(A227,'2011 - TB'!$A$3:$B$971,2,FALSE)</f>
        <v>98.4</v>
      </c>
      <c r="D227" s="2118">
        <v>0</v>
      </c>
      <c r="E227" s="2118">
        <f>VLOOKUP(A227,'2012 - TB'!$A$3:$H$733,5,FALSE)</f>
        <v>98.4</v>
      </c>
      <c r="F227" s="2118">
        <f>VLOOKUP(A227,'2012 - TB'!$A$3:$H$733,6,FALSE)</f>
        <v>0</v>
      </c>
      <c r="G227" s="2118">
        <f t="shared" si="9"/>
        <v>98.4</v>
      </c>
      <c r="H227" s="2640">
        <f>SUMIF('Original Budget'!$A$1:$A$691,'Trial Balance - FPer'!A227,'Original Budget'!$C$1:$C$691)</f>
        <v>124.16</v>
      </c>
      <c r="I227" s="2640">
        <f>VLOOKUP(A227,'2012 - TB'!$A$3:$C$733,3,FALSE)</f>
        <v>98.4</v>
      </c>
      <c r="J227" s="2119" t="s">
        <v>6383</v>
      </c>
      <c r="L227" s="2024" t="str">
        <f>VLOOKUP(A227,'2012 Budget'!$A$18:$B$2152,2,FALSE)</f>
        <v>Industrial Coun</v>
      </c>
    </row>
    <row r="228" spans="1:12" s="2024" customFormat="1" x14ac:dyDescent="0.2">
      <c r="A228" s="2116" t="s">
        <v>5599</v>
      </c>
      <c r="B228" s="2117" t="s">
        <v>4824</v>
      </c>
      <c r="C228" s="2109">
        <f>VLOOKUP(A228,'2011 - TB'!$A$3:$B$971,2,FALSE)</f>
        <v>533</v>
      </c>
      <c r="D228" s="2118">
        <v>0</v>
      </c>
      <c r="E228" s="2118">
        <f>VLOOKUP(A228,'2012 - TB'!$A$3:$H$733,5,FALSE)</f>
        <v>533</v>
      </c>
      <c r="F228" s="2118">
        <f>VLOOKUP(A228,'2012 - TB'!$A$3:$H$733,6,FALSE)</f>
        <v>0</v>
      </c>
      <c r="G228" s="2118">
        <f t="shared" si="9"/>
        <v>533</v>
      </c>
      <c r="H228" s="2640">
        <f>SUMIF('Original Budget'!$A$1:$A$691,'Trial Balance - FPer'!A228,'Original Budget'!$C$1:$C$691)</f>
        <v>700.6</v>
      </c>
      <c r="I228" s="2640">
        <f>VLOOKUP(A228,'2012 - TB'!$A$3:$C$733,3,FALSE)</f>
        <v>561.70000000000005</v>
      </c>
      <c r="J228" s="2119" t="s">
        <v>6383</v>
      </c>
      <c r="L228" s="2024" t="str">
        <f>VLOOKUP(A228,'2012 Budget'!$A$18:$B$2152,2,FALSE)</f>
        <v>Industrial Coun</v>
      </c>
    </row>
    <row r="229" spans="1:12" s="2024" customFormat="1" x14ac:dyDescent="0.2">
      <c r="A229" s="2116" t="s">
        <v>5600</v>
      </c>
      <c r="B229" s="2117" t="s">
        <v>4824</v>
      </c>
      <c r="C229" s="2109">
        <f>VLOOKUP(A229,'2011 - TB'!$A$3:$B$971,2,FALSE)</f>
        <v>258.3</v>
      </c>
      <c r="D229" s="2118">
        <v>0</v>
      </c>
      <c r="E229" s="2118">
        <f>VLOOKUP(A229,'2012 - TB'!$A$3:$H$733,5,FALSE)</f>
        <v>221.4</v>
      </c>
      <c r="F229" s="2118">
        <f>VLOOKUP(A229,'2012 - TB'!$A$3:$H$733,6,FALSE)</f>
        <v>0</v>
      </c>
      <c r="G229" s="2118">
        <f t="shared" si="9"/>
        <v>221.4</v>
      </c>
      <c r="H229" s="2640">
        <f>SUMIF('Original Budget'!$A$1:$A$691,'Trial Balance - FPer'!A229,'Original Budget'!$C$1:$C$691)</f>
        <v>337</v>
      </c>
      <c r="I229" s="2640">
        <f>VLOOKUP(A229,'2012 - TB'!$A$3:$C$733,3,FALSE)</f>
        <v>225.5</v>
      </c>
      <c r="J229" s="2119" t="s">
        <v>6383</v>
      </c>
      <c r="L229" s="2024" t="str">
        <f>VLOOKUP(A229,'2012 Budget'!$A$18:$B$2152,2,FALSE)</f>
        <v>Industrial Coun</v>
      </c>
    </row>
    <row r="230" spans="1:12" s="2024" customFormat="1" x14ac:dyDescent="0.2">
      <c r="A230" s="2116" t="s">
        <v>5647</v>
      </c>
      <c r="B230" s="2117" t="s">
        <v>4824</v>
      </c>
      <c r="C230" s="2109">
        <f>VLOOKUP(A230,'2011 - TB'!$A$3:$B$971,2,FALSE)</f>
        <v>8.1999999999999993</v>
      </c>
      <c r="D230" s="2118">
        <v>0</v>
      </c>
      <c r="E230" s="2118">
        <v>0</v>
      </c>
      <c r="F230" s="2118">
        <v>0</v>
      </c>
      <c r="G230" s="2118">
        <f t="shared" si="9"/>
        <v>0</v>
      </c>
      <c r="H230" s="2640">
        <f>SUMIF('Original Budget'!$A$1:$A$691,'Trial Balance - FPer'!A230,'Original Budget'!$C$1:$C$691)</f>
        <v>0</v>
      </c>
      <c r="I230" s="2640"/>
      <c r="J230" s="2119" t="s">
        <v>6383</v>
      </c>
      <c r="L230" s="2024" t="str">
        <f>VLOOKUP(A230,'2012 Budget'!$A$18:$B$2152,2,FALSE)</f>
        <v>Industrial Coun</v>
      </c>
    </row>
    <row r="231" spans="1:12" s="2024" customFormat="1" x14ac:dyDescent="0.2">
      <c r="A231" s="2116" t="s">
        <v>5670</v>
      </c>
      <c r="B231" s="2117" t="s">
        <v>4824</v>
      </c>
      <c r="C231" s="2109">
        <f>VLOOKUP(A231,'2011 - TB'!$A$3:$B$971,2,FALSE)</f>
        <v>2484.6</v>
      </c>
      <c r="D231" s="2118">
        <v>0</v>
      </c>
      <c r="E231" s="2118">
        <f>VLOOKUP(A231,'2012 - TB'!$A$3:$H$733,5,FALSE)</f>
        <v>2484.6</v>
      </c>
      <c r="F231" s="2118">
        <f>VLOOKUP(A231,'2012 - TB'!$A$3:$H$733,6,FALSE)</f>
        <v>0</v>
      </c>
      <c r="G231" s="2118">
        <f t="shared" si="9"/>
        <v>2484.6</v>
      </c>
      <c r="H231" s="2640">
        <f>SUMIF('Original Budget'!$A$1:$A$691,'Trial Balance - FPer'!A231,'Original Budget'!$C$1:$C$691)</f>
        <v>3139.38</v>
      </c>
      <c r="I231" s="2640">
        <f>VLOOKUP(A231,'2012 - TB'!$A$3:$C$733,3,FALSE)</f>
        <v>2460</v>
      </c>
      <c r="J231" s="2119" t="s">
        <v>6383</v>
      </c>
      <c r="L231" s="2024" t="str">
        <f>VLOOKUP(A231,'2012 Budget'!$A$18:$B$2152,2,FALSE)</f>
        <v>Industrial Coun</v>
      </c>
    </row>
    <row r="232" spans="1:12" s="2024" customFormat="1" x14ac:dyDescent="0.2">
      <c r="A232" s="2116" t="s">
        <v>5734</v>
      </c>
      <c r="B232" s="2117" t="s">
        <v>4824</v>
      </c>
      <c r="C232" s="2109">
        <f>VLOOKUP(A232,'2011 - TB'!$A$3:$B$971,2,FALSE)</f>
        <v>1631.8</v>
      </c>
      <c r="D232" s="2118">
        <v>0</v>
      </c>
      <c r="E232" s="2118">
        <f>VLOOKUP(A232,'2012 - TB'!$A$3:$H$733,5,FALSE)</f>
        <v>1574.4</v>
      </c>
      <c r="F232" s="2118">
        <f>VLOOKUP(A232,'2012 - TB'!$A$3:$H$733,6,FALSE)</f>
        <v>0</v>
      </c>
      <c r="G232" s="2118">
        <f t="shared" si="9"/>
        <v>1574.4</v>
      </c>
      <c r="H232" s="2640">
        <f>SUMIF('Original Budget'!$A$1:$A$691,'Trial Balance - FPer'!A232,'Original Budget'!$C$1:$C$691)</f>
        <v>2128.39</v>
      </c>
      <c r="I232" s="2640">
        <f>VLOOKUP(A232,'2012 - TB'!$A$3:$C$733,3,FALSE)</f>
        <v>1664.6</v>
      </c>
      <c r="J232" s="2119" t="s">
        <v>6383</v>
      </c>
      <c r="L232" s="2024" t="str">
        <f>VLOOKUP(A232,'2012 Budget'!$A$18:$B$2152,2,FALSE)</f>
        <v>Industrial Coun</v>
      </c>
    </row>
    <row r="233" spans="1:12" s="2024" customFormat="1" x14ac:dyDescent="0.2">
      <c r="A233" s="2116" t="s">
        <v>5779</v>
      </c>
      <c r="B233" s="2117" t="s">
        <v>4824</v>
      </c>
      <c r="C233" s="2109">
        <f>VLOOKUP(A233,'2011 - TB'!$A$3:$B$971,2,FALSE)</f>
        <v>1037.3</v>
      </c>
      <c r="D233" s="2118">
        <v>0</v>
      </c>
      <c r="E233" s="2118">
        <f>VLOOKUP(A233,'2012 - TB'!$A$3:$H$733,5,FALSE)</f>
        <v>1041.4000000000001</v>
      </c>
      <c r="F233" s="2118">
        <f>VLOOKUP(A233,'2012 - TB'!$A$3:$H$733,6,FALSE)</f>
        <v>0</v>
      </c>
      <c r="G233" s="2118">
        <f t="shared" si="9"/>
        <v>1041.4000000000001</v>
      </c>
      <c r="H233" s="2640">
        <f>SUMIF('Original Budget'!$A$1:$A$691,'Trial Balance - FPer'!A233,'Original Budget'!$C$1:$C$691)</f>
        <v>1347.98</v>
      </c>
      <c r="I233" s="2640">
        <f>VLOOKUP(A233,'2012 - TB'!$A$3:$C$733,3,FALSE)</f>
        <v>984</v>
      </c>
      <c r="J233" s="2119" t="s">
        <v>6383</v>
      </c>
      <c r="L233" s="2024" t="str">
        <f>VLOOKUP(A233,'2012 Budget'!$A$18:$B$2152,2,FALSE)</f>
        <v>Industrial Coun</v>
      </c>
    </row>
    <row r="234" spans="1:12" s="2024" customFormat="1" x14ac:dyDescent="0.2">
      <c r="A234" s="2116" t="s">
        <v>5835</v>
      </c>
      <c r="B234" s="2117" t="s">
        <v>4824</v>
      </c>
      <c r="C234" s="2109">
        <f>VLOOKUP(A234,'2011 - TB'!$A$3:$B$971,2,FALSE)</f>
        <v>1594.9</v>
      </c>
      <c r="D234" s="2118">
        <v>0</v>
      </c>
      <c r="E234" s="2118">
        <f>VLOOKUP(A234,'2012 - TB'!$A$3:$H$733,5,FALSE)</f>
        <v>1656.4</v>
      </c>
      <c r="F234" s="2118">
        <f>VLOOKUP(A234,'2012 - TB'!$A$3:$H$733,6,FALSE)</f>
        <v>0</v>
      </c>
      <c r="G234" s="2118">
        <f t="shared" si="9"/>
        <v>1656.4</v>
      </c>
      <c r="H234" s="2640">
        <f>SUMIF('Original Budget'!$A$1:$A$691,'Trial Balance - FPer'!A234,'Original Budget'!$C$1:$C$691)</f>
        <v>2039.71</v>
      </c>
      <c r="I234" s="2640">
        <f>VLOOKUP(A234,'2012 - TB'!$A$3:$C$733,3,FALSE)</f>
        <v>1664.6</v>
      </c>
      <c r="J234" s="2119" t="s">
        <v>6383</v>
      </c>
      <c r="L234" s="2024" t="str">
        <f>VLOOKUP(A234,'2012 Budget'!$A$18:$B$2152,2,FALSE)</f>
        <v>Industrial Coun</v>
      </c>
    </row>
    <row r="235" spans="1:12" s="2024" customFormat="1" ht="13.5" thickBot="1" x14ac:dyDescent="0.25">
      <c r="A235" s="2120" t="s">
        <v>5896</v>
      </c>
      <c r="B235" s="2121" t="s">
        <v>4824</v>
      </c>
      <c r="C235" s="2122">
        <f>VLOOKUP(A235,'2011 - TB'!$A$3:$B$971,2,FALSE)</f>
        <v>135.30000000000001</v>
      </c>
      <c r="D235" s="2123">
        <v>0</v>
      </c>
      <c r="E235" s="2123">
        <f>VLOOKUP(A235,'2012 - TB'!$A$3:$H$733,5,FALSE)</f>
        <v>147.51</v>
      </c>
      <c r="F235" s="2123">
        <f>VLOOKUP(A235,'2012 - TB'!$A$3:$H$733,6,FALSE)</f>
        <v>0</v>
      </c>
      <c r="G235" s="2123">
        <f t="shared" si="9"/>
        <v>147.51</v>
      </c>
      <c r="H235" s="2640">
        <f>SUMIF('Original Budget'!$A$1:$A$691,'Trial Balance - FPer'!A235,'Original Budget'!$C$1:$C$691)</f>
        <v>159.63</v>
      </c>
      <c r="I235" s="2640">
        <f>VLOOKUP(A235,'2012 - TB'!$A$3:$C$733,3,FALSE)</f>
        <v>150.51</v>
      </c>
      <c r="J235" s="2124" t="s">
        <v>6383</v>
      </c>
      <c r="L235" s="2024" t="str">
        <f>VLOOKUP(A235,'2012 Budget'!$A$18:$B$2152,2,FALSE)</f>
        <v>Industrial Coun</v>
      </c>
    </row>
    <row r="236" spans="1:12" s="2024" customFormat="1" x14ac:dyDescent="0.2">
      <c r="A236" s="2116" t="s">
        <v>4828</v>
      </c>
      <c r="B236" s="2117" t="s">
        <v>4829</v>
      </c>
      <c r="C236" s="2109">
        <f>VLOOKUP(A236,'2011 - TB'!$A$3:$B$971,2,FALSE)</f>
        <v>31084.2</v>
      </c>
      <c r="D236" s="2118">
        <v>0</v>
      </c>
      <c r="E236" s="2118">
        <f>VLOOKUP(A236,'2012 - TB'!$A$3:$H$733,5,FALSE)</f>
        <v>51328.1</v>
      </c>
      <c r="F236" s="2118">
        <f>VLOOKUP(A236,'2012 - TB'!$A$3:$H$733,6,FALSE)</f>
        <v>0</v>
      </c>
      <c r="G236" s="2118">
        <f t="shared" si="9"/>
        <v>51328.1</v>
      </c>
      <c r="H236" s="2640">
        <f>SUMIF('Original Budget'!$A$1:$A$691,'Trial Balance - FPer'!A236,'Original Budget'!$C$1:$C$691)</f>
        <v>48820.639999999999</v>
      </c>
      <c r="I236" s="2640">
        <f>VLOOKUP(A236,'2012 - TB'!$A$3:$C$733,3,FALSE)</f>
        <v>44543.3</v>
      </c>
      <c r="J236" s="2119" t="s">
        <v>6384</v>
      </c>
      <c r="L236" s="2024" t="str">
        <f>VLOOKUP(A236,'2012 Budget'!$A$18:$B$2152,2,FALSE)</f>
        <v>Medical Aid Fun</v>
      </c>
    </row>
    <row r="237" spans="1:12" s="2024" customFormat="1" x14ac:dyDescent="0.2">
      <c r="A237" s="2116" t="s">
        <v>4914</v>
      </c>
      <c r="B237" s="2117" t="s">
        <v>4829</v>
      </c>
      <c r="C237" s="2109">
        <f>VLOOKUP(A237,'2011 - TB'!$A$3:$B$971,2,FALSE)</f>
        <v>7408.8</v>
      </c>
      <c r="D237" s="2118">
        <v>0</v>
      </c>
      <c r="E237" s="2118">
        <f>VLOOKUP(A237,'2012 - TB'!$A$3:$H$733,5,FALSE)</f>
        <v>10229.040000000001</v>
      </c>
      <c r="F237" s="2118">
        <f>VLOOKUP(A237,'2012 - TB'!$A$3:$H$733,6,FALSE)</f>
        <v>0</v>
      </c>
      <c r="G237" s="2118">
        <f t="shared" si="9"/>
        <v>10229.040000000001</v>
      </c>
      <c r="H237" s="2640">
        <f>SUMIF('Original Budget'!$A$1:$A$691,'Trial Balance - FPer'!A237,'Original Budget'!$C$1:$C$691)</f>
        <v>0</v>
      </c>
      <c r="I237" s="2640">
        <f>VLOOKUP(A237,'2012 - TB'!$A$3:$C$733,3,FALSE)</f>
        <v>14147.04</v>
      </c>
      <c r="J237" s="2119" t="s">
        <v>6384</v>
      </c>
      <c r="L237" s="2024" t="str">
        <f>VLOOKUP(A237,'2012 Budget'!$A$18:$B$2152,2,FALSE)</f>
        <v>Medical Aid Fun</v>
      </c>
    </row>
    <row r="238" spans="1:12" s="2024" customFormat="1" x14ac:dyDescent="0.2">
      <c r="A238" s="2116" t="s">
        <v>4967</v>
      </c>
      <c r="B238" s="2117" t="s">
        <v>4829</v>
      </c>
      <c r="C238" s="2109">
        <f>VLOOKUP(A238,'2011 - TB'!$A$3:$B$971,2,FALSE)</f>
        <v>7367.33</v>
      </c>
      <c r="D238" s="2118">
        <v>0</v>
      </c>
      <c r="E238" s="2118">
        <f>VLOOKUP(A238,'2012 - TB'!$A$3:$H$733,5,FALSE)</f>
        <v>20745</v>
      </c>
      <c r="F238" s="2118">
        <f>VLOOKUP(A238,'2012 - TB'!$A$3:$H$733,6,FALSE)</f>
        <v>0</v>
      </c>
      <c r="G238" s="2118">
        <f t="shared" si="9"/>
        <v>20745</v>
      </c>
      <c r="H238" s="2640">
        <f>SUMIF('Original Budget'!$A$1:$A$691,'Trial Balance - FPer'!A238,'Original Budget'!$C$1:$C$691)</f>
        <v>2121.75</v>
      </c>
      <c r="I238" s="2640">
        <f>VLOOKUP(A238,'2012 - TB'!$A$3:$C$733,3,FALSE)</f>
        <v>25185</v>
      </c>
      <c r="J238" s="2119" t="s">
        <v>6384</v>
      </c>
      <c r="L238" s="2024" t="str">
        <f>VLOOKUP(A238,'2012 Budget'!$A$18:$B$2152,2,FALSE)</f>
        <v>Medical Aid Fun</v>
      </c>
    </row>
    <row r="239" spans="1:12" s="2024" customFormat="1" x14ac:dyDescent="0.2">
      <c r="A239" s="2116" t="s">
        <v>4968</v>
      </c>
      <c r="B239" s="2117" t="s">
        <v>4829</v>
      </c>
      <c r="C239" s="2109">
        <f>VLOOKUP(A239,'2011 - TB'!$A$3:$B$971,2,FALSE)</f>
        <v>138428.4</v>
      </c>
      <c r="D239" s="2118">
        <v>0</v>
      </c>
      <c r="E239" s="2118">
        <f>VLOOKUP(A239,'2012 - TB'!$A$3:$H$733,5,FALSE)</f>
        <v>178702.8</v>
      </c>
      <c r="F239" s="2118">
        <f>VLOOKUP(A239,'2012 - TB'!$A$3:$H$733,6,FALSE)</f>
        <v>0</v>
      </c>
      <c r="G239" s="2118">
        <f t="shared" ref="G239:G302" si="10">E239+F239</f>
        <v>178702.8</v>
      </c>
      <c r="H239" s="2640">
        <f>SUMIF('Original Budget'!$A$1:$A$691,'Trial Balance - FPer'!A239,'Original Budget'!$C$1:$C$691)</f>
        <v>177867.38</v>
      </c>
      <c r="I239" s="2640">
        <f>VLOOKUP(A239,'2012 - TB'!$A$3:$C$733,3,FALSE)</f>
        <v>158970</v>
      </c>
      <c r="J239" s="2119" t="s">
        <v>6384</v>
      </c>
      <c r="L239" s="2024" t="str">
        <f>VLOOKUP(A239,'2012 Budget'!$A$18:$B$2152,2,FALSE)</f>
        <v>Medical Aid Fun</v>
      </c>
    </row>
    <row r="240" spans="1:12" s="2024" customFormat="1" x14ac:dyDescent="0.2">
      <c r="A240" s="2116" t="s">
        <v>4969</v>
      </c>
      <c r="B240" s="2117" t="s">
        <v>4829</v>
      </c>
      <c r="C240" s="2109">
        <f>VLOOKUP(A240,'2011 - TB'!$A$3:$B$971,2,FALSE)</f>
        <v>11968.8</v>
      </c>
      <c r="D240" s="2118">
        <v>0</v>
      </c>
      <c r="E240" s="2118">
        <v>0</v>
      </c>
      <c r="F240" s="2118">
        <v>0</v>
      </c>
      <c r="G240" s="2118">
        <f t="shared" si="10"/>
        <v>0</v>
      </c>
      <c r="H240" s="2640">
        <f>SUMIF('Original Budget'!$A$1:$A$691,'Trial Balance - FPer'!A240,'Original Budget'!$C$1:$C$691)</f>
        <v>32360.639999999999</v>
      </c>
      <c r="I240" s="2640"/>
      <c r="J240" s="2119" t="s">
        <v>6384</v>
      </c>
      <c r="L240" s="2024" t="str">
        <f>VLOOKUP(A240,'2012 Budget'!$A$18:$B$2152,2,FALSE)</f>
        <v>Medical Aid Fun</v>
      </c>
    </row>
    <row r="241" spans="1:12" s="2024" customFormat="1" x14ac:dyDescent="0.2">
      <c r="A241" s="2116" t="s">
        <v>5107</v>
      </c>
      <c r="B241" s="2117" t="s">
        <v>4829</v>
      </c>
      <c r="C241" s="2109">
        <f>VLOOKUP(A241,'2011 - TB'!$A$3:$B$971,2,FALSE)</f>
        <v>42282</v>
      </c>
      <c r="D241" s="2118">
        <v>0</v>
      </c>
      <c r="E241" s="2118">
        <f>VLOOKUP(A241,'2012 - TB'!$A$3:$H$733,5,FALSE)</f>
        <v>31633.200000000001</v>
      </c>
      <c r="F241" s="2118">
        <f>VLOOKUP(A241,'2012 - TB'!$A$3:$H$733,6,FALSE)</f>
        <v>0</v>
      </c>
      <c r="G241" s="2118">
        <f t="shared" si="10"/>
        <v>31633.200000000001</v>
      </c>
      <c r="H241" s="2640">
        <f>SUMIF('Original Budget'!$A$1:$A$691,'Trial Balance - FPer'!A241,'Original Budget'!$C$1:$C$691)</f>
        <v>49971.79</v>
      </c>
      <c r="I241" s="2640">
        <f>VLOOKUP(A241,'2012 - TB'!$A$3:$C$733,3,FALSE)</f>
        <v>23368.2</v>
      </c>
      <c r="J241" s="2119" t="s">
        <v>6384</v>
      </c>
      <c r="L241" s="2024" t="str">
        <f>VLOOKUP(A241,'2012 Budget'!$A$18:$B$2152,2,FALSE)</f>
        <v>Medical Aid Fun</v>
      </c>
    </row>
    <row r="242" spans="1:12" s="2024" customFormat="1" x14ac:dyDescent="0.2">
      <c r="A242" s="2116" t="s">
        <v>5135</v>
      </c>
      <c r="B242" s="2117" t="s">
        <v>4829</v>
      </c>
      <c r="C242" s="2109">
        <f>VLOOKUP(A242,'2011 - TB'!$A$3:$B$971,2,FALSE)</f>
        <v>21576</v>
      </c>
      <c r="D242" s="2118">
        <v>0</v>
      </c>
      <c r="E242" s="2118">
        <f>VLOOKUP(A242,'2012 - TB'!$A$3:$H$733,5,FALSE)</f>
        <v>36080</v>
      </c>
      <c r="F242" s="2118">
        <f>VLOOKUP(A242,'2012 - TB'!$A$3:$H$733,6,FALSE)</f>
        <v>0</v>
      </c>
      <c r="G242" s="2118">
        <f t="shared" si="10"/>
        <v>36080</v>
      </c>
      <c r="H242" s="2640">
        <f>SUMIF('Original Budget'!$A$1:$A$691,'Trial Balance - FPer'!A242,'Original Budget'!$C$1:$C$691)</f>
        <v>12944.26</v>
      </c>
      <c r="I242" s="2640">
        <f>VLOOKUP(A242,'2012 - TB'!$A$3:$C$733,3,FALSE)</f>
        <v>44594</v>
      </c>
      <c r="J242" s="2119" t="s">
        <v>6384</v>
      </c>
      <c r="L242" s="2024" t="str">
        <f>VLOOKUP(A242,'2012 Budget'!$A$18:$B$2152,2,FALSE)</f>
        <v>Medical Aid Fun</v>
      </c>
    </row>
    <row r="243" spans="1:12" s="2024" customFormat="1" x14ac:dyDescent="0.2">
      <c r="A243" s="2116" t="s">
        <v>5158</v>
      </c>
      <c r="B243" s="2117" t="s">
        <v>4829</v>
      </c>
      <c r="C243" s="2109">
        <f>VLOOKUP(A243,'2011 - TB'!$A$3:$B$971,2,FALSE)</f>
        <v>0</v>
      </c>
      <c r="D243" s="2118">
        <v>0</v>
      </c>
      <c r="E243" s="2118">
        <v>0</v>
      </c>
      <c r="F243" s="2118">
        <v>0</v>
      </c>
      <c r="G243" s="2118">
        <f t="shared" si="10"/>
        <v>0</v>
      </c>
      <c r="H243" s="2640">
        <f>SUMIF('Original Budget'!$A$1:$A$691,'Trial Balance - FPer'!A243,'Original Budget'!$C$1:$C$691)</f>
        <v>0</v>
      </c>
      <c r="I243" s="2640"/>
      <c r="J243" s="2119" t="s">
        <v>6384</v>
      </c>
      <c r="L243" s="2024" t="str">
        <f>VLOOKUP(A243,'2012 Budget'!$A$18:$B$2152,2,FALSE)</f>
        <v>Medical Aid Fun</v>
      </c>
    </row>
    <row r="244" spans="1:12" s="2024" customFormat="1" x14ac:dyDescent="0.2">
      <c r="A244" s="2116" t="s">
        <v>5235</v>
      </c>
      <c r="B244" s="2117" t="s">
        <v>4829</v>
      </c>
      <c r="C244" s="2109">
        <f>VLOOKUP(A244,'2011 - TB'!$A$3:$B$971,2,FALSE)</f>
        <v>0</v>
      </c>
      <c r="D244" s="2118">
        <v>0</v>
      </c>
      <c r="E244" s="2118">
        <f>VLOOKUP(A244,'2012 - TB'!$A$3:$H$733,5,FALSE)</f>
        <v>16084.8</v>
      </c>
      <c r="F244" s="2118">
        <f>VLOOKUP(A244,'2012 - TB'!$A$3:$H$733,6,FALSE)</f>
        <v>0</v>
      </c>
      <c r="G244" s="2118">
        <f t="shared" si="10"/>
        <v>16084.8</v>
      </c>
      <c r="H244" s="2640">
        <f>SUMIF('Original Budget'!$A$1:$A$691,'Trial Balance - FPer'!A244,'Original Budget'!$C$1:$C$691)</f>
        <v>2121.75</v>
      </c>
      <c r="I244" s="2640">
        <f>VLOOKUP(A244,'2012 - TB'!$A$3:$C$733,3,FALSE)</f>
        <v>16084.8</v>
      </c>
      <c r="J244" s="2119" t="s">
        <v>6384</v>
      </c>
      <c r="L244" s="2024" t="str">
        <f>VLOOKUP(A244,'2012 Budget'!$A$18:$B$2152,2,FALSE)</f>
        <v>Medical Aid Fun</v>
      </c>
    </row>
    <row r="245" spans="1:12" s="2024" customFormat="1" x14ac:dyDescent="0.2">
      <c r="A245" s="2116" t="s">
        <v>5236</v>
      </c>
      <c r="B245" s="2117" t="s">
        <v>4829</v>
      </c>
      <c r="C245" s="2109">
        <f>VLOOKUP(A245,'2011 - TB'!$A$3:$B$971,2,FALSE)</f>
        <v>0</v>
      </c>
      <c r="D245" s="2118">
        <v>0</v>
      </c>
      <c r="E245" s="2118">
        <v>0</v>
      </c>
      <c r="F245" s="2118">
        <v>0</v>
      </c>
      <c r="G245" s="2118">
        <f t="shared" si="10"/>
        <v>0</v>
      </c>
      <c r="H245" s="2640">
        <f>SUMIF('Original Budget'!$A$1:$A$691,'Trial Balance - FPer'!A245,'Original Budget'!$C$1:$C$691)</f>
        <v>2121.75</v>
      </c>
      <c r="I245" s="2640"/>
      <c r="J245" s="2119" t="s">
        <v>6384</v>
      </c>
      <c r="L245" s="2024" t="str">
        <f>VLOOKUP(A245,'2012 Budget'!$A$18:$B$2152,2,FALSE)</f>
        <v>Medical Aid Fun</v>
      </c>
    </row>
    <row r="246" spans="1:12" s="2024" customFormat="1" x14ac:dyDescent="0.2">
      <c r="A246" s="2116" t="s">
        <v>5237</v>
      </c>
      <c r="B246" s="2117" t="s">
        <v>4829</v>
      </c>
      <c r="C246" s="2109">
        <f>VLOOKUP(A246,'2011 - TB'!$A$3:$B$971,2,FALSE)</f>
        <v>32079.599999999999</v>
      </c>
      <c r="D246" s="2118">
        <v>0</v>
      </c>
      <c r="E246" s="2118">
        <f>VLOOKUP(A246,'2012 - TB'!$A$3:$H$733,5,FALSE)</f>
        <v>20364.599999999999</v>
      </c>
      <c r="F246" s="2118">
        <f>VLOOKUP(A246,'2012 - TB'!$A$3:$H$733,6,FALSE)</f>
        <v>0</v>
      </c>
      <c r="G246" s="2118">
        <f t="shared" si="10"/>
        <v>20364.599999999999</v>
      </c>
      <c r="H246" s="2640">
        <f>SUMIF('Original Budget'!$A$1:$A$691,'Trial Balance - FPer'!A246,'Original Budget'!$C$1:$C$691)</f>
        <v>37646.58</v>
      </c>
      <c r="I246" s="2640">
        <f>VLOOKUP(A246,'2012 - TB'!$A$3:$C$733,3,FALSE)</f>
        <v>20364.599999999999</v>
      </c>
      <c r="J246" s="2119" t="s">
        <v>6384</v>
      </c>
      <c r="L246" s="2024" t="str">
        <f>VLOOKUP(A246,'2012 Budget'!$A$18:$B$2152,2,FALSE)</f>
        <v>Medical Aid Fun</v>
      </c>
    </row>
    <row r="247" spans="1:12" s="2024" customFormat="1" x14ac:dyDescent="0.2">
      <c r="A247" s="2116" t="s">
        <v>5238</v>
      </c>
      <c r="B247" s="2117" t="s">
        <v>4829</v>
      </c>
      <c r="C247" s="2109">
        <f>VLOOKUP(A247,'2011 - TB'!$A$3:$B$971,2,FALSE)</f>
        <v>138535.20000000001</v>
      </c>
      <c r="D247" s="2118">
        <v>0</v>
      </c>
      <c r="E247" s="2118">
        <f>VLOOKUP(A247,'2012 - TB'!$A$3:$H$733,5,FALSE)</f>
        <v>117959.2</v>
      </c>
      <c r="F247" s="2118">
        <f>VLOOKUP(A247,'2012 - TB'!$A$3:$H$733,6,FALSE)</f>
        <v>0</v>
      </c>
      <c r="G247" s="2118">
        <f t="shared" si="10"/>
        <v>117959.2</v>
      </c>
      <c r="H247" s="2640">
        <f>SUMIF('Original Budget'!$A$1:$A$691,'Trial Balance - FPer'!A247,'Original Budget'!$C$1:$C$691)</f>
        <v>169946.04</v>
      </c>
      <c r="I247" s="2640">
        <f>VLOOKUP(A247,'2012 - TB'!$A$3:$C$733,3,FALSE)</f>
        <v>122794.8</v>
      </c>
      <c r="J247" s="2119" t="s">
        <v>6384</v>
      </c>
      <c r="L247" s="2024" t="str">
        <f>VLOOKUP(A247,'2012 Budget'!$A$18:$B$2152,2,FALSE)</f>
        <v>Medical Aid Fun</v>
      </c>
    </row>
    <row r="248" spans="1:12" s="2024" customFormat="1" x14ac:dyDescent="0.2">
      <c r="A248" s="2116" t="s">
        <v>5327</v>
      </c>
      <c r="B248" s="2117" t="s">
        <v>4829</v>
      </c>
      <c r="C248" s="2109">
        <f>VLOOKUP(A248,'2011 - TB'!$A$3:$B$971,2,FALSE)</f>
        <v>30170.400000000001</v>
      </c>
      <c r="D248" s="2118">
        <v>0</v>
      </c>
      <c r="E248" s="2118">
        <f>VLOOKUP(A248,'2012 - TB'!$A$3:$H$733,5,FALSE)</f>
        <v>75307.199999999997</v>
      </c>
      <c r="F248" s="2118">
        <f>VLOOKUP(A248,'2012 - TB'!$A$3:$H$733,6,FALSE)</f>
        <v>0</v>
      </c>
      <c r="G248" s="2118">
        <f t="shared" si="10"/>
        <v>75307.199999999997</v>
      </c>
      <c r="H248" s="2640">
        <f>SUMIF('Original Budget'!$A$1:$A$691,'Trial Balance - FPer'!A248,'Original Budget'!$C$1:$C$691)</f>
        <v>16772.77</v>
      </c>
      <c r="I248" s="2640">
        <f>VLOOKUP(A248,'2012 - TB'!$A$3:$C$733,3,FALSE)</f>
        <v>65469.599999999999</v>
      </c>
      <c r="J248" s="2119" t="s">
        <v>6384</v>
      </c>
      <c r="L248" s="2024" t="str">
        <f>VLOOKUP(A248,'2012 Budget'!$A$18:$B$2152,2,FALSE)</f>
        <v>Medical Aid Fun</v>
      </c>
    </row>
    <row r="249" spans="1:12" s="2024" customFormat="1" x14ac:dyDescent="0.2">
      <c r="A249" s="2116" t="s">
        <v>5366</v>
      </c>
      <c r="B249" s="2117" t="s">
        <v>4829</v>
      </c>
      <c r="C249" s="2109">
        <f>VLOOKUP(A249,'2011 - TB'!$A$3:$B$971,2,FALSE)</f>
        <v>44154</v>
      </c>
      <c r="D249" s="2118">
        <v>0</v>
      </c>
      <c r="E249" s="2118">
        <f>VLOOKUP(A249,'2012 - TB'!$A$3:$H$733,5,FALSE)</f>
        <v>49176</v>
      </c>
      <c r="F249" s="2118">
        <f>VLOOKUP(A249,'2012 - TB'!$A$3:$H$733,6,FALSE)</f>
        <v>0</v>
      </c>
      <c r="G249" s="2118">
        <f t="shared" si="10"/>
        <v>49176</v>
      </c>
      <c r="H249" s="2640">
        <f>SUMIF('Original Budget'!$A$1:$A$691,'Trial Balance - FPer'!A249,'Original Budget'!$C$1:$C$691)</f>
        <v>52481.73</v>
      </c>
      <c r="I249" s="2640">
        <f>VLOOKUP(A249,'2012 - TB'!$A$3:$C$733,3,FALSE)</f>
        <v>49176</v>
      </c>
      <c r="J249" s="2119" t="s">
        <v>6384</v>
      </c>
      <c r="L249" s="2024" t="str">
        <f>VLOOKUP(A249,'2012 Budget'!$A$18:$B$2152,2,FALSE)</f>
        <v>Medical Aid Fun</v>
      </c>
    </row>
    <row r="250" spans="1:12" s="2024" customFormat="1" x14ac:dyDescent="0.2">
      <c r="A250" s="2116" t="s">
        <v>5394</v>
      </c>
      <c r="B250" s="2117" t="s">
        <v>4829</v>
      </c>
      <c r="C250" s="2109">
        <f>VLOOKUP(A250,'2011 - TB'!$A$3:$B$971,2,FALSE)</f>
        <v>9442.7999999999993</v>
      </c>
      <c r="D250" s="2118">
        <v>0</v>
      </c>
      <c r="E250" s="2118">
        <f>VLOOKUP(A250,'2012 - TB'!$A$3:$H$733,5,FALSE)</f>
        <v>9951.07</v>
      </c>
      <c r="F250" s="2118">
        <f>VLOOKUP(A250,'2012 - TB'!$A$3:$H$733,6,FALSE)</f>
        <v>0</v>
      </c>
      <c r="G250" s="2118">
        <f t="shared" si="10"/>
        <v>9951.07</v>
      </c>
      <c r="H250" s="2640">
        <f>SUMIF('Original Budget'!$A$1:$A$691,'Trial Balance - FPer'!A250,'Original Budget'!$C$1:$C$691)</f>
        <v>11510.19</v>
      </c>
      <c r="I250" s="2640">
        <f>VLOOKUP(A250,'2012 - TB'!$A$3:$C$733,3,FALSE)</f>
        <v>11066.47</v>
      </c>
      <c r="J250" s="2119" t="s">
        <v>6384</v>
      </c>
      <c r="L250" s="2024" t="str">
        <f>VLOOKUP(A250,'2012 Budget'!$A$18:$B$2152,2,FALSE)</f>
        <v>Medical Aid Fun</v>
      </c>
    </row>
    <row r="251" spans="1:12" s="2024" customFormat="1" x14ac:dyDescent="0.2">
      <c r="A251" s="2116" t="s">
        <v>5456</v>
      </c>
      <c r="B251" s="2117" t="s">
        <v>4829</v>
      </c>
      <c r="C251" s="2109">
        <f>VLOOKUP(A251,'2011 - TB'!$A$3:$B$971,2,FALSE)</f>
        <v>0</v>
      </c>
      <c r="D251" s="2118">
        <v>0</v>
      </c>
      <c r="E251" s="2118">
        <f>VLOOKUP(A251,'2012 - TB'!$A$3:$H$733,5,FALSE)</f>
        <v>3072</v>
      </c>
      <c r="F251" s="2118">
        <f>VLOOKUP(A251,'2012 - TB'!$A$3:$H$733,6,FALSE)</f>
        <v>0</v>
      </c>
      <c r="G251" s="2118">
        <f t="shared" si="10"/>
        <v>3072</v>
      </c>
      <c r="H251" s="2640">
        <f>SUMIF('Original Budget'!$A$1:$A$691,'Trial Balance - FPer'!A251,'Original Budget'!$C$1:$C$691)</f>
        <v>2121.75</v>
      </c>
      <c r="I251" s="2640">
        <f>VLOOKUP(A251,'2012 - TB'!$A$3:$C$733,3,FALSE)</f>
        <v>3072</v>
      </c>
      <c r="J251" s="2119" t="s">
        <v>6384</v>
      </c>
      <c r="L251" s="2024" t="str">
        <f>VLOOKUP(A251,'2012 Budget'!$A$18:$B$2152,2,FALSE)</f>
        <v>Medical Aid Fun</v>
      </c>
    </row>
    <row r="252" spans="1:12" s="2024" customFormat="1" x14ac:dyDescent="0.2">
      <c r="A252" s="2116" t="s">
        <v>5457</v>
      </c>
      <c r="B252" s="2117" t="s">
        <v>4829</v>
      </c>
      <c r="C252" s="2109">
        <f>VLOOKUP(A252,'2011 - TB'!$A$3:$B$971,2,FALSE)</f>
        <v>54732.7</v>
      </c>
      <c r="D252" s="2118">
        <v>0</v>
      </c>
      <c r="E252" s="2118">
        <f>VLOOKUP(A252,'2012 - TB'!$A$3:$H$733,5,FALSE)</f>
        <v>57228</v>
      </c>
      <c r="F252" s="2118">
        <f>VLOOKUP(A252,'2012 - TB'!$A$3:$H$733,6,FALSE)</f>
        <v>0</v>
      </c>
      <c r="G252" s="2118">
        <f t="shared" si="10"/>
        <v>57228</v>
      </c>
      <c r="H252" s="2640">
        <f>SUMIF('Original Budget'!$A$1:$A$691,'Trial Balance - FPer'!A252,'Original Budget'!$C$1:$C$691)</f>
        <v>70619.03</v>
      </c>
      <c r="I252" s="2640">
        <f>VLOOKUP(A252,'2012 - TB'!$A$3:$C$733,3,FALSE)</f>
        <v>54456</v>
      </c>
      <c r="J252" s="2119" t="s">
        <v>6384</v>
      </c>
      <c r="L252" s="2024" t="str">
        <f>VLOOKUP(A252,'2012 Budget'!$A$18:$B$2152,2,FALSE)</f>
        <v>Medical Aid Fun</v>
      </c>
    </row>
    <row r="253" spans="1:12" s="2024" customFormat="1" x14ac:dyDescent="0.2">
      <c r="A253" s="2116" t="s">
        <v>5458</v>
      </c>
      <c r="B253" s="2117" t="s">
        <v>4829</v>
      </c>
      <c r="C253" s="2109">
        <f>VLOOKUP(A253,'2011 - TB'!$A$3:$B$971,2,FALSE)</f>
        <v>0</v>
      </c>
      <c r="D253" s="2118">
        <v>0</v>
      </c>
      <c r="E253" s="2118">
        <v>0</v>
      </c>
      <c r="F253" s="2118">
        <v>0</v>
      </c>
      <c r="G253" s="2118">
        <f t="shared" si="10"/>
        <v>0</v>
      </c>
      <c r="H253" s="2640">
        <f>SUMIF('Original Budget'!$A$1:$A$691,'Trial Balance - FPer'!A253,'Original Budget'!$C$1:$C$691)</f>
        <v>0</v>
      </c>
      <c r="I253" s="2640"/>
      <c r="J253" s="2119" t="s">
        <v>6384</v>
      </c>
      <c r="L253" s="2024" t="str">
        <f>VLOOKUP(A253,'2012 Budget'!$A$18:$B$2152,2,FALSE)</f>
        <v>Medical Aid Fun</v>
      </c>
    </row>
    <row r="254" spans="1:12" s="2024" customFormat="1" x14ac:dyDescent="0.2">
      <c r="A254" s="2116" t="s">
        <v>5497</v>
      </c>
      <c r="B254" s="2117" t="s">
        <v>4829</v>
      </c>
      <c r="C254" s="2109">
        <f>VLOOKUP(A254,'2011 - TB'!$A$3:$B$971,2,FALSE)</f>
        <v>24547.200000000001</v>
      </c>
      <c r="D254" s="2118">
        <v>0</v>
      </c>
      <c r="E254" s="2118">
        <f>VLOOKUP(A254,'2012 - TB'!$A$3:$H$733,5,FALSE)</f>
        <v>15961.2</v>
      </c>
      <c r="F254" s="2118">
        <f>VLOOKUP(A254,'2012 - TB'!$A$3:$H$733,6,FALSE)</f>
        <v>0</v>
      </c>
      <c r="G254" s="2118">
        <f t="shared" si="10"/>
        <v>15961.2</v>
      </c>
      <c r="H254" s="2640">
        <f>SUMIF('Original Budget'!$A$1:$A$691,'Trial Balance - FPer'!A254,'Original Budget'!$C$1:$C$691)</f>
        <v>34367.040000000001</v>
      </c>
      <c r="I254" s="2640">
        <f>VLOOKUP(A254,'2012 - TB'!$A$3:$C$733,3,FALSE)</f>
        <v>15961.2</v>
      </c>
      <c r="J254" s="2119" t="s">
        <v>6384</v>
      </c>
      <c r="L254" s="2024" t="str">
        <f>VLOOKUP(A254,'2012 Budget'!$A$18:$B$2152,2,FALSE)</f>
        <v>Medical Aid Fun</v>
      </c>
    </row>
    <row r="255" spans="1:12" s="2024" customFormat="1" x14ac:dyDescent="0.2">
      <c r="A255" s="2116" t="s">
        <v>5527</v>
      </c>
      <c r="B255" s="2117" t="s">
        <v>4829</v>
      </c>
      <c r="C255" s="2109">
        <f>VLOOKUP(A255,'2011 - TB'!$A$3:$B$971,2,FALSE)</f>
        <v>63013.9</v>
      </c>
      <c r="D255" s="2118">
        <v>0</v>
      </c>
      <c r="E255" s="2118">
        <f>VLOOKUP(A255,'2012 - TB'!$A$3:$H$733,5,FALSE)</f>
        <v>81519.3</v>
      </c>
      <c r="F255" s="2118">
        <f>VLOOKUP(A255,'2012 - TB'!$A$3:$H$733,6,FALSE)</f>
        <v>0</v>
      </c>
      <c r="G255" s="2118">
        <f t="shared" si="10"/>
        <v>81519.3</v>
      </c>
      <c r="H255" s="2640">
        <f>SUMIF('Original Budget'!$A$1:$A$691,'Trial Balance - FPer'!A255,'Original Budget'!$C$1:$C$691)</f>
        <v>69856.570000000007</v>
      </c>
      <c r="I255" s="2640">
        <f>VLOOKUP(A255,'2012 - TB'!$A$3:$C$733,3,FALSE)</f>
        <v>81681.3</v>
      </c>
      <c r="J255" s="2119" t="s">
        <v>6384</v>
      </c>
      <c r="L255" s="2024" t="str">
        <f>VLOOKUP(A255,'2012 Budget'!$A$18:$B$2152,2,FALSE)</f>
        <v>Medical Aid Fun</v>
      </c>
    </row>
    <row r="256" spans="1:12" s="2024" customFormat="1" x14ac:dyDescent="0.2">
      <c r="A256" s="2116" t="s">
        <v>5556</v>
      </c>
      <c r="B256" s="2117" t="s">
        <v>4829</v>
      </c>
      <c r="C256" s="2109">
        <f>VLOOKUP(A256,'2011 - TB'!$A$3:$B$971,2,FALSE)</f>
        <v>0</v>
      </c>
      <c r="D256" s="2118">
        <v>0</v>
      </c>
      <c r="E256" s="2118">
        <v>0</v>
      </c>
      <c r="F256" s="2118">
        <v>0</v>
      </c>
      <c r="G256" s="2118">
        <f t="shared" si="10"/>
        <v>0</v>
      </c>
      <c r="H256" s="2640">
        <f>SUMIF('Original Budget'!$A$1:$A$691,'Trial Balance - FPer'!A256,'Original Budget'!$C$1:$C$691)</f>
        <v>0</v>
      </c>
      <c r="I256" s="2640"/>
      <c r="J256" s="2119" t="s">
        <v>6384</v>
      </c>
      <c r="L256" s="2024" t="str">
        <f>VLOOKUP(A256,'2012 Budget'!$A$18:$B$2152,2,FALSE)</f>
        <v>Medical Aid Fun</v>
      </c>
    </row>
    <row r="257" spans="1:12" s="2024" customFormat="1" x14ac:dyDescent="0.2">
      <c r="A257" s="2116" t="s">
        <v>5572</v>
      </c>
      <c r="B257" s="2117" t="s">
        <v>4829</v>
      </c>
      <c r="C257" s="2109">
        <f>VLOOKUP(A257,'2011 - TB'!$A$3:$B$971,2,FALSE)</f>
        <v>0</v>
      </c>
      <c r="D257" s="2118">
        <v>0</v>
      </c>
      <c r="E257" s="2118">
        <v>0</v>
      </c>
      <c r="F257" s="2118">
        <v>0</v>
      </c>
      <c r="G257" s="2118">
        <f t="shared" si="10"/>
        <v>0</v>
      </c>
      <c r="H257" s="2640">
        <f>SUMIF('Original Budget'!$A$1:$A$691,'Trial Balance - FPer'!A257,'Original Budget'!$C$1:$C$691)</f>
        <v>0</v>
      </c>
      <c r="I257" s="2640"/>
      <c r="J257" s="2119" t="s">
        <v>6384</v>
      </c>
      <c r="L257" s="2024" t="str">
        <f>VLOOKUP(A257,'2012 Budget'!$A$18:$B$2152,2,FALSE)</f>
        <v>Medical Aid Fun</v>
      </c>
    </row>
    <row r="258" spans="1:12" s="2024" customFormat="1" x14ac:dyDescent="0.2">
      <c r="A258" s="2116" t="s">
        <v>5605</v>
      </c>
      <c r="B258" s="2117" t="s">
        <v>4829</v>
      </c>
      <c r="C258" s="2109">
        <f>VLOOKUP(A258,'2011 - TB'!$A$3:$B$971,2,FALSE)</f>
        <v>50259.199999999997</v>
      </c>
      <c r="D258" s="2118">
        <v>0</v>
      </c>
      <c r="E258" s="2118">
        <f>VLOOKUP(A258,'2012 - TB'!$A$3:$H$733,5,FALSE)</f>
        <v>52092</v>
      </c>
      <c r="F258" s="2118">
        <f>VLOOKUP(A258,'2012 - TB'!$A$3:$H$733,6,FALSE)</f>
        <v>0</v>
      </c>
      <c r="G258" s="2118">
        <f t="shared" si="10"/>
        <v>52092</v>
      </c>
      <c r="H258" s="2640">
        <f>SUMIF('Original Budget'!$A$1:$A$691,'Trial Balance - FPer'!A258,'Original Budget'!$C$1:$C$691)</f>
        <v>70191.08</v>
      </c>
      <c r="I258" s="2640">
        <f>VLOOKUP(A258,'2012 - TB'!$A$3:$C$733,3,FALSE)</f>
        <v>51606</v>
      </c>
      <c r="J258" s="2119" t="s">
        <v>6384</v>
      </c>
      <c r="L258" s="2024" t="str">
        <f>VLOOKUP(A258,'2012 Budget'!$A$18:$B$2152,2,FALSE)</f>
        <v>Medical Aid Fun</v>
      </c>
    </row>
    <row r="259" spans="1:12" s="2024" customFormat="1" x14ac:dyDescent="0.2">
      <c r="A259" s="2116" t="s">
        <v>5606</v>
      </c>
      <c r="B259" s="2117" t="s">
        <v>4829</v>
      </c>
      <c r="C259" s="2109">
        <f>VLOOKUP(A259,'2011 - TB'!$A$3:$B$971,2,FALSE)</f>
        <v>9770.4</v>
      </c>
      <c r="D259" s="2118">
        <v>0</v>
      </c>
      <c r="E259" s="2118">
        <f>VLOOKUP(A259,'2012 - TB'!$A$3:$H$733,5,FALSE)</f>
        <v>7930.8</v>
      </c>
      <c r="F259" s="2118">
        <f>VLOOKUP(A259,'2012 - TB'!$A$3:$H$733,6,FALSE)</f>
        <v>0</v>
      </c>
      <c r="G259" s="2118">
        <f t="shared" si="10"/>
        <v>7930.8</v>
      </c>
      <c r="H259" s="2640">
        <f>SUMIF('Original Budget'!$A$1:$A$691,'Trial Balance - FPer'!A259,'Original Budget'!$C$1:$C$691)</f>
        <v>12519.88</v>
      </c>
      <c r="I259" s="2640">
        <f>VLOOKUP(A259,'2012 - TB'!$A$3:$C$733,3,FALSE)</f>
        <v>7930.8</v>
      </c>
      <c r="J259" s="2119" t="s">
        <v>6384</v>
      </c>
      <c r="L259" s="2024" t="str">
        <f>VLOOKUP(A259,'2012 Budget'!$A$18:$B$2152,2,FALSE)</f>
        <v>Medical Aid Fun</v>
      </c>
    </row>
    <row r="260" spans="1:12" s="2024" customFormat="1" x14ac:dyDescent="0.2">
      <c r="A260" s="2116" t="s">
        <v>5650</v>
      </c>
      <c r="B260" s="2117" t="s">
        <v>4829</v>
      </c>
      <c r="C260" s="2109">
        <f>VLOOKUP(A260,'2011 - TB'!$A$3:$B$971,2,FALSE)</f>
        <v>0</v>
      </c>
      <c r="D260" s="2118">
        <v>0</v>
      </c>
      <c r="E260" s="2118">
        <v>0</v>
      </c>
      <c r="F260" s="2118">
        <v>0</v>
      </c>
      <c r="G260" s="2118">
        <f t="shared" si="10"/>
        <v>0</v>
      </c>
      <c r="H260" s="2640">
        <f>SUMIF('Original Budget'!$A$1:$A$691,'Trial Balance - FPer'!A260,'Original Budget'!$C$1:$C$691)</f>
        <v>0</v>
      </c>
      <c r="I260" s="2640"/>
      <c r="J260" s="2119" t="s">
        <v>6384</v>
      </c>
      <c r="L260" s="2024" t="str">
        <f>VLOOKUP(A260,'2012 Budget'!$A$18:$B$2152,2,FALSE)</f>
        <v>Medical Aid Fun</v>
      </c>
    </row>
    <row r="261" spans="1:12" s="2024" customFormat="1" x14ac:dyDescent="0.2">
      <c r="A261" s="2116" t="s">
        <v>5673</v>
      </c>
      <c r="B261" s="2117" t="s">
        <v>4829</v>
      </c>
      <c r="C261" s="2109">
        <f>VLOOKUP(A261,'2011 - TB'!$A$3:$B$971,2,FALSE)</f>
        <v>182283</v>
      </c>
      <c r="D261" s="2118">
        <v>0</v>
      </c>
      <c r="E261" s="2118">
        <f>VLOOKUP(A261,'2012 - TB'!$A$3:$H$733,5,FALSE)</f>
        <v>220489.92</v>
      </c>
      <c r="F261" s="2118">
        <f>VLOOKUP(A261,'2012 - TB'!$A$3:$H$733,6,FALSE)</f>
        <v>0</v>
      </c>
      <c r="G261" s="2118">
        <f t="shared" si="10"/>
        <v>220489.92</v>
      </c>
      <c r="H261" s="2640">
        <f>SUMIF('Original Budget'!$A$1:$A$691,'Trial Balance - FPer'!A261,'Original Budget'!$C$1:$C$691)</f>
        <v>199003.35</v>
      </c>
      <c r="I261" s="2640">
        <f>VLOOKUP(A261,'2012 - TB'!$A$3:$C$733,3,FALSE)</f>
        <v>211330.2</v>
      </c>
      <c r="J261" s="2119" t="s">
        <v>6384</v>
      </c>
      <c r="L261" s="2024" t="str">
        <f>VLOOKUP(A261,'2012 Budget'!$A$18:$B$2152,2,FALSE)</f>
        <v>Medical Aid Fun</v>
      </c>
    </row>
    <row r="262" spans="1:12" s="2024" customFormat="1" x14ac:dyDescent="0.2">
      <c r="A262" s="2116" t="s">
        <v>5737</v>
      </c>
      <c r="B262" s="2117" t="s">
        <v>4829</v>
      </c>
      <c r="C262" s="2109">
        <f>VLOOKUP(A262,'2011 - TB'!$A$3:$B$971,2,FALSE)</f>
        <v>85645.8</v>
      </c>
      <c r="D262" s="2118">
        <v>0</v>
      </c>
      <c r="E262" s="2118">
        <f>VLOOKUP(A262,'2012 - TB'!$A$3:$H$733,5,FALSE)</f>
        <v>78663.600000000006</v>
      </c>
      <c r="F262" s="2118">
        <f>VLOOKUP(A262,'2012 - TB'!$A$3:$H$733,6,FALSE)</f>
        <v>0</v>
      </c>
      <c r="G262" s="2118">
        <f t="shared" si="10"/>
        <v>78663.600000000006</v>
      </c>
      <c r="H262" s="2640">
        <f>SUMIF('Original Budget'!$A$1:$A$691,'Trial Balance - FPer'!A262,'Original Budget'!$C$1:$C$691)</f>
        <v>114650.25</v>
      </c>
      <c r="I262" s="2640">
        <f>VLOOKUP(A262,'2012 - TB'!$A$3:$C$733,3,FALSE)</f>
        <v>81997.2</v>
      </c>
      <c r="J262" s="2119" t="s">
        <v>6384</v>
      </c>
      <c r="L262" s="2024" t="str">
        <f>VLOOKUP(A262,'2012 Budget'!$A$18:$B$2152,2,FALSE)</f>
        <v>Medical Aid Fun</v>
      </c>
    </row>
    <row r="263" spans="1:12" s="2024" customFormat="1" x14ac:dyDescent="0.2">
      <c r="A263" s="2116" t="s">
        <v>5782</v>
      </c>
      <c r="B263" s="2117" t="s">
        <v>4829</v>
      </c>
      <c r="C263" s="2109">
        <f>VLOOKUP(A263,'2011 - TB'!$A$3:$B$971,2,FALSE)</f>
        <v>106253.8</v>
      </c>
      <c r="D263" s="2118">
        <v>0</v>
      </c>
      <c r="E263" s="2118">
        <f>VLOOKUP(A263,'2012 - TB'!$A$3:$H$733,5,FALSE)</f>
        <v>120798.6</v>
      </c>
      <c r="F263" s="2118">
        <f>VLOOKUP(A263,'2012 - TB'!$A$3:$H$733,6,FALSE)</f>
        <v>0</v>
      </c>
      <c r="G263" s="2118">
        <f t="shared" si="10"/>
        <v>120798.6</v>
      </c>
      <c r="H263" s="2640">
        <f>SUMIF('Original Budget'!$A$1:$A$691,'Trial Balance - FPer'!A263,'Original Budget'!$C$1:$C$691)</f>
        <v>134724.19</v>
      </c>
      <c r="I263" s="2640">
        <f>VLOOKUP(A263,'2012 - TB'!$A$3:$C$733,3,FALSE)</f>
        <v>108914.4</v>
      </c>
      <c r="J263" s="2119" t="s">
        <v>6384</v>
      </c>
      <c r="L263" s="2024" t="str">
        <f>VLOOKUP(A263,'2012 Budget'!$A$18:$B$2152,2,FALSE)</f>
        <v>Medical Aid Fun</v>
      </c>
    </row>
    <row r="264" spans="1:12" s="2024" customFormat="1" x14ac:dyDescent="0.2">
      <c r="A264" s="2116" t="s">
        <v>5838</v>
      </c>
      <c r="B264" s="2117" t="s">
        <v>4829</v>
      </c>
      <c r="C264" s="2109">
        <f>VLOOKUP(A264,'2011 - TB'!$A$3:$B$971,2,FALSE)</f>
        <v>109434</v>
      </c>
      <c r="D264" s="2118">
        <v>0</v>
      </c>
      <c r="E264" s="2118">
        <f>VLOOKUP(A264,'2012 - TB'!$A$3:$H$733,5,FALSE)</f>
        <v>131662.6</v>
      </c>
      <c r="F264" s="2118">
        <f>VLOOKUP(A264,'2012 - TB'!$A$3:$H$733,6,FALSE)</f>
        <v>0</v>
      </c>
      <c r="G264" s="2118">
        <f t="shared" si="10"/>
        <v>131662.6</v>
      </c>
      <c r="H264" s="2640">
        <f>SUMIF('Original Budget'!$A$1:$A$691,'Trial Balance - FPer'!A264,'Original Budget'!$C$1:$C$691)</f>
        <v>132985.57</v>
      </c>
      <c r="I264" s="2640">
        <f>VLOOKUP(A264,'2012 - TB'!$A$3:$C$733,3,FALSE)</f>
        <v>122311.8</v>
      </c>
      <c r="J264" s="2119" t="s">
        <v>6384</v>
      </c>
      <c r="L264" s="2024" t="str">
        <f>VLOOKUP(A264,'2012 Budget'!$A$18:$B$2152,2,FALSE)</f>
        <v>Medical Aid Fun</v>
      </c>
    </row>
    <row r="265" spans="1:12" s="2024" customFormat="1" ht="13.5" thickBot="1" x14ac:dyDescent="0.25">
      <c r="A265" s="2116" t="s">
        <v>5899</v>
      </c>
      <c r="B265" s="2117" t="s">
        <v>4829</v>
      </c>
      <c r="C265" s="2109">
        <f>VLOOKUP(A265,'2011 - TB'!$A$3:$B$971,2,FALSE)</f>
        <v>29593.200000000001</v>
      </c>
      <c r="D265" s="2118">
        <v>0</v>
      </c>
      <c r="E265" s="2118">
        <f>VLOOKUP(A265,'2012 - TB'!$A$3:$H$733,5,FALSE)</f>
        <v>36381.599999999999</v>
      </c>
      <c r="F265" s="2118">
        <f>VLOOKUP(A265,'2012 - TB'!$A$3:$H$733,6,FALSE)</f>
        <v>0</v>
      </c>
      <c r="G265" s="2118">
        <f t="shared" si="10"/>
        <v>36381.599999999999</v>
      </c>
      <c r="H265" s="2640">
        <f>SUMIF('Original Budget'!$A$1:$A$691,'Trial Balance - FPer'!A265,'Original Budget'!$C$1:$C$691)</f>
        <v>32268.5</v>
      </c>
      <c r="I265" s="2640">
        <f>VLOOKUP(A265,'2012 - TB'!$A$3:$C$733,3,FALSE)</f>
        <v>36381.599999999999</v>
      </c>
      <c r="J265" s="2119" t="s">
        <v>6384</v>
      </c>
      <c r="L265" s="2024" t="str">
        <f>VLOOKUP(A265,'2012 Budget'!$A$18:$B$2152,2,FALSE)</f>
        <v>Medical Aid Fun</v>
      </c>
    </row>
    <row r="266" spans="1:12" s="2024" customFormat="1" x14ac:dyDescent="0.2">
      <c r="A266" s="2111" t="s">
        <v>4817</v>
      </c>
      <c r="B266" s="2112" t="s">
        <v>4818</v>
      </c>
      <c r="C266" s="2113">
        <f>VLOOKUP(A266,'2011 - TB'!$A$3:$B$971,2,FALSE)</f>
        <v>798.6</v>
      </c>
      <c r="D266" s="2114">
        <v>0</v>
      </c>
      <c r="E266" s="2114">
        <f>VLOOKUP(A266,'2012 - TB'!$A$3:$H$733,5,FALSE)</f>
        <v>19586.66</v>
      </c>
      <c r="F266" s="2114">
        <f>VLOOKUP(A266,'2012 - TB'!$A$3:$H$733,6,FALSE)</f>
        <v>-1246.5899999999999</v>
      </c>
      <c r="G266" s="2114">
        <f t="shared" si="10"/>
        <v>18340.07</v>
      </c>
      <c r="H266" s="2640">
        <f>SUMIF('Original Budget'!$A$1:$A$691,'Trial Balance - FPer'!A266,'Original Budget'!$C$1:$C$691)</f>
        <v>0</v>
      </c>
      <c r="I266" s="2640">
        <f>VLOOKUP(A266,'2012 - TB'!$A$3:$C$733,3,FALSE)</f>
        <v>0</v>
      </c>
      <c r="J266" s="2115" t="s">
        <v>6390</v>
      </c>
      <c r="L266" s="2024" t="str">
        <f>VLOOKUP(A266,'2012 Budget'!$A$18:$B$2152,2,FALSE)</f>
        <v>Overtime;</v>
      </c>
    </row>
    <row r="267" spans="1:12" s="2024" customFormat="1" x14ac:dyDescent="0.2">
      <c r="A267" s="2116" t="s">
        <v>4948</v>
      </c>
      <c r="B267" s="2117" t="s">
        <v>4818</v>
      </c>
      <c r="C267" s="2109">
        <f>VLOOKUP(A267,'2011 - TB'!$A$3:$B$971,2,FALSE)</f>
        <v>21076.81</v>
      </c>
      <c r="D267" s="2118">
        <v>0</v>
      </c>
      <c r="E267" s="2118">
        <f>VLOOKUP(A267,'2012 - TB'!$A$3:$H$733,5,FALSE)</f>
        <v>15089.25</v>
      </c>
      <c r="F267" s="2118">
        <f>VLOOKUP(A267,'2012 - TB'!$A$3:$H$733,6,FALSE)</f>
        <v>0</v>
      </c>
      <c r="G267" s="2118">
        <f t="shared" si="10"/>
        <v>15089.25</v>
      </c>
      <c r="H267" s="2640">
        <f>SUMIF('Original Budget'!$A$1:$A$691,'Trial Balance - FPer'!A267,'Original Budget'!$C$1:$C$691)</f>
        <v>23463.99</v>
      </c>
      <c r="I267" s="2640">
        <f>VLOOKUP(A267,'2012 - TB'!$A$3:$C$733,3,FALSE)</f>
        <v>17547.2</v>
      </c>
      <c r="J267" s="2119" t="s">
        <v>6390</v>
      </c>
      <c r="L267" s="2024" t="str">
        <f>VLOOKUP(A267,'2012 Budget'!$A$18:$B$2152,2,FALSE)</f>
        <v>Overtime;</v>
      </c>
    </row>
    <row r="268" spans="1:12" s="2024" customFormat="1" x14ac:dyDescent="0.2">
      <c r="A268" s="2116" t="s">
        <v>4949</v>
      </c>
      <c r="B268" s="2117" t="s">
        <v>4818</v>
      </c>
      <c r="C268" s="2109">
        <f>VLOOKUP(A268,'2011 - TB'!$A$3:$B$971,2,FALSE)</f>
        <v>4011.28</v>
      </c>
      <c r="D268" s="2118">
        <v>0</v>
      </c>
      <c r="E268" s="2118">
        <v>0</v>
      </c>
      <c r="F268" s="2118">
        <v>0</v>
      </c>
      <c r="G268" s="2118">
        <f t="shared" si="10"/>
        <v>0</v>
      </c>
      <c r="H268" s="2640">
        <f>SUMIF('Original Budget'!$A$1:$A$691,'Trial Balance - FPer'!A268,'Original Budget'!$C$1:$C$691)</f>
        <v>7863.61</v>
      </c>
      <c r="I268" s="2640"/>
      <c r="J268" s="2119" t="s">
        <v>6390</v>
      </c>
      <c r="L268" s="2024" t="str">
        <f>VLOOKUP(A268,'2012 Budget'!$A$18:$B$2152,2,FALSE)</f>
        <v>Overtime;</v>
      </c>
    </row>
    <row r="269" spans="1:12" s="2024" customFormat="1" x14ac:dyDescent="0.2">
      <c r="A269" s="2116" t="s">
        <v>5129</v>
      </c>
      <c r="B269" s="2117" t="s">
        <v>4818</v>
      </c>
      <c r="C269" s="2109">
        <f>VLOOKUP(A269,'2011 - TB'!$A$3:$B$971,2,FALSE)</f>
        <v>5428.87</v>
      </c>
      <c r="D269" s="2118">
        <v>0</v>
      </c>
      <c r="E269" s="2118">
        <f>VLOOKUP(A269,'2012 - TB'!$A$3:$H$733,5,FALSE)</f>
        <v>16112.83</v>
      </c>
      <c r="F269" s="2118">
        <f>VLOOKUP(A269,'2012 - TB'!$A$3:$H$733,6,FALSE)</f>
        <v>0</v>
      </c>
      <c r="G269" s="2118">
        <f t="shared" si="10"/>
        <v>16112.83</v>
      </c>
      <c r="H269" s="2640">
        <f>SUMIF('Original Budget'!$A$1:$A$691,'Trial Balance - FPer'!A269,'Original Budget'!$C$1:$C$691)</f>
        <v>4307.59</v>
      </c>
      <c r="I269" s="2640">
        <f>VLOOKUP(A269,'2012 - TB'!$A$3:$C$733,3,FALSE)</f>
        <v>10218.89</v>
      </c>
      <c r="J269" s="2119" t="s">
        <v>6390</v>
      </c>
      <c r="L269" s="2024" t="str">
        <f>VLOOKUP(A269,'2012 Budget'!$A$18:$B$2152,2,FALSE)</f>
        <v>Overtime;</v>
      </c>
    </row>
    <row r="270" spans="1:12" s="2024" customFormat="1" x14ac:dyDescent="0.2">
      <c r="A270" s="2116" t="s">
        <v>5215</v>
      </c>
      <c r="B270" s="2117" t="s">
        <v>4818</v>
      </c>
      <c r="C270" s="2109">
        <f>VLOOKUP(A270,'2011 - TB'!$A$3:$B$971,2,FALSE)</f>
        <v>466.67</v>
      </c>
      <c r="D270" s="2118">
        <v>0</v>
      </c>
      <c r="E270" s="2118">
        <v>0</v>
      </c>
      <c r="F270" s="2118">
        <v>0</v>
      </c>
      <c r="G270" s="2118">
        <f t="shared" si="10"/>
        <v>0</v>
      </c>
      <c r="H270" s="2640">
        <f>SUMIF('Original Budget'!$A$1:$A$691,'Trial Balance - FPer'!A270,'Original Budget'!$C$1:$C$691)</f>
        <v>0</v>
      </c>
      <c r="I270" s="2640"/>
      <c r="J270" s="2119" t="s">
        <v>6390</v>
      </c>
      <c r="L270" s="2024" t="str">
        <f>VLOOKUP(A270,'2012 Budget'!$A$18:$B$2152,2,FALSE)</f>
        <v>Overtime;</v>
      </c>
    </row>
    <row r="271" spans="1:12" s="2024" customFormat="1" x14ac:dyDescent="0.2">
      <c r="A271" s="2116" t="s">
        <v>5321</v>
      </c>
      <c r="B271" s="2117" t="s">
        <v>4818</v>
      </c>
      <c r="C271" s="2109">
        <f>VLOOKUP(A271,'2011 - TB'!$A$3:$B$971,2,FALSE)</f>
        <v>0</v>
      </c>
      <c r="D271" s="2118">
        <v>0</v>
      </c>
      <c r="E271" s="2118">
        <f>VLOOKUP(A271,'2012 - TB'!$A$3:$H$733,5,FALSE)</f>
        <v>373.04</v>
      </c>
      <c r="F271" s="2118">
        <f>VLOOKUP(A271,'2012 - TB'!$A$3:$H$733,6,FALSE)</f>
        <v>0</v>
      </c>
      <c r="G271" s="2118">
        <f t="shared" si="10"/>
        <v>373.04</v>
      </c>
      <c r="H271" s="2640">
        <f>SUMIF('Original Budget'!$A$1:$A$691,'Trial Balance - FPer'!A271,'Original Budget'!$C$1:$C$691)</f>
        <v>0</v>
      </c>
      <c r="I271" s="2640">
        <f>VLOOKUP(A271,'2012 - TB'!$A$3:$C$733,3,FALSE)</f>
        <v>0</v>
      </c>
      <c r="J271" s="2119" t="s">
        <v>6390</v>
      </c>
      <c r="L271" s="2024" t="str">
        <f>VLOOKUP(A271,'2012 Budget'!$A$18:$B$2152,2,FALSE)</f>
        <v>Overtime;</v>
      </c>
    </row>
    <row r="272" spans="1:12" s="2024" customFormat="1" x14ac:dyDescent="0.2">
      <c r="A272" s="2116" t="s">
        <v>5389</v>
      </c>
      <c r="B272" s="2117" t="s">
        <v>4818</v>
      </c>
      <c r="C272" s="2109">
        <f>VLOOKUP(A272,'2011 - TB'!$A$3:$B$971,2,FALSE)</f>
        <v>0</v>
      </c>
      <c r="D272" s="2118">
        <v>0</v>
      </c>
      <c r="E272" s="2118">
        <v>0</v>
      </c>
      <c r="F272" s="2118">
        <v>0</v>
      </c>
      <c r="G272" s="2118">
        <f t="shared" si="10"/>
        <v>0</v>
      </c>
      <c r="H272" s="2640">
        <f>SUMIF('Original Budget'!$A$1:$A$691,'Trial Balance - FPer'!A272,'Original Budget'!$C$1:$C$691)</f>
        <v>0</v>
      </c>
      <c r="I272" s="2640"/>
      <c r="J272" s="2119" t="s">
        <v>6390</v>
      </c>
      <c r="L272" s="2024" t="str">
        <f>VLOOKUP(A272,'2012 Budget'!$A$18:$B$2152,2,FALSE)</f>
        <v>Overtime;</v>
      </c>
    </row>
    <row r="273" spans="1:12" s="2024" customFormat="1" x14ac:dyDescent="0.2">
      <c r="A273" s="2116" t="s">
        <v>5443</v>
      </c>
      <c r="B273" s="2117" t="s">
        <v>4818</v>
      </c>
      <c r="C273" s="2109">
        <f>VLOOKUP(A273,'2011 - TB'!$A$3:$B$971,2,FALSE)</f>
        <v>0</v>
      </c>
      <c r="D273" s="2118">
        <v>0</v>
      </c>
      <c r="E273" s="2118">
        <f>VLOOKUP(A273,'2012 - TB'!$A$3:$H$733,5,FALSE)</f>
        <v>1418.29</v>
      </c>
      <c r="F273" s="2118">
        <f>VLOOKUP(A273,'2012 - TB'!$A$3:$H$733,6,FALSE)</f>
        <v>0</v>
      </c>
      <c r="G273" s="2118">
        <f t="shared" si="10"/>
        <v>1418.29</v>
      </c>
      <c r="H273" s="2640">
        <f>SUMIF('Original Budget'!$A$1:$A$691,'Trial Balance - FPer'!A273,'Original Budget'!$C$1:$C$691)</f>
        <v>0</v>
      </c>
      <c r="I273" s="2640">
        <f>VLOOKUP(A273,'2012 - TB'!$A$3:$C$733,3,FALSE)</f>
        <v>3000</v>
      </c>
      <c r="J273" s="2119" t="s">
        <v>6390</v>
      </c>
      <c r="L273" s="2024" t="str">
        <f>VLOOKUP(A273,'2012 Budget'!$A$18:$B$2152,2,FALSE)</f>
        <v>Overtime;</v>
      </c>
    </row>
    <row r="274" spans="1:12" s="2024" customFormat="1" x14ac:dyDescent="0.2">
      <c r="A274" s="2116" t="s">
        <v>5521</v>
      </c>
      <c r="B274" s="2117" t="s">
        <v>4818</v>
      </c>
      <c r="C274" s="2109">
        <f>VLOOKUP(A274,'2011 - TB'!$A$3:$B$971,2,FALSE)</f>
        <v>51852.54</v>
      </c>
      <c r="D274" s="2118">
        <v>0</v>
      </c>
      <c r="E274" s="2118">
        <f>VLOOKUP(A274,'2012 - TB'!$A$3:$H$733,5,FALSE)</f>
        <v>55247.48</v>
      </c>
      <c r="F274" s="2118">
        <f>VLOOKUP(A274,'2012 - TB'!$A$3:$H$733,6,FALSE)</f>
        <v>0</v>
      </c>
      <c r="G274" s="2118">
        <f t="shared" si="10"/>
        <v>55247.48</v>
      </c>
      <c r="H274" s="2640">
        <f>SUMIF('Original Budget'!$A$1:$A$691,'Trial Balance - FPer'!A274,'Original Budget'!$C$1:$C$691)</f>
        <v>60136.61</v>
      </c>
      <c r="I274" s="2640">
        <f>VLOOKUP(A274,'2012 - TB'!$A$3:$C$733,3,FALSE)</f>
        <v>79807.95</v>
      </c>
      <c r="J274" s="2119" t="s">
        <v>6390</v>
      </c>
      <c r="L274" s="2024" t="str">
        <f>VLOOKUP(A274,'2012 Budget'!$A$18:$B$2152,2,FALSE)</f>
        <v>Overtime;</v>
      </c>
    </row>
    <row r="275" spans="1:12" s="2024" customFormat="1" x14ac:dyDescent="0.2">
      <c r="A275" s="2116" t="s">
        <v>5567</v>
      </c>
      <c r="B275" s="2117" t="s">
        <v>4818</v>
      </c>
      <c r="C275" s="2109">
        <f>VLOOKUP(A275,'2011 - TB'!$A$3:$B$971,2,FALSE)</f>
        <v>190</v>
      </c>
      <c r="D275" s="2118">
        <v>0</v>
      </c>
      <c r="E275" s="2118">
        <f>VLOOKUP(A275,'2012 - TB'!$A$3:$H$733,5,FALSE)</f>
        <v>1525.69</v>
      </c>
      <c r="F275" s="2118">
        <f>VLOOKUP(A275,'2012 - TB'!$A$3:$H$733,6,FALSE)</f>
        <v>0</v>
      </c>
      <c r="G275" s="2118">
        <f t="shared" si="10"/>
        <v>1525.69</v>
      </c>
      <c r="H275" s="2640">
        <f>SUMIF('Original Budget'!$A$1:$A$691,'Trial Balance - FPer'!A275,'Original Budget'!$C$1:$C$691)</f>
        <v>205.18</v>
      </c>
      <c r="I275" s="2640">
        <f>VLOOKUP(A275,'2012 - TB'!$A$3:$C$733,3,FALSE)</f>
        <v>500</v>
      </c>
      <c r="J275" s="2119" t="s">
        <v>6390</v>
      </c>
      <c r="L275" s="2024" t="str">
        <f>VLOOKUP(A275,'2012 Budget'!$A$18:$B$2152,2,FALSE)</f>
        <v>Overtime;</v>
      </c>
    </row>
    <row r="276" spans="1:12" s="2024" customFormat="1" x14ac:dyDescent="0.2">
      <c r="A276" s="2116" t="s">
        <v>5594</v>
      </c>
      <c r="B276" s="2117" t="s">
        <v>4818</v>
      </c>
      <c r="C276" s="2109">
        <f>VLOOKUP(A276,'2011 - TB'!$A$3:$B$971,2,FALSE)</f>
        <v>77456.039999999994</v>
      </c>
      <c r="D276" s="2118">
        <v>0</v>
      </c>
      <c r="E276" s="2118">
        <f>VLOOKUP(A276,'2012 - TB'!$A$3:$H$733,5,FALSE)</f>
        <v>69656.789999999994</v>
      </c>
      <c r="F276" s="2118">
        <f>VLOOKUP(A276,'2012 - TB'!$A$3:$H$733,6,FALSE)</f>
        <v>0</v>
      </c>
      <c r="G276" s="2118">
        <f t="shared" si="10"/>
        <v>69656.789999999994</v>
      </c>
      <c r="H276" s="2640">
        <f>SUMIF('Original Budget'!$A$1:$A$691,'Trial Balance - FPer'!A276,'Original Budget'!$C$1:$C$691)</f>
        <v>100080.04</v>
      </c>
      <c r="I276" s="2640">
        <f>VLOOKUP(A276,'2012 - TB'!$A$3:$C$733,3,FALSE)</f>
        <v>100080.04</v>
      </c>
      <c r="J276" s="2119" t="s">
        <v>6390</v>
      </c>
      <c r="L276" s="2024" t="str">
        <f>VLOOKUP(A276,'2012 Budget'!$A$18:$B$2152,2,FALSE)</f>
        <v>Overtime;</v>
      </c>
    </row>
    <row r="277" spans="1:12" s="2024" customFormat="1" x14ac:dyDescent="0.2">
      <c r="A277" s="2116" t="s">
        <v>5595</v>
      </c>
      <c r="B277" s="2117" t="s">
        <v>4818</v>
      </c>
      <c r="C277" s="2109">
        <f>VLOOKUP(A277,'2011 - TB'!$A$3:$B$971,2,FALSE)</f>
        <v>3552</v>
      </c>
      <c r="D277" s="2118">
        <v>0</v>
      </c>
      <c r="E277" s="2118">
        <f>VLOOKUP(A277,'2012 - TB'!$A$3:$H$733,5,FALSE)</f>
        <v>833.99</v>
      </c>
      <c r="F277" s="2118">
        <f>VLOOKUP(A277,'2012 - TB'!$A$3:$H$733,6,FALSE)</f>
        <v>0</v>
      </c>
      <c r="G277" s="2118">
        <f t="shared" si="10"/>
        <v>833.99</v>
      </c>
      <c r="H277" s="2640">
        <f>SUMIF('Original Budget'!$A$1:$A$691,'Trial Balance - FPer'!A277,'Original Budget'!$C$1:$C$691)</f>
        <v>3841.53</v>
      </c>
      <c r="I277" s="2640">
        <f>VLOOKUP(A277,'2012 - TB'!$A$3:$C$733,3,FALSE)</f>
        <v>3841.53</v>
      </c>
      <c r="J277" s="2119" t="s">
        <v>6390</v>
      </c>
      <c r="L277" s="2024" t="str">
        <f>VLOOKUP(A277,'2012 Budget'!$A$18:$B$2152,2,FALSE)</f>
        <v>Overtime;</v>
      </c>
    </row>
    <row r="278" spans="1:12" s="2024" customFormat="1" x14ac:dyDescent="0.2">
      <c r="A278" s="2116" t="s">
        <v>5667</v>
      </c>
      <c r="B278" s="2117" t="s">
        <v>4818</v>
      </c>
      <c r="C278" s="2109">
        <f>VLOOKUP(A278,'2011 - TB'!$A$3:$B$971,2,FALSE)</f>
        <v>619245.18000000005</v>
      </c>
      <c r="D278" s="2118">
        <v>0</v>
      </c>
      <c r="E278" s="2118">
        <f>VLOOKUP(A278,'2012 - TB'!$A$3:$H$733,5,FALSE)</f>
        <v>787881.85</v>
      </c>
      <c r="F278" s="2118">
        <f>VLOOKUP(A278,'2012 - TB'!$A$3:$H$733,6,FALSE)</f>
        <v>0</v>
      </c>
      <c r="G278" s="2118">
        <f t="shared" si="10"/>
        <v>787881.85</v>
      </c>
      <c r="H278" s="2640">
        <f>SUMIF('Original Budget'!$A$1:$A$691,'Trial Balance - FPer'!A278,'Original Budget'!$C$1:$C$691)</f>
        <v>633942.36</v>
      </c>
      <c r="I278" s="2640">
        <f>VLOOKUP(A278,'2012 - TB'!$A$3:$C$733,3,FALSE)</f>
        <v>747701.48</v>
      </c>
      <c r="J278" s="2119" t="s">
        <v>6390</v>
      </c>
      <c r="L278" s="2024" t="str">
        <f>VLOOKUP(A278,'2012 Budget'!$A$18:$B$2152,2,FALSE)</f>
        <v>Overtime;</v>
      </c>
    </row>
    <row r="279" spans="1:12" s="2024" customFormat="1" x14ac:dyDescent="0.2">
      <c r="A279" s="2116" t="s">
        <v>5731</v>
      </c>
      <c r="B279" s="2117" t="s">
        <v>4818</v>
      </c>
      <c r="C279" s="2109">
        <f>VLOOKUP(A279,'2011 - TB'!$A$3:$B$971,2,FALSE)</f>
        <v>149902.82999999999</v>
      </c>
      <c r="D279" s="2118">
        <v>0</v>
      </c>
      <c r="E279" s="2118">
        <f>VLOOKUP(A279,'2012 - TB'!$A$3:$H$733,5,FALSE)</f>
        <v>168718.77</v>
      </c>
      <c r="F279" s="2118">
        <f>VLOOKUP(A279,'2012 - TB'!$A$3:$H$733,6,FALSE)</f>
        <v>0</v>
      </c>
      <c r="G279" s="2118">
        <f t="shared" si="10"/>
        <v>168718.77</v>
      </c>
      <c r="H279" s="2640">
        <f>SUMIF('Original Budget'!$A$1:$A$691,'Trial Balance - FPer'!A279,'Original Budget'!$C$1:$C$691)</f>
        <v>165277.17000000001</v>
      </c>
      <c r="I279" s="2640">
        <f>VLOOKUP(A279,'2012 - TB'!$A$3:$C$733,3,FALSE)</f>
        <v>165277.17000000001</v>
      </c>
      <c r="J279" s="2119" t="s">
        <v>6390</v>
      </c>
      <c r="L279" s="2024" t="str">
        <f>VLOOKUP(A279,'2012 Budget'!$A$18:$B$2152,2,FALSE)</f>
        <v>Overtime;</v>
      </c>
    </row>
    <row r="280" spans="1:12" s="2024" customFormat="1" x14ac:dyDescent="0.2">
      <c r="A280" s="2116" t="s">
        <v>5776</v>
      </c>
      <c r="B280" s="2117" t="s">
        <v>4818</v>
      </c>
      <c r="C280" s="2109">
        <f>VLOOKUP(A280,'2011 - TB'!$A$3:$B$971,2,FALSE)</f>
        <v>67420.350000000006</v>
      </c>
      <c r="D280" s="2118">
        <v>0</v>
      </c>
      <c r="E280" s="2118">
        <f>VLOOKUP(A280,'2012 - TB'!$A$3:$H$733,5,FALSE)</f>
        <v>65694.45</v>
      </c>
      <c r="F280" s="2118">
        <f>VLOOKUP(A280,'2012 - TB'!$A$3:$H$733,6,FALSE)</f>
        <v>0</v>
      </c>
      <c r="G280" s="2118">
        <f t="shared" si="10"/>
        <v>65694.45</v>
      </c>
      <c r="H280" s="2640">
        <f>SUMIF('Original Budget'!$A$1:$A$691,'Trial Balance - FPer'!A280,'Original Budget'!$C$1:$C$691)</f>
        <v>61844.45</v>
      </c>
      <c r="I280" s="2640">
        <f>VLOOKUP(A280,'2012 - TB'!$A$3:$C$733,3,FALSE)</f>
        <v>61844.45</v>
      </c>
      <c r="J280" s="2119" t="s">
        <v>6390</v>
      </c>
      <c r="L280" s="2024" t="str">
        <f>VLOOKUP(A280,'2012 Budget'!$A$18:$B$2152,2,FALSE)</f>
        <v>Overtime;</v>
      </c>
    </row>
    <row r="281" spans="1:12" s="2024" customFormat="1" x14ac:dyDescent="0.2">
      <c r="A281" s="2116" t="s">
        <v>5833</v>
      </c>
      <c r="B281" s="2117" t="s">
        <v>4818</v>
      </c>
      <c r="C281" s="2109">
        <f>VLOOKUP(A281,'2011 - TB'!$A$3:$B$971,2,FALSE)</f>
        <v>566779.37</v>
      </c>
      <c r="D281" s="2118">
        <v>0</v>
      </c>
      <c r="E281" s="2118">
        <f>VLOOKUP(A281,'2012 - TB'!$A$3:$H$733,5,FALSE)</f>
        <v>502104.53</v>
      </c>
      <c r="F281" s="2118">
        <f>VLOOKUP(A281,'2012 - TB'!$A$3:$H$733,6,FALSE)</f>
        <v>0</v>
      </c>
      <c r="G281" s="2118">
        <f t="shared" si="10"/>
        <v>502104.53</v>
      </c>
      <c r="H281" s="2640">
        <f>SUMIF('Original Budget'!$A$1:$A$691,'Trial Balance - FPer'!A281,'Original Budget'!$C$1:$C$691)</f>
        <v>655922.56999999995</v>
      </c>
      <c r="I281" s="2640">
        <f>VLOOKUP(A281,'2012 - TB'!$A$3:$C$733,3,FALSE)</f>
        <v>500000</v>
      </c>
      <c r="J281" s="2119" t="s">
        <v>6390</v>
      </c>
      <c r="L281" s="2024" t="str">
        <f>VLOOKUP(A281,'2012 Budget'!$A$18:$B$2152,2,FALSE)</f>
        <v>Overtime;</v>
      </c>
    </row>
    <row r="282" spans="1:12" s="2024" customFormat="1" ht="13.5" thickBot="1" x14ac:dyDescent="0.25">
      <c r="A282" s="2120" t="s">
        <v>5895</v>
      </c>
      <c r="B282" s="2121" t="s">
        <v>4818</v>
      </c>
      <c r="C282" s="2122">
        <f>VLOOKUP(A282,'2011 - TB'!$A$3:$B$971,2,FALSE)</f>
        <v>7136.27</v>
      </c>
      <c r="D282" s="2123">
        <v>0</v>
      </c>
      <c r="E282" s="2123">
        <f>VLOOKUP(A282,'2012 - TB'!$A$3:$H$733,5,FALSE)</f>
        <v>35717.99</v>
      </c>
      <c r="F282" s="2123">
        <f>VLOOKUP(A282,'2012 - TB'!$A$3:$H$733,6,FALSE)</f>
        <v>0</v>
      </c>
      <c r="G282" s="2123">
        <f t="shared" si="10"/>
        <v>35717.99</v>
      </c>
      <c r="H282" s="2640">
        <f>SUMIF('Original Budget'!$A$1:$A$691,'Trial Balance - FPer'!A282,'Original Budget'!$C$1:$C$691)</f>
        <v>0</v>
      </c>
      <c r="I282" s="2640">
        <f>VLOOKUP(A282,'2012 - TB'!$A$3:$C$733,3,FALSE)</f>
        <v>45000</v>
      </c>
      <c r="J282" s="2124" t="s">
        <v>6390</v>
      </c>
      <c r="L282" s="2024" t="str">
        <f>VLOOKUP(A282,'2012 Budget'!$A$18:$B$2152,2,FALSE)</f>
        <v>Overtime;</v>
      </c>
    </row>
    <row r="283" spans="1:12" s="2024" customFormat="1" x14ac:dyDescent="0.2">
      <c r="A283" s="2116" t="s">
        <v>4830</v>
      </c>
      <c r="B283" s="2117" t="s">
        <v>4831</v>
      </c>
      <c r="C283" s="2109">
        <f>VLOOKUP(A283,'2011 - TB'!$A$3:$B$971,2,FALSE)</f>
        <v>68181.72</v>
      </c>
      <c r="D283" s="2118">
        <v>0</v>
      </c>
      <c r="E283" s="2118">
        <f>VLOOKUP(A283,'2012 - TB'!$A$3:$H$733,5,FALSE)</f>
        <v>153431.67999999999</v>
      </c>
      <c r="F283" s="2118">
        <f>VLOOKUP(A283,'2012 - TB'!$A$3:$H$733,6,FALSE)</f>
        <v>0</v>
      </c>
      <c r="G283" s="2118">
        <f t="shared" si="10"/>
        <v>153431.67999999999</v>
      </c>
      <c r="H283" s="2640">
        <f>SUMIF('Original Budget'!$A$1:$A$691,'Trial Balance - FPer'!A283,'Original Budget'!$C$1:$C$691)</f>
        <v>64212.53</v>
      </c>
      <c r="I283" s="2640">
        <f>VLOOKUP(A283,'2012 - TB'!$A$3:$C$733,3,FALSE)</f>
        <v>153431.67999999999</v>
      </c>
      <c r="J283" s="2119" t="s">
        <v>6385</v>
      </c>
      <c r="L283" s="2024" t="str">
        <f>VLOOKUP(A283,'2012 Budget'!$A$18:$B$2152,2,FALSE)</f>
        <v>Pension Fund ;</v>
      </c>
    </row>
    <row r="284" spans="1:12" s="2024" customFormat="1" x14ac:dyDescent="0.2">
      <c r="A284" s="2116" t="s">
        <v>4915</v>
      </c>
      <c r="B284" s="2117" t="s">
        <v>4831</v>
      </c>
      <c r="C284" s="2109">
        <f>VLOOKUP(A284,'2011 - TB'!$A$3:$B$971,2,FALSE)</f>
        <v>123443.12</v>
      </c>
      <c r="D284" s="2118">
        <v>0</v>
      </c>
      <c r="E284" s="2118">
        <f>VLOOKUP(A284,'2012 - TB'!$A$3:$H$733,5,FALSE)</f>
        <v>56053.42</v>
      </c>
      <c r="F284" s="2118">
        <f>VLOOKUP(A284,'2012 - TB'!$A$3:$H$733,6,FALSE)</f>
        <v>0</v>
      </c>
      <c r="G284" s="2118">
        <f t="shared" si="10"/>
        <v>56053.42</v>
      </c>
      <c r="H284" s="2640">
        <f>SUMIF('Original Budget'!$A$1:$A$691,'Trial Balance - FPer'!A284,'Original Budget'!$C$1:$C$691)</f>
        <v>146871.49</v>
      </c>
      <c r="I284" s="2640">
        <f>VLOOKUP(A284,'2012 - TB'!$A$3:$C$733,3,FALSE)</f>
        <v>43469.86</v>
      </c>
      <c r="J284" s="2119" t="s">
        <v>6385</v>
      </c>
      <c r="L284" s="2024" t="str">
        <f>VLOOKUP(A284,'2012 Budget'!$A$18:$B$2152,2,FALSE)</f>
        <v>Pension Fund ;</v>
      </c>
    </row>
    <row r="285" spans="1:12" s="2024" customFormat="1" x14ac:dyDescent="0.2">
      <c r="A285" s="2116" t="s">
        <v>4970</v>
      </c>
      <c r="B285" s="2117" t="s">
        <v>4831</v>
      </c>
      <c r="C285" s="2109">
        <f>VLOOKUP(A285,'2011 - TB'!$A$3:$B$971,2,FALSE)</f>
        <v>15420.76</v>
      </c>
      <c r="D285" s="2118">
        <v>0</v>
      </c>
      <c r="E285" s="2118">
        <f>VLOOKUP(A285,'2012 - TB'!$A$3:$H$733,5,FALSE)</f>
        <v>11439.26</v>
      </c>
      <c r="F285" s="2118">
        <f>VLOOKUP(A285,'2012 - TB'!$A$3:$H$733,6,FALSE)</f>
        <v>0</v>
      </c>
      <c r="G285" s="2118">
        <f t="shared" si="10"/>
        <v>11439.26</v>
      </c>
      <c r="H285" s="2640">
        <f>SUMIF('Original Budget'!$A$1:$A$691,'Trial Balance - FPer'!A285,'Original Budget'!$C$1:$C$691)</f>
        <v>18127.32</v>
      </c>
      <c r="I285" s="2640">
        <f>VLOOKUP(A285,'2012 - TB'!$A$3:$C$733,3,FALSE)</f>
        <v>19626.580000000002</v>
      </c>
      <c r="J285" s="2119" t="s">
        <v>6385</v>
      </c>
      <c r="L285" s="2024" t="str">
        <f>VLOOKUP(A285,'2012 Budget'!$A$18:$B$2152,2,FALSE)</f>
        <v>Pension Fund ;</v>
      </c>
    </row>
    <row r="286" spans="1:12" s="2024" customFormat="1" x14ac:dyDescent="0.2">
      <c r="A286" s="2116" t="s">
        <v>4971</v>
      </c>
      <c r="B286" s="2117" t="s">
        <v>4831</v>
      </c>
      <c r="C286" s="2109">
        <f>VLOOKUP(A286,'2011 - TB'!$A$3:$B$971,2,FALSE)</f>
        <v>349296.07</v>
      </c>
      <c r="D286" s="2118">
        <v>0</v>
      </c>
      <c r="E286" s="2118">
        <f>VLOOKUP(A286,'2012 - TB'!$A$3:$H$733,5,FALSE)</f>
        <v>520630.68</v>
      </c>
      <c r="F286" s="2118">
        <f>VLOOKUP(A286,'2012 - TB'!$A$3:$H$733,6,FALSE)</f>
        <v>0</v>
      </c>
      <c r="G286" s="2118">
        <f t="shared" si="10"/>
        <v>520630.68</v>
      </c>
      <c r="H286" s="2640">
        <f>SUMIF('Original Budget'!$A$1:$A$691,'Trial Balance - FPer'!A286,'Original Budget'!$C$1:$C$691)</f>
        <v>1861446.18</v>
      </c>
      <c r="I286" s="2640">
        <f>VLOOKUP(A286,'2012 - TB'!$A$3:$C$733,3,FALSE)</f>
        <v>539590.03</v>
      </c>
      <c r="J286" s="2119" t="s">
        <v>6385</v>
      </c>
      <c r="L286" s="2024" t="str">
        <f>VLOOKUP(A286,'2012 Budget'!$A$18:$B$2152,2,FALSE)</f>
        <v>Pension Fund ;</v>
      </c>
    </row>
    <row r="287" spans="1:12" s="2024" customFormat="1" x14ac:dyDescent="0.2">
      <c r="A287" s="2116" t="s">
        <v>4972</v>
      </c>
      <c r="B287" s="2117" t="s">
        <v>4831</v>
      </c>
      <c r="C287" s="2109">
        <f>VLOOKUP(A287,'2011 - TB'!$A$3:$B$971,2,FALSE)</f>
        <v>22861.08</v>
      </c>
      <c r="D287" s="2118">
        <v>0</v>
      </c>
      <c r="E287" s="2118">
        <v>0</v>
      </c>
      <c r="F287" s="2118">
        <v>0</v>
      </c>
      <c r="G287" s="2118">
        <f t="shared" si="10"/>
        <v>0</v>
      </c>
      <c r="H287" s="2640">
        <f>SUMIF('Original Budget'!$A$1:$A$691,'Trial Balance - FPer'!A287,'Original Budget'!$C$1:$C$691)</f>
        <v>61810.65</v>
      </c>
      <c r="I287" s="2640"/>
      <c r="J287" s="2119" t="s">
        <v>6385</v>
      </c>
      <c r="L287" s="2024" t="str">
        <f>VLOOKUP(A287,'2012 Budget'!$A$18:$B$2152,2,FALSE)</f>
        <v>Pension Fund ;</v>
      </c>
    </row>
    <row r="288" spans="1:12" s="2024" customFormat="1" x14ac:dyDescent="0.2">
      <c r="A288" s="2116" t="s">
        <v>5108</v>
      </c>
      <c r="B288" s="2117" t="s">
        <v>4831</v>
      </c>
      <c r="C288" s="2109">
        <f>VLOOKUP(A288,'2011 - TB'!$A$3:$B$971,2,FALSE)</f>
        <v>100381.28</v>
      </c>
      <c r="D288" s="2118">
        <v>0</v>
      </c>
      <c r="E288" s="2118">
        <f>VLOOKUP(A288,'2012 - TB'!$A$3:$H$733,5,FALSE)</f>
        <v>216697.05</v>
      </c>
      <c r="F288" s="2118">
        <f>VLOOKUP(A288,'2012 - TB'!$A$3:$H$733,6,FALSE)</f>
        <v>0</v>
      </c>
      <c r="G288" s="2118">
        <f t="shared" si="10"/>
        <v>216697.05</v>
      </c>
      <c r="H288" s="2640">
        <f>SUMIF('Original Budget'!$A$1:$A$691,'Trial Balance - FPer'!A288,'Original Budget'!$C$1:$C$691)</f>
        <v>116672.91</v>
      </c>
      <c r="I288" s="2640">
        <f>VLOOKUP(A288,'2012 - TB'!$A$3:$C$733,3,FALSE)</f>
        <v>166697.04999999999</v>
      </c>
      <c r="J288" s="2119" t="s">
        <v>6385</v>
      </c>
      <c r="L288" s="2024" t="str">
        <f>VLOOKUP(A288,'2012 Budget'!$A$18:$B$2152,2,FALSE)</f>
        <v>Pension Fund ;</v>
      </c>
    </row>
    <row r="289" spans="1:12" s="2024" customFormat="1" x14ac:dyDescent="0.2">
      <c r="A289" s="1283" t="s">
        <v>4981</v>
      </c>
      <c r="B289" s="2117" t="s">
        <v>4982</v>
      </c>
      <c r="C289" s="2109">
        <f>VLOOKUP(A289,'2011 - TB'!$A$3:$B$971,2,FALSE)</f>
        <v>718679.96</v>
      </c>
      <c r="D289" s="2118">
        <v>0</v>
      </c>
      <c r="E289" s="2118">
        <f>VLOOKUP(A289,'2012 - TB'!$A$3:$H$733,5,FALSE)</f>
        <v>236093.2</v>
      </c>
      <c r="F289" s="2118">
        <f>VLOOKUP(A289,'2012 - TB'!$A$3:$H$733,6,FALSE)</f>
        <v>-647852</v>
      </c>
      <c r="G289" s="2118">
        <f t="shared" si="10"/>
        <v>-411758.8</v>
      </c>
      <c r="H289" s="2640">
        <f>SUMIF('Original Budget'!$A$1:$A$691,'Trial Balance - FPer'!A289,'Original Budget'!$C$1:$C$691)</f>
        <v>0</v>
      </c>
      <c r="I289" s="2640">
        <f>VLOOKUP(A289,'2012 - TB'!$A$3:$C$733,3,FALSE)</f>
        <v>141655.92000000001</v>
      </c>
      <c r="J289" s="2119" t="s">
        <v>6385</v>
      </c>
      <c r="L289" s="2024" t="str">
        <f>VLOOKUP(A289,'2012 Budget'!$A$18:$B$2152,2,FALSE)</f>
        <v>Arrears Contrib</v>
      </c>
    </row>
    <row r="290" spans="1:12" s="2024" customFormat="1" x14ac:dyDescent="0.2">
      <c r="A290" s="2116" t="s">
        <v>5136</v>
      </c>
      <c r="B290" s="2117" t="s">
        <v>4831</v>
      </c>
      <c r="C290" s="2109">
        <f>VLOOKUP(A290,'2011 - TB'!$A$3:$B$971,2,FALSE)</f>
        <v>46192.69</v>
      </c>
      <c r="D290" s="2118">
        <v>0</v>
      </c>
      <c r="E290" s="2118">
        <f>VLOOKUP(A290,'2012 - TB'!$A$3:$H$733,5,FALSE)</f>
        <v>61117.15</v>
      </c>
      <c r="F290" s="2118">
        <f>VLOOKUP(A290,'2012 - TB'!$A$3:$H$733,6,FALSE)</f>
        <v>0</v>
      </c>
      <c r="G290" s="2118">
        <f t="shared" si="10"/>
        <v>61117.15</v>
      </c>
      <c r="H290" s="2640">
        <f>SUMIF('Original Budget'!$A$1:$A$691,'Trial Balance - FPer'!A290,'Original Budget'!$C$1:$C$691)</f>
        <v>24724.26</v>
      </c>
      <c r="I290" s="2640">
        <f>VLOOKUP(A290,'2012 - TB'!$A$3:$C$733,3,FALSE)</f>
        <v>69018.17</v>
      </c>
      <c r="J290" s="2119" t="s">
        <v>6385</v>
      </c>
      <c r="L290" s="2024" t="str">
        <f>VLOOKUP(A290,'2012 Budget'!$A$18:$B$2152,2,FALSE)</f>
        <v>Pension Fund ;</v>
      </c>
    </row>
    <row r="291" spans="1:12" s="2024" customFormat="1" x14ac:dyDescent="0.2">
      <c r="A291" s="2116" t="s">
        <v>5159</v>
      </c>
      <c r="B291" s="2117" t="s">
        <v>4831</v>
      </c>
      <c r="C291" s="2109">
        <f>VLOOKUP(A291,'2011 - TB'!$A$3:$B$971,2,FALSE)</f>
        <v>0</v>
      </c>
      <c r="D291" s="2118">
        <v>0</v>
      </c>
      <c r="E291" s="2118">
        <v>0</v>
      </c>
      <c r="F291" s="2118">
        <v>0</v>
      </c>
      <c r="G291" s="2118">
        <f t="shared" si="10"/>
        <v>0</v>
      </c>
      <c r="H291" s="2640">
        <f>SUMIF('Original Budget'!$A$1:$A$691,'Trial Balance - FPer'!A291,'Original Budget'!$C$1:$C$691)</f>
        <v>0</v>
      </c>
      <c r="I291" s="2640"/>
      <c r="J291" s="2119" t="s">
        <v>6385</v>
      </c>
      <c r="L291" s="2024" t="str">
        <f>VLOOKUP(A291,'2012 Budget'!$A$18:$B$2152,2,FALSE)</f>
        <v>Pension Fund ;</v>
      </c>
    </row>
    <row r="292" spans="1:12" s="2024" customFormat="1" x14ac:dyDescent="0.2">
      <c r="A292" s="2116" t="s">
        <v>5239</v>
      </c>
      <c r="B292" s="2117" t="s">
        <v>4831</v>
      </c>
      <c r="C292" s="2109" t="str">
        <f>VLOOKUP(A292,'2011 - TB'!$A$3:$B$971,2,FALSE)</f>
        <v xml:space="preserve">                               -  </v>
      </c>
      <c r="D292" s="2118">
        <v>0</v>
      </c>
      <c r="E292" s="2118">
        <f>VLOOKUP(A292,'2012 - TB'!$A$3:$H$733,5,FALSE)</f>
        <v>49315.38</v>
      </c>
      <c r="F292" s="2118">
        <f>VLOOKUP(A292,'2012 - TB'!$A$3:$H$733,6,FALSE)</f>
        <v>0</v>
      </c>
      <c r="G292" s="2118">
        <f t="shared" si="10"/>
        <v>49315.38</v>
      </c>
      <c r="H292" s="2640">
        <f>SUMIF('Original Budget'!$A$1:$A$691,'Trial Balance - FPer'!A292,'Original Budget'!$C$1:$C$691)</f>
        <v>18127.32</v>
      </c>
      <c r="I292" s="2640">
        <f>VLOOKUP(A292,'2012 - TB'!$A$3:$C$733,3,FALSE)</f>
        <v>49315.58</v>
      </c>
      <c r="J292" s="2119" t="s">
        <v>6385</v>
      </c>
      <c r="L292" s="2024" t="str">
        <f>VLOOKUP(A292,'2012 Budget'!$A$18:$B$2152,2,FALSE)</f>
        <v>Pension Fund ;</v>
      </c>
    </row>
    <row r="293" spans="1:12" s="2024" customFormat="1" x14ac:dyDescent="0.2">
      <c r="A293" s="2116" t="s">
        <v>5240</v>
      </c>
      <c r="B293" s="2117" t="s">
        <v>4831</v>
      </c>
      <c r="C293" s="2109">
        <f>VLOOKUP(A293,'2011 - TB'!$A$3:$B$971,2,FALSE)</f>
        <v>-3631.49</v>
      </c>
      <c r="D293" s="2118">
        <v>0</v>
      </c>
      <c r="E293" s="2118">
        <f>VLOOKUP(A293,'2012 - TB'!$A$3:$H$733,5,FALSE)</f>
        <v>69044.399999999994</v>
      </c>
      <c r="F293" s="2118">
        <f>VLOOKUP(A293,'2012 - TB'!$A$3:$H$733,6,FALSE)</f>
        <v>0</v>
      </c>
      <c r="G293" s="2118">
        <f t="shared" si="10"/>
        <v>69044.399999999994</v>
      </c>
      <c r="H293" s="2640">
        <f>SUMIF('Original Budget'!$A$1:$A$691,'Trial Balance - FPer'!A293,'Original Budget'!$C$1:$C$691)</f>
        <v>18127.32</v>
      </c>
      <c r="I293" s="2640">
        <f>VLOOKUP(A293,'2012 - TB'!$A$3:$C$733,3,FALSE)</f>
        <v>69044.399999999994</v>
      </c>
      <c r="J293" s="2119" t="s">
        <v>6385</v>
      </c>
      <c r="L293" s="2024" t="str">
        <f>VLOOKUP(A293,'2012 Budget'!$A$18:$B$2152,2,FALSE)</f>
        <v>Pension Fund ;</v>
      </c>
    </row>
    <row r="294" spans="1:12" s="2024" customFormat="1" x14ac:dyDescent="0.2">
      <c r="A294" s="2116" t="s">
        <v>5241</v>
      </c>
      <c r="B294" s="2117" t="s">
        <v>4831</v>
      </c>
      <c r="C294" s="2109">
        <f>VLOOKUP(A294,'2011 - TB'!$A$3:$B$971,2,FALSE)</f>
        <v>47209.37</v>
      </c>
      <c r="D294" s="2118">
        <v>0</v>
      </c>
      <c r="E294" s="2118">
        <f>VLOOKUP(A294,'2012 - TB'!$A$3:$H$733,5,FALSE)</f>
        <v>26841.65</v>
      </c>
      <c r="F294" s="2118">
        <f>VLOOKUP(A294,'2012 - TB'!$A$3:$H$733,6,FALSE)</f>
        <v>0</v>
      </c>
      <c r="G294" s="2118">
        <f t="shared" si="10"/>
        <v>26841.65</v>
      </c>
      <c r="H294" s="2640">
        <f>SUMIF('Original Budget'!$A$1:$A$691,'Trial Balance - FPer'!A294,'Original Budget'!$C$1:$C$691)</f>
        <v>54984.39</v>
      </c>
      <c r="I294" s="2640">
        <f>VLOOKUP(A294,'2012 - TB'!$A$3:$C$733,3,FALSE)</f>
        <v>26841.65</v>
      </c>
      <c r="J294" s="2119" t="s">
        <v>6385</v>
      </c>
      <c r="L294" s="2024" t="str">
        <f>VLOOKUP(A294,'2012 Budget'!$A$18:$B$2152,2,FALSE)</f>
        <v>Pension Fund ;</v>
      </c>
    </row>
    <row r="295" spans="1:12" s="2024" customFormat="1" x14ac:dyDescent="0.2">
      <c r="A295" s="2116" t="s">
        <v>5242</v>
      </c>
      <c r="B295" s="2117" t="s">
        <v>4831</v>
      </c>
      <c r="C295" s="2109">
        <f>VLOOKUP(A295,'2011 - TB'!$A$3:$B$971,2,FALSE)</f>
        <v>177986.2</v>
      </c>
      <c r="D295" s="2118">
        <v>0</v>
      </c>
      <c r="E295" s="2118">
        <f>VLOOKUP(A295,'2012 - TB'!$A$3:$H$733,5,FALSE)</f>
        <v>189992.89</v>
      </c>
      <c r="F295" s="2118">
        <f>VLOOKUP(A295,'2012 - TB'!$A$3:$H$733,6,FALSE)</f>
        <v>0</v>
      </c>
      <c r="G295" s="2118">
        <f t="shared" si="10"/>
        <v>189992.89</v>
      </c>
      <c r="H295" s="2640">
        <f>SUMIF('Original Budget'!$A$1:$A$691,'Trial Balance - FPer'!A295,'Original Budget'!$C$1:$C$691)</f>
        <v>244959.04</v>
      </c>
      <c r="I295" s="2640">
        <f>VLOOKUP(A295,'2012 - TB'!$A$3:$C$733,3,FALSE)</f>
        <v>205975.49</v>
      </c>
      <c r="J295" s="2119" t="s">
        <v>6385</v>
      </c>
      <c r="L295" s="2024" t="str">
        <f>VLOOKUP(A295,'2012 Budget'!$A$18:$B$2152,2,FALSE)</f>
        <v>Pension Fund ;</v>
      </c>
    </row>
    <row r="296" spans="1:12" s="2024" customFormat="1" x14ac:dyDescent="0.2">
      <c r="A296" s="2116" t="s">
        <v>5328</v>
      </c>
      <c r="B296" s="2117" t="s">
        <v>4831</v>
      </c>
      <c r="C296" s="2109">
        <f>VLOOKUP(A296,'2011 - TB'!$A$3:$B$971,2,FALSE)</f>
        <v>59492.12</v>
      </c>
      <c r="D296" s="2118">
        <v>0</v>
      </c>
      <c r="E296" s="2118">
        <f>VLOOKUP(A296,'2012 - TB'!$A$3:$H$733,5,FALSE)</f>
        <v>149245.01999999999</v>
      </c>
      <c r="F296" s="2118">
        <f>VLOOKUP(A296,'2012 - TB'!$A$3:$H$733,6,FALSE)</f>
        <v>0</v>
      </c>
      <c r="G296" s="2118">
        <f t="shared" si="10"/>
        <v>149245.01999999999</v>
      </c>
      <c r="H296" s="2640">
        <f>SUMIF('Original Budget'!$A$1:$A$691,'Trial Balance - FPer'!A296,'Original Budget'!$C$1:$C$691)</f>
        <v>38020.480000000003</v>
      </c>
      <c r="I296" s="2640">
        <f>VLOOKUP(A296,'2012 - TB'!$A$3:$C$733,3,FALSE)</f>
        <v>128128.98</v>
      </c>
      <c r="J296" s="2119" t="s">
        <v>6385</v>
      </c>
      <c r="L296" s="2024" t="str">
        <f>VLOOKUP(A296,'2012 Budget'!$A$18:$B$2152,2,FALSE)</f>
        <v>Pension Fund ;</v>
      </c>
    </row>
    <row r="297" spans="1:12" s="2024" customFormat="1" x14ac:dyDescent="0.2">
      <c r="A297" s="2116" t="s">
        <v>5367</v>
      </c>
      <c r="B297" s="2117" t="s">
        <v>4831</v>
      </c>
      <c r="C297" s="2109">
        <f>VLOOKUP(A297,'2011 - TB'!$A$3:$B$971,2,FALSE)</f>
        <v>124762.42</v>
      </c>
      <c r="D297" s="2118">
        <v>0</v>
      </c>
      <c r="E297" s="2118">
        <f>VLOOKUP(A297,'2012 - TB'!$A$3:$H$733,5,FALSE)</f>
        <v>131323.38</v>
      </c>
      <c r="F297" s="2118">
        <f>VLOOKUP(A297,'2012 - TB'!$A$3:$H$733,6,FALSE)</f>
        <v>0</v>
      </c>
      <c r="G297" s="2118">
        <f t="shared" si="10"/>
        <v>131323.38</v>
      </c>
      <c r="H297" s="2640">
        <f>SUMIF('Original Budget'!$A$1:$A$691,'Trial Balance - FPer'!A297,'Original Budget'!$C$1:$C$691)</f>
        <v>157330.13</v>
      </c>
      <c r="I297" s="2640">
        <f>VLOOKUP(A297,'2012 - TB'!$A$3:$C$733,3,FALSE)</f>
        <v>131323.38</v>
      </c>
      <c r="J297" s="2119" t="s">
        <v>6385</v>
      </c>
      <c r="L297" s="2024" t="str">
        <f>VLOOKUP(A297,'2012 Budget'!$A$18:$B$2152,2,FALSE)</f>
        <v>Pension Fund ;</v>
      </c>
    </row>
    <row r="298" spans="1:12" s="2024" customFormat="1" x14ac:dyDescent="0.2">
      <c r="A298" s="2116" t="s">
        <v>5395</v>
      </c>
      <c r="B298" s="2117" t="s">
        <v>4831</v>
      </c>
      <c r="C298" s="2109">
        <f>VLOOKUP(A298,'2011 - TB'!$A$3:$B$971,2,FALSE)</f>
        <v>30156.76</v>
      </c>
      <c r="D298" s="2118">
        <v>0</v>
      </c>
      <c r="E298" s="2118">
        <f>VLOOKUP(A298,'2012 - TB'!$A$3:$H$733,5,FALSE)</f>
        <v>28549.52</v>
      </c>
      <c r="F298" s="2118">
        <f>VLOOKUP(A298,'2012 - TB'!$A$3:$H$733,6,FALSE)</f>
        <v>0</v>
      </c>
      <c r="G298" s="2118">
        <f t="shared" si="10"/>
        <v>28549.52</v>
      </c>
      <c r="H298" s="2640">
        <f>SUMIF('Original Budget'!$A$1:$A$691,'Trial Balance - FPer'!A298,'Original Budget'!$C$1:$C$691)</f>
        <v>37961.82</v>
      </c>
      <c r="I298" s="2640">
        <f>VLOOKUP(A298,'2012 - TB'!$A$3:$C$733,3,FALSE)</f>
        <v>31264.94</v>
      </c>
      <c r="J298" s="2119" t="s">
        <v>6385</v>
      </c>
      <c r="L298" s="2024" t="str">
        <f>VLOOKUP(A298,'2012 Budget'!$A$18:$B$2152,2,FALSE)</f>
        <v>Pension Fund ;</v>
      </c>
    </row>
    <row r="299" spans="1:12" s="2024" customFormat="1" x14ac:dyDescent="0.2">
      <c r="A299" s="2116" t="s">
        <v>5459</v>
      </c>
      <c r="B299" s="2117" t="s">
        <v>4831</v>
      </c>
      <c r="C299" s="2109">
        <f>VLOOKUP(A299,'2011 - TB'!$A$3:$B$971,2,FALSE)</f>
        <v>0</v>
      </c>
      <c r="D299" s="2118">
        <v>0</v>
      </c>
      <c r="E299" s="2118">
        <f>VLOOKUP(A299,'2012 - TB'!$A$3:$H$733,5,FALSE)</f>
        <v>8339.02</v>
      </c>
      <c r="F299" s="2118">
        <f>VLOOKUP(A299,'2012 - TB'!$A$3:$H$733,6,FALSE)</f>
        <v>0</v>
      </c>
      <c r="G299" s="2118">
        <f t="shared" si="10"/>
        <v>8339.02</v>
      </c>
      <c r="H299" s="2640">
        <f>SUMIF('Original Budget'!$A$1:$A$691,'Trial Balance - FPer'!A299,'Original Budget'!$C$1:$C$691)</f>
        <v>18127.32</v>
      </c>
      <c r="I299" s="2640">
        <f>VLOOKUP(A299,'2012 - TB'!$A$3:$C$733,3,FALSE)</f>
        <v>8339.02</v>
      </c>
      <c r="J299" s="2119" t="s">
        <v>6385</v>
      </c>
      <c r="L299" s="2024" t="str">
        <f>VLOOKUP(A299,'2012 Budget'!$A$18:$B$2152,2,FALSE)</f>
        <v>Pension Fund ;</v>
      </c>
    </row>
    <row r="300" spans="1:12" s="2024" customFormat="1" x14ac:dyDescent="0.2">
      <c r="A300" s="2116" t="s">
        <v>5460</v>
      </c>
      <c r="B300" s="2117" t="s">
        <v>4831</v>
      </c>
      <c r="C300" s="2109">
        <f>VLOOKUP(A300,'2011 - TB'!$A$3:$B$971,2,FALSE)</f>
        <v>101365.19</v>
      </c>
      <c r="D300" s="2118">
        <v>0</v>
      </c>
      <c r="E300" s="2118">
        <f>VLOOKUP(A300,'2012 - TB'!$A$3:$H$733,5,FALSE)</f>
        <v>151457.57</v>
      </c>
      <c r="F300" s="2118">
        <f>VLOOKUP(A300,'2012 - TB'!$A$3:$H$733,6,FALSE)</f>
        <v>0</v>
      </c>
      <c r="G300" s="2118">
        <f t="shared" si="10"/>
        <v>151457.57</v>
      </c>
      <c r="H300" s="2640">
        <f>SUMIF('Original Budget'!$A$1:$A$691,'Trial Balance - FPer'!A300,'Original Budget'!$C$1:$C$691)</f>
        <v>130452.22</v>
      </c>
      <c r="I300" s="2640">
        <f>VLOOKUP(A300,'2012 - TB'!$A$3:$C$733,3,FALSE)</f>
        <v>142301.13</v>
      </c>
      <c r="J300" s="2119" t="s">
        <v>6385</v>
      </c>
      <c r="L300" s="2024" t="str">
        <f>VLOOKUP(A300,'2012 Budget'!$A$18:$B$2152,2,FALSE)</f>
        <v>Pension Fund ;</v>
      </c>
    </row>
    <row r="301" spans="1:12" s="2024" customFormat="1" x14ac:dyDescent="0.2">
      <c r="A301" s="2116" t="s">
        <v>5461</v>
      </c>
      <c r="B301" s="2117" t="s">
        <v>4831</v>
      </c>
      <c r="C301" s="2109">
        <f>VLOOKUP(A301,'2011 - TB'!$A$3:$B$971,2,FALSE)</f>
        <v>0</v>
      </c>
      <c r="D301" s="2118">
        <v>0</v>
      </c>
      <c r="E301" s="2118">
        <v>0</v>
      </c>
      <c r="F301" s="2118">
        <v>0</v>
      </c>
      <c r="G301" s="2118">
        <f t="shared" si="10"/>
        <v>0</v>
      </c>
      <c r="H301" s="2640">
        <f>SUMIF('Original Budget'!$A$1:$A$691,'Trial Balance - FPer'!A301,'Original Budget'!$C$1:$C$691)</f>
        <v>0</v>
      </c>
      <c r="I301" s="2640"/>
      <c r="J301" s="2119" t="s">
        <v>6385</v>
      </c>
      <c r="L301" s="2024" t="str">
        <f>VLOOKUP(A301,'2012 Budget'!$A$18:$B$2152,2,FALSE)</f>
        <v>Pension Fund ;</v>
      </c>
    </row>
    <row r="302" spans="1:12" s="2024" customFormat="1" x14ac:dyDescent="0.2">
      <c r="A302" s="2116" t="s">
        <v>5498</v>
      </c>
      <c r="B302" s="2117" t="s">
        <v>4831</v>
      </c>
      <c r="C302" s="2109">
        <f>VLOOKUP(A302,'2011 - TB'!$A$3:$B$971,2,FALSE)</f>
        <v>62746.64</v>
      </c>
      <c r="D302" s="2118">
        <v>0</v>
      </c>
      <c r="E302" s="2118">
        <f>VLOOKUP(A302,'2012 - TB'!$A$3:$H$733,5,FALSE)</f>
        <v>82485.31</v>
      </c>
      <c r="F302" s="2118">
        <f>VLOOKUP(A302,'2012 - TB'!$A$3:$H$733,6,FALSE)</f>
        <v>0</v>
      </c>
      <c r="G302" s="2118">
        <f t="shared" si="10"/>
        <v>82485.31</v>
      </c>
      <c r="H302" s="2640">
        <f>SUMIF('Original Budget'!$A$1:$A$691,'Trial Balance - FPer'!A302,'Original Budget'!$C$1:$C$691)</f>
        <v>69721.69</v>
      </c>
      <c r="I302" s="2640">
        <f>VLOOKUP(A302,'2012 - TB'!$A$3:$C$733,3,FALSE)</f>
        <v>82485.31</v>
      </c>
      <c r="J302" s="2119" t="s">
        <v>6385</v>
      </c>
      <c r="L302" s="2024" t="str">
        <f>VLOOKUP(A302,'2012 Budget'!$A$18:$B$2152,2,FALSE)</f>
        <v>Pension Fund ;</v>
      </c>
    </row>
    <row r="303" spans="1:12" s="2024" customFormat="1" x14ac:dyDescent="0.2">
      <c r="A303" s="2116" t="s">
        <v>5528</v>
      </c>
      <c r="B303" s="2117" t="s">
        <v>4831</v>
      </c>
      <c r="C303" s="2109">
        <f>VLOOKUP(A303,'2011 - TB'!$A$3:$B$971,2,FALSE)</f>
        <v>87733.6</v>
      </c>
      <c r="D303" s="2118">
        <v>0</v>
      </c>
      <c r="E303" s="2118">
        <f>VLOOKUP(A303,'2012 - TB'!$A$3:$H$733,5,FALSE)</f>
        <v>99513.66</v>
      </c>
      <c r="F303" s="2118">
        <f>VLOOKUP(A303,'2012 - TB'!$A$3:$H$733,6,FALSE)</f>
        <v>0</v>
      </c>
      <c r="G303" s="2118">
        <f t="shared" ref="G303:G366" si="11">E303+F303</f>
        <v>99513.66</v>
      </c>
      <c r="H303" s="2640">
        <f>SUMIF('Original Budget'!$A$1:$A$691,'Trial Balance - FPer'!A303,'Original Budget'!$C$1:$C$691)</f>
        <v>108516.46</v>
      </c>
      <c r="I303" s="2640">
        <f>VLOOKUP(A303,'2012 - TB'!$A$3:$C$733,3,FALSE)</f>
        <v>99513.66</v>
      </c>
      <c r="J303" s="2119" t="s">
        <v>6385</v>
      </c>
      <c r="L303" s="2024" t="str">
        <f>VLOOKUP(A303,'2012 Budget'!$A$18:$B$2152,2,FALSE)</f>
        <v>Pension Fund ;</v>
      </c>
    </row>
    <row r="304" spans="1:12" s="2024" customFormat="1" x14ac:dyDescent="0.2">
      <c r="A304" s="2116" t="s">
        <v>5557</v>
      </c>
      <c r="B304" s="2117" t="s">
        <v>4831</v>
      </c>
      <c r="C304" s="2109">
        <f>VLOOKUP(A304,'2011 - TB'!$A$3:$B$971,2,FALSE)</f>
        <v>0</v>
      </c>
      <c r="D304" s="2118">
        <v>0</v>
      </c>
      <c r="E304" s="2118">
        <v>0</v>
      </c>
      <c r="F304" s="2118">
        <v>0</v>
      </c>
      <c r="G304" s="2118">
        <f t="shared" si="11"/>
        <v>0</v>
      </c>
      <c r="H304" s="2640">
        <f>SUMIF('Original Budget'!$A$1:$A$691,'Trial Balance - FPer'!A304,'Original Budget'!$C$1:$C$691)</f>
        <v>0</v>
      </c>
      <c r="I304" s="2640"/>
      <c r="J304" s="2119" t="s">
        <v>6385</v>
      </c>
      <c r="L304" s="2024" t="str">
        <f>VLOOKUP(A304,'2012 Budget'!$A$18:$B$2152,2,FALSE)</f>
        <v>Pension Fund ;</v>
      </c>
    </row>
    <row r="305" spans="1:12" s="2024" customFormat="1" x14ac:dyDescent="0.2">
      <c r="A305" s="2116" t="s">
        <v>5573</v>
      </c>
      <c r="B305" s="2117" t="s">
        <v>4831</v>
      </c>
      <c r="C305" s="2109">
        <f>VLOOKUP(A305,'2011 - TB'!$A$3:$B$971,2,FALSE)</f>
        <v>21282.880000000001</v>
      </c>
      <c r="D305" s="2118">
        <v>0</v>
      </c>
      <c r="E305" s="2118">
        <f>VLOOKUP(A305,'2012 - TB'!$A$3:$H$733,5,FALSE)</f>
        <v>22523.55</v>
      </c>
      <c r="F305" s="2118">
        <f>VLOOKUP(A305,'2012 - TB'!$A$3:$H$733,6,FALSE)</f>
        <v>0</v>
      </c>
      <c r="G305" s="2118">
        <f t="shared" si="11"/>
        <v>22523.55</v>
      </c>
      <c r="H305" s="2640">
        <f>SUMIF('Original Budget'!$A$1:$A$691,'Trial Balance - FPer'!A305,'Original Budget'!$C$1:$C$691)</f>
        <v>26690.71</v>
      </c>
      <c r="I305" s="2640">
        <f>VLOOKUP(A305,'2012 - TB'!$A$3:$C$733,3,FALSE)</f>
        <v>22523.55</v>
      </c>
      <c r="J305" s="2119" t="s">
        <v>6385</v>
      </c>
      <c r="L305" s="2024" t="str">
        <f>VLOOKUP(A305,'2012 Budget'!$A$18:$B$2152,2,FALSE)</f>
        <v>Pension Fund ;</v>
      </c>
    </row>
    <row r="306" spans="1:12" s="2024" customFormat="1" x14ac:dyDescent="0.2">
      <c r="A306" s="2116" t="s">
        <v>5607</v>
      </c>
      <c r="B306" s="2117" t="s">
        <v>4831</v>
      </c>
      <c r="C306" s="2109">
        <f>VLOOKUP(A306,'2011 - TB'!$A$3:$B$971,2,FALSE)</f>
        <v>125638.99</v>
      </c>
      <c r="D306" s="2118">
        <v>0</v>
      </c>
      <c r="E306" s="2118">
        <f>VLOOKUP(A306,'2012 - TB'!$A$3:$H$733,5,FALSE)</f>
        <v>135306.48000000001</v>
      </c>
      <c r="F306" s="2118">
        <f>VLOOKUP(A306,'2012 - TB'!$A$3:$H$733,6,FALSE)</f>
        <v>0</v>
      </c>
      <c r="G306" s="2118">
        <f t="shared" si="11"/>
        <v>135306.48000000001</v>
      </c>
      <c r="H306" s="2640">
        <f>SUMIF('Original Budget'!$A$1:$A$691,'Trial Balance - FPer'!A306,'Original Budget'!$C$1:$C$691)</f>
        <v>157675.78</v>
      </c>
      <c r="I306" s="2640">
        <f>VLOOKUP(A306,'2012 - TB'!$A$3:$C$733,3,FALSE)</f>
        <v>141008.57999999999</v>
      </c>
      <c r="J306" s="2119" t="s">
        <v>6385</v>
      </c>
      <c r="L306" s="2024" t="str">
        <f>VLOOKUP(A306,'2012 Budget'!$A$18:$B$2152,2,FALSE)</f>
        <v>Pension Fund ;</v>
      </c>
    </row>
    <row r="307" spans="1:12" s="2024" customFormat="1" x14ac:dyDescent="0.2">
      <c r="A307" s="2116" t="s">
        <v>5608</v>
      </c>
      <c r="B307" s="2117" t="s">
        <v>4831</v>
      </c>
      <c r="C307" s="2109">
        <f>VLOOKUP(A307,'2011 - TB'!$A$3:$B$971,2,FALSE)</f>
        <v>57405.66</v>
      </c>
      <c r="D307" s="2118">
        <v>0</v>
      </c>
      <c r="E307" s="2118">
        <f>VLOOKUP(A307,'2012 - TB'!$A$3:$H$733,5,FALSE)</f>
        <v>57442.1</v>
      </c>
      <c r="F307" s="2118">
        <f>VLOOKUP(A307,'2012 - TB'!$A$3:$H$733,6,FALSE)</f>
        <v>0</v>
      </c>
      <c r="G307" s="2118">
        <f t="shared" si="11"/>
        <v>57442.1</v>
      </c>
      <c r="H307" s="2640">
        <f>SUMIF('Original Budget'!$A$1:$A$691,'Trial Balance - FPer'!A307,'Original Budget'!$C$1:$C$691)</f>
        <v>74386.13</v>
      </c>
      <c r="I307" s="2640">
        <f>VLOOKUP(A307,'2012 - TB'!$A$3:$C$733,3,FALSE)</f>
        <v>58347.24</v>
      </c>
      <c r="J307" s="2119" t="s">
        <v>6385</v>
      </c>
      <c r="L307" s="2024" t="str">
        <f>VLOOKUP(A307,'2012 Budget'!$A$18:$B$2152,2,FALSE)</f>
        <v>Pension Fund ;</v>
      </c>
    </row>
    <row r="308" spans="1:12" s="2024" customFormat="1" x14ac:dyDescent="0.2">
      <c r="A308" s="2116" t="s">
        <v>5651</v>
      </c>
      <c r="B308" s="2117" t="s">
        <v>4831</v>
      </c>
      <c r="C308" s="2109">
        <f>VLOOKUP(A308,'2011 - TB'!$A$3:$B$971,2,FALSE)</f>
        <v>0</v>
      </c>
      <c r="D308" s="2118">
        <v>0</v>
      </c>
      <c r="E308" s="2118">
        <v>0</v>
      </c>
      <c r="F308" s="2118">
        <v>0</v>
      </c>
      <c r="G308" s="2118">
        <f t="shared" si="11"/>
        <v>0</v>
      </c>
      <c r="H308" s="2640">
        <f>SUMIF('Original Budget'!$A$1:$A$691,'Trial Balance - FPer'!A308,'Original Budget'!$C$1:$C$691)</f>
        <v>0</v>
      </c>
      <c r="I308" s="2640"/>
      <c r="J308" s="2119" t="s">
        <v>6385</v>
      </c>
      <c r="L308" s="2024" t="str">
        <f>VLOOKUP(A308,'2012 Budget'!$A$18:$B$2152,2,FALSE)</f>
        <v>Pension Fund ;</v>
      </c>
    </row>
    <row r="309" spans="1:12" s="2024" customFormat="1" x14ac:dyDescent="0.2">
      <c r="A309" s="2116" t="s">
        <v>5674</v>
      </c>
      <c r="B309" s="2117" t="s">
        <v>4831</v>
      </c>
      <c r="C309" s="2109">
        <f>VLOOKUP(A309,'2011 - TB'!$A$3:$B$971,2,FALSE)</f>
        <v>658983.28</v>
      </c>
      <c r="D309" s="2118">
        <v>0</v>
      </c>
      <c r="E309" s="2118">
        <f>VLOOKUP(A309,'2012 - TB'!$A$3:$H$733,5,FALSE)</f>
        <v>729481.12</v>
      </c>
      <c r="F309" s="2118">
        <f>VLOOKUP(A309,'2012 - TB'!$A$3:$H$733,6,FALSE)</f>
        <v>0</v>
      </c>
      <c r="G309" s="2118">
        <f t="shared" si="11"/>
        <v>729481.12</v>
      </c>
      <c r="H309" s="2640">
        <f>SUMIF('Original Budget'!$A$1:$A$691,'Trial Balance - FPer'!A309,'Original Budget'!$C$1:$C$691)</f>
        <v>802015.37</v>
      </c>
      <c r="I309" s="2640">
        <f>VLOOKUP(A309,'2012 - TB'!$A$3:$C$733,3,FALSE)</f>
        <v>721907.36</v>
      </c>
      <c r="J309" s="2119" t="s">
        <v>6385</v>
      </c>
      <c r="L309" s="2024" t="str">
        <f>VLOOKUP(A309,'2012 Budget'!$A$18:$B$2152,2,FALSE)</f>
        <v>Pension Fund ;</v>
      </c>
    </row>
    <row r="310" spans="1:12" s="2024" customFormat="1" x14ac:dyDescent="0.2">
      <c r="A310" s="2116" t="s">
        <v>5738</v>
      </c>
      <c r="B310" s="2117" t="s">
        <v>4831</v>
      </c>
      <c r="C310" s="2109">
        <f>VLOOKUP(A310,'2011 - TB'!$A$3:$B$971,2,FALSE)</f>
        <v>297598.28000000003</v>
      </c>
      <c r="D310" s="2118">
        <v>0</v>
      </c>
      <c r="E310" s="2118">
        <f>VLOOKUP(A310,'2012 - TB'!$A$3:$H$733,5,FALSE)</f>
        <v>364086.82</v>
      </c>
      <c r="F310" s="2118">
        <f>VLOOKUP(A310,'2012 - TB'!$A$3:$H$733,6,FALSE)</f>
        <v>0</v>
      </c>
      <c r="G310" s="2118">
        <f t="shared" si="11"/>
        <v>364086.82</v>
      </c>
      <c r="H310" s="2640">
        <f>SUMIF('Original Budget'!$A$1:$A$691,'Trial Balance - FPer'!A310,'Original Budget'!$C$1:$C$691)</f>
        <v>344443.02</v>
      </c>
      <c r="I310" s="2640">
        <f>VLOOKUP(A310,'2012 - TB'!$A$3:$C$733,3,FALSE)</f>
        <v>387237.56</v>
      </c>
      <c r="J310" s="2119" t="s">
        <v>6385</v>
      </c>
      <c r="L310" s="2024" t="str">
        <f>VLOOKUP(A310,'2012 Budget'!$A$18:$B$2152,2,FALSE)</f>
        <v>Pension Fund ;</v>
      </c>
    </row>
    <row r="311" spans="1:12" s="2024" customFormat="1" x14ac:dyDescent="0.2">
      <c r="A311" s="2116" t="s">
        <v>5783</v>
      </c>
      <c r="B311" s="2117" t="s">
        <v>4831</v>
      </c>
      <c r="C311" s="2109">
        <f>VLOOKUP(A311,'2011 - TB'!$A$3:$B$971,2,FALSE)</f>
        <v>229484.42</v>
      </c>
      <c r="D311" s="2118">
        <v>0</v>
      </c>
      <c r="E311" s="2118">
        <f>VLOOKUP(A311,'2012 - TB'!$A$3:$H$733,5,FALSE)</f>
        <v>263606.76</v>
      </c>
      <c r="F311" s="2118">
        <f>VLOOKUP(A311,'2012 - TB'!$A$3:$H$733,6,FALSE)</f>
        <v>0</v>
      </c>
      <c r="G311" s="2118">
        <f t="shared" si="11"/>
        <v>263606.76</v>
      </c>
      <c r="H311" s="2640">
        <f>SUMIF('Original Budget'!$A$1:$A$691,'Trial Balance - FPer'!A311,'Original Budget'!$C$1:$C$691)</f>
        <v>279261.71000000002</v>
      </c>
      <c r="I311" s="2640">
        <f>VLOOKUP(A311,'2012 - TB'!$A$3:$C$733,3,FALSE)</f>
        <v>255549.37</v>
      </c>
      <c r="J311" s="2119" t="s">
        <v>6385</v>
      </c>
      <c r="L311" s="2024" t="str">
        <f>VLOOKUP(A311,'2012 Budget'!$A$18:$B$2152,2,FALSE)</f>
        <v>Pension Fund ;</v>
      </c>
    </row>
    <row r="312" spans="1:12" s="2024" customFormat="1" x14ac:dyDescent="0.2">
      <c r="A312" s="2116" t="s">
        <v>5839</v>
      </c>
      <c r="B312" s="2117" t="s">
        <v>4831</v>
      </c>
      <c r="C312" s="2109">
        <f>VLOOKUP(A312,'2011 - TB'!$A$3:$B$971,2,FALSE)</f>
        <v>399287.67</v>
      </c>
      <c r="D312" s="2118">
        <v>0</v>
      </c>
      <c r="E312" s="2118">
        <f>VLOOKUP(A312,'2012 - TB'!$A$3:$H$733,5,FALSE)</f>
        <v>457578.47</v>
      </c>
      <c r="F312" s="2118">
        <f>VLOOKUP(A312,'2012 - TB'!$A$3:$H$733,6,FALSE)</f>
        <v>0</v>
      </c>
      <c r="G312" s="2118">
        <f t="shared" si="11"/>
        <v>457578.47</v>
      </c>
      <c r="H312" s="2640">
        <f>SUMIF('Original Budget'!$A$1:$A$691,'Trial Balance - FPer'!A312,'Original Budget'!$C$1:$C$691)</f>
        <v>486212.66</v>
      </c>
      <c r="I312" s="2640">
        <f>VLOOKUP(A312,'2012 - TB'!$A$3:$C$733,3,FALSE)</f>
        <v>458476.46</v>
      </c>
      <c r="J312" s="2119" t="s">
        <v>6385</v>
      </c>
      <c r="L312" s="2024" t="str">
        <f>VLOOKUP(A312,'2012 Budget'!$A$18:$B$2152,2,FALSE)</f>
        <v>Pension Fund ;</v>
      </c>
    </row>
    <row r="313" spans="1:12" s="2024" customFormat="1" ht="13.5" thickBot="1" x14ac:dyDescent="0.25">
      <c r="A313" s="2116" t="s">
        <v>5900</v>
      </c>
      <c r="B313" s="2117" t="s">
        <v>4831</v>
      </c>
      <c r="C313" s="2109">
        <f>VLOOKUP(A313,'2011 - TB'!$A$3:$B$971,2,FALSE)</f>
        <v>72945.84</v>
      </c>
      <c r="D313" s="2118">
        <v>0</v>
      </c>
      <c r="E313" s="2118">
        <f>VLOOKUP(A313,'2012 - TB'!$A$3:$H$733,5,FALSE)</f>
        <v>84253.75</v>
      </c>
      <c r="F313" s="2118">
        <f>VLOOKUP(A313,'2012 - TB'!$A$3:$H$733,6,FALSE)</f>
        <v>0</v>
      </c>
      <c r="G313" s="2118">
        <f t="shared" si="11"/>
        <v>84253.75</v>
      </c>
      <c r="H313" s="2640">
        <f>SUMIF('Original Budget'!$A$1:$A$691,'Trial Balance - FPer'!A313,'Original Budget'!$C$1:$C$691)</f>
        <v>85023.72</v>
      </c>
      <c r="I313" s="2640">
        <f>VLOOKUP(A313,'2012 - TB'!$A$3:$C$733,3,FALSE)</f>
        <v>84253.75</v>
      </c>
      <c r="J313" s="2119" t="s">
        <v>6385</v>
      </c>
      <c r="L313" s="2024" t="str">
        <f>VLOOKUP(A313,'2012 Budget'!$A$18:$B$2152,2,FALSE)</f>
        <v>Pension Fund ;</v>
      </c>
    </row>
    <row r="314" spans="1:12" s="2024" customFormat="1" x14ac:dyDescent="0.2">
      <c r="A314" s="2111" t="s">
        <v>4809</v>
      </c>
      <c r="B314" s="2112" t="s">
        <v>4810</v>
      </c>
      <c r="C314" s="2113">
        <f>VLOOKUP(A314,'2011 - TB'!$A$3:$B$971,2,FALSE)</f>
        <v>0</v>
      </c>
      <c r="D314" s="2114">
        <v>0</v>
      </c>
      <c r="E314" s="2114">
        <v>0</v>
      </c>
      <c r="F314" s="2114">
        <v>0</v>
      </c>
      <c r="G314" s="2114">
        <f t="shared" si="11"/>
        <v>0</v>
      </c>
      <c r="H314" s="2640">
        <f>SUMIF('Original Budget'!$A$1:$A$691,'Trial Balance - FPer'!A314,'Original Budget'!$C$1:$C$691)</f>
        <v>592800.26</v>
      </c>
      <c r="I314" s="2640"/>
      <c r="J314" s="2115" t="s">
        <v>6393</v>
      </c>
      <c r="L314" s="2024" t="str">
        <f>VLOOKUP(A314,'2012 Budget'!$A$18:$B$2152,2,FALSE)</f>
        <v>Performance Bon</v>
      </c>
    </row>
    <row r="315" spans="1:12" s="2024" customFormat="1" x14ac:dyDescent="0.2">
      <c r="A315" s="2116" t="s">
        <v>4905</v>
      </c>
      <c r="B315" s="2117" t="s">
        <v>4810</v>
      </c>
      <c r="C315" s="2109" t="str">
        <f>VLOOKUP(A315,'2011 - TB'!$A$3:$B$971,2,FALSE)</f>
        <v xml:space="preserve">                               -  </v>
      </c>
      <c r="D315" s="2118">
        <v>0</v>
      </c>
      <c r="E315" s="2118">
        <f>VLOOKUP(A315,'2012 - TB'!$A$3:$H$733,5,FALSE)</f>
        <v>0</v>
      </c>
      <c r="F315" s="2118">
        <f>VLOOKUP(A315,'2012 - TB'!$A$3:$H$733,6,FALSE)</f>
        <v>0</v>
      </c>
      <c r="G315" s="2118">
        <f t="shared" si="11"/>
        <v>0</v>
      </c>
      <c r="H315" s="2640">
        <f>SUMIF('Original Budget'!$A$1:$A$691,'Trial Balance - FPer'!A315,'Original Budget'!$C$1:$C$691)</f>
        <v>13157.41</v>
      </c>
      <c r="I315" s="2640">
        <f>VLOOKUP(A315,'2012 - TB'!$A$3:$C$733,3,FALSE)</f>
        <v>89000</v>
      </c>
      <c r="J315" s="2119" t="s">
        <v>6393</v>
      </c>
      <c r="L315" s="2024" t="str">
        <f>VLOOKUP(A315,'2012 Budget'!$A$18:$B$2152,2,FALSE)</f>
        <v>Performance Bon</v>
      </c>
    </row>
    <row r="316" spans="1:12" s="2024" customFormat="1" x14ac:dyDescent="0.2">
      <c r="A316" s="2116" t="s">
        <v>4938</v>
      </c>
      <c r="B316" s="2117" t="s">
        <v>4810</v>
      </c>
      <c r="C316" s="2109">
        <f>VLOOKUP(A316,'2011 - TB'!$A$3:$B$971,2,FALSE)</f>
        <v>0</v>
      </c>
      <c r="D316" s="2118">
        <v>0</v>
      </c>
      <c r="E316" s="2118">
        <f>VLOOKUP(A316,'2012 - TB'!$A$3:$H$733,5,FALSE)</f>
        <v>0</v>
      </c>
      <c r="F316" s="2118">
        <f>VLOOKUP(A316,'2012 - TB'!$A$3:$H$733,6,FALSE)</f>
        <v>0</v>
      </c>
      <c r="G316" s="2118">
        <f t="shared" si="11"/>
        <v>0</v>
      </c>
      <c r="H316" s="2640">
        <f>SUMIF('Original Budget'!$A$1:$A$691,'Trial Balance - FPer'!A316,'Original Budget'!$C$1:$C$691)</f>
        <v>0</v>
      </c>
      <c r="I316" s="2640">
        <f>VLOOKUP(A316,'2012 - TB'!$A$3:$C$733,3,FALSE)</f>
        <v>66858.960000000006</v>
      </c>
      <c r="J316" s="2119" t="s">
        <v>6393</v>
      </c>
      <c r="L316" s="2024" t="str">
        <f>VLOOKUP(A316,'2012 Budget'!$A$18:$B$2152,2,FALSE)</f>
        <v>Performance Bon</v>
      </c>
    </row>
    <row r="317" spans="1:12" s="2024" customFormat="1" x14ac:dyDescent="0.2">
      <c r="A317" s="2623" t="s">
        <v>5202</v>
      </c>
      <c r="B317" s="2624" t="s">
        <v>4810</v>
      </c>
      <c r="C317" s="2109">
        <f>VLOOKUP(A317,'2011 - TB'!$A$3:$B$971,2,FALSE)</f>
        <v>0</v>
      </c>
      <c r="D317" s="2118">
        <v>0</v>
      </c>
      <c r="E317" s="2118">
        <v>0</v>
      </c>
      <c r="F317" s="2118">
        <v>0</v>
      </c>
      <c r="G317" s="2118">
        <f t="shared" si="11"/>
        <v>0</v>
      </c>
      <c r="H317" s="2640">
        <f>SUMIF('Original Budget'!$A$1:$A$691,'Trial Balance - FPer'!A317,'Original Budget'!$C$1:$C$691)</f>
        <v>0</v>
      </c>
      <c r="I317" s="2640"/>
      <c r="J317" s="2119" t="s">
        <v>6393</v>
      </c>
      <c r="L317" s="2024" t="e">
        <f>VLOOKUP(A317,'2012 Budget'!$A$18:$B$2152,2,FALSE)</f>
        <v>#N/A</v>
      </c>
    </row>
    <row r="318" spans="1:12" s="2024" customFormat="1" x14ac:dyDescent="0.2">
      <c r="A318" s="2623" t="s">
        <v>5203</v>
      </c>
      <c r="B318" s="2624" t="s">
        <v>4810</v>
      </c>
      <c r="C318" s="2109">
        <f>VLOOKUP(A318,'2011 - TB'!$A$3:$B$971,2,FALSE)</f>
        <v>0</v>
      </c>
      <c r="D318" s="2118">
        <v>0</v>
      </c>
      <c r="E318" s="2118">
        <v>0</v>
      </c>
      <c r="F318" s="2118">
        <v>0</v>
      </c>
      <c r="G318" s="2118">
        <f t="shared" si="11"/>
        <v>0</v>
      </c>
      <c r="H318" s="2640">
        <f>SUMIF('Original Budget'!$A$1:$A$691,'Trial Balance - FPer'!A318,'Original Budget'!$C$1:$C$691)</f>
        <v>0</v>
      </c>
      <c r="I318" s="2640"/>
      <c r="J318" s="2119" t="s">
        <v>6393</v>
      </c>
      <c r="L318" s="2024" t="e">
        <f>VLOOKUP(A318,'2012 Budget'!$A$18:$B$2152,2,FALSE)</f>
        <v>#N/A</v>
      </c>
    </row>
    <row r="319" spans="1:12" s="2024" customFormat="1" ht="13.5" thickBot="1" x14ac:dyDescent="0.25">
      <c r="A319" s="2120" t="s">
        <v>5725</v>
      </c>
      <c r="B319" s="2121" t="s">
        <v>4810</v>
      </c>
      <c r="C319" s="2122">
        <f>VLOOKUP(A319,'2011 - TB'!$A$3:$B$971,2,FALSE)</f>
        <v>63347.68</v>
      </c>
      <c r="D319" s="2123">
        <v>0</v>
      </c>
      <c r="E319" s="2123">
        <f>VLOOKUP(A319,'2012 - TB'!$A$3:$H$733,5,FALSE)</f>
        <v>306683.75</v>
      </c>
      <c r="F319" s="2123">
        <f>VLOOKUP(A319,'2012 - TB'!$A$3:$H$733,6,FALSE)</f>
        <v>-306683.77</v>
      </c>
      <c r="G319" s="2123">
        <f t="shared" si="11"/>
        <v>-2.0000000018626451E-2</v>
      </c>
      <c r="H319" s="2640">
        <f>SUMIF('Original Budget'!$A$1:$A$691,'Trial Balance - FPer'!A319,'Original Budget'!$C$1:$C$691)</f>
        <v>0</v>
      </c>
      <c r="I319" s="2640">
        <f>VLOOKUP(A319,'2012 - TB'!$A$3:$C$733,3,FALSE)</f>
        <v>0</v>
      </c>
      <c r="J319" s="2124" t="s">
        <v>6393</v>
      </c>
      <c r="L319" s="2024" t="str">
        <f>VLOOKUP(A319,'2012 Budget'!$A$18:$B$2152,2,FALSE)</f>
        <v>Performance Bon</v>
      </c>
    </row>
    <row r="320" spans="1:12" s="2024" customFormat="1" x14ac:dyDescent="0.2">
      <c r="A320" s="1283" t="s">
        <v>4807</v>
      </c>
      <c r="B320" s="2117" t="s">
        <v>4808</v>
      </c>
      <c r="C320" s="2109">
        <f>VLOOKUP(A320,'2011 - TB'!$A$3:$B$971,2,FALSE)</f>
        <v>582403.78</v>
      </c>
      <c r="D320" s="2118">
        <f>VLOOKUP(A320,'2012 - TB'!$A$3:$H$733,4,FALSE)</f>
        <v>0</v>
      </c>
      <c r="E320" s="2118">
        <f>VLOOKUP(A320,'2012 - TB'!$A$3:$H$733,5,FALSE)</f>
        <v>1816522.97</v>
      </c>
      <c r="F320" s="2118">
        <f>VLOOKUP(A320,'2012 - TB'!$A$3:$H$733,6,FALSE)</f>
        <v>-529650.23</v>
      </c>
      <c r="G320" s="2118">
        <f t="shared" si="11"/>
        <v>1286872.74</v>
      </c>
      <c r="H320" s="2640">
        <f>SUMIF('Original Budget'!$A$1:$A$691,'Trial Balance - FPer'!A320,'Original Budget'!$C$1:$C$691)</f>
        <v>301020.56</v>
      </c>
      <c r="I320" s="2640">
        <f>VLOOKUP(A320,'2012 - TB'!$A$3:$C$733,3,FALSE)</f>
        <v>1143565.23</v>
      </c>
      <c r="J320" s="2119" t="s">
        <v>6381</v>
      </c>
      <c r="L320" s="2024" t="str">
        <f>VLOOKUP(A320,'2012 Budget'!$A$18:$B$2152,2,FALSE)</f>
        <v>Salaries;</v>
      </c>
    </row>
    <row r="321" spans="1:12" s="2024" customFormat="1" x14ac:dyDescent="0.2">
      <c r="A321" s="2116" t="s">
        <v>4904</v>
      </c>
      <c r="B321" s="2117" t="s">
        <v>4808</v>
      </c>
      <c r="C321" s="2109">
        <f>VLOOKUP(A321,'2011 - TB'!$A$3:$B$971,2,FALSE)</f>
        <v>477339.96</v>
      </c>
      <c r="D321" s="2118">
        <v>0</v>
      </c>
      <c r="E321" s="2118">
        <f>VLOOKUP(A321,'2012 - TB'!$A$3:$H$733,5,FALSE)</f>
        <v>649031.04</v>
      </c>
      <c r="F321" s="2118">
        <f>VLOOKUP(A321,'2012 - TB'!$A$3:$H$733,6,FALSE)</f>
        <v>0</v>
      </c>
      <c r="G321" s="2118">
        <f t="shared" si="11"/>
        <v>649031.04</v>
      </c>
      <c r="H321" s="2640">
        <f>SUMIF('Original Budget'!$A$1:$A$691,'Trial Balance - FPer'!A321,'Original Budget'!$C$1:$C$691)</f>
        <v>594855.52</v>
      </c>
      <c r="I321" s="2640">
        <f>VLOOKUP(A321,'2012 - TB'!$A$3:$C$733,3,FALSE)</f>
        <v>632000.04</v>
      </c>
      <c r="J321" s="2119" t="s">
        <v>6381</v>
      </c>
      <c r="L321" s="2024" t="str">
        <f>VLOOKUP(A321,'2012 Budget'!$A$18:$B$2152,2,FALSE)</f>
        <v>Salaries;</v>
      </c>
    </row>
    <row r="322" spans="1:12" s="2024" customFormat="1" x14ac:dyDescent="0.2">
      <c r="A322" s="2116" t="s">
        <v>4935</v>
      </c>
      <c r="B322" s="2117" t="s">
        <v>4808</v>
      </c>
      <c r="C322" s="2109">
        <f>VLOOKUP(A322,'2011 - TB'!$A$3:$B$971,2,FALSE)</f>
        <v>290500.90000000002</v>
      </c>
      <c r="D322" s="2118">
        <v>0</v>
      </c>
      <c r="E322" s="2118">
        <f>VLOOKUP(A322,'2012 - TB'!$A$3:$H$733,5,FALSE)</f>
        <v>452138.23999999999</v>
      </c>
      <c r="F322" s="2118">
        <f>VLOOKUP(A322,'2012 - TB'!$A$3:$H$733,6,FALSE)</f>
        <v>-3022.4</v>
      </c>
      <c r="G322" s="2118">
        <f t="shared" si="11"/>
        <v>449115.83999999997</v>
      </c>
      <c r="H322" s="2640">
        <f>SUMIF('Original Budget'!$A$1:$A$691,'Trial Balance - FPer'!A322,'Original Budget'!$C$1:$C$691)</f>
        <v>493324.69</v>
      </c>
      <c r="I322" s="2640">
        <f>VLOOKUP(A322,'2012 - TB'!$A$3:$C$733,3,FALSE)</f>
        <v>489595.47</v>
      </c>
      <c r="J322" s="2119" t="s">
        <v>6381</v>
      </c>
      <c r="L322" s="2024" t="str">
        <f>VLOOKUP(A322,'2012 Budget'!$A$18:$B$2152,2,FALSE)</f>
        <v>Salaries;</v>
      </c>
    </row>
    <row r="323" spans="1:12" s="2024" customFormat="1" x14ac:dyDescent="0.2">
      <c r="A323" s="1283" t="s">
        <v>4936</v>
      </c>
      <c r="B323" s="2117" t="s">
        <v>4808</v>
      </c>
      <c r="C323" s="2109">
        <f>VLOOKUP(A323,'2011 - TB'!$A$3:$B$971,2,FALSE)</f>
        <v>2057419.62</v>
      </c>
      <c r="D323" s="2118">
        <v>0</v>
      </c>
      <c r="E323" s="2118">
        <f>VLOOKUP(A323,'2012 - TB'!$A$3:$H$733,5,FALSE)</f>
        <v>2727323.88</v>
      </c>
      <c r="F323" s="2118">
        <f>VLOOKUP(A323,'2012 - TB'!$A$3:$H$733,6,FALSE)</f>
        <v>-24506.32</v>
      </c>
      <c r="G323" s="2118">
        <f t="shared" si="11"/>
        <v>2702817.56</v>
      </c>
      <c r="H323" s="2640">
        <f>SUMIF('Original Budget'!$A$1:$A$691,'Trial Balance - FPer'!A323,'Original Budget'!$C$1:$C$691)</f>
        <v>2604977.1800000002</v>
      </c>
      <c r="I323" s="2640">
        <f>VLOOKUP(A323,'2012 - TB'!$A$3:$C$733,3,FALSE)</f>
        <v>2786173.48</v>
      </c>
      <c r="J323" s="2119" t="s">
        <v>6381</v>
      </c>
      <c r="L323" s="2024" t="str">
        <f>VLOOKUP(A323,'2012 Budget'!$A$18:$B$2152,2,FALSE)</f>
        <v>Salaries;</v>
      </c>
    </row>
    <row r="324" spans="1:12" s="2024" customFormat="1" x14ac:dyDescent="0.2">
      <c r="A324" s="2116" t="s">
        <v>4937</v>
      </c>
      <c r="B324" s="2117" t="s">
        <v>4808</v>
      </c>
      <c r="C324" s="2109">
        <f>VLOOKUP(A324,'2011 - TB'!$A$3:$B$971,2,FALSE)</f>
        <v>133177.72</v>
      </c>
      <c r="D324" s="2118">
        <v>0</v>
      </c>
      <c r="E324" s="2118">
        <v>0</v>
      </c>
      <c r="F324" s="2118">
        <v>0</v>
      </c>
      <c r="G324" s="2118">
        <f t="shared" si="11"/>
        <v>0</v>
      </c>
      <c r="H324" s="2640">
        <f>SUMIF('Original Budget'!$A$1:$A$691,'Trial Balance - FPer'!A324,'Original Budget'!$C$1:$C$691)</f>
        <v>360118.11</v>
      </c>
      <c r="I324" s="2640"/>
      <c r="J324" s="2119" t="s">
        <v>6381</v>
      </c>
      <c r="L324" s="2024" t="str">
        <f>VLOOKUP(A324,'2012 Budget'!$A$18:$B$2152,2,FALSE)</f>
        <v>Salaries;</v>
      </c>
    </row>
    <row r="325" spans="1:12" s="2024" customFormat="1" x14ac:dyDescent="0.2">
      <c r="A325" s="2116" t="s">
        <v>5099</v>
      </c>
      <c r="B325" s="2117" t="s">
        <v>4808</v>
      </c>
      <c r="C325" s="2109">
        <f>VLOOKUP(A325,'2011 - TB'!$A$3:$B$971,2,FALSE)</f>
        <v>632572.31000000006</v>
      </c>
      <c r="D325" s="2118">
        <v>0</v>
      </c>
      <c r="E325" s="2118">
        <f>VLOOKUP(A325,'2012 - TB'!$A$3:$H$733,5,FALSE)</f>
        <v>914002.88</v>
      </c>
      <c r="F325" s="2118">
        <f>VLOOKUP(A325,'2012 - TB'!$A$3:$H$733,6,FALSE)</f>
        <v>-4473.83</v>
      </c>
      <c r="G325" s="2118">
        <f t="shared" si="11"/>
        <v>909529.05</v>
      </c>
      <c r="H325" s="2640">
        <f>SUMIF('Original Budget'!$A$1:$A$691,'Trial Balance - FPer'!A325,'Original Budget'!$C$1:$C$691)</f>
        <v>876483.62</v>
      </c>
      <c r="I325" s="2640">
        <f>VLOOKUP(A325,'2012 - TB'!$A$3:$C$733,3,FALSE)</f>
        <v>888615.66</v>
      </c>
      <c r="J325" s="2119" t="s">
        <v>6381</v>
      </c>
      <c r="L325" s="2024" t="str">
        <f>VLOOKUP(A325,'2012 Budget'!$A$18:$B$2152,2,FALSE)</f>
        <v>Salaries;</v>
      </c>
    </row>
    <row r="326" spans="1:12" s="2024" customFormat="1" x14ac:dyDescent="0.2">
      <c r="A326" s="2116" t="s">
        <v>5125</v>
      </c>
      <c r="B326" s="2117" t="s">
        <v>4808</v>
      </c>
      <c r="C326" s="2109">
        <f>VLOOKUP(A326,'2011 - TB'!$A$3:$B$971,2,FALSE)</f>
        <v>244249.16</v>
      </c>
      <c r="D326" s="2118">
        <v>0</v>
      </c>
      <c r="E326" s="2118">
        <f>VLOOKUP(A326,'2012 - TB'!$A$3:$H$733,5,FALSE)</f>
        <v>312424.53999999998</v>
      </c>
      <c r="F326" s="2118">
        <f>VLOOKUP(A326,'2012 - TB'!$A$3:$H$733,6,FALSE)</f>
        <v>-4721.74</v>
      </c>
      <c r="G326" s="2118">
        <f t="shared" si="11"/>
        <v>307702.8</v>
      </c>
      <c r="H326" s="2640">
        <f>SUMIF('Original Budget'!$A$1:$A$691,'Trial Balance - FPer'!A326,'Original Budget'!$C$1:$C$691)</f>
        <v>144031.70000000001</v>
      </c>
      <c r="I326" s="2640">
        <f>VLOOKUP(A326,'2012 - TB'!$A$3:$C$733,3,FALSE)</f>
        <v>335532.62</v>
      </c>
      <c r="J326" s="2119" t="s">
        <v>6381</v>
      </c>
      <c r="L326" s="2024" t="str">
        <f>VLOOKUP(A326,'2012 Budget'!$A$18:$B$2152,2,FALSE)</f>
        <v>Salaries;</v>
      </c>
    </row>
    <row r="327" spans="1:12" s="2024" customFormat="1" x14ac:dyDescent="0.2">
      <c r="A327" s="2116" t="s">
        <v>5156</v>
      </c>
      <c r="B327" s="2117" t="s">
        <v>4808</v>
      </c>
      <c r="C327" s="2109">
        <f>VLOOKUP(A327,'2011 - TB'!$A$3:$B$971,2,FALSE)</f>
        <v>0</v>
      </c>
      <c r="D327" s="2118">
        <v>0</v>
      </c>
      <c r="E327" s="2118">
        <v>0</v>
      </c>
      <c r="F327" s="2118">
        <v>0</v>
      </c>
      <c r="G327" s="2118">
        <f t="shared" si="11"/>
        <v>0</v>
      </c>
      <c r="H327" s="2640">
        <f>SUMIF('Original Budget'!$A$1:$A$691,'Trial Balance - FPer'!A327,'Original Budget'!$C$1:$C$691)</f>
        <v>0</v>
      </c>
      <c r="I327" s="2640"/>
      <c r="J327" s="2119" t="s">
        <v>6381</v>
      </c>
      <c r="L327" s="2024" t="str">
        <f>VLOOKUP(A327,'2012 Budget'!$A$18:$B$2152,2,FALSE)</f>
        <v>Salaries;</v>
      </c>
    </row>
    <row r="328" spans="1:12" s="2024" customFormat="1" x14ac:dyDescent="0.2">
      <c r="A328" s="2116" t="s">
        <v>5198</v>
      </c>
      <c r="B328" s="2117" t="s">
        <v>4808</v>
      </c>
      <c r="C328" s="2109">
        <f>VLOOKUP(A328,'2011 - TB'!$A$3:$B$971,2,FALSE)</f>
        <v>30987.4</v>
      </c>
      <c r="D328" s="2118">
        <v>0</v>
      </c>
      <c r="E328" s="2118">
        <f>VLOOKUP(A328,'2012 - TB'!$A$3:$H$733,5,FALSE)</f>
        <v>282701.34000000003</v>
      </c>
      <c r="F328" s="2118">
        <f>VLOOKUP(A328,'2012 - TB'!$A$3:$H$733,6,FALSE)</f>
        <v>-600</v>
      </c>
      <c r="G328" s="2118">
        <f t="shared" si="11"/>
        <v>282101.34000000003</v>
      </c>
      <c r="H328" s="2640">
        <f>SUMIF('Original Budget'!$A$1:$A$691,'Trial Balance - FPer'!A328,'Original Budget'!$C$1:$C$691)</f>
        <v>493324.69</v>
      </c>
      <c r="I328" s="2640">
        <f>VLOOKUP(A328,'2012 - TB'!$A$3:$C$733,3,FALSE)</f>
        <v>282101.34000000003</v>
      </c>
      <c r="J328" s="2119" t="s">
        <v>6381</v>
      </c>
      <c r="L328" s="2024" t="str">
        <f>VLOOKUP(A328,'2012 Budget'!$A$18:$B$2152,2,FALSE)</f>
        <v>Salaries;</v>
      </c>
    </row>
    <row r="329" spans="1:12" s="2024" customFormat="1" x14ac:dyDescent="0.2">
      <c r="A329" s="2116" t="s">
        <v>5199</v>
      </c>
      <c r="B329" s="2117" t="s">
        <v>4808</v>
      </c>
      <c r="C329" s="2109">
        <f>VLOOKUP(A329,'2011 - TB'!$A$3:$B$971,2,FALSE)</f>
        <v>152657.60000000001</v>
      </c>
      <c r="D329" s="2118">
        <v>0</v>
      </c>
      <c r="E329" s="2118">
        <f>VLOOKUP(A329,'2012 - TB'!$A$3:$H$733,5,FALSE)</f>
        <v>430511.91</v>
      </c>
      <c r="F329" s="2118">
        <f>VLOOKUP(A329,'2012 - TB'!$A$3:$H$733,6,FALSE)</f>
        <v>0</v>
      </c>
      <c r="G329" s="2118">
        <f t="shared" si="11"/>
        <v>430511.91</v>
      </c>
      <c r="H329" s="2640">
        <f>SUMIF('Original Budget'!$A$1:$A$691,'Trial Balance - FPer'!A329,'Original Budget'!$C$1:$C$691)</f>
        <v>493324.69</v>
      </c>
      <c r="I329" s="2640">
        <f>VLOOKUP(A329,'2012 - TB'!$A$3:$C$733,3,FALSE)</f>
        <v>430511.91</v>
      </c>
      <c r="J329" s="2119" t="s">
        <v>6381</v>
      </c>
      <c r="L329" s="2024" t="str">
        <f>VLOOKUP(A329,'2012 Budget'!$A$18:$B$2152,2,FALSE)</f>
        <v>Salaries;</v>
      </c>
    </row>
    <row r="330" spans="1:12" s="2024" customFormat="1" x14ac:dyDescent="0.2">
      <c r="A330" s="2116" t="s">
        <v>5200</v>
      </c>
      <c r="B330" s="2117" t="s">
        <v>4808</v>
      </c>
      <c r="C330" s="2109">
        <f>VLOOKUP(A330,'2011 - TB'!$A$3:$B$971,2,FALSE)</f>
        <v>210714.92</v>
      </c>
      <c r="D330" s="2118">
        <v>0</v>
      </c>
      <c r="E330" s="2118">
        <f>VLOOKUP(A330,'2012 - TB'!$A$3:$H$733,5,FALSE)</f>
        <v>367683.32</v>
      </c>
      <c r="F330" s="2118">
        <f>VLOOKUP(A330,'2012 - TB'!$A$3:$H$733,6,FALSE)</f>
        <v>-1976.08</v>
      </c>
      <c r="G330" s="2118">
        <f t="shared" si="11"/>
        <v>365707.24</v>
      </c>
      <c r="H330" s="2640">
        <f>SUMIF('Original Budget'!$A$1:$A$691,'Trial Balance - FPer'!A330,'Original Budget'!$C$1:$C$691)</f>
        <v>266774.40999999997</v>
      </c>
      <c r="I330" s="2640">
        <f>VLOOKUP(A330,'2012 - TB'!$A$3:$C$733,3,FALSE)</f>
        <v>331670.44</v>
      </c>
      <c r="J330" s="2119" t="s">
        <v>6381</v>
      </c>
      <c r="L330" s="2024" t="str">
        <f>VLOOKUP(A330,'2012 Budget'!$A$18:$B$2152,2,FALSE)</f>
        <v>Salaries;</v>
      </c>
    </row>
    <row r="331" spans="1:12" s="2024" customFormat="1" x14ac:dyDescent="0.2">
      <c r="A331" s="1283" t="s">
        <v>5201</v>
      </c>
      <c r="B331" s="2117" t="s">
        <v>4808</v>
      </c>
      <c r="C331" s="2109">
        <f>VLOOKUP(A331,'2011 - TB'!$A$3:$B$971,2,FALSE)</f>
        <v>1003907.74</v>
      </c>
      <c r="D331" s="2118">
        <v>0</v>
      </c>
      <c r="E331" s="2118">
        <f>VLOOKUP(A331,'2012 - TB'!$A$3:$H$733,5,FALSE)</f>
        <v>1028965.14</v>
      </c>
      <c r="F331" s="2118">
        <f>VLOOKUP(A331,'2012 - TB'!$A$3:$H$733,6,FALSE)</f>
        <v>-1264.25</v>
      </c>
      <c r="G331" s="2118">
        <f t="shared" si="11"/>
        <v>1027700.89</v>
      </c>
      <c r="H331" s="2640">
        <f>SUMIF('Original Budget'!$A$1:$A$691,'Trial Balance - FPer'!A331,'Original Budget'!$C$1:$C$691)</f>
        <v>1948455.04</v>
      </c>
      <c r="I331" s="2640">
        <f>VLOOKUP(A331,'2012 - TB'!$A$3:$C$733,3,FALSE)</f>
        <v>1072148.3400000001</v>
      </c>
      <c r="J331" s="2119" t="s">
        <v>6381</v>
      </c>
      <c r="L331" s="2024" t="str">
        <f>VLOOKUP(A331,'2012 Budget'!$A$18:$B$2152,2,FALSE)</f>
        <v>Salaries;</v>
      </c>
    </row>
    <row r="332" spans="1:12" s="2024" customFormat="1" x14ac:dyDescent="0.2">
      <c r="A332" s="2116" t="s">
        <v>5317</v>
      </c>
      <c r="B332" s="2117" t="s">
        <v>4808</v>
      </c>
      <c r="C332" s="2109">
        <f>VLOOKUP(A332,'2011 - TB'!$A$3:$B$971,2,FALSE)</f>
        <v>345427.26</v>
      </c>
      <c r="D332" s="2118">
        <v>0</v>
      </c>
      <c r="E332" s="2118">
        <f>VLOOKUP(A332,'2012 - TB'!$A$3:$H$733,5,FALSE)</f>
        <v>787759.48</v>
      </c>
      <c r="F332" s="2118">
        <f>VLOOKUP(A332,'2012 - TB'!$A$3:$H$733,6,FALSE)</f>
        <v>0</v>
      </c>
      <c r="G332" s="2118">
        <f t="shared" si="11"/>
        <v>787759.48</v>
      </c>
      <c r="H332" s="2640">
        <f>SUMIF('Original Budget'!$A$1:$A$691,'Trial Balance - FPer'!A332,'Original Budget'!$C$1:$C$691)</f>
        <v>370964.33</v>
      </c>
      <c r="I332" s="2640">
        <f>VLOOKUP(A332,'2012 - TB'!$A$3:$C$733,3,FALSE)</f>
        <v>686142.44</v>
      </c>
      <c r="J332" s="2119" t="s">
        <v>6381</v>
      </c>
      <c r="L332" s="2024" t="str">
        <f>VLOOKUP(A332,'2012 Budget'!$A$18:$B$2152,2,FALSE)</f>
        <v>Salaries;</v>
      </c>
    </row>
    <row r="333" spans="1:12" s="2024" customFormat="1" x14ac:dyDescent="0.2">
      <c r="A333" s="2116" t="s">
        <v>5360</v>
      </c>
      <c r="B333" s="2117" t="s">
        <v>4808</v>
      </c>
      <c r="C333" s="2109">
        <f>VLOOKUP(A333,'2011 - TB'!$A$3:$B$971,2,FALSE)</f>
        <v>652595.80000000005</v>
      </c>
      <c r="D333" s="2118">
        <v>0</v>
      </c>
      <c r="E333" s="2118">
        <f>VLOOKUP(A333,'2012 - TB'!$A$3:$H$733,5,FALSE)</f>
        <v>698444.35</v>
      </c>
      <c r="F333" s="2118">
        <f>VLOOKUP(A333,'2012 - TB'!$A$3:$H$733,6,FALSE)</f>
        <v>-11978.1</v>
      </c>
      <c r="G333" s="2118">
        <f t="shared" si="11"/>
        <v>686466.25</v>
      </c>
      <c r="H333" s="2640">
        <f>SUMIF('Original Budget'!$A$1:$A$691,'Trial Balance - FPer'!A333,'Original Budget'!$C$1:$C$691)</f>
        <v>828673.45</v>
      </c>
      <c r="I333" s="2640">
        <f>VLOOKUP(A333,'2012 - TB'!$A$3:$C$733,3,FALSE)</f>
        <v>680477.2</v>
      </c>
      <c r="J333" s="2119" t="s">
        <v>6381</v>
      </c>
      <c r="L333" s="2024" t="str">
        <f>VLOOKUP(A333,'2012 Budget'!$A$18:$B$2152,2,FALSE)</f>
        <v>Salaries;</v>
      </c>
    </row>
    <row r="334" spans="1:12" s="2024" customFormat="1" x14ac:dyDescent="0.2">
      <c r="A334" s="2116" t="s">
        <v>5387</v>
      </c>
      <c r="B334" s="2117" t="s">
        <v>4808</v>
      </c>
      <c r="C334" s="2109">
        <f>VLOOKUP(A334,'2011 - TB'!$A$3:$B$971,2,FALSE)</f>
        <v>167184.4</v>
      </c>
      <c r="D334" s="2118">
        <v>0</v>
      </c>
      <c r="E334" s="2118">
        <f>VLOOKUP(A334,'2012 - TB'!$A$3:$H$733,5,FALSE)</f>
        <v>185158.59</v>
      </c>
      <c r="F334" s="2118">
        <f>VLOOKUP(A334,'2012 - TB'!$A$3:$H$733,6,FALSE)</f>
        <v>-3967.11</v>
      </c>
      <c r="G334" s="2118">
        <f t="shared" si="11"/>
        <v>181191.48</v>
      </c>
      <c r="H334" s="2640">
        <f>SUMIF('Original Budget'!$A$1:$A$691,'Trial Balance - FPer'!A334,'Original Budget'!$C$1:$C$691)</f>
        <v>209603.01</v>
      </c>
      <c r="I334" s="2640">
        <f>VLOOKUP(A334,'2012 - TB'!$A$3:$C$733,3,FALSE)</f>
        <v>177941.12</v>
      </c>
      <c r="J334" s="2119" t="s">
        <v>6381</v>
      </c>
      <c r="L334" s="2024" t="str">
        <f>VLOOKUP(A334,'2012 Budget'!$A$18:$B$2152,2,FALSE)</f>
        <v>Salaries;</v>
      </c>
    </row>
    <row r="335" spans="1:12" s="2024" customFormat="1" x14ac:dyDescent="0.2">
      <c r="A335" s="2116" t="s">
        <v>5433</v>
      </c>
      <c r="B335" s="2117" t="s">
        <v>4808</v>
      </c>
      <c r="C335" s="2109">
        <f>VLOOKUP(A335,'2011 - TB'!$A$3:$B$971,2,FALSE)</f>
        <v>101715.25</v>
      </c>
      <c r="D335" s="2118">
        <v>0</v>
      </c>
      <c r="E335" s="2118">
        <f>VLOOKUP(A335,'2012 - TB'!$A$3:$H$733,5,FALSE)</f>
        <v>91624.48</v>
      </c>
      <c r="F335" s="2118">
        <f>VLOOKUP(A335,'2012 - TB'!$A$3:$H$733,6,FALSE)</f>
        <v>0</v>
      </c>
      <c r="G335" s="2118">
        <f t="shared" si="11"/>
        <v>91624.48</v>
      </c>
      <c r="H335" s="2640">
        <f>SUMIF('Original Budget'!$A$1:$A$691,'Trial Balance - FPer'!A335,'Original Budget'!$C$1:$C$691)</f>
        <v>493324.69</v>
      </c>
      <c r="I335" s="2640">
        <f>VLOOKUP(A335,'2012 - TB'!$A$3:$C$733,3,FALSE)</f>
        <v>91624.48</v>
      </c>
      <c r="J335" s="2119" t="s">
        <v>6381</v>
      </c>
      <c r="L335" s="2024" t="str">
        <f>VLOOKUP(A335,'2012 Budget'!$A$18:$B$2152,2,FALSE)</f>
        <v>Salaries;</v>
      </c>
    </row>
    <row r="336" spans="1:12" s="2024" customFormat="1" x14ac:dyDescent="0.2">
      <c r="A336" s="2116" t="s">
        <v>5434</v>
      </c>
      <c r="B336" s="2117" t="s">
        <v>4808</v>
      </c>
      <c r="C336" s="2109">
        <f>VLOOKUP(A336,'2011 - TB'!$A$3:$B$971,2,FALSE)</f>
        <v>636130.22</v>
      </c>
      <c r="D336" s="2118">
        <v>0</v>
      </c>
      <c r="E336" s="2118">
        <f>VLOOKUP(A336,'2012 - TB'!$A$3:$H$733,5,FALSE)</f>
        <v>786021.82</v>
      </c>
      <c r="F336" s="2118">
        <f>VLOOKUP(A336,'2012 - TB'!$A$3:$H$733,6,FALSE)</f>
        <v>-3512.46</v>
      </c>
      <c r="G336" s="2118">
        <f t="shared" si="11"/>
        <v>782509.36</v>
      </c>
      <c r="H336" s="2640">
        <f>SUMIF('Original Budget'!$A$1:$A$691,'Trial Balance - FPer'!A336,'Original Budget'!$C$1:$C$691)</f>
        <v>738270.49</v>
      </c>
      <c r="I336" s="2640">
        <f>VLOOKUP(A336,'2012 - TB'!$A$3:$C$733,3,FALSE)</f>
        <v>730080.97</v>
      </c>
      <c r="J336" s="2119" t="s">
        <v>6381</v>
      </c>
      <c r="L336" s="2024" t="str">
        <f>VLOOKUP(A336,'2012 Budget'!$A$18:$B$2152,2,FALSE)</f>
        <v>Salaries;</v>
      </c>
    </row>
    <row r="337" spans="1:12" s="2024" customFormat="1" x14ac:dyDescent="0.2">
      <c r="A337" s="2116" t="s">
        <v>5435</v>
      </c>
      <c r="B337" s="2117" t="s">
        <v>4808</v>
      </c>
      <c r="C337" s="2109">
        <f>VLOOKUP(A337,'2011 - TB'!$A$3:$B$971,2,FALSE)</f>
        <v>0</v>
      </c>
      <c r="D337" s="2118">
        <v>0</v>
      </c>
      <c r="E337" s="2118">
        <v>0</v>
      </c>
      <c r="F337" s="2118">
        <v>0</v>
      </c>
      <c r="G337" s="2118">
        <f t="shared" si="11"/>
        <v>0</v>
      </c>
      <c r="H337" s="2640">
        <f>SUMIF('Original Budget'!$A$1:$A$691,'Trial Balance - FPer'!A337,'Original Budget'!$C$1:$C$691)</f>
        <v>0</v>
      </c>
      <c r="I337" s="2640"/>
      <c r="J337" s="2119" t="s">
        <v>6381</v>
      </c>
      <c r="L337" s="2024" t="str">
        <f>VLOOKUP(A337,'2012 Budget'!$A$18:$B$2152,2,FALSE)</f>
        <v>Salaries;</v>
      </c>
    </row>
    <row r="338" spans="1:12" s="2024" customFormat="1" x14ac:dyDescent="0.2">
      <c r="A338" s="2116" t="s">
        <v>5490</v>
      </c>
      <c r="B338" s="2117" t="s">
        <v>4808</v>
      </c>
      <c r="C338" s="2109">
        <f>VLOOKUP(A338,'2011 - TB'!$A$3:$B$971,2,FALSE)</f>
        <v>383154.4</v>
      </c>
      <c r="D338" s="2118">
        <v>0</v>
      </c>
      <c r="E338" s="2118">
        <f>VLOOKUP(A338,'2012 - TB'!$A$3:$H$733,5,FALSE)</f>
        <v>416468.94</v>
      </c>
      <c r="F338" s="2118">
        <f>VLOOKUP(A338,'2012 - TB'!$A$3:$H$733,6,FALSE)</f>
        <v>-3352.68</v>
      </c>
      <c r="G338" s="2118">
        <f t="shared" si="11"/>
        <v>413116.26</v>
      </c>
      <c r="H338" s="2640">
        <f>SUMIF('Original Budget'!$A$1:$A$691,'Trial Balance - FPer'!A338,'Original Budget'!$C$1:$C$691)</f>
        <v>487354.04</v>
      </c>
      <c r="I338" s="2640">
        <f>VLOOKUP(A338,'2012 - TB'!$A$3:$C$733,3,FALSE)</f>
        <v>411439.92</v>
      </c>
      <c r="J338" s="2119" t="s">
        <v>6381</v>
      </c>
      <c r="L338" s="2024" t="str">
        <f>VLOOKUP(A338,'2012 Budget'!$A$18:$B$2152,2,FALSE)</f>
        <v>Salaries;</v>
      </c>
    </row>
    <row r="339" spans="1:12" s="2024" customFormat="1" x14ac:dyDescent="0.2">
      <c r="A339" s="2116" t="s">
        <v>5517</v>
      </c>
      <c r="B339" s="2117" t="s">
        <v>4808</v>
      </c>
      <c r="C339" s="2109">
        <f>VLOOKUP(A339,'2011 - TB'!$A$3:$B$971,2,FALSE)</f>
        <v>438970.21</v>
      </c>
      <c r="D339" s="2118">
        <v>0</v>
      </c>
      <c r="E339" s="2118">
        <f>VLOOKUP(A339,'2012 - TB'!$A$3:$H$733,5,FALSE)</f>
        <v>499640.4</v>
      </c>
      <c r="F339" s="2118">
        <f>VLOOKUP(A339,'2012 - TB'!$A$3:$H$733,6,FALSE)</f>
        <v>-5345.82</v>
      </c>
      <c r="G339" s="2118">
        <f t="shared" si="11"/>
        <v>494294.58</v>
      </c>
      <c r="H339" s="2640">
        <f>SUMIF('Original Budget'!$A$1:$A$691,'Trial Balance - FPer'!A339,'Original Budget'!$C$1:$C$691)</f>
        <v>533057.55000000005</v>
      </c>
      <c r="I339" s="2640">
        <f>VLOOKUP(A339,'2012 - TB'!$A$3:$C$733,3,FALSE)</f>
        <v>491962.08</v>
      </c>
      <c r="J339" s="2119" t="s">
        <v>6381</v>
      </c>
      <c r="L339" s="2024" t="str">
        <f>VLOOKUP(A339,'2012 Budget'!$A$18:$B$2152,2,FALSE)</f>
        <v>Salaries;</v>
      </c>
    </row>
    <row r="340" spans="1:12" s="2024" customFormat="1" x14ac:dyDescent="0.2">
      <c r="A340" s="2116" t="s">
        <v>5552</v>
      </c>
      <c r="B340" s="2117" t="s">
        <v>4808</v>
      </c>
      <c r="C340" s="2109" t="str">
        <f>VLOOKUP(A340,'2011 - TB'!$A$3:$B$971,2,FALSE)</f>
        <v xml:space="preserve">                               -  </v>
      </c>
      <c r="D340" s="2118">
        <v>0</v>
      </c>
      <c r="E340" s="2118">
        <v>0</v>
      </c>
      <c r="F340" s="2118">
        <v>0</v>
      </c>
      <c r="G340" s="2118">
        <f t="shared" si="11"/>
        <v>0</v>
      </c>
      <c r="H340" s="2640">
        <f>SUMIF('Original Budget'!$A$1:$A$691,'Trial Balance - FPer'!A340,'Original Budget'!$C$1:$C$691)</f>
        <v>25065.200000000001</v>
      </c>
      <c r="I340" s="2640"/>
      <c r="J340" s="2119" t="s">
        <v>6381</v>
      </c>
      <c r="L340" s="2024" t="str">
        <f>VLOOKUP(A340,'2012 Budget'!$A$18:$B$2152,2,FALSE)</f>
        <v>Salaries;</v>
      </c>
    </row>
    <row r="341" spans="1:12" s="2024" customFormat="1" x14ac:dyDescent="0.2">
      <c r="A341" s="2116" t="s">
        <v>5565</v>
      </c>
      <c r="B341" s="2117" t="s">
        <v>4808</v>
      </c>
      <c r="C341" s="2109">
        <f>VLOOKUP(A341,'2011 - TB'!$A$3:$B$971,2,FALSE)</f>
        <v>110274.2</v>
      </c>
      <c r="D341" s="2118">
        <v>0</v>
      </c>
      <c r="E341" s="2118">
        <f>VLOOKUP(A341,'2012 - TB'!$A$3:$H$733,5,FALSE)</f>
        <v>118961.97</v>
      </c>
      <c r="F341" s="2118">
        <f>VLOOKUP(A341,'2012 - TB'!$A$3:$H$733,6,FALSE)</f>
        <v>0</v>
      </c>
      <c r="G341" s="2118">
        <f t="shared" si="11"/>
        <v>118961.97</v>
      </c>
      <c r="H341" s="2640">
        <f>SUMIF('Original Budget'!$A$1:$A$691,'Trial Balance - FPer'!A341,'Original Budget'!$C$1:$C$691)</f>
        <v>137205.01999999999</v>
      </c>
      <c r="I341" s="2640">
        <f>VLOOKUP(A341,'2012 - TB'!$A$3:$C$733,3,FALSE)</f>
        <v>118961.97</v>
      </c>
      <c r="J341" s="2119" t="s">
        <v>6381</v>
      </c>
      <c r="L341" s="2024" t="str">
        <f>VLOOKUP(A341,'2012 Budget'!$A$18:$B$2152,2,FALSE)</f>
        <v>Salaries;</v>
      </c>
    </row>
    <row r="342" spans="1:12" s="2024" customFormat="1" x14ac:dyDescent="0.2">
      <c r="A342" s="2116" t="s">
        <v>5587</v>
      </c>
      <c r="B342" s="2117" t="s">
        <v>4808</v>
      </c>
      <c r="C342" s="2109">
        <f>VLOOKUP(A342,'2011 - TB'!$A$3:$B$971,2,FALSE)</f>
        <v>734262.59</v>
      </c>
      <c r="D342" s="2118">
        <v>0</v>
      </c>
      <c r="E342" s="2118">
        <f>VLOOKUP(A342,'2012 - TB'!$A$3:$H$733,5,FALSE)</f>
        <v>772147.63</v>
      </c>
      <c r="F342" s="2118">
        <f>VLOOKUP(A342,'2012 - TB'!$A$3:$H$733,6,FALSE)</f>
        <v>-10954.38</v>
      </c>
      <c r="G342" s="2118">
        <f t="shared" si="11"/>
        <v>761193.25</v>
      </c>
      <c r="H342" s="2640">
        <f>SUMIF('Original Budget'!$A$1:$A$691,'Trial Balance - FPer'!A342,'Original Budget'!$C$1:$C$691)</f>
        <v>969320.34</v>
      </c>
      <c r="I342" s="2640">
        <f>VLOOKUP(A342,'2012 - TB'!$A$3:$C$733,3,FALSE)</f>
        <v>793707.59</v>
      </c>
      <c r="J342" s="2119" t="s">
        <v>6381</v>
      </c>
      <c r="L342" s="2024" t="str">
        <f>VLOOKUP(A342,'2012 Budget'!$A$18:$B$2152,2,FALSE)</f>
        <v>Salaries;</v>
      </c>
    </row>
    <row r="343" spans="1:12" s="2024" customFormat="1" x14ac:dyDescent="0.2">
      <c r="A343" s="2116" t="s">
        <v>5588</v>
      </c>
      <c r="B343" s="2117" t="s">
        <v>4808</v>
      </c>
      <c r="C343" s="2109">
        <f>VLOOKUP(A343,'2011 - TB'!$A$3:$B$971,2,FALSE)</f>
        <v>298051.44</v>
      </c>
      <c r="D343" s="2118">
        <v>0</v>
      </c>
      <c r="E343" s="2118">
        <f>VLOOKUP(A343,'2012 - TB'!$A$3:$H$733,5,FALSE)</f>
        <v>296312.09000000003</v>
      </c>
      <c r="F343" s="2118">
        <f>VLOOKUP(A343,'2012 - TB'!$A$3:$H$733,6,FALSE)</f>
        <v>-4457.9399999999996</v>
      </c>
      <c r="G343" s="2118">
        <f t="shared" si="11"/>
        <v>291854.15000000002</v>
      </c>
      <c r="H343" s="2640">
        <f>SUMIF('Original Budget'!$A$1:$A$691,'Trial Balance - FPer'!A343,'Original Budget'!$C$1:$C$691)</f>
        <v>398717.9</v>
      </c>
      <c r="I343" s="2640">
        <f>VLOOKUP(A343,'2012 - TB'!$A$3:$C$733,3,FALSE)</f>
        <v>295540.87</v>
      </c>
      <c r="J343" s="2119" t="s">
        <v>6381</v>
      </c>
      <c r="L343" s="2024" t="str">
        <f>VLOOKUP(A343,'2012 Budget'!$A$18:$B$2152,2,FALSE)</f>
        <v>Salaries;</v>
      </c>
    </row>
    <row r="344" spans="1:12" s="2024" customFormat="1" x14ac:dyDescent="0.2">
      <c r="A344" s="2116" t="s">
        <v>5644</v>
      </c>
      <c r="B344" s="2117" t="s">
        <v>4808</v>
      </c>
      <c r="C344" s="2109">
        <f>VLOOKUP(A344,'2011 - TB'!$A$3:$B$971,2,FALSE)</f>
        <v>-135173.82999999999</v>
      </c>
      <c r="D344" s="2118">
        <v>0</v>
      </c>
      <c r="E344" s="2118">
        <v>0</v>
      </c>
      <c r="F344" s="2118">
        <v>0</v>
      </c>
      <c r="G344" s="2118">
        <f t="shared" si="11"/>
        <v>0</v>
      </c>
      <c r="H344" s="2640">
        <f>SUMIF('Original Budget'!$A$1:$A$691,'Trial Balance - FPer'!A344,'Original Budget'!$C$1:$C$691)</f>
        <v>0</v>
      </c>
      <c r="I344" s="2640"/>
      <c r="J344" s="2119" t="s">
        <v>6381</v>
      </c>
      <c r="L344" s="2024" t="str">
        <f>VLOOKUP(A344,'2012 Budget'!$A$18:$B$2152,2,FALSE)</f>
        <v>Salaries;</v>
      </c>
    </row>
    <row r="345" spans="1:12" s="2024" customFormat="1" x14ac:dyDescent="0.2">
      <c r="A345" s="1283" t="s">
        <v>5662</v>
      </c>
      <c r="B345" s="2117" t="s">
        <v>4808</v>
      </c>
      <c r="C345" s="2109">
        <f>VLOOKUP(A345,'2011 - TB'!$A$3:$B$971,2,FALSE)</f>
        <v>3944861.38</v>
      </c>
      <c r="D345" s="2118">
        <v>0</v>
      </c>
      <c r="E345" s="2118">
        <f>VLOOKUP(A345,'2012 - TB'!$A$3:$H$733,5,FALSE)</f>
        <v>4101804.41</v>
      </c>
      <c r="F345" s="2118">
        <f>VLOOKUP(A345,'2012 - TB'!$A$3:$H$733,6,FALSE)</f>
        <v>-38261.040000000001</v>
      </c>
      <c r="G345" s="2118">
        <f t="shared" si="11"/>
        <v>4063543.37</v>
      </c>
      <c r="H345" s="2640">
        <f>SUMIF('Original Budget'!$A$1:$A$691,'Trial Balance - FPer'!A345,'Original Budget'!$C$1:$C$691)</f>
        <v>4712758.28</v>
      </c>
      <c r="I345" s="2640">
        <f>VLOOKUP(A345,'2012 - TB'!$A$3:$C$733,3,FALSE)</f>
        <v>4029160.26</v>
      </c>
      <c r="J345" s="2119" t="s">
        <v>6381</v>
      </c>
      <c r="L345" s="2024" t="str">
        <f>VLOOKUP(A345,'2012 Budget'!$A$18:$B$2152,2,FALSE)</f>
        <v>Salaries;</v>
      </c>
    </row>
    <row r="346" spans="1:12" s="2024" customFormat="1" x14ac:dyDescent="0.2">
      <c r="A346" s="1283" t="s">
        <v>5726</v>
      </c>
      <c r="B346" s="2117" t="s">
        <v>4808</v>
      </c>
      <c r="C346" s="2109">
        <f>VLOOKUP(A346,'2011 - TB'!$A$3:$B$971,2,FALSE)</f>
        <v>2165312.7400000002</v>
      </c>
      <c r="D346" s="2118">
        <v>0</v>
      </c>
      <c r="E346" s="2118">
        <f>VLOOKUP(A346,'2012 - TB'!$A$3:$H$733,5,FALSE)</f>
        <v>2024934.39</v>
      </c>
      <c r="F346" s="2118">
        <f>VLOOKUP(A346,'2012 - TB'!$A$3:$H$733,6,FALSE)</f>
        <v>-44736.89</v>
      </c>
      <c r="G346" s="2118">
        <f t="shared" si="11"/>
        <v>1980197.5</v>
      </c>
      <c r="H346" s="2640">
        <f>SUMIF('Original Budget'!$A$1:$A$691,'Trial Balance - FPer'!A346,'Original Budget'!$C$1:$C$691)</f>
        <v>2580260</v>
      </c>
      <c r="I346" s="2640">
        <f>VLOOKUP(A346,'2012 - TB'!$A$3:$C$733,3,FALSE)</f>
        <v>2070118.11</v>
      </c>
      <c r="J346" s="2119" t="s">
        <v>6381</v>
      </c>
      <c r="L346" s="2024" t="str">
        <f>VLOOKUP(A346,'2012 Budget'!$A$18:$B$2152,2,FALSE)</f>
        <v>Salaries;</v>
      </c>
    </row>
    <row r="347" spans="1:12" s="2024" customFormat="1" x14ac:dyDescent="0.2">
      <c r="A347" s="1283" t="s">
        <v>5771</v>
      </c>
      <c r="B347" s="2117" t="s">
        <v>4808</v>
      </c>
      <c r="C347" s="2109">
        <f>VLOOKUP(A347,'2011 - TB'!$A$3:$B$971,2,FALSE)</f>
        <v>1592697.67</v>
      </c>
      <c r="D347" s="2118">
        <v>0</v>
      </c>
      <c r="E347" s="2118">
        <f>VLOOKUP(A347,'2012 - TB'!$A$3:$H$733,5,FALSE)</f>
        <v>1552645.13</v>
      </c>
      <c r="F347" s="2118">
        <f>VLOOKUP(A347,'2012 - TB'!$A$3:$H$733,6,FALSE)</f>
        <v>-33926.769999999997</v>
      </c>
      <c r="G347" s="2118">
        <f t="shared" si="11"/>
        <v>1518718.3599999999</v>
      </c>
      <c r="H347" s="2640">
        <f>SUMIF('Original Budget'!$A$1:$A$691,'Trial Balance - FPer'!A347,'Original Budget'!$C$1:$C$691)</f>
        <v>1958643.38</v>
      </c>
      <c r="I347" s="2640">
        <f>VLOOKUP(A347,'2012 - TB'!$A$3:$C$733,3,FALSE)</f>
        <v>1468457.08</v>
      </c>
      <c r="J347" s="2119" t="s">
        <v>6381</v>
      </c>
      <c r="L347" s="2024" t="str">
        <f>VLOOKUP(A347,'2012 Budget'!$A$18:$B$2152,2,FALSE)</f>
        <v>Salaries;</v>
      </c>
    </row>
    <row r="348" spans="1:12" s="2024" customFormat="1" x14ac:dyDescent="0.2">
      <c r="A348" s="1283" t="s">
        <v>5828</v>
      </c>
      <c r="B348" s="2117" t="s">
        <v>4808</v>
      </c>
      <c r="C348" s="2109">
        <f>VLOOKUP(A348,'2011 - TB'!$A$3:$B$971,2,FALSE)</f>
        <v>2508840.42</v>
      </c>
      <c r="D348" s="2118">
        <v>0</v>
      </c>
      <c r="E348" s="2118">
        <f>VLOOKUP(A348,'2012 - TB'!$A$3:$H$733,5,FALSE)</f>
        <v>3258616.8</v>
      </c>
      <c r="F348" s="2118">
        <f>VLOOKUP(A348,'2012 - TB'!$A$3:$H$733,6,FALSE)</f>
        <v>-780767.64</v>
      </c>
      <c r="G348" s="2118">
        <f t="shared" si="11"/>
        <v>2477849.1599999997</v>
      </c>
      <c r="H348" s="2640">
        <f>SUMIF('Original Budget'!$A$1:$A$691,'Trial Balance - FPer'!A348,'Original Budget'!$C$1:$C$691)</f>
        <v>2984395.39</v>
      </c>
      <c r="I348" s="2640">
        <f>VLOOKUP(A348,'2012 - TB'!$A$3:$C$733,3,FALSE)</f>
        <v>3180071.08</v>
      </c>
      <c r="J348" s="2119" t="s">
        <v>6381</v>
      </c>
      <c r="L348" s="2024" t="str">
        <f>VLOOKUP(A348,'2012 Budget'!$A$18:$B$2152,2,FALSE)</f>
        <v>Salaries;</v>
      </c>
    </row>
    <row r="349" spans="1:12" s="2024" customFormat="1" ht="13.5" thickBot="1" x14ac:dyDescent="0.25">
      <c r="A349" s="2116" t="s">
        <v>5892</v>
      </c>
      <c r="B349" s="2117" t="s">
        <v>4808</v>
      </c>
      <c r="C349" s="2109">
        <f>VLOOKUP(A349,'2011 - TB'!$A$3:$B$971,2,FALSE)</f>
        <v>489779.02</v>
      </c>
      <c r="D349" s="2118">
        <v>0</v>
      </c>
      <c r="E349" s="2118">
        <f>VLOOKUP(A349,'2012 - TB'!$A$3:$H$733,5,FALSE)</f>
        <v>499293.48</v>
      </c>
      <c r="F349" s="2118">
        <f>VLOOKUP(A349,'2012 - TB'!$A$3:$H$733,6,FALSE)</f>
        <v>-3894.94</v>
      </c>
      <c r="G349" s="2118">
        <f t="shared" si="11"/>
        <v>495398.54</v>
      </c>
      <c r="H349" s="2640">
        <f>SUMIF('Original Budget'!$A$1:$A$691,'Trial Balance - FPer'!A349,'Original Budget'!$C$1:$C$691)</f>
        <v>526444.03</v>
      </c>
      <c r="I349" s="2640">
        <f>VLOOKUP(A349,'2012 - TB'!$A$3:$C$733,3,FALSE)</f>
        <v>499293.48</v>
      </c>
      <c r="J349" s="2119" t="s">
        <v>6381</v>
      </c>
      <c r="L349" s="2024" t="str">
        <f>VLOOKUP(A349,'2012 Budget'!$A$18:$B$2152,2,FALSE)</f>
        <v>Salaries;</v>
      </c>
    </row>
    <row r="350" spans="1:12" s="2024" customFormat="1" x14ac:dyDescent="0.2">
      <c r="A350" s="2111" t="s">
        <v>4825</v>
      </c>
      <c r="B350" s="2136" t="s">
        <v>4826</v>
      </c>
      <c r="C350" s="2113">
        <f>VLOOKUP(A350,'2011 - TB'!$A$3:$B$971,2,FALSE)</f>
        <v>6537.78</v>
      </c>
      <c r="D350" s="2114">
        <v>0</v>
      </c>
      <c r="E350" s="2114">
        <f>VLOOKUP(A350,'2012 - TB'!$A$3:$H$733,5,FALSE)</f>
        <v>18722.09</v>
      </c>
      <c r="F350" s="2114">
        <f>VLOOKUP(A350,'2012 - TB'!$A$3:$H$733,6,FALSE)</f>
        <v>0</v>
      </c>
      <c r="G350" s="2114">
        <f t="shared" si="11"/>
        <v>18722.09</v>
      </c>
      <c r="H350" s="2640">
        <f>SUMIF('Original Budget'!$A$1:$A$691,'Trial Balance - FPer'!A350,'Original Budget'!$C$1:$C$691)</f>
        <v>9322.52</v>
      </c>
      <c r="I350" s="2640">
        <f>VLOOKUP(A350,'2012 - TB'!$A$3:$C$733,3,FALSE)</f>
        <v>13137.49</v>
      </c>
      <c r="J350" s="2115" t="s">
        <v>6386</v>
      </c>
      <c r="L350" s="2024" t="str">
        <f>VLOOKUP(A350,'2012 Budget'!$A$18:$B$2152,2,FALSE)</f>
        <v>Skills Developm</v>
      </c>
    </row>
    <row r="351" spans="1:12" s="2024" customFormat="1" x14ac:dyDescent="0.2">
      <c r="A351" s="2116" t="s">
        <v>4827</v>
      </c>
      <c r="B351" s="2117" t="s">
        <v>4826</v>
      </c>
      <c r="C351" s="2109" t="str">
        <f>VLOOKUP(A351,'2011 - TB'!$A$3:$B$971,2,FALSE)</f>
        <v xml:space="preserve">                               -  </v>
      </c>
      <c r="D351" s="2118">
        <v>0</v>
      </c>
      <c r="E351" s="2118">
        <v>0</v>
      </c>
      <c r="F351" s="2118">
        <v>0</v>
      </c>
      <c r="G351" s="2118">
        <f t="shared" si="11"/>
        <v>0</v>
      </c>
      <c r="H351" s="2640">
        <f>SUMIF('Original Budget'!$A$1:$A$691,'Trial Balance - FPer'!A351,'Original Budget'!$C$1:$C$691)</f>
        <v>3977.76</v>
      </c>
      <c r="I351" s="2640"/>
      <c r="J351" s="2119" t="s">
        <v>6386</v>
      </c>
      <c r="L351" s="2024" t="str">
        <f>VLOOKUP(A351,'2012 Budget'!$A$18:$B$2152,2,FALSE)</f>
        <v>Compensation Co</v>
      </c>
    </row>
    <row r="352" spans="1:12" s="2024" customFormat="1" x14ac:dyDescent="0.2">
      <c r="A352" s="2116" t="s">
        <v>4912</v>
      </c>
      <c r="B352" s="2117" t="s">
        <v>4826</v>
      </c>
      <c r="C352" s="2109">
        <f>VLOOKUP(A352,'2011 - TB'!$A$3:$B$971,2,FALSE)</f>
        <v>6629.71</v>
      </c>
      <c r="D352" s="2118">
        <v>0</v>
      </c>
      <c r="E352" s="2118">
        <f>VLOOKUP(A352,'2012 - TB'!$A$3:$H$733,5,FALSE)</f>
        <v>8263.9699999999993</v>
      </c>
      <c r="F352" s="2118">
        <f>VLOOKUP(A352,'2012 - TB'!$A$3:$H$733,6,FALSE)</f>
        <v>0</v>
      </c>
      <c r="G352" s="2118">
        <f t="shared" si="11"/>
        <v>8263.9699999999993</v>
      </c>
      <c r="H352" s="2640">
        <f>SUMIF('Original Budget'!$A$1:$A$691,'Trial Balance - FPer'!A352,'Original Budget'!$C$1:$C$691)</f>
        <v>8337.18</v>
      </c>
      <c r="I352" s="2640">
        <f>VLOOKUP(A352,'2012 - TB'!$A$3:$C$733,3,FALSE)</f>
        <v>8799.85</v>
      </c>
      <c r="J352" s="2119" t="s">
        <v>6386</v>
      </c>
      <c r="L352" s="2024" t="str">
        <f>VLOOKUP(A352,'2012 Budget'!$A$18:$B$2152,2,FALSE)</f>
        <v>Skills Developm</v>
      </c>
    </row>
    <row r="353" spans="1:12" s="2024" customFormat="1" x14ac:dyDescent="0.2">
      <c r="A353" s="2116" t="s">
        <v>4913</v>
      </c>
      <c r="B353" s="2117" t="s">
        <v>4826</v>
      </c>
      <c r="C353" s="2109" t="str">
        <f>VLOOKUP(A353,'2011 - TB'!$A$3:$B$971,2,FALSE)</f>
        <v xml:space="preserve">                               -  </v>
      </c>
      <c r="D353" s="2118">
        <v>0</v>
      </c>
      <c r="E353" s="2118">
        <v>0</v>
      </c>
      <c r="F353" s="2118">
        <v>0</v>
      </c>
      <c r="G353" s="2118">
        <f t="shared" si="11"/>
        <v>0</v>
      </c>
      <c r="H353" s="2640">
        <f>SUMIF('Original Budget'!$A$1:$A$691,'Trial Balance - FPer'!A353,'Original Budget'!$C$1:$C$691)</f>
        <v>4325.03</v>
      </c>
      <c r="I353" s="2640"/>
      <c r="J353" s="2119" t="s">
        <v>6386</v>
      </c>
      <c r="L353" s="2024" t="str">
        <f>VLOOKUP(A353,'2012 Budget'!$A$18:$B$2152,2,FALSE)</f>
        <v>Compensation Co</v>
      </c>
    </row>
    <row r="354" spans="1:12" s="2024" customFormat="1" x14ac:dyDescent="0.2">
      <c r="A354" s="2116" t="s">
        <v>4961</v>
      </c>
      <c r="B354" s="2117" t="s">
        <v>4826</v>
      </c>
      <c r="C354" s="2109">
        <f>VLOOKUP(A354,'2011 - TB'!$A$3:$B$971,2,FALSE)</f>
        <v>2041.49</v>
      </c>
      <c r="D354" s="2118">
        <v>0</v>
      </c>
      <c r="E354" s="2118">
        <f>VLOOKUP(A354,'2012 - TB'!$A$3:$H$733,5,FALSE)</f>
        <v>4265.0600000000004</v>
      </c>
      <c r="F354" s="2118">
        <f>VLOOKUP(A354,'2012 - TB'!$A$3:$H$733,6,FALSE)</f>
        <v>0</v>
      </c>
      <c r="G354" s="2118">
        <f t="shared" si="11"/>
        <v>4265.0600000000004</v>
      </c>
      <c r="H354" s="2640">
        <f>SUMIF('Original Budget'!$A$1:$A$691,'Trial Balance - FPer'!A354,'Original Budget'!$C$1:$C$691)</f>
        <v>3408.26</v>
      </c>
      <c r="I354" s="2640">
        <f>VLOOKUP(A354,'2012 - TB'!$A$3:$C$733,3,FALSE)</f>
        <v>4988.3500000000004</v>
      </c>
      <c r="J354" s="2119" t="s">
        <v>6386</v>
      </c>
      <c r="L354" s="2024" t="str">
        <f>VLOOKUP(A354,'2012 Budget'!$A$18:$B$2152,2,FALSE)</f>
        <v>Skills Developm</v>
      </c>
    </row>
    <row r="355" spans="1:12" s="2024" customFormat="1" x14ac:dyDescent="0.2">
      <c r="A355" s="2116" t="s">
        <v>4962</v>
      </c>
      <c r="B355" s="2117" t="s">
        <v>4826</v>
      </c>
      <c r="C355" s="2109">
        <f>VLOOKUP(A355,'2011 - TB'!$A$3:$B$971,2,FALSE)</f>
        <v>23997.06</v>
      </c>
      <c r="D355" s="2118">
        <v>0</v>
      </c>
      <c r="E355" s="2118">
        <f>VLOOKUP(A355,'2012 - TB'!$A$3:$H$733,5,FALSE)</f>
        <v>30757.26</v>
      </c>
      <c r="F355" s="2118">
        <f>VLOOKUP(A355,'2012 - TB'!$A$3:$H$733,6,FALSE)</f>
        <v>0</v>
      </c>
      <c r="G355" s="2118">
        <f t="shared" si="11"/>
        <v>30757.26</v>
      </c>
      <c r="H355" s="2640">
        <f>SUMIF('Original Budget'!$A$1:$A$691,'Trial Balance - FPer'!A355,'Original Budget'!$C$1:$C$691)</f>
        <v>30071.89</v>
      </c>
      <c r="I355" s="2640">
        <f>VLOOKUP(A355,'2012 - TB'!$A$3:$C$733,3,FALSE)</f>
        <v>30731.8</v>
      </c>
      <c r="J355" s="2119" t="s">
        <v>6386</v>
      </c>
      <c r="L355" s="2024" t="str">
        <f>VLOOKUP(A355,'2012 Budget'!$A$18:$B$2152,2,FALSE)</f>
        <v>Skills Developm</v>
      </c>
    </row>
    <row r="356" spans="1:12" s="2024" customFormat="1" x14ac:dyDescent="0.2">
      <c r="A356" s="2116" t="s">
        <v>4963</v>
      </c>
      <c r="B356" s="2117" t="s">
        <v>4826</v>
      </c>
      <c r="C356" s="2109">
        <f>VLOOKUP(A356,'2011 - TB'!$A$3:$B$971,2,FALSE)</f>
        <v>1659.1</v>
      </c>
      <c r="D356" s="2118">
        <v>0</v>
      </c>
      <c r="E356" s="2118">
        <v>0</v>
      </c>
      <c r="F356" s="2118">
        <v>0</v>
      </c>
      <c r="G356" s="2118">
        <f t="shared" si="11"/>
        <v>0</v>
      </c>
      <c r="H356" s="2640">
        <f>SUMIF('Original Budget'!$A$1:$A$691,'Trial Balance - FPer'!A356,'Original Budget'!$C$1:$C$691)</f>
        <v>4461.1899999999996</v>
      </c>
      <c r="I356" s="2640"/>
      <c r="J356" s="2119" t="s">
        <v>6386</v>
      </c>
      <c r="L356" s="2024" t="str">
        <f>VLOOKUP(A356,'2012 Budget'!$A$18:$B$2152,2,FALSE)</f>
        <v>Skills Developm</v>
      </c>
    </row>
    <row r="357" spans="1:12" s="2024" customFormat="1" x14ac:dyDescent="0.2">
      <c r="A357" s="2116" t="s">
        <v>4964</v>
      </c>
      <c r="B357" s="2117" t="s">
        <v>4826</v>
      </c>
      <c r="C357" s="2109" t="str">
        <f>VLOOKUP(A357,'2011 - TB'!$A$3:$B$971,2,FALSE)</f>
        <v xml:space="preserve">                               -  </v>
      </c>
      <c r="D357" s="2118">
        <v>0</v>
      </c>
      <c r="E357" s="2118">
        <v>0</v>
      </c>
      <c r="F357" s="2118">
        <v>0</v>
      </c>
      <c r="G357" s="2118">
        <f t="shared" si="11"/>
        <v>0</v>
      </c>
      <c r="H357" s="2640">
        <f>SUMIF('Original Budget'!$A$1:$A$691,'Trial Balance - FPer'!A357,'Original Budget'!$C$1:$C$691)</f>
        <v>3505.57</v>
      </c>
      <c r="I357" s="2640"/>
      <c r="J357" s="2119" t="s">
        <v>6386</v>
      </c>
      <c r="L357" s="2024" t="str">
        <f>VLOOKUP(A357,'2012 Budget'!$A$18:$B$2152,2,FALSE)</f>
        <v>Compensation Co</v>
      </c>
    </row>
    <row r="358" spans="1:12" s="2024" customFormat="1" x14ac:dyDescent="0.2">
      <c r="A358" s="2116" t="s">
        <v>4965</v>
      </c>
      <c r="B358" s="2117" t="s">
        <v>4826</v>
      </c>
      <c r="C358" s="2109" t="str">
        <f>VLOOKUP(A358,'2011 - TB'!$A$3:$B$971,2,FALSE)</f>
        <v xml:space="preserve">                               -  </v>
      </c>
      <c r="D358" s="2118">
        <v>0</v>
      </c>
      <c r="E358" s="2118">
        <v>0</v>
      </c>
      <c r="F358" s="2118">
        <v>0</v>
      </c>
      <c r="G358" s="2118">
        <f t="shared" si="11"/>
        <v>0</v>
      </c>
      <c r="H358" s="2640">
        <f>SUMIF('Original Budget'!$A$1:$A$691,'Trial Balance - FPer'!A358,'Original Budget'!$C$1:$C$691)</f>
        <v>430197.35</v>
      </c>
      <c r="I358" s="2640"/>
      <c r="J358" s="2119" t="s">
        <v>6386</v>
      </c>
      <c r="L358" s="2024" t="str">
        <f>VLOOKUP(A358,'2012 Budget'!$A$18:$B$2152,2,FALSE)</f>
        <v>Compensation Co</v>
      </c>
    </row>
    <row r="359" spans="1:12" s="2024" customFormat="1" x14ac:dyDescent="0.2">
      <c r="A359" s="2116" t="s">
        <v>4966</v>
      </c>
      <c r="B359" s="2117" t="s">
        <v>4826</v>
      </c>
      <c r="C359" s="2109">
        <f>VLOOKUP(A359,'2011 - TB'!$A$3:$B$971,2,FALSE)</f>
        <v>0</v>
      </c>
      <c r="D359" s="2118">
        <v>0</v>
      </c>
      <c r="E359" s="2118">
        <v>0</v>
      </c>
      <c r="F359" s="2118">
        <v>0</v>
      </c>
      <c r="G359" s="2118">
        <f t="shared" si="11"/>
        <v>0</v>
      </c>
      <c r="H359" s="2640">
        <f>SUMIF('Original Budget'!$A$1:$A$691,'Trial Balance - FPer'!A359,'Original Budget'!$C$1:$C$691)</f>
        <v>0</v>
      </c>
      <c r="I359" s="2640"/>
      <c r="J359" s="2119" t="s">
        <v>6386</v>
      </c>
      <c r="L359" s="2024" t="str">
        <f>VLOOKUP(A359,'2012 Budget'!$A$18:$B$2152,2,FALSE)</f>
        <v>Compensation Co</v>
      </c>
    </row>
    <row r="360" spans="1:12" s="2024" customFormat="1" x14ac:dyDescent="0.2">
      <c r="A360" s="2116" t="s">
        <v>5105</v>
      </c>
      <c r="B360" s="2117" t="s">
        <v>4826</v>
      </c>
      <c r="C360" s="2109">
        <f>VLOOKUP(A360,'2011 - TB'!$A$3:$B$971,2,FALSE)</f>
        <v>6552.34</v>
      </c>
      <c r="D360" s="2118">
        <v>0</v>
      </c>
      <c r="E360" s="2118">
        <f>VLOOKUP(A360,'2012 - TB'!$A$3:$H$733,5,FALSE)</f>
        <v>10329.280000000001</v>
      </c>
      <c r="F360" s="2118">
        <f>VLOOKUP(A360,'2012 - TB'!$A$3:$H$733,6,FALSE)</f>
        <v>0</v>
      </c>
      <c r="G360" s="2118">
        <f t="shared" si="11"/>
        <v>10329.280000000001</v>
      </c>
      <c r="H360" s="2640">
        <f>SUMIF('Original Budget'!$A$1:$A$691,'Trial Balance - FPer'!A360,'Original Budget'!$C$1:$C$691)</f>
        <v>7610.17</v>
      </c>
      <c r="I360" s="2640">
        <f>VLOOKUP(A360,'2012 - TB'!$A$3:$C$733,3,FALSE)</f>
        <v>10797.87</v>
      </c>
      <c r="J360" s="2119" t="s">
        <v>6386</v>
      </c>
      <c r="L360" s="2024" t="str">
        <f>VLOOKUP(A360,'2012 Budget'!$A$18:$B$2152,2,FALSE)</f>
        <v>Skills Developm</v>
      </c>
    </row>
    <row r="361" spans="1:12" s="2024" customFormat="1" x14ac:dyDescent="0.2">
      <c r="A361" s="2116" t="s">
        <v>5106</v>
      </c>
      <c r="B361" s="2117" t="s">
        <v>4826</v>
      </c>
      <c r="C361" s="2109" t="str">
        <f>VLOOKUP(A361,'2011 - TB'!$A$3:$B$971,2,FALSE)</f>
        <v xml:space="preserve">                               -  </v>
      </c>
      <c r="D361" s="2118">
        <v>0</v>
      </c>
      <c r="E361" s="2118">
        <v>0</v>
      </c>
      <c r="F361" s="2118">
        <v>0</v>
      </c>
      <c r="G361" s="2118">
        <f t="shared" si="11"/>
        <v>0</v>
      </c>
      <c r="H361" s="2640">
        <f>SUMIF('Original Budget'!$A$1:$A$691,'Trial Balance - FPer'!A361,'Original Budget'!$C$1:$C$691)</f>
        <v>3709.33</v>
      </c>
      <c r="I361" s="2640"/>
      <c r="J361" s="2119" t="s">
        <v>6386</v>
      </c>
      <c r="L361" s="2024" t="str">
        <f>VLOOKUP(A361,'2012 Budget'!$A$18:$B$2152,2,FALSE)</f>
        <v>Compensation Co</v>
      </c>
    </row>
    <row r="362" spans="1:12" s="2024" customFormat="1" x14ac:dyDescent="0.2">
      <c r="A362" s="2116" t="s">
        <v>5133</v>
      </c>
      <c r="B362" s="2117" t="s">
        <v>4826</v>
      </c>
      <c r="C362" s="2109">
        <f>VLOOKUP(A362,'2011 - TB'!$A$3:$B$971,2,FALSE)</f>
        <v>3231</v>
      </c>
      <c r="D362" s="2118">
        <v>0</v>
      </c>
      <c r="E362" s="2118">
        <f>VLOOKUP(A362,'2012 - TB'!$A$3:$H$733,5,FALSE)</f>
        <v>3966.83</v>
      </c>
      <c r="F362" s="2118">
        <f>VLOOKUP(A362,'2012 - TB'!$A$3:$H$733,6,FALSE)</f>
        <v>0</v>
      </c>
      <c r="G362" s="2118">
        <f t="shared" si="11"/>
        <v>3966.83</v>
      </c>
      <c r="H362" s="2640">
        <f>SUMIF('Original Budget'!$A$1:$A$691,'Trial Balance - FPer'!A362,'Original Budget'!$C$1:$C$691)</f>
        <v>1818.15</v>
      </c>
      <c r="I362" s="2640">
        <f>VLOOKUP(A362,'2012 - TB'!$A$3:$C$733,3,FALSE)</f>
        <v>3998.02</v>
      </c>
      <c r="J362" s="2119" t="s">
        <v>6386</v>
      </c>
      <c r="L362" s="2024" t="str">
        <f>VLOOKUP(A362,'2012 Budget'!$A$18:$B$2152,2,FALSE)</f>
        <v>Skills Developm</v>
      </c>
    </row>
    <row r="363" spans="1:12" s="2024" customFormat="1" x14ac:dyDescent="0.2">
      <c r="A363" s="2116" t="s">
        <v>5134</v>
      </c>
      <c r="B363" s="2117" t="s">
        <v>4826</v>
      </c>
      <c r="C363" s="2109" t="str">
        <f>VLOOKUP(A363,'2011 - TB'!$A$3:$B$971,2,FALSE)</f>
        <v xml:space="preserve">                               -  </v>
      </c>
      <c r="D363" s="2118">
        <v>0</v>
      </c>
      <c r="E363" s="2118">
        <v>0</v>
      </c>
      <c r="F363" s="2118">
        <v>0</v>
      </c>
      <c r="G363" s="2118">
        <f t="shared" si="11"/>
        <v>0</v>
      </c>
      <c r="H363" s="2640">
        <f>SUMIF('Original Budget'!$A$1:$A$691,'Trial Balance - FPer'!A363,'Original Budget'!$C$1:$C$691)</f>
        <v>1866.02</v>
      </c>
      <c r="I363" s="2640"/>
      <c r="J363" s="2119" t="s">
        <v>6386</v>
      </c>
      <c r="L363" s="2024" t="str">
        <f>VLOOKUP(A363,'2012 Budget'!$A$18:$B$2152,2,FALSE)</f>
        <v>Compensation Co</v>
      </c>
    </row>
    <row r="364" spans="1:12" s="2024" customFormat="1" x14ac:dyDescent="0.2">
      <c r="A364" s="2116" t="s">
        <v>5227</v>
      </c>
      <c r="B364" s="2117" t="s">
        <v>4826</v>
      </c>
      <c r="C364" s="2109" t="str">
        <f>VLOOKUP(A364,'2011 - TB'!$A$3:$B$971,2,FALSE)</f>
        <v xml:space="preserve">                               -  </v>
      </c>
      <c r="D364" s="2118">
        <v>0</v>
      </c>
      <c r="E364" s="2118">
        <f>VLOOKUP(A364,'2012 - TB'!$A$3:$H$733,5,FALSE)</f>
        <v>3521.02</v>
      </c>
      <c r="F364" s="2118">
        <f>VLOOKUP(A364,'2012 - TB'!$A$3:$H$733,6,FALSE)</f>
        <v>0</v>
      </c>
      <c r="G364" s="2118">
        <f t="shared" si="11"/>
        <v>3521.02</v>
      </c>
      <c r="H364" s="2640">
        <f>SUMIF('Original Budget'!$A$1:$A$691,'Trial Balance - FPer'!A364,'Original Budget'!$C$1:$C$691)</f>
        <v>3408.26</v>
      </c>
      <c r="I364" s="2640">
        <f>VLOOKUP(A364,'2012 - TB'!$A$3:$C$733,3,FALSE)</f>
        <v>3463.44</v>
      </c>
      <c r="J364" s="2119" t="s">
        <v>6386</v>
      </c>
      <c r="L364" s="2024" t="str">
        <f>VLOOKUP(A364,'2012 Budget'!$A$18:$B$2152,2,FALSE)</f>
        <v>Skills Developm</v>
      </c>
    </row>
    <row r="365" spans="1:12" s="2024" customFormat="1" x14ac:dyDescent="0.2">
      <c r="A365" s="2116" t="s">
        <v>5228</v>
      </c>
      <c r="B365" s="2117" t="s">
        <v>4826</v>
      </c>
      <c r="C365" s="2109" t="str">
        <f>VLOOKUP(A365,'2011 - TB'!$A$3:$B$971,2,FALSE)</f>
        <v xml:space="preserve">                               -  </v>
      </c>
      <c r="D365" s="2118">
        <v>0</v>
      </c>
      <c r="E365" s="2118">
        <f>VLOOKUP(A365,'2012 - TB'!$A$3:$H$733,5,FALSE)</f>
        <v>3278.66</v>
      </c>
      <c r="F365" s="2118">
        <f>VLOOKUP(A365,'2012 - TB'!$A$3:$H$733,6,FALSE)</f>
        <v>0</v>
      </c>
      <c r="G365" s="2118">
        <f t="shared" si="11"/>
        <v>3278.66</v>
      </c>
      <c r="H365" s="2640">
        <f>SUMIF('Original Budget'!$A$1:$A$691,'Trial Balance - FPer'!A365,'Original Budget'!$C$1:$C$691)</f>
        <v>3408.26</v>
      </c>
      <c r="I365" s="2640">
        <f>VLOOKUP(A365,'2012 - TB'!$A$3:$C$733,3,FALSE)</f>
        <v>3278.63</v>
      </c>
      <c r="J365" s="2119" t="s">
        <v>6386</v>
      </c>
      <c r="L365" s="2024" t="str">
        <f>VLOOKUP(A365,'2012 Budget'!$A$18:$B$2152,2,FALSE)</f>
        <v>Skills Developm</v>
      </c>
    </row>
    <row r="366" spans="1:12" s="2024" customFormat="1" x14ac:dyDescent="0.2">
      <c r="A366" s="2116" t="s">
        <v>5229</v>
      </c>
      <c r="B366" s="2117" t="s">
        <v>4826</v>
      </c>
      <c r="C366" s="2109">
        <f>VLOOKUP(A366,'2011 - TB'!$A$3:$B$971,2,FALSE)</f>
        <v>2407.6799999999998</v>
      </c>
      <c r="D366" s="2118">
        <v>0</v>
      </c>
      <c r="E366" s="2118">
        <f>VLOOKUP(A366,'2012 - TB'!$A$3:$H$733,5,FALSE)</f>
        <v>1356.7</v>
      </c>
      <c r="F366" s="2118">
        <f>VLOOKUP(A366,'2012 - TB'!$A$3:$H$733,6,FALSE)</f>
        <v>0</v>
      </c>
      <c r="G366" s="2118">
        <f t="shared" si="11"/>
        <v>1356.7</v>
      </c>
      <c r="H366" s="2640">
        <f>SUMIF('Original Budget'!$A$1:$A$691,'Trial Balance - FPer'!A366,'Original Budget'!$C$1:$C$691)</f>
        <v>2875.8</v>
      </c>
      <c r="I366" s="2640">
        <f>VLOOKUP(A366,'2012 - TB'!$A$3:$C$733,3,FALSE)</f>
        <v>1356.7</v>
      </c>
      <c r="J366" s="2119" t="s">
        <v>6386</v>
      </c>
      <c r="L366" s="2024" t="str">
        <f>VLOOKUP(A366,'2012 Budget'!$A$18:$B$2152,2,FALSE)</f>
        <v>Skills Developm</v>
      </c>
    </row>
    <row r="367" spans="1:12" s="2024" customFormat="1" x14ac:dyDescent="0.2">
      <c r="A367" s="2116" t="s">
        <v>5230</v>
      </c>
      <c r="B367" s="2117" t="s">
        <v>4826</v>
      </c>
      <c r="C367" s="2109">
        <f>VLOOKUP(A367,'2011 - TB'!$A$3:$B$971,2,FALSE)</f>
        <v>11483.32</v>
      </c>
      <c r="D367" s="2118">
        <v>0</v>
      </c>
      <c r="E367" s="2118">
        <f>VLOOKUP(A367,'2012 - TB'!$A$3:$H$733,5,FALSE)</f>
        <v>11806.17</v>
      </c>
      <c r="F367" s="2118">
        <f>VLOOKUP(A367,'2012 - TB'!$A$3:$H$733,6,FALSE)</f>
        <v>0</v>
      </c>
      <c r="G367" s="2118">
        <f t="shared" ref="G367:G430" si="12">E367+F367</f>
        <v>11806.17</v>
      </c>
      <c r="H367" s="2640">
        <f>SUMIF('Original Budget'!$A$1:$A$691,'Trial Balance - FPer'!A367,'Original Budget'!$C$1:$C$691)</f>
        <v>14610.22</v>
      </c>
      <c r="I367" s="2640">
        <f>VLOOKUP(A367,'2012 - TB'!$A$3:$C$733,3,FALSE)</f>
        <v>11778.52</v>
      </c>
      <c r="J367" s="2119" t="s">
        <v>6386</v>
      </c>
      <c r="L367" s="2024" t="str">
        <f>VLOOKUP(A367,'2012 Budget'!$A$18:$B$2152,2,FALSE)</f>
        <v>Skills Developm</v>
      </c>
    </row>
    <row r="368" spans="1:12" s="2024" customFormat="1" x14ac:dyDescent="0.2">
      <c r="A368" s="2116" t="s">
        <v>5231</v>
      </c>
      <c r="B368" s="2117" t="s">
        <v>4826</v>
      </c>
      <c r="C368" s="2109" t="str">
        <f>VLOOKUP(A368,'2011 - TB'!$A$3:$B$971,2,FALSE)</f>
        <v xml:space="preserve">                               -  </v>
      </c>
      <c r="D368" s="2118">
        <v>0</v>
      </c>
      <c r="E368" s="2118">
        <v>0</v>
      </c>
      <c r="F368" s="2118">
        <v>0</v>
      </c>
      <c r="G368" s="2118">
        <f t="shared" si="12"/>
        <v>0</v>
      </c>
      <c r="H368" s="2640">
        <f>SUMIF('Original Budget'!$A$1:$A$691,'Trial Balance - FPer'!A368,'Original Budget'!$C$1:$C$691)</f>
        <v>3505.57</v>
      </c>
      <c r="I368" s="2640"/>
      <c r="J368" s="2119" t="s">
        <v>6386</v>
      </c>
      <c r="L368" s="2024" t="str">
        <f>VLOOKUP(A368,'2012 Budget'!$A$18:$B$2152,2,FALSE)</f>
        <v>Compensation Co</v>
      </c>
    </row>
    <row r="369" spans="1:12" s="2024" customFormat="1" x14ac:dyDescent="0.2">
      <c r="A369" s="2116" t="s">
        <v>5232</v>
      </c>
      <c r="B369" s="2117" t="s">
        <v>4826</v>
      </c>
      <c r="C369" s="2109" t="str">
        <f>VLOOKUP(A369,'2011 - TB'!$A$3:$B$971,2,FALSE)</f>
        <v xml:space="preserve">                               -  </v>
      </c>
      <c r="D369" s="2118">
        <v>0</v>
      </c>
      <c r="E369" s="2118">
        <v>0</v>
      </c>
      <c r="F369" s="2118">
        <v>0</v>
      </c>
      <c r="G369" s="2118">
        <f t="shared" si="12"/>
        <v>0</v>
      </c>
      <c r="H369" s="2640">
        <f>SUMIF('Original Budget'!$A$1:$A$691,'Trial Balance - FPer'!A369,'Original Budget'!$C$1:$C$691)</f>
        <v>3505.57</v>
      </c>
      <c r="I369" s="2640"/>
      <c r="J369" s="2119" t="s">
        <v>6386</v>
      </c>
      <c r="L369" s="2024" t="str">
        <f>VLOOKUP(A369,'2012 Budget'!$A$18:$B$2152,2,FALSE)</f>
        <v>Compensation Co</v>
      </c>
    </row>
    <row r="370" spans="1:12" s="2024" customFormat="1" x14ac:dyDescent="0.2">
      <c r="A370" s="2116" t="s">
        <v>5233</v>
      </c>
      <c r="B370" s="2117" t="s">
        <v>4826</v>
      </c>
      <c r="C370" s="2109" t="str">
        <f>VLOOKUP(A370,'2011 - TB'!$A$3:$B$971,2,FALSE)</f>
        <v xml:space="preserve">                               -  </v>
      </c>
      <c r="D370" s="2118">
        <v>0</v>
      </c>
      <c r="E370" s="2118">
        <v>0</v>
      </c>
      <c r="F370" s="2118">
        <v>0</v>
      </c>
      <c r="G370" s="2118">
        <f t="shared" si="12"/>
        <v>0</v>
      </c>
      <c r="H370" s="2640">
        <f>SUMIF('Original Budget'!$A$1:$A$691,'Trial Balance - FPer'!A370,'Original Budget'!$C$1:$C$691)</f>
        <v>1148.76</v>
      </c>
      <c r="I370" s="2640"/>
      <c r="J370" s="2119" t="s">
        <v>6386</v>
      </c>
      <c r="L370" s="2024" t="str">
        <f>VLOOKUP(A370,'2012 Budget'!$A$18:$B$2152,2,FALSE)</f>
        <v>Compensation Co</v>
      </c>
    </row>
    <row r="371" spans="1:12" s="2024" customFormat="1" x14ac:dyDescent="0.2">
      <c r="A371" s="2116" t="s">
        <v>5234</v>
      </c>
      <c r="B371" s="2117" t="s">
        <v>4826</v>
      </c>
      <c r="C371" s="2109" t="str">
        <f>VLOOKUP(A371,'2011 - TB'!$A$3:$B$971,2,FALSE)</f>
        <v xml:space="preserve">                               -  </v>
      </c>
      <c r="D371" s="2118">
        <v>0</v>
      </c>
      <c r="E371" s="2118">
        <v>0</v>
      </c>
      <c r="F371" s="2118">
        <v>0</v>
      </c>
      <c r="G371" s="2118">
        <f t="shared" si="12"/>
        <v>0</v>
      </c>
      <c r="H371" s="2640">
        <f>SUMIF('Original Budget'!$A$1:$A$691,'Trial Balance - FPer'!A371,'Original Budget'!$C$1:$C$691)</f>
        <v>5573.47</v>
      </c>
      <c r="I371" s="2640"/>
      <c r="J371" s="2119" t="s">
        <v>6386</v>
      </c>
      <c r="L371" s="2024" t="str">
        <f>VLOOKUP(A371,'2012 Budget'!$A$18:$B$2152,2,FALSE)</f>
        <v>Compensation Co</v>
      </c>
    </row>
    <row r="372" spans="1:12" s="2024" customFormat="1" x14ac:dyDescent="0.2">
      <c r="A372" s="2116" t="s">
        <v>5325</v>
      </c>
      <c r="B372" s="2117" t="s">
        <v>4826</v>
      </c>
      <c r="C372" s="2109">
        <f>VLOOKUP(A372,'2011 - TB'!$A$3:$B$971,2,FALSE)</f>
        <v>3634.99</v>
      </c>
      <c r="D372" s="2118">
        <v>0</v>
      </c>
      <c r="E372" s="2118">
        <f>VLOOKUP(A372,'2012 - TB'!$A$3:$H$733,5,FALSE)</f>
        <v>9188.2199999999993</v>
      </c>
      <c r="F372" s="2118">
        <f>VLOOKUP(A372,'2012 - TB'!$A$3:$H$733,6,FALSE)</f>
        <v>0</v>
      </c>
      <c r="G372" s="2118">
        <f t="shared" si="12"/>
        <v>9188.2199999999993</v>
      </c>
      <c r="H372" s="2640">
        <f>SUMIF('Original Budget'!$A$1:$A$691,'Trial Balance - FPer'!A372,'Original Budget'!$C$1:$C$691)</f>
        <v>1939.91</v>
      </c>
      <c r="I372" s="2640">
        <f>VLOOKUP(A372,'2012 - TB'!$A$3:$C$733,3,FALSE)</f>
        <v>7088.87</v>
      </c>
      <c r="J372" s="2119" t="s">
        <v>6386</v>
      </c>
      <c r="L372" s="2024" t="str">
        <f>VLOOKUP(A372,'2012 Budget'!$A$18:$B$2152,2,FALSE)</f>
        <v>Skills Developm</v>
      </c>
    </row>
    <row r="373" spans="1:12" s="2024" customFormat="1" x14ac:dyDescent="0.2">
      <c r="A373" s="2116" t="s">
        <v>5326</v>
      </c>
      <c r="B373" s="2117" t="s">
        <v>4826</v>
      </c>
      <c r="C373" s="2109" t="str">
        <f>VLOOKUP(A373,'2011 - TB'!$A$3:$B$971,2,FALSE)</f>
        <v xml:space="preserve">                               -  </v>
      </c>
      <c r="D373" s="2118">
        <v>0</v>
      </c>
      <c r="E373" s="2118">
        <v>0</v>
      </c>
      <c r="F373" s="2118">
        <v>0</v>
      </c>
      <c r="G373" s="2118">
        <f t="shared" si="12"/>
        <v>0</v>
      </c>
      <c r="H373" s="2640">
        <f>SUMIF('Original Budget'!$A$1:$A$691,'Trial Balance - FPer'!A373,'Original Budget'!$C$1:$C$691)</f>
        <v>5586.7</v>
      </c>
      <c r="I373" s="2640"/>
      <c r="J373" s="2119" t="s">
        <v>6386</v>
      </c>
      <c r="L373" s="2024" t="str">
        <f>VLOOKUP(A373,'2012 Budget'!$A$18:$B$2152,2,FALSE)</f>
        <v>Compensation Co</v>
      </c>
    </row>
    <row r="374" spans="1:12" s="2024" customFormat="1" x14ac:dyDescent="0.2">
      <c r="A374" s="2116" t="s">
        <v>5364</v>
      </c>
      <c r="B374" s="2117" t="s">
        <v>4826</v>
      </c>
      <c r="C374" s="2109">
        <f>VLOOKUP(A374,'2011 - TB'!$A$3:$B$971,2,FALSE)</f>
        <v>6714.84</v>
      </c>
      <c r="D374" s="2118">
        <v>0</v>
      </c>
      <c r="E374" s="2118">
        <f>VLOOKUP(A374,'2012 - TB'!$A$3:$H$733,5,FALSE)</f>
        <v>7251.2</v>
      </c>
      <c r="F374" s="2118">
        <f>VLOOKUP(A374,'2012 - TB'!$A$3:$H$733,6,FALSE)</f>
        <v>0</v>
      </c>
      <c r="G374" s="2118">
        <f t="shared" si="12"/>
        <v>7251.2</v>
      </c>
      <c r="H374" s="2640">
        <f>SUMIF('Original Budget'!$A$1:$A$691,'Trial Balance - FPer'!A374,'Original Budget'!$C$1:$C$691)</f>
        <v>8975.67</v>
      </c>
      <c r="I374" s="2640">
        <f>VLOOKUP(A374,'2012 - TB'!$A$3:$C$733,3,FALSE)</f>
        <v>8975.67</v>
      </c>
      <c r="J374" s="2119" t="s">
        <v>6386</v>
      </c>
      <c r="L374" s="2024" t="str">
        <f>VLOOKUP(A374,'2012 Budget'!$A$18:$B$2152,2,FALSE)</f>
        <v>Skills Developm</v>
      </c>
    </row>
    <row r="375" spans="1:12" s="2024" customFormat="1" x14ac:dyDescent="0.2">
      <c r="A375" s="2116" t="s">
        <v>5365</v>
      </c>
      <c r="B375" s="2117" t="s">
        <v>4826</v>
      </c>
      <c r="C375" s="2109" t="str">
        <f>VLOOKUP(A375,'2011 - TB'!$A$3:$B$971,2,FALSE)</f>
        <v xml:space="preserve">                               -  </v>
      </c>
      <c r="D375" s="2118">
        <v>0</v>
      </c>
      <c r="E375" s="2118">
        <v>0</v>
      </c>
      <c r="F375" s="2118">
        <v>0</v>
      </c>
      <c r="G375" s="2118">
        <f t="shared" si="12"/>
        <v>0</v>
      </c>
      <c r="H375" s="2640">
        <f>SUMIF('Original Budget'!$A$1:$A$691,'Trial Balance - FPer'!A375,'Original Budget'!$C$1:$C$691)</f>
        <v>5373.49</v>
      </c>
      <c r="I375" s="2640"/>
      <c r="J375" s="2119" t="s">
        <v>6386</v>
      </c>
      <c r="L375" s="2024" t="str">
        <f>VLOOKUP(A375,'2012 Budget'!$A$18:$B$2152,2,FALSE)</f>
        <v>Compensation Co</v>
      </c>
    </row>
    <row r="376" spans="1:12" s="2024" customFormat="1" x14ac:dyDescent="0.2">
      <c r="A376" s="2116" t="s">
        <v>5392</v>
      </c>
      <c r="B376" s="2117" t="s">
        <v>4826</v>
      </c>
      <c r="C376" s="2109">
        <f>VLOOKUP(A376,'2011 - TB'!$A$3:$B$971,2,FALSE)</f>
        <v>1692.03</v>
      </c>
      <c r="D376" s="2118">
        <v>0</v>
      </c>
      <c r="E376" s="2118">
        <f>VLOOKUP(A376,'2012 - TB'!$A$3:$H$733,5,FALSE)</f>
        <v>1654.78</v>
      </c>
      <c r="F376" s="2118">
        <f>VLOOKUP(A376,'2012 - TB'!$A$3:$H$733,6,FALSE)</f>
        <v>0</v>
      </c>
      <c r="G376" s="2118">
        <f t="shared" si="12"/>
        <v>1654.78</v>
      </c>
      <c r="H376" s="2640">
        <f>SUMIF('Original Budget'!$A$1:$A$691,'Trial Balance - FPer'!A376,'Original Budget'!$C$1:$C$691)</f>
        <v>2146.04</v>
      </c>
      <c r="I376" s="2640">
        <f>VLOOKUP(A376,'2012 - TB'!$A$3:$C$733,3,FALSE)</f>
        <v>2146.04</v>
      </c>
      <c r="J376" s="2119" t="s">
        <v>6386</v>
      </c>
      <c r="L376" s="2024" t="str">
        <f>VLOOKUP(A376,'2012 Budget'!$A$18:$B$2152,2,FALSE)</f>
        <v>Skills Developm</v>
      </c>
    </row>
    <row r="377" spans="1:12" s="2024" customFormat="1" x14ac:dyDescent="0.2">
      <c r="A377" s="2116" t="s">
        <v>5393</v>
      </c>
      <c r="B377" s="2117" t="s">
        <v>4826</v>
      </c>
      <c r="C377" s="2109" t="str">
        <f>VLOOKUP(A377,'2011 - TB'!$A$3:$B$971,2,FALSE)</f>
        <v xml:space="preserve">                               -  </v>
      </c>
      <c r="D377" s="2118">
        <v>0</v>
      </c>
      <c r="E377" s="2118">
        <v>0</v>
      </c>
      <c r="F377" s="2118">
        <v>0</v>
      </c>
      <c r="G377" s="2118">
        <f t="shared" si="12"/>
        <v>0</v>
      </c>
      <c r="H377" s="2640">
        <f>SUMIF('Original Budget'!$A$1:$A$691,'Trial Balance - FPer'!A377,'Original Budget'!$C$1:$C$691)</f>
        <v>2234.4299999999998</v>
      </c>
      <c r="I377" s="2640"/>
      <c r="J377" s="2119" t="s">
        <v>6386</v>
      </c>
      <c r="L377" s="2024" t="str">
        <f>VLOOKUP(A377,'2012 Budget'!$A$18:$B$2152,2,FALSE)</f>
        <v>Compensation Co</v>
      </c>
    </row>
    <row r="378" spans="1:12" s="2024" customFormat="1" x14ac:dyDescent="0.2">
      <c r="A378" s="2116" t="s">
        <v>5452</v>
      </c>
      <c r="B378" s="2117" t="s">
        <v>4826</v>
      </c>
      <c r="C378" s="2109" t="str">
        <f>VLOOKUP(A378,'2011 - TB'!$A$3:$B$971,2,FALSE)</f>
        <v xml:space="preserve">                               -  </v>
      </c>
      <c r="D378" s="2118">
        <v>0</v>
      </c>
      <c r="E378" s="2118">
        <f>VLOOKUP(A378,'2012 - TB'!$A$3:$H$733,5,FALSE)</f>
        <v>340.14</v>
      </c>
      <c r="F378" s="2118">
        <f>VLOOKUP(A378,'2012 - TB'!$A$3:$H$733,6,FALSE)</f>
        <v>0</v>
      </c>
      <c r="G378" s="2118">
        <f t="shared" si="12"/>
        <v>340.14</v>
      </c>
      <c r="H378" s="2640">
        <f>SUMIF('Original Budget'!$A$1:$A$691,'Trial Balance - FPer'!A378,'Original Budget'!$C$1:$C$691)</f>
        <v>3408.26</v>
      </c>
      <c r="I378" s="2640">
        <f>VLOOKUP(A378,'2012 - TB'!$A$3:$C$733,3,FALSE)</f>
        <v>340.14</v>
      </c>
      <c r="J378" s="2119" t="s">
        <v>6386</v>
      </c>
      <c r="L378" s="2024" t="str">
        <f>VLOOKUP(A378,'2012 Budget'!$A$18:$B$2152,2,FALSE)</f>
        <v>Skills Developm</v>
      </c>
    </row>
    <row r="379" spans="1:12" s="2024" customFormat="1" x14ac:dyDescent="0.2">
      <c r="A379" s="2116" t="s">
        <v>5453</v>
      </c>
      <c r="B379" s="2117" t="s">
        <v>4826</v>
      </c>
      <c r="C379" s="2109">
        <f>VLOOKUP(A379,'2011 - TB'!$A$3:$B$971,2,FALSE)</f>
        <v>6869</v>
      </c>
      <c r="D379" s="2118">
        <v>0</v>
      </c>
      <c r="E379" s="2118">
        <f>VLOOKUP(A379,'2012 - TB'!$A$3:$H$733,5,FALSE)</f>
        <v>9187.9500000000007</v>
      </c>
      <c r="F379" s="2118">
        <f>VLOOKUP(A379,'2012 - TB'!$A$3:$H$733,6,FALSE)</f>
        <v>0</v>
      </c>
      <c r="G379" s="2118">
        <f t="shared" si="12"/>
        <v>9187.9500000000007</v>
      </c>
      <c r="H379" s="2640">
        <f>SUMIF('Original Budget'!$A$1:$A$691,'Trial Balance - FPer'!A379,'Original Budget'!$C$1:$C$691)</f>
        <v>10629.7</v>
      </c>
      <c r="I379" s="2640">
        <f>VLOOKUP(A379,'2012 - TB'!$A$3:$C$733,3,FALSE)</f>
        <v>8964.4699999999993</v>
      </c>
      <c r="J379" s="2119" t="s">
        <v>6386</v>
      </c>
      <c r="L379" s="2024" t="str">
        <f>VLOOKUP(A379,'2012 Budget'!$A$18:$B$2152,2,FALSE)</f>
        <v>Skills Developm</v>
      </c>
    </row>
    <row r="380" spans="1:12" s="2024" customFormat="1" x14ac:dyDescent="0.2">
      <c r="A380" s="2116" t="s">
        <v>5454</v>
      </c>
      <c r="B380" s="2117" t="s">
        <v>4826</v>
      </c>
      <c r="C380" s="2109" t="str">
        <f>VLOOKUP(A380,'2011 - TB'!$A$3:$B$971,2,FALSE)</f>
        <v xml:space="preserve">                               -  </v>
      </c>
      <c r="D380" s="2118">
        <v>0</v>
      </c>
      <c r="E380" s="2118">
        <v>0</v>
      </c>
      <c r="F380" s="2118">
        <v>0</v>
      </c>
      <c r="G380" s="2118">
        <f t="shared" si="12"/>
        <v>0</v>
      </c>
      <c r="H380" s="2640">
        <f>SUMIF('Original Budget'!$A$1:$A$691,'Trial Balance - FPer'!A380,'Original Budget'!$C$1:$C$691)</f>
        <v>3505.57</v>
      </c>
      <c r="I380" s="2640"/>
      <c r="J380" s="2119" t="s">
        <v>6386</v>
      </c>
      <c r="L380" s="2024" t="str">
        <f>VLOOKUP(A380,'2012 Budget'!$A$18:$B$2152,2,FALSE)</f>
        <v>Compensation Co</v>
      </c>
    </row>
    <row r="381" spans="1:12" s="2024" customFormat="1" x14ac:dyDescent="0.2">
      <c r="A381" s="2116" t="s">
        <v>5455</v>
      </c>
      <c r="B381" s="2117" t="s">
        <v>4826</v>
      </c>
      <c r="C381" s="2109" t="str">
        <f>VLOOKUP(A381,'2011 - TB'!$A$3:$B$971,2,FALSE)</f>
        <v xml:space="preserve">                               -  </v>
      </c>
      <c r="D381" s="2118">
        <v>0</v>
      </c>
      <c r="E381" s="2118">
        <v>0</v>
      </c>
      <c r="F381" s="2118">
        <v>0</v>
      </c>
      <c r="G381" s="2118">
        <f t="shared" si="12"/>
        <v>0</v>
      </c>
      <c r="H381" s="2640">
        <f>SUMIF('Original Budget'!$A$1:$A$691,'Trial Balance - FPer'!A381,'Original Budget'!$C$1:$C$691)</f>
        <v>475.02</v>
      </c>
      <c r="I381" s="2640"/>
      <c r="J381" s="2119" t="s">
        <v>6386</v>
      </c>
      <c r="L381" s="2024" t="str">
        <f>VLOOKUP(A381,'2012 Budget'!$A$18:$B$2152,2,FALSE)</f>
        <v>Compensation Co</v>
      </c>
    </row>
    <row r="382" spans="1:12" s="2024" customFormat="1" x14ac:dyDescent="0.2">
      <c r="A382" s="2116" t="s">
        <v>5495</v>
      </c>
      <c r="B382" s="2117" t="s">
        <v>4826</v>
      </c>
      <c r="C382" s="2109">
        <f>VLOOKUP(A382,'2011 - TB'!$A$3:$B$971,2,FALSE)</f>
        <v>5064.57</v>
      </c>
      <c r="D382" s="2118">
        <v>0</v>
      </c>
      <c r="E382" s="2118">
        <f>VLOOKUP(A382,'2012 - TB'!$A$3:$H$733,5,FALSE)</f>
        <v>5236.16</v>
      </c>
      <c r="F382" s="2118">
        <f>VLOOKUP(A382,'2012 - TB'!$A$3:$H$733,6,FALSE)</f>
        <v>0</v>
      </c>
      <c r="G382" s="2118">
        <f t="shared" si="12"/>
        <v>5236.16</v>
      </c>
      <c r="H382" s="2640">
        <f>SUMIF('Original Budget'!$A$1:$A$691,'Trial Balance - FPer'!A382,'Original Budget'!$C$1:$C$691)</f>
        <v>6313.58</v>
      </c>
      <c r="I382" s="2640">
        <f>VLOOKUP(A382,'2012 - TB'!$A$3:$C$733,3,FALSE)</f>
        <v>6313.58</v>
      </c>
      <c r="J382" s="2119" t="s">
        <v>6386</v>
      </c>
      <c r="L382" s="2024" t="str">
        <f>VLOOKUP(A382,'2012 Budget'!$A$18:$B$2152,2,FALSE)</f>
        <v>Skills Developm</v>
      </c>
    </row>
    <row r="383" spans="1:12" s="2024" customFormat="1" x14ac:dyDescent="0.2">
      <c r="A383" s="2116" t="s">
        <v>5496</v>
      </c>
      <c r="B383" s="2117" t="s">
        <v>4826</v>
      </c>
      <c r="C383" s="2109" t="str">
        <f>VLOOKUP(A383,'2011 - TB'!$A$3:$B$971,2,FALSE)</f>
        <v xml:space="preserve">                               -  </v>
      </c>
      <c r="D383" s="2118">
        <v>0</v>
      </c>
      <c r="E383" s="2118">
        <v>0</v>
      </c>
      <c r="F383" s="2118">
        <v>0</v>
      </c>
      <c r="G383" s="2118">
        <f t="shared" si="12"/>
        <v>0</v>
      </c>
      <c r="H383" s="2640">
        <f>SUMIF('Original Budget'!$A$1:$A$691,'Trial Balance - FPer'!A383,'Original Budget'!$C$1:$C$691)</f>
        <v>3538.38</v>
      </c>
      <c r="I383" s="2640"/>
      <c r="J383" s="2119" t="s">
        <v>6386</v>
      </c>
      <c r="L383" s="2024" t="str">
        <f>VLOOKUP(A383,'2012 Budget'!$A$18:$B$2152,2,FALSE)</f>
        <v>Compensation Co</v>
      </c>
    </row>
    <row r="384" spans="1:12" s="2024" customFormat="1" x14ac:dyDescent="0.2">
      <c r="A384" s="2116" t="s">
        <v>5525</v>
      </c>
      <c r="B384" s="2117" t="s">
        <v>4826</v>
      </c>
      <c r="C384" s="2109">
        <f>VLOOKUP(A384,'2011 - TB'!$A$3:$B$971,2,FALSE)</f>
        <v>5625.52</v>
      </c>
      <c r="D384" s="2118">
        <v>0</v>
      </c>
      <c r="E384" s="2118">
        <f>VLOOKUP(A384,'2012 - TB'!$A$3:$H$733,5,FALSE)</f>
        <v>7022.02</v>
      </c>
      <c r="F384" s="2118">
        <f>VLOOKUP(A384,'2012 - TB'!$A$3:$H$733,6,FALSE)</f>
        <v>0</v>
      </c>
      <c r="G384" s="2118">
        <f t="shared" si="12"/>
        <v>7022.02</v>
      </c>
      <c r="H384" s="2640">
        <f>SUMIF('Original Budget'!$A$1:$A$691,'Trial Balance - FPer'!A384,'Original Budget'!$C$1:$C$691)</f>
        <v>6253.64</v>
      </c>
      <c r="I384" s="2640">
        <f>VLOOKUP(A384,'2012 - TB'!$A$3:$C$733,3,FALSE)</f>
        <v>7530.76</v>
      </c>
      <c r="J384" s="2119" t="s">
        <v>6386</v>
      </c>
      <c r="L384" s="2024" t="str">
        <f>VLOOKUP(A384,'2012 Budget'!$A$18:$B$2152,2,FALSE)</f>
        <v>Skills Developm</v>
      </c>
    </row>
    <row r="385" spans="1:12" s="2024" customFormat="1" x14ac:dyDescent="0.2">
      <c r="A385" s="2116" t="s">
        <v>5526</v>
      </c>
      <c r="B385" s="2117" t="s">
        <v>4826</v>
      </c>
      <c r="C385" s="2109" t="str">
        <f>VLOOKUP(A385,'2011 - TB'!$A$3:$B$971,2,FALSE)</f>
        <v xml:space="preserve">                               -  </v>
      </c>
      <c r="D385" s="2118">
        <v>0</v>
      </c>
      <c r="E385" s="2118">
        <v>0</v>
      </c>
      <c r="F385" s="2118">
        <v>0</v>
      </c>
      <c r="G385" s="2118">
        <f t="shared" si="12"/>
        <v>0</v>
      </c>
      <c r="H385" s="2640">
        <f>SUMIF('Original Budget'!$A$1:$A$691,'Trial Balance - FPer'!A385,'Original Budget'!$C$1:$C$691)</f>
        <v>2721.44</v>
      </c>
      <c r="I385" s="2640"/>
      <c r="J385" s="2119" t="s">
        <v>6386</v>
      </c>
      <c r="L385" s="2024" t="str">
        <f>VLOOKUP(A385,'2012 Budget'!$A$18:$B$2152,2,FALSE)</f>
        <v>Compensation Co</v>
      </c>
    </row>
    <row r="386" spans="1:12" s="2024" customFormat="1" x14ac:dyDescent="0.2">
      <c r="A386" s="2116" t="s">
        <v>5570</v>
      </c>
      <c r="B386" s="2117" t="s">
        <v>4826</v>
      </c>
      <c r="C386" s="2109">
        <f>VLOOKUP(A386,'2011 - TB'!$A$3:$B$971,2,FALSE)</f>
        <v>1154.21</v>
      </c>
      <c r="D386" s="2118">
        <v>0</v>
      </c>
      <c r="E386" s="2118">
        <f>VLOOKUP(A386,'2012 - TB'!$A$3:$H$733,5,FALSE)</f>
        <v>1255.57</v>
      </c>
      <c r="F386" s="2118">
        <f>VLOOKUP(A386,'2012 - TB'!$A$3:$H$733,6,FALSE)</f>
        <v>0</v>
      </c>
      <c r="G386" s="2118">
        <f t="shared" si="12"/>
        <v>1255.57</v>
      </c>
      <c r="H386" s="2640">
        <f>SUMIF('Original Budget'!$A$1:$A$691,'Trial Balance - FPer'!A386,'Original Budget'!$C$1:$C$691)</f>
        <v>1417.54</v>
      </c>
      <c r="I386" s="2640">
        <f>VLOOKUP(A386,'2012 - TB'!$A$3:$C$733,3,FALSE)</f>
        <v>1417.54</v>
      </c>
      <c r="J386" s="2119" t="s">
        <v>6386</v>
      </c>
      <c r="L386" s="2024" t="str">
        <f>VLOOKUP(A386,'2012 Budget'!$A$18:$B$2152,2,FALSE)</f>
        <v>Skills Developm</v>
      </c>
    </row>
    <row r="387" spans="1:12" s="2024" customFormat="1" x14ac:dyDescent="0.2">
      <c r="A387" s="2116" t="s">
        <v>5571</v>
      </c>
      <c r="B387" s="2117" t="s">
        <v>4826</v>
      </c>
      <c r="C387" s="2109" t="str">
        <f>VLOOKUP(A387,'2011 - TB'!$A$3:$B$971,2,FALSE)</f>
        <v xml:space="preserve">                               -  </v>
      </c>
      <c r="D387" s="2118">
        <v>0</v>
      </c>
      <c r="E387" s="2118">
        <v>0</v>
      </c>
      <c r="F387" s="2118">
        <v>0</v>
      </c>
      <c r="G387" s="2118">
        <f t="shared" si="12"/>
        <v>0</v>
      </c>
      <c r="H387" s="2640">
        <f>SUMIF('Original Budget'!$A$1:$A$691,'Trial Balance - FPer'!A387,'Original Budget'!$C$1:$C$691)</f>
        <v>1118.48</v>
      </c>
      <c r="I387" s="2640"/>
      <c r="J387" s="2119" t="s">
        <v>6386</v>
      </c>
      <c r="L387" s="2024" t="str">
        <f>VLOOKUP(A387,'2012 Budget'!$A$18:$B$2152,2,FALSE)</f>
        <v>Compensation Co</v>
      </c>
    </row>
    <row r="388" spans="1:12" s="2024" customFormat="1" x14ac:dyDescent="0.2">
      <c r="A388" s="2116" t="s">
        <v>5601</v>
      </c>
      <c r="B388" s="2117" t="s">
        <v>4826</v>
      </c>
      <c r="C388" s="2109">
        <f>VLOOKUP(A388,'2011 - TB'!$A$3:$B$971,2,FALSE)</f>
        <v>8498.0400000000009</v>
      </c>
      <c r="D388" s="2118">
        <v>0</v>
      </c>
      <c r="E388" s="2118">
        <f>VLOOKUP(A388,'2012 - TB'!$A$3:$H$733,5,FALSE)</f>
        <v>9076.34</v>
      </c>
      <c r="F388" s="2118">
        <f>VLOOKUP(A388,'2012 - TB'!$A$3:$H$733,6,FALSE)</f>
        <v>0</v>
      </c>
      <c r="G388" s="2118">
        <f t="shared" si="12"/>
        <v>9076.34</v>
      </c>
      <c r="H388" s="2640">
        <f>SUMIF('Original Budget'!$A$1:$A$691,'Trial Balance - FPer'!A388,'Original Budget'!$C$1:$C$691)</f>
        <v>10663.63</v>
      </c>
      <c r="I388" s="2640">
        <f>VLOOKUP(A388,'2012 - TB'!$A$3:$C$733,3,FALSE)</f>
        <v>10663.63</v>
      </c>
      <c r="J388" s="2119" t="s">
        <v>6386</v>
      </c>
      <c r="L388" s="2024" t="str">
        <f>VLOOKUP(A388,'2012 Budget'!$A$18:$B$2152,2,FALSE)</f>
        <v>Skills Developm</v>
      </c>
    </row>
    <row r="389" spans="1:12" s="2024" customFormat="1" x14ac:dyDescent="0.2">
      <c r="A389" s="2116" t="s">
        <v>5602</v>
      </c>
      <c r="B389" s="2117" t="s">
        <v>4826</v>
      </c>
      <c r="C389" s="2109">
        <f>VLOOKUP(A389,'2011 - TB'!$A$3:$B$971,2,FALSE)</f>
        <v>3128.95</v>
      </c>
      <c r="D389" s="2118">
        <v>0</v>
      </c>
      <c r="E389" s="2118">
        <f>VLOOKUP(A389,'2012 - TB'!$A$3:$H$733,5,FALSE)</f>
        <v>3002.56</v>
      </c>
      <c r="F389" s="2118">
        <f>VLOOKUP(A389,'2012 - TB'!$A$3:$H$733,6,FALSE)</f>
        <v>0</v>
      </c>
      <c r="G389" s="2118">
        <f t="shared" si="12"/>
        <v>3002.56</v>
      </c>
      <c r="H389" s="2640">
        <f>SUMIF('Original Budget'!$A$1:$A$691,'Trial Balance - FPer'!A389,'Original Budget'!$C$1:$C$691)</f>
        <v>4953.75</v>
      </c>
      <c r="I389" s="2640">
        <f>VLOOKUP(A389,'2012 - TB'!$A$3:$C$733,3,FALSE)</f>
        <v>4953.75</v>
      </c>
      <c r="J389" s="2119" t="s">
        <v>6386</v>
      </c>
      <c r="L389" s="2024" t="str">
        <f>VLOOKUP(A389,'2012 Budget'!$A$18:$B$2152,2,FALSE)</f>
        <v>Skills Developm</v>
      </c>
    </row>
    <row r="390" spans="1:12" s="2024" customFormat="1" x14ac:dyDescent="0.2">
      <c r="A390" s="2116" t="s">
        <v>5603</v>
      </c>
      <c r="B390" s="2117" t="s">
        <v>4826</v>
      </c>
      <c r="C390" s="2109" t="str">
        <f>VLOOKUP(A390,'2011 - TB'!$A$3:$B$971,2,FALSE)</f>
        <v xml:space="preserve">                               -  </v>
      </c>
      <c r="D390" s="2118">
        <v>0</v>
      </c>
      <c r="E390" s="2118">
        <v>0</v>
      </c>
      <c r="F390" s="2118">
        <v>0</v>
      </c>
      <c r="G390" s="2118">
        <f t="shared" si="12"/>
        <v>0</v>
      </c>
      <c r="H390" s="2640">
        <f>SUMIF('Original Budget'!$A$1:$A$691,'Trial Balance - FPer'!A390,'Original Budget'!$C$1:$C$691)</f>
        <v>10769.69</v>
      </c>
      <c r="I390" s="2640"/>
      <c r="J390" s="2119" t="s">
        <v>6386</v>
      </c>
      <c r="L390" s="2024" t="str">
        <f>VLOOKUP(A390,'2012 Budget'!$A$18:$B$2152,2,FALSE)</f>
        <v>Compensation Co</v>
      </c>
    </row>
    <row r="391" spans="1:12" s="2024" customFormat="1" x14ac:dyDescent="0.2">
      <c r="A391" s="2116" t="s">
        <v>5604</v>
      </c>
      <c r="B391" s="2117" t="s">
        <v>4826</v>
      </c>
      <c r="C391" s="2109" t="str">
        <f>VLOOKUP(A391,'2011 - TB'!$A$3:$B$971,2,FALSE)</f>
        <v xml:space="preserve">                               -  </v>
      </c>
      <c r="D391" s="2118">
        <v>0</v>
      </c>
      <c r="E391" s="2118">
        <v>0</v>
      </c>
      <c r="F391" s="2118">
        <v>0</v>
      </c>
      <c r="G391" s="2118">
        <f t="shared" si="12"/>
        <v>0</v>
      </c>
      <c r="H391" s="2640">
        <f>SUMIF('Original Budget'!$A$1:$A$691,'Trial Balance - FPer'!A391,'Original Budget'!$C$1:$C$691)</f>
        <v>2640.06</v>
      </c>
      <c r="I391" s="2640"/>
      <c r="J391" s="2119" t="s">
        <v>6386</v>
      </c>
      <c r="L391" s="2024" t="str">
        <f>VLOOKUP(A391,'2012 Budget'!$A$18:$B$2152,2,FALSE)</f>
        <v>Compensation Co</v>
      </c>
    </row>
    <row r="392" spans="1:12" s="2024" customFormat="1" x14ac:dyDescent="0.2">
      <c r="A392" s="2116" t="s">
        <v>5648</v>
      </c>
      <c r="B392" s="2117" t="s">
        <v>4826</v>
      </c>
      <c r="C392" s="2109">
        <f>VLOOKUP(A392,'2011 - TB'!$A$3:$B$971,2,FALSE)</f>
        <v>379.93</v>
      </c>
      <c r="D392" s="2118">
        <v>0</v>
      </c>
      <c r="E392" s="2118">
        <v>0</v>
      </c>
      <c r="F392" s="2118">
        <v>0</v>
      </c>
      <c r="G392" s="2118">
        <f t="shared" si="12"/>
        <v>0</v>
      </c>
      <c r="H392" s="2640">
        <f>SUMIF('Original Budget'!$A$1:$A$691,'Trial Balance - FPer'!A392,'Original Budget'!$C$1:$C$691)</f>
        <v>0</v>
      </c>
      <c r="I392" s="2640"/>
      <c r="J392" s="2119" t="s">
        <v>6386</v>
      </c>
      <c r="L392" s="2024" t="str">
        <f>VLOOKUP(A392,'2012 Budget'!$A$18:$B$2152,2,FALSE)</f>
        <v>Skills Developm</v>
      </c>
    </row>
    <row r="393" spans="1:12" s="2024" customFormat="1" x14ac:dyDescent="0.2">
      <c r="A393" s="2116" t="s">
        <v>5649</v>
      </c>
      <c r="B393" s="2117" t="s">
        <v>4826</v>
      </c>
      <c r="C393" s="2109" t="str">
        <f>VLOOKUP(A393,'2011 - TB'!$A$3:$B$971,2,FALSE)</f>
        <v xml:space="preserve">                               -  </v>
      </c>
      <c r="D393" s="2118">
        <v>0</v>
      </c>
      <c r="E393" s="2118">
        <v>0</v>
      </c>
      <c r="F393" s="2118">
        <v>0</v>
      </c>
      <c r="G393" s="2118">
        <f t="shared" si="12"/>
        <v>0</v>
      </c>
      <c r="H393" s="2640">
        <f>SUMIF('Original Budget'!$A$1:$A$691,'Trial Balance - FPer'!A393,'Original Budget'!$C$1:$C$691)</f>
        <v>0</v>
      </c>
      <c r="I393" s="2640"/>
      <c r="J393" s="2119" t="s">
        <v>6386</v>
      </c>
      <c r="L393" s="2024" t="str">
        <f>VLOOKUP(A393,'2012 Budget'!$A$18:$B$2152,2,FALSE)</f>
        <v>Compensation Co</v>
      </c>
    </row>
    <row r="394" spans="1:12" s="2024" customFormat="1" x14ac:dyDescent="0.2">
      <c r="A394" s="2116" t="s">
        <v>5671</v>
      </c>
      <c r="B394" s="2117" t="s">
        <v>4826</v>
      </c>
      <c r="C394" s="2109">
        <f>VLOOKUP(A394,'2011 - TB'!$A$3:$B$971,2,FALSE)</f>
        <v>46640.56</v>
      </c>
      <c r="D394" s="2118">
        <v>0</v>
      </c>
      <c r="E394" s="2118">
        <f>VLOOKUP(A394,'2012 - TB'!$A$3:$H$733,5,FALSE)</f>
        <v>52271.94</v>
      </c>
      <c r="F394" s="2118">
        <f>VLOOKUP(A394,'2012 - TB'!$A$3:$H$733,6,FALSE)</f>
        <v>0</v>
      </c>
      <c r="G394" s="2118">
        <f t="shared" si="12"/>
        <v>52271.94</v>
      </c>
      <c r="H394" s="2640">
        <f>SUMIF('Original Budget'!$A$1:$A$691,'Trial Balance - FPer'!A394,'Original Budget'!$C$1:$C$691)</f>
        <v>54094.7</v>
      </c>
      <c r="I394" s="2640">
        <f>VLOOKUP(A394,'2012 - TB'!$A$3:$C$733,3,FALSE)</f>
        <v>54094.7</v>
      </c>
      <c r="J394" s="2119" t="s">
        <v>6386</v>
      </c>
      <c r="L394" s="2024" t="str">
        <f>VLOOKUP(A394,'2012 Budget'!$A$18:$B$2152,2,FALSE)</f>
        <v>Skills Developm</v>
      </c>
    </row>
    <row r="395" spans="1:12" s="2024" customFormat="1" x14ac:dyDescent="0.2">
      <c r="A395" s="2116" t="s">
        <v>5735</v>
      </c>
      <c r="B395" s="2117" t="s">
        <v>4826</v>
      </c>
      <c r="C395" s="2109">
        <f>VLOOKUP(A395,'2011 - TB'!$A$3:$B$971,2,FALSE)</f>
        <v>22058.720000000001</v>
      </c>
      <c r="D395" s="2118">
        <v>0</v>
      </c>
      <c r="E395" s="2118">
        <f>VLOOKUP(A395,'2012 - TB'!$A$3:$H$733,5,FALSE)</f>
        <v>23420.06</v>
      </c>
      <c r="F395" s="2118">
        <f>VLOOKUP(A395,'2012 - TB'!$A$3:$H$733,6,FALSE)</f>
        <v>0</v>
      </c>
      <c r="G395" s="2118">
        <f t="shared" si="12"/>
        <v>23420.06</v>
      </c>
      <c r="H395" s="2640">
        <f>SUMIF('Original Budget'!$A$1:$A$691,'Trial Balance - FPer'!A395,'Original Budget'!$C$1:$C$691)</f>
        <v>27883.34</v>
      </c>
      <c r="I395" s="2640">
        <f>VLOOKUP(A395,'2012 - TB'!$A$3:$C$733,3,FALSE)</f>
        <v>27883.34</v>
      </c>
      <c r="J395" s="2119" t="s">
        <v>6386</v>
      </c>
      <c r="L395" s="2024" t="str">
        <f>VLOOKUP(A395,'2012 Budget'!$A$18:$B$2152,2,FALSE)</f>
        <v>Skills Developm</v>
      </c>
    </row>
    <row r="396" spans="1:12" s="2024" customFormat="1" x14ac:dyDescent="0.2">
      <c r="A396" s="2116" t="s">
        <v>5736</v>
      </c>
      <c r="B396" s="2117" t="s">
        <v>4826</v>
      </c>
      <c r="C396" s="2109" t="str">
        <f>VLOOKUP(A396,'2011 - TB'!$A$3:$B$971,2,FALSE)</f>
        <v xml:space="preserve">                               -  </v>
      </c>
      <c r="D396" s="2118">
        <v>0</v>
      </c>
      <c r="E396" s="2118">
        <v>0</v>
      </c>
      <c r="F396" s="2118">
        <v>0</v>
      </c>
      <c r="G396" s="2118">
        <f t="shared" si="12"/>
        <v>0</v>
      </c>
      <c r="H396" s="2640">
        <f>SUMIF('Original Budget'!$A$1:$A$691,'Trial Balance - FPer'!A396,'Original Budget'!$C$1:$C$691)</f>
        <v>21912.82</v>
      </c>
      <c r="I396" s="2640"/>
      <c r="J396" s="2119" t="s">
        <v>6386</v>
      </c>
      <c r="L396" s="2024" t="str">
        <f>VLOOKUP(A396,'2012 Budget'!$A$18:$B$2152,2,FALSE)</f>
        <v>Compensation Co</v>
      </c>
    </row>
    <row r="397" spans="1:12" s="2024" customFormat="1" x14ac:dyDescent="0.2">
      <c r="A397" s="2116" t="s">
        <v>5780</v>
      </c>
      <c r="B397" s="2117" t="s">
        <v>4826</v>
      </c>
      <c r="C397" s="2109">
        <f>VLOOKUP(A397,'2011 - TB'!$A$3:$B$971,2,FALSE)</f>
        <v>15515.48</v>
      </c>
      <c r="D397" s="2118">
        <v>0</v>
      </c>
      <c r="E397" s="2118">
        <f>VLOOKUP(A397,'2012 - TB'!$A$3:$H$733,5,FALSE)</f>
        <v>17323.61</v>
      </c>
      <c r="F397" s="2118">
        <f>VLOOKUP(A397,'2012 - TB'!$A$3:$H$733,6,FALSE)</f>
        <v>0</v>
      </c>
      <c r="G397" s="2118">
        <f t="shared" si="12"/>
        <v>17323.61</v>
      </c>
      <c r="H397" s="2640">
        <f>SUMIF('Original Budget'!$A$1:$A$691,'Trial Balance - FPer'!A397,'Original Budget'!$C$1:$C$691)</f>
        <v>19030.849999999999</v>
      </c>
      <c r="I397" s="2640">
        <f>VLOOKUP(A397,'2012 - TB'!$A$3:$C$733,3,FALSE)</f>
        <v>19030.849999999999</v>
      </c>
      <c r="J397" s="2119" t="s">
        <v>6386</v>
      </c>
      <c r="L397" s="2024" t="str">
        <f>VLOOKUP(A397,'2012 Budget'!$A$18:$B$2152,2,FALSE)</f>
        <v>Skills Developm</v>
      </c>
    </row>
    <row r="398" spans="1:12" s="2024" customFormat="1" x14ac:dyDescent="0.2">
      <c r="A398" s="2116" t="s">
        <v>5781</v>
      </c>
      <c r="B398" s="2117" t="s">
        <v>4826</v>
      </c>
      <c r="C398" s="2109" t="str">
        <f>VLOOKUP(A398,'2011 - TB'!$A$3:$B$971,2,FALSE)</f>
        <v xml:space="preserve">                               -  </v>
      </c>
      <c r="D398" s="2118">
        <v>0</v>
      </c>
      <c r="E398" s="2118">
        <v>0</v>
      </c>
      <c r="F398" s="2118">
        <v>0</v>
      </c>
      <c r="G398" s="2118">
        <f t="shared" si="12"/>
        <v>0</v>
      </c>
      <c r="H398" s="2640">
        <f>SUMIF('Original Budget'!$A$1:$A$691,'Trial Balance - FPer'!A398,'Original Budget'!$C$1:$C$691)</f>
        <v>6778.37</v>
      </c>
      <c r="I398" s="2640"/>
      <c r="J398" s="2119" t="s">
        <v>6386</v>
      </c>
      <c r="L398" s="2024" t="str">
        <f>VLOOKUP(A398,'2012 Budget'!$A$18:$B$2152,2,FALSE)</f>
        <v>Compensation Co</v>
      </c>
    </row>
    <row r="399" spans="1:12" s="2024" customFormat="1" x14ac:dyDescent="0.2">
      <c r="A399" s="2116" t="s">
        <v>5836</v>
      </c>
      <c r="B399" s="2117" t="s">
        <v>4826</v>
      </c>
      <c r="C399" s="2109">
        <f>VLOOKUP(A399,'2011 - TB'!$A$3:$B$971,2,FALSE)</f>
        <v>29686.7</v>
      </c>
      <c r="D399" s="2118">
        <v>0</v>
      </c>
      <c r="E399" s="2118">
        <f>VLOOKUP(A399,'2012 - TB'!$A$3:$H$733,5,FALSE)</f>
        <v>31728.42</v>
      </c>
      <c r="F399" s="2118">
        <f>VLOOKUP(A399,'2012 - TB'!$A$3:$H$733,6,FALSE)</f>
        <v>0</v>
      </c>
      <c r="G399" s="2118">
        <f t="shared" si="12"/>
        <v>31728.42</v>
      </c>
      <c r="H399" s="2640">
        <f>SUMIF('Original Budget'!$A$1:$A$691,'Trial Balance - FPer'!A399,'Original Budget'!$C$1:$C$691)</f>
        <v>35714.42</v>
      </c>
      <c r="I399" s="2640">
        <f>VLOOKUP(A399,'2012 - TB'!$A$3:$C$733,3,FALSE)</f>
        <v>35714.42</v>
      </c>
      <c r="J399" s="2119" t="s">
        <v>6386</v>
      </c>
      <c r="L399" s="2024" t="str">
        <f>VLOOKUP(A399,'2012 Budget'!$A$18:$B$2152,2,FALSE)</f>
        <v>Skills Developm</v>
      </c>
    </row>
    <row r="400" spans="1:12" s="2024" customFormat="1" x14ac:dyDescent="0.2">
      <c r="A400" s="2116" t="s">
        <v>5837</v>
      </c>
      <c r="B400" s="2117" t="s">
        <v>4826</v>
      </c>
      <c r="C400" s="2109" t="str">
        <f>VLOOKUP(A400,'2011 - TB'!$A$3:$B$971,2,FALSE)</f>
        <v xml:space="preserve">                               -  </v>
      </c>
      <c r="D400" s="2118">
        <v>0</v>
      </c>
      <c r="E400" s="2118">
        <v>0</v>
      </c>
      <c r="F400" s="2118">
        <v>0</v>
      </c>
      <c r="G400" s="2118">
        <f t="shared" si="12"/>
        <v>0</v>
      </c>
      <c r="H400" s="2640">
        <f>SUMIF('Original Budget'!$A$1:$A$691,'Trial Balance - FPer'!A400,'Original Budget'!$C$1:$C$691)</f>
        <v>20415.21</v>
      </c>
      <c r="I400" s="2640"/>
      <c r="J400" s="2119" t="s">
        <v>6386</v>
      </c>
      <c r="L400" s="2024" t="str">
        <f>VLOOKUP(A400,'2012 Budget'!$A$18:$B$2152,2,FALSE)</f>
        <v>Compensation Co</v>
      </c>
    </row>
    <row r="401" spans="1:12" s="2024" customFormat="1" x14ac:dyDescent="0.2">
      <c r="A401" s="2116" t="s">
        <v>5897</v>
      </c>
      <c r="B401" s="2117" t="s">
        <v>4826</v>
      </c>
      <c r="C401" s="2109">
        <f>VLOOKUP(A401,'2011 - TB'!$A$3:$B$971,2,FALSE)</f>
        <v>4606.08</v>
      </c>
      <c r="D401" s="2118">
        <v>0</v>
      </c>
      <c r="E401" s="2118">
        <f>VLOOKUP(A401,'2012 - TB'!$A$3:$H$733,5,FALSE)</f>
        <v>5585.02</v>
      </c>
      <c r="F401" s="2118">
        <f>VLOOKUP(A401,'2012 - TB'!$A$3:$H$733,6,FALSE)</f>
        <v>0</v>
      </c>
      <c r="G401" s="2118">
        <f t="shared" si="12"/>
        <v>5585.02</v>
      </c>
      <c r="H401" s="2640">
        <f>SUMIF('Original Budget'!$A$1:$A$691,'Trial Balance - FPer'!A401,'Original Budget'!$C$1:$C$691)</f>
        <v>5079.13</v>
      </c>
      <c r="I401" s="2640">
        <f>VLOOKUP(A401,'2012 - TB'!$A$3:$C$733,3,FALSE)</f>
        <v>5345.46</v>
      </c>
      <c r="J401" s="2119" t="s">
        <v>6386</v>
      </c>
      <c r="L401" s="2024" t="str">
        <f>VLOOKUP(A401,'2012 Budget'!$A$18:$B$2152,2,FALSE)</f>
        <v>Skills Developm</v>
      </c>
    </row>
    <row r="402" spans="1:12" s="2024" customFormat="1" ht="13.5" thickBot="1" x14ac:dyDescent="0.25">
      <c r="A402" s="2120" t="s">
        <v>5898</v>
      </c>
      <c r="B402" s="2121" t="s">
        <v>4826</v>
      </c>
      <c r="C402" s="2122" t="str">
        <f>VLOOKUP(A402,'2011 - TB'!$A$3:$B$971,2,FALSE)</f>
        <v xml:space="preserve">                               -  </v>
      </c>
      <c r="D402" s="2123">
        <v>0</v>
      </c>
      <c r="E402" s="2123">
        <v>0</v>
      </c>
      <c r="F402" s="2123">
        <v>0</v>
      </c>
      <c r="G402" s="2123">
        <f t="shared" si="12"/>
        <v>0</v>
      </c>
      <c r="H402" s="2640">
        <f>SUMIF('Original Budget'!$A$1:$A$691,'Trial Balance - FPer'!A402,'Original Budget'!$C$1:$C$691)</f>
        <v>4384.96</v>
      </c>
      <c r="I402" s="2640"/>
      <c r="J402" s="2124" t="s">
        <v>6386</v>
      </c>
      <c r="L402" s="2024" t="str">
        <f>VLOOKUP(A402,'2012 Budget'!$A$18:$B$2152,2,FALSE)</f>
        <v>Compensation Co</v>
      </c>
    </row>
    <row r="403" spans="1:12" s="2024" customFormat="1" x14ac:dyDescent="0.2">
      <c r="A403" s="2116" t="s">
        <v>4953</v>
      </c>
      <c r="B403" s="2117" t="s">
        <v>4954</v>
      </c>
      <c r="C403" s="2109">
        <f>VLOOKUP(A403,'2011 - TB'!$A$3:$B$971,2,FALSE)</f>
        <v>232.84</v>
      </c>
      <c r="D403" s="2118">
        <v>0</v>
      </c>
      <c r="E403" s="2118">
        <f>VLOOKUP(A403,'2012 - TB'!$A$3:$H$733,5,FALSE)</f>
        <v>290483.88</v>
      </c>
      <c r="F403" s="2118">
        <f>VLOOKUP(A403,'2012 - TB'!$A$3:$H$733,6,FALSE)</f>
        <v>-90973.05</v>
      </c>
      <c r="G403" s="2118">
        <f t="shared" si="12"/>
        <v>199510.83000000002</v>
      </c>
      <c r="H403" s="2640">
        <f>SUMIF('Original Budget'!$A$1:$A$691,'Trial Balance - FPer'!A403,'Original Budget'!$C$1:$C$691)</f>
        <v>294187.38</v>
      </c>
      <c r="I403" s="2640">
        <f>VLOOKUP(A403,'2012 - TB'!$A$3:$C$733,3,FALSE)</f>
        <v>90014.45</v>
      </c>
      <c r="J403" s="2119" t="s">
        <v>6391</v>
      </c>
      <c r="L403" s="2024" t="str">
        <f>VLOOKUP(A403,'2012 Budget'!$A$18:$B$2152,2,FALSE)</f>
        <v>Temporary Worke</v>
      </c>
    </row>
    <row r="404" spans="1:12" s="2024" customFormat="1" x14ac:dyDescent="0.2">
      <c r="A404" s="2116" t="s">
        <v>5425</v>
      </c>
      <c r="B404" s="2117" t="s">
        <v>4954</v>
      </c>
      <c r="C404" s="2109">
        <f>VLOOKUP(A404,'2011 - TB'!$A$3:$B$971,2,FALSE)</f>
        <v>0</v>
      </c>
      <c r="D404" s="2118">
        <v>0</v>
      </c>
      <c r="E404" s="2118">
        <v>0</v>
      </c>
      <c r="F404" s="2118">
        <v>0</v>
      </c>
      <c r="G404" s="2118">
        <f t="shared" si="12"/>
        <v>0</v>
      </c>
      <c r="H404" s="2640">
        <f>SUMIF('Original Budget'!$A$1:$A$691,'Trial Balance - FPer'!A404,'Original Budget'!$C$1:$C$691)</f>
        <v>0</v>
      </c>
      <c r="I404" s="2640"/>
      <c r="J404" s="2119" t="s">
        <v>6391</v>
      </c>
      <c r="L404" s="2024" t="str">
        <f>VLOOKUP(A404,'2012 Budget'!$A$18:$B$2152,2,FALSE)</f>
        <v>Temporary Worke</v>
      </c>
    </row>
    <row r="405" spans="1:12" s="2024" customFormat="1" x14ac:dyDescent="0.2">
      <c r="A405" s="2116" t="s">
        <v>5598</v>
      </c>
      <c r="B405" s="2117" t="s">
        <v>4954</v>
      </c>
      <c r="C405" s="2132">
        <f>VLOOKUP(A405,'2011 - TB'!$A$3:$B$971,2,FALSE)</f>
        <v>-304774.82</v>
      </c>
      <c r="D405" s="2118">
        <v>0</v>
      </c>
      <c r="E405" s="2118">
        <v>0</v>
      </c>
      <c r="F405" s="2118">
        <v>0</v>
      </c>
      <c r="G405" s="2118">
        <f t="shared" si="12"/>
        <v>0</v>
      </c>
      <c r="H405" s="2640">
        <f>SUMIF('Original Budget'!$A$1:$A$691,'Trial Balance - FPer'!A405,'Original Budget'!$C$1:$C$691)</f>
        <v>0</v>
      </c>
      <c r="I405" s="2640"/>
      <c r="J405" s="2119" t="s">
        <v>6391</v>
      </c>
      <c r="L405" s="2024" t="str">
        <f>VLOOKUP(A405,'2012 Budget'!$A$18:$B$2152,2,FALSE)</f>
        <v>Temporary Worke</v>
      </c>
    </row>
    <row r="406" spans="1:12" s="2024" customFormat="1" x14ac:dyDescent="0.2">
      <c r="A406" s="2116" t="s">
        <v>5669</v>
      </c>
      <c r="B406" s="2117" t="s">
        <v>4954</v>
      </c>
      <c r="C406" s="2132">
        <f>VLOOKUP(A406,'2011 - TB'!$A$3:$B$971,2,FALSE)</f>
        <v>-187220.93</v>
      </c>
      <c r="D406" s="2118">
        <v>0</v>
      </c>
      <c r="E406" s="2118">
        <v>0</v>
      </c>
      <c r="F406" s="2118">
        <v>0</v>
      </c>
      <c r="G406" s="2118">
        <f t="shared" si="12"/>
        <v>0</v>
      </c>
      <c r="H406" s="2640">
        <f>SUMIF('Original Budget'!$A$1:$A$691,'Trial Balance - FPer'!A406,'Original Budget'!$C$1:$C$691)</f>
        <v>0</v>
      </c>
      <c r="I406" s="2640"/>
      <c r="J406" s="2119" t="s">
        <v>6391</v>
      </c>
      <c r="L406" s="2024" t="str">
        <f>VLOOKUP(A406,'2012 Budget'!$A$18:$B$2152,2,FALSE)</f>
        <v>Temporary Worke</v>
      </c>
    </row>
    <row r="407" spans="1:12" s="2024" customFormat="1" ht="13.5" thickBot="1" x14ac:dyDescent="0.25">
      <c r="A407" s="2116" t="s">
        <v>5733</v>
      </c>
      <c r="B407" s="2117" t="s">
        <v>4954</v>
      </c>
      <c r="C407" s="2109">
        <f>VLOOKUP(A407,'2011 - TB'!$A$3:$B$971,2,FALSE)</f>
        <v>0</v>
      </c>
      <c r="D407" s="2118">
        <v>0</v>
      </c>
      <c r="E407" s="2118">
        <v>0</v>
      </c>
      <c r="F407" s="2118">
        <v>0</v>
      </c>
      <c r="G407" s="2118">
        <f t="shared" si="12"/>
        <v>0</v>
      </c>
      <c r="H407" s="2640">
        <f>SUMIF('Original Budget'!$A$1:$A$691,'Trial Balance - FPer'!A407,'Original Budget'!$C$1:$C$691)</f>
        <v>0</v>
      </c>
      <c r="I407" s="2640"/>
      <c r="J407" s="2119" t="s">
        <v>6391</v>
      </c>
      <c r="L407" s="2024" t="str">
        <f>VLOOKUP(A407,'2012 Budget'!$A$18:$B$2152,2,FALSE)</f>
        <v>Temporary Worke</v>
      </c>
    </row>
    <row r="408" spans="1:12" s="2024" customFormat="1" x14ac:dyDescent="0.2">
      <c r="A408" s="2111" t="s">
        <v>4832</v>
      </c>
      <c r="B408" s="2112" t="s">
        <v>4833</v>
      </c>
      <c r="C408" s="2113">
        <f>VLOOKUP(A408,'2011 - TB'!$A$3:$B$971,2,FALSE)</f>
        <v>6175.16</v>
      </c>
      <c r="D408" s="2114">
        <v>0</v>
      </c>
      <c r="E408" s="2114">
        <f>VLOOKUP(A408,'2012 - TB'!$A$3:$H$733,5,FALSE)</f>
        <v>27188.050000000003</v>
      </c>
      <c r="F408" s="2114">
        <f>VLOOKUP(A408,'2012 - TB'!$A$3:$H$733,6,FALSE)</f>
        <v>0</v>
      </c>
      <c r="G408" s="2114">
        <f t="shared" si="12"/>
        <v>27188.050000000003</v>
      </c>
      <c r="H408" s="2640">
        <f>SUMIF('Original Budget'!$A$1:$A$691,'Trial Balance - FPer'!A408,'Original Budget'!$C$1:$C$691)</f>
        <v>9095.42</v>
      </c>
      <c r="I408" s="2640">
        <f>VLOOKUP(A408,'2012 - TB'!$A$3:$C$733,3,FALSE)</f>
        <v>27437.11</v>
      </c>
      <c r="J408" s="2115" t="s">
        <v>6387</v>
      </c>
      <c r="L408" s="2024" t="str">
        <f>VLOOKUP(A408,'2012 Budget'!$A$18:$B$2152,2,FALSE)</f>
        <v>UIF;</v>
      </c>
    </row>
    <row r="409" spans="1:12" s="2024" customFormat="1" x14ac:dyDescent="0.2">
      <c r="A409" s="2116" t="s">
        <v>4916</v>
      </c>
      <c r="B409" s="2117" t="s">
        <v>4833</v>
      </c>
      <c r="C409" s="2109">
        <f>VLOOKUP(A409,'2011 - TB'!$A$3:$B$971,2,FALSE)</f>
        <v>2408.38</v>
      </c>
      <c r="D409" s="2118">
        <v>0</v>
      </c>
      <c r="E409" s="2118">
        <f>VLOOKUP(A409,'2012 - TB'!$A$3:$H$733,5,FALSE)</f>
        <v>2939.03</v>
      </c>
      <c r="F409" s="2118">
        <f>VLOOKUP(A409,'2012 - TB'!$A$3:$H$733,6,FALSE)</f>
        <v>0</v>
      </c>
      <c r="G409" s="2118">
        <f t="shared" si="12"/>
        <v>2939.03</v>
      </c>
      <c r="H409" s="2640">
        <f>SUMIF('Original Budget'!$A$1:$A$691,'Trial Balance - FPer'!A409,'Original Budget'!$C$1:$C$691)</f>
        <v>2872.36</v>
      </c>
      <c r="I409" s="2640">
        <f>VLOOKUP(A409,'2012 - TB'!$A$3:$C$733,3,FALSE)</f>
        <v>3379.22</v>
      </c>
      <c r="J409" s="2119" t="s">
        <v>6387</v>
      </c>
      <c r="L409" s="2024" t="str">
        <f>VLOOKUP(A409,'2012 Budget'!$A$18:$B$2152,2,FALSE)</f>
        <v>UIF;</v>
      </c>
    </row>
    <row r="410" spans="1:12" s="2024" customFormat="1" x14ac:dyDescent="0.2">
      <c r="A410" s="2116" t="s">
        <v>4973</v>
      </c>
      <c r="B410" s="2117" t="s">
        <v>4833</v>
      </c>
      <c r="C410" s="2109">
        <f>VLOOKUP(A410,'2011 - TB'!$A$3:$B$971,2,FALSE)</f>
        <v>1035.74</v>
      </c>
      <c r="D410" s="2118">
        <v>0</v>
      </c>
      <c r="E410" s="2118">
        <f>VLOOKUP(A410,'2012 - TB'!$A$3:$H$733,5,FALSE)</f>
        <v>1777.61</v>
      </c>
      <c r="F410" s="2118">
        <f>VLOOKUP(A410,'2012 - TB'!$A$3:$H$733,6,FALSE)</f>
        <v>0</v>
      </c>
      <c r="G410" s="2118">
        <f t="shared" si="12"/>
        <v>1777.61</v>
      </c>
      <c r="H410" s="2640">
        <f>SUMIF('Original Budget'!$A$1:$A$691,'Trial Balance - FPer'!A410,'Original Budget'!$C$1:$C$691)</f>
        <v>1219.3900000000001</v>
      </c>
      <c r="I410" s="2640">
        <f>VLOOKUP(A410,'2012 - TB'!$A$3:$C$733,3,FALSE)</f>
        <v>2228.0100000000002</v>
      </c>
      <c r="J410" s="2119" t="s">
        <v>6387</v>
      </c>
      <c r="L410" s="2024" t="str">
        <f>VLOOKUP(A410,'2012 Budget'!$A$18:$B$2152,2,FALSE)</f>
        <v>UIF;</v>
      </c>
    </row>
    <row r="411" spans="1:12" s="2024" customFormat="1" x14ac:dyDescent="0.2">
      <c r="A411" s="2116" t="s">
        <v>4974</v>
      </c>
      <c r="B411" s="2117" t="s">
        <v>4833</v>
      </c>
      <c r="C411" s="2109">
        <f>VLOOKUP(A411,'2011 - TB'!$A$3:$B$971,2,FALSE)</f>
        <v>22369.93</v>
      </c>
      <c r="D411" s="2118">
        <v>0</v>
      </c>
      <c r="E411" s="2118">
        <f>VLOOKUP(A411,'2012 - TB'!$A$3:$H$733,5,FALSE)</f>
        <v>26508.32</v>
      </c>
      <c r="F411" s="2118">
        <f>VLOOKUP(A411,'2012 - TB'!$A$3:$H$733,6,FALSE)</f>
        <v>0</v>
      </c>
      <c r="G411" s="2118">
        <f t="shared" si="12"/>
        <v>26508.32</v>
      </c>
      <c r="H411" s="2640">
        <f>SUMIF('Original Budget'!$A$1:$A$691,'Trial Balance - FPer'!A411,'Original Budget'!$C$1:$C$691)</f>
        <v>28824.81</v>
      </c>
      <c r="I411" s="2640">
        <f>VLOOKUP(A411,'2012 - TB'!$A$3:$C$733,3,FALSE)</f>
        <v>27485.97</v>
      </c>
      <c r="J411" s="2119" t="s">
        <v>6387</v>
      </c>
      <c r="L411" s="2024" t="str">
        <f>VLOOKUP(A411,'2012 Budget'!$A$18:$B$2152,2,FALSE)</f>
        <v>UIF;</v>
      </c>
    </row>
    <row r="412" spans="1:12" s="2024" customFormat="1" x14ac:dyDescent="0.2">
      <c r="A412" s="2116" t="s">
        <v>4975</v>
      </c>
      <c r="B412" s="2117" t="s">
        <v>4833</v>
      </c>
      <c r="C412" s="2109">
        <f>VLOOKUP(A412,'2011 - TB'!$A$3:$B$971,2,FALSE)</f>
        <v>1668.63</v>
      </c>
      <c r="D412" s="2118">
        <v>0</v>
      </c>
      <c r="E412" s="2118">
        <v>0</v>
      </c>
      <c r="F412" s="2118">
        <v>0</v>
      </c>
      <c r="G412" s="2118">
        <f t="shared" si="12"/>
        <v>0</v>
      </c>
      <c r="H412" s="2640">
        <f>SUMIF('Original Budget'!$A$1:$A$691,'Trial Balance - FPer'!A412,'Original Budget'!$C$1:$C$691)</f>
        <v>4500.01</v>
      </c>
      <c r="I412" s="2640"/>
      <c r="J412" s="2119" t="s">
        <v>6387</v>
      </c>
      <c r="L412" s="2024" t="str">
        <f>VLOOKUP(A412,'2012 Budget'!$A$18:$B$2152,2,FALSE)</f>
        <v>UIF;</v>
      </c>
    </row>
    <row r="413" spans="1:12" s="2024" customFormat="1" x14ac:dyDescent="0.2">
      <c r="A413" s="2116" t="s">
        <v>5109</v>
      </c>
      <c r="B413" s="2117" t="s">
        <v>4833</v>
      </c>
      <c r="C413" s="2109">
        <f>VLOOKUP(A413,'2011 - TB'!$A$3:$B$971,2,FALSE)</f>
        <v>5488.92</v>
      </c>
      <c r="D413" s="2118">
        <v>0</v>
      </c>
      <c r="E413" s="2118">
        <f>VLOOKUP(A413,'2012 - TB'!$A$3:$H$733,5,FALSE)</f>
        <v>7524.15</v>
      </c>
      <c r="F413" s="2118">
        <f>VLOOKUP(A413,'2012 - TB'!$A$3:$H$733,6,FALSE)</f>
        <v>0</v>
      </c>
      <c r="G413" s="2118">
        <f t="shared" si="12"/>
        <v>7524.15</v>
      </c>
      <c r="H413" s="2640">
        <f>SUMIF('Original Budget'!$A$1:$A$691,'Trial Balance - FPer'!A413,'Original Budget'!$C$1:$C$691)</f>
        <v>6538.58</v>
      </c>
      <c r="I413" s="2640">
        <f>VLOOKUP(A413,'2012 - TB'!$A$3:$C$733,3,FALSE)</f>
        <v>7395.71</v>
      </c>
      <c r="J413" s="2119" t="s">
        <v>6387</v>
      </c>
      <c r="L413" s="2024" t="str">
        <f>VLOOKUP(A413,'2012 Budget'!$A$18:$B$2152,2,FALSE)</f>
        <v>UIF;</v>
      </c>
    </row>
    <row r="414" spans="1:12" s="2024" customFormat="1" x14ac:dyDescent="0.2">
      <c r="A414" s="2116" t="s">
        <v>5137</v>
      </c>
      <c r="B414" s="2117" t="s">
        <v>4833</v>
      </c>
      <c r="C414" s="2109">
        <f>VLOOKUP(A414,'2011 - TB'!$A$3:$B$971,2,FALSE)</f>
        <v>3100.67</v>
      </c>
      <c r="D414" s="2118">
        <v>0</v>
      </c>
      <c r="E414" s="2118">
        <f>VLOOKUP(A414,'2012 - TB'!$A$3:$H$733,5,FALSE)</f>
        <v>3454.77</v>
      </c>
      <c r="F414" s="2118">
        <f>VLOOKUP(A414,'2012 - TB'!$A$3:$H$733,6,FALSE)</f>
        <v>0</v>
      </c>
      <c r="G414" s="2118">
        <f t="shared" si="12"/>
        <v>3454.77</v>
      </c>
      <c r="H414" s="2640">
        <f>SUMIF('Original Budget'!$A$1:$A$691,'Trial Balance - FPer'!A414,'Original Budget'!$C$1:$C$691)</f>
        <v>1872.55</v>
      </c>
      <c r="I414" s="2640">
        <f>VLOOKUP(A414,'2012 - TB'!$A$3:$C$733,3,FALSE)</f>
        <v>3893.16</v>
      </c>
      <c r="J414" s="2119" t="s">
        <v>6387</v>
      </c>
      <c r="L414" s="2024" t="str">
        <f>VLOOKUP(A414,'2012 Budget'!$A$18:$B$2152,2,FALSE)</f>
        <v>UIF;</v>
      </c>
    </row>
    <row r="415" spans="1:12" s="2024" customFormat="1" x14ac:dyDescent="0.2">
      <c r="A415" s="2116" t="s">
        <v>5160</v>
      </c>
      <c r="B415" s="2117" t="s">
        <v>4833</v>
      </c>
      <c r="C415" s="2109">
        <f>VLOOKUP(A415,'2011 - TB'!$A$3:$B$971,2,FALSE)</f>
        <v>0</v>
      </c>
      <c r="D415" s="2118">
        <v>0</v>
      </c>
      <c r="E415" s="2118">
        <v>0</v>
      </c>
      <c r="F415" s="2118">
        <v>0</v>
      </c>
      <c r="G415" s="2118">
        <f t="shared" si="12"/>
        <v>0</v>
      </c>
      <c r="H415" s="2640">
        <f>SUMIF('Original Budget'!$A$1:$A$691,'Trial Balance - FPer'!A415,'Original Budget'!$C$1:$C$691)</f>
        <v>0</v>
      </c>
      <c r="I415" s="2640"/>
      <c r="J415" s="2119" t="s">
        <v>6387</v>
      </c>
      <c r="L415" s="2024" t="str">
        <f>VLOOKUP(A415,'2012 Budget'!$A$18:$B$2152,2,FALSE)</f>
        <v>UIF;</v>
      </c>
    </row>
    <row r="416" spans="1:12" s="2024" customFormat="1" x14ac:dyDescent="0.2">
      <c r="A416" s="2116" t="s">
        <v>5243</v>
      </c>
      <c r="B416" s="2117" t="s">
        <v>4833</v>
      </c>
      <c r="C416" s="2109" t="str">
        <f>VLOOKUP(A416,'2011 - TB'!$A$3:$B$971,2,FALSE)</f>
        <v xml:space="preserve">                               -  </v>
      </c>
      <c r="D416" s="2118">
        <v>0</v>
      </c>
      <c r="E416" s="2118">
        <f>VLOOKUP(A416,'2012 - TB'!$A$3:$H$733,5,FALSE)</f>
        <v>1123.02</v>
      </c>
      <c r="F416" s="2118">
        <f>VLOOKUP(A416,'2012 - TB'!$A$3:$H$733,6,FALSE)</f>
        <v>0</v>
      </c>
      <c r="G416" s="2118">
        <f t="shared" si="12"/>
        <v>1123.02</v>
      </c>
      <c r="H416" s="2640">
        <f>SUMIF('Original Budget'!$A$1:$A$691,'Trial Balance - FPer'!A416,'Original Budget'!$C$1:$C$691)</f>
        <v>1219.3900000000001</v>
      </c>
      <c r="I416" s="2640">
        <f>VLOOKUP(A416,'2012 - TB'!$A$3:$C$733,3,FALSE)</f>
        <v>1497.36</v>
      </c>
      <c r="J416" s="2119" t="s">
        <v>6387</v>
      </c>
      <c r="L416" s="2024" t="str">
        <f>VLOOKUP(A416,'2012 Budget'!$A$18:$B$2152,2,FALSE)</f>
        <v>UIF;</v>
      </c>
    </row>
    <row r="417" spans="1:12" s="2024" customFormat="1" x14ac:dyDescent="0.2">
      <c r="A417" s="2116" t="s">
        <v>5244</v>
      </c>
      <c r="B417" s="2117" t="s">
        <v>4833</v>
      </c>
      <c r="C417" s="2109" t="str">
        <f>VLOOKUP(A417,'2011 - TB'!$A$3:$B$971,2,FALSE)</f>
        <v xml:space="preserve">                               -  </v>
      </c>
      <c r="D417" s="2118">
        <v>0</v>
      </c>
      <c r="E417" s="2118">
        <f>VLOOKUP(A417,'2012 - TB'!$A$3:$H$733,5,FALSE)</f>
        <v>1123.02</v>
      </c>
      <c r="F417" s="2118">
        <f>VLOOKUP(A417,'2012 - TB'!$A$3:$H$733,6,FALSE)</f>
        <v>0</v>
      </c>
      <c r="G417" s="2118">
        <f t="shared" si="12"/>
        <v>1123.02</v>
      </c>
      <c r="H417" s="2640">
        <f>SUMIF('Original Budget'!$A$1:$A$691,'Trial Balance - FPer'!A417,'Original Budget'!$C$1:$C$691)</f>
        <v>1219.3900000000001</v>
      </c>
      <c r="I417" s="2640">
        <f>VLOOKUP(A417,'2012 - TB'!$A$3:$C$733,3,FALSE)</f>
        <v>1497.36</v>
      </c>
      <c r="J417" s="2119" t="s">
        <v>6387</v>
      </c>
      <c r="L417" s="2024" t="str">
        <f>VLOOKUP(A417,'2012 Budget'!$A$18:$B$2152,2,FALSE)</f>
        <v>UIF;</v>
      </c>
    </row>
    <row r="418" spans="1:12" s="2024" customFormat="1" x14ac:dyDescent="0.2">
      <c r="A418" s="2116" t="s">
        <v>5245</v>
      </c>
      <c r="B418" s="2117" t="s">
        <v>4833</v>
      </c>
      <c r="C418" s="2109">
        <f>VLOOKUP(A418,'2011 - TB'!$A$3:$B$971,2,FALSE)</f>
        <v>1497.36</v>
      </c>
      <c r="D418" s="2118">
        <v>0</v>
      </c>
      <c r="E418" s="2118">
        <f>VLOOKUP(A418,'2012 - TB'!$A$3:$H$733,5,FALSE)</f>
        <v>873.46</v>
      </c>
      <c r="F418" s="2118">
        <f>VLOOKUP(A418,'2012 - TB'!$A$3:$H$733,6,FALSE)</f>
        <v>0</v>
      </c>
      <c r="G418" s="2118">
        <f t="shared" si="12"/>
        <v>873.46</v>
      </c>
      <c r="H418" s="2640">
        <f>SUMIF('Original Budget'!$A$1:$A$691,'Trial Balance - FPer'!A418,'Original Budget'!$C$1:$C$691)</f>
        <v>1889.29</v>
      </c>
      <c r="I418" s="2640">
        <f>VLOOKUP(A418,'2012 - TB'!$A$3:$C$733,3,FALSE)</f>
        <v>873.47</v>
      </c>
      <c r="J418" s="2119" t="s">
        <v>6387</v>
      </c>
      <c r="L418" s="2024" t="str">
        <f>VLOOKUP(A418,'2012 Budget'!$A$18:$B$2152,2,FALSE)</f>
        <v>UIF;</v>
      </c>
    </row>
    <row r="419" spans="1:12" s="2024" customFormat="1" x14ac:dyDescent="0.2">
      <c r="A419" s="2116" t="s">
        <v>5246</v>
      </c>
      <c r="B419" s="2117" t="s">
        <v>4833</v>
      </c>
      <c r="C419" s="2109">
        <f>VLOOKUP(A419,'2011 - TB'!$A$3:$B$971,2,FALSE)</f>
        <v>9326.73</v>
      </c>
      <c r="D419" s="2118">
        <v>0</v>
      </c>
      <c r="E419" s="2118">
        <f>VLOOKUP(A419,'2012 - TB'!$A$3:$H$733,5,FALSE)</f>
        <v>9061.19</v>
      </c>
      <c r="F419" s="2118">
        <f>VLOOKUP(A419,'2012 - TB'!$A$3:$H$733,6,FALSE)</f>
        <v>0</v>
      </c>
      <c r="G419" s="2118">
        <f t="shared" si="12"/>
        <v>9061.19</v>
      </c>
      <c r="H419" s="2640">
        <f>SUMIF('Original Budget'!$A$1:$A$691,'Trial Balance - FPer'!A419,'Original Budget'!$C$1:$C$691)</f>
        <v>12587.43</v>
      </c>
      <c r="I419" s="2640">
        <f>VLOOKUP(A419,'2012 - TB'!$A$3:$C$733,3,FALSE)</f>
        <v>9655.3799999999992</v>
      </c>
      <c r="J419" s="2119" t="s">
        <v>6387</v>
      </c>
      <c r="L419" s="2024" t="str">
        <f>VLOOKUP(A419,'2012 Budget'!$A$18:$B$2152,2,FALSE)</f>
        <v>UIF;</v>
      </c>
    </row>
    <row r="420" spans="1:12" s="2024" customFormat="1" x14ac:dyDescent="0.2">
      <c r="A420" s="2116" t="s">
        <v>5247</v>
      </c>
      <c r="B420" s="2117" t="s">
        <v>4833</v>
      </c>
      <c r="C420" s="2109" t="str">
        <f>VLOOKUP(A420,'2011 - TB'!$A$3:$B$971,2,FALSE)</f>
        <v xml:space="preserve">                               -  </v>
      </c>
      <c r="D420" s="2118">
        <v>0</v>
      </c>
      <c r="E420" s="2118">
        <v>0</v>
      </c>
      <c r="F420" s="2118">
        <v>0</v>
      </c>
      <c r="G420" s="2118">
        <f t="shared" si="12"/>
        <v>0</v>
      </c>
      <c r="H420" s="2640">
        <f>SUMIF('Original Budget'!$A$1:$A$691,'Trial Balance - FPer'!A420,'Original Budget'!$C$1:$C$691)</f>
        <v>9640.48</v>
      </c>
      <c r="I420" s="2640"/>
      <c r="J420" s="2119" t="s">
        <v>6387</v>
      </c>
      <c r="L420" s="2024" t="str">
        <f>VLOOKUP(A420,'2012 Budget'!$A$18:$B$2152,2,FALSE)</f>
        <v>Medical - PJS V</v>
      </c>
    </row>
    <row r="421" spans="1:12" s="2024" customFormat="1" x14ac:dyDescent="0.2">
      <c r="A421" s="2116" t="s">
        <v>5329</v>
      </c>
      <c r="B421" s="2117" t="s">
        <v>4833</v>
      </c>
      <c r="C421" s="2109">
        <f>VLOOKUP(A421,'2011 - TB'!$A$3:$B$971,2,FALSE)</f>
        <v>2370.8200000000002</v>
      </c>
      <c r="D421" s="2118">
        <v>0</v>
      </c>
      <c r="E421" s="2118">
        <f>VLOOKUP(A421,'2012 - TB'!$A$3:$H$733,5,FALSE)</f>
        <v>5461.96</v>
      </c>
      <c r="F421" s="2118">
        <f>VLOOKUP(A421,'2012 - TB'!$A$3:$H$733,6,FALSE)</f>
        <v>0</v>
      </c>
      <c r="G421" s="2118">
        <f t="shared" si="12"/>
        <v>5461.96</v>
      </c>
      <c r="H421" s="2640">
        <f>SUMIF('Original Budget'!$A$1:$A$691,'Trial Balance - FPer'!A421,'Original Budget'!$C$1:$C$691)</f>
        <v>1619.39</v>
      </c>
      <c r="I421" s="2640">
        <f>VLOOKUP(A421,'2012 - TB'!$A$3:$C$733,3,FALSE)</f>
        <v>4492.08</v>
      </c>
      <c r="J421" s="2119" t="s">
        <v>6387</v>
      </c>
      <c r="L421" s="2024" t="str">
        <f>VLOOKUP(A421,'2012 Budget'!$A$18:$B$2152,2,FALSE)</f>
        <v>UIF;</v>
      </c>
    </row>
    <row r="422" spans="1:12" s="2024" customFormat="1" x14ac:dyDescent="0.2">
      <c r="A422" s="2116" t="s">
        <v>5368</v>
      </c>
      <c r="B422" s="2117" t="s">
        <v>4833</v>
      </c>
      <c r="C422" s="2109">
        <f>VLOOKUP(A422,'2011 - TB'!$A$3:$B$971,2,FALSE)</f>
        <v>6851.15</v>
      </c>
      <c r="D422" s="2118">
        <v>0</v>
      </c>
      <c r="E422" s="2118">
        <f>VLOOKUP(A422,'2012 - TB'!$A$3:$H$733,5,FALSE)</f>
        <v>7008.3</v>
      </c>
      <c r="F422" s="2118">
        <f>VLOOKUP(A422,'2012 - TB'!$A$3:$H$733,6,FALSE)</f>
        <v>0</v>
      </c>
      <c r="G422" s="2118">
        <f t="shared" si="12"/>
        <v>7008.3</v>
      </c>
      <c r="H422" s="2640">
        <f>SUMIF('Original Budget'!$A$1:$A$691,'Trial Balance - FPer'!A422,'Original Budget'!$C$1:$C$691)</f>
        <v>8594.68</v>
      </c>
      <c r="I422" s="2640">
        <f>VLOOKUP(A422,'2012 - TB'!$A$3:$C$733,3,FALSE)</f>
        <v>8594.68</v>
      </c>
      <c r="J422" s="2119" t="s">
        <v>6387</v>
      </c>
      <c r="L422" s="2024" t="str">
        <f>VLOOKUP(A422,'2012 Budget'!$A$18:$B$2152,2,FALSE)</f>
        <v>UIF;</v>
      </c>
    </row>
    <row r="423" spans="1:12" s="2024" customFormat="1" x14ac:dyDescent="0.2">
      <c r="A423" s="2116" t="s">
        <v>5396</v>
      </c>
      <c r="B423" s="2117" t="s">
        <v>4833</v>
      </c>
      <c r="C423" s="2109">
        <f>VLOOKUP(A423,'2011 - TB'!$A$3:$B$971,2,FALSE)</f>
        <v>1907.84</v>
      </c>
      <c r="D423" s="2118">
        <v>0</v>
      </c>
      <c r="E423" s="2118">
        <f>VLOOKUP(A423,'2012 - TB'!$A$3:$H$733,5,FALSE)</f>
        <v>2003.06</v>
      </c>
      <c r="F423" s="2118">
        <f>VLOOKUP(A423,'2012 - TB'!$A$3:$H$733,6,FALSE)</f>
        <v>0</v>
      </c>
      <c r="G423" s="2118">
        <f t="shared" si="12"/>
        <v>2003.06</v>
      </c>
      <c r="H423" s="2640">
        <f>SUMIF('Original Budget'!$A$1:$A$691,'Trial Balance - FPer'!A423,'Original Budget'!$C$1:$C$691)</f>
        <v>2411.16</v>
      </c>
      <c r="I423" s="2640">
        <f>VLOOKUP(A423,'2012 - TB'!$A$3:$C$733,3,FALSE)</f>
        <v>2411.16</v>
      </c>
      <c r="J423" s="2119" t="s">
        <v>6387</v>
      </c>
      <c r="L423" s="2024" t="str">
        <f>VLOOKUP(A423,'2012 Budget'!$A$18:$B$2152,2,FALSE)</f>
        <v>UIF;</v>
      </c>
    </row>
    <row r="424" spans="1:12" s="2024" customFormat="1" x14ac:dyDescent="0.2">
      <c r="A424" s="2116" t="s">
        <v>5462</v>
      </c>
      <c r="B424" s="2117" t="s">
        <v>4833</v>
      </c>
      <c r="C424" s="2109" t="str">
        <f>VLOOKUP(A424,'2011 - TB'!$A$3:$B$971,2,FALSE)</f>
        <v xml:space="preserve">                               -  </v>
      </c>
      <c r="D424" s="2118">
        <v>0</v>
      </c>
      <c r="E424" s="2118">
        <f>VLOOKUP(A424,'2012 - TB'!$A$3:$H$733,5,FALSE)</f>
        <v>249.56</v>
      </c>
      <c r="F424" s="2118">
        <f>VLOOKUP(A424,'2012 - TB'!$A$3:$H$733,6,FALSE)</f>
        <v>0</v>
      </c>
      <c r="G424" s="2118">
        <f t="shared" si="12"/>
        <v>249.56</v>
      </c>
      <c r="H424" s="2640">
        <f>SUMIF('Original Budget'!$A$1:$A$691,'Trial Balance - FPer'!A424,'Original Budget'!$C$1:$C$691)</f>
        <v>1219.3900000000001</v>
      </c>
      <c r="I424" s="2640">
        <f>VLOOKUP(A424,'2012 - TB'!$A$3:$C$733,3,FALSE)</f>
        <v>249.56</v>
      </c>
      <c r="J424" s="2119" t="s">
        <v>6387</v>
      </c>
      <c r="L424" s="2024" t="str">
        <f>VLOOKUP(A424,'2012 Budget'!$A$18:$B$2152,2,FALSE)</f>
        <v>UIF;</v>
      </c>
    </row>
    <row r="425" spans="1:12" s="2024" customFormat="1" x14ac:dyDescent="0.2">
      <c r="A425" s="2116" t="s">
        <v>5463</v>
      </c>
      <c r="B425" s="2117" t="s">
        <v>4833</v>
      </c>
      <c r="C425" s="2109">
        <f>VLOOKUP(A425,'2011 - TB'!$A$3:$B$971,2,FALSE)</f>
        <v>5525.23</v>
      </c>
      <c r="D425" s="2118">
        <v>0</v>
      </c>
      <c r="E425" s="2118">
        <f>VLOOKUP(A425,'2012 - TB'!$A$3:$H$733,5,FALSE)</f>
        <v>7007.43</v>
      </c>
      <c r="F425" s="2118">
        <f>VLOOKUP(A425,'2012 - TB'!$A$3:$H$733,6,FALSE)</f>
        <v>0</v>
      </c>
      <c r="G425" s="2118">
        <f t="shared" si="12"/>
        <v>7007.43</v>
      </c>
      <c r="H425" s="2640">
        <f>SUMIF('Original Budget'!$A$1:$A$691,'Trial Balance - FPer'!A425,'Original Budget'!$C$1:$C$691)</f>
        <v>6807.18</v>
      </c>
      <c r="I425" s="2640">
        <f>VLOOKUP(A425,'2012 - TB'!$A$3:$C$733,3,FALSE)</f>
        <v>7135.92</v>
      </c>
      <c r="J425" s="2119" t="s">
        <v>6387</v>
      </c>
      <c r="L425" s="2024" t="str">
        <f>VLOOKUP(A425,'2012 Budget'!$A$18:$B$2152,2,FALSE)</f>
        <v>UIF;</v>
      </c>
    </row>
    <row r="426" spans="1:12" s="2024" customFormat="1" x14ac:dyDescent="0.2">
      <c r="A426" s="2116" t="s">
        <v>5464</v>
      </c>
      <c r="B426" s="2117" t="s">
        <v>4833</v>
      </c>
      <c r="C426" s="2109">
        <f>VLOOKUP(A426,'2011 - TB'!$A$3:$B$971,2,FALSE)</f>
        <v>0</v>
      </c>
      <c r="D426" s="2118">
        <v>0</v>
      </c>
      <c r="E426" s="2118">
        <v>0</v>
      </c>
      <c r="F426" s="2118">
        <v>0</v>
      </c>
      <c r="G426" s="2118">
        <f t="shared" si="12"/>
        <v>0</v>
      </c>
      <c r="H426" s="2640">
        <f>SUMIF('Original Budget'!$A$1:$A$691,'Trial Balance - FPer'!A426,'Original Budget'!$C$1:$C$691)</f>
        <v>0</v>
      </c>
      <c r="I426" s="2640"/>
      <c r="J426" s="2119" t="s">
        <v>6387</v>
      </c>
      <c r="L426" s="2024" t="str">
        <f>VLOOKUP(A426,'2012 Budget'!$A$18:$B$2152,2,FALSE)</f>
        <v>UIF;</v>
      </c>
    </row>
    <row r="427" spans="1:12" s="2024" customFormat="1" x14ac:dyDescent="0.2">
      <c r="A427" s="2116" t="s">
        <v>5499</v>
      </c>
      <c r="B427" s="2117" t="s">
        <v>4833</v>
      </c>
      <c r="C427" s="2109">
        <f>VLOOKUP(A427,'2011 - TB'!$A$3:$B$971,2,FALSE)</f>
        <v>3848.31</v>
      </c>
      <c r="D427" s="2118">
        <v>0</v>
      </c>
      <c r="E427" s="2118">
        <f>VLOOKUP(A427,'2012 - TB'!$A$3:$H$733,5,FALSE)</f>
        <v>3669.18</v>
      </c>
      <c r="F427" s="2118">
        <f>VLOOKUP(A427,'2012 - TB'!$A$3:$H$733,6,FALSE)</f>
        <v>0</v>
      </c>
      <c r="G427" s="2118">
        <f t="shared" si="12"/>
        <v>3669.18</v>
      </c>
      <c r="H427" s="2640">
        <f>SUMIF('Original Budget'!$A$1:$A$691,'Trial Balance - FPer'!A427,'Original Budget'!$C$1:$C$691)</f>
        <v>5008.21</v>
      </c>
      <c r="I427" s="2640">
        <f>VLOOKUP(A427,'2012 - TB'!$A$3:$C$733,3,FALSE)</f>
        <v>4006.38</v>
      </c>
      <c r="J427" s="2119" t="s">
        <v>6387</v>
      </c>
      <c r="L427" s="2024" t="str">
        <f>VLOOKUP(A427,'2012 Budget'!$A$18:$B$2152,2,FALSE)</f>
        <v>UIF;</v>
      </c>
    </row>
    <row r="428" spans="1:12" s="2024" customFormat="1" x14ac:dyDescent="0.2">
      <c r="A428" s="2116" t="s">
        <v>5529</v>
      </c>
      <c r="B428" s="2117" t="s">
        <v>4833</v>
      </c>
      <c r="C428" s="2109">
        <f>VLOOKUP(A428,'2011 - TB'!$A$3:$B$971,2,FALSE)</f>
        <v>5401.79</v>
      </c>
      <c r="D428" s="2118">
        <v>0</v>
      </c>
      <c r="E428" s="2118">
        <f>VLOOKUP(A428,'2012 - TB'!$A$3:$H$733,5,FALSE)</f>
        <v>5908.92</v>
      </c>
      <c r="F428" s="2118">
        <f>VLOOKUP(A428,'2012 - TB'!$A$3:$H$733,6,FALSE)</f>
        <v>0</v>
      </c>
      <c r="G428" s="2118">
        <f t="shared" si="12"/>
        <v>5908.92</v>
      </c>
      <c r="H428" s="2640">
        <f>SUMIF('Original Budget'!$A$1:$A$691,'Trial Balance - FPer'!A428,'Original Budget'!$C$1:$C$691)</f>
        <v>6558.41</v>
      </c>
      <c r="I428" s="2640">
        <f>VLOOKUP(A428,'2012 - TB'!$A$3:$C$733,3,FALSE)</f>
        <v>6558.41</v>
      </c>
      <c r="J428" s="2119" t="s">
        <v>6387</v>
      </c>
      <c r="L428" s="2024" t="str">
        <f>VLOOKUP(A428,'2012 Budget'!$A$18:$B$2152,2,FALSE)</f>
        <v>UIF;</v>
      </c>
    </row>
    <row r="429" spans="1:12" s="2024" customFormat="1" x14ac:dyDescent="0.2">
      <c r="A429" s="2116" t="s">
        <v>5558</v>
      </c>
      <c r="B429" s="2117" t="s">
        <v>4833</v>
      </c>
      <c r="C429" s="2109">
        <f>VLOOKUP(A429,'2011 - TB'!$A$3:$B$971,2,FALSE)</f>
        <v>0</v>
      </c>
      <c r="D429" s="2118">
        <v>0</v>
      </c>
      <c r="E429" s="2118">
        <v>0</v>
      </c>
      <c r="F429" s="2118">
        <v>0</v>
      </c>
      <c r="G429" s="2118">
        <f t="shared" si="12"/>
        <v>0</v>
      </c>
      <c r="H429" s="2640">
        <f>SUMIF('Original Budget'!$A$1:$A$691,'Trial Balance - FPer'!A429,'Original Budget'!$C$1:$C$691)</f>
        <v>0</v>
      </c>
      <c r="I429" s="2640"/>
      <c r="J429" s="2119" t="s">
        <v>6387</v>
      </c>
      <c r="L429" s="2024" t="str">
        <f>VLOOKUP(A429,'2012 Budget'!$A$18:$B$2152,2,FALSE)</f>
        <v>UIF;</v>
      </c>
    </row>
    <row r="430" spans="1:12" s="2024" customFormat="1" x14ac:dyDescent="0.2">
      <c r="A430" s="2116" t="s">
        <v>5574</v>
      </c>
      <c r="B430" s="2117" t="s">
        <v>4833</v>
      </c>
      <c r="C430" s="2109">
        <f>VLOOKUP(A430,'2011 - TB'!$A$3:$B$971,2,FALSE)</f>
        <v>1196.18</v>
      </c>
      <c r="D430" s="2118">
        <v>0</v>
      </c>
      <c r="E430" s="2118">
        <f>VLOOKUP(A430,'2012 - TB'!$A$3:$H$733,5,FALSE)</f>
        <v>1300</v>
      </c>
      <c r="F430" s="2118">
        <f>VLOOKUP(A430,'2012 - TB'!$A$3:$H$733,6,FALSE)</f>
        <v>0</v>
      </c>
      <c r="G430" s="2118">
        <f t="shared" si="12"/>
        <v>1300</v>
      </c>
      <c r="H430" s="2640">
        <f>SUMIF('Original Budget'!$A$1:$A$691,'Trial Balance - FPer'!A430,'Original Budget'!$C$1:$C$691)</f>
        <v>1470.1</v>
      </c>
      <c r="I430" s="2640">
        <f>VLOOKUP(A430,'2012 - TB'!$A$3:$C$733,3,FALSE)</f>
        <v>1470.1</v>
      </c>
      <c r="J430" s="2119" t="s">
        <v>6387</v>
      </c>
      <c r="L430" s="2024" t="str">
        <f>VLOOKUP(A430,'2012 Budget'!$A$18:$B$2152,2,FALSE)</f>
        <v>UIF;</v>
      </c>
    </row>
    <row r="431" spans="1:12" s="2024" customFormat="1" x14ac:dyDescent="0.2">
      <c r="A431" s="2116" t="s">
        <v>5609</v>
      </c>
      <c r="B431" s="2117" t="s">
        <v>4833</v>
      </c>
      <c r="C431" s="2109">
        <f>VLOOKUP(A431,'2011 - TB'!$A$3:$B$971,2,FALSE)</f>
        <v>8418.5499999999993</v>
      </c>
      <c r="D431" s="2118">
        <v>0</v>
      </c>
      <c r="E431" s="2118">
        <f>VLOOKUP(A431,'2012 - TB'!$A$3:$H$733,5,FALSE)</f>
        <v>8756.4</v>
      </c>
      <c r="F431" s="2118">
        <f>VLOOKUP(A431,'2012 - TB'!$A$3:$H$733,6,FALSE)</f>
        <v>0</v>
      </c>
      <c r="G431" s="2118">
        <f t="shared" ref="G431:G438" si="13">E431+F431</f>
        <v>8756.4</v>
      </c>
      <c r="H431" s="2640">
        <f>SUMIF('Original Budget'!$A$1:$A$691,'Trial Balance - FPer'!A431,'Original Budget'!$C$1:$C$691)</f>
        <v>10700.56</v>
      </c>
      <c r="I431" s="2640">
        <f>VLOOKUP(A431,'2012 - TB'!$A$3:$C$733,3,FALSE)</f>
        <v>10700.56</v>
      </c>
      <c r="J431" s="2119" t="s">
        <v>6387</v>
      </c>
      <c r="L431" s="2024" t="str">
        <f>VLOOKUP(A431,'2012 Budget'!$A$18:$B$2152,2,FALSE)</f>
        <v>UIF;</v>
      </c>
    </row>
    <row r="432" spans="1:12" s="2024" customFormat="1" x14ac:dyDescent="0.2">
      <c r="A432" s="2116" t="s">
        <v>5610</v>
      </c>
      <c r="B432" s="2117" t="s">
        <v>4833</v>
      </c>
      <c r="C432" s="2109">
        <f>VLOOKUP(A432,'2011 - TB'!$A$3:$B$971,2,FALSE)</f>
        <v>3411.43</v>
      </c>
      <c r="D432" s="2118">
        <v>0</v>
      </c>
      <c r="E432" s="2118">
        <f>VLOOKUP(A432,'2012 - TB'!$A$3:$H$733,5,FALSE)</f>
        <v>3229.3</v>
      </c>
      <c r="F432" s="2118">
        <f>VLOOKUP(A432,'2012 - TB'!$A$3:$H$733,6,FALSE)</f>
        <v>0</v>
      </c>
      <c r="G432" s="2118">
        <f t="shared" si="13"/>
        <v>3229.3</v>
      </c>
      <c r="H432" s="2640">
        <f>SUMIF('Original Budget'!$A$1:$A$691,'Trial Balance - FPer'!A432,'Original Budget'!$C$1:$C$691)</f>
        <v>5090.82</v>
      </c>
      <c r="I432" s="2640">
        <f>VLOOKUP(A432,'2012 - TB'!$A$3:$C$733,3,FALSE)</f>
        <v>5090.82</v>
      </c>
      <c r="J432" s="2119" t="s">
        <v>6387</v>
      </c>
      <c r="L432" s="2024" t="str">
        <f>VLOOKUP(A432,'2012 Budget'!$A$18:$B$2152,2,FALSE)</f>
        <v>UIF;</v>
      </c>
    </row>
    <row r="433" spans="1:12" s="2024" customFormat="1" x14ac:dyDescent="0.2">
      <c r="A433" s="2116" t="s">
        <v>5652</v>
      </c>
      <c r="B433" s="2117" t="s">
        <v>4833</v>
      </c>
      <c r="C433" s="2109">
        <f>VLOOKUP(A433,'2011 - TB'!$A$3:$B$971,2,FALSE)</f>
        <v>249.56</v>
      </c>
      <c r="D433" s="2118">
        <v>0</v>
      </c>
      <c r="E433" s="2118">
        <v>0</v>
      </c>
      <c r="F433" s="2118">
        <v>0</v>
      </c>
      <c r="G433" s="2118">
        <f t="shared" si="13"/>
        <v>0</v>
      </c>
      <c r="H433" s="2640">
        <f>SUMIF('Original Budget'!$A$1:$A$691,'Trial Balance - FPer'!A433,'Original Budget'!$C$1:$C$691)</f>
        <v>0</v>
      </c>
      <c r="I433" s="2640"/>
      <c r="J433" s="2119" t="s">
        <v>6387</v>
      </c>
      <c r="L433" s="2024" t="str">
        <f>VLOOKUP(A433,'2012 Budget'!$A$18:$B$2152,2,FALSE)</f>
        <v>UIF;</v>
      </c>
    </row>
    <row r="434" spans="1:12" s="2024" customFormat="1" x14ac:dyDescent="0.2">
      <c r="A434" s="2116" t="s">
        <v>5675</v>
      </c>
      <c r="B434" s="2117" t="s">
        <v>4833</v>
      </c>
      <c r="C434" s="2109">
        <f>VLOOKUP(A434,'2011 - TB'!$A$3:$B$971,2,FALSE)</f>
        <v>45507.44</v>
      </c>
      <c r="D434" s="2118">
        <v>0</v>
      </c>
      <c r="E434" s="2118">
        <f>VLOOKUP(A434,'2012 - TB'!$A$3:$H$733,5,FALSE)</f>
        <v>48939.96</v>
      </c>
      <c r="F434" s="2118">
        <f>VLOOKUP(A434,'2012 - TB'!$A$3:$H$733,6,FALSE)</f>
        <v>0</v>
      </c>
      <c r="G434" s="2118">
        <f t="shared" si="13"/>
        <v>48939.96</v>
      </c>
      <c r="H434" s="2640">
        <f>SUMIF('Original Budget'!$A$1:$A$691,'Trial Balance - FPer'!A434,'Original Budget'!$C$1:$C$691)</f>
        <v>54331.92</v>
      </c>
      <c r="I434" s="2640">
        <f>VLOOKUP(A434,'2012 - TB'!$A$3:$C$733,3,FALSE)</f>
        <v>54331.92</v>
      </c>
      <c r="J434" s="2119" t="s">
        <v>6387</v>
      </c>
      <c r="L434" s="2024" t="str">
        <f>VLOOKUP(A434,'2012 Budget'!$A$18:$B$2152,2,FALSE)</f>
        <v>UIF;</v>
      </c>
    </row>
    <row r="435" spans="1:12" s="2024" customFormat="1" x14ac:dyDescent="0.2">
      <c r="A435" s="2116" t="s">
        <v>5739</v>
      </c>
      <c r="B435" s="2117" t="s">
        <v>4833</v>
      </c>
      <c r="C435" s="2109">
        <f>VLOOKUP(A435,'2011 - TB'!$A$3:$B$971,2,FALSE)</f>
        <v>22999.599999999999</v>
      </c>
      <c r="D435" s="2118">
        <v>0</v>
      </c>
      <c r="E435" s="2118">
        <f>VLOOKUP(A435,'2012 - TB'!$A$3:$H$733,5,FALSE)</f>
        <v>23704.13</v>
      </c>
      <c r="F435" s="2118">
        <f>VLOOKUP(A435,'2012 - TB'!$A$3:$H$733,6,FALSE)</f>
        <v>0</v>
      </c>
      <c r="G435" s="2118">
        <f t="shared" si="13"/>
        <v>23704.13</v>
      </c>
      <c r="H435" s="2640">
        <f>SUMIF('Original Budget'!$A$1:$A$691,'Trial Balance - FPer'!A435,'Original Budget'!$C$1:$C$691)</f>
        <v>29289.96</v>
      </c>
      <c r="I435" s="2640">
        <f>VLOOKUP(A435,'2012 - TB'!$A$3:$C$733,3,FALSE)</f>
        <v>29289.96</v>
      </c>
      <c r="J435" s="2119" t="s">
        <v>6387</v>
      </c>
      <c r="L435" s="2024" t="str">
        <f>VLOOKUP(A435,'2012 Budget'!$A$18:$B$2152,2,FALSE)</f>
        <v>UIF;</v>
      </c>
    </row>
    <row r="436" spans="1:12" s="2024" customFormat="1" x14ac:dyDescent="0.2">
      <c r="A436" s="2116" t="s">
        <v>5784</v>
      </c>
      <c r="B436" s="2117" t="s">
        <v>4833</v>
      </c>
      <c r="C436" s="2109">
        <f>VLOOKUP(A436,'2011 - TB'!$A$3:$B$971,2,FALSE)</f>
        <v>16222.5</v>
      </c>
      <c r="D436" s="2118">
        <v>0</v>
      </c>
      <c r="E436" s="2118">
        <f>VLOOKUP(A436,'2012 - TB'!$A$3:$H$733,5,FALSE)</f>
        <v>17204.27</v>
      </c>
      <c r="F436" s="2118">
        <f>VLOOKUP(A436,'2012 - TB'!$A$3:$H$733,6,FALSE)</f>
        <v>0</v>
      </c>
      <c r="G436" s="2118">
        <f t="shared" si="13"/>
        <v>17204.27</v>
      </c>
      <c r="H436" s="2640">
        <f>SUMIF('Original Budget'!$A$1:$A$691,'Trial Balance - FPer'!A436,'Original Budget'!$C$1:$C$691)</f>
        <v>20206.080000000002</v>
      </c>
      <c r="I436" s="2640">
        <f>VLOOKUP(A436,'2012 - TB'!$A$3:$C$733,3,FALSE)</f>
        <v>20206.080000000002</v>
      </c>
      <c r="J436" s="2119" t="s">
        <v>6387</v>
      </c>
      <c r="L436" s="2024" t="str">
        <f>VLOOKUP(A436,'2012 Budget'!$A$18:$B$2152,2,FALSE)</f>
        <v>UIF;</v>
      </c>
    </row>
    <row r="437" spans="1:12" s="2024" customFormat="1" x14ac:dyDescent="0.2">
      <c r="A437" s="2116" t="s">
        <v>5840</v>
      </c>
      <c r="B437" s="2117" t="s">
        <v>4833</v>
      </c>
      <c r="C437" s="2109">
        <f>VLOOKUP(A437,'2011 - TB'!$A$3:$B$971,2,FALSE)</f>
        <v>29843.08</v>
      </c>
      <c r="D437" s="2118">
        <v>0</v>
      </c>
      <c r="E437" s="2118">
        <f>VLOOKUP(A437,'2012 - TB'!$A$3:$H$733,5,FALSE)</f>
        <v>31086.97</v>
      </c>
      <c r="F437" s="2118">
        <f>VLOOKUP(A437,'2012 - TB'!$A$3:$H$733,6,FALSE)</f>
        <v>0</v>
      </c>
      <c r="G437" s="2118">
        <f t="shared" si="13"/>
        <v>31086.97</v>
      </c>
      <c r="H437" s="2640">
        <f>SUMIF('Original Budget'!$A$1:$A$691,'Trial Balance - FPer'!A437,'Original Budget'!$C$1:$C$691)</f>
        <v>36827.89</v>
      </c>
      <c r="I437" s="2640">
        <f>VLOOKUP(A437,'2012 - TB'!$A$3:$C$733,3,FALSE)</f>
        <v>36827.89</v>
      </c>
      <c r="J437" s="2119" t="s">
        <v>6387</v>
      </c>
      <c r="L437" s="2024" t="str">
        <f>VLOOKUP(A437,'2012 Budget'!$A$18:$B$2152,2,FALSE)</f>
        <v>UIF;</v>
      </c>
    </row>
    <row r="438" spans="1:12" s="2024" customFormat="1" ht="13.5" thickBot="1" x14ac:dyDescent="0.25">
      <c r="A438" s="2120" t="s">
        <v>5901</v>
      </c>
      <c r="B438" s="2121" t="s">
        <v>4833</v>
      </c>
      <c r="C438" s="2122">
        <f>VLOOKUP(A438,'2011 - TB'!$A$3:$B$971,2,FALSE)</f>
        <v>3490.96</v>
      </c>
      <c r="D438" s="2123">
        <v>0</v>
      </c>
      <c r="E438" s="2123">
        <f>VLOOKUP(A438,'2012 - TB'!$A$3:$H$733,5,FALSE)</f>
        <v>22352.94</v>
      </c>
      <c r="F438" s="2123">
        <f>VLOOKUP(A438,'2012 - TB'!$A$3:$H$733,6,FALSE)</f>
        <v>0</v>
      </c>
      <c r="G438" s="2123">
        <f t="shared" si="13"/>
        <v>22352.94</v>
      </c>
      <c r="H438" s="2640">
        <f>SUMIF('Original Budget'!$A$1:$A$691,'Trial Balance - FPer'!A438,'Original Budget'!$C$1:$C$691)</f>
        <v>3995.45</v>
      </c>
      <c r="I438" s="2640">
        <f>VLOOKUP(A438,'2012 - TB'!$A$3:$C$733,3,FALSE)</f>
        <v>22352.94</v>
      </c>
      <c r="J438" s="2124" t="s">
        <v>6387</v>
      </c>
      <c r="L438" s="2024" t="str">
        <f>VLOOKUP(A438,'2012 Budget'!$A$18:$B$2152,2,FALSE)</f>
        <v>UIF;</v>
      </c>
    </row>
    <row r="439" spans="1:12" s="2024" customFormat="1" ht="13.5" thickBot="1" x14ac:dyDescent="0.25">
      <c r="C439" s="2130">
        <f t="shared" ref="C439:I439" si="14">SUM(C47:C438)</f>
        <v>30691492.049999993</v>
      </c>
      <c r="D439" s="2130">
        <f t="shared" si="14"/>
        <v>0</v>
      </c>
      <c r="E439" s="2130">
        <f t="shared" si="14"/>
        <v>37935742.14000003</v>
      </c>
      <c r="F439" s="2130">
        <f t="shared" si="14"/>
        <v>-2572761.1</v>
      </c>
      <c r="G439" s="2130">
        <f>SUM(G47:G438)</f>
        <v>35362981.040000021</v>
      </c>
      <c r="H439" s="2641">
        <f t="shared" si="14"/>
        <v>40327843.95000001</v>
      </c>
      <c r="I439" s="2641">
        <f t="shared" si="14"/>
        <v>36972009.620000012</v>
      </c>
      <c r="J439" s="2026"/>
      <c r="L439" s="2024" t="e">
        <f>VLOOKUP(A439,'2012 Budget'!$A$18:$B$2152,2,FALSE)</f>
        <v>#N/A</v>
      </c>
    </row>
    <row r="440" spans="1:12" s="2024" customFormat="1" ht="7.5" customHeight="1" thickTop="1" x14ac:dyDescent="0.2">
      <c r="C440" s="2042"/>
      <c r="D440" s="2025"/>
      <c r="E440" s="2025"/>
      <c r="F440" s="2025"/>
      <c r="G440" s="2025"/>
      <c r="H440" s="2118">
        <f>SUMIF('Original Budget'!$A$1:$A$691,'Trial Balance - FPer'!A440,'Original Budget'!$C$1:$C$691)</f>
        <v>0</v>
      </c>
      <c r="I440" s="2118"/>
      <c r="J440" s="2026"/>
      <c r="L440" s="2024" t="e">
        <f>VLOOKUP(A440,'2012 Budget'!$A$18:$B$2152,2,FALSE)</f>
        <v>#N/A</v>
      </c>
    </row>
    <row r="441" spans="1:12" s="2024" customFormat="1" x14ac:dyDescent="0.2">
      <c r="B441" s="1208" t="s">
        <v>1212</v>
      </c>
      <c r="C441" s="2110">
        <f>'Fin Perform'!K33</f>
        <v>30691492.049999993</v>
      </c>
      <c r="D441" s="2109"/>
      <c r="E441" s="2109"/>
      <c r="F441" s="2109"/>
      <c r="G441" s="2646">
        <f>'Fin Perform'!I33</f>
        <v>35362981.040000007</v>
      </c>
      <c r="H441" s="2118">
        <f>SUMIF('Original Budget'!$A$1:$A$691,'Trial Balance - FPer'!A441,'Original Budget'!$C$1:$C$691)</f>
        <v>0</v>
      </c>
      <c r="I441" s="2118"/>
      <c r="J441" s="2026"/>
      <c r="L441" s="2024" t="e">
        <f>VLOOKUP(A441,'2012 Budget'!$A$18:$B$2152,2,FALSE)</f>
        <v>#N/A</v>
      </c>
    </row>
    <row r="442" spans="1:12" s="2024" customFormat="1" ht="7.5" customHeight="1" x14ac:dyDescent="0.2">
      <c r="C442" s="2109"/>
      <c r="D442" s="2109"/>
      <c r="E442" s="2109"/>
      <c r="F442" s="2109"/>
      <c r="G442" s="2109"/>
      <c r="H442" s="2118">
        <f>SUMIF('Original Budget'!$A$1:$A$691,'Trial Balance - FPer'!A442,'Original Budget'!$C$1:$C$691)</f>
        <v>0</v>
      </c>
      <c r="I442" s="2118"/>
      <c r="J442" s="2026"/>
      <c r="L442" s="2024" t="e">
        <f>VLOOKUP(A442,'2012 Budget'!$A$18:$B$2152,2,FALSE)</f>
        <v>#N/A</v>
      </c>
    </row>
    <row r="443" spans="1:12" s="2024" customFormat="1" ht="13.5" thickBot="1" x14ac:dyDescent="0.25">
      <c r="B443" s="1208" t="s">
        <v>6423</v>
      </c>
      <c r="C443" s="2103">
        <f>C439-C441</f>
        <v>0</v>
      </c>
      <c r="D443" s="2109"/>
      <c r="E443" s="2109"/>
      <c r="F443" s="2109"/>
      <c r="G443" s="2103">
        <f>G439-G441</f>
        <v>0</v>
      </c>
      <c r="H443" s="2118">
        <f>SUMIF('Original Budget'!$A$1:$A$691,'Trial Balance - FPer'!A443,'Original Budget'!$C$1:$C$691)</f>
        <v>0</v>
      </c>
      <c r="I443" s="2118"/>
      <c r="J443" s="2026"/>
      <c r="L443" s="2024" t="e">
        <f>VLOOKUP(A443,'2012 Budget'!$A$18:$B$2152,2,FALSE)</f>
        <v>#N/A</v>
      </c>
    </row>
    <row r="444" spans="1:12" s="2024" customFormat="1" ht="14.25" thickTop="1" thickBot="1" x14ac:dyDescent="0.25">
      <c r="C444" s="2042"/>
      <c r="D444" s="2025"/>
      <c r="E444" s="2025"/>
      <c r="F444" s="2025"/>
      <c r="G444" s="2025"/>
      <c r="H444" s="2118">
        <f>SUMIF('Original Budget'!$A$1:$A$691,'Trial Balance - FPer'!A444,'Original Budget'!$C$1:$C$691)</f>
        <v>0</v>
      </c>
      <c r="I444" s="2118"/>
      <c r="J444" s="2026"/>
      <c r="L444" s="2024" t="e">
        <f>VLOOKUP(A444,'2012 Budget'!$A$18:$B$2152,2,FALSE)</f>
        <v>#N/A</v>
      </c>
    </row>
    <row r="445" spans="1:12" s="2024" customFormat="1" x14ac:dyDescent="0.2">
      <c r="A445" s="2111" t="s">
        <v>5611</v>
      </c>
      <c r="B445" s="2112" t="s">
        <v>5399</v>
      </c>
      <c r="C445" s="2113">
        <f>VLOOKUP(A445,'2011 - TB'!$A$3:$B$971,2,FALSE)</f>
        <v>1357259.82</v>
      </c>
      <c r="D445" s="2114">
        <v>0</v>
      </c>
      <c r="E445" s="2114">
        <f>VLOOKUP(A445,'2012 - TB'!$A$3:$H$733,5,FALSE)</f>
        <v>0</v>
      </c>
      <c r="F445" s="2114">
        <f>VLOOKUP(A445,'2012 - TB'!$A$3:$H$733,6,FALSE)</f>
        <v>1486936.5</v>
      </c>
      <c r="G445" s="2114">
        <f t="shared" ref="G445:G450" si="15">E445+F445</f>
        <v>1486936.5</v>
      </c>
      <c r="H445" s="2640">
        <f>SUMIF('Original Budget'!$A$1:$A$691,'Trial Balance - FPer'!A445,'Original Budget'!$C$1:$C$691)</f>
        <v>0</v>
      </c>
      <c r="I445" s="2640">
        <f>VLOOKUP(A445,'2012 - TB'!$A$3:$C$733,3,FALSE)</f>
        <v>0</v>
      </c>
      <c r="J445" s="2115" t="s">
        <v>1455</v>
      </c>
      <c r="L445" s="2024" t="str">
        <f>VLOOKUP(A445,'2012 Budget'!$A$18:$B$2152,2,FALSE)</f>
        <v>Redemption - Ex</v>
      </c>
    </row>
    <row r="446" spans="1:12" s="2024" customFormat="1" x14ac:dyDescent="0.2">
      <c r="A446" s="2116" t="s">
        <v>5678</v>
      </c>
      <c r="B446" s="2117" t="s">
        <v>5399</v>
      </c>
      <c r="C446" s="2109">
        <f>VLOOKUP(A446,'2011 - TB'!$A$3:$B$971,2,FALSE)</f>
        <v>167857.19</v>
      </c>
      <c r="D446" s="2118">
        <v>0</v>
      </c>
      <c r="E446" s="2118">
        <f>VLOOKUP(A446,'2012 - TB'!$A$3:$H$733,5,FALSE)</f>
        <v>187530.31</v>
      </c>
      <c r="F446" s="2118">
        <f>VLOOKUP(A446,'2012 - TB'!$A$3:$H$733,6,FALSE)</f>
        <v>0</v>
      </c>
      <c r="G446" s="2118">
        <f t="shared" si="15"/>
        <v>187530.31</v>
      </c>
      <c r="H446" s="2640">
        <f>SUMIF('Original Budget'!$A$1:$A$691,'Trial Balance - FPer'!A446,'Original Budget'!$C$1:$C$691)</f>
        <v>73956.2</v>
      </c>
      <c r="I446" s="2640">
        <f>VLOOKUP(A446,'2012 - TB'!$A$3:$C$733,3,FALSE)</f>
        <v>77497.2</v>
      </c>
      <c r="J446" s="2119" t="s">
        <v>1455</v>
      </c>
      <c r="L446" s="2024" t="str">
        <f>VLOOKUP(A446,'2012 Budget'!$A$18:$B$2152,2,FALSE)</f>
        <v>Interest - DBSA</v>
      </c>
    </row>
    <row r="447" spans="1:12" s="2024" customFormat="1" x14ac:dyDescent="0.2">
      <c r="A447" s="2116" t="s">
        <v>5743</v>
      </c>
      <c r="B447" s="1133" t="s">
        <v>7308</v>
      </c>
      <c r="C447" s="2109">
        <f>VLOOKUP(A447,'2011 - TB'!$A$3:$B$971,2,FALSE)</f>
        <v>813827.59</v>
      </c>
      <c r="D447" s="2118">
        <v>0</v>
      </c>
      <c r="E447" s="2118">
        <f>VLOOKUP(A447,'2012 - TB'!$A$3:$H$733,5,FALSE)</f>
        <v>206310</v>
      </c>
      <c r="F447" s="2118">
        <f>VLOOKUP(A447,'2012 - TB'!$A$3:$H$733,6,FALSE)</f>
        <v>-4912.96</v>
      </c>
      <c r="G447" s="2118">
        <f t="shared" si="15"/>
        <v>201397.04</v>
      </c>
      <c r="H447" s="2640">
        <f>SUMIF('Original Budget'!$A$1:$A$691,'Trial Balance - FPer'!A447,'Original Budget'!$C$1:$C$691)</f>
        <v>0</v>
      </c>
      <c r="I447" s="2640">
        <f>VLOOKUP(A447,'2012 - TB'!$A$3:$C$733,3,FALSE)</f>
        <v>0</v>
      </c>
      <c r="J447" s="2119" t="s">
        <v>1455</v>
      </c>
      <c r="L447" s="2024" t="str">
        <f>VLOOKUP(A447,'2012 Budget'!$A$18:$B$2152,2,FALSE)</f>
        <v>Redemption - Ex</v>
      </c>
    </row>
    <row r="448" spans="1:12" s="2024" customFormat="1" x14ac:dyDescent="0.2">
      <c r="A448" s="2116" t="s">
        <v>5844</v>
      </c>
      <c r="B448" s="2117" t="s">
        <v>5399</v>
      </c>
      <c r="C448" s="2109">
        <v>0</v>
      </c>
      <c r="D448" s="2118">
        <v>0</v>
      </c>
      <c r="E448" s="2118">
        <v>0</v>
      </c>
      <c r="F448" s="2118">
        <v>0</v>
      </c>
      <c r="G448" s="2118">
        <f t="shared" si="15"/>
        <v>0</v>
      </c>
      <c r="H448" s="2640">
        <f>SUMIF('Original Budget'!$A$1:$A$691,'Trial Balance - FPer'!A448,'Original Budget'!$C$1:$C$691)</f>
        <v>0</v>
      </c>
      <c r="I448" s="2640"/>
      <c r="J448" s="2119" t="s">
        <v>1455</v>
      </c>
      <c r="L448" s="2024" t="str">
        <f>VLOOKUP(A448,'2012 Budget'!$A$18:$B$2152,2,FALSE)</f>
        <v>Redemption - Ex</v>
      </c>
    </row>
    <row r="449" spans="1:12" s="2024" customFormat="1" x14ac:dyDescent="0.2">
      <c r="A449" s="2116" t="s">
        <v>5903</v>
      </c>
      <c r="B449" s="1133" t="s">
        <v>7403</v>
      </c>
      <c r="C449" s="2109">
        <f>VLOOKUP(A449,'2011 - TB'!$A$3:$B$971,2,FALSE)</f>
        <v>97846.77</v>
      </c>
      <c r="D449" s="2118">
        <v>0</v>
      </c>
      <c r="E449" s="2118">
        <f>VLOOKUP(A449,'2012 - TB'!$A$3:$H$733,5,FALSE)</f>
        <v>70113.919999999998</v>
      </c>
      <c r="F449" s="2118">
        <f>VLOOKUP(A449,'2012 - TB'!$A$3:$H$733,6,FALSE)</f>
        <v>0</v>
      </c>
      <c r="G449" s="2118">
        <f t="shared" si="15"/>
        <v>70113.919999999998</v>
      </c>
      <c r="H449" s="2640">
        <f>SUMIF('Original Budget'!$A$1:$A$691,'Trial Balance - FPer'!A449,'Original Budget'!$C$1:$C$691)</f>
        <v>0</v>
      </c>
      <c r="I449" s="2640">
        <f>VLOOKUP(A449,'2012 - TB'!$A$3:$C$733,3,FALSE)</f>
        <v>0</v>
      </c>
      <c r="J449" s="2119" t="s">
        <v>1455</v>
      </c>
      <c r="L449" s="2024" t="str">
        <f>VLOOKUP(A449,'2012 Budget'!$A$18:$B$2152,2,FALSE)</f>
        <v>Interest - HP;</v>
      </c>
    </row>
    <row r="450" spans="1:12" s="2024" customFormat="1" ht="13.5" thickBot="1" x14ac:dyDescent="0.25">
      <c r="A450" s="2120" t="s">
        <v>5904</v>
      </c>
      <c r="B450" s="2121" t="s">
        <v>5399</v>
      </c>
      <c r="C450" s="2122">
        <v>0</v>
      </c>
      <c r="D450" s="2123">
        <v>0</v>
      </c>
      <c r="E450" s="2123">
        <v>0</v>
      </c>
      <c r="F450" s="2123">
        <v>0</v>
      </c>
      <c r="G450" s="2123">
        <f t="shared" si="15"/>
        <v>0</v>
      </c>
      <c r="H450" s="2640">
        <f>SUMIF('Original Budget'!$A$1:$A$691,'Trial Balance - FPer'!A450,'Original Budget'!$C$1:$C$691)</f>
        <v>154609.4</v>
      </c>
      <c r="I450" s="2640"/>
      <c r="J450" s="2124" t="s">
        <v>1455</v>
      </c>
      <c r="L450" s="2024" t="str">
        <f>VLOOKUP(A450,'2012 Budget'!$A$18:$B$2152,2,FALSE)</f>
        <v>Redemption - Ex</v>
      </c>
    </row>
    <row r="451" spans="1:12" s="2024" customFormat="1" ht="13.5" thickBot="1" x14ac:dyDescent="0.25">
      <c r="C451" s="2130">
        <f t="shared" ref="C451:I451" si="16">SUM(C445:C450)</f>
        <v>2436791.37</v>
      </c>
      <c r="D451" s="2130">
        <f t="shared" si="16"/>
        <v>0</v>
      </c>
      <c r="E451" s="2130">
        <f t="shared" si="16"/>
        <v>463954.23</v>
      </c>
      <c r="F451" s="2130">
        <f t="shared" si="16"/>
        <v>1482023.54</v>
      </c>
      <c r="G451" s="2130">
        <f t="shared" si="16"/>
        <v>1945977.77</v>
      </c>
      <c r="H451" s="2641">
        <f t="shared" si="16"/>
        <v>228565.59999999998</v>
      </c>
      <c r="I451" s="2641">
        <f t="shared" si="16"/>
        <v>77497.2</v>
      </c>
      <c r="J451" s="2026"/>
      <c r="L451" s="2024" t="e">
        <f>VLOOKUP(A451,'2012 Budget'!$A$18:$B$2152,2,FALSE)</f>
        <v>#N/A</v>
      </c>
    </row>
    <row r="452" spans="1:12" s="2024" customFormat="1" ht="7.5" customHeight="1" thickTop="1" x14ac:dyDescent="0.2">
      <c r="C452" s="2042"/>
      <c r="D452" s="2025"/>
      <c r="E452" s="2025"/>
      <c r="F452" s="2025"/>
      <c r="G452" s="2025"/>
      <c r="H452" s="2118">
        <f>SUMIF('Original Budget'!$A$1:$A$691,'Trial Balance - FPer'!A452,'Original Budget'!$C$1:$C$691)</f>
        <v>0</v>
      </c>
      <c r="I452" s="2118"/>
      <c r="J452" s="2026"/>
      <c r="L452" s="2024" t="e">
        <f>VLOOKUP(A452,'2012 Budget'!$A$18:$B$2152,2,FALSE)</f>
        <v>#N/A</v>
      </c>
    </row>
    <row r="453" spans="1:12" s="2024" customFormat="1" x14ac:dyDescent="0.2">
      <c r="B453" s="1208" t="s">
        <v>1212</v>
      </c>
      <c r="C453" s="2110">
        <f>'Fin Perform'!K39</f>
        <v>2436791.37</v>
      </c>
      <c r="D453" s="2109"/>
      <c r="E453" s="2109"/>
      <c r="F453" s="2109"/>
      <c r="G453" s="2646">
        <f>'Fin Perform'!I39</f>
        <v>2080323.24</v>
      </c>
      <c r="H453" s="2118">
        <f>SUMIF('Original Budget'!$A$1:$A$691,'Trial Balance - FPer'!A453,'Original Budget'!$C$1:$C$691)</f>
        <v>0</v>
      </c>
      <c r="I453" s="2118"/>
      <c r="J453" s="2026"/>
      <c r="L453" s="2024" t="e">
        <f>VLOOKUP(A453,'2012 Budget'!$A$18:$B$2152,2,FALSE)</f>
        <v>#N/A</v>
      </c>
    </row>
    <row r="454" spans="1:12" s="2024" customFormat="1" ht="7.5" customHeight="1" x14ac:dyDescent="0.2">
      <c r="C454" s="2109"/>
      <c r="D454" s="2109"/>
      <c r="E454" s="2109"/>
      <c r="F454" s="2109"/>
      <c r="G454" s="2109"/>
      <c r="H454" s="2118">
        <f>SUMIF('Original Budget'!$A$1:$A$691,'Trial Balance - FPer'!A454,'Original Budget'!$C$1:$C$691)</f>
        <v>0</v>
      </c>
      <c r="I454" s="2118"/>
      <c r="J454" s="2026"/>
      <c r="L454" s="2024" t="e">
        <f>VLOOKUP(A454,'2012 Budget'!$A$18:$B$2152,2,FALSE)</f>
        <v>#N/A</v>
      </c>
    </row>
    <row r="455" spans="1:12" s="2024" customFormat="1" ht="13.5" thickBot="1" x14ac:dyDescent="0.25">
      <c r="B455" s="1208" t="s">
        <v>6423</v>
      </c>
      <c r="C455" s="2103">
        <f>C451-C453</f>
        <v>0</v>
      </c>
      <c r="D455" s="2109"/>
      <c r="E455" s="2109"/>
      <c r="F455" s="2109"/>
      <c r="G455" s="2103">
        <f>G451-G453</f>
        <v>-134345.46999999997</v>
      </c>
      <c r="H455" s="2118">
        <f>SUMIF('Original Budget'!$A$1:$A$691,'Trial Balance - FPer'!A455,'Original Budget'!$C$1:$C$691)</f>
        <v>0</v>
      </c>
      <c r="I455" s="2118"/>
      <c r="J455" s="2026"/>
      <c r="L455" s="2024" t="e">
        <f>VLOOKUP(A455,'2012 Budget'!$A$18:$B$2152,2,FALSE)</f>
        <v>#N/A</v>
      </c>
    </row>
    <row r="456" spans="1:12" s="2024" customFormat="1" ht="13.5" thickTop="1" x14ac:dyDescent="0.2">
      <c r="C456" s="2042"/>
      <c r="D456" s="2025"/>
      <c r="E456" s="2025"/>
      <c r="F456" s="2025"/>
      <c r="G456" s="2025"/>
      <c r="H456" s="2118">
        <f>SUMIF('Original Budget'!$A$1:$A$691,'Trial Balance - FPer'!A456,'Original Budget'!$C$1:$C$691)</f>
        <v>0</v>
      </c>
      <c r="I456" s="2118"/>
      <c r="J456" s="2026"/>
      <c r="L456" s="2024" t="e">
        <f>VLOOKUP(A456,'2012 Budget'!$A$18:$B$2152,2,FALSE)</f>
        <v>#N/A</v>
      </c>
    </row>
    <row r="457" spans="1:12" s="2024" customFormat="1" ht="13.5" thickBot="1" x14ac:dyDescent="0.25">
      <c r="A457" s="1208"/>
      <c r="B457" s="1208"/>
      <c r="C457" s="2042"/>
      <c r="D457" s="2025"/>
      <c r="E457" s="2025"/>
      <c r="F457" s="2025"/>
      <c r="G457" s="2025"/>
      <c r="H457" s="2118">
        <f>SUMIF('Original Budget'!$A$1:$A$691,'Trial Balance - FPer'!A457,'Original Budget'!$C$1:$C$691)</f>
        <v>0</v>
      </c>
      <c r="I457" s="2118"/>
      <c r="J457" s="2026"/>
      <c r="L457" s="2024" t="e">
        <f>VLOOKUP(A457,'2012 Budget'!$A$18:$B$2152,2,FALSE)</f>
        <v>#N/A</v>
      </c>
    </row>
    <row r="458" spans="1:12" s="2024" customFormat="1" x14ac:dyDescent="0.2">
      <c r="A458" s="2111" t="s">
        <v>5112</v>
      </c>
      <c r="B458" s="2112" t="s">
        <v>5113</v>
      </c>
      <c r="C458" s="2113" t="str">
        <f>VLOOKUP(A458,'2011 - TB'!$A$3:$B$971,2,FALSE)</f>
        <v xml:space="preserve">                               -  </v>
      </c>
      <c r="D458" s="2114">
        <v>0</v>
      </c>
      <c r="E458" s="2114">
        <f>VLOOKUP(A458,'2012 - TB'!$A$3:$H$733,5,FALSE)</f>
        <v>25884.21</v>
      </c>
      <c r="F458" s="2114">
        <f>VLOOKUP(A458,'2012 - TB'!$A$3:$H$733,6,FALSE)</f>
        <v>0</v>
      </c>
      <c r="G458" s="2114">
        <f t="shared" ref="G458:G508" si="17">E458+F458</f>
        <v>25884.21</v>
      </c>
      <c r="H458" s="2640">
        <f>SUMIF('Original Budget'!$A$1:$A$691,'Trial Balance - FPer'!A458,'Original Budget'!$C$1:$C$691)</f>
        <v>4316.25</v>
      </c>
      <c r="I458" s="2640">
        <f>VLOOKUP(A458,'2012 - TB'!$A$3:$C$733,3,FALSE)</f>
        <v>0</v>
      </c>
      <c r="J458" s="2115" t="s">
        <v>5963</v>
      </c>
      <c r="L458" s="2024" t="str">
        <f>VLOOKUP(A458,'2012 Budget'!$A$18:$B$2152,2,FALSE)</f>
        <v>Advertisements;</v>
      </c>
    </row>
    <row r="459" spans="1:12" s="2024" customFormat="1" x14ac:dyDescent="0.2">
      <c r="A459" s="2116" t="s">
        <v>5253</v>
      </c>
      <c r="B459" s="2117" t="s">
        <v>5113</v>
      </c>
      <c r="C459" s="2109">
        <f>VLOOKUP(A459,'2011 - TB'!$A$3:$B$971,2,FALSE)</f>
        <v>441774.15</v>
      </c>
      <c r="D459" s="2118">
        <v>0</v>
      </c>
      <c r="E459" s="2118">
        <f>VLOOKUP(A459,'2012 - TB'!$A$3:$H$733,5,FALSE)</f>
        <v>209255.36</v>
      </c>
      <c r="F459" s="2118">
        <f>VLOOKUP(A459,'2012 - TB'!$A$3:$H$733,6,FALSE)</f>
        <v>-77247.990000000005</v>
      </c>
      <c r="G459" s="2118">
        <f t="shared" si="17"/>
        <v>132007.37</v>
      </c>
      <c r="H459" s="2640">
        <f>SUMIF('Original Budget'!$A$1:$A$691,'Trial Balance - FPer'!A459,'Original Budget'!$C$1:$C$691)</f>
        <v>220895.52</v>
      </c>
      <c r="I459" s="2640">
        <f>VLOOKUP(A459,'2012 - TB'!$A$3:$C$733,3,FALSE)</f>
        <v>220895.52</v>
      </c>
      <c r="J459" s="2119" t="s">
        <v>5963</v>
      </c>
      <c r="L459" s="2024" t="str">
        <f>VLOOKUP(A459,'2012 Budget'!$A$18:$B$2152,2,FALSE)</f>
        <v>Advertisements;</v>
      </c>
    </row>
    <row r="460" spans="1:12" s="2024" customFormat="1" x14ac:dyDescent="0.2">
      <c r="A460" s="2116" t="s">
        <v>5338</v>
      </c>
      <c r="B460" s="2117" t="s">
        <v>5113</v>
      </c>
      <c r="C460" s="2109" t="str">
        <f>VLOOKUP(A460,'2011 - TB'!$A$3:$B$971,2,FALSE)</f>
        <v xml:space="preserve">                               -  </v>
      </c>
      <c r="D460" s="2118">
        <v>0</v>
      </c>
      <c r="E460" s="2118">
        <v>0</v>
      </c>
      <c r="F460" s="2118">
        <v>0</v>
      </c>
      <c r="G460" s="2118">
        <f t="shared" si="17"/>
        <v>0</v>
      </c>
      <c r="H460" s="2640">
        <f>SUMIF('Original Budget'!$A$1:$A$691,'Trial Balance - FPer'!A460,'Original Budget'!$C$1:$C$691)</f>
        <v>12415.54</v>
      </c>
      <c r="I460" s="2640"/>
      <c r="J460" s="2119" t="s">
        <v>5963</v>
      </c>
      <c r="L460" s="2024" t="str">
        <f>VLOOKUP(A460,'2012 Budget'!$A$18:$B$2152,2,FALSE)</f>
        <v>Advertisements;</v>
      </c>
    </row>
    <row r="461" spans="1:12" s="2024" customFormat="1" x14ac:dyDescent="0.2">
      <c r="A461" s="2116" t="s">
        <v>5575</v>
      </c>
      <c r="B461" s="2117" t="s">
        <v>5113</v>
      </c>
      <c r="C461" s="2109">
        <v>0</v>
      </c>
      <c r="D461" s="2118">
        <v>0</v>
      </c>
      <c r="E461" s="2118">
        <v>0</v>
      </c>
      <c r="F461" s="2118">
        <v>0</v>
      </c>
      <c r="G461" s="2118">
        <f t="shared" si="17"/>
        <v>0</v>
      </c>
      <c r="H461" s="2640">
        <f>SUMIF('Original Budget'!$A$1:$A$691,'Trial Balance - FPer'!A461,'Original Budget'!$C$1:$C$691)</f>
        <v>0</v>
      </c>
      <c r="I461" s="2640"/>
      <c r="J461" s="2119" t="s">
        <v>5963</v>
      </c>
      <c r="L461" s="2024" t="str">
        <f>VLOOKUP(A461,'2012 Budget'!$A$18:$B$2152,2,FALSE)</f>
        <v>Advertisements;</v>
      </c>
    </row>
    <row r="462" spans="1:12" s="2024" customFormat="1" x14ac:dyDescent="0.2">
      <c r="A462" s="2116" t="s">
        <v>5612</v>
      </c>
      <c r="B462" s="2117" t="s">
        <v>5113</v>
      </c>
      <c r="C462" s="2109">
        <v>0</v>
      </c>
      <c r="D462" s="2118">
        <v>0</v>
      </c>
      <c r="E462" s="2118">
        <v>0</v>
      </c>
      <c r="F462" s="2118">
        <v>0</v>
      </c>
      <c r="G462" s="2118">
        <f t="shared" si="17"/>
        <v>0</v>
      </c>
      <c r="H462" s="2640">
        <f>SUMIF('Original Budget'!$A$1:$A$691,'Trial Balance - FPer'!A462,'Original Budget'!$C$1:$C$691)</f>
        <v>0</v>
      </c>
      <c r="I462" s="2640"/>
      <c r="J462" s="2119" t="s">
        <v>5963</v>
      </c>
      <c r="L462" s="2024" t="str">
        <f>VLOOKUP(A462,'2012 Budget'!$A$18:$B$2152,2,FALSE)</f>
        <v>Advertisements;</v>
      </c>
    </row>
    <row r="463" spans="1:12" s="2024" customFormat="1" ht="13.5" thickBot="1" x14ac:dyDescent="0.25">
      <c r="A463" s="2120" t="s">
        <v>5793</v>
      </c>
      <c r="B463" s="2121" t="s">
        <v>5113</v>
      </c>
      <c r="C463" s="2122" t="str">
        <f>VLOOKUP(A463,'2011 - TB'!$A$3:$B$971,2,FALSE)</f>
        <v xml:space="preserve">                               -  </v>
      </c>
      <c r="D463" s="2123">
        <v>0</v>
      </c>
      <c r="E463" s="2123">
        <v>0</v>
      </c>
      <c r="F463" s="2123">
        <v>0</v>
      </c>
      <c r="G463" s="2123">
        <f t="shared" si="17"/>
        <v>0</v>
      </c>
      <c r="H463" s="2640">
        <f>SUMIF('Original Budget'!$A$1:$A$691,'Trial Balance - FPer'!A463,'Original Budget'!$C$1:$C$691)</f>
        <v>2168.71</v>
      </c>
      <c r="I463" s="2640"/>
      <c r="J463" s="2124" t="s">
        <v>5963</v>
      </c>
      <c r="L463" s="2024" t="str">
        <f>VLOOKUP(A463,'2012 Budget'!$A$18:$B$2152,2,FALSE)</f>
        <v>Advertisements;</v>
      </c>
    </row>
    <row r="464" spans="1:12" s="2024" customFormat="1" x14ac:dyDescent="0.2">
      <c r="A464" s="2116" t="s">
        <v>5477</v>
      </c>
      <c r="B464" s="2117" t="s">
        <v>5478</v>
      </c>
      <c r="C464" s="2109">
        <f>VLOOKUP(A464,'2011 - TB'!$A$3:$B$971,2,FALSE)</f>
        <v>3167.78</v>
      </c>
      <c r="D464" s="2118">
        <v>0</v>
      </c>
      <c r="E464" s="2118">
        <f>VLOOKUP(A464,'2012 - TB'!$A$3:$H$733,5,FALSE)</f>
        <v>431.49</v>
      </c>
      <c r="F464" s="2118">
        <f>VLOOKUP(A464,'2012 - TB'!$A$3:$H$733,6,FALSE)</f>
        <v>0</v>
      </c>
      <c r="G464" s="2118">
        <f t="shared" si="17"/>
        <v>431.49</v>
      </c>
      <c r="H464" s="2640">
        <f>SUMIF('Original Budget'!$A$1:$A$691,'Trial Balance - FPer'!A464,'Original Budget'!$C$1:$C$691)</f>
        <v>7827.61</v>
      </c>
      <c r="I464" s="2640">
        <f>VLOOKUP(A464,'2012 - TB'!$A$3:$C$733,3,FALSE)</f>
        <v>3500</v>
      </c>
      <c r="J464" s="2119" t="s">
        <v>5969</v>
      </c>
      <c r="L464" s="2024" t="str">
        <f>VLOOKUP(A464,'2012 Budget'!$A$18:$B$2152,2,FALSE)</f>
        <v>Cattle Feed;</v>
      </c>
    </row>
    <row r="465" spans="1:12" s="2024" customFormat="1" x14ac:dyDescent="0.2">
      <c r="A465" s="2625" t="s">
        <v>6548</v>
      </c>
      <c r="B465" s="2626" t="s">
        <v>6545</v>
      </c>
      <c r="C465" s="2109">
        <v>0</v>
      </c>
      <c r="D465" s="2118">
        <v>0</v>
      </c>
      <c r="E465" s="2118">
        <f>VLOOKUP(A465,'2012 - TB'!$A$3:$H$733,5,FALSE)</f>
        <v>64230</v>
      </c>
      <c r="F465" s="2118">
        <f>VLOOKUP(A465,'2012 - TB'!$A$3:$H$733,6,FALSE)</f>
        <v>0</v>
      </c>
      <c r="G465" s="2118">
        <f t="shared" si="17"/>
        <v>64230</v>
      </c>
      <c r="H465" s="2640">
        <f>SUMIF('Original Budget'!$A$1:$A$691,'Trial Balance - FPer'!A465,'Original Budget'!$C$1:$C$691)</f>
        <v>0</v>
      </c>
      <c r="I465" s="2640">
        <f>VLOOKUP(A465,'2012 - TB'!$A$3:$C$733,3,FALSE)</f>
        <v>0</v>
      </c>
      <c r="J465" s="2119" t="s">
        <v>5969</v>
      </c>
      <c r="L465" s="2024" t="e">
        <f>VLOOKUP(A465,'2012 Budget'!$A$18:$B$2152,2,FALSE)</f>
        <v>#N/A</v>
      </c>
    </row>
    <row r="466" spans="1:12" s="2024" customFormat="1" x14ac:dyDescent="0.2">
      <c r="A466" s="2625" t="s">
        <v>6549</v>
      </c>
      <c r="B466" s="2626" t="s">
        <v>6547</v>
      </c>
      <c r="C466" s="2109">
        <v>0</v>
      </c>
      <c r="D466" s="2118">
        <v>0</v>
      </c>
      <c r="E466" s="2118">
        <f>VLOOKUP(A466,'2012 - TB'!$A$3:$H$733,5,FALSE)</f>
        <v>113340</v>
      </c>
      <c r="F466" s="2118">
        <f>VLOOKUP(A466,'2012 - TB'!$A$3:$H$733,6,FALSE)</f>
        <v>0</v>
      </c>
      <c r="G466" s="2118">
        <f t="shared" si="17"/>
        <v>113340</v>
      </c>
      <c r="H466" s="2640">
        <f>SUMIF('Original Budget'!$A$1:$A$691,'Trial Balance - FPer'!A466,'Original Budget'!$C$1:$C$691)</f>
        <v>0</v>
      </c>
      <c r="I466" s="2640">
        <f>VLOOKUP(A466,'2012 - TB'!$A$3:$C$733,3,FALSE)</f>
        <v>0</v>
      </c>
      <c r="J466" s="2119" t="s">
        <v>5969</v>
      </c>
      <c r="L466" s="2024" t="e">
        <f>VLOOKUP(A466,'2012 Budget'!$A$18:$B$2152,2,FALSE)</f>
        <v>#N/A</v>
      </c>
    </row>
    <row r="467" spans="1:12" s="2024" customFormat="1" ht="13.5" thickBot="1" x14ac:dyDescent="0.25">
      <c r="A467" s="2116" t="s">
        <v>5579</v>
      </c>
      <c r="B467" s="1133" t="s">
        <v>6546</v>
      </c>
      <c r="C467" s="2109">
        <v>0</v>
      </c>
      <c r="D467" s="2109">
        <f>VLOOKUP(A467,'2012 - TB'!$A$407:$I$409,4,FALSE)</f>
        <v>0</v>
      </c>
      <c r="E467" s="2118">
        <f>VLOOKUP(A467,'2012 - TB'!$A$3:$H$733,5,FALSE)</f>
        <v>92250</v>
      </c>
      <c r="F467" s="2118">
        <f>VLOOKUP(A467,'2012 - TB'!$A$3:$H$733,6,FALSE)</f>
        <v>0</v>
      </c>
      <c r="G467" s="2109">
        <f>SUM(D467:F467)</f>
        <v>92250</v>
      </c>
      <c r="H467" s="2640">
        <f>SUMIF('Original Budget'!$A$1:$A$691,'Trial Balance - FPer'!A467,'Original Budget'!$C$1:$C$691)</f>
        <v>12415.54</v>
      </c>
      <c r="I467" s="2640">
        <f>VLOOKUP(A467,'2012 - TB'!$A$3:$C$733,3,FALSE)</f>
        <v>0</v>
      </c>
      <c r="J467" s="2119" t="s">
        <v>5969</v>
      </c>
      <c r="L467" s="2024" t="str">
        <f>VLOOKUP(A467,'2012 Budget'!$A$18:$B$2152,2,FALSE)</f>
        <v>Cattle Feed;</v>
      </c>
    </row>
    <row r="468" spans="1:12" s="2024" customFormat="1" x14ac:dyDescent="0.2">
      <c r="A468" s="2111" t="s">
        <v>5258</v>
      </c>
      <c r="B468" s="2112" t="s">
        <v>5259</v>
      </c>
      <c r="C468" s="2113">
        <f>VLOOKUP(A468,'2011 - TB'!$A$3:$B$971,2,FALSE)</f>
        <v>123530.46</v>
      </c>
      <c r="D468" s="2114">
        <v>0</v>
      </c>
      <c r="E468" s="2114">
        <f>VLOOKUP(A468,'2012 - TB'!$A$3:$H$733,5,FALSE)</f>
        <v>260.75</v>
      </c>
      <c r="F468" s="2114">
        <f>VLOOKUP(A468,'2012 - TB'!$A$3:$H$733,6,FALSE)</f>
        <v>-11965.56</v>
      </c>
      <c r="G468" s="2114">
        <f t="shared" si="17"/>
        <v>-11704.81</v>
      </c>
      <c r="H468" s="2640">
        <f>SUMIF('Original Budget'!$A$1:$A$691,'Trial Balance - FPer'!A468,'Original Budget'!$C$1:$C$691)</f>
        <v>206085</v>
      </c>
      <c r="I468" s="2640">
        <f>VLOOKUP(A468,'2012 - TB'!$A$3:$C$733,3,FALSE)</f>
        <v>200000</v>
      </c>
      <c r="J468" s="2115" t="s">
        <v>7294</v>
      </c>
      <c r="L468" s="2024" t="str">
        <f>VLOOKUP(A468,'2012 Budget'!$A$18:$B$2152,2,FALSE)</f>
        <v>Audit Committee</v>
      </c>
    </row>
    <row r="469" spans="1:12" s="2024" customFormat="1" ht="13.5" thickBot="1" x14ac:dyDescent="0.25">
      <c r="A469" s="2137" t="s">
        <v>5004</v>
      </c>
      <c r="B469" s="2121" t="s">
        <v>5005</v>
      </c>
      <c r="C469" s="2122">
        <f>VLOOKUP(A469,'2011 - TB'!$A$3:$B$971,2,FALSE)</f>
        <v>2051544.62</v>
      </c>
      <c r="D469" s="2123">
        <v>0</v>
      </c>
      <c r="E469" s="2123">
        <f>VLOOKUP(A469,'2012 - TB'!$A$3:$H$733,5,FALSE)</f>
        <v>3025921.1700000004</v>
      </c>
      <c r="F469" s="2123">
        <f>VLOOKUP(A469,'2012 - TB'!$A$3:$H$733,6,FALSE)</f>
        <v>-1416759.55</v>
      </c>
      <c r="G469" s="2123">
        <f t="shared" si="17"/>
        <v>1609161.6200000003</v>
      </c>
      <c r="H469" s="2640">
        <f>SUMIF('Original Budget'!$A$1:$A$691,'Trial Balance - FPer'!A469,'Original Budget'!$C$1:$C$691)+H1120</f>
        <v>3817513.24</v>
      </c>
      <c r="I469" s="2640">
        <f>VLOOKUP(A469,'2012 - TB'!$A$3:$C$733,3,FALSE)+I1118+I1120</f>
        <v>3270701.66</v>
      </c>
      <c r="J469" s="2124" t="s">
        <v>7295</v>
      </c>
      <c r="L469" s="2024" t="str">
        <f>VLOOKUP(A469,'2012 Budget'!$A$18:$B$2152,2,FALSE)</f>
        <v>Audit Fees;</v>
      </c>
    </row>
    <row r="470" spans="1:12" s="2024" customFormat="1" ht="13.5" thickBot="1" x14ac:dyDescent="0.25">
      <c r="A470" s="2116" t="s">
        <v>4995</v>
      </c>
      <c r="B470" s="2117" t="s">
        <v>4996</v>
      </c>
      <c r="C470" s="2109">
        <f>VLOOKUP(A470,'2011 - TB'!$A$3:$B$971,2,FALSE)</f>
        <v>1047580.96</v>
      </c>
      <c r="D470" s="2118">
        <v>0</v>
      </c>
      <c r="E470" s="2118">
        <f>VLOOKUP(A470,'2012 - TB'!$A$3:$H$733,5,FALSE)</f>
        <v>80601.710000000006</v>
      </c>
      <c r="F470" s="2118">
        <f>VLOOKUP(A470,'2012 - TB'!$A$3:$H$733,6,FALSE)</f>
        <v>-2725.66</v>
      </c>
      <c r="G470" s="2118">
        <f t="shared" si="17"/>
        <v>77876.05</v>
      </c>
      <c r="H470" s="2640">
        <f>SUMIF('Original Budget'!$A$1:$A$691,'Trial Balance - FPer'!A470,'Original Budget'!$C$1:$C$691)</f>
        <v>185996.24</v>
      </c>
      <c r="I470" s="2640">
        <f>VLOOKUP(A470,'2012 - TB'!$A$3:$C$733,3,FALSE)</f>
        <v>83080.42</v>
      </c>
      <c r="J470" s="2119" t="s">
        <v>5953</v>
      </c>
      <c r="L470" s="2024" t="str">
        <f>VLOOKUP(A470,'2012 Budget'!$A$18:$B$2152,2,FALSE)</f>
        <v>Bank Charges;</v>
      </c>
    </row>
    <row r="471" spans="1:12" s="2024" customFormat="1" ht="13.5" thickBot="1" x14ac:dyDescent="0.25">
      <c r="A471" s="2125" t="s">
        <v>5859</v>
      </c>
      <c r="B471" s="2126" t="s">
        <v>5860</v>
      </c>
      <c r="C471" s="2127">
        <f>VLOOKUP(A471,'2011 - TB'!$A$3:$B$971,2,FALSE)</f>
        <v>961831.89</v>
      </c>
      <c r="D471" s="2128">
        <v>0</v>
      </c>
      <c r="E471" s="2128">
        <f>VLOOKUP(A471,'2012 - TB'!$A$3:$H$733,5,FALSE)</f>
        <v>2201298.37</v>
      </c>
      <c r="F471" s="2128">
        <f>VLOOKUP(A471,'2012 - TB'!$A$3:$H$733,6,FALSE)</f>
        <v>-109211.81999999999</v>
      </c>
      <c r="G471" s="2128">
        <f t="shared" si="17"/>
        <v>2092086.55</v>
      </c>
      <c r="H471" s="2640">
        <f>SUMIF('Original Budget'!$A$1:$A$691,'Trial Balance - FPer'!A471,'Original Budget'!$C$1:$C$691)</f>
        <v>1112949.21</v>
      </c>
      <c r="I471" s="2640">
        <f>VLOOKUP(A471,'2012 - TB'!$A$3:$C$733,3,FALSE)</f>
        <v>1500000</v>
      </c>
      <c r="J471" s="2129" t="s">
        <v>5971</v>
      </c>
      <c r="L471" s="2024" t="str">
        <f>VLOOKUP(A471,'2012 Budget'!$A$18:$B$2152,2,FALSE)</f>
        <v>Water Chemicals</v>
      </c>
    </row>
    <row r="472" spans="1:12" s="2024" customFormat="1" x14ac:dyDescent="0.2">
      <c r="A472" s="2116" t="s">
        <v>5284</v>
      </c>
      <c r="B472" s="2117" t="s">
        <v>5285</v>
      </c>
      <c r="C472" s="2109">
        <f>VLOOKUP(A472,'2011 - TB'!$A$3:$B$971,2,FALSE)</f>
        <v>0</v>
      </c>
      <c r="D472" s="2118">
        <v>0</v>
      </c>
      <c r="E472" s="2118">
        <f>VLOOKUP(A472,'2012 - TB'!$A$3:$H$733,5,FALSE)</f>
        <v>5605.09</v>
      </c>
      <c r="F472" s="2118">
        <f>VLOOKUP(A472,'2012 - TB'!$A$3:$H$733,6,FALSE)</f>
        <v>-2000</v>
      </c>
      <c r="G472" s="2118">
        <f t="shared" si="17"/>
        <v>3605.09</v>
      </c>
      <c r="H472" s="2640">
        <f>SUMIF('Original Budget'!$A$1:$A$691,'Trial Balance - FPer'!A472,'Original Budget'!$C$1:$C$691)</f>
        <v>0</v>
      </c>
      <c r="I472" s="2640">
        <f>VLOOKUP(A472,'2012 - TB'!$A$3:$C$733,3,FALSE)</f>
        <v>4078.95</v>
      </c>
      <c r="J472" s="2119" t="s">
        <v>5968</v>
      </c>
      <c r="L472" s="2024" t="str">
        <f>VLOOKUP(A472,'2012 Budget'!$A$18:$B$2152,2,FALSE)</f>
        <v>Cleaning Materi</v>
      </c>
    </row>
    <row r="473" spans="1:12" s="2024" customFormat="1" x14ac:dyDescent="0.2">
      <c r="A473" s="2116" t="s">
        <v>5345</v>
      </c>
      <c r="B473" s="2117" t="s">
        <v>5285</v>
      </c>
      <c r="C473" s="2109">
        <f>VLOOKUP(A473,'2011 - TB'!$A$3:$B$971,2,FALSE)</f>
        <v>0</v>
      </c>
      <c r="D473" s="2118">
        <v>0</v>
      </c>
      <c r="E473" s="2118">
        <v>0</v>
      </c>
      <c r="F473" s="2118">
        <v>0</v>
      </c>
      <c r="G473" s="2118">
        <f t="shared" si="17"/>
        <v>0</v>
      </c>
      <c r="H473" s="2640">
        <f>SUMIF('Original Budget'!$A$1:$A$691,'Trial Balance - FPer'!A473,'Original Budget'!$C$1:$C$691)</f>
        <v>0</v>
      </c>
      <c r="I473" s="2640"/>
      <c r="J473" s="2119" t="s">
        <v>5968</v>
      </c>
      <c r="L473" s="2024" t="str">
        <f>VLOOKUP(A473,'2012 Budget'!$A$18:$B$2152,2,FALSE)</f>
        <v>Cleaning Materi</v>
      </c>
    </row>
    <row r="474" spans="1:12" s="2024" customFormat="1" x14ac:dyDescent="0.2">
      <c r="A474" s="2116" t="s">
        <v>5403</v>
      </c>
      <c r="B474" s="2117" t="s">
        <v>5285</v>
      </c>
      <c r="C474" s="2109">
        <f>VLOOKUP(A474,'2011 - TB'!$A$3:$B$971,2,FALSE)</f>
        <v>109994.68</v>
      </c>
      <c r="D474" s="2118">
        <v>0</v>
      </c>
      <c r="E474" s="2118">
        <f>VLOOKUP(A474,'2012 - TB'!$A$3:$H$733,5,FALSE)</f>
        <v>92954.55</v>
      </c>
      <c r="F474" s="2118">
        <f>VLOOKUP(A474,'2012 - TB'!$A$3:$H$733,6,FALSE)</f>
        <v>0</v>
      </c>
      <c r="G474" s="2118">
        <f t="shared" si="17"/>
        <v>92954.55</v>
      </c>
      <c r="H474" s="2640">
        <f>SUMIF('Original Budget'!$A$1:$A$691,'Trial Balance - FPer'!A474,'Original Budget'!$C$1:$C$691)</f>
        <v>80850</v>
      </c>
      <c r="I474" s="2640">
        <f>VLOOKUP(A474,'2012 - TB'!$A$3:$C$733,3,FALSE)</f>
        <v>80850</v>
      </c>
      <c r="J474" s="2119" t="s">
        <v>5968</v>
      </c>
      <c r="L474" s="2024" t="str">
        <f>VLOOKUP(A474,'2012 Budget'!$A$18:$B$2152,2,FALSE)</f>
        <v>Cleaning Materi</v>
      </c>
    </row>
    <row r="475" spans="1:12" s="2024" customFormat="1" x14ac:dyDescent="0.2">
      <c r="A475" s="2116" t="s">
        <v>5657</v>
      </c>
      <c r="B475" s="2117" t="s">
        <v>5285</v>
      </c>
      <c r="C475" s="2109">
        <v>0</v>
      </c>
      <c r="D475" s="2118">
        <v>0</v>
      </c>
      <c r="E475" s="2118">
        <v>0</v>
      </c>
      <c r="F475" s="2118">
        <v>0</v>
      </c>
      <c r="G475" s="2118">
        <f t="shared" si="17"/>
        <v>0</v>
      </c>
      <c r="H475" s="2640">
        <f>SUMIF('Original Budget'!$A$1:$A$691,'Trial Balance - FPer'!A475,'Original Budget'!$C$1:$C$691)</f>
        <v>0</v>
      </c>
      <c r="I475" s="2640"/>
      <c r="J475" s="2119" t="s">
        <v>5968</v>
      </c>
      <c r="L475" s="2024" t="str">
        <f>VLOOKUP(A475,'2012 Budget'!$A$18:$B$2152,2,FALSE)</f>
        <v>Cleaning Materi</v>
      </c>
    </row>
    <row r="476" spans="1:12" s="2024" customFormat="1" x14ac:dyDescent="0.2">
      <c r="A476" s="2116" t="s">
        <v>5695</v>
      </c>
      <c r="B476" s="2117" t="s">
        <v>5285</v>
      </c>
      <c r="C476" s="2109">
        <f>VLOOKUP(A476,'2011 - TB'!$A$3:$B$971,2,FALSE)</f>
        <v>502.98</v>
      </c>
      <c r="D476" s="2118">
        <v>0</v>
      </c>
      <c r="E476" s="2118">
        <f>VLOOKUP(A476,'2012 - TB'!$A$3:$H$733,5,FALSE)</f>
        <v>1976.28</v>
      </c>
      <c r="F476" s="2118">
        <f>VLOOKUP(A476,'2012 - TB'!$A$3:$H$733,6,FALSE)</f>
        <v>0</v>
      </c>
      <c r="G476" s="2118">
        <f t="shared" si="17"/>
        <v>1976.28</v>
      </c>
      <c r="H476" s="2640">
        <f>SUMIF('Original Budget'!$A$1:$A$691,'Trial Balance - FPer'!A476,'Original Budget'!$C$1:$C$691)</f>
        <v>454.28</v>
      </c>
      <c r="I476" s="2640">
        <f>VLOOKUP(A476,'2012 - TB'!$A$3:$C$733,3,FALSE)</f>
        <v>454.28</v>
      </c>
      <c r="J476" s="2119" t="s">
        <v>5968</v>
      </c>
      <c r="L476" s="2024" t="str">
        <f>VLOOKUP(A476,'2012 Budget'!$A$18:$B$2152,2,FALSE)</f>
        <v>Cleaning Materi</v>
      </c>
    </row>
    <row r="477" spans="1:12" s="2024" customFormat="1" x14ac:dyDescent="0.2">
      <c r="A477" s="2116" t="s">
        <v>5753</v>
      </c>
      <c r="B477" s="2117" t="s">
        <v>5285</v>
      </c>
      <c r="C477" s="2109">
        <f>VLOOKUP(A477,'2011 - TB'!$A$3:$B$971,2,FALSE)</f>
        <v>1551.13</v>
      </c>
      <c r="D477" s="2118">
        <v>0</v>
      </c>
      <c r="E477" s="2118">
        <f>VLOOKUP(A477,'2012 - TB'!$A$3:$H$733,5,FALSE)</f>
        <v>1408.82</v>
      </c>
      <c r="F477" s="2118">
        <f>VLOOKUP(A477,'2012 - TB'!$A$3:$H$733,6,FALSE)</f>
        <v>0</v>
      </c>
      <c r="G477" s="2118">
        <f t="shared" si="17"/>
        <v>1408.82</v>
      </c>
      <c r="H477" s="2640">
        <f>SUMIF('Original Budget'!$A$1:$A$691,'Trial Balance - FPer'!A477,'Original Budget'!$C$1:$C$691)</f>
        <v>2074.8200000000002</v>
      </c>
      <c r="I477" s="2640">
        <f>VLOOKUP(A477,'2012 - TB'!$A$3:$C$733,3,FALSE)</f>
        <v>2500</v>
      </c>
      <c r="J477" s="2119" t="s">
        <v>5968</v>
      </c>
      <c r="L477" s="2024" t="str">
        <f>VLOOKUP(A477,'2012 Budget'!$A$18:$B$2152,2,FALSE)</f>
        <v>Cleaning Materi</v>
      </c>
    </row>
    <row r="478" spans="1:12" s="2024" customFormat="1" ht="13.5" thickBot="1" x14ac:dyDescent="0.25">
      <c r="A478" s="2116" t="s">
        <v>5862</v>
      </c>
      <c r="B478" s="2117" t="s">
        <v>5285</v>
      </c>
      <c r="C478" s="2109">
        <v>0</v>
      </c>
      <c r="D478" s="2118">
        <v>0</v>
      </c>
      <c r="E478" s="2118">
        <v>0</v>
      </c>
      <c r="F478" s="2118">
        <v>0</v>
      </c>
      <c r="G478" s="2118">
        <f t="shared" si="17"/>
        <v>0</v>
      </c>
      <c r="H478" s="2640">
        <f>SUMIF('Original Budget'!$A$1:$A$691,'Trial Balance - FPer'!A478,'Original Budget'!$C$1:$C$691)</f>
        <v>0</v>
      </c>
      <c r="I478" s="2640"/>
      <c r="J478" s="2119" t="s">
        <v>5968</v>
      </c>
      <c r="L478" s="2024" t="str">
        <f>VLOOKUP(A478,'2012 Budget'!$A$18:$B$2152,2,FALSE)</f>
        <v>Cleaning Materi</v>
      </c>
    </row>
    <row r="479" spans="1:12" s="2024" customFormat="1" x14ac:dyDescent="0.2">
      <c r="A479" s="2111" t="s">
        <v>5032</v>
      </c>
      <c r="B479" s="2112" t="s">
        <v>5033</v>
      </c>
      <c r="C479" s="2113">
        <f>VLOOKUP(A479,'2011 - TB'!$A$3:$B$971,2,FALSE)</f>
        <v>-28947.7</v>
      </c>
      <c r="D479" s="2114">
        <v>0</v>
      </c>
      <c r="E479" s="2114">
        <v>0</v>
      </c>
      <c r="F479" s="2114">
        <v>0</v>
      </c>
      <c r="G479" s="2114">
        <f t="shared" si="17"/>
        <v>0</v>
      </c>
      <c r="H479" s="2640">
        <f>SUMIF('Original Budget'!$A$1:$A$691,'Trial Balance - FPer'!A479,'Original Budget'!$C$1:$C$691)</f>
        <v>0</v>
      </c>
      <c r="I479" s="2640"/>
      <c r="J479" s="2115" t="s">
        <v>5960</v>
      </c>
      <c r="L479" s="2024" t="str">
        <f>VLOOKUP(A479,'2012 Budget'!$A$18:$B$2152,2,FALSE)</f>
        <v>Computer Costs;</v>
      </c>
    </row>
    <row r="480" spans="1:12" s="2024" customFormat="1" x14ac:dyDescent="0.2">
      <c r="A480" s="2116" t="s">
        <v>5034</v>
      </c>
      <c r="B480" s="2117" t="s">
        <v>5033</v>
      </c>
      <c r="C480" s="2109">
        <f>VLOOKUP(A480,'2011 - TB'!$A$3:$B$971,2,FALSE)</f>
        <v>111045.98</v>
      </c>
      <c r="D480" s="2118">
        <v>0</v>
      </c>
      <c r="E480" s="2118">
        <f>VLOOKUP(A480,'2012 - TB'!$A$3:$H$733,5,FALSE)</f>
        <v>32201</v>
      </c>
      <c r="F480" s="2118">
        <f>VLOOKUP(A480,'2012 - TB'!$A$3:$H$733,6,FALSE)</f>
        <v>0</v>
      </c>
      <c r="G480" s="2118">
        <f t="shared" si="17"/>
        <v>32201</v>
      </c>
      <c r="H480" s="2640">
        <f>SUMIF('Original Budget'!$A$1:$A$691,'Trial Balance - FPer'!A480,'Original Budget'!$C$1:$C$691)</f>
        <v>238889.16</v>
      </c>
      <c r="I480" s="2640">
        <f>VLOOKUP(A480,'2012 - TB'!$A$3:$C$733,3,FALSE)</f>
        <v>90000</v>
      </c>
      <c r="J480" s="2119" t="s">
        <v>5960</v>
      </c>
      <c r="L480" s="2024" t="str">
        <f>VLOOKUP(A480,'2012 Budget'!$A$18:$B$2152,2,FALSE)</f>
        <v>Computer Costs;</v>
      </c>
    </row>
    <row r="481" spans="1:12" s="2024" customFormat="1" x14ac:dyDescent="0.2">
      <c r="A481" s="2116" t="s">
        <v>5147</v>
      </c>
      <c r="B481" s="2117" t="s">
        <v>5033</v>
      </c>
      <c r="C481" s="2109">
        <f>VLOOKUP(A481,'2011 - TB'!$A$3:$B$971,2,FALSE)</f>
        <v>26015.66</v>
      </c>
      <c r="D481" s="2118">
        <v>0</v>
      </c>
      <c r="E481" s="2118">
        <f>VLOOKUP(A481,'2012 - TB'!$A$3:$H$733,5,FALSE)</f>
        <v>156972.99</v>
      </c>
      <c r="F481" s="2118">
        <f>VLOOKUP(A481,'2012 - TB'!$A$3:$H$733,6,FALSE)</f>
        <v>0</v>
      </c>
      <c r="G481" s="2118">
        <f t="shared" si="17"/>
        <v>156972.99</v>
      </c>
      <c r="H481" s="2640">
        <f>SUMIF('Original Budget'!$A$1:$A$691,'Trial Balance - FPer'!A481,'Original Budget'!$C$1:$C$691)</f>
        <v>100000</v>
      </c>
      <c r="I481" s="2640">
        <f>VLOOKUP(A481,'2012 - TB'!$A$3:$C$733,3,FALSE)</f>
        <v>200000</v>
      </c>
      <c r="J481" s="2119" t="s">
        <v>5960</v>
      </c>
      <c r="L481" s="2024" t="str">
        <f>VLOOKUP(A481,'2012 Budget'!$A$18:$B$2152,2,FALSE)</f>
        <v>Computer Costs;</v>
      </c>
    </row>
    <row r="482" spans="1:12" s="2024" customFormat="1" x14ac:dyDescent="0.2">
      <c r="A482" s="2116" t="s">
        <v>5283</v>
      </c>
      <c r="B482" s="2117" t="s">
        <v>5033</v>
      </c>
      <c r="C482" s="2109">
        <f>VLOOKUP(A482,'2011 - TB'!$A$3:$B$971,2,FALSE)</f>
        <v>0</v>
      </c>
      <c r="D482" s="2118">
        <v>0</v>
      </c>
      <c r="E482" s="2118">
        <v>0</v>
      </c>
      <c r="F482" s="2118">
        <v>0</v>
      </c>
      <c r="G482" s="2118">
        <f t="shared" si="17"/>
        <v>0</v>
      </c>
      <c r="H482" s="2640">
        <f>SUMIF('Original Budget'!$A$1:$A$691,'Trial Balance - FPer'!A482,'Original Budget'!$C$1:$C$691)</f>
        <v>0</v>
      </c>
      <c r="I482" s="2640"/>
      <c r="J482" s="2119" t="s">
        <v>5960</v>
      </c>
      <c r="L482" s="2024" t="str">
        <f>VLOOKUP(A482,'2012 Budget'!$A$18:$B$2152,2,FALSE)</f>
        <v>Computer Costs;</v>
      </c>
    </row>
    <row r="483" spans="1:12" s="2024" customFormat="1" x14ac:dyDescent="0.2">
      <c r="A483" s="2116" t="s">
        <v>5539</v>
      </c>
      <c r="B483" s="2117" t="s">
        <v>5033</v>
      </c>
      <c r="C483" s="2109">
        <v>0</v>
      </c>
      <c r="D483" s="2118">
        <v>0</v>
      </c>
      <c r="E483" s="2118">
        <v>0</v>
      </c>
      <c r="F483" s="2118">
        <v>0</v>
      </c>
      <c r="G483" s="2118">
        <f t="shared" si="17"/>
        <v>0</v>
      </c>
      <c r="H483" s="2640">
        <f>SUMIF('Original Budget'!$A$1:$A$691,'Trial Balance - FPer'!A483,'Original Budget'!$C$1:$C$691)</f>
        <v>0</v>
      </c>
      <c r="I483" s="2640"/>
      <c r="J483" s="2119" t="s">
        <v>5960</v>
      </c>
      <c r="L483" s="2024" t="str">
        <f>VLOOKUP(A483,'2012 Budget'!$A$18:$B$2152,2,FALSE)</f>
        <v>Computer Costs;</v>
      </c>
    </row>
    <row r="484" spans="1:12" s="2024" customFormat="1" ht="13.5" thickBot="1" x14ac:dyDescent="0.25">
      <c r="A484" s="2120" t="s">
        <v>5804</v>
      </c>
      <c r="B484" s="2121" t="s">
        <v>5033</v>
      </c>
      <c r="C484" s="2122">
        <v>0</v>
      </c>
      <c r="D484" s="2123">
        <v>0</v>
      </c>
      <c r="E484" s="2123">
        <v>0</v>
      </c>
      <c r="F484" s="2123">
        <v>0</v>
      </c>
      <c r="G484" s="2123">
        <f t="shared" si="17"/>
        <v>0</v>
      </c>
      <c r="H484" s="2640">
        <f>SUMIF('Original Budget'!$A$1:$A$691,'Trial Balance - FPer'!A484,'Original Budget'!$C$1:$C$691)</f>
        <v>0</v>
      </c>
      <c r="I484" s="2640"/>
      <c r="J484" s="2124" t="s">
        <v>5960</v>
      </c>
      <c r="L484" s="2024" t="str">
        <f>VLOOKUP(A484,'2012 Budget'!$A$18:$B$2152,2,FALSE)</f>
        <v>Computer Costs;</v>
      </c>
    </row>
    <row r="485" spans="1:12" s="2024" customFormat="1" x14ac:dyDescent="0.2">
      <c r="A485" s="1283" t="s">
        <v>4890</v>
      </c>
      <c r="B485" s="2117" t="s">
        <v>4891</v>
      </c>
      <c r="C485" s="2109">
        <f>VLOOKUP(A485,'2011 - TB'!$A$3:$B$971,2,FALSE)</f>
        <v>0</v>
      </c>
      <c r="D485" s="2118">
        <v>0</v>
      </c>
      <c r="E485" s="2118">
        <f>VLOOKUP(A485,'2012 - TB'!$A$3:$H$733,5,FALSE)</f>
        <v>0</v>
      </c>
      <c r="F485" s="2118">
        <f>VLOOKUP(A485,'2012 - TB'!$A$3:$H$733,6,FALSE)</f>
        <v>0</v>
      </c>
      <c r="G485" s="2118">
        <f t="shared" si="17"/>
        <v>0</v>
      </c>
      <c r="H485" s="2640">
        <f>SUMIF('Original Budget'!$A$1:$A$691,'Trial Balance - FPer'!A485,'Original Budget'!$C$1:$C$691)</f>
        <v>1639.88</v>
      </c>
      <c r="I485" s="2640">
        <f>VLOOKUP(A485,'2012 - TB'!$A$3:$C$733,3,FALSE)</f>
        <v>1639.88</v>
      </c>
      <c r="J485" s="2119" t="s">
        <v>5941</v>
      </c>
      <c r="L485" s="2024" t="str">
        <f>VLOOKUP(A485,'2012 Budget'!$A$18:$B$2152,2,FALSE)</f>
        <v>Consumables;</v>
      </c>
    </row>
    <row r="486" spans="1:12" s="2024" customFormat="1" x14ac:dyDescent="0.2">
      <c r="A486" s="1283" t="s">
        <v>5039</v>
      </c>
      <c r="B486" s="2117" t="s">
        <v>4891</v>
      </c>
      <c r="C486" s="2109">
        <f>VLOOKUP(A486,'2011 - TB'!$A$3:$B$971,2,FALSE)</f>
        <v>0</v>
      </c>
      <c r="D486" s="2118">
        <v>0</v>
      </c>
      <c r="E486" s="2118">
        <f>VLOOKUP(A486,'2012 - TB'!$A$3:$H$733,5,FALSE)</f>
        <v>0</v>
      </c>
      <c r="F486" s="2118">
        <f>VLOOKUP(A486,'2012 - TB'!$A$3:$H$733,6,FALSE)</f>
        <v>0</v>
      </c>
      <c r="G486" s="2118">
        <f t="shared" si="17"/>
        <v>0</v>
      </c>
      <c r="H486" s="2640">
        <f>SUMIF('Original Budget'!$A$1:$A$691,'Trial Balance - FPer'!A486,'Original Budget'!$C$1:$C$691)</f>
        <v>179.71</v>
      </c>
      <c r="I486" s="2640">
        <f>VLOOKUP(A486,'2012 - TB'!$A$3:$C$733,3,FALSE)</f>
        <v>179.71</v>
      </c>
      <c r="J486" s="2119" t="s">
        <v>5941</v>
      </c>
      <c r="L486" s="2024" t="str">
        <f>VLOOKUP(A486,'2012 Budget'!$A$18:$B$2152,2,FALSE)</f>
        <v>Consumables;</v>
      </c>
    </row>
    <row r="487" spans="1:12" s="2024" customFormat="1" x14ac:dyDescent="0.2">
      <c r="A487" s="2116" t="s">
        <v>5040</v>
      </c>
      <c r="B487" s="2117" t="s">
        <v>4891</v>
      </c>
      <c r="C487" s="2109">
        <f>VLOOKUP(A487,'2011 - TB'!$A$3:$B$971,2,FALSE)</f>
        <v>0</v>
      </c>
      <c r="D487" s="2118">
        <v>0</v>
      </c>
      <c r="E487" s="2118">
        <f>VLOOKUP(A487,'2012 - TB'!$A$3:$H$733,5,FALSE)</f>
        <v>0</v>
      </c>
      <c r="F487" s="2118">
        <f>VLOOKUP(A487,'2012 - TB'!$A$3:$H$733,6,FALSE)</f>
        <v>0</v>
      </c>
      <c r="G487" s="2118">
        <f t="shared" si="17"/>
        <v>0</v>
      </c>
      <c r="H487" s="2640">
        <f>SUMIF('Original Budget'!$A$1:$A$691,'Trial Balance - FPer'!A487,'Original Budget'!$C$1:$C$691)</f>
        <v>72.75</v>
      </c>
      <c r="I487" s="2640">
        <f>VLOOKUP(A487,'2012 - TB'!$A$3:$C$733,3,FALSE)</f>
        <v>72.75</v>
      </c>
      <c r="J487" s="2119" t="s">
        <v>5941</v>
      </c>
      <c r="L487" s="2024" t="str">
        <f>VLOOKUP(A487,'2012 Budget'!$A$18:$B$2152,2,FALSE)</f>
        <v>Consumables;</v>
      </c>
    </row>
    <row r="488" spans="1:12" s="2024" customFormat="1" x14ac:dyDescent="0.2">
      <c r="A488" s="2116" t="s">
        <v>5120</v>
      </c>
      <c r="B488" s="2117" t="s">
        <v>4891</v>
      </c>
      <c r="C488" s="2109">
        <f>VLOOKUP(A488,'2011 - TB'!$A$3:$B$971,2,FALSE)</f>
        <v>0</v>
      </c>
      <c r="D488" s="2118">
        <v>0</v>
      </c>
      <c r="E488" s="2118">
        <f>VLOOKUP(A488,'2012 - TB'!$A$3:$H$733,5,FALSE)</f>
        <v>0</v>
      </c>
      <c r="F488" s="2118">
        <f>VLOOKUP(A488,'2012 - TB'!$A$3:$H$733,6,FALSE)</f>
        <v>0</v>
      </c>
      <c r="G488" s="2118">
        <f t="shared" si="17"/>
        <v>0</v>
      </c>
      <c r="H488" s="2640">
        <f>SUMIF('Original Budget'!$A$1:$A$691,'Trial Balance - FPer'!A488,'Original Budget'!$C$1:$C$691)</f>
        <v>412.57</v>
      </c>
      <c r="I488" s="2640">
        <f>VLOOKUP(A488,'2012 - TB'!$A$3:$C$733,3,FALSE)</f>
        <v>633.19000000000005</v>
      </c>
      <c r="J488" s="2119" t="s">
        <v>5941</v>
      </c>
      <c r="L488" s="2024" t="str">
        <f>VLOOKUP(A488,'2012 Budget'!$A$18:$B$2152,2,FALSE)</f>
        <v>Consumables;</v>
      </c>
    </row>
    <row r="489" spans="1:12" s="2024" customFormat="1" x14ac:dyDescent="0.2">
      <c r="A489" s="2116" t="s">
        <v>5150</v>
      </c>
      <c r="B489" s="2117" t="s">
        <v>4891</v>
      </c>
      <c r="C489" s="2109">
        <f>VLOOKUP(A489,'2011 - TB'!$A$3:$B$971,2,FALSE)</f>
        <v>0</v>
      </c>
      <c r="D489" s="2118">
        <v>0</v>
      </c>
      <c r="E489" s="2118">
        <f>VLOOKUP(A489,'2012 - TB'!$A$3:$H$733,5,FALSE)</f>
        <v>0</v>
      </c>
      <c r="F489" s="2118">
        <f>VLOOKUP(A489,'2012 - TB'!$A$3:$H$733,6,FALSE)</f>
        <v>0</v>
      </c>
      <c r="G489" s="2118">
        <f t="shared" si="17"/>
        <v>0</v>
      </c>
      <c r="H489" s="2640">
        <f>SUMIF('Original Budget'!$A$1:$A$691,'Trial Balance - FPer'!A489,'Original Budget'!$C$1:$C$691)</f>
        <v>412.57</v>
      </c>
      <c r="I489" s="2640">
        <f>VLOOKUP(A489,'2012 - TB'!$A$3:$C$733,3,FALSE)</f>
        <v>412.57</v>
      </c>
      <c r="J489" s="2119" t="s">
        <v>5941</v>
      </c>
      <c r="L489" s="2024" t="str">
        <f>VLOOKUP(A489,'2012 Budget'!$A$18:$B$2152,2,FALSE)</f>
        <v>Consumables;</v>
      </c>
    </row>
    <row r="490" spans="1:12" s="2024" customFormat="1" x14ac:dyDescent="0.2">
      <c r="A490" s="2116" t="s">
        <v>5291</v>
      </c>
      <c r="B490" s="2117" t="s">
        <v>4891</v>
      </c>
      <c r="C490" s="2109">
        <f>VLOOKUP(A490,'2011 - TB'!$A$3:$B$971,2,FALSE)</f>
        <v>0</v>
      </c>
      <c r="D490" s="2118">
        <v>0</v>
      </c>
      <c r="E490" s="2118">
        <f>VLOOKUP(A490,'2012 - TB'!$A$3:$H$733,5,FALSE)</f>
        <v>0</v>
      </c>
      <c r="F490" s="2118">
        <f>VLOOKUP(A490,'2012 - TB'!$A$3:$H$733,6,FALSE)</f>
        <v>0</v>
      </c>
      <c r="G490" s="2118">
        <f t="shared" si="17"/>
        <v>0</v>
      </c>
      <c r="H490" s="2640">
        <f>SUMIF('Original Budget'!$A$1:$A$691,'Trial Balance - FPer'!A490,'Original Budget'!$C$1:$C$691)</f>
        <v>1694.18</v>
      </c>
      <c r="I490" s="2640">
        <f>VLOOKUP(A490,'2012 - TB'!$A$3:$C$733,3,FALSE)</f>
        <v>1694.18</v>
      </c>
      <c r="J490" s="2119" t="s">
        <v>5941</v>
      </c>
      <c r="L490" s="2024" t="str">
        <f>VLOOKUP(A490,'2012 Budget'!$A$18:$B$2152,2,FALSE)</f>
        <v>Consumables;</v>
      </c>
    </row>
    <row r="491" spans="1:12" s="2024" customFormat="1" x14ac:dyDescent="0.2">
      <c r="A491" s="2116" t="s">
        <v>5351</v>
      </c>
      <c r="B491" s="2117" t="s">
        <v>4891</v>
      </c>
      <c r="C491" s="2109">
        <f>VLOOKUP(A491,'2011 - TB'!$A$3:$B$971,2,FALSE)</f>
        <v>0</v>
      </c>
      <c r="D491" s="2118">
        <v>0</v>
      </c>
      <c r="E491" s="2118">
        <f>VLOOKUP(A491,'2012 - TB'!$A$3:$H$733,5,FALSE)</f>
        <v>0</v>
      </c>
      <c r="F491" s="2118">
        <f>VLOOKUP(A491,'2012 - TB'!$A$3:$H$733,6,FALSE)</f>
        <v>0</v>
      </c>
      <c r="G491" s="2118">
        <f t="shared" si="17"/>
        <v>0</v>
      </c>
      <c r="H491" s="2640">
        <f>SUMIF('Original Budget'!$A$1:$A$691,'Trial Balance - FPer'!A491,'Original Budget'!$C$1:$C$691)</f>
        <v>412.57</v>
      </c>
      <c r="I491" s="2640">
        <f>VLOOKUP(A491,'2012 - TB'!$A$3:$C$733,3,FALSE)</f>
        <v>0</v>
      </c>
      <c r="J491" s="2119" t="s">
        <v>5941</v>
      </c>
      <c r="L491" s="2024" t="str">
        <f>VLOOKUP(A491,'2012 Budget'!$A$18:$B$2152,2,FALSE)</f>
        <v>Consumables;</v>
      </c>
    </row>
    <row r="492" spans="1:12" s="2024" customFormat="1" x14ac:dyDescent="0.2">
      <c r="A492" s="2116" t="s">
        <v>5377</v>
      </c>
      <c r="B492" s="2117" t="s">
        <v>4891</v>
      </c>
      <c r="C492" s="2109">
        <f>VLOOKUP(A492,'2011 - TB'!$A$3:$B$971,2,FALSE)</f>
        <v>0</v>
      </c>
      <c r="D492" s="2118">
        <v>0</v>
      </c>
      <c r="E492" s="2118">
        <v>0</v>
      </c>
      <c r="F492" s="2118">
        <v>0</v>
      </c>
      <c r="G492" s="2118">
        <f t="shared" si="17"/>
        <v>0</v>
      </c>
      <c r="H492" s="2640">
        <f>SUMIF('Original Budget'!$A$1:$A$691,'Trial Balance - FPer'!A492,'Original Budget'!$C$1:$C$691)</f>
        <v>264</v>
      </c>
      <c r="I492" s="2640"/>
      <c r="J492" s="2119" t="s">
        <v>5941</v>
      </c>
      <c r="L492" s="2024" t="str">
        <f>VLOOKUP(A492,'2012 Budget'!$A$18:$B$2152,2,FALSE)</f>
        <v>Consumables;</v>
      </c>
    </row>
    <row r="493" spans="1:12" s="2024" customFormat="1" x14ac:dyDescent="0.2">
      <c r="A493" s="2116" t="s">
        <v>5407</v>
      </c>
      <c r="B493" s="2117" t="s">
        <v>4891</v>
      </c>
      <c r="C493" s="2109">
        <f>VLOOKUP(A493,'2011 - TB'!$A$3:$B$971,2,FALSE)</f>
        <v>0</v>
      </c>
      <c r="D493" s="2118">
        <v>0</v>
      </c>
      <c r="E493" s="2118">
        <f>VLOOKUP(A493,'2012 - TB'!$A$3:$H$733,5,FALSE)</f>
        <v>0</v>
      </c>
      <c r="F493" s="2118">
        <f>VLOOKUP(A493,'2012 - TB'!$A$3:$H$733,6,FALSE)</f>
        <v>0</v>
      </c>
      <c r="G493" s="2118">
        <f t="shared" si="17"/>
        <v>0</v>
      </c>
      <c r="H493" s="2640">
        <f>SUMIF('Original Budget'!$A$1:$A$691,'Trial Balance - FPer'!A493,'Original Budget'!$C$1:$C$691)</f>
        <v>6421.18</v>
      </c>
      <c r="I493" s="2640">
        <f>VLOOKUP(A493,'2012 - TB'!$A$3:$C$733,3,FALSE)</f>
        <v>2500</v>
      </c>
      <c r="J493" s="2119" t="s">
        <v>5941</v>
      </c>
      <c r="L493" s="2024" t="str">
        <f>VLOOKUP(A493,'2012 Budget'!$A$18:$B$2152,2,FALSE)</f>
        <v>Consumables;</v>
      </c>
    </row>
    <row r="494" spans="1:12" s="2024" customFormat="1" x14ac:dyDescent="0.2">
      <c r="A494" s="2116" t="s">
        <v>5479</v>
      </c>
      <c r="B494" s="2117" t="s">
        <v>4891</v>
      </c>
      <c r="C494" s="2109">
        <f>VLOOKUP(A494,'2011 - TB'!$A$3:$B$971,2,FALSE)</f>
        <v>0</v>
      </c>
      <c r="D494" s="2118">
        <v>0</v>
      </c>
      <c r="E494" s="2118">
        <f>VLOOKUP(A494,'2012 - TB'!$A$3:$H$733,5,FALSE)</f>
        <v>0</v>
      </c>
      <c r="F494" s="2118">
        <f>VLOOKUP(A494,'2012 - TB'!$A$3:$H$733,6,FALSE)</f>
        <v>0</v>
      </c>
      <c r="G494" s="2118">
        <f t="shared" si="17"/>
        <v>0</v>
      </c>
      <c r="H494" s="2640">
        <f>SUMIF('Original Budget'!$A$1:$A$691,'Trial Balance - FPer'!A494,'Original Budget'!$C$1:$C$691)</f>
        <v>556.07000000000005</v>
      </c>
      <c r="I494" s="2640">
        <f>VLOOKUP(A494,'2012 - TB'!$A$3:$C$733,3,FALSE)</f>
        <v>5000</v>
      </c>
      <c r="J494" s="2119" t="s">
        <v>5941</v>
      </c>
      <c r="L494" s="2024" t="str">
        <f>VLOOKUP(A494,'2012 Budget'!$A$18:$B$2152,2,FALSE)</f>
        <v>Consumables;</v>
      </c>
    </row>
    <row r="495" spans="1:12" s="2024" customFormat="1" x14ac:dyDescent="0.2">
      <c r="A495" s="2116" t="s">
        <v>5506</v>
      </c>
      <c r="B495" s="2117" t="s">
        <v>4891</v>
      </c>
      <c r="C495" s="2109">
        <f>VLOOKUP(A495,'2011 - TB'!$A$3:$B$971,2,FALSE)</f>
        <v>0</v>
      </c>
      <c r="D495" s="2118">
        <v>0</v>
      </c>
      <c r="E495" s="2118">
        <v>0</v>
      </c>
      <c r="F495" s="2118">
        <v>0</v>
      </c>
      <c r="G495" s="2118">
        <f t="shared" si="17"/>
        <v>0</v>
      </c>
      <c r="H495" s="2640">
        <f>SUMIF('Original Budget'!$A$1:$A$691,'Trial Balance - FPer'!A495,'Original Budget'!$C$1:$C$691)</f>
        <v>412.57</v>
      </c>
      <c r="I495" s="2640"/>
      <c r="J495" s="2119" t="s">
        <v>5941</v>
      </c>
      <c r="L495" s="2024" t="str">
        <f>VLOOKUP(A495,'2012 Budget'!$A$18:$B$2152,2,FALSE)</f>
        <v>Consumables;</v>
      </c>
    </row>
    <row r="496" spans="1:12" s="2024" customFormat="1" x14ac:dyDescent="0.2">
      <c r="A496" s="2116" t="s">
        <v>5543</v>
      </c>
      <c r="B496" s="2117" t="s">
        <v>4891</v>
      </c>
      <c r="C496" s="2109">
        <f>VLOOKUP(A496,'2011 - TB'!$A$3:$B$971,2,FALSE)</f>
        <v>0</v>
      </c>
      <c r="D496" s="2118">
        <v>0</v>
      </c>
      <c r="E496" s="2118">
        <v>0</v>
      </c>
      <c r="F496" s="2118">
        <v>0</v>
      </c>
      <c r="G496" s="2118">
        <f t="shared" si="17"/>
        <v>0</v>
      </c>
      <c r="H496" s="2640">
        <f>SUMIF('Original Budget'!$A$1:$A$691,'Trial Balance - FPer'!A496,'Original Budget'!$C$1:$C$691)</f>
        <v>0</v>
      </c>
      <c r="I496" s="2640"/>
      <c r="J496" s="2119" t="s">
        <v>5941</v>
      </c>
      <c r="L496" s="2024" t="str">
        <f>VLOOKUP(A496,'2012 Budget'!$A$18:$B$2152,2,FALSE)</f>
        <v>Consumables;</v>
      </c>
    </row>
    <row r="497" spans="1:12" s="2024" customFormat="1" x14ac:dyDescent="0.2">
      <c r="A497" s="2116" t="s">
        <v>5580</v>
      </c>
      <c r="B497" s="2117" t="s">
        <v>4891</v>
      </c>
      <c r="C497" s="2109">
        <f>VLOOKUP(A497,'2011 - TB'!$A$3:$B$971,2,FALSE)</f>
        <v>0</v>
      </c>
      <c r="D497" s="2118">
        <v>0</v>
      </c>
      <c r="E497" s="2118">
        <v>0</v>
      </c>
      <c r="F497" s="2118">
        <v>0</v>
      </c>
      <c r="G497" s="2118">
        <f t="shared" si="17"/>
        <v>0</v>
      </c>
      <c r="H497" s="2640">
        <f>SUMIF('Original Budget'!$A$1:$A$691,'Trial Balance - FPer'!A497,'Original Budget'!$C$1:$C$691)</f>
        <v>2067.98</v>
      </c>
      <c r="I497" s="2640"/>
      <c r="J497" s="2119" t="s">
        <v>5941</v>
      </c>
      <c r="L497" s="2024" t="str">
        <f>VLOOKUP(A497,'2012 Budget'!$A$18:$B$2152,2,FALSE)</f>
        <v>Consumables;</v>
      </c>
    </row>
    <row r="498" spans="1:12" s="2024" customFormat="1" x14ac:dyDescent="0.2">
      <c r="A498" s="2116" t="s">
        <v>5621</v>
      </c>
      <c r="B498" s="2117" t="s">
        <v>4891</v>
      </c>
      <c r="C498" s="2109">
        <f>VLOOKUP(A498,'2011 - TB'!$A$3:$B$971,2,FALSE)</f>
        <v>0</v>
      </c>
      <c r="D498" s="2118">
        <v>0</v>
      </c>
      <c r="E498" s="2118">
        <v>0</v>
      </c>
      <c r="F498" s="2118">
        <v>0</v>
      </c>
      <c r="G498" s="2118">
        <f t="shared" si="17"/>
        <v>0</v>
      </c>
      <c r="H498" s="2640">
        <f>SUMIF('Original Budget'!$A$1:$A$691,'Trial Balance - FPer'!A498,'Original Budget'!$C$1:$C$691)</f>
        <v>27.02</v>
      </c>
      <c r="I498" s="2640"/>
      <c r="J498" s="2119" t="s">
        <v>5941</v>
      </c>
      <c r="L498" s="2024" t="str">
        <f>VLOOKUP(A498,'2012 Budget'!$A$18:$B$2152,2,FALSE)</f>
        <v>Consumables;</v>
      </c>
    </row>
    <row r="499" spans="1:12" s="2024" customFormat="1" x14ac:dyDescent="0.2">
      <c r="A499" s="2116" t="s">
        <v>5700</v>
      </c>
      <c r="B499" s="2117" t="s">
        <v>4891</v>
      </c>
      <c r="C499" s="2109">
        <f>VLOOKUP(A499,'2011 - TB'!$A$3:$B$971,2,FALSE)</f>
        <v>0</v>
      </c>
      <c r="D499" s="2118">
        <v>0</v>
      </c>
      <c r="E499" s="2118">
        <v>0</v>
      </c>
      <c r="F499" s="2118">
        <v>0</v>
      </c>
      <c r="G499" s="2118">
        <f t="shared" si="17"/>
        <v>0</v>
      </c>
      <c r="H499" s="2640">
        <f>SUMIF('Original Budget'!$A$1:$A$691,'Trial Balance - FPer'!A499,'Original Budget'!$C$1:$C$691)</f>
        <v>62.57</v>
      </c>
      <c r="I499" s="2640"/>
      <c r="J499" s="2119" t="s">
        <v>5941</v>
      </c>
      <c r="L499" s="2024" t="str">
        <f>VLOOKUP(A499,'2012 Budget'!$A$18:$B$2152,2,FALSE)</f>
        <v>Consumables;</v>
      </c>
    </row>
    <row r="500" spans="1:12" s="2024" customFormat="1" x14ac:dyDescent="0.2">
      <c r="A500" s="2116" t="s">
        <v>5758</v>
      </c>
      <c r="B500" s="2117" t="s">
        <v>4891</v>
      </c>
      <c r="C500" s="2109">
        <v>0</v>
      </c>
      <c r="D500" s="2118">
        <v>0</v>
      </c>
      <c r="E500" s="2118">
        <v>0</v>
      </c>
      <c r="F500" s="2118">
        <v>0</v>
      </c>
      <c r="G500" s="2118">
        <f t="shared" si="17"/>
        <v>0</v>
      </c>
      <c r="H500" s="2640">
        <f>SUMIF('Original Budget'!$A$1:$A$691,'Trial Balance - FPer'!A500,'Original Budget'!$C$1:$C$691)</f>
        <v>0</v>
      </c>
      <c r="I500" s="2640"/>
      <c r="J500" s="2119" t="s">
        <v>5941</v>
      </c>
      <c r="L500" s="2024" t="str">
        <f>VLOOKUP(A500,'2012 Budget'!$A$18:$B$2152,2,FALSE)</f>
        <v>Consumables;</v>
      </c>
    </row>
    <row r="501" spans="1:12" s="2024" customFormat="1" x14ac:dyDescent="0.2">
      <c r="A501" s="2116" t="s">
        <v>5809</v>
      </c>
      <c r="B501" s="2117" t="s">
        <v>4891</v>
      </c>
      <c r="C501" s="2109">
        <f>VLOOKUP(A501,'2011 - TB'!$A$3:$B$971,2,FALSE)</f>
        <v>0</v>
      </c>
      <c r="D501" s="2118">
        <v>0</v>
      </c>
      <c r="E501" s="2118">
        <v>0</v>
      </c>
      <c r="F501" s="2118">
        <v>0</v>
      </c>
      <c r="G501" s="2118">
        <f t="shared" si="17"/>
        <v>0</v>
      </c>
      <c r="H501" s="2640">
        <f>SUMIF('Original Budget'!$A$1:$A$691,'Trial Balance - FPer'!A501,'Original Budget'!$C$1:$C$691)</f>
        <v>154.4</v>
      </c>
      <c r="I501" s="2640"/>
      <c r="J501" s="2119" t="s">
        <v>5941</v>
      </c>
      <c r="L501" s="2024" t="str">
        <f>VLOOKUP(A501,'2012 Budget'!$A$18:$B$2152,2,FALSE)</f>
        <v>Consumables;</v>
      </c>
    </row>
    <row r="502" spans="1:12" s="2024" customFormat="1" x14ac:dyDescent="0.2">
      <c r="A502" s="2116" t="s">
        <v>5869</v>
      </c>
      <c r="B502" s="2117" t="s">
        <v>4891</v>
      </c>
      <c r="C502" s="2109">
        <f>VLOOKUP(A502,'2011 - TB'!$A$3:$B$971,2,FALSE)</f>
        <v>0</v>
      </c>
      <c r="D502" s="2118">
        <v>0</v>
      </c>
      <c r="E502" s="2118">
        <f>VLOOKUP(A502,'2012 - TB'!$A$3:$H$733,5,FALSE)</f>
        <v>0</v>
      </c>
      <c r="F502" s="2118">
        <v>0</v>
      </c>
      <c r="G502" s="2118">
        <f t="shared" si="17"/>
        <v>0</v>
      </c>
      <c r="H502" s="2640">
        <f>SUMIF('Original Budget'!$A$1:$A$691,'Trial Balance - FPer'!A502,'Original Budget'!$C$1:$C$691)</f>
        <v>12872.49</v>
      </c>
      <c r="I502" s="2640">
        <f>VLOOKUP(A502,'2012 - TB'!$A$3:$C$733,3,FALSE)</f>
        <v>12872.49</v>
      </c>
      <c r="J502" s="2119" t="s">
        <v>5941</v>
      </c>
      <c r="L502" s="2024" t="str">
        <f>VLOOKUP(A502,'2012 Budget'!$A$18:$B$2152,2,FALSE)</f>
        <v>Consumables;</v>
      </c>
    </row>
    <row r="503" spans="1:12" s="2024" customFormat="1" x14ac:dyDescent="0.2">
      <c r="A503" s="2116" t="s">
        <v>5918</v>
      </c>
      <c r="B503" s="2117" t="s">
        <v>4891</v>
      </c>
      <c r="C503" s="2109">
        <f>VLOOKUP(A503,'2011 - TB'!$A$3:$B$971,2,FALSE)</f>
        <v>0</v>
      </c>
      <c r="D503" s="2118">
        <v>0</v>
      </c>
      <c r="E503" s="2118">
        <v>0</v>
      </c>
      <c r="F503" s="2118">
        <v>0</v>
      </c>
      <c r="G503" s="2118">
        <f t="shared" si="17"/>
        <v>0</v>
      </c>
      <c r="H503" s="2640">
        <f>SUMIF('Original Budget'!$A$1:$A$691,'Trial Balance - FPer'!A503,'Original Budget'!$C$1:$C$691)</f>
        <v>1629.1</v>
      </c>
      <c r="I503" s="2640"/>
      <c r="J503" s="2119" t="s">
        <v>5941</v>
      </c>
      <c r="L503" s="2024" t="str">
        <f>VLOOKUP(A503,'2012 Budget'!$A$18:$B$2152,2,FALSE)</f>
        <v>Consumables;</v>
      </c>
    </row>
    <row r="504" spans="1:12" s="2024" customFormat="1" x14ac:dyDescent="0.2">
      <c r="A504" s="2116" t="s">
        <v>4872</v>
      </c>
      <c r="B504" s="2117" t="s">
        <v>4873</v>
      </c>
      <c r="C504" s="2109">
        <f>VLOOKUP(A504,'2011 - TB'!$A$3:$B$971,2,FALSE)</f>
        <v>0</v>
      </c>
      <c r="D504" s="2118">
        <v>0</v>
      </c>
      <c r="E504" s="2118">
        <f>VLOOKUP(A504,'2012 - TB'!$A$3:$H$733,5,FALSE)</f>
        <v>0</v>
      </c>
      <c r="F504" s="2118">
        <v>0</v>
      </c>
      <c r="G504" s="2118">
        <f t="shared" si="17"/>
        <v>0</v>
      </c>
      <c r="H504" s="2640">
        <f>SUMIF('Original Budget'!$A$1:$A$691,'Trial Balance - FPer'!A504,'Original Budget'!$C$1:$C$691)</f>
        <v>4364.43</v>
      </c>
      <c r="I504" s="2640">
        <f>VLOOKUP(A504,'2012 - TB'!$A$3:$C$733,3,FALSE)</f>
        <v>2663.7</v>
      </c>
      <c r="J504" s="2119" t="s">
        <v>5941</v>
      </c>
      <c r="L504" s="2024" t="str">
        <f>VLOOKUP(A504,'2012 Budget'!$A$18:$B$2152,2,FALSE)</f>
        <v>Inventory (tool</v>
      </c>
    </row>
    <row r="505" spans="1:12" s="2024" customFormat="1" x14ac:dyDescent="0.2">
      <c r="A505" s="2116" t="s">
        <v>4924</v>
      </c>
      <c r="B505" s="2117" t="s">
        <v>4873</v>
      </c>
      <c r="C505" s="2109">
        <v>0</v>
      </c>
      <c r="D505" s="2118">
        <v>0</v>
      </c>
      <c r="E505" s="2118">
        <v>0</v>
      </c>
      <c r="F505" s="2118">
        <v>0</v>
      </c>
      <c r="G505" s="2118">
        <f t="shared" si="17"/>
        <v>0</v>
      </c>
      <c r="H505" s="2640">
        <f>SUMIF('Original Budget'!$A$1:$A$691,'Trial Balance - FPer'!A505,'Original Budget'!$C$1:$C$691)</f>
        <v>0</v>
      </c>
      <c r="I505" s="2640"/>
      <c r="J505" s="2119" t="s">
        <v>5941</v>
      </c>
      <c r="L505" s="2024" t="str">
        <f>VLOOKUP(A505,'2012 Budget'!$A$18:$B$2152,2,FALSE)</f>
        <v>Inventory (tool</v>
      </c>
    </row>
    <row r="506" spans="1:12" s="2024" customFormat="1" x14ac:dyDescent="0.2">
      <c r="A506" s="2116" t="s">
        <v>5022</v>
      </c>
      <c r="B506" s="2117" t="s">
        <v>4873</v>
      </c>
      <c r="C506" s="2109">
        <f>VLOOKUP(A506,'2011 - TB'!$A$3:$B$971,2,FALSE)</f>
        <v>0</v>
      </c>
      <c r="D506" s="2118">
        <v>0</v>
      </c>
      <c r="E506" s="2118">
        <f>VLOOKUP(A506,'2012 - TB'!$A$3:$H$733,5,FALSE)</f>
        <v>0</v>
      </c>
      <c r="F506" s="2118">
        <v>0</v>
      </c>
      <c r="G506" s="2118">
        <f t="shared" si="17"/>
        <v>0</v>
      </c>
      <c r="H506" s="2640">
        <f>SUMIF('Original Budget'!$A$1:$A$691,'Trial Balance - FPer'!A506,'Original Budget'!$C$1:$C$691)</f>
        <v>78253.67</v>
      </c>
      <c r="I506" s="2640">
        <f>VLOOKUP(A506,'2012 - TB'!$A$3:$C$733,3,FALSE)</f>
        <v>12855.15</v>
      </c>
      <c r="J506" s="2119" t="s">
        <v>5941</v>
      </c>
      <c r="L506" s="2024" t="str">
        <f>VLOOKUP(A506,'2012 Budget'!$A$18:$B$2152,2,FALSE)</f>
        <v>Inventory (tool</v>
      </c>
    </row>
    <row r="507" spans="1:12" s="2024" customFormat="1" x14ac:dyDescent="0.2">
      <c r="A507" s="2116" t="s">
        <v>5023</v>
      </c>
      <c r="B507" s="2117" t="s">
        <v>4873</v>
      </c>
      <c r="C507" s="2109">
        <f>VLOOKUP(A507,'2011 - TB'!$A$3:$B$971,2,FALSE)</f>
        <v>0</v>
      </c>
      <c r="D507" s="2118">
        <v>0</v>
      </c>
      <c r="E507" s="2118">
        <v>0</v>
      </c>
      <c r="F507" s="2118">
        <v>0</v>
      </c>
      <c r="G507" s="2118">
        <f t="shared" si="17"/>
        <v>0</v>
      </c>
      <c r="H507" s="2640">
        <f>SUMIF('Original Budget'!$A$1:$A$691,'Trial Balance - FPer'!A507,'Original Budget'!$C$1:$C$691)</f>
        <v>49.41</v>
      </c>
      <c r="I507" s="2640"/>
      <c r="J507" s="2119" t="s">
        <v>5941</v>
      </c>
      <c r="L507" s="2024" t="str">
        <f>VLOOKUP(A507,'2012 Budget'!$A$18:$B$2152,2,FALSE)</f>
        <v>Inventory (tool</v>
      </c>
    </row>
    <row r="508" spans="1:12" s="2024" customFormat="1" x14ac:dyDescent="0.2">
      <c r="A508" s="2116" t="s">
        <v>5116</v>
      </c>
      <c r="B508" s="2117" t="s">
        <v>4873</v>
      </c>
      <c r="C508" s="2109">
        <f>VLOOKUP(A508,'2011 - TB'!$A$3:$B$971,2,FALSE)</f>
        <v>0</v>
      </c>
      <c r="D508" s="2118">
        <v>0</v>
      </c>
      <c r="E508" s="2118">
        <v>0</v>
      </c>
      <c r="F508" s="2118">
        <v>0</v>
      </c>
      <c r="G508" s="2118">
        <f t="shared" si="17"/>
        <v>0</v>
      </c>
      <c r="H508" s="2640">
        <f>SUMIF('Original Budget'!$A$1:$A$691,'Trial Balance - FPer'!A508,'Original Budget'!$C$1:$C$691)</f>
        <v>412.57</v>
      </c>
      <c r="I508" s="2640"/>
      <c r="J508" s="2119" t="s">
        <v>5941</v>
      </c>
      <c r="L508" s="2024" t="str">
        <f>VLOOKUP(A508,'2012 Budget'!$A$18:$B$2152,2,FALSE)</f>
        <v>Inventory (tool</v>
      </c>
    </row>
    <row r="509" spans="1:12" s="2024" customFormat="1" x14ac:dyDescent="0.2">
      <c r="A509" s="2116" t="s">
        <v>5145</v>
      </c>
      <c r="B509" s="2117" t="s">
        <v>4873</v>
      </c>
      <c r="C509" s="2109" t="str">
        <f>VLOOKUP(A509,'2011 - TB'!$A$3:$B$971,2,FALSE)</f>
        <v xml:space="preserve">                               -  </v>
      </c>
      <c r="D509" s="2118">
        <v>0</v>
      </c>
      <c r="E509" s="2118">
        <f>VLOOKUP(A509,'2012 - TB'!$A$3:$H$733,5,FALSE)</f>
        <v>0</v>
      </c>
      <c r="F509" s="2118">
        <f>VLOOKUP(A509,'2012 - TB'!$A$3:$H$733,6,FALSE)</f>
        <v>0</v>
      </c>
      <c r="G509" s="2118">
        <f t="shared" ref="G509:G571" si="18">E509+F509</f>
        <v>0</v>
      </c>
      <c r="H509" s="2640">
        <f>SUMIF('Original Budget'!$A$1:$A$691,'Trial Balance - FPer'!A509,'Original Budget'!$C$1:$C$691)</f>
        <v>412.57</v>
      </c>
      <c r="I509" s="2640">
        <f>VLOOKUP(A509,'2012 - TB'!$A$3:$C$733,3,FALSE)</f>
        <v>0</v>
      </c>
      <c r="J509" s="2119" t="s">
        <v>5941</v>
      </c>
      <c r="L509" s="2024" t="str">
        <f>VLOOKUP(A509,'2012 Budget'!$A$18:$B$2152,2,FALSE)</f>
        <v>Inventory (tool</v>
      </c>
    </row>
    <row r="510" spans="1:12" s="2024" customFormat="1" x14ac:dyDescent="0.2">
      <c r="A510" s="2116" t="s">
        <v>5273</v>
      </c>
      <c r="B510" s="2117" t="s">
        <v>4873</v>
      </c>
      <c r="C510" s="2109">
        <f>VLOOKUP(A510,'2011 - TB'!$A$3:$B$971,2,FALSE)</f>
        <v>0</v>
      </c>
      <c r="D510" s="2118">
        <v>0</v>
      </c>
      <c r="E510" s="2118">
        <f>VLOOKUP(A510,'2012 - TB'!$A$3:$H$733,5,FALSE)</f>
        <v>405213.79</v>
      </c>
      <c r="F510" s="2118">
        <f>VLOOKUP(A510,'2012 - TB'!$A$3:$H$733,6,FALSE)</f>
        <v>0</v>
      </c>
      <c r="G510" s="2118">
        <f t="shared" si="18"/>
        <v>405213.79</v>
      </c>
      <c r="H510" s="2640">
        <f>SUMIF('Original Budget'!$A$1:$A$691,'Trial Balance - FPer'!A510,'Original Budget'!$C$1:$C$691)</f>
        <v>0</v>
      </c>
      <c r="I510" s="2640">
        <f>VLOOKUP(A510,'2012 - TB'!$A$3:$C$733,3,FALSE)</f>
        <v>0</v>
      </c>
      <c r="J510" s="2119" t="s">
        <v>5941</v>
      </c>
      <c r="L510" s="2024" t="str">
        <f>VLOOKUP(A510,'2012 Budget'!$A$18:$B$2152,2,FALSE)</f>
        <v>Inventory (tool</v>
      </c>
    </row>
    <row r="511" spans="1:12" s="2024" customFormat="1" x14ac:dyDescent="0.2">
      <c r="A511" s="2116" t="s">
        <v>5274</v>
      </c>
      <c r="B511" s="2117" t="s">
        <v>4873</v>
      </c>
      <c r="C511" s="2109">
        <f>VLOOKUP(A511,'2011 - TB'!$A$3:$B$971,2,FALSE)</f>
        <v>0</v>
      </c>
      <c r="D511" s="2118">
        <v>0</v>
      </c>
      <c r="E511" s="2118">
        <f>VLOOKUP(A511,'2012 - TB'!$A$3:$H$733,5,FALSE)</f>
        <v>0</v>
      </c>
      <c r="F511" s="2118">
        <f>VLOOKUP(A511,'2012 - TB'!$A$3:$H$733,6,FALSE)</f>
        <v>0</v>
      </c>
      <c r="G511" s="2118">
        <f t="shared" si="18"/>
        <v>0</v>
      </c>
      <c r="H511" s="2640">
        <f>SUMIF('Original Budget'!$A$1:$A$691,'Trial Balance - FPer'!A511,'Original Budget'!$C$1:$C$691)</f>
        <v>515.54999999999995</v>
      </c>
      <c r="I511" s="2640">
        <f>VLOOKUP(A511,'2012 - TB'!$A$3:$C$733,3,FALSE)</f>
        <v>2015.99</v>
      </c>
      <c r="J511" s="2119" t="s">
        <v>5941</v>
      </c>
      <c r="L511" s="2024" t="str">
        <f>VLOOKUP(A511,'2012 Budget'!$A$18:$B$2152,2,FALSE)</f>
        <v>Inventory (tool</v>
      </c>
    </row>
    <row r="512" spans="1:12" s="2024" customFormat="1" x14ac:dyDescent="0.2">
      <c r="A512" s="2116" t="s">
        <v>5341</v>
      </c>
      <c r="B512" s="2117" t="s">
        <v>4873</v>
      </c>
      <c r="C512" s="2109" t="str">
        <f>VLOOKUP(A512,'2011 - TB'!$A$3:$B$971,2,FALSE)</f>
        <v xml:space="preserve">                               -  </v>
      </c>
      <c r="D512" s="2118">
        <v>0</v>
      </c>
      <c r="E512" s="2118">
        <v>0</v>
      </c>
      <c r="F512" s="2118">
        <v>0</v>
      </c>
      <c r="G512" s="2118">
        <f t="shared" si="18"/>
        <v>0</v>
      </c>
      <c r="H512" s="2640">
        <f>SUMIF('Original Budget'!$A$1:$A$691,'Trial Balance - FPer'!A512,'Original Budget'!$C$1:$C$691)</f>
        <v>412.57</v>
      </c>
      <c r="I512" s="2640"/>
      <c r="J512" s="2119" t="s">
        <v>5941</v>
      </c>
      <c r="L512" s="2024" t="str">
        <f>VLOOKUP(A512,'2012 Budget'!$A$18:$B$2152,2,FALSE)</f>
        <v>Inventory (tool</v>
      </c>
    </row>
    <row r="513" spans="1:12" s="2024" customFormat="1" x14ac:dyDescent="0.2">
      <c r="A513" s="2116" t="s">
        <v>5342</v>
      </c>
      <c r="B513" s="2117" t="s">
        <v>4873</v>
      </c>
      <c r="C513" s="2109">
        <v>0</v>
      </c>
      <c r="D513" s="2118">
        <v>0</v>
      </c>
      <c r="E513" s="2118">
        <v>0</v>
      </c>
      <c r="F513" s="2118">
        <v>0</v>
      </c>
      <c r="G513" s="2118">
        <f t="shared" si="18"/>
        <v>0</v>
      </c>
      <c r="H513" s="2640">
        <f>SUMIF('Original Budget'!$A$1:$A$691,'Trial Balance - FPer'!A513,'Original Budget'!$C$1:$C$691)</f>
        <v>0</v>
      </c>
      <c r="I513" s="2640"/>
      <c r="J513" s="2119" t="s">
        <v>5941</v>
      </c>
      <c r="L513" s="2024" t="str">
        <f>VLOOKUP(A513,'2012 Budget'!$A$18:$B$2152,2,FALSE)</f>
        <v>Material &amp; Stor</v>
      </c>
    </row>
    <row r="514" spans="1:12" s="2024" customFormat="1" x14ac:dyDescent="0.2">
      <c r="A514" s="2116" t="s">
        <v>5402</v>
      </c>
      <c r="B514" s="2117" t="s">
        <v>4873</v>
      </c>
      <c r="C514" s="2109">
        <f>VLOOKUP(A514,'2011 - TB'!$A$3:$B$971,2,FALSE)</f>
        <v>0</v>
      </c>
      <c r="D514" s="2118">
        <v>0</v>
      </c>
      <c r="E514" s="2118">
        <f>VLOOKUP(A514,'2012 - TB'!$A$3:$H$733,5,FALSE)</f>
        <v>0</v>
      </c>
      <c r="F514" s="2118">
        <f>VLOOKUP(A514,'2012 - TB'!$A$3:$H$733,6,FALSE)</f>
        <v>0</v>
      </c>
      <c r="G514" s="2118">
        <f t="shared" si="18"/>
        <v>0</v>
      </c>
      <c r="H514" s="2640">
        <f>SUMIF('Original Budget'!$A$1:$A$691,'Trial Balance - FPer'!A514,'Original Budget'!$C$1:$C$691)</f>
        <v>212.94</v>
      </c>
      <c r="I514" s="2640">
        <f>VLOOKUP(A514,'2012 - TB'!$A$3:$C$733,3,FALSE)</f>
        <v>212.94</v>
      </c>
      <c r="J514" s="2119" t="s">
        <v>5941</v>
      </c>
      <c r="L514" s="2024" t="str">
        <f>VLOOKUP(A514,'2012 Budget'!$A$18:$B$2152,2,FALSE)</f>
        <v>Inventory (tool</v>
      </c>
    </row>
    <row r="515" spans="1:12" s="2024" customFormat="1" x14ac:dyDescent="0.2">
      <c r="A515" s="2116" t="s">
        <v>5471</v>
      </c>
      <c r="B515" s="2117" t="s">
        <v>4873</v>
      </c>
      <c r="C515" s="2109">
        <f>VLOOKUP(A515,'2011 - TB'!$A$3:$B$971,2,FALSE)</f>
        <v>0</v>
      </c>
      <c r="D515" s="2118">
        <v>0</v>
      </c>
      <c r="E515" s="2118">
        <f>VLOOKUP(A515,'2012 - TB'!$A$3:$H$733,5,FALSE)</f>
        <v>0</v>
      </c>
      <c r="F515" s="2118">
        <f>VLOOKUP(A515,'2012 - TB'!$A$3:$H$733,6,FALSE)</f>
        <v>0</v>
      </c>
      <c r="G515" s="2118">
        <f t="shared" si="18"/>
        <v>0</v>
      </c>
      <c r="H515" s="2640">
        <f>SUMIF('Original Budget'!$A$1:$A$691,'Trial Balance - FPer'!A515,'Original Budget'!$C$1:$C$691)</f>
        <v>412.57</v>
      </c>
      <c r="I515" s="2640">
        <f>VLOOKUP(A515,'2012 - TB'!$A$3:$C$733,3,FALSE)</f>
        <v>5000</v>
      </c>
      <c r="J515" s="2119" t="s">
        <v>5941</v>
      </c>
      <c r="L515" s="2024" t="str">
        <f>VLOOKUP(A515,'2012 Budget'!$A$18:$B$2152,2,FALSE)</f>
        <v>Inventory (tool</v>
      </c>
    </row>
    <row r="516" spans="1:12" s="2024" customFormat="1" x14ac:dyDescent="0.2">
      <c r="A516" s="2116" t="s">
        <v>5502</v>
      </c>
      <c r="B516" s="2117" t="s">
        <v>4873</v>
      </c>
      <c r="C516" s="2109" t="str">
        <f>VLOOKUP(A516,'2011 - TB'!$A$3:$B$971,2,FALSE)</f>
        <v xml:space="preserve">                               -  </v>
      </c>
      <c r="D516" s="2118">
        <v>0</v>
      </c>
      <c r="E516" s="2118">
        <v>0</v>
      </c>
      <c r="F516" s="2118">
        <v>0</v>
      </c>
      <c r="G516" s="2118">
        <f t="shared" si="18"/>
        <v>0</v>
      </c>
      <c r="H516" s="2640">
        <f>SUMIF('Original Budget'!$A$1:$A$691,'Trial Balance - FPer'!A516,'Original Budget'!$C$1:$C$691)</f>
        <v>205.96</v>
      </c>
      <c r="I516" s="2640"/>
      <c r="J516" s="2119" t="s">
        <v>5941</v>
      </c>
      <c r="L516" s="2024" t="str">
        <f>VLOOKUP(A516,'2012 Budget'!$A$18:$B$2152,2,FALSE)</f>
        <v>Inventory (tool</v>
      </c>
    </row>
    <row r="517" spans="1:12" s="2024" customFormat="1" x14ac:dyDescent="0.2">
      <c r="A517" s="2116" t="s">
        <v>5535</v>
      </c>
      <c r="B517" s="2117" t="s">
        <v>4873</v>
      </c>
      <c r="C517" s="2109">
        <v>0</v>
      </c>
      <c r="D517" s="2118">
        <v>0</v>
      </c>
      <c r="E517" s="2118">
        <v>0</v>
      </c>
      <c r="F517" s="2118">
        <v>0</v>
      </c>
      <c r="G517" s="2118">
        <f t="shared" si="18"/>
        <v>0</v>
      </c>
      <c r="H517" s="2640">
        <f>SUMIF('Original Budget'!$A$1:$A$691,'Trial Balance - FPer'!A517,'Original Budget'!$C$1:$C$691)</f>
        <v>0</v>
      </c>
      <c r="I517" s="2640"/>
      <c r="J517" s="2119" t="s">
        <v>5941</v>
      </c>
      <c r="L517" s="2024" t="str">
        <f>VLOOKUP(A517,'2012 Budget'!$A$18:$B$2152,2,FALSE)</f>
        <v>Inventory (tool</v>
      </c>
    </row>
    <row r="518" spans="1:12" s="2024" customFormat="1" x14ac:dyDescent="0.2">
      <c r="A518" s="2116" t="s">
        <v>5559</v>
      </c>
      <c r="B518" s="2117" t="s">
        <v>4873</v>
      </c>
      <c r="C518" s="2109" t="str">
        <f>VLOOKUP(A518,'2011 - TB'!$A$3:$B$971,2,FALSE)</f>
        <v xml:space="preserve">                               -  </v>
      </c>
      <c r="D518" s="2118">
        <v>0</v>
      </c>
      <c r="E518" s="2118">
        <v>0</v>
      </c>
      <c r="F518" s="2118">
        <v>0</v>
      </c>
      <c r="G518" s="2118">
        <f t="shared" si="18"/>
        <v>0</v>
      </c>
      <c r="H518" s="2640">
        <f>SUMIF('Original Budget'!$A$1:$A$691,'Trial Balance - FPer'!A518,'Original Budget'!$C$1:$C$691)</f>
        <v>4138.5200000000004</v>
      </c>
      <c r="I518" s="2640"/>
      <c r="J518" s="2119" t="s">
        <v>5941</v>
      </c>
      <c r="L518" s="2024" t="str">
        <f>VLOOKUP(A518,'2012 Budget'!$A$18:$B$2152,2,FALSE)</f>
        <v>Inventory (tool</v>
      </c>
    </row>
    <row r="519" spans="1:12" s="2024" customFormat="1" x14ac:dyDescent="0.2">
      <c r="A519" s="2116" t="s">
        <v>5615</v>
      </c>
      <c r="B519" s="2117" t="s">
        <v>4873</v>
      </c>
      <c r="C519" s="2109">
        <v>0</v>
      </c>
      <c r="D519" s="2118">
        <v>0</v>
      </c>
      <c r="E519" s="2118">
        <v>0</v>
      </c>
      <c r="F519" s="2118">
        <v>0</v>
      </c>
      <c r="G519" s="2118">
        <f t="shared" si="18"/>
        <v>0</v>
      </c>
      <c r="H519" s="2640">
        <f>SUMIF('Original Budget'!$A$1:$A$691,'Trial Balance - FPer'!A519,'Original Budget'!$C$1:$C$691)</f>
        <v>0</v>
      </c>
      <c r="I519" s="2640"/>
      <c r="J519" s="2119" t="s">
        <v>5941</v>
      </c>
      <c r="L519" s="2024" t="str">
        <f>VLOOKUP(A519,'2012 Budget'!$A$18:$B$2152,2,FALSE)</f>
        <v>Inventory (tool</v>
      </c>
    </row>
    <row r="520" spans="1:12" s="2024" customFormat="1" x14ac:dyDescent="0.2">
      <c r="A520" s="2116" t="s">
        <v>5654</v>
      </c>
      <c r="B520" s="2117" t="s">
        <v>4873</v>
      </c>
      <c r="C520" s="2109">
        <v>0</v>
      </c>
      <c r="D520" s="2118">
        <v>0</v>
      </c>
      <c r="E520" s="2118">
        <v>0</v>
      </c>
      <c r="F520" s="2118">
        <v>0</v>
      </c>
      <c r="G520" s="2118">
        <f t="shared" si="18"/>
        <v>0</v>
      </c>
      <c r="H520" s="2640">
        <f>SUMIF('Original Budget'!$A$1:$A$691,'Trial Balance - FPer'!A520,'Original Budget'!$C$1:$C$691)</f>
        <v>0</v>
      </c>
      <c r="I520" s="2640"/>
      <c r="J520" s="2119" t="s">
        <v>5941</v>
      </c>
      <c r="L520" s="2024" t="str">
        <f>VLOOKUP(A520,'2012 Budget'!$A$18:$B$2152,2,FALSE)</f>
        <v>Material &amp; Stor</v>
      </c>
    </row>
    <row r="521" spans="1:12" s="2024" customFormat="1" x14ac:dyDescent="0.2">
      <c r="A521" s="2116" t="s">
        <v>5692</v>
      </c>
      <c r="B521" s="2117" t="s">
        <v>4873</v>
      </c>
      <c r="C521" s="2109">
        <f>VLOOKUP(A521,'2011 - TB'!$A$3:$B$971,2,FALSE)</f>
        <v>0</v>
      </c>
      <c r="D521" s="2118">
        <v>0</v>
      </c>
      <c r="E521" s="2118">
        <f>VLOOKUP(A521,'2012 - TB'!$A$3:$H$733,5,FALSE)</f>
        <v>0</v>
      </c>
      <c r="F521" s="2118">
        <f>VLOOKUP(A521,'2012 - TB'!$A$3:$H$733,6,FALSE)</f>
        <v>0</v>
      </c>
      <c r="G521" s="2118">
        <f t="shared" si="18"/>
        <v>0</v>
      </c>
      <c r="H521" s="2640">
        <f>SUMIF('Original Budget'!$A$1:$A$691,'Trial Balance - FPer'!A521,'Original Budget'!$C$1:$C$691)</f>
        <v>6604.27</v>
      </c>
      <c r="I521" s="2640">
        <f>VLOOKUP(A521,'2012 - TB'!$A$3:$C$733,3,FALSE)</f>
        <v>24529.7</v>
      </c>
      <c r="J521" s="2119" t="s">
        <v>5941</v>
      </c>
      <c r="L521" s="2024" t="str">
        <f>VLOOKUP(A521,'2012 Budget'!$A$18:$B$2152,2,FALSE)</f>
        <v>Inventory (tool</v>
      </c>
    </row>
    <row r="522" spans="1:12" s="2024" customFormat="1" x14ac:dyDescent="0.2">
      <c r="A522" s="2116" t="s">
        <v>5750</v>
      </c>
      <c r="B522" s="2117" t="s">
        <v>4873</v>
      </c>
      <c r="C522" s="2109">
        <f>VLOOKUP(A522,'2011 - TB'!$A$3:$B$971,2,FALSE)</f>
        <v>0</v>
      </c>
      <c r="D522" s="2118">
        <v>0</v>
      </c>
      <c r="E522" s="2118">
        <f>VLOOKUP(A522,'2012 - TB'!$A$3:$H$733,5,FALSE)</f>
        <v>0</v>
      </c>
      <c r="F522" s="2118">
        <f>VLOOKUP(A522,'2012 - TB'!$A$3:$H$733,6,FALSE)</f>
        <v>0</v>
      </c>
      <c r="G522" s="2118">
        <f t="shared" si="18"/>
        <v>0</v>
      </c>
      <c r="H522" s="2640">
        <f>SUMIF('Original Budget'!$A$1:$A$691,'Trial Balance - FPer'!A522,'Original Budget'!$C$1:$C$691)</f>
        <v>31695.25</v>
      </c>
      <c r="I522" s="2640">
        <f>VLOOKUP(A522,'2012 - TB'!$A$3:$C$733,3,FALSE)</f>
        <v>15000</v>
      </c>
      <c r="J522" s="2119" t="s">
        <v>5941</v>
      </c>
      <c r="L522" s="2024" t="str">
        <f>VLOOKUP(A522,'2012 Budget'!$A$18:$B$2152,2,FALSE)</f>
        <v>Inventory (tool</v>
      </c>
    </row>
    <row r="523" spans="1:12" s="2024" customFormat="1" x14ac:dyDescent="0.2">
      <c r="A523" s="2116" t="s">
        <v>5801</v>
      </c>
      <c r="B523" s="2117" t="s">
        <v>4873</v>
      </c>
      <c r="C523" s="2109">
        <f>VLOOKUP(A523,'2011 - TB'!$A$3:$B$971,2,FALSE)</f>
        <v>0</v>
      </c>
      <c r="D523" s="2118">
        <v>0</v>
      </c>
      <c r="E523" s="2118">
        <f>VLOOKUP(A523,'2012 - TB'!$A$3:$H$733,5,FALSE)</f>
        <v>0</v>
      </c>
      <c r="F523" s="2118">
        <f>VLOOKUP(A523,'2012 - TB'!$A$3:$H$733,6,FALSE)</f>
        <v>0</v>
      </c>
      <c r="G523" s="2118">
        <f t="shared" si="18"/>
        <v>0</v>
      </c>
      <c r="H523" s="2640">
        <f>SUMIF('Original Budget'!$A$1:$A$691,'Trial Balance - FPer'!A523,'Original Budget'!$C$1:$C$691)</f>
        <v>18205.09</v>
      </c>
      <c r="I523" s="2640">
        <f>VLOOKUP(A523,'2012 - TB'!$A$3:$C$733,3,FALSE)</f>
        <v>10050.48</v>
      </c>
      <c r="J523" s="2119" t="s">
        <v>5941</v>
      </c>
      <c r="L523" s="2024" t="str">
        <f>VLOOKUP(A523,'2012 Budget'!$A$18:$B$2152,2,FALSE)</f>
        <v>Inventory (tool</v>
      </c>
    </row>
    <row r="524" spans="1:12" s="2024" customFormat="1" x14ac:dyDescent="0.2">
      <c r="A524" s="2116" t="s">
        <v>5856</v>
      </c>
      <c r="B524" s="2117" t="s">
        <v>4873</v>
      </c>
      <c r="C524" s="2109">
        <f>VLOOKUP(A524,'2011 - TB'!$A$3:$B$971,2,FALSE)</f>
        <v>0</v>
      </c>
      <c r="D524" s="2118">
        <v>0</v>
      </c>
      <c r="E524" s="2118">
        <f>VLOOKUP(A524,'2012 - TB'!$A$3:$H$733,5,FALSE)</f>
        <v>0</v>
      </c>
      <c r="F524" s="2118">
        <f>VLOOKUP(A524,'2012 - TB'!$A$3:$H$733,6,FALSE)</f>
        <v>0</v>
      </c>
      <c r="G524" s="2118">
        <f t="shared" si="18"/>
        <v>0</v>
      </c>
      <c r="H524" s="2640">
        <f>SUMIF('Original Budget'!$A$1:$A$691,'Trial Balance - FPer'!A524,'Original Budget'!$C$1:$C$691)</f>
        <v>18690.21</v>
      </c>
      <c r="I524" s="2640">
        <f>VLOOKUP(A524,'2012 - TB'!$A$3:$C$733,3,FALSE)</f>
        <v>50000</v>
      </c>
      <c r="J524" s="2119" t="s">
        <v>5941</v>
      </c>
      <c r="L524" s="2024" t="str">
        <f>VLOOKUP(A524,'2012 Budget'!$A$18:$B$2152,2,FALSE)</f>
        <v>Inventory (tool</v>
      </c>
    </row>
    <row r="525" spans="1:12" s="2024" customFormat="1" ht="13.5" thickBot="1" x14ac:dyDescent="0.25">
      <c r="A525" s="2116" t="s">
        <v>5913</v>
      </c>
      <c r="B525" s="2117" t="s">
        <v>4873</v>
      </c>
      <c r="C525" s="2109">
        <f>VLOOKUP(A525,'2011 - TB'!$A$3:$B$971,2,FALSE)</f>
        <v>0</v>
      </c>
      <c r="D525" s="2118">
        <v>0</v>
      </c>
      <c r="E525" s="2118">
        <f>VLOOKUP(A525,'2012 - TB'!$A$3:$H$733,5,FALSE)</f>
        <v>0</v>
      </c>
      <c r="F525" s="2118">
        <f>VLOOKUP(A525,'2012 - TB'!$A$3:$H$733,6,FALSE)</f>
        <v>0</v>
      </c>
      <c r="G525" s="2118">
        <f t="shared" si="18"/>
        <v>0</v>
      </c>
      <c r="H525" s="2640">
        <f>SUMIF('Original Budget'!$A$1:$A$691,'Trial Balance - FPer'!A525,'Original Budget'!$C$1:$C$691)</f>
        <v>16956.5</v>
      </c>
      <c r="I525" s="2640">
        <f>VLOOKUP(A525,'2012 - TB'!$A$3:$C$733,3,FALSE)</f>
        <v>16956.5</v>
      </c>
      <c r="J525" s="2119" t="s">
        <v>5941</v>
      </c>
      <c r="L525" s="2024" t="str">
        <f>VLOOKUP(A525,'2012 Budget'!$A$18:$B$2152,2,FALSE)</f>
        <v>Inventory (tool</v>
      </c>
    </row>
    <row r="526" spans="1:12" s="2024" customFormat="1" x14ac:dyDescent="0.2">
      <c r="A526" s="2111" t="s">
        <v>4874</v>
      </c>
      <c r="B526" s="2112" t="s">
        <v>4875</v>
      </c>
      <c r="C526" s="2113">
        <f>VLOOKUP(A526,'2011 - TB'!$A$3:$B$971,2,FALSE)</f>
        <v>53670.27</v>
      </c>
      <c r="D526" s="2114">
        <v>0</v>
      </c>
      <c r="E526" s="2114">
        <f>VLOOKUP(A526,'2012 - TB'!$A$3:$H$733,5,FALSE)</f>
        <v>72164.47</v>
      </c>
      <c r="F526" s="2114">
        <f>VLOOKUP(A526,'2012 - TB'!$A$3:$H$733,6,FALSE)</f>
        <v>-11096.1</v>
      </c>
      <c r="G526" s="2114">
        <f t="shared" si="18"/>
        <v>61068.37</v>
      </c>
      <c r="H526" s="2640">
        <f>SUMIF('Original Budget'!$A$1:$A$691,'Trial Balance - FPer'!A526,'Original Budget'!$C$1:$C$691)</f>
        <v>20000</v>
      </c>
      <c r="I526" s="2640">
        <f>VLOOKUP(A526,'2012 - TB'!$A$3:$C$733,3,FALSE)</f>
        <v>19902</v>
      </c>
      <c r="J526" s="2115" t="s">
        <v>5938</v>
      </c>
      <c r="L526" s="2024" t="str">
        <f>VLOOKUP(A526,'2012 Budget'!$A$18:$B$2152,2,FALSE)</f>
        <v>Entertainment;</v>
      </c>
    </row>
    <row r="527" spans="1:12" s="2024" customFormat="1" x14ac:dyDescent="0.2">
      <c r="A527" s="2116" t="s">
        <v>4925</v>
      </c>
      <c r="B527" s="2117" t="s">
        <v>4875</v>
      </c>
      <c r="C527" s="2109">
        <f>VLOOKUP(A527,'2011 - TB'!$A$3:$B$971,2,FALSE)</f>
        <v>6271.29</v>
      </c>
      <c r="D527" s="2118">
        <v>0</v>
      </c>
      <c r="E527" s="2118">
        <f>VLOOKUP(A527,'2012 - TB'!$A$3:$H$733,5,FALSE)</f>
        <v>87322.66</v>
      </c>
      <c r="F527" s="2118">
        <f>VLOOKUP(A527,'2012 - TB'!$A$3:$H$733,6,FALSE)</f>
        <v>0</v>
      </c>
      <c r="G527" s="2118">
        <f t="shared" si="18"/>
        <v>87322.66</v>
      </c>
      <c r="H527" s="2640">
        <f>SUMIF('Original Budget'!$A$1:$A$691,'Trial Balance - FPer'!A527,'Original Budget'!$C$1:$C$691)</f>
        <v>3088.08</v>
      </c>
      <c r="I527" s="2640">
        <f>VLOOKUP(A527,'2012 - TB'!$A$3:$C$733,3,FALSE)</f>
        <v>12346.38</v>
      </c>
      <c r="J527" s="2119" t="s">
        <v>5938</v>
      </c>
      <c r="L527" s="2024" t="str">
        <f>VLOOKUP(A527,'2012 Budget'!$A$18:$B$2152,2,FALSE)</f>
        <v>Entertainment;</v>
      </c>
    </row>
    <row r="528" spans="1:12" s="2024" customFormat="1" x14ac:dyDescent="0.2">
      <c r="A528" s="2116" t="s">
        <v>5026</v>
      </c>
      <c r="B528" s="2117" t="s">
        <v>4875</v>
      </c>
      <c r="C528" s="2109">
        <f>VLOOKUP(A528,'2011 - TB'!$A$3:$B$971,2,FALSE)</f>
        <v>6554.7</v>
      </c>
      <c r="D528" s="2118">
        <v>0</v>
      </c>
      <c r="E528" s="2118">
        <f>VLOOKUP(A528,'2012 - TB'!$A$3:$H$733,5,FALSE)</f>
        <v>2521.34</v>
      </c>
      <c r="F528" s="2118">
        <f>VLOOKUP(A528,'2012 - TB'!$A$3:$H$733,6,FALSE)</f>
        <v>0</v>
      </c>
      <c r="G528" s="2118">
        <f t="shared" si="18"/>
        <v>2521.34</v>
      </c>
      <c r="H528" s="2640">
        <f>SUMIF('Original Budget'!$A$1:$A$691,'Trial Balance - FPer'!A528,'Original Budget'!$C$1:$C$691)</f>
        <v>191.53</v>
      </c>
      <c r="I528" s="2640">
        <f>VLOOKUP(A528,'2012 - TB'!$A$3:$C$733,3,FALSE)</f>
        <v>3915</v>
      </c>
      <c r="J528" s="2119" t="s">
        <v>5938</v>
      </c>
      <c r="L528" s="2024" t="str">
        <f>VLOOKUP(A528,'2012 Budget'!$A$18:$B$2152,2,FALSE)</f>
        <v>Entertainment;</v>
      </c>
    </row>
    <row r="529" spans="1:12" s="2024" customFormat="1" x14ac:dyDescent="0.2">
      <c r="A529" s="2116" t="s">
        <v>5275</v>
      </c>
      <c r="B529" s="2117" t="s">
        <v>4875</v>
      </c>
      <c r="C529" s="2109">
        <f>VLOOKUP(A529,'2011 - TB'!$A$3:$B$971,2,FALSE)</f>
        <v>31845.8</v>
      </c>
      <c r="D529" s="2118">
        <v>0</v>
      </c>
      <c r="E529" s="2118">
        <f>VLOOKUP(A529,'2012 - TB'!$A$3:$H$733,5,FALSE)</f>
        <v>1203.0899999999999</v>
      </c>
      <c r="F529" s="2118">
        <f>VLOOKUP(A529,'2012 - TB'!$A$3:$H$733,6,FALSE)</f>
        <v>0</v>
      </c>
      <c r="G529" s="2118">
        <f t="shared" si="18"/>
        <v>1203.0899999999999</v>
      </c>
      <c r="H529" s="2640">
        <f>SUMIF('Original Budget'!$A$1:$A$691,'Trial Balance - FPer'!A529,'Original Budget'!$C$1:$C$691)</f>
        <v>2067.98</v>
      </c>
      <c r="I529" s="2640">
        <f>VLOOKUP(A529,'2012 - TB'!$A$3:$C$733,3,FALSE)</f>
        <v>2067.98</v>
      </c>
      <c r="J529" s="2119" t="s">
        <v>5938</v>
      </c>
      <c r="L529" s="2024" t="str">
        <f>VLOOKUP(A529,'2012 Budget'!$A$18:$B$2152,2,FALSE)</f>
        <v>Entertainment;</v>
      </c>
    </row>
    <row r="530" spans="1:12" s="2024" customFormat="1" x14ac:dyDescent="0.2">
      <c r="A530" s="2116" t="s">
        <v>5276</v>
      </c>
      <c r="B530" s="2117" t="s">
        <v>4875</v>
      </c>
      <c r="C530" s="2109">
        <f>VLOOKUP(A530,'2011 - TB'!$A$3:$B$971,2,FALSE)</f>
        <v>0</v>
      </c>
      <c r="D530" s="2118">
        <v>0</v>
      </c>
      <c r="E530" s="2118">
        <v>0</v>
      </c>
      <c r="F530" s="2118">
        <v>0</v>
      </c>
      <c r="G530" s="2118">
        <f t="shared" si="18"/>
        <v>0</v>
      </c>
      <c r="H530" s="2640">
        <f>SUMIF('Original Budget'!$A$1:$A$691,'Trial Balance - FPer'!A530,'Original Budget'!$C$1:$C$691)</f>
        <v>0</v>
      </c>
      <c r="I530" s="2640"/>
      <c r="J530" s="2119" t="s">
        <v>5938</v>
      </c>
      <c r="L530" s="2024" t="str">
        <f>VLOOKUP(A530,'2012 Budget'!$A$18:$B$2152,2,FALSE)</f>
        <v>Entertainment;</v>
      </c>
    </row>
    <row r="531" spans="1:12" s="2024" customFormat="1" x14ac:dyDescent="0.2">
      <c r="A531" s="2116" t="s">
        <v>5472</v>
      </c>
      <c r="B531" s="2117" t="s">
        <v>4875</v>
      </c>
      <c r="C531" s="2109">
        <f>VLOOKUP(A531,'2011 - TB'!$A$3:$B$971,2,FALSE)</f>
        <v>3684.21</v>
      </c>
      <c r="D531" s="2118">
        <v>0</v>
      </c>
      <c r="E531" s="2118">
        <f>VLOOKUP(A531,'2012 - TB'!$A$3:$H$733,5,FALSE)</f>
        <v>769.25</v>
      </c>
      <c r="F531" s="2118">
        <f>VLOOKUP(A531,'2012 - TB'!$A$3:$H$733,6,FALSE)</f>
        <v>0</v>
      </c>
      <c r="G531" s="2118">
        <f t="shared" si="18"/>
        <v>769.25</v>
      </c>
      <c r="H531" s="2640">
        <f>SUMIF('Original Budget'!$A$1:$A$691,'Trial Balance - FPer'!A531,'Original Budget'!$C$1:$C$691)</f>
        <v>8105.26</v>
      </c>
      <c r="I531" s="2640">
        <f>VLOOKUP(A531,'2012 - TB'!$A$3:$C$733,3,FALSE)</f>
        <v>2868.05</v>
      </c>
      <c r="J531" s="2119" t="s">
        <v>5938</v>
      </c>
      <c r="L531" s="2024" t="str">
        <f>VLOOKUP(A531,'2012 Budget'!$A$18:$B$2152,2,FALSE)</f>
        <v>Entertainment;</v>
      </c>
    </row>
    <row r="532" spans="1:12" s="2024" customFormat="1" x14ac:dyDescent="0.2">
      <c r="A532" s="2116" t="s">
        <v>5536</v>
      </c>
      <c r="B532" s="2117" t="s">
        <v>4875</v>
      </c>
      <c r="C532" s="2109">
        <v>0</v>
      </c>
      <c r="D532" s="2118">
        <v>0</v>
      </c>
      <c r="E532" s="2118">
        <v>0</v>
      </c>
      <c r="F532" s="2118">
        <v>0</v>
      </c>
      <c r="G532" s="2118">
        <f t="shared" si="18"/>
        <v>0</v>
      </c>
      <c r="H532" s="2640">
        <f>SUMIF('Original Budget'!$A$1:$A$691,'Trial Balance - FPer'!A532,'Original Budget'!$C$1:$C$691)</f>
        <v>0</v>
      </c>
      <c r="I532" s="2640"/>
      <c r="J532" s="2119" t="s">
        <v>5938</v>
      </c>
      <c r="L532" s="2024" t="str">
        <f>VLOOKUP(A532,'2012 Budget'!$A$18:$B$2152,2,FALSE)</f>
        <v>Entertainment;</v>
      </c>
    </row>
    <row r="533" spans="1:12" s="2024" customFormat="1" x14ac:dyDescent="0.2">
      <c r="A533" s="2116" t="s">
        <v>5857</v>
      </c>
      <c r="B533" s="2117" t="s">
        <v>4875</v>
      </c>
      <c r="C533" s="2109">
        <f>VLOOKUP(A533,'2011 - TB'!$A$3:$B$971,2,FALSE)</f>
        <v>20.309999999999999</v>
      </c>
      <c r="D533" s="2118">
        <v>0</v>
      </c>
      <c r="E533" s="2118">
        <v>0</v>
      </c>
      <c r="F533" s="2118">
        <v>0</v>
      </c>
      <c r="G533" s="2118">
        <f t="shared" si="18"/>
        <v>0</v>
      </c>
      <c r="H533" s="2640">
        <f>SUMIF('Original Budget'!$A$1:$A$691,'Trial Balance - FPer'!A533,'Original Budget'!$C$1:$C$691)</f>
        <v>0</v>
      </c>
      <c r="I533" s="2640"/>
      <c r="J533" s="2119" t="s">
        <v>5938</v>
      </c>
      <c r="L533" s="2024" t="str">
        <f>VLOOKUP(A533,'2012 Budget'!$A$18:$B$2152,2,FALSE)</f>
        <v>Entertainment;</v>
      </c>
    </row>
    <row r="534" spans="1:12" s="2024" customFormat="1" x14ac:dyDescent="0.2">
      <c r="A534" s="2116" t="s">
        <v>4858</v>
      </c>
      <c r="B534" s="2117" t="s">
        <v>4859</v>
      </c>
      <c r="C534" s="2109">
        <f>VLOOKUP(A534,'2011 - TB'!$A$3:$B$971,2,FALSE)</f>
        <v>38314.15</v>
      </c>
      <c r="D534" s="2118">
        <v>0</v>
      </c>
      <c r="E534" s="2118">
        <f>VLOOKUP(A534,'2012 - TB'!$A$3:$H$733,5,FALSE)</f>
        <v>21751.54</v>
      </c>
      <c r="F534" s="2118">
        <f>VLOOKUP(A534,'2012 - TB'!$A$3:$H$733,6,FALSE)</f>
        <v>0</v>
      </c>
      <c r="G534" s="2118">
        <f t="shared" si="18"/>
        <v>21751.54</v>
      </c>
      <c r="H534" s="2640">
        <f>SUMIF('Original Budget'!$A$1:$A$691,'Trial Balance - FPer'!A534,'Original Budget'!$C$1:$C$691)</f>
        <v>27954.080000000002</v>
      </c>
      <c r="I534" s="2640">
        <f>VLOOKUP(A534,'2012 - TB'!$A$3:$C$733,3,FALSE)</f>
        <v>24230</v>
      </c>
      <c r="J534" s="2119" t="s">
        <v>5938</v>
      </c>
      <c r="L534" s="2024" t="str">
        <f>VLOOKUP(A534,'2012 Budget'!$A$18:$B$2152,2,FALSE)</f>
        <v>Mayor Entertain</v>
      </c>
    </row>
    <row r="535" spans="1:12" s="2024" customFormat="1" ht="13.5" thickBot="1" x14ac:dyDescent="0.25">
      <c r="A535" s="2120" t="s">
        <v>4886</v>
      </c>
      <c r="B535" s="2121" t="s">
        <v>4887</v>
      </c>
      <c r="C535" s="2122">
        <f>VLOOKUP(A535,'2011 - TB'!$A$3:$B$971,2,FALSE)</f>
        <v>1921.62</v>
      </c>
      <c r="D535" s="2123">
        <v>0</v>
      </c>
      <c r="E535" s="2123">
        <f>VLOOKUP(A535,'2012 - TB'!$A$3:$H$733,5,FALSE)</f>
        <v>7528.25</v>
      </c>
      <c r="F535" s="2123">
        <f>VLOOKUP(A535,'2012 - TB'!$A$3:$H$733,6,FALSE)</f>
        <v>0</v>
      </c>
      <c r="G535" s="2123">
        <f t="shared" si="18"/>
        <v>7528.25</v>
      </c>
      <c r="H535" s="2640">
        <f>SUMIF('Original Budget'!$A$1:$A$691,'Trial Balance - FPer'!A535,'Original Budget'!$C$1:$C$691)</f>
        <v>1017.96</v>
      </c>
      <c r="I535" s="2640">
        <f>VLOOKUP(A535,'2012 - TB'!$A$3:$C$733,3,FALSE)</f>
        <v>1017.96</v>
      </c>
      <c r="J535" s="2124" t="s">
        <v>5938</v>
      </c>
      <c r="L535" s="2024" t="str">
        <f>VLOOKUP(A535,'2012 Budget'!$A$18:$B$2152,2,FALSE)</f>
        <v>Refreshments;</v>
      </c>
    </row>
    <row r="536" spans="1:12" s="2024" customFormat="1" ht="13.5" thickBot="1" x14ac:dyDescent="0.25">
      <c r="A536" s="2116" t="s">
        <v>4997</v>
      </c>
      <c r="B536" s="2117" t="s">
        <v>4998</v>
      </c>
      <c r="C536" s="2109">
        <f>VLOOKUP(A536,'2011 - TB'!$A$3:$B$971,2,FALSE)</f>
        <v>19314.670000000042</v>
      </c>
      <c r="D536" s="2118">
        <v>0</v>
      </c>
      <c r="E536" s="2118">
        <f>VLOOKUP(A536,'2012 - TB'!$A$3:$H$733,5,FALSE)</f>
        <v>302312.88</v>
      </c>
      <c r="F536" s="2118">
        <f>VLOOKUP(A536,'2012 - TB'!$A$3:$H$733,6,FALSE)</f>
        <v>-207504.93</v>
      </c>
      <c r="G536" s="2118">
        <f t="shared" si="18"/>
        <v>94807.950000000012</v>
      </c>
      <c r="H536" s="2640">
        <f>SUMIF('Original Budget'!$A$1:$A$691,'Trial Balance - FPer'!A536,'Original Budget'!$C$1:$C$691)</f>
        <v>3753.64</v>
      </c>
      <c r="I536" s="2640">
        <f>VLOOKUP(A536,'2012 - TB'!$A$3:$C$733,3,FALSE)</f>
        <v>331527.36</v>
      </c>
      <c r="J536" s="2119" t="s">
        <v>5954</v>
      </c>
      <c r="L536" s="2024" t="str">
        <f>VLOOKUP(A536,'2012 Budget'!$A$18:$B$2152,2,FALSE)</f>
        <v>Fines &amp; Penalti</v>
      </c>
    </row>
    <row r="537" spans="1:12" s="2024" customFormat="1" x14ac:dyDescent="0.2">
      <c r="A537" s="2111" t="s">
        <v>4888</v>
      </c>
      <c r="B537" s="2112" t="s">
        <v>4889</v>
      </c>
      <c r="C537" s="2113">
        <f>VLOOKUP(A537,'2011 - TB'!$A$3:$B$971,2,FALSE)</f>
        <v>13435</v>
      </c>
      <c r="D537" s="2114">
        <v>0</v>
      </c>
      <c r="E537" s="2114">
        <f>VLOOKUP(A537,'2012 - TB'!$A$3:$H$733,5,FALSE)</f>
        <v>5000</v>
      </c>
      <c r="F537" s="2114">
        <f>VLOOKUP(A537,'2012 - TB'!$A$3:$H$733,6,FALSE)</f>
        <v>0</v>
      </c>
      <c r="G537" s="2114">
        <f t="shared" si="18"/>
        <v>5000</v>
      </c>
      <c r="H537" s="2640">
        <f>SUMIF('Original Budget'!$A$1:$A$691,'Trial Balance - FPer'!A537,'Original Budget'!$C$1:$C$691)</f>
        <v>2018.91</v>
      </c>
      <c r="I537" s="2640">
        <f>VLOOKUP(A537,'2012 - TB'!$A$3:$C$733,3,FALSE)</f>
        <v>2018.91</v>
      </c>
      <c r="J537" s="2115" t="s">
        <v>5944</v>
      </c>
      <c r="L537" s="2024" t="str">
        <f>VLOOKUP(A537,'2012 Budget'!$A$18:$B$2152,2,FALSE)</f>
        <v>Fuel &amp; Oil - Ve</v>
      </c>
    </row>
    <row r="538" spans="1:12" s="2024" customFormat="1" x14ac:dyDescent="0.2">
      <c r="A538" s="1283" t="s">
        <v>5038</v>
      </c>
      <c r="B538" s="2117" t="s">
        <v>4889</v>
      </c>
      <c r="C538" s="2109">
        <f>VLOOKUP(A538,'2011 - TB'!$A$3:$B$971,2,FALSE)</f>
        <v>1512997.88</v>
      </c>
      <c r="D538" s="2118">
        <v>0</v>
      </c>
      <c r="E538" s="2118">
        <f>VLOOKUP(A538,'2012 - TB'!$A$3:$H$733,5,FALSE)</f>
        <v>1322034.3400000001</v>
      </c>
      <c r="F538" s="2118">
        <f>VLOOKUP(A538,'2012 - TB'!$A$3:$H$733,6,FALSE)</f>
        <v>-16453.12</v>
      </c>
      <c r="G538" s="2118">
        <f t="shared" si="18"/>
        <v>1305581.22</v>
      </c>
      <c r="H538" s="2640">
        <f>SUMIF('Original Budget'!$A$1:$A$691,'Trial Balance - FPer'!A538,'Original Budget'!$C$1:$C$691)</f>
        <v>800000</v>
      </c>
      <c r="I538" s="2640">
        <f>VLOOKUP(A538,'2012 - TB'!$A$3:$C$733,3,FALSE)</f>
        <v>1200000</v>
      </c>
      <c r="J538" s="2119" t="s">
        <v>5944</v>
      </c>
      <c r="L538" s="2024" t="str">
        <f>VLOOKUP(A538,'2012 Budget'!$A$18:$B$2152,2,FALSE)</f>
        <v>Fuel &amp; Oil - Ve</v>
      </c>
    </row>
    <row r="539" spans="1:12" s="2024" customFormat="1" x14ac:dyDescent="0.2">
      <c r="A539" s="2116" t="s">
        <v>5149</v>
      </c>
      <c r="B539" s="2117" t="s">
        <v>4889</v>
      </c>
      <c r="C539" s="2109">
        <f>VLOOKUP(A539,'2011 - TB'!$A$3:$B$971,2,FALSE)</f>
        <v>7130.32</v>
      </c>
      <c r="D539" s="2118">
        <v>0</v>
      </c>
      <c r="E539" s="2118">
        <v>0</v>
      </c>
      <c r="F539" s="2118">
        <v>0</v>
      </c>
      <c r="G539" s="2118">
        <f t="shared" si="18"/>
        <v>0</v>
      </c>
      <c r="H539" s="2640">
        <f>SUMIF('Original Budget'!$A$1:$A$691,'Trial Balance - FPer'!A539,'Original Budget'!$C$1:$C$691)</f>
        <v>10463.700000000001</v>
      </c>
      <c r="I539" s="2640"/>
      <c r="J539" s="2119" t="s">
        <v>5944</v>
      </c>
      <c r="L539" s="2024" t="str">
        <f>VLOOKUP(A539,'2012 Budget'!$A$18:$B$2152,2,FALSE)</f>
        <v>Fuel &amp; Oil - Ve</v>
      </c>
    </row>
    <row r="540" spans="1:12" s="2024" customFormat="1" x14ac:dyDescent="0.2">
      <c r="A540" s="2116" t="s">
        <v>5289</v>
      </c>
      <c r="B540" s="2117" t="s">
        <v>4889</v>
      </c>
      <c r="C540" s="2109">
        <f>VLOOKUP(A540,'2011 - TB'!$A$3:$B$971,2,FALSE)</f>
        <v>0</v>
      </c>
      <c r="D540" s="2118">
        <v>0</v>
      </c>
      <c r="E540" s="2118">
        <v>0</v>
      </c>
      <c r="F540" s="2118">
        <v>0</v>
      </c>
      <c r="G540" s="2118">
        <f t="shared" si="18"/>
        <v>0</v>
      </c>
      <c r="H540" s="2640">
        <f>SUMIF('Original Budget'!$A$1:$A$691,'Trial Balance - FPer'!A540,'Original Budget'!$C$1:$C$691)</f>
        <v>0</v>
      </c>
      <c r="I540" s="2640"/>
      <c r="J540" s="2119" t="s">
        <v>5944</v>
      </c>
      <c r="L540" s="2024" t="str">
        <f>VLOOKUP(A540,'2012 Budget'!$A$18:$B$2152,2,FALSE)</f>
        <v>Fuel &amp; Oil - Ve</v>
      </c>
    </row>
    <row r="541" spans="1:12" s="2024" customFormat="1" x14ac:dyDescent="0.2">
      <c r="A541" s="2116" t="s">
        <v>5350</v>
      </c>
      <c r="B541" s="2117" t="s">
        <v>4889</v>
      </c>
      <c r="C541" s="2109">
        <f>VLOOKUP(A541,'2011 - TB'!$A$3:$B$971,2,FALSE)</f>
        <v>0</v>
      </c>
      <c r="D541" s="2118">
        <v>0</v>
      </c>
      <c r="E541" s="2118">
        <v>0</v>
      </c>
      <c r="F541" s="2118">
        <v>0</v>
      </c>
      <c r="G541" s="2118">
        <f t="shared" si="18"/>
        <v>0</v>
      </c>
      <c r="H541" s="2640">
        <f>SUMIF('Original Budget'!$A$1:$A$691,'Trial Balance - FPer'!A541,'Original Budget'!$C$1:$C$691)</f>
        <v>0</v>
      </c>
      <c r="I541" s="2640"/>
      <c r="J541" s="2119" t="s">
        <v>5944</v>
      </c>
      <c r="L541" s="2024" t="str">
        <f>VLOOKUP(A541,'2012 Budget'!$A$18:$B$2152,2,FALSE)</f>
        <v>Fuel &amp; Oil - Ve</v>
      </c>
    </row>
    <row r="542" spans="1:12" s="2024" customFormat="1" x14ac:dyDescent="0.2">
      <c r="A542" s="2116" t="s">
        <v>5406</v>
      </c>
      <c r="B542" s="2117" t="s">
        <v>4889</v>
      </c>
      <c r="C542" s="2109">
        <v>0</v>
      </c>
      <c r="D542" s="2118">
        <v>0</v>
      </c>
      <c r="E542" s="2118">
        <v>0</v>
      </c>
      <c r="F542" s="2118">
        <v>0</v>
      </c>
      <c r="G542" s="2118">
        <f t="shared" si="18"/>
        <v>0</v>
      </c>
      <c r="H542" s="2640">
        <f>SUMIF('Original Budget'!$A$1:$A$691,'Trial Balance - FPer'!A542,'Original Budget'!$C$1:$C$691)</f>
        <v>0</v>
      </c>
      <c r="I542" s="2640"/>
      <c r="J542" s="2119" t="s">
        <v>5944</v>
      </c>
      <c r="L542" s="2024" t="str">
        <f>VLOOKUP(A542,'2012 Budget'!$A$18:$B$2152,2,FALSE)</f>
        <v>Fuel &amp; Oil - Ve</v>
      </c>
    </row>
    <row r="543" spans="1:12" s="2024" customFormat="1" x14ac:dyDescent="0.2">
      <c r="A543" s="2116" t="s">
        <v>5542</v>
      </c>
      <c r="B543" s="2117" t="s">
        <v>4889</v>
      </c>
      <c r="C543" s="2109">
        <v>0</v>
      </c>
      <c r="D543" s="2118">
        <v>0</v>
      </c>
      <c r="E543" s="2118">
        <v>0</v>
      </c>
      <c r="F543" s="2118">
        <v>0</v>
      </c>
      <c r="G543" s="2118">
        <f t="shared" si="18"/>
        <v>0</v>
      </c>
      <c r="H543" s="2640">
        <f>SUMIF('Original Budget'!$A$1:$A$691,'Trial Balance - FPer'!A543,'Original Budget'!$C$1:$C$691)</f>
        <v>0</v>
      </c>
      <c r="I543" s="2640"/>
      <c r="J543" s="2119" t="s">
        <v>5944</v>
      </c>
      <c r="L543" s="2024" t="str">
        <f>VLOOKUP(A543,'2012 Budget'!$A$18:$B$2152,2,FALSE)</f>
        <v>Fuel &amp; Oil - Ve</v>
      </c>
    </row>
    <row r="544" spans="1:12" s="2024" customFormat="1" x14ac:dyDescent="0.2">
      <c r="A544" s="2116" t="s">
        <v>5620</v>
      </c>
      <c r="B544" s="2117" t="s">
        <v>4889</v>
      </c>
      <c r="C544" s="2109">
        <f>VLOOKUP(A544,'2011 - TB'!$A$3:$B$971,2,FALSE)</f>
        <v>7567.95</v>
      </c>
      <c r="D544" s="2118">
        <v>0</v>
      </c>
      <c r="E544" s="2118">
        <v>0</v>
      </c>
      <c r="F544" s="2118">
        <v>0</v>
      </c>
      <c r="G544" s="2118">
        <f t="shared" si="18"/>
        <v>0</v>
      </c>
      <c r="H544" s="2640">
        <f>SUMIF('Original Budget'!$A$1:$A$691,'Trial Balance - FPer'!A544,'Original Budget'!$C$1:$C$691)</f>
        <v>7912.59</v>
      </c>
      <c r="I544" s="2640"/>
      <c r="J544" s="2119" t="s">
        <v>5944</v>
      </c>
      <c r="L544" s="2024" t="str">
        <f>VLOOKUP(A544,'2012 Budget'!$A$18:$B$2152,2,FALSE)</f>
        <v>Fuel &amp; Oil - Ve</v>
      </c>
    </row>
    <row r="545" spans="1:12" s="2024" customFormat="1" x14ac:dyDescent="0.2">
      <c r="A545" s="2116" t="s">
        <v>5699</v>
      </c>
      <c r="B545" s="2117" t="s">
        <v>4889</v>
      </c>
      <c r="C545" s="2109">
        <f>VLOOKUP(A545,'2011 - TB'!$A$3:$B$971,2,FALSE)</f>
        <v>53576.69</v>
      </c>
      <c r="D545" s="2118">
        <v>0</v>
      </c>
      <c r="E545" s="2118">
        <f>VLOOKUP(A545,'2012 - TB'!$A$3:$H$733,5,FALSE)</f>
        <v>14783.72</v>
      </c>
      <c r="F545" s="2118">
        <f>VLOOKUP(A545,'2012 - TB'!$A$3:$H$733,6,FALSE)</f>
        <v>-4513.07</v>
      </c>
      <c r="G545" s="2118">
        <f t="shared" si="18"/>
        <v>10270.65</v>
      </c>
      <c r="H545" s="2640">
        <f>SUMIF('Original Budget'!$A$1:$A$691,'Trial Balance - FPer'!A545,'Original Budget'!$C$1:$C$691)</f>
        <v>484714.8</v>
      </c>
      <c r="I545" s="2640">
        <f>VLOOKUP(A545,'2012 - TB'!$A$3:$C$733,3,FALSE)</f>
        <v>65000</v>
      </c>
      <c r="J545" s="2119" t="s">
        <v>5944</v>
      </c>
      <c r="L545" s="2024" t="str">
        <f>VLOOKUP(A545,'2012 Budget'!$A$18:$B$2152,2,FALSE)</f>
        <v>Fuel &amp; Oil - Ve</v>
      </c>
    </row>
    <row r="546" spans="1:12" s="2024" customFormat="1" x14ac:dyDescent="0.2">
      <c r="A546" s="2116" t="s">
        <v>5757</v>
      </c>
      <c r="B546" s="2117" t="s">
        <v>4889</v>
      </c>
      <c r="C546" s="2109">
        <f>VLOOKUP(A546,'2011 - TB'!$A$3:$B$971,2,FALSE)</f>
        <v>11791.35</v>
      </c>
      <c r="D546" s="2118">
        <v>0</v>
      </c>
      <c r="E546" s="2118">
        <f>VLOOKUP(A546,'2012 - TB'!$A$3:$H$733,5,FALSE)</f>
        <v>9111.41</v>
      </c>
      <c r="F546" s="2118">
        <f>VLOOKUP(A546,'2012 - TB'!$A$3:$H$733,6,FALSE)</f>
        <v>0</v>
      </c>
      <c r="G546" s="2118">
        <f t="shared" si="18"/>
        <v>9111.41</v>
      </c>
      <c r="H546" s="2640">
        <f>SUMIF('Original Budget'!$A$1:$A$691,'Trial Balance - FPer'!A546,'Original Budget'!$C$1:$C$691)</f>
        <v>17477.830000000002</v>
      </c>
      <c r="I546" s="2640">
        <f>VLOOKUP(A546,'2012 - TB'!$A$3:$C$733,3,FALSE)</f>
        <v>17477.830000000002</v>
      </c>
      <c r="J546" s="2119" t="s">
        <v>5944</v>
      </c>
      <c r="L546" s="2024" t="str">
        <f>VLOOKUP(A546,'2012 Budget'!$A$18:$B$2152,2,FALSE)</f>
        <v>Fuel &amp; Oil - Ve</v>
      </c>
    </row>
    <row r="547" spans="1:12" s="2024" customFormat="1" x14ac:dyDescent="0.2">
      <c r="A547" s="2116" t="s">
        <v>5808</v>
      </c>
      <c r="B547" s="2117" t="s">
        <v>4889</v>
      </c>
      <c r="C547" s="2109">
        <f>VLOOKUP(A547,'2011 - TB'!$A$3:$B$971,2,FALSE)</f>
        <v>30668.09</v>
      </c>
      <c r="D547" s="2118">
        <v>0</v>
      </c>
      <c r="E547" s="2118">
        <f>VLOOKUP(A547,'2012 - TB'!$A$3:$H$733,5,FALSE)</f>
        <v>2370.56</v>
      </c>
      <c r="F547" s="2118">
        <f>VLOOKUP(A547,'2012 - TB'!$A$3:$H$733,6,FALSE)</f>
        <v>0</v>
      </c>
      <c r="G547" s="2118">
        <f t="shared" si="18"/>
        <v>2370.56</v>
      </c>
      <c r="H547" s="2640">
        <f>SUMIF('Original Budget'!$A$1:$A$691,'Trial Balance - FPer'!A547,'Original Budget'!$C$1:$C$691)</f>
        <v>39874.160000000003</v>
      </c>
      <c r="I547" s="2640">
        <f>VLOOKUP(A547,'2012 - TB'!$A$3:$C$733,3,FALSE)</f>
        <v>10000</v>
      </c>
      <c r="J547" s="2119" t="s">
        <v>5944</v>
      </c>
      <c r="L547" s="2024" t="str">
        <f>VLOOKUP(A547,'2012 Budget'!$A$18:$B$2152,2,FALSE)</f>
        <v>Fuel &amp; Oil - Ve</v>
      </c>
    </row>
    <row r="548" spans="1:12" s="2024" customFormat="1" x14ac:dyDescent="0.2">
      <c r="A548" s="2116" t="s">
        <v>5868</v>
      </c>
      <c r="B548" s="2117" t="s">
        <v>4889</v>
      </c>
      <c r="C548" s="2109">
        <f>VLOOKUP(A548,'2011 - TB'!$A$3:$B$971,2,FALSE)</f>
        <v>41984.62</v>
      </c>
      <c r="D548" s="2118">
        <v>0</v>
      </c>
      <c r="E548" s="2118">
        <f>VLOOKUP(A548,'2012 - TB'!$A$3:$H$733,5,FALSE)</f>
        <v>24275.9</v>
      </c>
      <c r="F548" s="2118">
        <f>VLOOKUP(A548,'2012 - TB'!$A$3:$H$733,6,FALSE)</f>
        <v>-646.79999999999995</v>
      </c>
      <c r="G548" s="2118">
        <f t="shared" si="18"/>
        <v>23629.100000000002</v>
      </c>
      <c r="H548" s="2640">
        <f>SUMIF('Original Budget'!$A$1:$A$691,'Trial Balance - FPer'!A548,'Original Budget'!$C$1:$C$691)</f>
        <v>51396.23</v>
      </c>
      <c r="I548" s="2640">
        <f>VLOOKUP(A548,'2012 - TB'!$A$3:$C$733,3,FALSE)</f>
        <v>10000</v>
      </c>
      <c r="J548" s="2119" t="s">
        <v>5944</v>
      </c>
      <c r="L548" s="2024" t="str">
        <f>VLOOKUP(A548,'2012 Budget'!$A$18:$B$2152,2,FALSE)</f>
        <v>Fuel &amp; Oil - Ve</v>
      </c>
    </row>
    <row r="549" spans="1:12" s="2024" customFormat="1" ht="13.5" thickBot="1" x14ac:dyDescent="0.25">
      <c r="A549" s="2120" t="s">
        <v>5917</v>
      </c>
      <c r="B549" s="2121" t="s">
        <v>4889</v>
      </c>
      <c r="C549" s="2122">
        <f>VLOOKUP(A549,'2011 - TB'!$A$3:$B$971,2,FALSE)</f>
        <v>28534.75</v>
      </c>
      <c r="D549" s="2123">
        <v>0</v>
      </c>
      <c r="E549" s="2123">
        <v>0</v>
      </c>
      <c r="F549" s="2123">
        <v>0</v>
      </c>
      <c r="G549" s="2123">
        <f t="shared" si="18"/>
        <v>0</v>
      </c>
      <c r="H549" s="2640">
        <f>SUMIF('Original Budget'!$A$1:$A$691,'Trial Balance - FPer'!A549,'Original Budget'!$C$1:$C$691)</f>
        <v>30817.53</v>
      </c>
      <c r="I549" s="2640"/>
      <c r="J549" s="2124" t="s">
        <v>5944</v>
      </c>
      <c r="L549" s="2024" t="str">
        <f>VLOOKUP(A549,'2012 Budget'!$A$18:$B$2152,2,FALSE)</f>
        <v>Fuel &amp; Oil - Ve</v>
      </c>
    </row>
    <row r="550" spans="1:12" s="2024" customFormat="1" x14ac:dyDescent="0.2">
      <c r="A550" s="2116" t="s">
        <v>4884</v>
      </c>
      <c r="B550" s="2117" t="s">
        <v>4885</v>
      </c>
      <c r="C550" s="2109">
        <v>0</v>
      </c>
      <c r="D550" s="2118">
        <v>0</v>
      </c>
      <c r="E550" s="2118">
        <v>0</v>
      </c>
      <c r="F550" s="2118">
        <v>0</v>
      </c>
      <c r="G550" s="2118">
        <f t="shared" si="18"/>
        <v>0</v>
      </c>
      <c r="H550" s="2640">
        <f>SUMIF('Original Budget'!$A$1:$A$691,'Trial Balance - FPer'!A550,'Original Budget'!$C$1:$C$691)</f>
        <v>0</v>
      </c>
      <c r="I550" s="2640"/>
      <c r="J550" s="2119" t="s">
        <v>5964</v>
      </c>
      <c r="L550" s="2024" t="str">
        <f>VLOOKUP(A550,'2012 Budget'!$A$18:$B$2152,2,FALSE)</f>
        <v>Insurance - Ext</v>
      </c>
    </row>
    <row r="551" spans="1:12" s="2024" customFormat="1" x14ac:dyDescent="0.2">
      <c r="A551" s="2116" t="s">
        <v>5037</v>
      </c>
      <c r="B551" s="2117" t="s">
        <v>4885</v>
      </c>
      <c r="C551" s="2109">
        <f>VLOOKUP(A551,'2011 - TB'!$A$3:$B$971,2,FALSE)</f>
        <v>-70984.28</v>
      </c>
      <c r="D551" s="2118">
        <v>0</v>
      </c>
      <c r="E551" s="2118">
        <f>VLOOKUP(A551,'2012 - TB'!$A$3:$H$733,5,FALSE)</f>
        <v>521441.35</v>
      </c>
      <c r="F551" s="2118">
        <f>VLOOKUP(A551,'2012 - TB'!$A$3:$H$733,6,FALSE)</f>
        <v>-89127.7</v>
      </c>
      <c r="G551" s="2118">
        <f t="shared" si="18"/>
        <v>432313.64999999997</v>
      </c>
      <c r="H551" s="2640">
        <f>SUMIF('Original Budget'!$A$1:$A$691,'Trial Balance - FPer'!A551,'Original Budget'!$C$1:$C$691)</f>
        <v>57552.2</v>
      </c>
      <c r="I551" s="2640">
        <f>VLOOKUP(A551,'2012 - TB'!$A$3:$C$733,3,FALSE)</f>
        <v>500000</v>
      </c>
      <c r="J551" s="2119" t="s">
        <v>5964</v>
      </c>
      <c r="L551" s="2024" t="str">
        <f>VLOOKUP(A551,'2012 Budget'!$A$18:$B$2152,2,FALSE)</f>
        <v>Insurance - Ext</v>
      </c>
    </row>
    <row r="552" spans="1:12" s="2024" customFormat="1" x14ac:dyDescent="0.2">
      <c r="A552" s="2116" t="s">
        <v>5163</v>
      </c>
      <c r="B552" s="2117" t="s">
        <v>4885</v>
      </c>
      <c r="C552" s="2109">
        <f>VLOOKUP(A552,'2011 - TB'!$A$3:$B$971,2,FALSE)</f>
        <v>532617.54</v>
      </c>
      <c r="D552" s="2118">
        <v>0</v>
      </c>
      <c r="E552" s="2118">
        <v>0</v>
      </c>
      <c r="F552" s="2118">
        <v>0</v>
      </c>
      <c r="G552" s="2118">
        <f t="shared" si="18"/>
        <v>0</v>
      </c>
      <c r="H552" s="2640">
        <f>SUMIF('Original Budget'!$A$1:$A$691,'Trial Balance - FPer'!A552,'Original Budget'!$C$1:$C$691)</f>
        <v>200000</v>
      </c>
      <c r="I552" s="2640"/>
      <c r="J552" s="2119" t="s">
        <v>5964</v>
      </c>
      <c r="L552" s="2024" t="str">
        <f>VLOOKUP(A552,'2012 Budget'!$A$18:$B$2152,2,FALSE)</f>
        <v>Insurance - Ext</v>
      </c>
    </row>
    <row r="553" spans="1:12" s="2024" customFormat="1" x14ac:dyDescent="0.2">
      <c r="A553" s="2116" t="s">
        <v>5349</v>
      </c>
      <c r="B553" s="2117" t="s">
        <v>4885</v>
      </c>
      <c r="C553" s="2109">
        <f>VLOOKUP(A553,'2011 - TB'!$A$3:$B$971,2,FALSE)</f>
        <v>0</v>
      </c>
      <c r="D553" s="2118">
        <v>0</v>
      </c>
      <c r="E553" s="2118">
        <v>0</v>
      </c>
      <c r="F553" s="2118">
        <v>0</v>
      </c>
      <c r="G553" s="2118">
        <f t="shared" si="18"/>
        <v>0</v>
      </c>
      <c r="H553" s="2640">
        <f>SUMIF('Original Budget'!$A$1:$A$691,'Trial Balance - FPer'!A553,'Original Budget'!$C$1:$C$691)</f>
        <v>0</v>
      </c>
      <c r="I553" s="2640"/>
      <c r="J553" s="2119" t="s">
        <v>5964</v>
      </c>
      <c r="L553" s="2024" t="str">
        <f>VLOOKUP(A553,'2012 Budget'!$A$18:$B$2152,2,FALSE)</f>
        <v>Insurance - Ext</v>
      </c>
    </row>
    <row r="554" spans="1:12" s="2024" customFormat="1" x14ac:dyDescent="0.2">
      <c r="A554" s="2116" t="s">
        <v>5376</v>
      </c>
      <c r="B554" s="2117" t="s">
        <v>4885</v>
      </c>
      <c r="C554" s="2109">
        <f>VLOOKUP(A554,'2011 - TB'!$A$3:$B$971,2,FALSE)</f>
        <v>0</v>
      </c>
      <c r="D554" s="2118">
        <v>0</v>
      </c>
      <c r="E554" s="2118">
        <v>0</v>
      </c>
      <c r="F554" s="2118">
        <v>0</v>
      </c>
      <c r="G554" s="2118">
        <f t="shared" si="18"/>
        <v>0</v>
      </c>
      <c r="H554" s="2640">
        <f>SUMIF('Original Budget'!$A$1:$A$691,'Trial Balance - FPer'!A554,'Original Budget'!$C$1:$C$691)</f>
        <v>0</v>
      </c>
      <c r="I554" s="2640"/>
      <c r="J554" s="2119" t="s">
        <v>5964</v>
      </c>
      <c r="L554" s="2024" t="str">
        <f>VLOOKUP(A554,'2012 Budget'!$A$18:$B$2152,2,FALSE)</f>
        <v>Insurance - Ext</v>
      </c>
    </row>
    <row r="555" spans="1:12" s="2024" customFormat="1" x14ac:dyDescent="0.2">
      <c r="A555" s="2116" t="s">
        <v>5405</v>
      </c>
      <c r="B555" s="2117" t="s">
        <v>4885</v>
      </c>
      <c r="C555" s="2109">
        <v>0</v>
      </c>
      <c r="D555" s="2118">
        <v>0</v>
      </c>
      <c r="E555" s="2118">
        <v>0</v>
      </c>
      <c r="F555" s="2118">
        <v>0</v>
      </c>
      <c r="G555" s="2118">
        <f t="shared" si="18"/>
        <v>0</v>
      </c>
      <c r="H555" s="2640">
        <f>SUMIF('Original Budget'!$A$1:$A$691,'Trial Balance - FPer'!A555,'Original Budget'!$C$1:$C$691)</f>
        <v>0</v>
      </c>
      <c r="I555" s="2640"/>
      <c r="J555" s="2119" t="s">
        <v>5964</v>
      </c>
      <c r="L555" s="2024" t="str">
        <f>VLOOKUP(A555,'2012 Budget'!$A$18:$B$2152,2,FALSE)</f>
        <v>Insurance - Ext</v>
      </c>
    </row>
    <row r="556" spans="1:12" s="2024" customFormat="1" x14ac:dyDescent="0.2">
      <c r="A556" s="2116" t="s">
        <v>5619</v>
      </c>
      <c r="B556" s="2117" t="s">
        <v>4885</v>
      </c>
      <c r="C556" s="2109">
        <v>0</v>
      </c>
      <c r="D556" s="2118">
        <v>0</v>
      </c>
      <c r="E556" s="2118">
        <v>0</v>
      </c>
      <c r="F556" s="2118">
        <v>0</v>
      </c>
      <c r="G556" s="2118">
        <f t="shared" si="18"/>
        <v>0</v>
      </c>
      <c r="H556" s="2640">
        <f>SUMIF('Original Budget'!$A$1:$A$691,'Trial Balance - FPer'!A556,'Original Budget'!$C$1:$C$691)</f>
        <v>2266.88</v>
      </c>
      <c r="I556" s="2640"/>
      <c r="J556" s="2119" t="s">
        <v>5964</v>
      </c>
      <c r="L556" s="2024" t="str">
        <f>VLOOKUP(A556,'2012 Budget'!$A$18:$B$2152,2,FALSE)</f>
        <v>Insurance - Ext</v>
      </c>
    </row>
    <row r="557" spans="1:12" s="2024" customFormat="1" x14ac:dyDescent="0.2">
      <c r="A557" s="2116" t="s">
        <v>5659</v>
      </c>
      <c r="B557" s="2117" t="s">
        <v>4885</v>
      </c>
      <c r="C557" s="2109">
        <v>0</v>
      </c>
      <c r="D557" s="2118">
        <v>0</v>
      </c>
      <c r="E557" s="2118">
        <v>0</v>
      </c>
      <c r="F557" s="2118">
        <v>0</v>
      </c>
      <c r="G557" s="2118">
        <f t="shared" si="18"/>
        <v>0</v>
      </c>
      <c r="H557" s="2640">
        <f>SUMIF('Original Budget'!$A$1:$A$691,'Trial Balance - FPer'!A557,'Original Budget'!$C$1:$C$691)</f>
        <v>0</v>
      </c>
      <c r="I557" s="2640"/>
      <c r="J557" s="2119" t="s">
        <v>5964</v>
      </c>
      <c r="L557" s="2024" t="str">
        <f>VLOOKUP(A557,'2012 Budget'!$A$18:$B$2152,2,FALSE)</f>
        <v>Insurance - Ext</v>
      </c>
    </row>
    <row r="558" spans="1:12" s="2024" customFormat="1" x14ac:dyDescent="0.2">
      <c r="A558" s="2116" t="s">
        <v>5698</v>
      </c>
      <c r="B558" s="2117" t="s">
        <v>4885</v>
      </c>
      <c r="C558" s="2109">
        <v>0</v>
      </c>
      <c r="D558" s="2118">
        <v>0</v>
      </c>
      <c r="E558" s="2118">
        <v>0</v>
      </c>
      <c r="F558" s="2118">
        <v>0</v>
      </c>
      <c r="G558" s="2118">
        <f t="shared" si="18"/>
        <v>0</v>
      </c>
      <c r="H558" s="2640">
        <f>SUMIF('Original Budget'!$A$1:$A$691,'Trial Balance - FPer'!A558,'Original Budget'!$C$1:$C$691)</f>
        <v>9517.2999999999993</v>
      </c>
      <c r="I558" s="2640"/>
      <c r="J558" s="2119" t="s">
        <v>5964</v>
      </c>
      <c r="L558" s="2024" t="str">
        <f>VLOOKUP(A558,'2012 Budget'!$A$18:$B$2152,2,FALSE)</f>
        <v>Insurance - Ext</v>
      </c>
    </row>
    <row r="559" spans="1:12" s="2024" customFormat="1" x14ac:dyDescent="0.2">
      <c r="A559" s="2116" t="s">
        <v>5756</v>
      </c>
      <c r="B559" s="2117" t="s">
        <v>4885</v>
      </c>
      <c r="C559" s="2109">
        <v>0</v>
      </c>
      <c r="D559" s="2118">
        <v>0</v>
      </c>
      <c r="E559" s="2118">
        <v>0</v>
      </c>
      <c r="F559" s="2118">
        <v>0</v>
      </c>
      <c r="G559" s="2118">
        <f t="shared" si="18"/>
        <v>0</v>
      </c>
      <c r="H559" s="2640">
        <f>SUMIF('Original Budget'!$A$1:$A$691,'Trial Balance - FPer'!A559,'Original Budget'!$C$1:$C$691)</f>
        <v>0</v>
      </c>
      <c r="I559" s="2640"/>
      <c r="J559" s="2119" t="s">
        <v>5964</v>
      </c>
      <c r="L559" s="2024" t="str">
        <f>VLOOKUP(A559,'2012 Budget'!$A$18:$B$2152,2,FALSE)</f>
        <v>Insurance - Ext</v>
      </c>
    </row>
    <row r="560" spans="1:12" s="2024" customFormat="1" x14ac:dyDescent="0.2">
      <c r="A560" s="2116" t="s">
        <v>5807</v>
      </c>
      <c r="B560" s="2117" t="s">
        <v>4885</v>
      </c>
      <c r="C560" s="2109">
        <v>0</v>
      </c>
      <c r="D560" s="2118">
        <v>0</v>
      </c>
      <c r="E560" s="2118">
        <v>0</v>
      </c>
      <c r="F560" s="2118">
        <v>0</v>
      </c>
      <c r="G560" s="2118">
        <f t="shared" si="18"/>
        <v>0</v>
      </c>
      <c r="H560" s="2640">
        <f>SUMIF('Original Budget'!$A$1:$A$691,'Trial Balance - FPer'!A560,'Original Budget'!$C$1:$C$691)</f>
        <v>0</v>
      </c>
      <c r="I560" s="2640"/>
      <c r="J560" s="2119" t="s">
        <v>5964</v>
      </c>
      <c r="L560" s="2024" t="str">
        <f>VLOOKUP(A560,'2012 Budget'!$A$18:$B$2152,2,FALSE)</f>
        <v>Insurance - Ext</v>
      </c>
    </row>
    <row r="561" spans="1:12" s="2024" customFormat="1" x14ac:dyDescent="0.2">
      <c r="A561" s="2116" t="s">
        <v>5865</v>
      </c>
      <c r="B561" s="2117" t="s">
        <v>4885</v>
      </c>
      <c r="C561" s="2109">
        <v>0</v>
      </c>
      <c r="D561" s="2118">
        <v>0</v>
      </c>
      <c r="E561" s="2118">
        <v>0</v>
      </c>
      <c r="F561" s="2118">
        <v>0</v>
      </c>
      <c r="G561" s="2118">
        <f t="shared" si="18"/>
        <v>0</v>
      </c>
      <c r="H561" s="2640">
        <f>SUMIF('Original Budget'!$A$1:$A$691,'Trial Balance - FPer'!A561,'Original Budget'!$C$1:$C$691)</f>
        <v>0</v>
      </c>
      <c r="I561" s="2640"/>
      <c r="J561" s="2119" t="s">
        <v>5964</v>
      </c>
      <c r="L561" s="2024" t="str">
        <f>VLOOKUP(A561,'2012 Budget'!$A$18:$B$2152,2,FALSE)</f>
        <v>Insurance - Ext</v>
      </c>
    </row>
    <row r="562" spans="1:12" s="2024" customFormat="1" ht="13.5" thickBot="1" x14ac:dyDescent="0.25">
      <c r="A562" s="2116" t="s">
        <v>5916</v>
      </c>
      <c r="B562" s="2117" t="s">
        <v>4885</v>
      </c>
      <c r="C562" s="2109">
        <v>0</v>
      </c>
      <c r="D562" s="2118">
        <v>0</v>
      </c>
      <c r="E562" s="2118">
        <v>0</v>
      </c>
      <c r="F562" s="2118">
        <v>0</v>
      </c>
      <c r="G562" s="2118">
        <f t="shared" si="18"/>
        <v>0</v>
      </c>
      <c r="H562" s="2640">
        <f>SUMIF('Original Budget'!$A$1:$A$691,'Trial Balance - FPer'!A562,'Original Budget'!$C$1:$C$691)</f>
        <v>49965.3</v>
      </c>
      <c r="I562" s="2640"/>
      <c r="J562" s="2119" t="s">
        <v>5964</v>
      </c>
      <c r="L562" s="2024" t="str">
        <f>VLOOKUP(A562,'2012 Budget'!$A$18:$B$2152,2,FALSE)</f>
        <v>Insurance - Ext</v>
      </c>
    </row>
    <row r="563" spans="1:12" s="2024" customFormat="1" x14ac:dyDescent="0.2">
      <c r="A563" s="2111" t="s">
        <v>5401</v>
      </c>
      <c r="B563" s="2112" t="s">
        <v>5016</v>
      </c>
      <c r="C563" s="2113">
        <f>VLOOKUP(A563,'2011 - TB'!$A$3:$B$971,2,FALSE)</f>
        <v>2428.96</v>
      </c>
      <c r="D563" s="2114">
        <v>0</v>
      </c>
      <c r="E563" s="2114">
        <v>0</v>
      </c>
      <c r="F563" s="2114">
        <v>0</v>
      </c>
      <c r="G563" s="2114">
        <f t="shared" si="18"/>
        <v>0</v>
      </c>
      <c r="H563" s="2640">
        <f>SUMIF('Original Budget'!$A$1:$A$691,'Trial Balance - FPer'!A563,'Original Budget'!$C$1:$C$691)</f>
        <v>5343.71</v>
      </c>
      <c r="I563" s="2640"/>
      <c r="J563" s="2115" t="s">
        <v>5951</v>
      </c>
      <c r="L563" s="2024" t="str">
        <f>VLOOKUP(A563,'2012 Budget'!$A$18:$B$2152,2,FALSE)</f>
        <v>Operating Licen</v>
      </c>
    </row>
    <row r="564" spans="1:12" s="2024" customFormat="1" x14ac:dyDescent="0.2">
      <c r="A564" s="2116" t="s">
        <v>5577</v>
      </c>
      <c r="B564" s="2117" t="s">
        <v>5016</v>
      </c>
      <c r="C564" s="2109">
        <v>0</v>
      </c>
      <c r="D564" s="2118">
        <v>0</v>
      </c>
      <c r="E564" s="2118">
        <v>0</v>
      </c>
      <c r="F564" s="2118">
        <v>0</v>
      </c>
      <c r="G564" s="2118">
        <f t="shared" si="18"/>
        <v>0</v>
      </c>
      <c r="H564" s="2640">
        <f>SUMIF('Original Budget'!$A$1:$A$691,'Trial Balance - FPer'!A564,'Original Budget'!$C$1:$C$691)</f>
        <v>0</v>
      </c>
      <c r="I564" s="2640"/>
      <c r="J564" s="2119" t="s">
        <v>5951</v>
      </c>
      <c r="L564" s="2024" t="str">
        <f>VLOOKUP(A564,'2012 Budget'!$A$18:$B$2152,2,FALSE)</f>
        <v>Rent - Equipmen</v>
      </c>
    </row>
    <row r="565" spans="1:12" s="2024" customFormat="1" x14ac:dyDescent="0.2">
      <c r="A565" s="2116" t="s">
        <v>5689</v>
      </c>
      <c r="B565" s="2117" t="s">
        <v>5016</v>
      </c>
      <c r="C565" s="2109" t="str">
        <f>VLOOKUP(A565,'2011 - TB'!$A$3:$B$971,2,FALSE)</f>
        <v xml:space="preserve">                               -  </v>
      </c>
      <c r="D565" s="2118">
        <v>0</v>
      </c>
      <c r="E565" s="2118">
        <v>0</v>
      </c>
      <c r="F565" s="2118">
        <v>0</v>
      </c>
      <c r="G565" s="2118">
        <f t="shared" si="18"/>
        <v>0</v>
      </c>
      <c r="H565" s="2640">
        <f>SUMIF('Original Budget'!$A$1:$A$691,'Trial Balance - FPer'!A565,'Original Budget'!$C$1:$C$691)</f>
        <v>0</v>
      </c>
      <c r="I565" s="2640"/>
      <c r="J565" s="2119" t="s">
        <v>5951</v>
      </c>
      <c r="L565" s="2024" t="str">
        <f>VLOOKUP(A565,'2012 Budget'!$A$18:$B$2152,2,FALSE)</f>
        <v>Operating Licen</v>
      </c>
    </row>
    <row r="566" spans="1:12" s="2024" customFormat="1" x14ac:dyDescent="0.2">
      <c r="A566" s="2116" t="s">
        <v>5746</v>
      </c>
      <c r="B566" s="2117" t="s">
        <v>5016</v>
      </c>
      <c r="C566" s="2109">
        <v>0</v>
      </c>
      <c r="D566" s="2118">
        <v>0</v>
      </c>
      <c r="E566" s="2118">
        <v>0</v>
      </c>
      <c r="F566" s="2118">
        <v>0</v>
      </c>
      <c r="G566" s="2118">
        <f t="shared" si="18"/>
        <v>0</v>
      </c>
      <c r="H566" s="2640">
        <f>SUMIF('Original Budget'!$A$1:$A$691,'Trial Balance - FPer'!A566,'Original Budget'!$C$1:$C$691)</f>
        <v>0</v>
      </c>
      <c r="I566" s="2640"/>
      <c r="J566" s="2119" t="s">
        <v>5951</v>
      </c>
      <c r="L566" s="2024" t="str">
        <f>VLOOKUP(A566,'2012 Budget'!$A$18:$B$2152,2,FALSE)</f>
        <v>Rent - Equipmen</v>
      </c>
    </row>
    <row r="567" spans="1:12" s="2024" customFormat="1" x14ac:dyDescent="0.2">
      <c r="A567" s="2116" t="s">
        <v>5747</v>
      </c>
      <c r="B567" s="2117" t="s">
        <v>5016</v>
      </c>
      <c r="C567" s="2109" t="str">
        <f>VLOOKUP(A567,'2011 - TB'!$A$3:$B$971,2,FALSE)</f>
        <v xml:space="preserve">                               -  </v>
      </c>
      <c r="D567" s="2118">
        <v>0</v>
      </c>
      <c r="E567" s="2118">
        <v>0</v>
      </c>
      <c r="F567" s="2118">
        <v>0</v>
      </c>
      <c r="G567" s="2118">
        <f t="shared" si="18"/>
        <v>0</v>
      </c>
      <c r="H567" s="2640">
        <f>SUMIF('Original Budget'!$A$1:$A$691,'Trial Balance - FPer'!A567,'Original Budget'!$C$1:$C$691)</f>
        <v>0</v>
      </c>
      <c r="I567" s="2640"/>
      <c r="J567" s="2119" t="s">
        <v>5951</v>
      </c>
      <c r="L567" s="2024" t="str">
        <f>VLOOKUP(A567,'2012 Budget'!$A$18:$B$2152,2,FALSE)</f>
        <v>Operating Licen</v>
      </c>
    </row>
    <row r="568" spans="1:12" s="2024" customFormat="1" x14ac:dyDescent="0.2">
      <c r="A568" s="2116" t="s">
        <v>5798</v>
      </c>
      <c r="B568" s="2117" t="s">
        <v>5016</v>
      </c>
      <c r="C568" s="2109">
        <f>VLOOKUP(A568,'2011 - TB'!$A$3:$B$971,2,FALSE)</f>
        <v>456</v>
      </c>
      <c r="D568" s="2118">
        <v>0</v>
      </c>
      <c r="E568" s="2118">
        <v>0</v>
      </c>
      <c r="F568" s="2118">
        <v>0</v>
      </c>
      <c r="G568" s="2118">
        <f t="shared" si="18"/>
        <v>0</v>
      </c>
      <c r="H568" s="2640">
        <f>SUMIF('Original Budget'!$A$1:$A$691,'Trial Balance - FPer'!A568,'Original Budget'!$C$1:$C$691)</f>
        <v>1003.2</v>
      </c>
      <c r="I568" s="2640"/>
      <c r="J568" s="2119" t="s">
        <v>5951</v>
      </c>
      <c r="L568" s="2024" t="str">
        <f>VLOOKUP(A568,'2012 Budget'!$A$18:$B$2152,2,FALSE)</f>
        <v>Rent - Equipmen</v>
      </c>
    </row>
    <row r="569" spans="1:12" s="2024" customFormat="1" x14ac:dyDescent="0.2">
      <c r="A569" s="2116" t="s">
        <v>5854</v>
      </c>
      <c r="B569" s="2117" t="s">
        <v>5016</v>
      </c>
      <c r="C569" s="2109">
        <v>0</v>
      </c>
      <c r="D569" s="2118">
        <v>0</v>
      </c>
      <c r="E569" s="2118">
        <v>0</v>
      </c>
      <c r="F569" s="2118">
        <v>0</v>
      </c>
      <c r="G569" s="2118">
        <f t="shared" si="18"/>
        <v>0</v>
      </c>
      <c r="H569" s="2640">
        <f>SUMIF('Original Budget'!$A$1:$A$691,'Trial Balance - FPer'!A569,'Original Budget'!$C$1:$C$691)</f>
        <v>0</v>
      </c>
      <c r="I569" s="2640"/>
      <c r="J569" s="2119" t="s">
        <v>5951</v>
      </c>
      <c r="L569" s="2024" t="str">
        <f>VLOOKUP(A569,'2012 Budget'!$A$18:$B$2152,2,FALSE)</f>
        <v>Operating Licen</v>
      </c>
    </row>
    <row r="570" spans="1:12" s="2024" customFormat="1" x14ac:dyDescent="0.2">
      <c r="A570" s="2116" t="s">
        <v>5268</v>
      </c>
      <c r="B570" s="2117" t="s">
        <v>5269</v>
      </c>
      <c r="C570" s="2109">
        <f>VLOOKUP(A570,'2011 - TB'!$A$3:$B$971,2,FALSE)</f>
        <v>394647.91</v>
      </c>
      <c r="D570" s="2118">
        <v>0</v>
      </c>
      <c r="E570" s="2118">
        <f>VLOOKUP(A570,'2012 - TB'!$A$3:$H$733,5,FALSE)</f>
        <v>1210970.23</v>
      </c>
      <c r="F570" s="2118">
        <f>VLOOKUP(A570,'2012 - TB'!$A$3:$H$733,6,FALSE)</f>
        <v>-528386.35</v>
      </c>
      <c r="G570" s="2118">
        <f t="shared" si="18"/>
        <v>682583.88</v>
      </c>
      <c r="H570" s="2640">
        <f>SUMIF('Original Budget'!$A$1:$A$691,'Trial Balance - FPer'!A570,'Original Budget'!$C$1:$C$691)</f>
        <v>2010707.82</v>
      </c>
      <c r="I570" s="2640">
        <f>VLOOKUP(A570,'2012 - TB'!$A$3:$C$733,3,FALSE)</f>
        <v>1083911.8999999999</v>
      </c>
      <c r="J570" s="2119" t="s">
        <v>5951</v>
      </c>
      <c r="L570" s="2024" t="str">
        <f>VLOOKUP(A570,'2012 Budget'!$A$18:$B$2152,2,FALSE)</f>
        <v>Rent - Office E</v>
      </c>
    </row>
    <row r="571" spans="1:12" s="2024" customFormat="1" x14ac:dyDescent="0.2">
      <c r="A571" s="2116" t="s">
        <v>4992</v>
      </c>
      <c r="B571" s="2117" t="s">
        <v>4993</v>
      </c>
      <c r="C571" s="2109">
        <v>0</v>
      </c>
      <c r="D571" s="2118">
        <v>0</v>
      </c>
      <c r="E571" s="2118">
        <v>0</v>
      </c>
      <c r="F571" s="2118">
        <v>0</v>
      </c>
      <c r="G571" s="2118">
        <f t="shared" si="18"/>
        <v>0</v>
      </c>
      <c r="H571" s="2640">
        <f>SUMIF('Original Budget'!$A$1:$A$691,'Trial Balance - FPer'!A571,'Original Budget'!$C$1:$C$691)</f>
        <v>0</v>
      </c>
      <c r="I571" s="2640"/>
      <c r="J571" s="2119" t="s">
        <v>5951</v>
      </c>
      <c r="L571" s="2024" t="str">
        <f>VLOOKUP(A571,'2012 Budget'!$A$18:$B$2152,2,FALSE)</f>
        <v>Rental Payments</v>
      </c>
    </row>
    <row r="572" spans="1:12" s="2024" customFormat="1" x14ac:dyDescent="0.2">
      <c r="A572" s="2116" t="s">
        <v>4994</v>
      </c>
      <c r="B572" s="2117" t="s">
        <v>4993</v>
      </c>
      <c r="C572" s="2109">
        <f>VLOOKUP(A572,'2011 - TB'!$A$3:$B$971,2,FALSE)</f>
        <v>13475</v>
      </c>
      <c r="D572" s="2118">
        <v>0</v>
      </c>
      <c r="E572" s="2118">
        <v>0</v>
      </c>
      <c r="F572" s="2118">
        <v>0</v>
      </c>
      <c r="G572" s="2118">
        <f t="shared" ref="G572:G634" si="19">E572+F572</f>
        <v>0</v>
      </c>
      <c r="H572" s="2640">
        <f>SUMIF('Original Budget'!$A$1:$A$691,'Trial Balance - FPer'!A572,'Original Budget'!$C$1:$C$691)</f>
        <v>1500000</v>
      </c>
      <c r="I572" s="2640"/>
      <c r="J572" s="2119" t="s">
        <v>5951</v>
      </c>
      <c r="L572" s="2024" t="str">
        <f>VLOOKUP(A572,'2012 Budget'!$A$18:$B$2152,2,FALSE)</f>
        <v>Project - FMG;</v>
      </c>
    </row>
    <row r="573" spans="1:12" s="2024" customFormat="1" x14ac:dyDescent="0.2">
      <c r="A573" s="2116" t="s">
        <v>5138</v>
      </c>
      <c r="B573" s="2117" t="s">
        <v>4993</v>
      </c>
      <c r="C573" s="2109" t="str">
        <f>VLOOKUP(A573,'2011 - TB'!$A$3:$B$971,2,FALSE)</f>
        <v xml:space="preserve">                               -  </v>
      </c>
      <c r="D573" s="2118">
        <v>0</v>
      </c>
      <c r="E573" s="2118">
        <f>VLOOKUP(A573,'2012 - TB'!$A$3:$H$733,5,FALSE)</f>
        <v>315.79000000000002</v>
      </c>
      <c r="F573" s="2118">
        <f>VLOOKUP(A573,'2012 - TB'!$A$3:$H$733,6,FALSE)</f>
        <v>0</v>
      </c>
      <c r="G573" s="2118">
        <f t="shared" si="19"/>
        <v>315.79000000000002</v>
      </c>
      <c r="H573" s="2640">
        <f>SUMIF('Original Budget'!$A$1:$A$691,'Trial Balance - FPer'!A573,'Original Budget'!$C$1:$C$691)</f>
        <v>2565369.4</v>
      </c>
      <c r="I573" s="2640">
        <f>VLOOKUP(A573,'2012 - TB'!$A$3:$C$733,3,FALSE)</f>
        <v>315.79000000000002</v>
      </c>
      <c r="J573" s="2119" t="s">
        <v>5951</v>
      </c>
      <c r="L573" s="2024" t="str">
        <f>VLOOKUP(A573,'2012 Budget'!$A$18:$B$2152,2,FALSE)</f>
        <v>Rental Payments</v>
      </c>
    </row>
    <row r="574" spans="1:12" s="2024" customFormat="1" x14ac:dyDescent="0.2">
      <c r="A574" s="2116" t="s">
        <v>5332</v>
      </c>
      <c r="B574" s="2117" t="s">
        <v>4993</v>
      </c>
      <c r="C574" s="2109">
        <v>0</v>
      </c>
      <c r="D574" s="2118">
        <v>0</v>
      </c>
      <c r="E574" s="2118">
        <v>0</v>
      </c>
      <c r="F574" s="2118">
        <v>0</v>
      </c>
      <c r="G574" s="2118">
        <f t="shared" si="19"/>
        <v>0</v>
      </c>
      <c r="H574" s="2640">
        <f>SUMIF('Original Budget'!$A$1:$A$691,'Trial Balance - FPer'!A574,'Original Budget'!$C$1:$C$691)</f>
        <v>0</v>
      </c>
      <c r="I574" s="2640"/>
      <c r="J574" s="2119" t="s">
        <v>5951</v>
      </c>
      <c r="L574" s="2024" t="str">
        <f>VLOOKUP(A574,'2012 Budget'!$A$18:$B$2152,2,FALSE)</f>
        <v>Project - FMG;</v>
      </c>
    </row>
    <row r="575" spans="1:12" s="2024" customFormat="1" x14ac:dyDescent="0.2">
      <c r="A575" s="2116" t="s">
        <v>5333</v>
      </c>
      <c r="B575" s="2117" t="s">
        <v>4993</v>
      </c>
      <c r="C575" s="2109">
        <v>0</v>
      </c>
      <c r="D575" s="2118">
        <v>0</v>
      </c>
      <c r="E575" s="2118">
        <v>0</v>
      </c>
      <c r="F575" s="2118">
        <v>0</v>
      </c>
      <c r="G575" s="2118">
        <f t="shared" si="19"/>
        <v>0</v>
      </c>
      <c r="H575" s="2640">
        <f>SUMIF('Original Budget'!$A$1:$A$691,'Trial Balance - FPer'!A575,'Original Budget'!$C$1:$C$691)</f>
        <v>0</v>
      </c>
      <c r="I575" s="2640"/>
      <c r="J575" s="2119" t="s">
        <v>5951</v>
      </c>
      <c r="L575" s="2024" t="str">
        <f>VLOOKUP(A575,'2012 Budget'!$A$18:$B$2152,2,FALSE)</f>
        <v>Project - Rural</v>
      </c>
    </row>
    <row r="576" spans="1:12" s="2024" customFormat="1" x14ac:dyDescent="0.2">
      <c r="A576" s="2116" t="s">
        <v>4846</v>
      </c>
      <c r="B576" s="2117" t="s">
        <v>4847</v>
      </c>
      <c r="C576" s="2109">
        <f>VLOOKUP(A576,'2011 - TB'!$A$3:$B$971,2,FALSE)</f>
        <v>0</v>
      </c>
      <c r="D576" s="2118">
        <v>0</v>
      </c>
      <c r="E576" s="2118">
        <f>VLOOKUP(A576,'2012 - TB'!$A$3:$H$733,5,FALSE)</f>
        <v>497682.20999999996</v>
      </c>
      <c r="F576" s="2118">
        <f>VLOOKUP(A576,'2012 - TB'!$A$3:$H$733,6,FALSE)</f>
        <v>0</v>
      </c>
      <c r="G576" s="2118">
        <f t="shared" si="19"/>
        <v>497682.20999999996</v>
      </c>
      <c r="H576" s="2640">
        <f>SUMIF('Original Budget'!$A$1:$A$691,'Trial Balance - FPer'!A576,'Original Budget'!$C$1:$C$691)</f>
        <v>0</v>
      </c>
      <c r="I576" s="2640">
        <f>VLOOKUP(A576,'2012 - TB'!$A$3:$C$733,3,FALSE)</f>
        <v>28716.87</v>
      </c>
      <c r="J576" s="2119" t="s">
        <v>5951</v>
      </c>
      <c r="L576" s="2024" t="str">
        <f>VLOOKUP(A576,'2012 Budget'!$A$18:$B$2152,2,FALSE)</f>
        <v>Rental-Other;</v>
      </c>
    </row>
    <row r="577" spans="1:12" s="2024" customFormat="1" x14ac:dyDescent="0.2">
      <c r="A577" s="1283" t="s">
        <v>5786</v>
      </c>
      <c r="B577" s="1133" t="s">
        <v>6403</v>
      </c>
      <c r="C577" s="2109">
        <f>VLOOKUP(A577,'2011 - TB'!$A$3:$B$971,2,FALSE)</f>
        <v>5973834.5800000001</v>
      </c>
      <c r="D577" s="2118">
        <v>0</v>
      </c>
      <c r="E577" s="2118">
        <v>0</v>
      </c>
      <c r="F577" s="2118">
        <v>0</v>
      </c>
      <c r="G577" s="2118">
        <f>E577+F577</f>
        <v>0</v>
      </c>
      <c r="H577" s="2640">
        <f>SUMIF('Original Budget'!$A$1:$A$691,'Trial Balance - FPer'!A577,'Original Budget'!$C$1:$C$691)</f>
        <v>1800000</v>
      </c>
      <c r="I577" s="2640"/>
      <c r="J577" s="2119" t="s">
        <v>5951</v>
      </c>
      <c r="L577" s="2024" t="str">
        <f>VLOOKUP(A577,'2012 Budget'!$A$18:$B$2152,2,FALSE)</f>
        <v>Finance Lease;</v>
      </c>
    </row>
    <row r="578" spans="1:12" s="2024" customFormat="1" ht="13.5" thickBot="1" x14ac:dyDescent="0.25">
      <c r="A578" s="2120" t="s">
        <v>4983</v>
      </c>
      <c r="B578" s="2121" t="s">
        <v>4847</v>
      </c>
      <c r="C578" s="2122">
        <f>VLOOKUP(A578,'2011 - TB'!$A$3:$B$971,2,FALSE)</f>
        <v>8300</v>
      </c>
      <c r="D578" s="2123">
        <v>0</v>
      </c>
      <c r="E578" s="2123">
        <v>0</v>
      </c>
      <c r="F578" s="2123">
        <v>0</v>
      </c>
      <c r="G578" s="2123">
        <f t="shared" si="19"/>
        <v>0</v>
      </c>
      <c r="H578" s="2640">
        <f>SUMIF('Original Budget'!$A$1:$A$691,'Trial Balance - FPer'!A578,'Original Budget'!$C$1:$C$691)</f>
        <v>0</v>
      </c>
      <c r="I578" s="2640"/>
      <c r="J578" s="2124" t="s">
        <v>5951</v>
      </c>
      <c r="L578" s="2024" t="str">
        <f>VLOOKUP(A578,'2012 Budget'!$A$18:$B$2152,2,FALSE)</f>
        <v>Rental-Other;</v>
      </c>
    </row>
    <row r="579" spans="1:12" s="2024" customFormat="1" x14ac:dyDescent="0.2">
      <c r="A579" s="2116" t="s">
        <v>4920</v>
      </c>
      <c r="B579" s="2117" t="s">
        <v>4921</v>
      </c>
      <c r="C579" s="2109">
        <f>VLOOKUP(A579,'2011 - TB'!$A$3:$B$971,2,FALSE)</f>
        <v>642.5</v>
      </c>
      <c r="D579" s="2118">
        <v>0</v>
      </c>
      <c r="E579" s="2118">
        <v>0</v>
      </c>
      <c r="F579" s="2118">
        <v>0</v>
      </c>
      <c r="G579" s="2118">
        <f t="shared" si="19"/>
        <v>0</v>
      </c>
      <c r="H579" s="2640">
        <f>SUMIF('Original Budget'!$A$1:$A$691,'Trial Balance - FPer'!A579,'Original Budget'!$C$1:$C$691)</f>
        <v>0</v>
      </c>
      <c r="I579" s="2640"/>
      <c r="J579" s="2119" t="s">
        <v>5948</v>
      </c>
      <c r="L579" s="2024" t="str">
        <f>VLOOKUP(A579,'2012 Budget'!$A$18:$B$2152,2,FALSE)</f>
        <v>Publications;</v>
      </c>
    </row>
    <row r="580" spans="1:12" s="2024" customFormat="1" x14ac:dyDescent="0.2">
      <c r="A580" s="2116" t="s">
        <v>5006</v>
      </c>
      <c r="B580" s="2117" t="s">
        <v>4921</v>
      </c>
      <c r="C580" s="2109">
        <f>VLOOKUP(A580,'2011 - TB'!$A$3:$B$971,2,FALSE)</f>
        <v>19166.47</v>
      </c>
      <c r="D580" s="2118">
        <v>0</v>
      </c>
      <c r="E580" s="2118">
        <f>VLOOKUP(A580,'2012 - TB'!$A$3:$H$733,5,FALSE)</f>
        <v>36272.07</v>
      </c>
      <c r="F580" s="2118">
        <f>VLOOKUP(A580,'2012 - TB'!$A$3:$H$733,6,FALSE)</f>
        <v>0</v>
      </c>
      <c r="G580" s="2118">
        <f t="shared" si="19"/>
        <v>36272.07</v>
      </c>
      <c r="H580" s="2640">
        <f>SUMIF('Original Budget'!$A$1:$A$691,'Trial Balance - FPer'!A580,'Original Budget'!$C$1:$C$691)</f>
        <v>18997.21</v>
      </c>
      <c r="I580" s="2640">
        <f>VLOOKUP(A580,'2012 - TB'!$A$3:$C$733,3,FALSE)</f>
        <v>25986.87</v>
      </c>
      <c r="J580" s="2119" t="s">
        <v>5948</v>
      </c>
      <c r="L580" s="2024" t="str">
        <f>VLOOKUP(A580,'2012 Budget'!$A$18:$B$2152,2,FALSE)</f>
        <v>Publications;</v>
      </c>
    </row>
    <row r="581" spans="1:12" s="2024" customFormat="1" x14ac:dyDescent="0.2">
      <c r="A581" s="2116" t="s">
        <v>5007</v>
      </c>
      <c r="B581" s="2117" t="s">
        <v>4921</v>
      </c>
      <c r="C581" s="2109">
        <f>VLOOKUP(A581,'2011 - TB'!$A$3:$B$971,2,FALSE)</f>
        <v>0</v>
      </c>
      <c r="D581" s="2118">
        <v>0</v>
      </c>
      <c r="E581" s="2118">
        <f>VLOOKUP(A581,'2012 - TB'!$A$3:$H$733,5,FALSE)</f>
        <v>12577</v>
      </c>
      <c r="F581" s="2118">
        <f>VLOOKUP(A581,'2012 - TB'!$A$3:$H$733,6,FALSE)</f>
        <v>0</v>
      </c>
      <c r="G581" s="2118">
        <f t="shared" si="19"/>
        <v>12577</v>
      </c>
      <c r="H581" s="2640">
        <f>SUMIF('Original Budget'!$A$1:$A$691,'Trial Balance - FPer'!A581,'Original Budget'!$C$1:$C$691)</f>
        <v>0</v>
      </c>
      <c r="I581" s="2640">
        <f>VLOOKUP(A581,'2012 - TB'!$A$3:$C$733,3,FALSE)</f>
        <v>0</v>
      </c>
      <c r="J581" s="2119" t="s">
        <v>5948</v>
      </c>
      <c r="L581" s="2024" t="str">
        <f>VLOOKUP(A581,'2012 Budget'!$A$18:$B$2152,2,FALSE)</f>
        <v>Publications;</v>
      </c>
    </row>
    <row r="582" spans="1:12" s="2024" customFormat="1" x14ac:dyDescent="0.2">
      <c r="A582" s="2116" t="s">
        <v>5141</v>
      </c>
      <c r="B582" s="2117" t="s">
        <v>4921</v>
      </c>
      <c r="C582" s="2109">
        <f>VLOOKUP(A582,'2011 - TB'!$A$3:$B$971,2,FALSE)</f>
        <v>0</v>
      </c>
      <c r="D582" s="2118">
        <v>0</v>
      </c>
      <c r="E582" s="2118">
        <v>0</v>
      </c>
      <c r="F582" s="2118">
        <v>0</v>
      </c>
      <c r="G582" s="2118">
        <f t="shared" si="19"/>
        <v>0</v>
      </c>
      <c r="H582" s="2640">
        <f>SUMIF('Original Budget'!$A$1:$A$691,'Trial Balance - FPer'!A582,'Original Budget'!$C$1:$C$691)</f>
        <v>0</v>
      </c>
      <c r="I582" s="2640"/>
      <c r="J582" s="2119" t="s">
        <v>5948</v>
      </c>
      <c r="L582" s="2024" t="str">
        <f>VLOOKUP(A582,'2012 Budget'!$A$18:$B$2152,2,FALSE)</f>
        <v>Publications;</v>
      </c>
    </row>
    <row r="583" spans="1:12" s="2024" customFormat="1" x14ac:dyDescent="0.2">
      <c r="A583" s="2116" t="s">
        <v>5261</v>
      </c>
      <c r="B583" s="2117" t="s">
        <v>4921</v>
      </c>
      <c r="C583" s="2109">
        <f>VLOOKUP(A583,'2011 - TB'!$A$3:$B$971,2,FALSE)</f>
        <v>0</v>
      </c>
      <c r="D583" s="2118">
        <v>0</v>
      </c>
      <c r="E583" s="2118">
        <v>0</v>
      </c>
      <c r="F583" s="2118">
        <v>0</v>
      </c>
      <c r="G583" s="2118">
        <f t="shared" si="19"/>
        <v>0</v>
      </c>
      <c r="H583" s="2640">
        <f>SUMIF('Original Budget'!$A$1:$A$691,'Trial Balance - FPer'!A583,'Original Budget'!$C$1:$C$691)</f>
        <v>0</v>
      </c>
      <c r="I583" s="2640"/>
      <c r="J583" s="2119" t="s">
        <v>5948</v>
      </c>
      <c r="L583" s="2024" t="str">
        <f>VLOOKUP(A583,'2012 Budget'!$A$18:$B$2152,2,FALSE)</f>
        <v>Publications;</v>
      </c>
    </row>
    <row r="584" spans="1:12" s="2024" customFormat="1" x14ac:dyDescent="0.2">
      <c r="A584" s="2116" t="s">
        <v>5262</v>
      </c>
      <c r="B584" s="2117" t="s">
        <v>4921</v>
      </c>
      <c r="C584" s="2109">
        <f>VLOOKUP(A584,'2011 - TB'!$A$3:$B$971,2,FALSE)</f>
        <v>0</v>
      </c>
      <c r="D584" s="2118">
        <v>0</v>
      </c>
      <c r="E584" s="2118">
        <v>0</v>
      </c>
      <c r="F584" s="2118">
        <v>0</v>
      </c>
      <c r="G584" s="2118">
        <f t="shared" si="19"/>
        <v>0</v>
      </c>
      <c r="H584" s="2640">
        <f>SUMIF('Original Budget'!$A$1:$A$691,'Trial Balance - FPer'!A584,'Original Budget'!$C$1:$C$691)</f>
        <v>0</v>
      </c>
      <c r="I584" s="2640"/>
      <c r="J584" s="2119" t="s">
        <v>5948</v>
      </c>
      <c r="L584" s="2024" t="str">
        <f>VLOOKUP(A584,'2012 Budget'!$A$18:$B$2152,2,FALSE)</f>
        <v>Publications;</v>
      </c>
    </row>
    <row r="585" spans="1:12" s="2024" customFormat="1" x14ac:dyDescent="0.2">
      <c r="A585" s="2116" t="s">
        <v>5263</v>
      </c>
      <c r="B585" s="2117" t="s">
        <v>4921</v>
      </c>
      <c r="C585" s="2109">
        <f>VLOOKUP(A585,'2011 - TB'!$A$3:$B$971,2,FALSE)</f>
        <v>0</v>
      </c>
      <c r="D585" s="2118">
        <v>0</v>
      </c>
      <c r="E585" s="2118">
        <v>0</v>
      </c>
      <c r="F585" s="2118">
        <v>0</v>
      </c>
      <c r="G585" s="2118">
        <f t="shared" si="19"/>
        <v>0</v>
      </c>
      <c r="H585" s="2640">
        <f>SUMIF('Original Budget'!$A$1:$A$691,'Trial Balance - FPer'!A585,'Original Budget'!$C$1:$C$691)</f>
        <v>0</v>
      </c>
      <c r="I585" s="2640"/>
      <c r="J585" s="2119" t="s">
        <v>5948</v>
      </c>
      <c r="L585" s="2024" t="str">
        <f>VLOOKUP(A585,'2012 Budget'!$A$18:$B$2152,2,FALSE)</f>
        <v>Publications;</v>
      </c>
    </row>
    <row r="586" spans="1:12" s="2024" customFormat="1" x14ac:dyDescent="0.2">
      <c r="A586" s="2116" t="s">
        <v>5264</v>
      </c>
      <c r="B586" s="2117" t="s">
        <v>4921</v>
      </c>
      <c r="C586" s="2109">
        <f>VLOOKUP(A586,'2011 - TB'!$A$3:$B$971,2,FALSE)</f>
        <v>13209.89</v>
      </c>
      <c r="D586" s="2118">
        <v>0</v>
      </c>
      <c r="E586" s="2118">
        <f>VLOOKUP(A586,'2012 - TB'!$A$3:$H$733,5,FALSE)</f>
        <v>1908.01</v>
      </c>
      <c r="F586" s="2118">
        <f>VLOOKUP(A586,'2012 - TB'!$A$3:$H$733,6,FALSE)</f>
        <v>0</v>
      </c>
      <c r="G586" s="2118">
        <f t="shared" si="19"/>
        <v>1908.01</v>
      </c>
      <c r="H586" s="2640">
        <f>SUMIF('Original Budget'!$A$1:$A$691,'Trial Balance - FPer'!A586,'Original Budget'!$C$1:$C$691)</f>
        <v>24984.1</v>
      </c>
      <c r="I586" s="2640">
        <f>VLOOKUP(A586,'2012 - TB'!$A$3:$C$733,3,FALSE)</f>
        <v>24984.1</v>
      </c>
      <c r="J586" s="2119" t="s">
        <v>5948</v>
      </c>
      <c r="L586" s="2024" t="str">
        <f>VLOOKUP(A586,'2012 Budget'!$A$18:$B$2152,2,FALSE)</f>
        <v>Publications;</v>
      </c>
    </row>
    <row r="587" spans="1:12" s="2024" customFormat="1" x14ac:dyDescent="0.2">
      <c r="A587" s="2116" t="s">
        <v>5467</v>
      </c>
      <c r="B587" s="2117" t="s">
        <v>4921</v>
      </c>
      <c r="C587" s="2109">
        <v>0</v>
      </c>
      <c r="D587" s="2118">
        <v>0</v>
      </c>
      <c r="E587" s="2118">
        <v>0</v>
      </c>
      <c r="F587" s="2118">
        <v>0</v>
      </c>
      <c r="G587" s="2118">
        <f t="shared" si="19"/>
        <v>0</v>
      </c>
      <c r="H587" s="2640">
        <f>SUMIF('Original Budget'!$A$1:$A$691,'Trial Balance - FPer'!A587,'Original Budget'!$C$1:$C$691)</f>
        <v>0</v>
      </c>
      <c r="I587" s="2640"/>
      <c r="J587" s="2119" t="s">
        <v>5948</v>
      </c>
      <c r="L587" s="2024" t="str">
        <f>VLOOKUP(A587,'2012 Budget'!$A$18:$B$2152,2,FALSE)</f>
        <v>Publications;</v>
      </c>
    </row>
    <row r="588" spans="1:12" s="2024" customFormat="1" ht="13.5" thickBot="1" x14ac:dyDescent="0.25">
      <c r="A588" s="2116" t="s">
        <v>5468</v>
      </c>
      <c r="B588" s="2117" t="s">
        <v>4921</v>
      </c>
      <c r="C588" s="2109">
        <v>0</v>
      </c>
      <c r="D588" s="2118">
        <v>0</v>
      </c>
      <c r="E588" s="2118">
        <f>VLOOKUP(A588,'2012 - TB'!$A$3:$H$733,5,FALSE)</f>
        <v>378</v>
      </c>
      <c r="F588" s="2118">
        <f>VLOOKUP(A588,'2012 - TB'!$A$3:$H$733,6,FALSE)</f>
        <v>0</v>
      </c>
      <c r="G588" s="2118">
        <f t="shared" si="19"/>
        <v>378</v>
      </c>
      <c r="H588" s="2640">
        <f>SUMIF('Original Budget'!$A$1:$A$691,'Trial Balance - FPer'!A588,'Original Budget'!$C$1:$C$691)</f>
        <v>0</v>
      </c>
      <c r="I588" s="2640">
        <f>VLOOKUP(A588,'2012 - TB'!$A$3:$C$733,3,FALSE)</f>
        <v>0</v>
      </c>
      <c r="J588" s="2119" t="s">
        <v>5948</v>
      </c>
      <c r="L588" s="2024" t="str">
        <f>VLOOKUP(A588,'2012 Budget'!$A$18:$B$2152,2,FALSE)</f>
        <v>Publications;</v>
      </c>
    </row>
    <row r="589" spans="1:12" s="2024" customFormat="1" x14ac:dyDescent="0.2">
      <c r="A589" s="2111" t="s">
        <v>4854</v>
      </c>
      <c r="B589" s="2112" t="s">
        <v>4855</v>
      </c>
      <c r="C589" s="2113">
        <f>VLOOKUP(A589,'2011 - TB'!$A$3:$B$971,2,FALSE)</f>
        <v>880</v>
      </c>
      <c r="D589" s="2114">
        <v>0</v>
      </c>
      <c r="E589" s="2114">
        <f>VLOOKUP(A589,'2012 - TB'!$A$3:$H$733,5,FALSE)</f>
        <v>0</v>
      </c>
      <c r="F589" s="2114">
        <f>VLOOKUP(A589,'2012 - TB'!$A$3:$H$733,6,FALSE)</f>
        <v>0</v>
      </c>
      <c r="G589" s="2114">
        <f t="shared" si="19"/>
        <v>0</v>
      </c>
      <c r="H589" s="2640">
        <f>SUMIF('Original Budget'!$A$1:$A$691,'Trial Balance - FPer'!A589,'Original Budget'!$C$1:$C$691)</f>
        <v>7450.29</v>
      </c>
      <c r="I589" s="2640">
        <f>VLOOKUP(A589,'2012 - TB'!$A$3:$C$733,3,FALSE)</f>
        <v>7450.29</v>
      </c>
      <c r="J589" s="2115" t="s">
        <v>5936</v>
      </c>
      <c r="L589" s="2024" t="str">
        <f>VLOOKUP(A589,'2012 Budget'!$A$18:$B$2152,2,FALSE)</f>
        <v>Disaster Fund;</v>
      </c>
    </row>
    <row r="590" spans="1:12" s="2024" customFormat="1" x14ac:dyDescent="0.2">
      <c r="A590" s="2116" t="s">
        <v>5011</v>
      </c>
      <c r="B590" s="2117" t="s">
        <v>5012</v>
      </c>
      <c r="C590" s="2109">
        <f>VLOOKUP(A590,'2011 - TB'!$A$3:$B$971,2,FALSE)</f>
        <v>0</v>
      </c>
      <c r="D590" s="2118">
        <v>0</v>
      </c>
      <c r="E590" s="2118">
        <v>0</v>
      </c>
      <c r="F590" s="2118">
        <v>0</v>
      </c>
      <c r="G590" s="2118">
        <f t="shared" si="19"/>
        <v>0</v>
      </c>
      <c r="H590" s="2640">
        <f>SUMIF('Original Budget'!$A$1:$A$691,'Trial Balance - FPer'!A590,'Original Budget'!$C$1:$C$691)</f>
        <v>0</v>
      </c>
      <c r="I590" s="2640"/>
      <c r="J590" s="2119" t="s">
        <v>5936</v>
      </c>
      <c r="L590" s="2024" t="str">
        <f>VLOOKUP(A590,'2012 Budget'!$A$18:$B$2152,2,FALSE)</f>
        <v>Health Services</v>
      </c>
    </row>
    <row r="591" spans="1:12" s="2024" customFormat="1" x14ac:dyDescent="0.2">
      <c r="A591" s="2116" t="s">
        <v>5576</v>
      </c>
      <c r="B591" s="2117" t="s">
        <v>5012</v>
      </c>
      <c r="C591" s="2109" t="str">
        <f>VLOOKUP(A591,'2011 - TB'!$A$3:$B$971,2,FALSE)</f>
        <v xml:space="preserve">                               -  </v>
      </c>
      <c r="D591" s="2118">
        <v>0</v>
      </c>
      <c r="E591" s="2118">
        <v>0</v>
      </c>
      <c r="F591" s="2118">
        <v>0</v>
      </c>
      <c r="G591" s="2118">
        <f t="shared" si="19"/>
        <v>0</v>
      </c>
      <c r="H591" s="2640">
        <f>SUMIF('Original Budget'!$A$1:$A$691,'Trial Balance - FPer'!A591,'Original Budget'!$C$1:$C$691)</f>
        <v>412.57</v>
      </c>
      <c r="I591" s="2640"/>
      <c r="J591" s="2119" t="s">
        <v>5936</v>
      </c>
      <c r="L591" s="2024" t="str">
        <f>VLOOKUP(A591,'2012 Budget'!$A$18:$B$2152,2,FALSE)</f>
        <v>Health Services</v>
      </c>
    </row>
    <row r="592" spans="1:12" s="2024" customFormat="1" x14ac:dyDescent="0.2">
      <c r="A592" s="2116" t="s">
        <v>5688</v>
      </c>
      <c r="B592" s="2117" t="s">
        <v>5012</v>
      </c>
      <c r="C592" s="2109">
        <f>VLOOKUP(A592,'2011 - TB'!$A$3:$B$971,2,FALSE)</f>
        <v>13244</v>
      </c>
      <c r="D592" s="2118">
        <v>0</v>
      </c>
      <c r="E592" s="2118">
        <f>VLOOKUP(A592,'2012 - TB'!$A$3:$H$733,5,FALSE)</f>
        <v>30097.07</v>
      </c>
      <c r="F592" s="2118">
        <f>VLOOKUP(A592,'2012 - TB'!$A$3:$H$733,6,FALSE)</f>
        <v>0</v>
      </c>
      <c r="G592" s="2118">
        <f t="shared" si="19"/>
        <v>30097.07</v>
      </c>
      <c r="H592" s="2640">
        <f>SUMIF('Original Budget'!$A$1:$A$691,'Trial Balance - FPer'!A592,'Original Budget'!$C$1:$C$691)</f>
        <v>19872.599999999999</v>
      </c>
      <c r="I592" s="2640">
        <f>VLOOKUP(A592,'2012 - TB'!$A$3:$C$733,3,FALSE)</f>
        <v>19872.599999999999</v>
      </c>
      <c r="J592" s="2119" t="s">
        <v>5936</v>
      </c>
      <c r="L592" s="2024" t="str">
        <f>VLOOKUP(A592,'2012 Budget'!$A$18:$B$2152,2,FALSE)</f>
        <v>Health Services</v>
      </c>
    </row>
    <row r="593" spans="1:12" s="2024" customFormat="1" x14ac:dyDescent="0.2">
      <c r="A593" s="2116" t="s">
        <v>5797</v>
      </c>
      <c r="B593" s="2117" t="s">
        <v>5012</v>
      </c>
      <c r="C593" s="2109">
        <f>VLOOKUP(A593,'2011 - TB'!$A$3:$B$971,2,FALSE)</f>
        <v>250</v>
      </c>
      <c r="D593" s="2118">
        <v>0</v>
      </c>
      <c r="E593" s="2118">
        <f>VLOOKUP(A593,'2012 - TB'!$A$3:$H$733,5,FALSE)</f>
        <v>6185</v>
      </c>
      <c r="F593" s="2118">
        <f>VLOOKUP(A593,'2012 - TB'!$A$3:$H$733,6,FALSE)</f>
        <v>0</v>
      </c>
      <c r="G593" s="2118">
        <f t="shared" si="19"/>
        <v>6185</v>
      </c>
      <c r="H593" s="2640">
        <f>SUMIF('Original Budget'!$A$1:$A$691,'Trial Balance - FPer'!A593,'Original Budget'!$C$1:$C$691)</f>
        <v>0</v>
      </c>
      <c r="I593" s="2640">
        <f>VLOOKUP(A593,'2012 - TB'!$A$3:$C$733,3,FALSE)</f>
        <v>0</v>
      </c>
      <c r="J593" s="2119" t="s">
        <v>5936</v>
      </c>
      <c r="L593" s="2024" t="str">
        <f>VLOOKUP(A593,'2012 Budget'!$A$18:$B$2152,2,FALSE)</f>
        <v>Health Services</v>
      </c>
    </row>
    <row r="594" spans="1:12" s="2024" customFormat="1" ht="13.5" thickBot="1" x14ac:dyDescent="0.25">
      <c r="A594" s="2120" t="s">
        <v>5853</v>
      </c>
      <c r="B594" s="2121" t="s">
        <v>5012</v>
      </c>
      <c r="C594" s="2122">
        <f>VLOOKUP(A594,'2011 - TB'!$A$3:$B$971,2,FALSE)</f>
        <v>15000</v>
      </c>
      <c r="D594" s="2123">
        <v>0</v>
      </c>
      <c r="E594" s="2123">
        <f>VLOOKUP(A594,'2012 - TB'!$A$3:$H$733,5,FALSE)</f>
        <v>14083.67</v>
      </c>
      <c r="F594" s="2123">
        <f>VLOOKUP(A594,'2012 - TB'!$A$3:$H$733,6,FALSE)</f>
        <v>0</v>
      </c>
      <c r="G594" s="2123">
        <f t="shared" si="19"/>
        <v>14083.67</v>
      </c>
      <c r="H594" s="2640">
        <f>SUMIF('Original Budget'!$A$1:$A$691,'Trial Balance - FPer'!A594,'Original Budget'!$C$1:$C$691)</f>
        <v>33000</v>
      </c>
      <c r="I594" s="2640">
        <f>VLOOKUP(A594,'2012 - TB'!$A$3:$C$733,3,FALSE)</f>
        <v>5299.73</v>
      </c>
      <c r="J594" s="2124" t="s">
        <v>5936</v>
      </c>
      <c r="L594" s="2024" t="str">
        <f>VLOOKUP(A594,'2012 Budget'!$A$18:$B$2152,2,FALSE)</f>
        <v>Health Services</v>
      </c>
    </row>
    <row r="595" spans="1:12" s="2024" customFormat="1" x14ac:dyDescent="0.2">
      <c r="A595" s="2116" t="s">
        <v>5017</v>
      </c>
      <c r="B595" s="2117" t="s">
        <v>4867</v>
      </c>
      <c r="C595" s="2109">
        <f>VLOOKUP(A595,'2011 - TB'!$A$3:$B$971,2,FALSE)</f>
        <v>2389.42</v>
      </c>
      <c r="D595" s="2118">
        <v>0</v>
      </c>
      <c r="E595" s="2118">
        <f>VLOOKUP(A595,'2012 - TB'!$A$3:$H$733,5,FALSE)</f>
        <v>1287.94</v>
      </c>
      <c r="F595" s="2118">
        <f>VLOOKUP(A595,'2012 - TB'!$A$3:$H$733,6,FALSE)</f>
        <v>0</v>
      </c>
      <c r="G595" s="2118">
        <f t="shared" si="19"/>
        <v>1287.94</v>
      </c>
      <c r="H595" s="2640">
        <f>SUMIF('Original Budget'!$A$1:$A$691,'Trial Balance - FPer'!A595,'Original Budget'!$C$1:$C$691)</f>
        <v>2689.5</v>
      </c>
      <c r="I595" s="2640">
        <f>VLOOKUP(A595,'2012 - TB'!$A$3:$C$733,3,FALSE)</f>
        <v>2689.5</v>
      </c>
      <c r="J595" s="2119" t="s">
        <v>5958</v>
      </c>
      <c r="L595" s="2024" t="str">
        <f>VLOOKUP(A595,'2012 Budget'!$A$18:$B$2152,2,FALSE)</f>
        <v>Vehicle License</v>
      </c>
    </row>
    <row r="596" spans="1:12" s="2024" customFormat="1" x14ac:dyDescent="0.2">
      <c r="A596" s="2116" t="s">
        <v>5143</v>
      </c>
      <c r="B596" s="2117" t="s">
        <v>4867</v>
      </c>
      <c r="C596" s="2109">
        <f>VLOOKUP(A596,'2011 - TB'!$A$3:$B$971,2,FALSE)</f>
        <v>2477</v>
      </c>
      <c r="D596" s="2118">
        <v>0</v>
      </c>
      <c r="E596" s="2118">
        <f>VLOOKUP(A596,'2012 - TB'!$A$3:$H$733,5,FALSE)</f>
        <v>66</v>
      </c>
      <c r="F596" s="2118">
        <f>VLOOKUP(A596,'2012 - TB'!$A$3:$H$733,6,FALSE)</f>
        <v>0</v>
      </c>
      <c r="G596" s="2118">
        <f t="shared" si="19"/>
        <v>66</v>
      </c>
      <c r="H596" s="2640">
        <f>SUMIF('Original Budget'!$A$1:$A$691,'Trial Balance - FPer'!A596,'Original Budget'!$C$1:$C$691)</f>
        <v>652.54</v>
      </c>
      <c r="I596" s="2640">
        <f>VLOOKUP(A596,'2012 - TB'!$A$3:$C$733,3,FALSE)</f>
        <v>265</v>
      </c>
      <c r="J596" s="2119" t="s">
        <v>5958</v>
      </c>
      <c r="L596" s="2024" t="str">
        <f>VLOOKUP(A596,'2012 Budget'!$A$18:$B$2152,2,FALSE)</f>
        <v>Vehicle License</v>
      </c>
    </row>
    <row r="597" spans="1:12" s="2024" customFormat="1" x14ac:dyDescent="0.2">
      <c r="A597" s="2116" t="s">
        <v>5533</v>
      </c>
      <c r="B597" s="2117" t="s">
        <v>4867</v>
      </c>
      <c r="C597" s="2109">
        <v>0</v>
      </c>
      <c r="D597" s="2118">
        <v>0</v>
      </c>
      <c r="E597" s="2118">
        <v>0</v>
      </c>
      <c r="F597" s="2118">
        <v>0</v>
      </c>
      <c r="G597" s="2118">
        <f t="shared" si="19"/>
        <v>0</v>
      </c>
      <c r="H597" s="2640">
        <f>SUMIF('Original Budget'!$A$1:$A$691,'Trial Balance - FPer'!A597,'Original Budget'!$C$1:$C$691)</f>
        <v>0</v>
      </c>
      <c r="I597" s="2640"/>
      <c r="J597" s="2119" t="s">
        <v>5958</v>
      </c>
      <c r="L597" s="2024" t="str">
        <f>VLOOKUP(A597,'2012 Budget'!$A$18:$B$2152,2,FALSE)</f>
        <v>Vehicle License</v>
      </c>
    </row>
    <row r="598" spans="1:12" s="2024" customFormat="1" x14ac:dyDescent="0.2">
      <c r="A598" s="2116" t="s">
        <v>5690</v>
      </c>
      <c r="B598" s="2117" t="s">
        <v>4867</v>
      </c>
      <c r="C598" s="2109">
        <f>VLOOKUP(A598,'2011 - TB'!$A$3:$B$971,2,FALSE)</f>
        <v>593</v>
      </c>
      <c r="D598" s="2118">
        <v>0</v>
      </c>
      <c r="E598" s="2118">
        <v>0</v>
      </c>
      <c r="F598" s="2118">
        <v>0</v>
      </c>
      <c r="G598" s="2118">
        <f t="shared" si="19"/>
        <v>0</v>
      </c>
      <c r="H598" s="2640">
        <f>SUMIF('Original Budget'!$A$1:$A$691,'Trial Balance - FPer'!A598,'Original Budget'!$C$1:$C$691)</f>
        <v>652.54</v>
      </c>
      <c r="I598" s="2640"/>
      <c r="J598" s="2119" t="s">
        <v>5958</v>
      </c>
      <c r="L598" s="2024" t="str">
        <f>VLOOKUP(A598,'2012 Budget'!$A$18:$B$2152,2,FALSE)</f>
        <v>Vehicle License</v>
      </c>
    </row>
    <row r="599" spans="1:12" s="2024" customFormat="1" x14ac:dyDescent="0.2">
      <c r="A599" s="2116" t="s">
        <v>5748</v>
      </c>
      <c r="B599" s="2117" t="s">
        <v>4867</v>
      </c>
      <c r="C599" s="2109">
        <f>VLOOKUP(A599,'2011 - TB'!$A$3:$B$971,2,FALSE)</f>
        <v>866.4</v>
      </c>
      <c r="D599" s="2118">
        <v>0</v>
      </c>
      <c r="E599" s="2118">
        <f>VLOOKUP(A599,'2012 - TB'!$A$3:$H$733,5,FALSE)</f>
        <v>10722</v>
      </c>
      <c r="F599" s="2118">
        <f>VLOOKUP(A599,'2012 - TB'!$A$3:$H$733,6,FALSE)</f>
        <v>0</v>
      </c>
      <c r="G599" s="2118">
        <f t="shared" si="19"/>
        <v>10722</v>
      </c>
      <c r="H599" s="2640">
        <f>SUMIF('Original Budget'!$A$1:$A$691,'Trial Balance - FPer'!A599,'Original Budget'!$C$1:$C$691)</f>
        <v>3529.57</v>
      </c>
      <c r="I599" s="2640">
        <f>VLOOKUP(A599,'2012 - TB'!$A$3:$C$733,3,FALSE)</f>
        <v>10722</v>
      </c>
      <c r="J599" s="2119" t="s">
        <v>5958</v>
      </c>
      <c r="L599" s="2024" t="str">
        <f>VLOOKUP(A599,'2012 Budget'!$A$18:$B$2152,2,FALSE)</f>
        <v>Vehicle License</v>
      </c>
    </row>
    <row r="600" spans="1:12" s="2024" customFormat="1" x14ac:dyDescent="0.2">
      <c r="A600" s="2116" t="s">
        <v>5799</v>
      </c>
      <c r="B600" s="2117" t="s">
        <v>4867</v>
      </c>
      <c r="C600" s="2109">
        <f>VLOOKUP(A600,'2011 - TB'!$A$3:$B$971,2,FALSE)</f>
        <v>24760</v>
      </c>
      <c r="D600" s="2118">
        <v>0</v>
      </c>
      <c r="E600" s="2118">
        <f>VLOOKUP(A600,'2012 - TB'!$A$3:$H$733,5,FALSE)</f>
        <v>8840.6</v>
      </c>
      <c r="F600" s="2118">
        <f>VLOOKUP(A600,'2012 - TB'!$A$3:$H$733,6,FALSE)</f>
        <v>0</v>
      </c>
      <c r="G600" s="2118">
        <f t="shared" si="19"/>
        <v>8840.6</v>
      </c>
      <c r="H600" s="2640">
        <f>SUMIF('Original Budget'!$A$1:$A$691,'Trial Balance - FPer'!A600,'Original Budget'!$C$1:$C$691)</f>
        <v>4752</v>
      </c>
      <c r="I600" s="2640">
        <f>VLOOKUP(A600,'2012 - TB'!$A$3:$C$733,3,FALSE)</f>
        <v>5661</v>
      </c>
      <c r="J600" s="2119" t="s">
        <v>5958</v>
      </c>
      <c r="L600" s="2024" t="str">
        <f>VLOOKUP(A600,'2012 Budget'!$A$18:$B$2152,2,FALSE)</f>
        <v>Vehicle License</v>
      </c>
    </row>
    <row r="601" spans="1:12" s="2024" customFormat="1" x14ac:dyDescent="0.2">
      <c r="A601" s="2116" t="s">
        <v>5855</v>
      </c>
      <c r="B601" s="2117" t="s">
        <v>4867</v>
      </c>
      <c r="C601" s="2109">
        <v>0</v>
      </c>
      <c r="D601" s="2118">
        <v>0</v>
      </c>
      <c r="E601" s="2118">
        <v>0</v>
      </c>
      <c r="F601" s="2118">
        <v>0</v>
      </c>
      <c r="G601" s="2118">
        <f t="shared" si="19"/>
        <v>0</v>
      </c>
      <c r="H601" s="2640">
        <f>SUMIF('Original Budget'!$A$1:$A$691,'Trial Balance - FPer'!A601,'Original Budget'!$C$1:$C$691)</f>
        <v>0</v>
      </c>
      <c r="I601" s="2640"/>
      <c r="J601" s="2119" t="s">
        <v>5958</v>
      </c>
      <c r="L601" s="2024" t="str">
        <f>VLOOKUP(A601,'2012 Budget'!$A$18:$B$2152,2,FALSE)</f>
        <v>Vehicle License</v>
      </c>
    </row>
    <row r="602" spans="1:12" s="2024" customFormat="1" ht="13.5" thickBot="1" x14ac:dyDescent="0.25">
      <c r="A602" s="2116" t="s">
        <v>5912</v>
      </c>
      <c r="B602" s="2117" t="s">
        <v>4867</v>
      </c>
      <c r="C602" s="2109">
        <v>0</v>
      </c>
      <c r="D602" s="2118">
        <v>0</v>
      </c>
      <c r="E602" s="2118">
        <v>0</v>
      </c>
      <c r="F602" s="2118">
        <v>0</v>
      </c>
      <c r="G602" s="2118">
        <f t="shared" si="19"/>
        <v>0</v>
      </c>
      <c r="H602" s="2640">
        <f>SUMIF('Original Budget'!$A$1:$A$691,'Trial Balance - FPer'!A602,'Original Budget'!$C$1:$C$691)</f>
        <v>6934.4</v>
      </c>
      <c r="I602" s="2640"/>
      <c r="J602" s="2119" t="s">
        <v>5958</v>
      </c>
      <c r="L602" s="2024" t="str">
        <f>VLOOKUP(A602,'2012 Budget'!$A$18:$B$2152,2,FALSE)</f>
        <v>Vehicle License</v>
      </c>
    </row>
    <row r="603" spans="1:12" s="2024" customFormat="1" x14ac:dyDescent="0.2">
      <c r="A603" s="2111" t="s">
        <v>4860</v>
      </c>
      <c r="B603" s="2112" t="s">
        <v>4861</v>
      </c>
      <c r="C603" s="2113">
        <f>VLOOKUP(A603,'2011 - TB'!$A$3:$B$971,2,FALSE)</f>
        <v>6600</v>
      </c>
      <c r="D603" s="2114">
        <v>0</v>
      </c>
      <c r="E603" s="2114">
        <f>VLOOKUP(A603,'2012 - TB'!$A$3:$H$733,5,FALSE)</f>
        <v>2120</v>
      </c>
      <c r="F603" s="2114">
        <f>VLOOKUP(A603,'2012 - TB'!$A$3:$H$733,6,FALSE)</f>
        <v>0</v>
      </c>
      <c r="G603" s="2114">
        <f t="shared" si="19"/>
        <v>2120</v>
      </c>
      <c r="H603" s="2640">
        <f>SUMIF('Original Budget'!$A$1:$A$691,'Trial Balance - FPer'!A603,'Original Budget'!$C$1:$C$691)</f>
        <v>0</v>
      </c>
      <c r="I603" s="2640">
        <f>VLOOKUP(A603,'2012 - TB'!$A$3:$C$733,3,FALSE)</f>
        <v>2120</v>
      </c>
      <c r="J603" s="2115" t="s">
        <v>5939</v>
      </c>
      <c r="L603" s="2024" t="str">
        <f>VLOOKUP(A603,'2012 Budget'!$A$18:$B$2152,2,FALSE)</f>
        <v>Pauper Burials;</v>
      </c>
    </row>
    <row r="604" spans="1:12" s="2024" customFormat="1" ht="13.5" thickBot="1" x14ac:dyDescent="0.25">
      <c r="A604" s="2120" t="s">
        <v>5426</v>
      </c>
      <c r="B604" s="2121" t="s">
        <v>4861</v>
      </c>
      <c r="C604" s="2122">
        <f>VLOOKUP(A604,'2011 - TB'!$A$3:$B$971,2,FALSE)</f>
        <v>12226</v>
      </c>
      <c r="D604" s="2123">
        <v>0</v>
      </c>
      <c r="E604" s="2123">
        <f>VLOOKUP(A604,'2012 - TB'!$A$3:$H$733,5,FALSE)</f>
        <v>12720</v>
      </c>
      <c r="F604" s="2123">
        <f>VLOOKUP(A604,'2012 - TB'!$A$3:$H$733,6,FALSE)</f>
        <v>0</v>
      </c>
      <c r="G604" s="2123">
        <f t="shared" si="19"/>
        <v>12720</v>
      </c>
      <c r="H604" s="2640">
        <f>SUMIF('Original Budget'!$A$1:$A$691,'Trial Balance - FPer'!A604,'Original Budget'!$C$1:$C$691)</f>
        <v>16681.509999999998</v>
      </c>
      <c r="I604" s="2640">
        <f>VLOOKUP(A604,'2012 - TB'!$A$3:$C$733,3,FALSE)</f>
        <v>16681.509999999998</v>
      </c>
      <c r="J604" s="2124" t="s">
        <v>5939</v>
      </c>
      <c r="L604" s="2024" t="str">
        <f>VLOOKUP(A604,'2012 Budget'!$A$18:$B$2152,2,FALSE)</f>
        <v>Pauper Burials;</v>
      </c>
    </row>
    <row r="605" spans="1:12" s="2024" customFormat="1" x14ac:dyDescent="0.2">
      <c r="A605" s="2116" t="s">
        <v>4864</v>
      </c>
      <c r="B605" s="2117" t="s">
        <v>4865</v>
      </c>
      <c r="C605" s="2109">
        <f>VLOOKUP(A605,'2011 - TB'!$A$3:$B$971,2,FALSE)</f>
        <v>0</v>
      </c>
      <c r="D605" s="2118">
        <v>0</v>
      </c>
      <c r="E605" s="2118">
        <v>0</v>
      </c>
      <c r="F605" s="2118">
        <v>0</v>
      </c>
      <c r="G605" s="2118">
        <f t="shared" si="19"/>
        <v>0</v>
      </c>
      <c r="H605" s="2640">
        <f>SUMIF('Original Budget'!$A$1:$A$691,'Trial Balance - FPer'!A605,'Original Budget'!$C$1:$C$691)</f>
        <v>0</v>
      </c>
      <c r="I605" s="2640"/>
      <c r="J605" s="2119" t="s">
        <v>5956</v>
      </c>
      <c r="L605" s="2024" t="str">
        <f>VLOOKUP(A605,'2012 Budget'!$A$18:$B$2152,2,FALSE)</f>
        <v>Postage;</v>
      </c>
    </row>
    <row r="606" spans="1:12" s="2024" customFormat="1" x14ac:dyDescent="0.2">
      <c r="A606" s="2116" t="s">
        <v>5009</v>
      </c>
      <c r="B606" s="2117" t="s">
        <v>4865</v>
      </c>
      <c r="C606" s="2109">
        <f>VLOOKUP(A606,'2011 - TB'!$A$3:$B$971,2,FALSE)</f>
        <v>296222.11</v>
      </c>
      <c r="D606" s="2118">
        <v>0</v>
      </c>
      <c r="E606" s="2118">
        <f>VLOOKUP(A606,'2012 - TB'!$A$3:$H$733,5,FALSE)</f>
        <v>602521.92999999993</v>
      </c>
      <c r="F606" s="2118">
        <f>VLOOKUP(A606,'2012 - TB'!$A$3:$H$733,6,FALSE)</f>
        <v>0</v>
      </c>
      <c r="G606" s="2118">
        <f t="shared" si="19"/>
        <v>602521.92999999993</v>
      </c>
      <c r="H606" s="2640">
        <f>SUMIF('Original Budget'!$A$1:$A$691,'Trial Balance - FPer'!A606,'Original Budget'!$C$1:$C$691)</f>
        <v>272573.51</v>
      </c>
      <c r="I606" s="2640">
        <f>VLOOKUP(A606,'2012 - TB'!$A$3:$C$733,3,FALSE)</f>
        <v>174508.68</v>
      </c>
      <c r="J606" s="2119" t="s">
        <v>5956</v>
      </c>
      <c r="L606" s="2024" t="str">
        <f>VLOOKUP(A606,'2012 Budget'!$A$18:$B$2152,2,FALSE)</f>
        <v>Postage;</v>
      </c>
    </row>
    <row r="607" spans="1:12" s="2024" customFormat="1" x14ac:dyDescent="0.2">
      <c r="A607" s="2116" t="s">
        <v>5010</v>
      </c>
      <c r="B607" s="2117" t="s">
        <v>4865</v>
      </c>
      <c r="C607" s="2109">
        <f>VLOOKUP(A607,'2011 - TB'!$A$3:$B$971,2,FALSE)</f>
        <v>0</v>
      </c>
      <c r="D607" s="2118">
        <v>0</v>
      </c>
      <c r="E607" s="2118">
        <v>0</v>
      </c>
      <c r="F607" s="2118">
        <v>0</v>
      </c>
      <c r="G607" s="2118">
        <f t="shared" si="19"/>
        <v>0</v>
      </c>
      <c r="H607" s="2640">
        <f>SUMIF('Original Budget'!$A$1:$A$691,'Trial Balance - FPer'!A607,'Original Budget'!$C$1:$C$691)</f>
        <v>0</v>
      </c>
      <c r="I607" s="2640"/>
      <c r="J607" s="2119" t="s">
        <v>5956</v>
      </c>
      <c r="L607" s="2024" t="str">
        <f>VLOOKUP(A607,'2012 Budget'!$A$18:$B$2152,2,FALSE)</f>
        <v>Postage;</v>
      </c>
    </row>
    <row r="608" spans="1:12" s="2024" customFormat="1" x14ac:dyDescent="0.2">
      <c r="A608" s="2116" t="s">
        <v>5115</v>
      </c>
      <c r="B608" s="2117" t="s">
        <v>4865</v>
      </c>
      <c r="C608" s="2109">
        <f>VLOOKUP(A608,'2011 - TB'!$A$3:$B$971,2,FALSE)</f>
        <v>69.69</v>
      </c>
      <c r="D608" s="2118">
        <v>0</v>
      </c>
      <c r="E608" s="2118">
        <f>VLOOKUP(A608,'2012 - TB'!$A$3:$H$733,5,FALSE)</f>
        <v>206.98</v>
      </c>
      <c r="F608" s="2118">
        <f>VLOOKUP(A608,'2012 - TB'!$A$3:$H$733,6,FALSE)</f>
        <v>0</v>
      </c>
      <c r="G608" s="2118">
        <f t="shared" si="19"/>
        <v>206.98</v>
      </c>
      <c r="H608" s="2640">
        <f>SUMIF('Original Budget'!$A$1:$A$691,'Trial Balance - FPer'!A608,'Original Budget'!$C$1:$C$691)</f>
        <v>66.73</v>
      </c>
      <c r="I608" s="2640">
        <f>VLOOKUP(A608,'2012 - TB'!$A$3:$C$733,3,FALSE)</f>
        <v>56.45</v>
      </c>
      <c r="J608" s="2119" t="s">
        <v>5956</v>
      </c>
      <c r="L608" s="2024" t="str">
        <f>VLOOKUP(A608,'2012 Budget'!$A$18:$B$2152,2,FALSE)</f>
        <v>Postage;</v>
      </c>
    </row>
    <row r="609" spans="1:12" s="2024" customFormat="1" x14ac:dyDescent="0.2">
      <c r="A609" s="2116" t="s">
        <v>5142</v>
      </c>
      <c r="B609" s="2117" t="s">
        <v>4865</v>
      </c>
      <c r="C609" s="2109" t="str">
        <f>VLOOKUP(A609,'2011 - TB'!$A$3:$B$971,2,FALSE)</f>
        <v xml:space="preserve">                               -  </v>
      </c>
      <c r="D609" s="2118">
        <v>0</v>
      </c>
      <c r="E609" s="2118">
        <f>VLOOKUP(A609,'2012 - TB'!$A$3:$H$733,5,FALSE)</f>
        <v>0</v>
      </c>
      <c r="F609" s="2118">
        <f>VLOOKUP(A609,'2012 - TB'!$A$3:$H$733,6,FALSE)</f>
        <v>0</v>
      </c>
      <c r="G609" s="2118">
        <f t="shared" si="19"/>
        <v>0</v>
      </c>
      <c r="H609" s="2640">
        <f>SUMIF('Original Budget'!$A$1:$A$691,'Trial Balance - FPer'!A609,'Original Budget'!$C$1:$C$691)</f>
        <v>205.96</v>
      </c>
      <c r="I609" s="2640">
        <f>VLOOKUP(A609,'2012 - TB'!$A$3:$C$733,3,FALSE)</f>
        <v>205.96</v>
      </c>
      <c r="J609" s="2119" t="s">
        <v>5956</v>
      </c>
      <c r="L609" s="2024" t="str">
        <f>VLOOKUP(A609,'2012 Budget'!$A$18:$B$2152,2,FALSE)</f>
        <v>Postage;</v>
      </c>
    </row>
    <row r="610" spans="1:12" s="2024" customFormat="1" x14ac:dyDescent="0.2">
      <c r="A610" s="2116" t="s">
        <v>5265</v>
      </c>
      <c r="B610" s="2117" t="s">
        <v>4865</v>
      </c>
      <c r="C610" s="2109" t="str">
        <f>VLOOKUP(A610,'2011 - TB'!$A$3:$B$971,2,FALSE)</f>
        <v xml:space="preserve">                               -  </v>
      </c>
      <c r="D610" s="2118">
        <v>0</v>
      </c>
      <c r="E610" s="2118">
        <v>0</v>
      </c>
      <c r="F610" s="2118">
        <v>0</v>
      </c>
      <c r="G610" s="2118">
        <f t="shared" si="19"/>
        <v>0</v>
      </c>
      <c r="H610" s="2640">
        <f>SUMIF('Original Budget'!$A$1:$A$691,'Trial Balance - FPer'!A610,'Original Budget'!$C$1:$C$691)</f>
        <v>186.08</v>
      </c>
      <c r="I610" s="2640"/>
      <c r="J610" s="2119" t="s">
        <v>5956</v>
      </c>
      <c r="L610" s="2024" t="str">
        <f>VLOOKUP(A610,'2012 Budget'!$A$18:$B$2152,2,FALSE)</f>
        <v>Postage;</v>
      </c>
    </row>
    <row r="611" spans="1:12" s="2024" customFormat="1" x14ac:dyDescent="0.2">
      <c r="A611" s="2116" t="s">
        <v>5266</v>
      </c>
      <c r="B611" s="2117" t="s">
        <v>4865</v>
      </c>
      <c r="C611" s="2109">
        <f>VLOOKUP(A611,'2011 - TB'!$A$3:$B$971,2,FALSE)</f>
        <v>20427.53</v>
      </c>
      <c r="D611" s="2118">
        <v>0</v>
      </c>
      <c r="E611" s="2118">
        <f>VLOOKUP(A611,'2012 - TB'!$A$3:$H$733,5,FALSE)</f>
        <v>1747.61</v>
      </c>
      <c r="F611" s="2118">
        <f>VLOOKUP(A611,'2012 - TB'!$A$3:$H$733,6,FALSE)</f>
        <v>0</v>
      </c>
      <c r="G611" s="2118">
        <f t="shared" si="19"/>
        <v>1747.61</v>
      </c>
      <c r="H611" s="2640">
        <f>SUMIF('Original Budget'!$A$1:$A$691,'Trial Balance - FPer'!A611,'Original Budget'!$C$1:$C$691)</f>
        <v>3038.53</v>
      </c>
      <c r="I611" s="2640">
        <f>VLOOKUP(A611,'2012 - TB'!$A$3:$C$733,3,FALSE)</f>
        <v>3038.53</v>
      </c>
      <c r="J611" s="2119" t="s">
        <v>5956</v>
      </c>
      <c r="L611" s="2024" t="str">
        <f>VLOOKUP(A611,'2012 Budget'!$A$18:$B$2152,2,FALSE)</f>
        <v>Postage;</v>
      </c>
    </row>
    <row r="612" spans="1:12" s="2024" customFormat="1" x14ac:dyDescent="0.2">
      <c r="A612" s="2116" t="s">
        <v>5340</v>
      </c>
      <c r="B612" s="2117" t="s">
        <v>4865</v>
      </c>
      <c r="C612" s="2109" t="str">
        <f>VLOOKUP(A612,'2011 - TB'!$A$3:$B$971,2,FALSE)</f>
        <v xml:space="preserve">                               -  </v>
      </c>
      <c r="D612" s="2118">
        <v>0</v>
      </c>
      <c r="E612" s="2118">
        <v>0</v>
      </c>
      <c r="F612" s="2118">
        <v>0</v>
      </c>
      <c r="G612" s="2118">
        <f t="shared" si="19"/>
        <v>0</v>
      </c>
      <c r="H612" s="2640">
        <f>SUMIF('Original Budget'!$A$1:$A$691,'Trial Balance - FPer'!A612,'Original Budget'!$C$1:$C$691)</f>
        <v>412.57</v>
      </c>
      <c r="I612" s="2640"/>
      <c r="J612" s="2119" t="s">
        <v>5956</v>
      </c>
      <c r="L612" s="2024" t="str">
        <f>VLOOKUP(A612,'2012 Budget'!$A$18:$B$2152,2,FALSE)</f>
        <v>Postage;</v>
      </c>
    </row>
    <row r="613" spans="1:12" s="2024" customFormat="1" x14ac:dyDescent="0.2">
      <c r="A613" s="2116" t="s">
        <v>5371</v>
      </c>
      <c r="B613" s="2117" t="s">
        <v>4865</v>
      </c>
      <c r="C613" s="2109" t="str">
        <f>VLOOKUP(A613,'2011 - TB'!$A$3:$B$971,2,FALSE)</f>
        <v xml:space="preserve">                               -  </v>
      </c>
      <c r="D613" s="2118">
        <v>0</v>
      </c>
      <c r="E613" s="2118">
        <v>0</v>
      </c>
      <c r="F613" s="2118">
        <v>0</v>
      </c>
      <c r="G613" s="2118">
        <f t="shared" si="19"/>
        <v>0</v>
      </c>
      <c r="H613" s="2640">
        <f>SUMIF('Original Budget'!$A$1:$A$691,'Trial Balance - FPer'!A613,'Original Budget'!$C$1:$C$691)</f>
        <v>205.96</v>
      </c>
      <c r="I613" s="2640"/>
      <c r="J613" s="2119" t="s">
        <v>5956</v>
      </c>
      <c r="L613" s="2024" t="str">
        <f>VLOOKUP(A613,'2012 Budget'!$A$18:$B$2152,2,FALSE)</f>
        <v>Postage;</v>
      </c>
    </row>
    <row r="614" spans="1:12" s="2024" customFormat="1" x14ac:dyDescent="0.2">
      <c r="A614" s="2116" t="s">
        <v>5469</v>
      </c>
      <c r="B614" s="2117" t="s">
        <v>4865</v>
      </c>
      <c r="C614" s="2109">
        <f>VLOOKUP(A614,'2011 - TB'!$A$3:$B$971,2,FALSE)</f>
        <v>3.07</v>
      </c>
      <c r="D614" s="2118">
        <v>0</v>
      </c>
      <c r="E614" s="2118">
        <v>0</v>
      </c>
      <c r="F614" s="2118">
        <v>0</v>
      </c>
      <c r="G614" s="2118">
        <f t="shared" si="19"/>
        <v>0</v>
      </c>
      <c r="H614" s="2640">
        <f>SUMIF('Original Budget'!$A$1:$A$691,'Trial Balance - FPer'!A614,'Original Budget'!$C$1:$C$691)</f>
        <v>456.13</v>
      </c>
      <c r="I614" s="2640"/>
      <c r="J614" s="2119" t="s">
        <v>5956</v>
      </c>
      <c r="L614" s="2024" t="str">
        <f>VLOOKUP(A614,'2012 Budget'!$A$18:$B$2152,2,FALSE)</f>
        <v>Postage;</v>
      </c>
    </row>
    <row r="615" spans="1:12" s="2024" customFormat="1" x14ac:dyDescent="0.2">
      <c r="A615" s="2116" t="s">
        <v>5501</v>
      </c>
      <c r="B615" s="2117" t="s">
        <v>4865</v>
      </c>
      <c r="C615" s="2109">
        <v>0</v>
      </c>
      <c r="D615" s="2118">
        <v>0</v>
      </c>
      <c r="E615" s="2118">
        <v>0</v>
      </c>
      <c r="F615" s="2118">
        <v>0</v>
      </c>
      <c r="G615" s="2118">
        <f t="shared" si="19"/>
        <v>0</v>
      </c>
      <c r="H615" s="2640">
        <f>SUMIF('Original Budget'!$A$1:$A$691,'Trial Balance - FPer'!A615,'Original Budget'!$C$1:$C$691)</f>
        <v>0</v>
      </c>
      <c r="I615" s="2640"/>
      <c r="J615" s="2119" t="s">
        <v>5956</v>
      </c>
      <c r="L615" s="2024" t="str">
        <f>VLOOKUP(A615,'2012 Budget'!$A$18:$B$2152,2,FALSE)</f>
        <v>Postage;</v>
      </c>
    </row>
    <row r="616" spans="1:12" s="2024" customFormat="1" x14ac:dyDescent="0.2">
      <c r="A616" s="2116" t="s">
        <v>5531</v>
      </c>
      <c r="B616" s="2117" t="s">
        <v>4865</v>
      </c>
      <c r="C616" s="2109">
        <v>0</v>
      </c>
      <c r="D616" s="2118">
        <v>0</v>
      </c>
      <c r="E616" s="2118">
        <v>0</v>
      </c>
      <c r="F616" s="2118">
        <v>0</v>
      </c>
      <c r="G616" s="2118">
        <f t="shared" si="19"/>
        <v>0</v>
      </c>
      <c r="H616" s="2640">
        <f>SUMIF('Original Budget'!$A$1:$A$691,'Trial Balance - FPer'!A616,'Original Budget'!$C$1:$C$691)</f>
        <v>0</v>
      </c>
      <c r="I616" s="2640"/>
      <c r="J616" s="2119" t="s">
        <v>5956</v>
      </c>
      <c r="L616" s="2024" t="str">
        <f>VLOOKUP(A616,'2012 Budget'!$A$18:$B$2152,2,FALSE)</f>
        <v>Postage;</v>
      </c>
    </row>
    <row r="617" spans="1:12" s="2024" customFormat="1" x14ac:dyDescent="0.2">
      <c r="A617" s="2116" t="s">
        <v>5687</v>
      </c>
      <c r="B617" s="2117" t="s">
        <v>4865</v>
      </c>
      <c r="C617" s="2109">
        <v>0</v>
      </c>
      <c r="D617" s="2118">
        <v>0</v>
      </c>
      <c r="E617" s="2118">
        <v>0</v>
      </c>
      <c r="F617" s="2118">
        <v>0</v>
      </c>
      <c r="G617" s="2118">
        <f t="shared" si="19"/>
        <v>0</v>
      </c>
      <c r="H617" s="2640">
        <f>SUMIF('Original Budget'!$A$1:$A$691,'Trial Balance - FPer'!A617,'Original Budget'!$C$1:$C$691)</f>
        <v>827.71</v>
      </c>
      <c r="I617" s="2640"/>
      <c r="J617" s="2119" t="s">
        <v>5956</v>
      </c>
      <c r="L617" s="2024" t="str">
        <f>VLOOKUP(A617,'2012 Budget'!$A$18:$B$2152,2,FALSE)</f>
        <v>Postage;</v>
      </c>
    </row>
    <row r="618" spans="1:12" s="2024" customFormat="1" x14ac:dyDescent="0.2">
      <c r="A618" s="2116" t="s">
        <v>5745</v>
      </c>
      <c r="B618" s="2117" t="s">
        <v>4865</v>
      </c>
      <c r="C618" s="2109">
        <v>0</v>
      </c>
      <c r="D618" s="2118">
        <v>0</v>
      </c>
      <c r="E618" s="2118">
        <v>0</v>
      </c>
      <c r="F618" s="2118">
        <v>0</v>
      </c>
      <c r="G618" s="2118">
        <f t="shared" si="19"/>
        <v>0</v>
      </c>
      <c r="H618" s="2640">
        <f>SUMIF('Original Budget'!$A$1:$A$691,'Trial Balance - FPer'!A618,'Original Budget'!$C$1:$C$691)</f>
        <v>0</v>
      </c>
      <c r="I618" s="2640"/>
      <c r="J618" s="2119" t="s">
        <v>5956</v>
      </c>
      <c r="L618" s="2024" t="str">
        <f>VLOOKUP(A618,'2012 Budget'!$A$18:$B$2152,2,FALSE)</f>
        <v>Tools &amp; Accesso</v>
      </c>
    </row>
    <row r="619" spans="1:12" s="2024" customFormat="1" x14ac:dyDescent="0.2">
      <c r="A619" s="2116" t="s">
        <v>5796</v>
      </c>
      <c r="B619" s="2117" t="s">
        <v>4865</v>
      </c>
      <c r="C619" s="2109">
        <v>0</v>
      </c>
      <c r="D619" s="2118">
        <v>0</v>
      </c>
      <c r="E619" s="2118">
        <v>0</v>
      </c>
      <c r="F619" s="2118">
        <v>0</v>
      </c>
      <c r="G619" s="2118">
        <f t="shared" si="19"/>
        <v>0</v>
      </c>
      <c r="H619" s="2640">
        <f>SUMIF('Original Budget'!$A$1:$A$691,'Trial Balance - FPer'!A619,'Original Budget'!$C$1:$C$691)</f>
        <v>0</v>
      </c>
      <c r="I619" s="2640"/>
      <c r="J619" s="2119" t="s">
        <v>5956</v>
      </c>
      <c r="L619" s="2024" t="str">
        <f>VLOOKUP(A619,'2012 Budget'!$A$18:$B$2152,2,FALSE)</f>
        <v>Tools &amp; Accesso</v>
      </c>
    </row>
    <row r="620" spans="1:12" s="2024" customFormat="1" x14ac:dyDescent="0.2">
      <c r="A620" s="2116" t="s">
        <v>5851</v>
      </c>
      <c r="B620" s="2117" t="s">
        <v>4865</v>
      </c>
      <c r="C620" s="2109">
        <v>0</v>
      </c>
      <c r="D620" s="2118">
        <v>0</v>
      </c>
      <c r="E620" s="2118">
        <f>VLOOKUP(A620,'2012 - TB'!$A$3:$H$733,5,FALSE)</f>
        <v>175.44</v>
      </c>
      <c r="F620" s="2118">
        <f>VLOOKUP(A620,'2012 - TB'!$A$3:$H$733,6,FALSE)</f>
        <v>0</v>
      </c>
      <c r="G620" s="2118">
        <f t="shared" si="19"/>
        <v>175.44</v>
      </c>
      <c r="H620" s="2640">
        <f>SUMIF('Original Budget'!$A$1:$A$691,'Trial Balance - FPer'!A620,'Original Budget'!$C$1:$C$691)</f>
        <v>0</v>
      </c>
      <c r="I620" s="2640">
        <f>VLOOKUP(A620,'2012 - TB'!$A$3:$C$733,3,FALSE)</f>
        <v>0</v>
      </c>
      <c r="J620" s="2119" t="s">
        <v>5956</v>
      </c>
      <c r="L620" s="2024" t="str">
        <f>VLOOKUP(A620,'2012 Budget'!$A$18:$B$2152,2,FALSE)</f>
        <v>Postage;</v>
      </c>
    </row>
    <row r="621" spans="1:12" s="2024" customFormat="1" ht="13.5" thickBot="1" x14ac:dyDescent="0.25">
      <c r="A621" s="2116" t="s">
        <v>5852</v>
      </c>
      <c r="B621" s="2117" t="s">
        <v>4865</v>
      </c>
      <c r="C621" s="2109">
        <v>0</v>
      </c>
      <c r="D621" s="2118">
        <v>0</v>
      </c>
      <c r="E621" s="2118">
        <v>0</v>
      </c>
      <c r="F621" s="2118">
        <v>0</v>
      </c>
      <c r="G621" s="2118">
        <f t="shared" si="19"/>
        <v>0</v>
      </c>
      <c r="H621" s="2640">
        <f>SUMIF('Original Budget'!$A$1:$A$691,'Trial Balance - FPer'!A621,'Original Budget'!$C$1:$C$691)</f>
        <v>0</v>
      </c>
      <c r="I621" s="2640"/>
      <c r="J621" s="2119" t="s">
        <v>5956</v>
      </c>
      <c r="L621" s="2024" t="str">
        <f>VLOOKUP(A621,'2012 Budget'!$A$18:$B$2152,2,FALSE)</f>
        <v>Tools &amp; Accesso</v>
      </c>
    </row>
    <row r="622" spans="1:12" s="2024" customFormat="1" x14ac:dyDescent="0.2">
      <c r="A622" s="2111" t="s">
        <v>4919</v>
      </c>
      <c r="B622" s="2112" t="s">
        <v>4853</v>
      </c>
      <c r="C622" s="2113">
        <f>VLOOKUP(A622,'2011 - TB'!$A$3:$B$971,2,FALSE)</f>
        <v>101.02</v>
      </c>
      <c r="D622" s="2114">
        <v>0</v>
      </c>
      <c r="E622" s="2114">
        <f>VLOOKUP(A622,'2012 - TB'!$A$3:$H$733,5,FALSE)</f>
        <v>17.54</v>
      </c>
      <c r="F622" s="2114">
        <f>VLOOKUP(A622,'2012 - TB'!$A$3:$H$733,6,FALSE)</f>
        <v>0</v>
      </c>
      <c r="G622" s="2114">
        <f t="shared" si="19"/>
        <v>17.54</v>
      </c>
      <c r="H622" s="2640">
        <f>SUMIF('Original Budget'!$A$1:$A$691,'Trial Balance - FPer'!A622,'Original Budget'!$C$1:$C$691)</f>
        <v>204.06</v>
      </c>
      <c r="I622" s="2640">
        <f>VLOOKUP(A622,'2012 - TB'!$A$3:$C$733,3,FALSE)</f>
        <v>35.08</v>
      </c>
      <c r="J622" s="2115" t="s">
        <v>5947</v>
      </c>
      <c r="L622" s="2024" t="str">
        <f>VLOOKUP(A622,'2012 Budget'!$A$18:$B$2152,2,FALSE)</f>
        <v>Printing &amp; Stat</v>
      </c>
    </row>
    <row r="623" spans="1:12" s="2024" customFormat="1" x14ac:dyDescent="0.2">
      <c r="A623" s="2116" t="s">
        <v>4999</v>
      </c>
      <c r="B623" s="2117" t="s">
        <v>4853</v>
      </c>
      <c r="C623" s="2109">
        <f>VLOOKUP(A623,'2011 - TB'!$A$3:$B$971,2,FALSE)</f>
        <v>799.06</v>
      </c>
      <c r="D623" s="2118">
        <v>0</v>
      </c>
      <c r="E623" s="2118">
        <f>VLOOKUP(A623,'2012 - TB'!$A$3:$H$733,5,FALSE)</f>
        <v>56968.83</v>
      </c>
      <c r="F623" s="2118">
        <f>VLOOKUP(A623,'2012 - TB'!$A$3:$H$733,6,FALSE)</f>
        <v>0</v>
      </c>
      <c r="G623" s="2118">
        <f t="shared" si="19"/>
        <v>56968.83</v>
      </c>
      <c r="H623" s="2640">
        <f>SUMIF('Original Budget'!$A$1:$A$691,'Trial Balance - FPer'!A623,'Original Budget'!$C$1:$C$691)</f>
        <v>926.33</v>
      </c>
      <c r="I623" s="2640">
        <f>VLOOKUP(A623,'2012 - TB'!$A$3:$C$733,3,FALSE)</f>
        <v>687.96</v>
      </c>
      <c r="J623" s="2119" t="s">
        <v>5947</v>
      </c>
      <c r="L623" s="2024" t="str">
        <f>VLOOKUP(A623,'2012 Budget'!$A$18:$B$2152,2,FALSE)</f>
        <v>Printing &amp; Stat</v>
      </c>
    </row>
    <row r="624" spans="1:12" s="2024" customFormat="1" x14ac:dyDescent="0.2">
      <c r="A624" s="2116" t="s">
        <v>5000</v>
      </c>
      <c r="B624" s="2117" t="s">
        <v>4853</v>
      </c>
      <c r="C624" s="2109">
        <f>VLOOKUP(A624,'2011 - TB'!$A$3:$B$971,2,FALSE)</f>
        <v>171206.48</v>
      </c>
      <c r="D624" s="2118">
        <v>0</v>
      </c>
      <c r="E624" s="2118">
        <f>VLOOKUP(A624,'2012 - TB'!$A$3:$H$733,5,FALSE)</f>
        <v>399270.55</v>
      </c>
      <c r="F624" s="2118">
        <f>VLOOKUP(A624,'2012 - TB'!$A$3:$H$733,6,FALSE)</f>
        <v>-36290.99</v>
      </c>
      <c r="G624" s="2118">
        <f t="shared" si="19"/>
        <v>362979.56</v>
      </c>
      <c r="H624" s="2640">
        <f>SUMIF('Original Budget'!$A$1:$A$691,'Trial Balance - FPer'!A624,'Original Budget'!$C$1:$C$691)</f>
        <v>81721.3</v>
      </c>
      <c r="I624" s="2640">
        <f>VLOOKUP(A624,'2012 - TB'!$A$3:$C$733,3,FALSE)</f>
        <v>453944.19</v>
      </c>
      <c r="J624" s="2119" t="s">
        <v>5947</v>
      </c>
      <c r="L624" s="2024" t="str">
        <f>VLOOKUP(A624,'2012 Budget'!$A$18:$B$2152,2,FALSE)</f>
        <v>Printing &amp; Stat</v>
      </c>
    </row>
    <row r="625" spans="1:12" s="2024" customFormat="1" x14ac:dyDescent="0.2">
      <c r="A625" s="2116" t="s">
        <v>5001</v>
      </c>
      <c r="B625" s="2117" t="s">
        <v>4853</v>
      </c>
      <c r="C625" s="2109">
        <f>VLOOKUP(A625,'2011 - TB'!$A$3:$B$971,2,FALSE)</f>
        <v>0</v>
      </c>
      <c r="D625" s="2118">
        <v>0</v>
      </c>
      <c r="E625" s="2118">
        <v>0</v>
      </c>
      <c r="F625" s="2118">
        <v>0</v>
      </c>
      <c r="G625" s="2118">
        <f t="shared" si="19"/>
        <v>0</v>
      </c>
      <c r="H625" s="2640">
        <f>SUMIF('Original Budget'!$A$1:$A$691,'Trial Balance - FPer'!A625,'Original Budget'!$C$1:$C$691)</f>
        <v>0</v>
      </c>
      <c r="I625" s="2640"/>
      <c r="J625" s="2119" t="s">
        <v>5947</v>
      </c>
      <c r="L625" s="2024" t="str">
        <f>VLOOKUP(A625,'2012 Budget'!$A$18:$B$2152,2,FALSE)</f>
        <v>Printing &amp; Stat</v>
      </c>
    </row>
    <row r="626" spans="1:12" s="2024" customFormat="1" x14ac:dyDescent="0.2">
      <c r="A626" s="2116" t="s">
        <v>5114</v>
      </c>
      <c r="B626" s="2117" t="s">
        <v>4853</v>
      </c>
      <c r="C626" s="2109" t="str">
        <f>VLOOKUP(A626,'2011 - TB'!$A$3:$B$971,2,FALSE)</f>
        <v xml:space="preserve">                               -  </v>
      </c>
      <c r="D626" s="2118">
        <v>0</v>
      </c>
      <c r="E626" s="2118">
        <f>VLOOKUP(A626,'2012 - TB'!$A$3:$H$733,5,FALSE)</f>
        <v>3849.21</v>
      </c>
      <c r="F626" s="2118">
        <f>VLOOKUP(A626,'2012 - TB'!$A$3:$H$733,6,FALSE)</f>
        <v>0</v>
      </c>
      <c r="G626" s="2118">
        <f t="shared" si="19"/>
        <v>3849.21</v>
      </c>
      <c r="H626" s="2640">
        <f>SUMIF('Original Budget'!$A$1:$A$691,'Trial Balance - FPer'!A626,'Original Budget'!$C$1:$C$691)</f>
        <v>2067.98</v>
      </c>
      <c r="I626" s="2640">
        <f>VLOOKUP(A626,'2012 - TB'!$A$3:$C$733,3,FALSE)</f>
        <v>1581.58</v>
      </c>
      <c r="J626" s="2119" t="s">
        <v>5947</v>
      </c>
      <c r="L626" s="2024" t="str">
        <f>VLOOKUP(A626,'2012 Budget'!$A$18:$B$2152,2,FALSE)</f>
        <v>Printing &amp; Stat</v>
      </c>
    </row>
    <row r="627" spans="1:12" s="2024" customFormat="1" x14ac:dyDescent="0.2">
      <c r="A627" s="2116" t="s">
        <v>5139</v>
      </c>
      <c r="B627" s="2117" t="s">
        <v>4853</v>
      </c>
      <c r="C627" s="2109" t="str">
        <f>VLOOKUP(A627,'2011 - TB'!$A$3:$B$971,2,FALSE)</f>
        <v xml:space="preserve">                               -  </v>
      </c>
      <c r="D627" s="2118">
        <v>0</v>
      </c>
      <c r="E627" s="2118">
        <f>VLOOKUP(A627,'2012 - TB'!$A$3:$H$733,5,FALSE)</f>
        <v>0</v>
      </c>
      <c r="F627" s="2118">
        <f>VLOOKUP(A627,'2012 - TB'!$A$3:$H$733,6,FALSE)</f>
        <v>0</v>
      </c>
      <c r="G627" s="2118">
        <f t="shared" si="19"/>
        <v>0</v>
      </c>
      <c r="H627" s="2640">
        <f>SUMIF('Original Budget'!$A$1:$A$691,'Trial Balance - FPer'!A627,'Original Budget'!$C$1:$C$691)</f>
        <v>412.57</v>
      </c>
      <c r="I627" s="2640">
        <f>VLOOKUP(A627,'2012 - TB'!$A$3:$C$733,3,FALSE)</f>
        <v>412.57</v>
      </c>
      <c r="J627" s="2119" t="s">
        <v>5947</v>
      </c>
      <c r="L627" s="2024" t="str">
        <f>VLOOKUP(A627,'2012 Budget'!$A$18:$B$2152,2,FALSE)</f>
        <v>Printing &amp; Stat</v>
      </c>
    </row>
    <row r="628" spans="1:12" s="2024" customFormat="1" x14ac:dyDescent="0.2">
      <c r="A628" s="2116" t="s">
        <v>5255</v>
      </c>
      <c r="B628" s="2117" t="s">
        <v>4853</v>
      </c>
      <c r="C628" s="2109">
        <f>VLOOKUP(A628,'2011 - TB'!$A$3:$B$971,2,FALSE)</f>
        <v>9678.25</v>
      </c>
      <c r="D628" s="2118">
        <v>0</v>
      </c>
      <c r="E628" s="2118">
        <f>VLOOKUP(A628,'2012 - TB'!$A$3:$H$733,5,FALSE)</f>
        <v>3635.62</v>
      </c>
      <c r="F628" s="2118">
        <f>VLOOKUP(A628,'2012 - TB'!$A$3:$H$733,6,FALSE)</f>
        <v>0</v>
      </c>
      <c r="G628" s="2118">
        <f t="shared" si="19"/>
        <v>3635.62</v>
      </c>
      <c r="H628" s="2640">
        <f>SUMIF('Original Budget'!$A$1:$A$691,'Trial Balance - FPer'!A628,'Original Budget'!$C$1:$C$691)</f>
        <v>21292.15</v>
      </c>
      <c r="I628" s="2640">
        <f>VLOOKUP(A628,'2012 - TB'!$A$3:$C$733,3,FALSE)</f>
        <v>6362.49</v>
      </c>
      <c r="J628" s="2119" t="s">
        <v>5947</v>
      </c>
      <c r="L628" s="2024" t="str">
        <f>VLOOKUP(A628,'2012 Budget'!$A$18:$B$2152,2,FALSE)</f>
        <v>Printing &amp; Stat</v>
      </c>
    </row>
    <row r="629" spans="1:12" s="2024" customFormat="1" x14ac:dyDescent="0.2">
      <c r="A629" s="2116" t="s">
        <v>5256</v>
      </c>
      <c r="B629" s="2117" t="s">
        <v>4853</v>
      </c>
      <c r="C629" s="2109">
        <f>VLOOKUP(A629,'2011 - TB'!$A$3:$B$971,2,FALSE)</f>
        <v>0</v>
      </c>
      <c r="D629" s="2118">
        <v>0</v>
      </c>
      <c r="E629" s="2118">
        <v>0</v>
      </c>
      <c r="F629" s="2118">
        <v>0</v>
      </c>
      <c r="G629" s="2118">
        <f t="shared" si="19"/>
        <v>0</v>
      </c>
      <c r="H629" s="2640">
        <f>SUMIF('Original Budget'!$A$1:$A$691,'Trial Balance - FPer'!A629,'Original Budget'!$C$1:$C$691)</f>
        <v>0</v>
      </c>
      <c r="I629" s="2640"/>
      <c r="J629" s="2119" t="s">
        <v>5947</v>
      </c>
      <c r="L629" s="2024" t="str">
        <f>VLOOKUP(A629,'2012 Budget'!$A$18:$B$2152,2,FALSE)</f>
        <v>Printing &amp; Stat</v>
      </c>
    </row>
    <row r="630" spans="1:12" s="2024" customFormat="1" x14ac:dyDescent="0.2">
      <c r="A630" s="2116" t="s">
        <v>5257</v>
      </c>
      <c r="B630" s="2117" t="s">
        <v>4853</v>
      </c>
      <c r="C630" s="2109">
        <f>VLOOKUP(A630,'2011 - TB'!$A$3:$B$971,2,FALSE)</f>
        <v>262585.34000000003</v>
      </c>
      <c r="D630" s="2118">
        <v>0</v>
      </c>
      <c r="E630" s="2118">
        <f>VLOOKUP(A630,'2012 - TB'!$A$3:$H$733,5,FALSE)</f>
        <v>74050.149999999994</v>
      </c>
      <c r="F630" s="2118">
        <f>VLOOKUP(A630,'2012 - TB'!$A$3:$H$733,6,FALSE)</f>
        <v>-263.16000000000003</v>
      </c>
      <c r="G630" s="2118">
        <f t="shared" si="19"/>
        <v>73786.989999999991</v>
      </c>
      <c r="H630" s="2640">
        <f>SUMIF('Original Budget'!$A$1:$A$691,'Trial Balance - FPer'!A630,'Original Budget'!$C$1:$C$691)</f>
        <v>13410.58</v>
      </c>
      <c r="I630" s="2640">
        <f>VLOOKUP(A630,'2012 - TB'!$A$3:$C$733,3,FALSE)</f>
        <v>62979.16</v>
      </c>
      <c r="J630" s="2119" t="s">
        <v>5947</v>
      </c>
      <c r="L630" s="2024" t="str">
        <f>VLOOKUP(A630,'2012 Budget'!$A$18:$B$2152,2,FALSE)</f>
        <v>Printing &amp; Stat</v>
      </c>
    </row>
    <row r="631" spans="1:12" s="2024" customFormat="1" x14ac:dyDescent="0.2">
      <c r="A631" s="2116" t="s">
        <v>5339</v>
      </c>
      <c r="B631" s="2117" t="s">
        <v>4853</v>
      </c>
      <c r="C631" s="2109">
        <f>VLOOKUP(A631,'2011 - TB'!$A$3:$B$971,2,FALSE)</f>
        <v>50</v>
      </c>
      <c r="D631" s="2118">
        <v>0</v>
      </c>
      <c r="E631" s="2118">
        <f>VLOOKUP(A631,'2012 - TB'!$A$3:$H$733,5,FALSE)</f>
        <v>153.51</v>
      </c>
      <c r="F631" s="2118">
        <f>VLOOKUP(A631,'2012 - TB'!$A$3:$H$733,6,FALSE)</f>
        <v>0</v>
      </c>
      <c r="G631" s="2118">
        <f t="shared" si="19"/>
        <v>153.51</v>
      </c>
      <c r="H631" s="2640">
        <f>SUMIF('Original Budget'!$A$1:$A$691,'Trial Balance - FPer'!A631,'Original Budget'!$C$1:$C$691)</f>
        <v>110</v>
      </c>
      <c r="I631" s="2640">
        <f>VLOOKUP(A631,'2012 - TB'!$A$3:$C$733,3,FALSE)</f>
        <v>0</v>
      </c>
      <c r="J631" s="2119" t="s">
        <v>5947</v>
      </c>
      <c r="L631" s="2024" t="str">
        <f>VLOOKUP(A631,'2012 Budget'!$A$18:$B$2152,2,FALSE)</f>
        <v>Printing &amp; Stat</v>
      </c>
    </row>
    <row r="632" spans="1:12" s="2024" customFormat="1" x14ac:dyDescent="0.2">
      <c r="A632" s="2116" t="s">
        <v>5369</v>
      </c>
      <c r="B632" s="2117" t="s">
        <v>4853</v>
      </c>
      <c r="C632" s="2109">
        <f>VLOOKUP(A632,'2011 - TB'!$A$3:$B$971,2,FALSE)</f>
        <v>-15.79</v>
      </c>
      <c r="D632" s="2118">
        <v>0</v>
      </c>
      <c r="E632" s="2118">
        <v>0</v>
      </c>
      <c r="F632" s="2118">
        <v>0</v>
      </c>
      <c r="G632" s="2118">
        <f t="shared" si="19"/>
        <v>0</v>
      </c>
      <c r="H632" s="2640">
        <f>SUMIF('Original Budget'!$A$1:$A$691,'Trial Balance - FPer'!A632,'Original Budget'!$C$1:$C$691)</f>
        <v>4551.09</v>
      </c>
      <c r="I632" s="2640"/>
      <c r="J632" s="2119" t="s">
        <v>5947</v>
      </c>
      <c r="L632" s="2024" t="str">
        <f>VLOOKUP(A632,'2012 Budget'!$A$18:$B$2152,2,FALSE)</f>
        <v>Printing &amp; Stat</v>
      </c>
    </row>
    <row r="633" spans="1:12" s="2024" customFormat="1" x14ac:dyDescent="0.2">
      <c r="A633" s="2116" t="s">
        <v>5465</v>
      </c>
      <c r="B633" s="2117" t="s">
        <v>4853</v>
      </c>
      <c r="C633" s="2109">
        <f>VLOOKUP(A633,'2011 - TB'!$A$3:$B$971,2,FALSE)</f>
        <v>11133.7</v>
      </c>
      <c r="D633" s="2118">
        <v>0</v>
      </c>
      <c r="E633" s="2118">
        <f>VLOOKUP(A633,'2012 - TB'!$A$3:$H$733,5,FALSE)</f>
        <v>23763</v>
      </c>
      <c r="F633" s="2118">
        <f>VLOOKUP(A633,'2012 - TB'!$A$3:$H$733,6,FALSE)</f>
        <v>0</v>
      </c>
      <c r="G633" s="2118">
        <f t="shared" si="19"/>
        <v>23763</v>
      </c>
      <c r="H633" s="2640">
        <f>SUMIF('Original Budget'!$A$1:$A$691,'Trial Balance - FPer'!A633,'Original Budget'!$C$1:$C$691)</f>
        <v>24415.38</v>
      </c>
      <c r="I633" s="2640">
        <f>VLOOKUP(A633,'2012 - TB'!$A$3:$C$733,3,FALSE)</f>
        <v>24415.38</v>
      </c>
      <c r="J633" s="2119" t="s">
        <v>5947</v>
      </c>
      <c r="L633" s="2024" t="str">
        <f>VLOOKUP(A633,'2012 Budget'!$A$18:$B$2152,2,FALSE)</f>
        <v>Printing &amp; Stat</v>
      </c>
    </row>
    <row r="634" spans="1:12" s="2024" customFormat="1" x14ac:dyDescent="0.2">
      <c r="A634" s="2116" t="s">
        <v>5466</v>
      </c>
      <c r="B634" s="2117" t="s">
        <v>4853</v>
      </c>
      <c r="C634" s="2109" t="str">
        <f>VLOOKUP(A634,'2011 - TB'!$A$3:$B$971,2,FALSE)</f>
        <v xml:space="preserve">                               -  </v>
      </c>
      <c r="D634" s="2118">
        <v>0</v>
      </c>
      <c r="E634" s="2118">
        <v>0</v>
      </c>
      <c r="F634" s="2118">
        <v>0</v>
      </c>
      <c r="G634" s="2118">
        <f t="shared" si="19"/>
        <v>0</v>
      </c>
      <c r="H634" s="2640">
        <f>SUMIF('Original Budget'!$A$1:$A$691,'Trial Balance - FPer'!A634,'Original Budget'!$C$1:$C$691)</f>
        <v>2067.98</v>
      </c>
      <c r="I634" s="2640"/>
      <c r="J634" s="2119" t="s">
        <v>5947</v>
      </c>
      <c r="L634" s="2024" t="str">
        <f>VLOOKUP(A634,'2012 Budget'!$A$18:$B$2152,2,FALSE)</f>
        <v>Printing &amp; Stat</v>
      </c>
    </row>
    <row r="635" spans="1:12" s="2024" customFormat="1" x14ac:dyDescent="0.2">
      <c r="A635" s="2116" t="s">
        <v>5500</v>
      </c>
      <c r="B635" s="2117" t="s">
        <v>4853</v>
      </c>
      <c r="C635" s="2109">
        <f>VLOOKUP(A635,'2011 - TB'!$A$3:$B$971,2,FALSE)</f>
        <v>171.05</v>
      </c>
      <c r="D635" s="2118">
        <v>0</v>
      </c>
      <c r="E635" s="2118">
        <v>0</v>
      </c>
      <c r="F635" s="2118">
        <v>0</v>
      </c>
      <c r="G635" s="2118">
        <f t="shared" ref="G635:G698" si="20">E635+F635</f>
        <v>0</v>
      </c>
      <c r="H635" s="2640">
        <f>SUMIF('Original Budget'!$A$1:$A$691,'Trial Balance - FPer'!A635,'Original Budget'!$C$1:$C$691)</f>
        <v>337.72</v>
      </c>
      <c r="I635" s="2640"/>
      <c r="J635" s="2119" t="s">
        <v>5947</v>
      </c>
      <c r="L635" s="2024" t="str">
        <f>VLOOKUP(A635,'2012 Budget'!$A$18:$B$2152,2,FALSE)</f>
        <v>Printing &amp; Stat</v>
      </c>
    </row>
    <row r="636" spans="1:12" s="2024" customFormat="1" x14ac:dyDescent="0.2">
      <c r="A636" s="2116" t="s">
        <v>5530</v>
      </c>
      <c r="B636" s="2117" t="s">
        <v>4853</v>
      </c>
      <c r="C636" s="2109">
        <f>VLOOKUP(A636,'2011 - TB'!$A$3:$B$971,2,FALSE)</f>
        <v>7609</v>
      </c>
      <c r="D636" s="2118">
        <v>0</v>
      </c>
      <c r="E636" s="2118">
        <v>0</v>
      </c>
      <c r="F636" s="2118">
        <v>0</v>
      </c>
      <c r="G636" s="2118">
        <f t="shared" si="20"/>
        <v>0</v>
      </c>
      <c r="H636" s="2640">
        <f>SUMIF('Original Budget'!$A$1:$A$691,'Trial Balance - FPer'!A636,'Original Budget'!$C$1:$C$691)</f>
        <v>6672.55</v>
      </c>
      <c r="I636" s="2640"/>
      <c r="J636" s="2119" t="s">
        <v>5947</v>
      </c>
      <c r="L636" s="2024" t="str">
        <f>VLOOKUP(A636,'2012 Budget'!$A$18:$B$2152,2,FALSE)</f>
        <v>Printing &amp; Stat</v>
      </c>
    </row>
    <row r="637" spans="1:12" s="2024" customFormat="1" x14ac:dyDescent="0.2">
      <c r="A637" s="2116" t="s">
        <v>5613</v>
      </c>
      <c r="B637" s="2117" t="s">
        <v>4853</v>
      </c>
      <c r="C637" s="2109">
        <v>0</v>
      </c>
      <c r="D637" s="2118">
        <v>0</v>
      </c>
      <c r="E637" s="2118">
        <v>0</v>
      </c>
      <c r="F637" s="2118">
        <v>0</v>
      </c>
      <c r="G637" s="2118">
        <f t="shared" si="20"/>
        <v>0</v>
      </c>
      <c r="H637" s="2640">
        <f>SUMIF('Original Budget'!$A$1:$A$691,'Trial Balance - FPer'!A637,'Original Budget'!$C$1:$C$691)</f>
        <v>0</v>
      </c>
      <c r="I637" s="2640"/>
      <c r="J637" s="2119" t="s">
        <v>5947</v>
      </c>
      <c r="L637" s="2024" t="str">
        <f>VLOOKUP(A637,'2012 Budget'!$A$18:$B$2152,2,FALSE)</f>
        <v>Printing &amp; Stat</v>
      </c>
    </row>
    <row r="638" spans="1:12" s="2024" customFormat="1" x14ac:dyDescent="0.2">
      <c r="A638" s="2116" t="s">
        <v>5653</v>
      </c>
      <c r="B638" s="2117" t="s">
        <v>4853</v>
      </c>
      <c r="C638" s="2109">
        <v>0</v>
      </c>
      <c r="D638" s="2118">
        <v>0</v>
      </c>
      <c r="E638" s="2118">
        <v>0</v>
      </c>
      <c r="F638" s="2118">
        <v>0</v>
      </c>
      <c r="G638" s="2118">
        <f t="shared" si="20"/>
        <v>0</v>
      </c>
      <c r="H638" s="2640">
        <f>SUMIF('Original Budget'!$A$1:$A$691,'Trial Balance - FPer'!A638,'Original Budget'!$C$1:$C$691)</f>
        <v>0</v>
      </c>
      <c r="I638" s="2640"/>
      <c r="J638" s="2119" t="s">
        <v>5947</v>
      </c>
      <c r="L638" s="2024" t="str">
        <f>VLOOKUP(A638,'2012 Budget'!$A$18:$B$2152,2,FALSE)</f>
        <v>Printing &amp; Stat</v>
      </c>
    </row>
    <row r="639" spans="1:12" s="2024" customFormat="1" x14ac:dyDescent="0.2">
      <c r="A639" s="2116" t="s">
        <v>5686</v>
      </c>
      <c r="B639" s="2117" t="s">
        <v>4853</v>
      </c>
      <c r="C639" s="2109" t="str">
        <f>VLOOKUP(A639,'2011 - TB'!$A$3:$B$971,2,FALSE)</f>
        <v xml:space="preserve">                               -  </v>
      </c>
      <c r="D639" s="2118">
        <v>0</v>
      </c>
      <c r="E639" s="2118">
        <v>0</v>
      </c>
      <c r="F639" s="2118">
        <v>0</v>
      </c>
      <c r="G639" s="2118">
        <f t="shared" si="20"/>
        <v>0</v>
      </c>
      <c r="H639" s="2640">
        <f>SUMIF('Original Budget'!$A$1:$A$691,'Trial Balance - FPer'!A639,'Original Budget'!$C$1:$C$691)</f>
        <v>4138.5200000000004</v>
      </c>
      <c r="I639" s="2640"/>
      <c r="J639" s="2119" t="s">
        <v>5947</v>
      </c>
      <c r="L639" s="2024" t="str">
        <f>VLOOKUP(A639,'2012 Budget'!$A$18:$B$2152,2,FALSE)</f>
        <v>Printing &amp; Stat</v>
      </c>
    </row>
    <row r="640" spans="1:12" s="2024" customFormat="1" x14ac:dyDescent="0.2">
      <c r="A640" s="2116" t="s">
        <v>5794</v>
      </c>
      <c r="B640" s="2117" t="s">
        <v>4853</v>
      </c>
      <c r="C640" s="2109">
        <f>VLOOKUP(A640,'2011 - TB'!$A$3:$B$971,2,FALSE)</f>
        <v>221.49</v>
      </c>
      <c r="D640" s="2118">
        <v>0</v>
      </c>
      <c r="E640" s="2118">
        <v>0</v>
      </c>
      <c r="F640" s="2118">
        <v>0</v>
      </c>
      <c r="G640" s="2118">
        <f t="shared" si="20"/>
        <v>0</v>
      </c>
      <c r="H640" s="2640">
        <f>SUMIF('Original Budget'!$A$1:$A$691,'Trial Balance - FPer'!A640,'Original Budget'!$C$1:$C$691)</f>
        <v>487.28</v>
      </c>
      <c r="I640" s="2640"/>
      <c r="J640" s="2119" t="s">
        <v>5947</v>
      </c>
      <c r="L640" s="2024" t="str">
        <f>VLOOKUP(A640,'2012 Budget'!$A$18:$B$2152,2,FALSE)</f>
        <v>Printing &amp; Stat</v>
      </c>
    </row>
    <row r="641" spans="1:12" s="2024" customFormat="1" x14ac:dyDescent="0.2">
      <c r="A641" s="2116" t="s">
        <v>5850</v>
      </c>
      <c r="B641" s="2117" t="s">
        <v>4853</v>
      </c>
      <c r="C641" s="2109">
        <f>VLOOKUP(A641,'2011 - TB'!$A$3:$B$971,2,FALSE)</f>
        <v>80</v>
      </c>
      <c r="D641" s="2118">
        <v>0</v>
      </c>
      <c r="E641" s="2118">
        <f>VLOOKUP(A641,'2012 - TB'!$A$3:$H$733,5,FALSE)</f>
        <v>23227.79</v>
      </c>
      <c r="F641" s="2118">
        <f>VLOOKUP(A641,'2012 - TB'!$A$3:$H$733,6,FALSE)</f>
        <v>0</v>
      </c>
      <c r="G641" s="2118">
        <f t="shared" si="20"/>
        <v>23227.79</v>
      </c>
      <c r="H641" s="2640">
        <f>SUMIF('Original Budget'!$A$1:$A$691,'Trial Balance - FPer'!A641,'Original Budget'!$C$1:$C$691)</f>
        <v>2067.98</v>
      </c>
      <c r="I641" s="2640">
        <f>VLOOKUP(A641,'2012 - TB'!$A$3:$C$733,3,FALSE)</f>
        <v>23227.79</v>
      </c>
      <c r="J641" s="2119" t="s">
        <v>5947</v>
      </c>
      <c r="L641" s="2024" t="str">
        <f>VLOOKUP(A641,'2012 Budget'!$A$18:$B$2152,2,FALSE)</f>
        <v>Printing &amp; Stat</v>
      </c>
    </row>
    <row r="642" spans="1:12" s="2024" customFormat="1" ht="13.5" thickBot="1" x14ac:dyDescent="0.25">
      <c r="A642" s="2120" t="s">
        <v>5910</v>
      </c>
      <c r="B642" s="2121" t="s">
        <v>4853</v>
      </c>
      <c r="C642" s="2122">
        <v>0</v>
      </c>
      <c r="D642" s="2123">
        <v>0</v>
      </c>
      <c r="E642" s="2123">
        <v>0</v>
      </c>
      <c r="F642" s="2123">
        <v>0</v>
      </c>
      <c r="G642" s="2123">
        <f t="shared" si="20"/>
        <v>0</v>
      </c>
      <c r="H642" s="2640">
        <f>SUMIF('Original Budget'!$A$1:$A$691,'Trial Balance - FPer'!A642,'Original Budget'!$C$1:$C$691)</f>
        <v>12700.6</v>
      </c>
      <c r="I642" s="2640"/>
      <c r="J642" s="2124" t="s">
        <v>5947</v>
      </c>
      <c r="L642" s="2024" t="str">
        <f>VLOOKUP(A642,'2012 Budget'!$A$18:$B$2152,2,FALSE)</f>
        <v>Printing &amp; Stat</v>
      </c>
    </row>
    <row r="643" spans="1:12" s="2024" customFormat="1" x14ac:dyDescent="0.2">
      <c r="A643" s="2116" t="s">
        <v>4868</v>
      </c>
      <c r="B643" s="2117" t="s">
        <v>4869</v>
      </c>
      <c r="C643" s="2109">
        <f>VLOOKUP(A643,'2011 - TB'!$A$3:$B$971,2,FALSE)</f>
        <v>0</v>
      </c>
      <c r="D643" s="2118">
        <v>0</v>
      </c>
      <c r="E643" s="2118">
        <v>0</v>
      </c>
      <c r="F643" s="2118">
        <v>0</v>
      </c>
      <c r="G643" s="2118">
        <f t="shared" si="20"/>
        <v>0</v>
      </c>
      <c r="H643" s="2640">
        <f>SUMIF('Original Budget'!$A$1:$A$691,'Trial Balance - FPer'!A643,'Original Budget'!$C$1:$C$691)</f>
        <v>0</v>
      </c>
      <c r="I643" s="2640"/>
      <c r="J643" s="2119" t="s">
        <v>5959</v>
      </c>
      <c r="L643" s="2024" t="str">
        <f>VLOOKUP(A643,'2012 Budget'!$A$18:$B$2152,2,FALSE)</f>
        <v>License &amp; Inter</v>
      </c>
    </row>
    <row r="644" spans="1:12" s="2024" customFormat="1" x14ac:dyDescent="0.2">
      <c r="A644" s="2116" t="s">
        <v>5018</v>
      </c>
      <c r="B644" s="2117" t="s">
        <v>4869</v>
      </c>
      <c r="C644" s="2109">
        <f>VLOOKUP(A644,'2011 - TB'!$A$3:$B$971,2,FALSE)</f>
        <v>4221.6899999999996</v>
      </c>
      <c r="D644" s="2118">
        <v>0</v>
      </c>
      <c r="E644" s="2118">
        <f>VLOOKUP(A644,'2012 - TB'!$A$3:$H$733,5,FALSE)</f>
        <v>91493.95</v>
      </c>
      <c r="F644" s="2118">
        <f>VLOOKUP(A644,'2012 - TB'!$A$3:$H$733,6,FALSE)</f>
        <v>0</v>
      </c>
      <c r="G644" s="2118">
        <f t="shared" si="20"/>
        <v>91493.95</v>
      </c>
      <c r="H644" s="2640">
        <f>SUMIF('Original Budget'!$A$1:$A$691,'Trial Balance - FPer'!A644,'Original Budget'!$C$1:$C$691)</f>
        <v>6625.43</v>
      </c>
      <c r="I644" s="2640">
        <f>VLOOKUP(A644,'2012 - TB'!$A$3:$C$733,3,FALSE)</f>
        <v>194794.16</v>
      </c>
      <c r="J644" s="2119" t="s">
        <v>5959</v>
      </c>
      <c r="L644" s="2024" t="str">
        <f>VLOOKUP(A644,'2012 Budget'!$A$18:$B$2152,2,FALSE)</f>
        <v>License &amp; Inter</v>
      </c>
    </row>
    <row r="645" spans="1:12" s="2024" customFormat="1" x14ac:dyDescent="0.2">
      <c r="A645" s="2116" t="s">
        <v>5019</v>
      </c>
      <c r="B645" s="2117" t="s">
        <v>4869</v>
      </c>
      <c r="C645" s="2109">
        <f>VLOOKUP(A645,'2011 - TB'!$A$3:$B$971,2,FALSE)</f>
        <v>88542.8</v>
      </c>
      <c r="D645" s="2118">
        <v>0</v>
      </c>
      <c r="E645" s="2118">
        <f>VLOOKUP(A645,'2012 - TB'!$A$3:$H$733,5,FALSE)</f>
        <v>2749.92</v>
      </c>
      <c r="F645" s="2118">
        <f>VLOOKUP(A645,'2012 - TB'!$A$3:$H$733,6,FALSE)</f>
        <v>-781.29</v>
      </c>
      <c r="G645" s="2118">
        <f t="shared" si="20"/>
        <v>1968.63</v>
      </c>
      <c r="H645" s="2640">
        <f>SUMIF('Original Budget'!$A$1:$A$691,'Trial Balance - FPer'!A645,'Original Budget'!$C$1:$C$691)</f>
        <v>194794.16</v>
      </c>
      <c r="I645" s="2640">
        <f>VLOOKUP(A645,'2012 - TB'!$A$3:$C$733,3,FALSE)</f>
        <v>6625.43</v>
      </c>
      <c r="J645" s="2119" t="s">
        <v>5959</v>
      </c>
      <c r="L645" s="2024" t="str">
        <f>VLOOKUP(A645,'2012 Budget'!$A$18:$B$2152,2,FALSE)</f>
        <v>License &amp; Inter</v>
      </c>
    </row>
    <row r="646" spans="1:12" s="2024" customFormat="1" x14ac:dyDescent="0.2">
      <c r="A646" s="2116" t="s">
        <v>5144</v>
      </c>
      <c r="B646" s="2117" t="s">
        <v>4869</v>
      </c>
      <c r="C646" s="2109">
        <f>VLOOKUP(A646,'2011 - TB'!$A$3:$B$971,2,FALSE)</f>
        <v>96489.97</v>
      </c>
      <c r="D646" s="2118">
        <v>0</v>
      </c>
      <c r="E646" s="2118">
        <f>VLOOKUP(A646,'2012 - TB'!$A$3:$H$733,5,FALSE)</f>
        <v>16887.93</v>
      </c>
      <c r="F646" s="2118">
        <f>VLOOKUP(A646,'2012 - TB'!$A$3:$H$733,6,FALSE)</f>
        <v>0</v>
      </c>
      <c r="G646" s="2118">
        <f t="shared" si="20"/>
        <v>16887.93</v>
      </c>
      <c r="H646" s="2640">
        <f>SUMIF('Original Budget'!$A$1:$A$691,'Trial Balance - FPer'!A646,'Original Budget'!$C$1:$C$691)</f>
        <v>1971.97</v>
      </c>
      <c r="I646" s="2640">
        <f>VLOOKUP(A646,'2012 - TB'!$A$3:$C$733,3,FALSE)</f>
        <v>23000</v>
      </c>
      <c r="J646" s="2119" t="s">
        <v>5959</v>
      </c>
      <c r="L646" s="2024" t="str">
        <f>VLOOKUP(A646,'2012 Budget'!$A$18:$B$2152,2,FALSE)</f>
        <v>License &amp; Inter</v>
      </c>
    </row>
    <row r="647" spans="1:12" s="2024" customFormat="1" x14ac:dyDescent="0.2">
      <c r="A647" s="2116" t="s">
        <v>5691</v>
      </c>
      <c r="B647" s="2117" t="s">
        <v>4869</v>
      </c>
      <c r="C647" s="2109">
        <v>0</v>
      </c>
      <c r="D647" s="2118">
        <v>0</v>
      </c>
      <c r="E647" s="2118">
        <v>0</v>
      </c>
      <c r="F647" s="2118">
        <v>0</v>
      </c>
      <c r="G647" s="2118">
        <f t="shared" si="20"/>
        <v>0</v>
      </c>
      <c r="H647" s="2640">
        <f>SUMIF('Original Budget'!$A$1:$A$691,'Trial Balance - FPer'!A647,'Original Budget'!$C$1:$C$691)</f>
        <v>0</v>
      </c>
      <c r="I647" s="2640"/>
      <c r="J647" s="2119" t="s">
        <v>5959</v>
      </c>
      <c r="L647" s="2024" t="str">
        <f>VLOOKUP(A647,'2012 Budget'!$A$18:$B$2152,2,FALSE)</f>
        <v>License &amp; Inter</v>
      </c>
    </row>
    <row r="648" spans="1:12" s="2024" customFormat="1" x14ac:dyDescent="0.2">
      <c r="A648" s="2116" t="s">
        <v>5749</v>
      </c>
      <c r="B648" s="2117" t="s">
        <v>4869</v>
      </c>
      <c r="C648" s="2109">
        <v>0</v>
      </c>
      <c r="D648" s="2118">
        <v>0</v>
      </c>
      <c r="E648" s="2118">
        <v>0</v>
      </c>
      <c r="F648" s="2118">
        <v>0</v>
      </c>
      <c r="G648" s="2118">
        <f t="shared" si="20"/>
        <v>0</v>
      </c>
      <c r="H648" s="2640">
        <f>SUMIF('Original Budget'!$A$1:$A$691,'Trial Balance - FPer'!A648,'Original Budget'!$C$1:$C$691)</f>
        <v>0</v>
      </c>
      <c r="I648" s="2640"/>
      <c r="J648" s="2119" t="s">
        <v>5959</v>
      </c>
      <c r="L648" s="2024" t="str">
        <f>VLOOKUP(A648,'2012 Budget'!$A$18:$B$2152,2,FALSE)</f>
        <v>License &amp; Inter</v>
      </c>
    </row>
    <row r="649" spans="1:12" s="2024" customFormat="1" ht="13.5" thickBot="1" x14ac:dyDescent="0.25">
      <c r="A649" s="2116" t="s">
        <v>5800</v>
      </c>
      <c r="B649" s="2117" t="s">
        <v>4869</v>
      </c>
      <c r="C649" s="2109">
        <v>0</v>
      </c>
      <c r="D649" s="2118">
        <v>0</v>
      </c>
      <c r="E649" s="2118">
        <v>0</v>
      </c>
      <c r="F649" s="2118">
        <v>0</v>
      </c>
      <c r="G649" s="2118">
        <f t="shared" si="20"/>
        <v>0</v>
      </c>
      <c r="H649" s="2640">
        <f>SUMIF('Original Budget'!$A$1:$A$691,'Trial Balance - FPer'!A649,'Original Budget'!$C$1:$C$691)</f>
        <v>0</v>
      </c>
      <c r="I649" s="2640"/>
      <c r="J649" s="2119" t="s">
        <v>5959</v>
      </c>
      <c r="L649" s="2024" t="str">
        <f>VLOOKUP(A649,'2012 Budget'!$A$18:$B$2152,2,FALSE)</f>
        <v>License &amp; Inter</v>
      </c>
    </row>
    <row r="650" spans="1:12" s="2024" customFormat="1" x14ac:dyDescent="0.2">
      <c r="A650" s="2111" t="s">
        <v>5002</v>
      </c>
      <c r="B650" s="2112" t="s">
        <v>5003</v>
      </c>
      <c r="C650" s="2113">
        <f>VLOOKUP(A650,'2011 - TB'!$A$3:$B$971,2,FALSE)</f>
        <v>45371.64</v>
      </c>
      <c r="D650" s="2114">
        <v>0</v>
      </c>
      <c r="E650" s="2114">
        <f>VLOOKUP(A650,'2012 - TB'!$A$3:$H$733,5,FALSE)</f>
        <v>79255.8</v>
      </c>
      <c r="F650" s="2114">
        <f>VLOOKUP(A650,'2012 - TB'!$A$3:$H$733,6,FALSE)</f>
        <v>0</v>
      </c>
      <c r="G650" s="2114">
        <f t="shared" si="20"/>
        <v>79255.8</v>
      </c>
      <c r="H650" s="2640">
        <f>SUMIF('Original Budget'!$A$1:$A$691,'Trial Balance - FPer'!A650,'Original Budget'!$C$1:$C$691)</f>
        <v>42288.05</v>
      </c>
      <c r="I650" s="2640">
        <f>VLOOKUP(A650,'2012 - TB'!$A$3:$C$733,3,FALSE)</f>
        <v>79651.95</v>
      </c>
      <c r="J650" s="2115" t="s">
        <v>5955</v>
      </c>
      <c r="L650" s="2024" t="str">
        <f>VLOOKUP(A650,'2012 Budget'!$A$18:$B$2152,2,FALSE)</f>
        <v>Computer Softwa</v>
      </c>
    </row>
    <row r="651" spans="1:12" s="2024" customFormat="1" x14ac:dyDescent="0.2">
      <c r="A651" s="2116" t="s">
        <v>5140</v>
      </c>
      <c r="B651" s="2117" t="s">
        <v>5003</v>
      </c>
      <c r="C651" s="2109">
        <f>VLOOKUP(A651,'2011 - TB'!$A$3:$B$971,2,FALSE)</f>
        <v>26873</v>
      </c>
      <c r="D651" s="2118">
        <v>0</v>
      </c>
      <c r="E651" s="2118">
        <f>VLOOKUP(A651,'2012 - TB'!$A$3:$H$733,5,FALSE)</f>
        <v>1666.68</v>
      </c>
      <c r="F651" s="2118">
        <f>VLOOKUP(A651,'2012 - TB'!$A$3:$H$733,6,FALSE)</f>
        <v>0</v>
      </c>
      <c r="G651" s="2118">
        <f t="shared" si="20"/>
        <v>1666.68</v>
      </c>
      <c r="H651" s="2640">
        <f>SUMIF('Original Budget'!$A$1:$A$691,'Trial Balance - FPer'!A651,'Original Budget'!$C$1:$C$691)</f>
        <v>29559.89</v>
      </c>
      <c r="I651" s="2640">
        <f>VLOOKUP(A651,'2012 - TB'!$A$3:$C$733,3,FALSE)</f>
        <v>0</v>
      </c>
      <c r="J651" s="2119" t="s">
        <v>5955</v>
      </c>
      <c r="L651" s="2024" t="str">
        <f>VLOOKUP(A651,'2012 Budget'!$A$18:$B$2152,2,FALSE)</f>
        <v>Computer Softwa</v>
      </c>
    </row>
    <row r="652" spans="1:12" s="2024" customFormat="1" ht="13.5" thickBot="1" x14ac:dyDescent="0.25">
      <c r="A652" s="2120" t="s">
        <v>5911</v>
      </c>
      <c r="B652" s="2121" t="s">
        <v>5003</v>
      </c>
      <c r="C652" s="2122">
        <v>0</v>
      </c>
      <c r="D652" s="2123">
        <v>0</v>
      </c>
      <c r="E652" s="2123">
        <v>0</v>
      </c>
      <c r="F652" s="2123">
        <v>0</v>
      </c>
      <c r="G652" s="2123">
        <f t="shared" si="20"/>
        <v>0</v>
      </c>
      <c r="H652" s="2640">
        <f>SUMIF('Original Budget'!$A$1:$A$691,'Trial Balance - FPer'!A652,'Original Budget'!$C$1:$C$691)</f>
        <v>6392.1</v>
      </c>
      <c r="I652" s="2640"/>
      <c r="J652" s="2124" t="s">
        <v>5955</v>
      </c>
      <c r="L652" s="2024" t="str">
        <f>VLOOKUP(A652,'2012 Budget'!$A$18:$B$2152,2,FALSE)</f>
        <v>Computer Softwa</v>
      </c>
    </row>
    <row r="653" spans="1:12" s="2024" customFormat="1" x14ac:dyDescent="0.2">
      <c r="A653" s="2116" t="s">
        <v>5330</v>
      </c>
      <c r="B653" s="2117" t="s">
        <v>5331</v>
      </c>
      <c r="C653" s="2109">
        <f>VLOOKUP(A653,'2011 - TB'!$A$3:$B$971,2,FALSE)</f>
        <v>1521.12</v>
      </c>
      <c r="D653" s="2118">
        <v>0</v>
      </c>
      <c r="E653" s="2118">
        <v>0</v>
      </c>
      <c r="F653" s="2118">
        <v>0</v>
      </c>
      <c r="G653" s="2118">
        <f t="shared" si="20"/>
        <v>0</v>
      </c>
      <c r="H653" s="2640">
        <f>SUMIF('Original Budget'!$A$1:$A$691,'Trial Balance - FPer'!A653,'Original Budget'!$C$1:$C$691)</f>
        <v>2310</v>
      </c>
      <c r="I653" s="2640"/>
      <c r="J653" s="2119" t="s">
        <v>5937</v>
      </c>
      <c r="L653" s="2024" t="str">
        <f>VLOOKUP(A653,'2012 Budget'!$A$18:$B$2152,2,FALSE)</f>
        <v>Project - Youth</v>
      </c>
    </row>
    <row r="654" spans="1:12" s="2024" customFormat="1" x14ac:dyDescent="0.2">
      <c r="A654" s="2623" t="s">
        <v>5849</v>
      </c>
      <c r="B654" s="2624" t="s">
        <v>5331</v>
      </c>
      <c r="C654" s="2109">
        <v>0</v>
      </c>
      <c r="D654" s="2118">
        <v>0</v>
      </c>
      <c r="E654" s="2118">
        <f>VLOOKUP(A654,'2012 - TB'!$A$3:$H$733,5,FALSE)</f>
        <v>0</v>
      </c>
      <c r="F654" s="2118">
        <f>VLOOKUP(A654,'2012 - TB'!$A$3:$H$733,6,FALSE)</f>
        <v>0</v>
      </c>
      <c r="G654" s="2118">
        <f t="shared" si="20"/>
        <v>0</v>
      </c>
      <c r="H654" s="2640">
        <f>SUMIF('Original Budget'!$A$1:$A$691,'Trial Balance - FPer'!A654,'Original Budget'!$C$1:$C$691)</f>
        <v>0</v>
      </c>
      <c r="I654" s="2640">
        <f>VLOOKUP(A654,'2012 - TB'!$A$3:$C$733,3,FALSE)</f>
        <v>776553</v>
      </c>
      <c r="J654" s="2119" t="s">
        <v>5937</v>
      </c>
      <c r="L654" s="2024" t="e">
        <f>VLOOKUP(A654,'2012 Budget'!$A$18:$B$2152,2,FALSE)</f>
        <v>#N/A</v>
      </c>
    </row>
    <row r="655" spans="1:12" s="2024" customFormat="1" x14ac:dyDescent="0.2">
      <c r="A655" s="2116" t="s">
        <v>4850</v>
      </c>
      <c r="B655" s="2117" t="s">
        <v>4851</v>
      </c>
      <c r="C655" s="2109">
        <v>0</v>
      </c>
      <c r="D655" s="2118">
        <v>0</v>
      </c>
      <c r="E655" s="2118">
        <v>0</v>
      </c>
      <c r="F655" s="2118">
        <v>0</v>
      </c>
      <c r="G655" s="2118">
        <f t="shared" si="20"/>
        <v>0</v>
      </c>
      <c r="H655" s="2640">
        <f>SUMIF('Original Budget'!$A$1:$A$691,'Trial Balance - FPer'!A655,'Original Budget'!$C$1:$C$691)</f>
        <v>0</v>
      </c>
      <c r="I655" s="2640"/>
      <c r="J655" s="2119" t="s">
        <v>5937</v>
      </c>
      <c r="L655" s="2024" t="str">
        <f>VLOOKUP(A655,'2012 Budget'!$A$18:$B$2152,2,FALSE)</f>
        <v>Project -  Ward</v>
      </c>
    </row>
    <row r="656" spans="1:12" s="2024" customFormat="1" x14ac:dyDescent="0.2">
      <c r="A656" s="2116" t="s">
        <v>5334</v>
      </c>
      <c r="B656" s="2117" t="s">
        <v>4851</v>
      </c>
      <c r="C656" s="2109">
        <f>VLOOKUP(A656,'2011 - TB'!$A$3:$B$971,2,FALSE)</f>
        <v>6170</v>
      </c>
      <c r="D656" s="2118">
        <v>0</v>
      </c>
      <c r="E656" s="2118">
        <f>VLOOKUP(A656,'2012 - TB'!$A$3:$H$733,5,FALSE)</f>
        <v>9100</v>
      </c>
      <c r="F656" s="2118">
        <f>VLOOKUP(A656,'2012 - TB'!$A$3:$H$733,6,FALSE)</f>
        <v>0</v>
      </c>
      <c r="G656" s="2118">
        <f t="shared" si="20"/>
        <v>9100</v>
      </c>
      <c r="H656" s="2640">
        <f>SUMIF('Original Budget'!$A$1:$A$691,'Trial Balance - FPer'!A656,'Original Budget'!$C$1:$C$691)</f>
        <v>3575</v>
      </c>
      <c r="I656" s="2640">
        <f>VLOOKUP(A656,'2012 - TB'!$A$3:$C$733,3,FALSE)</f>
        <v>9100</v>
      </c>
      <c r="J656" s="2119" t="s">
        <v>5937</v>
      </c>
      <c r="L656" s="2024" t="str">
        <f>VLOOKUP(A656,'2012 Budget'!$A$18:$B$2152,2,FALSE)</f>
        <v>Project - LED;</v>
      </c>
    </row>
    <row r="657" spans="1:12" s="2024" customFormat="1" x14ac:dyDescent="0.2">
      <c r="A657" s="2116" t="s">
        <v>5335</v>
      </c>
      <c r="B657" s="2117" t="s">
        <v>4851</v>
      </c>
      <c r="C657" s="2109">
        <v>0</v>
      </c>
      <c r="D657" s="2118">
        <v>0</v>
      </c>
      <c r="E657" s="2118">
        <v>0</v>
      </c>
      <c r="F657" s="2118">
        <v>0</v>
      </c>
      <c r="G657" s="2118">
        <f t="shared" si="20"/>
        <v>0</v>
      </c>
      <c r="H657" s="2640">
        <f>SUMIF('Original Budget'!$A$1:$A$691,'Trial Balance - FPer'!A657,'Original Budget'!$C$1:$C$691)</f>
        <v>0</v>
      </c>
      <c r="I657" s="2640"/>
      <c r="J657" s="2119" t="s">
        <v>5937</v>
      </c>
      <c r="L657" s="2024" t="str">
        <f>VLOOKUP(A657,'2012 Budget'!$A$18:$B$2152,2,FALSE)</f>
        <v>Project - LED S</v>
      </c>
    </row>
    <row r="658" spans="1:12" s="2024" customFormat="1" x14ac:dyDescent="0.2">
      <c r="A658" s="2116" t="s">
        <v>5336</v>
      </c>
      <c r="B658" s="2117" t="s">
        <v>4851</v>
      </c>
      <c r="C658" s="2109">
        <v>0</v>
      </c>
      <c r="D658" s="2118">
        <v>0</v>
      </c>
      <c r="E658" s="2118">
        <v>0</v>
      </c>
      <c r="F658" s="2118">
        <v>0</v>
      </c>
      <c r="G658" s="2118">
        <f t="shared" si="20"/>
        <v>0</v>
      </c>
      <c r="H658" s="2640">
        <f>SUMIF('Original Budget'!$A$1:$A$691,'Trial Balance - FPer'!A658,'Original Budget'!$C$1:$C$691)</f>
        <v>0</v>
      </c>
      <c r="I658" s="2640"/>
      <c r="J658" s="2119" t="s">
        <v>5937</v>
      </c>
      <c r="L658" s="2024" t="str">
        <f>VLOOKUP(A658,'2012 Budget'!$A$18:$B$2152,2,FALSE)</f>
        <v>Project - LED Y</v>
      </c>
    </row>
    <row r="659" spans="1:12" s="2024" customFormat="1" x14ac:dyDescent="0.2">
      <c r="A659" s="2116" t="s">
        <v>4917</v>
      </c>
      <c r="B659" s="2117" t="s">
        <v>4918</v>
      </c>
      <c r="C659" s="2109">
        <f>VLOOKUP(A659,'2011 - TB'!$A$3:$B$971,2,FALSE)</f>
        <v>0</v>
      </c>
      <c r="D659" s="2118">
        <v>0</v>
      </c>
      <c r="E659" s="2118">
        <f>VLOOKUP(A659,'2012 - TB'!$A$3:$H$733,5,FALSE)</f>
        <v>1000</v>
      </c>
      <c r="F659" s="2118">
        <f>VLOOKUP(A659,'2012 - TB'!$A$3:$H$733,6,FALSE)</f>
        <v>0</v>
      </c>
      <c r="G659" s="2118">
        <f t="shared" si="20"/>
        <v>1000</v>
      </c>
      <c r="H659" s="2640">
        <f>SUMIF('Original Budget'!$A$1:$A$691,'Trial Balance - FPer'!A659,'Original Budget'!$C$1:$C$691)</f>
        <v>0</v>
      </c>
      <c r="I659" s="2640">
        <f>VLOOKUP(A659,'2012 - TB'!$A$3:$C$733,3,FALSE)</f>
        <v>0</v>
      </c>
      <c r="J659" s="2119" t="s">
        <v>5937</v>
      </c>
      <c r="L659" s="2024" t="str">
        <f>VLOOKUP(A659,'2012 Budget'!$A$18:$B$2152,2,FALSE)</f>
        <v>Project - Perfo</v>
      </c>
    </row>
    <row r="660" spans="1:12" s="2024" customFormat="1" x14ac:dyDescent="0.2">
      <c r="A660" s="2116" t="s">
        <v>5252</v>
      </c>
      <c r="B660" s="2117" t="s">
        <v>4918</v>
      </c>
      <c r="C660" s="2109">
        <f>VLOOKUP(A660,'2011 - TB'!$A$3:$B$971,2,FALSE)</f>
        <v>35789.480000000003</v>
      </c>
      <c r="D660" s="2118">
        <v>0</v>
      </c>
      <c r="E660" s="2118">
        <v>0</v>
      </c>
      <c r="F660" s="2118">
        <v>0</v>
      </c>
      <c r="G660" s="2118">
        <f t="shared" si="20"/>
        <v>0</v>
      </c>
      <c r="H660" s="2640">
        <f>SUMIF('Original Budget'!$A$1:$A$691,'Trial Balance - FPer'!A660,'Original Budget'!$C$1:$C$691)</f>
        <v>0</v>
      </c>
      <c r="I660" s="2640"/>
      <c r="J660" s="2119" t="s">
        <v>5937</v>
      </c>
      <c r="L660" s="2024" t="str">
        <f>VLOOKUP(A660,'2012 Budget'!$A$18:$B$2152,2,FALSE)</f>
        <v>Project - Perfo</v>
      </c>
    </row>
    <row r="661" spans="1:12" s="2024" customFormat="1" x14ac:dyDescent="0.2">
      <c r="A661" s="2116" t="s">
        <v>4856</v>
      </c>
      <c r="B661" s="2117" t="s">
        <v>4857</v>
      </c>
      <c r="C661" s="2109">
        <f>VLOOKUP(A661,'2011 - TB'!$A$3:$B$971,2,FALSE)</f>
        <v>479689.77</v>
      </c>
      <c r="D661" s="2118">
        <v>0</v>
      </c>
      <c r="E661" s="2118">
        <f>VLOOKUP(A661,'2012 - TB'!$A$3:$H$733,5,FALSE)</f>
        <v>284082.40000000002</v>
      </c>
      <c r="F661" s="2118">
        <f>VLOOKUP(A661,'2012 - TB'!$A$3:$H$733,6,FALSE)</f>
        <v>-698</v>
      </c>
      <c r="G661" s="2118">
        <f t="shared" si="20"/>
        <v>283384.40000000002</v>
      </c>
      <c r="H661" s="2640">
        <f>SUMIF('Original Budget'!$A$1:$A$691,'Trial Balance - FPer'!A661,'Original Budget'!$C$1:$C$691)</f>
        <v>400000</v>
      </c>
      <c r="I661" s="2640">
        <f>VLOOKUP(A661,'2012 - TB'!$A$3:$C$733,3,FALSE)</f>
        <v>400000</v>
      </c>
      <c r="J661" s="2119" t="s">
        <v>5937</v>
      </c>
      <c r="L661" s="2024" t="str">
        <f>VLOOKUP(A661,'2012 Budget'!$A$18:$B$2152,2,FALSE)</f>
        <v>Special Program</v>
      </c>
    </row>
    <row r="662" spans="1:12" s="2024" customFormat="1" ht="13.5" thickBot="1" x14ac:dyDescent="0.25">
      <c r="A662" s="2116" t="s">
        <v>5260</v>
      </c>
      <c r="B662" s="2117" t="s">
        <v>4857</v>
      </c>
      <c r="C662" s="2109">
        <f>VLOOKUP(A662,'2011 - TB'!$A$3:$B$971,2,FALSE)</f>
        <v>0</v>
      </c>
      <c r="D662" s="2118">
        <v>0</v>
      </c>
      <c r="E662" s="2118">
        <f>VLOOKUP(A662,'2012 - TB'!$A$3:$H$733,5,FALSE)</f>
        <v>8342</v>
      </c>
      <c r="F662" s="2118">
        <f>VLOOKUP(A662,'2012 - TB'!$A$3:$H$733,6,FALSE)</f>
        <v>0</v>
      </c>
      <c r="G662" s="2118">
        <f t="shared" si="20"/>
        <v>8342</v>
      </c>
      <c r="H662" s="2640">
        <f>SUMIF('Original Budget'!$A$1:$A$691,'Trial Balance - FPer'!A662,'Original Budget'!$C$1:$C$691)</f>
        <v>0</v>
      </c>
      <c r="I662" s="2640">
        <f>VLOOKUP(A662,'2012 - TB'!$A$3:$C$733,3,FALSE)</f>
        <v>8342</v>
      </c>
      <c r="J662" s="2119" t="s">
        <v>5937</v>
      </c>
      <c r="L662" s="2024" t="str">
        <f>VLOOKUP(A662,'2012 Budget'!$A$18:$B$2152,2,FALSE)</f>
        <v>Special Program</v>
      </c>
    </row>
    <row r="663" spans="1:12" s="2024" customFormat="1" x14ac:dyDescent="0.2">
      <c r="A663" s="2111" t="s">
        <v>5013</v>
      </c>
      <c r="B663" s="2112" t="s">
        <v>5014</v>
      </c>
      <c r="C663" s="2113">
        <f>VLOOKUP(A663,'2011 - TB'!$A$3:$B$971,2,FALSE)</f>
        <v>5856.06</v>
      </c>
      <c r="D663" s="2114">
        <v>0</v>
      </c>
      <c r="E663" s="2114">
        <f>VLOOKUP(A663,'2012 - TB'!$A$3:$H$733,5,FALSE)</f>
        <v>113162.8</v>
      </c>
      <c r="F663" s="2114">
        <f>VLOOKUP(A663,'2012 - TB'!$A$3:$H$733,6,FALSE)</f>
        <v>0</v>
      </c>
      <c r="G663" s="2114">
        <f t="shared" si="20"/>
        <v>113162.8</v>
      </c>
      <c r="H663" s="2640">
        <f>SUMIF('Original Budget'!$A$1:$A$691,'Trial Balance - FPer'!A663,'Original Budget'!$C$1:$C$691)</f>
        <v>1540</v>
      </c>
      <c r="I663" s="2640">
        <f>VLOOKUP(A663,'2012 - TB'!$A$3:$C$733,3,FALSE)</f>
        <v>66551.69</v>
      </c>
      <c r="J663" s="2115" t="s">
        <v>7296</v>
      </c>
      <c r="L663" s="2024" t="str">
        <f>VLOOKUP(A663,'2012 Budget'!$A$18:$B$2152,2,FALSE)</f>
        <v>Legal Costs;</v>
      </c>
    </row>
    <row r="664" spans="1:12" s="2024" customFormat="1" x14ac:dyDescent="0.2">
      <c r="A664" s="2116" t="s">
        <v>5267</v>
      </c>
      <c r="B664" s="2117" t="s">
        <v>5014</v>
      </c>
      <c r="C664" s="2109">
        <f>VLOOKUP(A664,'2011 - TB'!$A$3:$B$971,2,FALSE)</f>
        <v>497289.74</v>
      </c>
      <c r="D664" s="2118">
        <v>0</v>
      </c>
      <c r="E664" s="2118">
        <f>VLOOKUP(A664,'2012 - TB'!$A$3:$H$733,5,FALSE)</f>
        <v>200292.22</v>
      </c>
      <c r="F664" s="2118">
        <f>VLOOKUP(A664,'2012 - TB'!$A$3:$H$733,6,FALSE)</f>
        <v>-2218.44</v>
      </c>
      <c r="G664" s="2118">
        <f t="shared" si="20"/>
        <v>198073.78</v>
      </c>
      <c r="H664" s="2640">
        <f>SUMIF('Original Budget'!$A$1:$A$691,'Trial Balance - FPer'!A664,'Original Budget'!$C$1:$C$691)</f>
        <v>197461.19</v>
      </c>
      <c r="I664" s="2640">
        <f>VLOOKUP(A664,'2012 - TB'!$A$3:$C$733,3,FALSE)</f>
        <v>197461.19</v>
      </c>
      <c r="J664" s="2119" t="s">
        <v>7296</v>
      </c>
      <c r="L664" s="2024" t="str">
        <f>VLOOKUP(A664,'2012 Budget'!$A$18:$B$2152,2,FALSE)</f>
        <v>Legal Costs;</v>
      </c>
    </row>
    <row r="665" spans="1:12" s="2024" customFormat="1" x14ac:dyDescent="0.2">
      <c r="A665" s="2116" t="s">
        <v>5532</v>
      </c>
      <c r="B665" s="2117" t="s">
        <v>5014</v>
      </c>
      <c r="C665" s="2109">
        <v>0</v>
      </c>
      <c r="D665" s="2118">
        <v>0</v>
      </c>
      <c r="E665" s="2118">
        <v>0</v>
      </c>
      <c r="F665" s="2118">
        <v>0</v>
      </c>
      <c r="G665" s="2118">
        <f t="shared" si="20"/>
        <v>0</v>
      </c>
      <c r="H665" s="2640">
        <f>SUMIF('Original Budget'!$A$1:$A$691,'Trial Balance - FPer'!A665,'Original Budget'!$C$1:$C$691)</f>
        <v>0</v>
      </c>
      <c r="I665" s="2640"/>
      <c r="J665" s="2119" t="s">
        <v>7296</v>
      </c>
      <c r="L665" s="2024" t="str">
        <f>VLOOKUP(A665,'2012 Budget'!$A$18:$B$2152,2,FALSE)</f>
        <v>Legal Costs;</v>
      </c>
    </row>
    <row r="666" spans="1:12" s="2024" customFormat="1" x14ac:dyDescent="0.2">
      <c r="A666" s="2116" t="s">
        <v>5096</v>
      </c>
      <c r="B666" s="2117" t="s">
        <v>4782</v>
      </c>
      <c r="C666" s="2109">
        <f>VLOOKUP(A666,'2011 - TB'!$A$3:$B$971,2,FALSE)</f>
        <v>0</v>
      </c>
      <c r="D666" s="2118">
        <v>0</v>
      </c>
      <c r="E666" s="2118">
        <f>VLOOKUP(A666,'2012 - TB'!$A$3:$H$733,5,FALSE)</f>
        <v>42401.38</v>
      </c>
      <c r="F666" s="2118">
        <f>VLOOKUP(A666,'2012 - TB'!$A$3:$H$733,6,FALSE)</f>
        <v>0</v>
      </c>
      <c r="G666" s="2118">
        <f t="shared" si="20"/>
        <v>42401.38</v>
      </c>
      <c r="H666" s="2640">
        <f>SUMIF('Original Budget'!$A$1:$A$691,'Trial Balance - FPer'!A666,'Original Budget'!$C$1:$C$691)</f>
        <v>-500</v>
      </c>
      <c r="I666" s="2640">
        <f>VLOOKUP(A666,'2012 - TB'!$A$3:$C$733,3,FALSE)</f>
        <v>0</v>
      </c>
      <c r="J666" s="2119" t="s">
        <v>7296</v>
      </c>
      <c r="L666" s="2024" t="str">
        <f>VLOOKUP(A666,'2012 Budget'!$A$18:$B$2152,2,FALSE)</f>
        <v>Legal Fees;</v>
      </c>
    </row>
    <row r="667" spans="1:12" s="2024" customFormat="1" x14ac:dyDescent="0.2">
      <c r="A667" s="2116" t="s">
        <v>5097</v>
      </c>
      <c r="B667" s="2117" t="s">
        <v>4782</v>
      </c>
      <c r="C667" s="2109">
        <v>0</v>
      </c>
      <c r="D667" s="2118">
        <v>0</v>
      </c>
      <c r="E667" s="2118">
        <v>0</v>
      </c>
      <c r="F667" s="2118">
        <v>0</v>
      </c>
      <c r="G667" s="2118">
        <f t="shared" si="20"/>
        <v>0</v>
      </c>
      <c r="H667" s="2640">
        <f>SUMIF('Original Budget'!$A$1:$A$691,'Trial Balance - FPer'!A667,'Original Budget'!$C$1:$C$691)</f>
        <v>0</v>
      </c>
      <c r="I667" s="2640"/>
      <c r="J667" s="2119" t="s">
        <v>7296</v>
      </c>
      <c r="L667" s="2024" t="str">
        <f>VLOOKUP(A667,'2012 Budget'!$A$18:$B$2152,2,FALSE)</f>
        <v>Commission Rece</v>
      </c>
    </row>
    <row r="668" spans="1:12" s="2024" customFormat="1" x14ac:dyDescent="0.2">
      <c r="A668" s="2623" t="s">
        <v>5098</v>
      </c>
      <c r="B668" s="2624" t="s">
        <v>4782</v>
      </c>
      <c r="C668" s="2109">
        <v>0</v>
      </c>
      <c r="D668" s="2118">
        <v>0</v>
      </c>
      <c r="E668" s="2118">
        <v>0</v>
      </c>
      <c r="F668" s="2118">
        <v>0</v>
      </c>
      <c r="G668" s="2118">
        <f t="shared" si="20"/>
        <v>0</v>
      </c>
      <c r="H668" s="2640">
        <f>SUMIF('Original Budget'!$A$1:$A$691,'Trial Balance - FPer'!A668,'Original Budget'!$C$1:$C$691)</f>
        <v>0</v>
      </c>
      <c r="I668" s="2640"/>
      <c r="J668" s="2119" t="s">
        <v>7296</v>
      </c>
      <c r="L668" s="2024" t="e">
        <f>VLOOKUP(A668,'2012 Budget'!$A$18:$B$2152,2,FALSE)</f>
        <v>#N/A</v>
      </c>
    </row>
    <row r="669" spans="1:12" s="2024" customFormat="1" ht="13.5" thickBot="1" x14ac:dyDescent="0.25">
      <c r="A669" s="2120" t="s">
        <v>5316</v>
      </c>
      <c r="B669" s="2121" t="s">
        <v>4782</v>
      </c>
      <c r="C669" s="2122">
        <f>VLOOKUP(A669,'2011 - TB'!$A$3:$B$971,2,FALSE)</f>
        <v>16000</v>
      </c>
      <c r="D669" s="2123">
        <v>0</v>
      </c>
      <c r="E669" s="2123">
        <v>0</v>
      </c>
      <c r="F669" s="2123">
        <v>0</v>
      </c>
      <c r="G669" s="2123">
        <f t="shared" si="20"/>
        <v>0</v>
      </c>
      <c r="H669" s="2640">
        <f>SUMIF('Original Budget'!$A$1:$A$691,'Trial Balance - FPer'!A669,'Original Budget'!$C$1:$C$691)</f>
        <v>0</v>
      </c>
      <c r="I669" s="2640"/>
      <c r="J669" s="2124" t="s">
        <v>7296</v>
      </c>
      <c r="L669" s="2024" t="str">
        <f>VLOOKUP(A669,'2012 Budget'!$A$18:$B$2152,2,FALSE)</f>
        <v>Legal Fees;</v>
      </c>
    </row>
    <row r="670" spans="1:12" s="2024" customFormat="1" x14ac:dyDescent="0.2">
      <c r="A670" s="2116" t="s">
        <v>4870</v>
      </c>
      <c r="B670" s="2117" t="s">
        <v>4871</v>
      </c>
      <c r="C670" s="2109">
        <f>VLOOKUP(A670,'2011 - TB'!$A$3:$B$971,2,FALSE)</f>
        <v>74832.12</v>
      </c>
      <c r="D670" s="2118">
        <v>0</v>
      </c>
      <c r="E670" s="2118">
        <f>VLOOKUP(A670,'2012 - TB'!$A$3:$H$733,5,FALSE)</f>
        <v>91736.66</v>
      </c>
      <c r="F670" s="2118">
        <f>VLOOKUP(A670,'2012 - TB'!$A$3:$H$733,6,FALSE)</f>
        <v>0</v>
      </c>
      <c r="G670" s="2118">
        <f t="shared" si="20"/>
        <v>91736.66</v>
      </c>
      <c r="H670" s="2640">
        <f>SUMIF('Original Budget'!$A$1:$A$691,'Trial Balance - FPer'!A670,'Original Budget'!$C$1:$C$691)</f>
        <v>11550</v>
      </c>
      <c r="I670" s="2640">
        <f>VLOOKUP(A670,'2012 - TB'!$A$3:$C$733,3,FALSE)</f>
        <v>31800</v>
      </c>
      <c r="J670" s="2119" t="s">
        <v>5940</v>
      </c>
      <c r="L670" s="2024" t="str">
        <f>VLOOKUP(A670,'2012 Budget'!$A$18:$B$2152,2,FALSE)</f>
        <v>Membership Fees</v>
      </c>
    </row>
    <row r="671" spans="1:12" s="2024" customFormat="1" x14ac:dyDescent="0.2">
      <c r="A671" s="2116" t="s">
        <v>4923</v>
      </c>
      <c r="B671" s="2117" t="s">
        <v>4871</v>
      </c>
      <c r="C671" s="2109" t="str">
        <f>VLOOKUP(A671,'2011 - TB'!$A$3:$B$971,2,FALSE)</f>
        <v xml:space="preserve">                               -  </v>
      </c>
      <c r="D671" s="2118">
        <v>0</v>
      </c>
      <c r="E671" s="2118">
        <v>0</v>
      </c>
      <c r="F671" s="2118">
        <v>0</v>
      </c>
      <c r="G671" s="2118">
        <f t="shared" si="20"/>
        <v>0</v>
      </c>
      <c r="H671" s="2640">
        <f>SUMIF('Original Budget'!$A$1:$A$691,'Trial Balance - FPer'!A671,'Original Budget'!$C$1:$C$691)</f>
        <v>1898.78</v>
      </c>
      <c r="I671" s="2640"/>
      <c r="J671" s="2119" t="s">
        <v>5940</v>
      </c>
      <c r="L671" s="2024" t="str">
        <f>VLOOKUP(A671,'2012 Budget'!$A$18:$B$2152,2,FALSE)</f>
        <v>Membership Fees</v>
      </c>
    </row>
    <row r="672" spans="1:12" s="2024" customFormat="1" x14ac:dyDescent="0.2">
      <c r="A672" s="2116" t="s">
        <v>5020</v>
      </c>
      <c r="B672" s="2117" t="s">
        <v>4871</v>
      </c>
      <c r="C672" s="2109">
        <f>VLOOKUP(A672,'2011 - TB'!$A$3:$B$971,2,FALSE)</f>
        <v>2771.05</v>
      </c>
      <c r="D672" s="2118">
        <v>0</v>
      </c>
      <c r="E672" s="2118">
        <f>VLOOKUP(A672,'2012 - TB'!$A$3:$H$733,5,FALSE)</f>
        <v>18000.560000000001</v>
      </c>
      <c r="F672" s="2118">
        <f>VLOOKUP(A672,'2012 - TB'!$A$3:$H$733,6,FALSE)</f>
        <v>0</v>
      </c>
      <c r="G672" s="2118">
        <f t="shared" si="20"/>
        <v>18000.560000000001</v>
      </c>
      <c r="H672" s="2640">
        <f>SUMIF('Original Budget'!$A$1:$A$691,'Trial Balance - FPer'!A672,'Original Budget'!$C$1:$C$691)</f>
        <v>2067.98</v>
      </c>
      <c r="I672" s="2640">
        <f>VLOOKUP(A672,'2012 - TB'!$A$3:$C$733,3,FALSE)</f>
        <v>15632.14</v>
      </c>
      <c r="J672" s="2119" t="s">
        <v>5940</v>
      </c>
      <c r="L672" s="2024" t="str">
        <f>VLOOKUP(A672,'2012 Budget'!$A$18:$B$2152,2,FALSE)</f>
        <v>Membership Fees</v>
      </c>
    </row>
    <row r="673" spans="1:12" s="2024" customFormat="1" x14ac:dyDescent="0.2">
      <c r="A673" s="2116" t="s">
        <v>5021</v>
      </c>
      <c r="B673" s="2117" t="s">
        <v>4871</v>
      </c>
      <c r="C673" s="2109">
        <f>VLOOKUP(A673,'2011 - TB'!$A$3:$B$971,2,FALSE)</f>
        <v>2860.51</v>
      </c>
      <c r="D673" s="2118">
        <v>0</v>
      </c>
      <c r="E673" s="2118">
        <f>VLOOKUP(A673,'2012 - TB'!$A$3:$H$733,5,FALSE)</f>
        <v>302445.98</v>
      </c>
      <c r="F673" s="2118">
        <f>VLOOKUP(A673,'2012 - TB'!$A$3:$H$733,6,FALSE)</f>
        <v>0</v>
      </c>
      <c r="G673" s="2118">
        <f t="shared" si="20"/>
        <v>302445.98</v>
      </c>
      <c r="H673" s="2640">
        <f>SUMIF('Original Budget'!$A$1:$A$691,'Trial Balance - FPer'!A673,'Original Budget'!$C$1:$C$691)</f>
        <v>21300.39</v>
      </c>
      <c r="I673" s="2640">
        <f>VLOOKUP(A673,'2012 - TB'!$A$3:$C$733,3,FALSE)</f>
        <v>302445.98</v>
      </c>
      <c r="J673" s="2119" t="s">
        <v>5940</v>
      </c>
      <c r="L673" s="2024" t="str">
        <f>VLOOKUP(A673,'2012 Budget'!$A$18:$B$2152,2,FALSE)</f>
        <v>Membership Fees</v>
      </c>
    </row>
    <row r="674" spans="1:12" s="2024" customFormat="1" x14ac:dyDescent="0.2">
      <c r="A674" s="2116" t="s">
        <v>5270</v>
      </c>
      <c r="B674" s="2117" t="s">
        <v>4871</v>
      </c>
      <c r="C674" s="2109" t="str">
        <f>VLOOKUP(A674,'2011 - TB'!$A$3:$B$971,2,FALSE)</f>
        <v xml:space="preserve">                               -  </v>
      </c>
      <c r="D674" s="2118">
        <v>0</v>
      </c>
      <c r="E674" s="2118">
        <f>VLOOKUP(A674,'2012 - TB'!$A$3:$H$733,5,FALSE)</f>
        <v>2112</v>
      </c>
      <c r="F674" s="2118">
        <f>VLOOKUP(A674,'2012 - TB'!$A$3:$H$733,6,FALSE)</f>
        <v>-1056</v>
      </c>
      <c r="G674" s="2118">
        <f t="shared" si="20"/>
        <v>1056</v>
      </c>
      <c r="H674" s="2640">
        <f>SUMIF('Original Budget'!$A$1:$A$691,'Trial Balance - FPer'!A674,'Original Budget'!$C$1:$C$691)</f>
        <v>2067.98</v>
      </c>
      <c r="I674" s="2640">
        <f>VLOOKUP(A674,'2012 - TB'!$A$3:$C$733,3,FALSE)</f>
        <v>2067.98</v>
      </c>
      <c r="J674" s="2119" t="s">
        <v>5940</v>
      </c>
      <c r="L674" s="2024" t="str">
        <f>VLOOKUP(A674,'2012 Budget'!$A$18:$B$2152,2,FALSE)</f>
        <v>Membership Fees</v>
      </c>
    </row>
    <row r="675" spans="1:12" s="2024" customFormat="1" x14ac:dyDescent="0.2">
      <c r="A675" s="2116" t="s">
        <v>5271</v>
      </c>
      <c r="B675" s="2117" t="s">
        <v>4871</v>
      </c>
      <c r="C675" s="2109">
        <f>VLOOKUP(A675,'2011 - TB'!$A$3:$B$971,2,FALSE)</f>
        <v>0</v>
      </c>
      <c r="D675" s="2118">
        <v>0</v>
      </c>
      <c r="E675" s="2118">
        <f>VLOOKUP(A675,'2012 - TB'!$A$3:$H$733,5,FALSE)</f>
        <v>1227.44</v>
      </c>
      <c r="F675" s="2118">
        <f>VLOOKUP(A675,'2012 - TB'!$A$3:$H$733,6,FALSE)</f>
        <v>0</v>
      </c>
      <c r="G675" s="2118">
        <f t="shared" si="20"/>
        <v>1227.44</v>
      </c>
      <c r="H675" s="2640">
        <f>SUMIF('Original Budget'!$A$1:$A$691,'Trial Balance - FPer'!A675,'Original Budget'!$C$1:$C$691)</f>
        <v>0</v>
      </c>
      <c r="I675" s="2640">
        <f>VLOOKUP(A675,'2012 - TB'!$A$3:$C$733,3,FALSE)</f>
        <v>0</v>
      </c>
      <c r="J675" s="2119" t="s">
        <v>5940</v>
      </c>
      <c r="L675" s="2024" t="str">
        <f>VLOOKUP(A675,'2012 Budget'!$A$18:$B$2152,2,FALSE)</f>
        <v>Membership Fees</v>
      </c>
    </row>
    <row r="676" spans="1:12" s="2024" customFormat="1" x14ac:dyDescent="0.2">
      <c r="A676" s="2116" t="s">
        <v>5272</v>
      </c>
      <c r="B676" s="2117" t="s">
        <v>4871</v>
      </c>
      <c r="C676" s="2109">
        <f>VLOOKUP(A676,'2011 - TB'!$A$3:$B$971,2,FALSE)</f>
        <v>2663.16</v>
      </c>
      <c r="D676" s="2118">
        <v>0</v>
      </c>
      <c r="E676" s="2118">
        <v>0</v>
      </c>
      <c r="F676" s="2118">
        <v>0</v>
      </c>
      <c r="G676" s="2118">
        <f t="shared" si="20"/>
        <v>0</v>
      </c>
      <c r="H676" s="2640">
        <f>SUMIF('Original Budget'!$A$1:$A$691,'Trial Balance - FPer'!A676,'Original Budget'!$C$1:$C$691)</f>
        <v>3664.74</v>
      </c>
      <c r="I676" s="2640"/>
      <c r="J676" s="2119" t="s">
        <v>5940</v>
      </c>
      <c r="L676" s="2024" t="str">
        <f>VLOOKUP(A676,'2012 Budget'!$A$18:$B$2152,2,FALSE)</f>
        <v>Membership Fees</v>
      </c>
    </row>
    <row r="677" spans="1:12" s="2024" customFormat="1" x14ac:dyDescent="0.2">
      <c r="A677" s="2116" t="s">
        <v>5470</v>
      </c>
      <c r="B677" s="2117" t="s">
        <v>4871</v>
      </c>
      <c r="C677" s="2109" t="str">
        <f>VLOOKUP(A677,'2011 - TB'!$A$3:$B$971,2,FALSE)</f>
        <v xml:space="preserve">                               -  </v>
      </c>
      <c r="D677" s="2118">
        <v>0</v>
      </c>
      <c r="E677" s="2118">
        <f>VLOOKUP(A677,'2012 - TB'!$A$3:$H$733,5,FALSE)</f>
        <v>3000</v>
      </c>
      <c r="F677" s="2118">
        <f>VLOOKUP(A677,'2012 - TB'!$A$3:$H$733,6,FALSE)</f>
        <v>0</v>
      </c>
      <c r="G677" s="2118">
        <f t="shared" si="20"/>
        <v>3000</v>
      </c>
      <c r="H677" s="2640">
        <f>SUMIF('Original Budget'!$A$1:$A$691,'Trial Balance - FPer'!A677,'Original Budget'!$C$1:$C$691)</f>
        <v>2067.98</v>
      </c>
      <c r="I677" s="2640">
        <f>VLOOKUP(A677,'2012 - TB'!$A$3:$C$733,3,FALSE)</f>
        <v>3000</v>
      </c>
      <c r="J677" s="2119" t="s">
        <v>5940</v>
      </c>
      <c r="L677" s="2024" t="str">
        <f>VLOOKUP(A677,'2012 Budget'!$A$18:$B$2152,2,FALSE)</f>
        <v>Membership Fees</v>
      </c>
    </row>
    <row r="678" spans="1:12" s="2024" customFormat="1" ht="13.5" thickBot="1" x14ac:dyDescent="0.25">
      <c r="A678" s="2116" t="s">
        <v>5534</v>
      </c>
      <c r="B678" s="2117" t="s">
        <v>4871</v>
      </c>
      <c r="C678" s="2109">
        <v>0</v>
      </c>
      <c r="D678" s="2118">
        <v>0</v>
      </c>
      <c r="E678" s="2118">
        <v>0</v>
      </c>
      <c r="F678" s="2118">
        <v>0</v>
      </c>
      <c r="G678" s="2118">
        <f t="shared" si="20"/>
        <v>0</v>
      </c>
      <c r="H678" s="2640">
        <f>SUMIF('Original Budget'!$A$1:$A$691,'Trial Balance - FPer'!A678,'Original Budget'!$C$1:$C$691)</f>
        <v>0</v>
      </c>
      <c r="I678" s="2640"/>
      <c r="J678" s="2119" t="s">
        <v>5940</v>
      </c>
      <c r="L678" s="2024" t="str">
        <f>VLOOKUP(A678,'2012 Budget'!$A$18:$B$2152,2,FALSE)</f>
        <v>Membership Fees</v>
      </c>
    </row>
    <row r="679" spans="1:12" s="2024" customFormat="1" x14ac:dyDescent="0.2">
      <c r="A679" s="2111" t="s">
        <v>4880</v>
      </c>
      <c r="B679" s="2112" t="s">
        <v>4881</v>
      </c>
      <c r="C679" s="2113">
        <f>VLOOKUP(A679,'2011 - TB'!$A$3:$B$971,2,FALSE)</f>
        <v>41259.68</v>
      </c>
      <c r="D679" s="2114">
        <v>0</v>
      </c>
      <c r="E679" s="2114">
        <f>VLOOKUP(A679,'2012 - TB'!$A$3:$H$733,5,FALSE)</f>
        <v>7941.83</v>
      </c>
      <c r="F679" s="2114">
        <f>VLOOKUP(A679,'2012 - TB'!$A$3:$H$733,6,FALSE)</f>
        <v>0</v>
      </c>
      <c r="G679" s="2114">
        <f t="shared" si="20"/>
        <v>7941.83</v>
      </c>
      <c r="H679" s="2640">
        <f>SUMIF('Original Budget'!$A$1:$A$691,'Trial Balance - FPer'!A679,'Original Budget'!$C$1:$C$691)</f>
        <v>29188.43</v>
      </c>
      <c r="I679" s="2640">
        <f>VLOOKUP(A679,'2012 - TB'!$A$3:$C$733,3,FALSE)</f>
        <v>10985.94</v>
      </c>
      <c r="J679" s="2115" t="s">
        <v>5943</v>
      </c>
      <c r="L679" s="2024" t="str">
        <f>VLOOKUP(A679,'2012 Budget'!$A$18:$B$2152,2,FALSE)</f>
        <v>Telephone Charg</v>
      </c>
    </row>
    <row r="680" spans="1:12" s="2024" customFormat="1" x14ac:dyDescent="0.2">
      <c r="A680" s="2116" t="s">
        <v>5035</v>
      </c>
      <c r="B680" s="2117" t="s">
        <v>4881</v>
      </c>
      <c r="C680" s="2109">
        <f>VLOOKUP(A680,'2011 - TB'!$A$3:$B$971,2,FALSE)</f>
        <v>296138.93</v>
      </c>
      <c r="D680" s="2118">
        <v>0</v>
      </c>
      <c r="E680" s="2118">
        <f>VLOOKUP(A680,'2012 - TB'!$A$3:$H$733,5,FALSE)</f>
        <v>751960.18</v>
      </c>
      <c r="F680" s="2118">
        <f>VLOOKUP(A680,'2012 - TB'!$A$3:$H$733,6,FALSE)</f>
        <v>-99.7</v>
      </c>
      <c r="G680" s="2118">
        <f t="shared" si="20"/>
        <v>751860.4800000001</v>
      </c>
      <c r="H680" s="2640">
        <f>SUMIF('Original Budget'!$A$1:$A$691,'Trial Balance - FPer'!A680,'Original Budget'!$C$1:$C$691)</f>
        <v>189544.54</v>
      </c>
      <c r="I680" s="2640">
        <f>VLOOKUP(A680,'2012 - TB'!$A$3:$C$733,3,FALSE)</f>
        <v>567596.88</v>
      </c>
      <c r="J680" s="2119" t="s">
        <v>5943</v>
      </c>
      <c r="L680" s="2024" t="str">
        <f>VLOOKUP(A680,'2012 Budget'!$A$18:$B$2152,2,FALSE)</f>
        <v>Telephone Charg</v>
      </c>
    </row>
    <row r="681" spans="1:12" s="2024" customFormat="1" x14ac:dyDescent="0.2">
      <c r="A681" s="2116" t="s">
        <v>5036</v>
      </c>
      <c r="B681" s="2117" t="s">
        <v>4881</v>
      </c>
      <c r="C681" s="2109">
        <f>VLOOKUP(A681,'2011 - TB'!$A$3:$B$971,2,FALSE)</f>
        <v>1077</v>
      </c>
      <c r="D681" s="2118">
        <v>0</v>
      </c>
      <c r="E681" s="2118">
        <v>0</v>
      </c>
      <c r="F681" s="2118">
        <v>0</v>
      </c>
      <c r="G681" s="2118">
        <f t="shared" si="20"/>
        <v>0</v>
      </c>
      <c r="H681" s="2640">
        <f>SUMIF('Original Budget'!$A$1:$A$691,'Trial Balance - FPer'!A681,'Original Budget'!$C$1:$C$691)</f>
        <v>2369.4</v>
      </c>
      <c r="I681" s="2640"/>
      <c r="J681" s="2119" t="s">
        <v>5943</v>
      </c>
      <c r="L681" s="2024" t="str">
        <f>VLOOKUP(A681,'2012 Budget'!$A$18:$B$2152,2,FALSE)</f>
        <v>Telephone Charg</v>
      </c>
    </row>
    <row r="682" spans="1:12" s="2024" customFormat="1" x14ac:dyDescent="0.2">
      <c r="A682" s="2116" t="s">
        <v>5119</v>
      </c>
      <c r="B682" s="2117" t="s">
        <v>4881</v>
      </c>
      <c r="C682" s="2109">
        <f>VLOOKUP(A682,'2011 - TB'!$A$3:$B$971,2,FALSE)</f>
        <v>34774</v>
      </c>
      <c r="D682" s="2118">
        <v>0</v>
      </c>
      <c r="E682" s="2118">
        <f>VLOOKUP(A682,'2012 - TB'!$A$3:$H$733,5,FALSE)</f>
        <v>2550.89</v>
      </c>
      <c r="F682" s="2118">
        <f>VLOOKUP(A682,'2012 - TB'!$A$3:$H$733,6,FALSE)</f>
        <v>0</v>
      </c>
      <c r="G682" s="2118">
        <f t="shared" si="20"/>
        <v>2550.89</v>
      </c>
      <c r="H682" s="2640">
        <f>SUMIF('Original Budget'!$A$1:$A$691,'Trial Balance - FPer'!A682,'Original Budget'!$C$1:$C$691)</f>
        <v>1176.75</v>
      </c>
      <c r="I682" s="2640">
        <f>VLOOKUP(A682,'2012 - TB'!$A$3:$C$733,3,FALSE)</f>
        <v>2061.39</v>
      </c>
      <c r="J682" s="2119" t="s">
        <v>5943</v>
      </c>
      <c r="L682" s="2024" t="str">
        <f>VLOOKUP(A682,'2012 Budget'!$A$18:$B$2152,2,FALSE)</f>
        <v>Telephone Charg</v>
      </c>
    </row>
    <row r="683" spans="1:12" s="2024" customFormat="1" x14ac:dyDescent="0.2">
      <c r="A683" s="2116" t="s">
        <v>5148</v>
      </c>
      <c r="B683" s="2117" t="s">
        <v>4881</v>
      </c>
      <c r="C683" s="2109" t="str">
        <f>VLOOKUP(A683,'2011 - TB'!$A$3:$B$971,2,FALSE)</f>
        <v xml:space="preserve">                               -  </v>
      </c>
      <c r="D683" s="2118">
        <v>0</v>
      </c>
      <c r="E683" s="2118">
        <f>VLOOKUP(A683,'2012 - TB'!$A$3:$H$733,5,FALSE)</f>
        <v>23600.38</v>
      </c>
      <c r="F683" s="2118">
        <f>VLOOKUP(A683,'2012 - TB'!$A$3:$H$733,6,FALSE)</f>
        <v>0</v>
      </c>
      <c r="G683" s="2118">
        <f t="shared" si="20"/>
        <v>23600.38</v>
      </c>
      <c r="H683" s="2640">
        <f>SUMIF('Original Budget'!$A$1:$A$691,'Trial Balance - FPer'!A683,'Original Budget'!$C$1:$C$691)</f>
        <v>412.57</v>
      </c>
      <c r="I683" s="2640">
        <f>VLOOKUP(A683,'2012 - TB'!$A$3:$C$733,3,FALSE)</f>
        <v>692</v>
      </c>
      <c r="J683" s="2119" t="s">
        <v>5943</v>
      </c>
      <c r="L683" s="2024" t="str">
        <f>VLOOKUP(A683,'2012 Budget'!$A$18:$B$2152,2,FALSE)</f>
        <v>Telephone Charg</v>
      </c>
    </row>
    <row r="684" spans="1:12" s="2024" customFormat="1" x14ac:dyDescent="0.2">
      <c r="A684" s="2116" t="s">
        <v>5286</v>
      </c>
      <c r="B684" s="2117" t="s">
        <v>4881</v>
      </c>
      <c r="C684" s="2109">
        <f>VLOOKUP(A684,'2011 - TB'!$A$3:$B$971,2,FALSE)</f>
        <v>101686.96</v>
      </c>
      <c r="D684" s="2118">
        <v>0</v>
      </c>
      <c r="E684" s="2118">
        <f>VLOOKUP(A684,'2012 - TB'!$A$3:$H$733,5,FALSE)</f>
        <v>372010.17</v>
      </c>
      <c r="F684" s="2118">
        <f>VLOOKUP(A684,'2012 - TB'!$A$3:$H$733,6,FALSE)</f>
        <v>-6005.46</v>
      </c>
      <c r="G684" s="2118">
        <f t="shared" si="20"/>
        <v>366004.70999999996</v>
      </c>
      <c r="H684" s="2640">
        <f>SUMIF('Original Budget'!$A$1:$A$691,'Trial Balance - FPer'!A684,'Original Budget'!$C$1:$C$691)</f>
        <v>0</v>
      </c>
      <c r="I684" s="2640">
        <f>VLOOKUP(A684,'2012 - TB'!$A$3:$C$733,3,FALSE)</f>
        <v>211772.18</v>
      </c>
      <c r="J684" s="2119" t="s">
        <v>5943</v>
      </c>
      <c r="L684" s="2024" t="str">
        <f>VLOOKUP(A684,'2012 Budget'!$A$18:$B$2152,2,FALSE)</f>
        <v>Telephone Charg</v>
      </c>
    </row>
    <row r="685" spans="1:12" s="2024" customFormat="1" x14ac:dyDescent="0.2">
      <c r="A685" s="2116" t="s">
        <v>5287</v>
      </c>
      <c r="B685" s="2117" t="s">
        <v>4881</v>
      </c>
      <c r="C685" s="2109">
        <f>VLOOKUP(A685,'2011 - TB'!$A$3:$B$971,2,FALSE)</f>
        <v>715880.45</v>
      </c>
      <c r="D685" s="2118">
        <v>0</v>
      </c>
      <c r="E685" s="2118">
        <f>VLOOKUP(A685,'2012 - TB'!$A$3:$H$733,5,FALSE)</f>
        <v>2251095.9700000002</v>
      </c>
      <c r="F685" s="2118">
        <f>VLOOKUP(A685,'2012 - TB'!$A$3:$H$733,6,FALSE)</f>
        <v>-1965911.74</v>
      </c>
      <c r="G685" s="2118">
        <f t="shared" si="20"/>
        <v>285184.23000000021</v>
      </c>
      <c r="H685" s="2640">
        <f>SUMIF('Original Budget'!$A$1:$A$691,'Trial Balance - FPer'!A685,'Original Budget'!$C$1:$C$691)</f>
        <v>686070</v>
      </c>
      <c r="I685" s="2640">
        <f>VLOOKUP(A685,'2012 - TB'!$A$3:$C$733,3,FALSE)</f>
        <v>375046.02</v>
      </c>
      <c r="J685" s="2119" t="s">
        <v>5943</v>
      </c>
      <c r="L685" s="2024" t="str">
        <f>VLOOKUP(A685,'2012 Budget'!$A$18:$B$2152,2,FALSE)</f>
        <v>Telephone Charg</v>
      </c>
    </row>
    <row r="686" spans="1:12" s="2024" customFormat="1" x14ac:dyDescent="0.2">
      <c r="A686" s="2116" t="s">
        <v>5346</v>
      </c>
      <c r="B686" s="2117" t="s">
        <v>4881</v>
      </c>
      <c r="C686" s="2109">
        <f>VLOOKUP(A686,'2011 - TB'!$A$3:$B$971,2,FALSE)</f>
        <v>58862.64</v>
      </c>
      <c r="D686" s="2118">
        <v>0</v>
      </c>
      <c r="E686" s="2118">
        <f>VLOOKUP(A686,'2012 - TB'!$A$3:$H$733,5,FALSE)</f>
        <v>140858.46000000002</v>
      </c>
      <c r="F686" s="2118">
        <f>VLOOKUP(A686,'2012 - TB'!$A$3:$H$733,6,FALSE)</f>
        <v>0</v>
      </c>
      <c r="G686" s="2118">
        <f t="shared" si="20"/>
        <v>140858.46000000002</v>
      </c>
      <c r="H686" s="2640">
        <f>SUMIF('Original Budget'!$A$1:$A$691,'Trial Balance - FPer'!A686,'Original Budget'!$C$1:$C$691)</f>
        <v>64951.88</v>
      </c>
      <c r="I686" s="2640">
        <f>VLOOKUP(A686,'2012 - TB'!$A$3:$C$733,3,FALSE)</f>
        <v>64951.88</v>
      </c>
      <c r="J686" s="2119" t="s">
        <v>5943</v>
      </c>
      <c r="L686" s="2024" t="str">
        <f>VLOOKUP(A686,'2012 Budget'!$A$18:$B$2152,2,FALSE)</f>
        <v>Telephone Charg</v>
      </c>
    </row>
    <row r="687" spans="1:12" s="2024" customFormat="1" x14ac:dyDescent="0.2">
      <c r="A687" s="2116" t="s">
        <v>5347</v>
      </c>
      <c r="B687" s="2117" t="s">
        <v>4881</v>
      </c>
      <c r="C687" s="2109">
        <v>0</v>
      </c>
      <c r="D687" s="2118">
        <v>0</v>
      </c>
      <c r="E687" s="2118">
        <v>0</v>
      </c>
      <c r="F687" s="2118">
        <v>0</v>
      </c>
      <c r="G687" s="2118">
        <f t="shared" si="20"/>
        <v>0</v>
      </c>
      <c r="H687" s="2640">
        <f>SUMIF('Original Budget'!$A$1:$A$691,'Trial Balance - FPer'!A687,'Original Budget'!$C$1:$C$691)</f>
        <v>10345.01</v>
      </c>
      <c r="I687" s="2640"/>
      <c r="J687" s="2119" t="s">
        <v>5943</v>
      </c>
      <c r="L687" s="2024" t="str">
        <f>VLOOKUP(A687,'2012 Budget'!$A$18:$B$2152,2,FALSE)</f>
        <v>Tourism;</v>
      </c>
    </row>
    <row r="688" spans="1:12" s="2024" customFormat="1" x14ac:dyDescent="0.2">
      <c r="A688" s="2116" t="s">
        <v>5374</v>
      </c>
      <c r="B688" s="2117" t="s">
        <v>4881</v>
      </c>
      <c r="C688" s="2109">
        <f>VLOOKUP(A688,'2011 - TB'!$A$3:$B$971,2,FALSE)</f>
        <v>12911.93</v>
      </c>
      <c r="D688" s="2118">
        <v>0</v>
      </c>
      <c r="E688" s="2118">
        <f>VLOOKUP(A688,'2012 - TB'!$A$3:$H$733,5,FALSE)</f>
        <v>11111.67</v>
      </c>
      <c r="F688" s="2118">
        <f>VLOOKUP(A688,'2012 - TB'!$A$3:$H$733,6,FALSE)</f>
        <v>-470.2</v>
      </c>
      <c r="G688" s="2118">
        <f t="shared" si="20"/>
        <v>10641.47</v>
      </c>
      <c r="H688" s="2640">
        <f>SUMIF('Original Budget'!$A$1:$A$691,'Trial Balance - FPer'!A688,'Original Budget'!$C$1:$C$691)</f>
        <v>13364.23</v>
      </c>
      <c r="I688" s="2640">
        <f>VLOOKUP(A688,'2012 - TB'!$A$3:$C$733,3,FALSE)</f>
        <v>14437.79</v>
      </c>
      <c r="J688" s="2119" t="s">
        <v>5943</v>
      </c>
      <c r="L688" s="2024" t="str">
        <f>VLOOKUP(A688,'2012 Budget'!$A$18:$B$2152,2,FALSE)</f>
        <v>Telephone Charg</v>
      </c>
    </row>
    <row r="689" spans="1:12" s="2024" customFormat="1" x14ac:dyDescent="0.2">
      <c r="A689" s="2116" t="s">
        <v>5476</v>
      </c>
      <c r="B689" s="2117" t="s">
        <v>4881</v>
      </c>
      <c r="C689" s="2109" t="str">
        <f>VLOOKUP(A689,'2011 - TB'!$A$3:$B$971,2,FALSE)</f>
        <v xml:space="preserve">                               -  </v>
      </c>
      <c r="D689" s="2118">
        <v>0</v>
      </c>
      <c r="E689" s="2118">
        <f>VLOOKUP(A689,'2012 - TB'!$A$3:$H$733,5,FALSE)</f>
        <v>9034.5600000000013</v>
      </c>
      <c r="F689" s="2118">
        <f>VLOOKUP(A689,'2012 - TB'!$A$3:$H$733,6,FALSE)</f>
        <v>0</v>
      </c>
      <c r="G689" s="2118">
        <f t="shared" si="20"/>
        <v>9034.5600000000013</v>
      </c>
      <c r="H689" s="2640">
        <f>SUMIF('Original Budget'!$A$1:$A$691,'Trial Balance - FPer'!A689,'Original Budget'!$C$1:$C$691)</f>
        <v>827.71</v>
      </c>
      <c r="I689" s="2640">
        <f>VLOOKUP(A689,'2012 - TB'!$A$3:$C$733,3,FALSE)</f>
        <v>0</v>
      </c>
      <c r="J689" s="2119" t="s">
        <v>5943</v>
      </c>
      <c r="L689" s="2024" t="str">
        <f>VLOOKUP(A689,'2012 Budget'!$A$18:$B$2152,2,FALSE)</f>
        <v>Telephone Charg</v>
      </c>
    </row>
    <row r="690" spans="1:12" s="2024" customFormat="1" x14ac:dyDescent="0.2">
      <c r="A690" s="2116" t="s">
        <v>5505</v>
      </c>
      <c r="B690" s="2117" t="s">
        <v>4881</v>
      </c>
      <c r="C690" s="2109">
        <f>VLOOKUP(A690,'2011 - TB'!$A$3:$B$971,2,FALSE)</f>
        <v>58159.32</v>
      </c>
      <c r="D690" s="2118">
        <v>0</v>
      </c>
      <c r="E690" s="2118">
        <f>VLOOKUP(A690,'2012 - TB'!$A$3:$H$733,5,FALSE)</f>
        <v>29969.58</v>
      </c>
      <c r="F690" s="2118">
        <f>VLOOKUP(A690,'2012 - TB'!$A$3:$H$733,6,FALSE)</f>
        <v>0</v>
      </c>
      <c r="G690" s="2118">
        <f t="shared" si="20"/>
        <v>29969.58</v>
      </c>
      <c r="H690" s="2640">
        <f>SUMIF('Original Budget'!$A$1:$A$691,'Trial Balance - FPer'!A690,'Original Budget'!$C$1:$C$691)</f>
        <v>12260.6</v>
      </c>
      <c r="I690" s="2640">
        <f>VLOOKUP(A690,'2012 - TB'!$A$3:$C$733,3,FALSE)</f>
        <v>35000</v>
      </c>
      <c r="J690" s="2119" t="s">
        <v>5943</v>
      </c>
      <c r="L690" s="2024" t="str">
        <f>VLOOKUP(A690,'2012 Budget'!$A$18:$B$2152,2,FALSE)</f>
        <v>Telephone Charg</v>
      </c>
    </row>
    <row r="691" spans="1:12" s="2024" customFormat="1" x14ac:dyDescent="0.2">
      <c r="A691" s="2116" t="s">
        <v>5540</v>
      </c>
      <c r="B691" s="2117" t="s">
        <v>4881</v>
      </c>
      <c r="C691" s="2109">
        <f>VLOOKUP(A691,'2011 - TB'!$A$3:$B$971,2,FALSE)</f>
        <v>14291.94</v>
      </c>
      <c r="D691" s="2118">
        <v>0</v>
      </c>
      <c r="E691" s="2118">
        <v>0</v>
      </c>
      <c r="F691" s="2118">
        <v>0</v>
      </c>
      <c r="G691" s="2118">
        <f t="shared" si="20"/>
        <v>0</v>
      </c>
      <c r="H691" s="2640">
        <f>SUMIF('Original Budget'!$A$1:$A$691,'Trial Balance - FPer'!A691,'Original Budget'!$C$1:$C$691)</f>
        <v>-66.59</v>
      </c>
      <c r="I691" s="2640"/>
      <c r="J691" s="2119" t="s">
        <v>5943</v>
      </c>
      <c r="L691" s="2024" t="str">
        <f>VLOOKUP(A691,'2012 Budget'!$A$18:$B$2152,2,FALSE)</f>
        <v>Telephone Charg</v>
      </c>
    </row>
    <row r="692" spans="1:12" s="2024" customFormat="1" x14ac:dyDescent="0.2">
      <c r="A692" s="2116" t="s">
        <v>5696</v>
      </c>
      <c r="B692" s="2117" t="s">
        <v>4881</v>
      </c>
      <c r="C692" s="2109">
        <f>VLOOKUP(A692,'2011 - TB'!$A$3:$B$971,2,FALSE)</f>
        <v>6892.04</v>
      </c>
      <c r="D692" s="2118">
        <v>0</v>
      </c>
      <c r="E692" s="2118">
        <f>VLOOKUP(A692,'2012 - TB'!$A$3:$H$733,5,FALSE)</f>
        <v>5278.07</v>
      </c>
      <c r="F692" s="2118">
        <f>VLOOKUP(A692,'2012 - TB'!$A$3:$H$733,6,FALSE)</f>
        <v>0</v>
      </c>
      <c r="G692" s="2118">
        <f t="shared" si="20"/>
        <v>5278.07</v>
      </c>
      <c r="H692" s="2640">
        <f>SUMIF('Original Budget'!$A$1:$A$691,'Trial Balance - FPer'!A692,'Original Budget'!$C$1:$C$691)</f>
        <v>15162.49</v>
      </c>
      <c r="I692" s="2640">
        <f>VLOOKUP(A692,'2012 - TB'!$A$3:$C$733,3,FALSE)</f>
        <v>10000</v>
      </c>
      <c r="J692" s="2119" t="s">
        <v>5943</v>
      </c>
      <c r="L692" s="2024" t="str">
        <f>VLOOKUP(A692,'2012 Budget'!$A$18:$B$2152,2,FALSE)</f>
        <v>Telephone Charg</v>
      </c>
    </row>
    <row r="693" spans="1:12" s="2024" customFormat="1" x14ac:dyDescent="0.2">
      <c r="A693" s="2116" t="s">
        <v>5754</v>
      </c>
      <c r="B693" s="2117" t="s">
        <v>4881</v>
      </c>
      <c r="C693" s="2109" t="str">
        <f>VLOOKUP(A693,'2011 - TB'!$A$3:$B$971,2,FALSE)</f>
        <v xml:space="preserve">                               -  </v>
      </c>
      <c r="D693" s="2118">
        <v>0</v>
      </c>
      <c r="E693" s="2118">
        <f>VLOOKUP(A693,'2012 - TB'!$A$3:$H$733,5,FALSE)</f>
        <v>5902.83</v>
      </c>
      <c r="F693" s="2118">
        <f>VLOOKUP(A693,'2012 - TB'!$A$3:$H$733,6,FALSE)</f>
        <v>0</v>
      </c>
      <c r="G693" s="2118">
        <f t="shared" si="20"/>
        <v>5902.83</v>
      </c>
      <c r="H693" s="2640">
        <f>SUMIF('Original Budget'!$A$1:$A$691,'Trial Balance - FPer'!A693,'Original Budget'!$C$1:$C$691)</f>
        <v>0</v>
      </c>
      <c r="I693" s="2640">
        <f>VLOOKUP(A693,'2012 - TB'!$A$3:$C$733,3,FALSE)</f>
        <v>5902.83</v>
      </c>
      <c r="J693" s="2119" t="s">
        <v>5943</v>
      </c>
      <c r="L693" s="2024" t="str">
        <f>VLOOKUP(A693,'2012 Budget'!$A$18:$B$2152,2,FALSE)</f>
        <v>Telephone Charg</v>
      </c>
    </row>
    <row r="694" spans="1:12" s="2024" customFormat="1" x14ac:dyDescent="0.2">
      <c r="A694" s="2116" t="s">
        <v>5805</v>
      </c>
      <c r="B694" s="2117" t="s">
        <v>4881</v>
      </c>
      <c r="C694" s="2109">
        <f>VLOOKUP(A694,'2011 - TB'!$A$3:$B$971,2,FALSE)</f>
        <v>89227.74</v>
      </c>
      <c r="D694" s="2118">
        <v>0</v>
      </c>
      <c r="E694" s="2118">
        <f>VLOOKUP(A694,'2012 - TB'!$A$3:$H$733,5,FALSE)</f>
        <v>46429.06</v>
      </c>
      <c r="F694" s="2118">
        <f>VLOOKUP(A694,'2012 - TB'!$A$3:$H$733,6,FALSE)</f>
        <v>0</v>
      </c>
      <c r="G694" s="2118">
        <f t="shared" si="20"/>
        <v>46429.06</v>
      </c>
      <c r="H694" s="2640">
        <f>SUMIF('Original Budget'!$A$1:$A$691,'Trial Balance - FPer'!A694,'Original Budget'!$C$1:$C$691)</f>
        <v>86793.52</v>
      </c>
      <c r="I694" s="2640">
        <f>VLOOKUP(A694,'2012 - TB'!$A$3:$C$733,3,FALSE)</f>
        <v>86793.52</v>
      </c>
      <c r="J694" s="2119" t="s">
        <v>5943</v>
      </c>
      <c r="L694" s="2024" t="str">
        <f>VLOOKUP(A694,'2012 Budget'!$A$18:$B$2152,2,FALSE)</f>
        <v>Telephone Charg</v>
      </c>
    </row>
    <row r="695" spans="1:12" s="2024" customFormat="1" ht="13.5" thickBot="1" x14ac:dyDescent="0.25">
      <c r="A695" s="2120" t="s">
        <v>5863</v>
      </c>
      <c r="B695" s="2121" t="s">
        <v>4881</v>
      </c>
      <c r="C695" s="2122">
        <f>VLOOKUP(A695,'2011 - TB'!$A$3:$B$971,2,FALSE)</f>
        <v>8362.24</v>
      </c>
      <c r="D695" s="2123">
        <v>0</v>
      </c>
      <c r="E695" s="2123">
        <f>VLOOKUP(A695,'2012 - TB'!$A$3:$H$733,5,FALSE)</f>
        <v>20103.68</v>
      </c>
      <c r="F695" s="2123">
        <f>VLOOKUP(A695,'2012 - TB'!$A$3:$H$733,6,FALSE)</f>
        <v>0</v>
      </c>
      <c r="G695" s="2123">
        <f t="shared" si="20"/>
        <v>20103.68</v>
      </c>
      <c r="H695" s="2640">
        <f>SUMIF('Original Budget'!$A$1:$A$691,'Trial Balance - FPer'!A695,'Original Budget'!$C$1:$C$691)</f>
        <v>6206.49</v>
      </c>
      <c r="I695" s="2640">
        <f>VLOOKUP(A695,'2012 - TB'!$A$3:$C$733,3,FALSE)</f>
        <v>12675.92</v>
      </c>
      <c r="J695" s="2124" t="s">
        <v>5943</v>
      </c>
      <c r="L695" s="2024" t="str">
        <f>VLOOKUP(A695,'2012 Budget'!$A$18:$B$2152,2,FALSE)</f>
        <v>Telephone Charg</v>
      </c>
    </row>
    <row r="696" spans="1:12" s="2024" customFormat="1" x14ac:dyDescent="0.2">
      <c r="A696" s="2116" t="s">
        <v>4876</v>
      </c>
      <c r="B696" s="2117" t="s">
        <v>4877</v>
      </c>
      <c r="C696" s="2109">
        <f>VLOOKUP(A696,'2011 - TB'!$A$3:$B$971,2,FALSE)</f>
        <v>0</v>
      </c>
      <c r="D696" s="2118">
        <v>0</v>
      </c>
      <c r="E696" s="2118">
        <f>VLOOKUP(A696,'2012 - TB'!$A$3:$H$733,5,FALSE)</f>
        <v>100560</v>
      </c>
      <c r="F696" s="2118">
        <f>VLOOKUP(A696,'2012 - TB'!$A$3:$H$733,6,FALSE)</f>
        <v>0</v>
      </c>
      <c r="G696" s="2118">
        <f t="shared" si="20"/>
        <v>100560</v>
      </c>
      <c r="H696" s="2640">
        <f>SUMIF('Original Budget'!$A$1:$A$691,'Trial Balance - FPer'!A696,'Original Budget'!$C$1:$C$691)</f>
        <v>0</v>
      </c>
      <c r="I696" s="2640">
        <f>VLOOKUP(A696,'2012 - TB'!$A$3:$C$733,3,FALSE)</f>
        <v>9600</v>
      </c>
      <c r="J696" s="2119" t="s">
        <v>5949</v>
      </c>
      <c r="L696" s="2024" t="str">
        <f>VLOOKUP(A696,'2012 Budget'!$A$18:$B$2152,2,FALSE)</f>
        <v>Training;</v>
      </c>
    </row>
    <row r="697" spans="1:12" s="2024" customFormat="1" x14ac:dyDescent="0.2">
      <c r="A697" s="2116" t="s">
        <v>4926</v>
      </c>
      <c r="B697" s="2117" t="s">
        <v>4877</v>
      </c>
      <c r="C697" s="2109">
        <f>VLOOKUP(A697,'2011 - TB'!$A$3:$B$971,2,FALSE)</f>
        <v>1695</v>
      </c>
      <c r="D697" s="2118">
        <v>0</v>
      </c>
      <c r="E697" s="2118">
        <f>VLOOKUP(A697,'2012 - TB'!$A$3:$H$733,5,FALSE)</f>
        <v>56400</v>
      </c>
      <c r="F697" s="2118">
        <f>VLOOKUP(A697,'2012 - TB'!$A$3:$H$733,6,FALSE)</f>
        <v>0</v>
      </c>
      <c r="G697" s="2118">
        <f t="shared" si="20"/>
        <v>56400</v>
      </c>
      <c r="H697" s="2640">
        <f>SUMIF('Original Budget'!$A$1:$A$691,'Trial Balance - FPer'!A697,'Original Budget'!$C$1:$C$691)</f>
        <v>0</v>
      </c>
      <c r="I697" s="2640">
        <f>VLOOKUP(A697,'2012 - TB'!$A$3:$C$733,3,FALSE)</f>
        <v>0</v>
      </c>
      <c r="J697" s="2119" t="s">
        <v>5949</v>
      </c>
      <c r="L697" s="2024" t="str">
        <f>VLOOKUP(A697,'2012 Budget'!$A$18:$B$2152,2,FALSE)</f>
        <v>Training;</v>
      </c>
    </row>
    <row r="698" spans="1:12" s="2024" customFormat="1" x14ac:dyDescent="0.2">
      <c r="A698" s="2116" t="s">
        <v>5027</v>
      </c>
      <c r="B698" s="2117" t="s">
        <v>4877</v>
      </c>
      <c r="C698" s="2109">
        <f>VLOOKUP(A698,'2011 - TB'!$A$3:$B$971,2,FALSE)</f>
        <v>0</v>
      </c>
      <c r="D698" s="2118">
        <v>0</v>
      </c>
      <c r="E698" s="2118">
        <f>VLOOKUP(A698,'2012 - TB'!$A$3:$H$733,5,FALSE)</f>
        <v>73668.92</v>
      </c>
      <c r="F698" s="2118">
        <f>VLOOKUP(A698,'2012 - TB'!$A$3:$H$733,6,FALSE)</f>
        <v>0</v>
      </c>
      <c r="G698" s="2118">
        <f t="shared" si="20"/>
        <v>73668.92</v>
      </c>
      <c r="H698" s="2640">
        <f>SUMIF('Original Budget'!$A$1:$A$691,'Trial Balance - FPer'!A698,'Original Budget'!$C$1:$C$691)</f>
        <v>8798.9</v>
      </c>
      <c r="I698" s="2640">
        <f>VLOOKUP(A698,'2012 - TB'!$A$3:$C$733,3,FALSE)</f>
        <v>0</v>
      </c>
      <c r="J698" s="2119" t="s">
        <v>5949</v>
      </c>
      <c r="L698" s="2024" t="str">
        <f>VLOOKUP(A698,'2012 Budget'!$A$18:$B$2152,2,FALSE)</f>
        <v>Training;</v>
      </c>
    </row>
    <row r="699" spans="1:12" s="2024" customFormat="1" x14ac:dyDescent="0.2">
      <c r="A699" s="2116" t="s">
        <v>5028</v>
      </c>
      <c r="B699" s="2117" t="s">
        <v>4877</v>
      </c>
      <c r="C699" s="2109">
        <f>VLOOKUP(A699,'2011 - TB'!$A$3:$B$971,2,FALSE)</f>
        <v>0</v>
      </c>
      <c r="D699" s="2118">
        <v>0</v>
      </c>
      <c r="E699" s="2118">
        <v>0</v>
      </c>
      <c r="F699" s="2118">
        <v>0</v>
      </c>
      <c r="G699" s="2118">
        <f t="shared" ref="G699:G756" si="21">E699+F699</f>
        <v>0</v>
      </c>
      <c r="H699" s="2640">
        <f>SUMIF('Original Budget'!$A$1:$A$691,'Trial Balance - FPer'!A699,'Original Budget'!$C$1:$C$691)</f>
        <v>0</v>
      </c>
      <c r="I699" s="2640"/>
      <c r="J699" s="2119" t="s">
        <v>5949</v>
      </c>
      <c r="L699" s="2024" t="str">
        <f>VLOOKUP(A699,'2012 Budget'!$A$18:$B$2152,2,FALSE)</f>
        <v>Training;</v>
      </c>
    </row>
    <row r="700" spans="1:12" s="2024" customFormat="1" x14ac:dyDescent="0.2">
      <c r="A700" s="2116" t="s">
        <v>5117</v>
      </c>
      <c r="B700" s="2117" t="s">
        <v>4877</v>
      </c>
      <c r="C700" s="2109">
        <f>VLOOKUP(A700,'2011 - TB'!$A$3:$B$971,2,FALSE)</f>
        <v>0</v>
      </c>
      <c r="D700" s="2118">
        <v>0</v>
      </c>
      <c r="E700" s="2118">
        <v>0</v>
      </c>
      <c r="F700" s="2118">
        <v>0</v>
      </c>
      <c r="G700" s="2118">
        <f t="shared" si="21"/>
        <v>0</v>
      </c>
      <c r="H700" s="2640">
        <f>SUMIF('Original Budget'!$A$1:$A$691,'Trial Balance - FPer'!A700,'Original Budget'!$C$1:$C$691)</f>
        <v>0</v>
      </c>
      <c r="I700" s="2640"/>
      <c r="J700" s="2119" t="s">
        <v>5949</v>
      </c>
      <c r="L700" s="2024" t="str">
        <f>VLOOKUP(A700,'2012 Budget'!$A$18:$B$2152,2,FALSE)</f>
        <v>Training;</v>
      </c>
    </row>
    <row r="701" spans="1:12" s="2024" customFormat="1" x14ac:dyDescent="0.2">
      <c r="A701" s="2116" t="s">
        <v>5277</v>
      </c>
      <c r="B701" s="2117" t="s">
        <v>4877</v>
      </c>
      <c r="C701" s="2109">
        <f>VLOOKUP(A701,'2011 - TB'!$A$3:$B$971,2,FALSE)</f>
        <v>0</v>
      </c>
      <c r="D701" s="2118">
        <v>0</v>
      </c>
      <c r="E701" s="2118">
        <f>VLOOKUP(A701,'2012 - TB'!$A$3:$H$733,5,FALSE)</f>
        <v>350</v>
      </c>
      <c r="F701" s="2118">
        <f>VLOOKUP(A701,'2012 - TB'!$A$3:$H$733,6,FALSE)</f>
        <v>0</v>
      </c>
      <c r="G701" s="2118">
        <f t="shared" si="21"/>
        <v>350</v>
      </c>
      <c r="H701" s="2640">
        <f>SUMIF('Original Budget'!$A$1:$A$691,'Trial Balance - FPer'!A701,'Original Budget'!$C$1:$C$691)</f>
        <v>0</v>
      </c>
      <c r="I701" s="2640">
        <f>VLOOKUP(A701,'2012 - TB'!$A$3:$C$733,3,FALSE)</f>
        <v>0</v>
      </c>
      <c r="J701" s="2119" t="s">
        <v>5949</v>
      </c>
      <c r="L701" s="2024" t="str">
        <f>VLOOKUP(A701,'2012 Budget'!$A$18:$B$2152,2,FALSE)</f>
        <v>Training;</v>
      </c>
    </row>
    <row r="702" spans="1:12" s="2024" customFormat="1" x14ac:dyDescent="0.2">
      <c r="A702" s="2116" t="s">
        <v>5278</v>
      </c>
      <c r="B702" s="2117" t="s">
        <v>4877</v>
      </c>
      <c r="C702" s="2109">
        <f>VLOOKUP(A702,'2011 - TB'!$A$3:$B$971,2,FALSE)</f>
        <v>28072.400000000001</v>
      </c>
      <c r="D702" s="2118">
        <v>0</v>
      </c>
      <c r="E702" s="2118">
        <f>VLOOKUP(A702,'2012 - TB'!$A$3:$H$733,5,FALSE)</f>
        <v>437495.5</v>
      </c>
      <c r="F702" s="2118">
        <f>VLOOKUP(A702,'2012 - TB'!$A$3:$H$733,6,FALSE)</f>
        <v>-300</v>
      </c>
      <c r="G702" s="2118">
        <f t="shared" si="21"/>
        <v>437195.5</v>
      </c>
      <c r="H702" s="2640">
        <f>SUMIF('Original Budget'!$A$1:$A$691,'Trial Balance - FPer'!A702,'Original Budget'!$C$1:$C$691)</f>
        <v>49178.8</v>
      </c>
      <c r="I702" s="2640">
        <f>VLOOKUP(A702,'2012 - TB'!$A$3:$C$733,3,FALSE)</f>
        <v>49178.8</v>
      </c>
      <c r="J702" s="2119" t="s">
        <v>5949</v>
      </c>
      <c r="L702" s="2024" t="str">
        <f>VLOOKUP(A702,'2012 Budget'!$A$18:$B$2152,2,FALSE)</f>
        <v>Training;</v>
      </c>
    </row>
    <row r="703" spans="1:12" s="2024" customFormat="1" x14ac:dyDescent="0.2">
      <c r="A703" s="2116" t="s">
        <v>5343</v>
      </c>
      <c r="B703" s="2117" t="s">
        <v>4877</v>
      </c>
      <c r="C703" s="2109">
        <f>VLOOKUP(A703,'2011 - TB'!$A$3:$B$971,2,FALSE)</f>
        <v>0</v>
      </c>
      <c r="D703" s="2118">
        <v>0</v>
      </c>
      <c r="E703" s="2118">
        <v>0</v>
      </c>
      <c r="F703" s="2118">
        <v>0</v>
      </c>
      <c r="G703" s="2118">
        <f t="shared" si="21"/>
        <v>0</v>
      </c>
      <c r="H703" s="2640">
        <f>SUMIF('Original Budget'!$A$1:$A$691,'Trial Balance - FPer'!A703,'Original Budget'!$C$1:$C$691)</f>
        <v>0</v>
      </c>
      <c r="I703" s="2640"/>
      <c r="J703" s="2119" t="s">
        <v>5949</v>
      </c>
      <c r="L703" s="2024" t="str">
        <f>VLOOKUP(A703,'2012 Budget'!$A$18:$B$2152,2,FALSE)</f>
        <v>Training;</v>
      </c>
    </row>
    <row r="704" spans="1:12" s="2024" customFormat="1" x14ac:dyDescent="0.2">
      <c r="A704" s="2116" t="s">
        <v>5372</v>
      </c>
      <c r="B704" s="2117" t="s">
        <v>4877</v>
      </c>
      <c r="C704" s="2109">
        <f>VLOOKUP(A704,'2011 - TB'!$A$3:$B$971,2,FALSE)</f>
        <v>0</v>
      </c>
      <c r="D704" s="2118">
        <v>0</v>
      </c>
      <c r="E704" s="2118">
        <v>0</v>
      </c>
      <c r="F704" s="2118">
        <v>0</v>
      </c>
      <c r="G704" s="2118">
        <f t="shared" si="21"/>
        <v>0</v>
      </c>
      <c r="H704" s="2640">
        <f>SUMIF('Original Budget'!$A$1:$A$691,'Trial Balance - FPer'!A704,'Original Budget'!$C$1:$C$691)</f>
        <v>0</v>
      </c>
      <c r="I704" s="2640"/>
      <c r="J704" s="2119" t="s">
        <v>5949</v>
      </c>
      <c r="L704" s="2024" t="str">
        <f>VLOOKUP(A704,'2012 Budget'!$A$18:$B$2152,2,FALSE)</f>
        <v>Training;</v>
      </c>
    </row>
    <row r="705" spans="1:12" s="2024" customFormat="1" x14ac:dyDescent="0.2">
      <c r="A705" s="2116" t="s">
        <v>5473</v>
      </c>
      <c r="B705" s="2117" t="s">
        <v>4877</v>
      </c>
      <c r="C705" s="2109">
        <v>0</v>
      </c>
      <c r="D705" s="2118">
        <v>0</v>
      </c>
      <c r="E705" s="2118">
        <v>0</v>
      </c>
      <c r="F705" s="2118">
        <v>0</v>
      </c>
      <c r="G705" s="2118">
        <f t="shared" si="21"/>
        <v>0</v>
      </c>
      <c r="H705" s="2640">
        <f>SUMIF('Original Budget'!$A$1:$A$691,'Trial Balance - FPer'!A705,'Original Budget'!$C$1:$C$691)</f>
        <v>0</v>
      </c>
      <c r="I705" s="2640"/>
      <c r="J705" s="2119" t="s">
        <v>5949</v>
      </c>
      <c r="L705" s="2024" t="str">
        <f>VLOOKUP(A705,'2012 Budget'!$A$18:$B$2152,2,FALSE)</f>
        <v>Training;</v>
      </c>
    </row>
    <row r="706" spans="1:12" s="2024" customFormat="1" x14ac:dyDescent="0.2">
      <c r="A706" s="2116" t="s">
        <v>5503</v>
      </c>
      <c r="B706" s="2117" t="s">
        <v>4877</v>
      </c>
      <c r="C706" s="2109">
        <v>0</v>
      </c>
      <c r="D706" s="2118">
        <v>0</v>
      </c>
      <c r="E706" s="2118">
        <v>0</v>
      </c>
      <c r="F706" s="2118">
        <v>0</v>
      </c>
      <c r="G706" s="2118">
        <f t="shared" si="21"/>
        <v>0</v>
      </c>
      <c r="H706" s="2640">
        <f>SUMIF('Original Budget'!$A$1:$A$691,'Trial Balance - FPer'!A706,'Original Budget'!$C$1:$C$691)</f>
        <v>0</v>
      </c>
      <c r="I706" s="2640"/>
      <c r="J706" s="2119" t="s">
        <v>5949</v>
      </c>
      <c r="L706" s="2024" t="str">
        <f>VLOOKUP(A706,'2012 Budget'!$A$18:$B$2152,2,FALSE)</f>
        <v>Training;</v>
      </c>
    </row>
    <row r="707" spans="1:12" s="2024" customFormat="1" x14ac:dyDescent="0.2">
      <c r="A707" s="2116" t="s">
        <v>5537</v>
      </c>
      <c r="B707" s="2117" t="s">
        <v>4877</v>
      </c>
      <c r="C707" s="2109">
        <v>0</v>
      </c>
      <c r="D707" s="2118">
        <v>0</v>
      </c>
      <c r="E707" s="2118">
        <v>0</v>
      </c>
      <c r="F707" s="2118">
        <v>0</v>
      </c>
      <c r="G707" s="2118">
        <f t="shared" si="21"/>
        <v>0</v>
      </c>
      <c r="H707" s="2640">
        <f>SUMIF('Original Budget'!$A$1:$A$691,'Trial Balance - FPer'!A707,'Original Budget'!$C$1:$C$691)</f>
        <v>4950</v>
      </c>
      <c r="I707" s="2640"/>
      <c r="J707" s="2119" t="s">
        <v>5949</v>
      </c>
      <c r="L707" s="2024" t="str">
        <f>VLOOKUP(A707,'2012 Budget'!$A$18:$B$2152,2,FALSE)</f>
        <v>Training;</v>
      </c>
    </row>
    <row r="708" spans="1:12" s="2024" customFormat="1" x14ac:dyDescent="0.2">
      <c r="A708" s="2116" t="s">
        <v>5616</v>
      </c>
      <c r="B708" s="2117" t="s">
        <v>4877</v>
      </c>
      <c r="C708" s="2109">
        <v>0</v>
      </c>
      <c r="D708" s="2118">
        <v>0</v>
      </c>
      <c r="E708" s="2118">
        <v>0</v>
      </c>
      <c r="F708" s="2118">
        <v>0</v>
      </c>
      <c r="G708" s="2118">
        <f t="shared" si="21"/>
        <v>0</v>
      </c>
      <c r="H708" s="2640">
        <f>SUMIF('Original Budget'!$A$1:$A$691,'Trial Balance - FPer'!A708,'Original Budget'!$C$1:$C$691)</f>
        <v>0</v>
      </c>
      <c r="I708" s="2640"/>
      <c r="J708" s="2119" t="s">
        <v>5949</v>
      </c>
      <c r="L708" s="2024" t="str">
        <f>VLOOKUP(A708,'2012 Budget'!$A$18:$B$2152,2,FALSE)</f>
        <v>Training;</v>
      </c>
    </row>
    <row r="709" spans="1:12" s="2024" customFormat="1" x14ac:dyDescent="0.2">
      <c r="A709" s="2116" t="s">
        <v>5655</v>
      </c>
      <c r="B709" s="2117" t="s">
        <v>4877</v>
      </c>
      <c r="C709" s="2109">
        <v>0</v>
      </c>
      <c r="D709" s="2118">
        <v>0</v>
      </c>
      <c r="E709" s="2118">
        <v>0</v>
      </c>
      <c r="F709" s="2118">
        <v>0</v>
      </c>
      <c r="G709" s="2118">
        <f t="shared" si="21"/>
        <v>0</v>
      </c>
      <c r="H709" s="2640">
        <f>SUMIF('Original Budget'!$A$1:$A$691,'Trial Balance - FPer'!A709,'Original Budget'!$C$1:$C$691)</f>
        <v>0</v>
      </c>
      <c r="I709" s="2640"/>
      <c r="J709" s="2119" t="s">
        <v>5949</v>
      </c>
      <c r="L709" s="2024" t="str">
        <f>VLOOKUP(A709,'2012 Budget'!$A$18:$B$2152,2,FALSE)</f>
        <v>Training;</v>
      </c>
    </row>
    <row r="710" spans="1:12" s="2024" customFormat="1" x14ac:dyDescent="0.2">
      <c r="A710" s="2116" t="s">
        <v>5693</v>
      </c>
      <c r="B710" s="2117" t="s">
        <v>4877</v>
      </c>
      <c r="C710" s="2109">
        <v>0</v>
      </c>
      <c r="D710" s="2118">
        <v>0</v>
      </c>
      <c r="E710" s="2118">
        <v>0</v>
      </c>
      <c r="F710" s="2118">
        <v>0</v>
      </c>
      <c r="G710" s="2118">
        <f t="shared" si="21"/>
        <v>0</v>
      </c>
      <c r="H710" s="2640">
        <f>SUMIF('Original Budget'!$A$1:$A$691,'Trial Balance - FPer'!A710,'Original Budget'!$C$1:$C$691)</f>
        <v>0</v>
      </c>
      <c r="I710" s="2640"/>
      <c r="J710" s="2119" t="s">
        <v>5949</v>
      </c>
      <c r="L710" s="2024" t="str">
        <f>VLOOKUP(A710,'2012 Budget'!$A$18:$B$2152,2,FALSE)</f>
        <v>Training;</v>
      </c>
    </row>
    <row r="711" spans="1:12" s="2024" customFormat="1" x14ac:dyDescent="0.2">
      <c r="A711" s="2116" t="s">
        <v>5751</v>
      </c>
      <c r="B711" s="2117" t="s">
        <v>4877</v>
      </c>
      <c r="C711" s="2109">
        <v>0</v>
      </c>
      <c r="D711" s="2118">
        <v>0</v>
      </c>
      <c r="E711" s="2118">
        <v>0</v>
      </c>
      <c r="F711" s="2118">
        <v>0</v>
      </c>
      <c r="G711" s="2118">
        <f t="shared" si="21"/>
        <v>0</v>
      </c>
      <c r="H711" s="2640">
        <f>SUMIF('Original Budget'!$A$1:$A$691,'Trial Balance - FPer'!A711,'Original Budget'!$C$1:$C$691)</f>
        <v>0</v>
      </c>
      <c r="I711" s="2640"/>
      <c r="J711" s="2119" t="s">
        <v>5949</v>
      </c>
      <c r="L711" s="2024" t="str">
        <f>VLOOKUP(A711,'2012 Budget'!$A$18:$B$2152,2,FALSE)</f>
        <v>Training;</v>
      </c>
    </row>
    <row r="712" spans="1:12" s="2024" customFormat="1" x14ac:dyDescent="0.2">
      <c r="A712" s="2116" t="s">
        <v>5802</v>
      </c>
      <c r="B712" s="2117" t="s">
        <v>4877</v>
      </c>
      <c r="C712" s="2109">
        <v>0</v>
      </c>
      <c r="D712" s="2118">
        <v>0</v>
      </c>
      <c r="E712" s="2118">
        <v>0</v>
      </c>
      <c r="F712" s="2118">
        <v>0</v>
      </c>
      <c r="G712" s="2118">
        <f t="shared" si="21"/>
        <v>0</v>
      </c>
      <c r="H712" s="2640">
        <f>SUMIF('Original Budget'!$A$1:$A$691,'Trial Balance - FPer'!A712,'Original Budget'!$C$1:$C$691)</f>
        <v>0</v>
      </c>
      <c r="I712" s="2640"/>
      <c r="J712" s="2119" t="s">
        <v>5949</v>
      </c>
      <c r="L712" s="2024" t="str">
        <f>VLOOKUP(A712,'2012 Budget'!$A$18:$B$2152,2,FALSE)</f>
        <v>Training;</v>
      </c>
    </row>
    <row r="713" spans="1:12" s="2024" customFormat="1" ht="13.5" thickBot="1" x14ac:dyDescent="0.25">
      <c r="A713" s="2116" t="s">
        <v>5858</v>
      </c>
      <c r="B713" s="2117" t="s">
        <v>4877</v>
      </c>
      <c r="C713" s="2109">
        <v>0</v>
      </c>
      <c r="D713" s="2118">
        <v>0</v>
      </c>
      <c r="E713" s="2118">
        <v>0</v>
      </c>
      <c r="F713" s="2118">
        <v>0</v>
      </c>
      <c r="G713" s="2118">
        <f t="shared" si="21"/>
        <v>0</v>
      </c>
      <c r="H713" s="2640">
        <f>SUMIF('Original Budget'!$A$1:$A$691,'Trial Balance - FPer'!A713,'Original Budget'!$C$1:$C$691)</f>
        <v>0</v>
      </c>
      <c r="I713" s="2640"/>
      <c r="J713" s="2119" t="s">
        <v>5949</v>
      </c>
      <c r="L713" s="2024" t="str">
        <f>VLOOKUP(A713,'2012 Budget'!$A$18:$B$2152,2,FALSE)</f>
        <v>Training;</v>
      </c>
    </row>
    <row r="714" spans="1:12" s="2024" customFormat="1" x14ac:dyDescent="0.2">
      <c r="A714" s="2111" t="s">
        <v>5110</v>
      </c>
      <c r="B714" s="2112" t="s">
        <v>5111</v>
      </c>
      <c r="C714" s="2113">
        <f>VLOOKUP(A714,'2011 - TB'!$A$3:$B$971,2,FALSE)</f>
        <v>0</v>
      </c>
      <c r="D714" s="2114">
        <v>0</v>
      </c>
      <c r="E714" s="2114">
        <v>0</v>
      </c>
      <c r="F714" s="2114">
        <v>0</v>
      </c>
      <c r="G714" s="2114">
        <f t="shared" si="21"/>
        <v>0</v>
      </c>
      <c r="H714" s="2640">
        <f>SUMIF('Original Budget'!$A$1:$A$691,'Trial Balance - FPer'!A714,'Original Budget'!$C$1:$C$691)</f>
        <v>0</v>
      </c>
      <c r="I714" s="2640"/>
      <c r="J714" s="2115" t="s">
        <v>5967</v>
      </c>
      <c r="L714" s="2024" t="str">
        <f>VLOOKUP(A714,'2012 Budget'!$A$18:$B$2152,2,FALSE)</f>
        <v>Work Study;</v>
      </c>
    </row>
    <row r="715" spans="1:12" s="2024" customFormat="1" x14ac:dyDescent="0.2">
      <c r="A715" s="2116" t="s">
        <v>5337</v>
      </c>
      <c r="B715" s="2117" t="s">
        <v>5111</v>
      </c>
      <c r="C715" s="2109">
        <f>VLOOKUP(A715,'2011 - TB'!$A$3:$B$971,2,FALSE)</f>
        <v>2250</v>
      </c>
      <c r="D715" s="2118">
        <v>0</v>
      </c>
      <c r="E715" s="2118">
        <f>VLOOKUP(A715,'2012 - TB'!$A$3:$H$733,5,FALSE)</f>
        <v>4809.37</v>
      </c>
      <c r="F715" s="2118">
        <f>VLOOKUP(A715,'2012 - TB'!$A$3:$H$733,6,FALSE)</f>
        <v>0</v>
      </c>
      <c r="G715" s="2118">
        <f t="shared" si="21"/>
        <v>4809.37</v>
      </c>
      <c r="H715" s="2640">
        <f>SUMIF('Original Budget'!$A$1:$A$691,'Trial Balance - FPer'!A715,'Original Budget'!$C$1:$C$691)</f>
        <v>49658.95</v>
      </c>
      <c r="I715" s="2640">
        <f>VLOOKUP(A715,'2012 - TB'!$A$3:$C$733,3,FALSE)</f>
        <v>2300</v>
      </c>
      <c r="J715" s="2119" t="s">
        <v>5967</v>
      </c>
      <c r="L715" s="2024" t="str">
        <f>VLOOKUP(A715,'2012 Budget'!$A$18:$B$2152,2,FALSE)</f>
        <v>IDP;</v>
      </c>
    </row>
    <row r="716" spans="1:12" s="2024" customFormat="1" ht="13.5" thickBot="1" x14ac:dyDescent="0.25">
      <c r="A716" s="2120" t="s">
        <v>5866</v>
      </c>
      <c r="B716" s="2121" t="s">
        <v>5867</v>
      </c>
      <c r="C716" s="2122">
        <f>VLOOKUP(A716,'2011 - TB'!$A$3:$B$971,2,FALSE)</f>
        <v>14788.37</v>
      </c>
      <c r="D716" s="2123">
        <v>0</v>
      </c>
      <c r="E716" s="2123">
        <f>VLOOKUP(A716,'2012 - TB'!$A$3:$H$733,5,FALSE)</f>
        <v>12098.25</v>
      </c>
      <c r="F716" s="2123">
        <f>VLOOKUP(A716,'2012 - TB'!$A$3:$H$733,6,FALSE)</f>
        <v>-400</v>
      </c>
      <c r="G716" s="2123">
        <f t="shared" si="21"/>
        <v>11698.25</v>
      </c>
      <c r="H716" s="2640">
        <f>SUMIF('Original Budget'!$A$1:$A$691,'Trial Balance - FPer'!A716,'Original Budget'!$C$1:$C$691)</f>
        <v>5225.97</v>
      </c>
      <c r="I716" s="2640">
        <f>VLOOKUP(A716,'2012 - TB'!$A$3:$C$733,3,FALSE)</f>
        <v>15000</v>
      </c>
      <c r="J716" s="2124" t="s">
        <v>5967</v>
      </c>
      <c r="L716" s="2024" t="str">
        <f>VLOOKUP(A716,'2012 Budget'!$A$18:$B$2152,2,FALSE)</f>
        <v>Transport Costs</v>
      </c>
    </row>
    <row r="717" spans="1:12" s="2024" customFormat="1" x14ac:dyDescent="0.2">
      <c r="A717" s="2116" t="s">
        <v>4878</v>
      </c>
      <c r="B717" s="2117" t="s">
        <v>4879</v>
      </c>
      <c r="C717" s="2109">
        <f>VLOOKUP(A717,'2011 - TB'!$A$3:$B$971,2,FALSE)</f>
        <v>580150.98</v>
      </c>
      <c r="D717" s="2118">
        <v>0</v>
      </c>
      <c r="E717" s="2118">
        <f>VLOOKUP(A717,'2012 - TB'!$A$3:$H$733,5,FALSE)</f>
        <v>465505.34</v>
      </c>
      <c r="F717" s="2118">
        <f>VLOOKUP(A717,'2012 - TB'!$A$3:$H$733,6,FALSE)</f>
        <v>-1873.4</v>
      </c>
      <c r="G717" s="2118">
        <f t="shared" si="21"/>
        <v>463631.94</v>
      </c>
      <c r="H717" s="2640">
        <f>SUMIF('Original Budget'!$A$1:$A$691,'Trial Balance - FPer'!A717,'Original Budget'!$C$1:$C$691)</f>
        <v>200000</v>
      </c>
      <c r="I717" s="2640">
        <f>VLOOKUP(A717,'2012 - TB'!$A$3:$C$733,3,FALSE)</f>
        <v>400000</v>
      </c>
      <c r="J717" s="2119" t="s">
        <v>5942</v>
      </c>
      <c r="L717" s="2024" t="str">
        <f>VLOOKUP(A717,'2012 Budget'!$A$18:$B$2152,2,FALSE)</f>
        <v>Subsistence &amp; T</v>
      </c>
    </row>
    <row r="718" spans="1:12" s="2024" customFormat="1" x14ac:dyDescent="0.2">
      <c r="A718" s="2116" t="s">
        <v>4927</v>
      </c>
      <c r="B718" s="2117" t="s">
        <v>4879</v>
      </c>
      <c r="C718" s="2109">
        <f>VLOOKUP(A718,'2011 - TB'!$A$3:$B$971,2,FALSE)</f>
        <v>187577.94</v>
      </c>
      <c r="D718" s="2118">
        <v>0</v>
      </c>
      <c r="E718" s="2118">
        <f>VLOOKUP(A718,'2012 - TB'!$A$3:$H$733,5,FALSE)</f>
        <v>333981.89</v>
      </c>
      <c r="F718" s="2118">
        <f>VLOOKUP(A718,'2012 - TB'!$A$3:$H$733,6,FALSE)</f>
        <v>-8357.34</v>
      </c>
      <c r="G718" s="2118">
        <f t="shared" si="21"/>
        <v>325624.55</v>
      </c>
      <c r="H718" s="2640">
        <f>SUMIF('Original Budget'!$A$1:$A$691,'Trial Balance - FPer'!A718,'Original Budget'!$C$1:$C$691)</f>
        <v>180000</v>
      </c>
      <c r="I718" s="2640">
        <f>VLOOKUP(A718,'2012 - TB'!$A$3:$C$733,3,FALSE)</f>
        <v>180000</v>
      </c>
      <c r="J718" s="2119" t="s">
        <v>5942</v>
      </c>
      <c r="L718" s="2024" t="str">
        <f>VLOOKUP(A718,'2012 Budget'!$A$18:$B$2152,2,FALSE)</f>
        <v>Subsistence &amp; T</v>
      </c>
    </row>
    <row r="719" spans="1:12" s="2024" customFormat="1" x14ac:dyDescent="0.2">
      <c r="A719" s="2116" t="s">
        <v>5029</v>
      </c>
      <c r="B719" s="2117" t="s">
        <v>4879</v>
      </c>
      <c r="C719" s="2109">
        <f>VLOOKUP(A719,'2011 - TB'!$A$3:$B$971,2,FALSE)</f>
        <v>54884.3</v>
      </c>
      <c r="D719" s="2118">
        <v>0</v>
      </c>
      <c r="E719" s="2118">
        <f>VLOOKUP(A719,'2012 - TB'!$A$3:$H$733,5,FALSE)</f>
        <v>208057.54</v>
      </c>
      <c r="F719" s="2118">
        <f>VLOOKUP(A719,'2012 - TB'!$A$3:$H$733,6,FALSE)</f>
        <v>-321</v>
      </c>
      <c r="G719" s="2118">
        <f t="shared" si="21"/>
        <v>207736.54</v>
      </c>
      <c r="H719" s="2640">
        <f>SUMIF('Original Budget'!$A$1:$A$691,'Trial Balance - FPer'!A719,'Original Budget'!$C$1:$C$691)</f>
        <v>100000</v>
      </c>
      <c r="I719" s="2640">
        <f>VLOOKUP(A719,'2012 - TB'!$A$3:$C$733,3,FALSE)</f>
        <v>190000</v>
      </c>
      <c r="J719" s="2119" t="s">
        <v>5942</v>
      </c>
      <c r="L719" s="2024" t="str">
        <f>VLOOKUP(A719,'2012 Budget'!$A$18:$B$2152,2,FALSE)</f>
        <v>Subsistence &amp; T</v>
      </c>
    </row>
    <row r="720" spans="1:12" s="2024" customFormat="1" x14ac:dyDescent="0.2">
      <c r="A720" s="2116" t="s">
        <v>5030</v>
      </c>
      <c r="B720" s="2117" t="s">
        <v>4879</v>
      </c>
      <c r="C720" s="2109">
        <f>VLOOKUP(A720,'2011 - TB'!$A$3:$B$971,2,FALSE)</f>
        <v>148731.53</v>
      </c>
      <c r="D720" s="2118">
        <v>0</v>
      </c>
      <c r="E720" s="2118">
        <f>VLOOKUP(A720,'2012 - TB'!$A$3:$H$733,5,FALSE)</f>
        <v>291369.20999999996</v>
      </c>
      <c r="F720" s="2118">
        <f>VLOOKUP(A720,'2012 - TB'!$A$3:$H$733,6,FALSE)</f>
        <v>-1363.98</v>
      </c>
      <c r="G720" s="2118">
        <f t="shared" si="21"/>
        <v>290005.23</v>
      </c>
      <c r="H720" s="2640">
        <f>SUMIF('Original Budget'!$A$1:$A$691,'Trial Balance - FPer'!A720,'Original Budget'!$C$1:$C$691)</f>
        <v>102467.02</v>
      </c>
      <c r="I720" s="2640">
        <f>VLOOKUP(A720,'2012 - TB'!$A$3:$C$733,3,FALSE)</f>
        <v>190000</v>
      </c>
      <c r="J720" s="2119" t="s">
        <v>5942</v>
      </c>
      <c r="L720" s="2024" t="str">
        <f>VLOOKUP(A720,'2012 Budget'!$A$18:$B$2152,2,FALSE)</f>
        <v>Subsistence &amp; T</v>
      </c>
    </row>
    <row r="721" spans="1:12" s="2024" customFormat="1" x14ac:dyDescent="0.2">
      <c r="A721" s="2116" t="s">
        <v>5031</v>
      </c>
      <c r="B721" s="2117" t="s">
        <v>4879</v>
      </c>
      <c r="C721" s="2109">
        <f>VLOOKUP(A721,'2011 - TB'!$A$3:$B$971,2,FALSE)</f>
        <v>22237.45</v>
      </c>
      <c r="D721" s="2118">
        <v>0</v>
      </c>
      <c r="E721" s="2118">
        <v>0</v>
      </c>
      <c r="F721" s="2118">
        <v>0</v>
      </c>
      <c r="G721" s="2118">
        <f t="shared" si="21"/>
        <v>0</v>
      </c>
      <c r="H721" s="2640">
        <f>SUMIF('Original Budget'!$A$1:$A$691,'Trial Balance - FPer'!A721,'Original Budget'!$C$1:$C$691)</f>
        <v>48922.39</v>
      </c>
      <c r="I721" s="2640"/>
      <c r="J721" s="2119" t="s">
        <v>5942</v>
      </c>
      <c r="L721" s="2024" t="str">
        <f>VLOOKUP(A721,'2012 Budget'!$A$18:$B$2152,2,FALSE)</f>
        <v>Subsistence &amp; T</v>
      </c>
    </row>
    <row r="722" spans="1:12" s="2024" customFormat="1" x14ac:dyDescent="0.2">
      <c r="A722" s="2116" t="s">
        <v>5118</v>
      </c>
      <c r="B722" s="2117" t="s">
        <v>4879</v>
      </c>
      <c r="C722" s="2109">
        <f>VLOOKUP(A722,'2011 - TB'!$A$3:$B$971,2,FALSE)</f>
        <v>95260.22</v>
      </c>
      <c r="D722" s="2118">
        <v>0</v>
      </c>
      <c r="E722" s="2118">
        <f>VLOOKUP(A722,'2012 - TB'!$A$3:$H$733,5,FALSE)</f>
        <v>208831.37</v>
      </c>
      <c r="F722" s="2118">
        <f>VLOOKUP(A722,'2012 - TB'!$A$3:$H$733,6,FALSE)</f>
        <v>-20230</v>
      </c>
      <c r="G722" s="2118">
        <f t="shared" si="21"/>
        <v>188601.37</v>
      </c>
      <c r="H722" s="2640">
        <f>SUMIF('Original Budget'!$A$1:$A$691,'Trial Balance - FPer'!A722,'Original Budget'!$C$1:$C$691)</f>
        <v>37390.11</v>
      </c>
      <c r="I722" s="2640">
        <f>VLOOKUP(A722,'2012 - TB'!$A$3:$C$733,3,FALSE)</f>
        <v>100000</v>
      </c>
      <c r="J722" s="2119" t="s">
        <v>5942</v>
      </c>
      <c r="L722" s="2024" t="str">
        <f>VLOOKUP(A722,'2012 Budget'!$A$18:$B$2152,2,FALSE)</f>
        <v>Subsistence &amp; T</v>
      </c>
    </row>
    <row r="723" spans="1:12" s="2024" customFormat="1" x14ac:dyDescent="0.2">
      <c r="A723" s="2116" t="s">
        <v>5146</v>
      </c>
      <c r="B723" s="2117" t="s">
        <v>4879</v>
      </c>
      <c r="C723" s="2109">
        <f>VLOOKUP(A723,'2011 - TB'!$A$3:$B$971,2,FALSE)</f>
        <v>33689.78</v>
      </c>
      <c r="D723" s="2118">
        <v>0</v>
      </c>
      <c r="E723" s="2118">
        <f>VLOOKUP(A723,'2012 - TB'!$A$3:$H$733,5,FALSE)</f>
        <v>9337.73</v>
      </c>
      <c r="F723" s="2118">
        <f>VLOOKUP(A723,'2012 - TB'!$A$3:$H$733,6,FALSE)</f>
        <v>0</v>
      </c>
      <c r="G723" s="2118">
        <f t="shared" si="21"/>
        <v>9337.73</v>
      </c>
      <c r="H723" s="2640">
        <f>SUMIF('Original Budget'!$A$1:$A$691,'Trial Balance - FPer'!A723,'Original Budget'!$C$1:$C$691)</f>
        <v>13720.89</v>
      </c>
      <c r="I723" s="2640">
        <f>VLOOKUP(A723,'2012 - TB'!$A$3:$C$733,3,FALSE)</f>
        <v>13720.89</v>
      </c>
      <c r="J723" s="2119" t="s">
        <v>5942</v>
      </c>
      <c r="L723" s="2024" t="str">
        <f>VLOOKUP(A723,'2012 Budget'!$A$18:$B$2152,2,FALSE)</f>
        <v>Subsistence &amp; T</v>
      </c>
    </row>
    <row r="724" spans="1:12" s="2024" customFormat="1" x14ac:dyDescent="0.2">
      <c r="A724" s="2116" t="s">
        <v>5162</v>
      </c>
      <c r="B724" s="2117" t="s">
        <v>4879</v>
      </c>
      <c r="C724" s="2109">
        <f>VLOOKUP(A724,'2011 - TB'!$A$3:$B$971,2,FALSE)</f>
        <v>0</v>
      </c>
      <c r="D724" s="2118">
        <v>0</v>
      </c>
      <c r="E724" s="2118">
        <v>0</v>
      </c>
      <c r="F724" s="2118">
        <v>0</v>
      </c>
      <c r="G724" s="2118">
        <f t="shared" si="21"/>
        <v>0</v>
      </c>
      <c r="H724" s="2640">
        <f>SUMIF('Original Budget'!$A$1:$A$691,'Trial Balance - FPer'!A724,'Original Budget'!$C$1:$C$691)</f>
        <v>0</v>
      </c>
      <c r="I724" s="2640"/>
      <c r="J724" s="2119" t="s">
        <v>5942</v>
      </c>
      <c r="L724" s="2024" t="str">
        <f>VLOOKUP(A724,'2012 Budget'!$A$18:$B$2152,2,FALSE)</f>
        <v>Subsistence &amp; T</v>
      </c>
    </row>
    <row r="725" spans="1:12" s="2024" customFormat="1" x14ac:dyDescent="0.2">
      <c r="A725" s="2116" t="s">
        <v>5279</v>
      </c>
      <c r="B725" s="2117" t="s">
        <v>4879</v>
      </c>
      <c r="C725" s="2109">
        <f>VLOOKUP(A725,'2011 - TB'!$A$3:$B$971,2,FALSE)</f>
        <v>10566.4</v>
      </c>
      <c r="D725" s="2118">
        <v>0</v>
      </c>
      <c r="E725" s="2118">
        <f>VLOOKUP(A725,'2012 - TB'!$A$3:$H$733,5,FALSE)</f>
        <v>66712.009999999995</v>
      </c>
      <c r="F725" s="2118">
        <f>VLOOKUP(A725,'2012 - TB'!$A$3:$H$733,6,FALSE)</f>
        <v>0</v>
      </c>
      <c r="G725" s="2118">
        <f t="shared" si="21"/>
        <v>66712.009999999995</v>
      </c>
      <c r="H725" s="2640">
        <f>SUMIF('Original Budget'!$A$1:$A$691,'Trial Balance - FPer'!A725,'Original Budget'!$C$1:$C$691)</f>
        <v>7289.44</v>
      </c>
      <c r="I725" s="2640">
        <f>VLOOKUP(A725,'2012 - TB'!$A$3:$C$733,3,FALSE)</f>
        <v>83153.990000000005</v>
      </c>
      <c r="J725" s="2119" t="s">
        <v>5942</v>
      </c>
      <c r="L725" s="2024" t="str">
        <f>VLOOKUP(A725,'2012 Budget'!$A$18:$B$2152,2,FALSE)</f>
        <v>Subsistence &amp; T</v>
      </c>
    </row>
    <row r="726" spans="1:12" s="2024" customFormat="1" x14ac:dyDescent="0.2">
      <c r="A726" s="2116" t="s">
        <v>5280</v>
      </c>
      <c r="B726" s="2117" t="s">
        <v>4879</v>
      </c>
      <c r="C726" s="2109">
        <f>VLOOKUP(A726,'2011 - TB'!$A$3:$B$971,2,FALSE)</f>
        <v>44948.05</v>
      </c>
      <c r="D726" s="2118">
        <v>0</v>
      </c>
      <c r="E726" s="2118">
        <f>VLOOKUP(A726,'2012 - TB'!$A$3:$H$733,5,FALSE)</f>
        <v>87309.209999999992</v>
      </c>
      <c r="F726" s="2118">
        <f>VLOOKUP(A726,'2012 - TB'!$A$3:$H$733,6,FALSE)</f>
        <v>0</v>
      </c>
      <c r="G726" s="2118">
        <f t="shared" si="21"/>
        <v>87309.209999999992</v>
      </c>
      <c r="H726" s="2640">
        <f>SUMIF('Original Budget'!$A$1:$A$691,'Trial Balance - FPer'!A726,'Original Budget'!$C$1:$C$691)</f>
        <v>70555.8</v>
      </c>
      <c r="I726" s="2640">
        <f>VLOOKUP(A726,'2012 - TB'!$A$3:$C$733,3,FALSE)</f>
        <v>20000</v>
      </c>
      <c r="J726" s="2119" t="s">
        <v>5942</v>
      </c>
      <c r="L726" s="2024" t="str">
        <f>VLOOKUP(A726,'2012 Budget'!$A$18:$B$2152,2,FALSE)</f>
        <v>Subsistence &amp; T</v>
      </c>
    </row>
    <row r="727" spans="1:12" s="2024" customFormat="1" x14ac:dyDescent="0.2">
      <c r="A727" s="2116" t="s">
        <v>5281</v>
      </c>
      <c r="B727" s="2117" t="s">
        <v>4879</v>
      </c>
      <c r="C727" s="2109">
        <f>VLOOKUP(A727,'2011 - TB'!$A$3:$B$971,2,FALSE)</f>
        <v>6700.1</v>
      </c>
      <c r="D727" s="2118">
        <v>0</v>
      </c>
      <c r="E727" s="2118">
        <f>VLOOKUP(A727,'2012 - TB'!$A$3:$H$733,5,FALSE)</f>
        <v>1746.49</v>
      </c>
      <c r="F727" s="2118">
        <f>VLOOKUP(A727,'2012 - TB'!$A$3:$H$733,6,FALSE)</f>
        <v>0</v>
      </c>
      <c r="G727" s="2118">
        <f t="shared" si="21"/>
        <v>1746.49</v>
      </c>
      <c r="H727" s="2640">
        <f>SUMIF('Original Budget'!$A$1:$A$691,'Trial Balance - FPer'!A727,'Original Budget'!$C$1:$C$691)</f>
        <v>10780</v>
      </c>
      <c r="I727" s="2640">
        <f>VLOOKUP(A727,'2012 - TB'!$A$3:$C$733,3,FALSE)</f>
        <v>1746.46</v>
      </c>
      <c r="J727" s="2119" t="s">
        <v>5942</v>
      </c>
      <c r="L727" s="2024" t="str">
        <f>VLOOKUP(A727,'2012 Budget'!$A$18:$B$2152,2,FALSE)</f>
        <v>Subsistence &amp; T</v>
      </c>
    </row>
    <row r="728" spans="1:12" s="2024" customFormat="1" x14ac:dyDescent="0.2">
      <c r="A728" s="2116" t="s">
        <v>5282</v>
      </c>
      <c r="B728" s="2117" t="s">
        <v>4879</v>
      </c>
      <c r="C728" s="2109">
        <f>VLOOKUP(A728,'2011 - TB'!$A$3:$B$971,2,FALSE)</f>
        <v>32440.080000000002</v>
      </c>
      <c r="D728" s="2118">
        <v>0</v>
      </c>
      <c r="E728" s="2118">
        <f>VLOOKUP(A728,'2012 - TB'!$A$3:$H$733,5,FALSE)</f>
        <v>327231.87</v>
      </c>
      <c r="F728" s="2118">
        <f>VLOOKUP(A728,'2012 - TB'!$A$3:$H$733,6,FALSE)</f>
        <v>0</v>
      </c>
      <c r="G728" s="2118">
        <f t="shared" si="21"/>
        <v>327231.87</v>
      </c>
      <c r="H728" s="2640">
        <f>SUMIF('Original Budget'!$A$1:$A$691,'Trial Balance - FPer'!A728,'Original Budget'!$C$1:$C$691)</f>
        <v>48076.42</v>
      </c>
      <c r="I728" s="2640">
        <f>VLOOKUP(A728,'2012 - TB'!$A$3:$C$733,3,FALSE)</f>
        <v>225189.46</v>
      </c>
      <c r="J728" s="2119" t="s">
        <v>5942</v>
      </c>
      <c r="L728" s="2024" t="str">
        <f>VLOOKUP(A728,'2012 Budget'!$A$18:$B$2152,2,FALSE)</f>
        <v>Subsistence &amp; T</v>
      </c>
    </row>
    <row r="729" spans="1:12" s="2024" customFormat="1" x14ac:dyDescent="0.2">
      <c r="A729" s="2116" t="s">
        <v>5344</v>
      </c>
      <c r="B729" s="2117" t="s">
        <v>4879</v>
      </c>
      <c r="C729" s="2109">
        <f>VLOOKUP(A729,'2011 - TB'!$A$3:$B$971,2,FALSE)</f>
        <v>174291.97</v>
      </c>
      <c r="D729" s="2118">
        <v>0</v>
      </c>
      <c r="E729" s="2118">
        <f>VLOOKUP(A729,'2012 - TB'!$A$3:$H$733,5,FALSE)</f>
        <v>113786.76000000001</v>
      </c>
      <c r="F729" s="2118">
        <f>VLOOKUP(A729,'2012 - TB'!$A$3:$H$733,6,FALSE)</f>
        <v>-12085.58</v>
      </c>
      <c r="G729" s="2118">
        <f t="shared" si="21"/>
        <v>101701.18000000001</v>
      </c>
      <c r="H729" s="2640">
        <f>SUMIF('Original Budget'!$A$1:$A$691,'Trial Balance - FPer'!A729,'Original Budget'!$C$1:$C$691)</f>
        <v>150150</v>
      </c>
      <c r="I729" s="2640">
        <f>VLOOKUP(A729,'2012 - TB'!$A$3:$C$733,3,FALSE)</f>
        <v>150150</v>
      </c>
      <c r="J729" s="2119" t="s">
        <v>5942</v>
      </c>
      <c r="L729" s="2024" t="str">
        <f>VLOOKUP(A729,'2012 Budget'!$A$18:$B$2152,2,FALSE)</f>
        <v>Subsistence &amp; T</v>
      </c>
    </row>
    <row r="730" spans="1:12" s="2024" customFormat="1" x14ac:dyDescent="0.2">
      <c r="A730" s="2116" t="s">
        <v>5373</v>
      </c>
      <c r="B730" s="2117" t="s">
        <v>4879</v>
      </c>
      <c r="C730" s="2109" t="str">
        <f>VLOOKUP(A730,'2011 - TB'!$A$3:$B$971,2,FALSE)</f>
        <v xml:space="preserve">                               -  </v>
      </c>
      <c r="D730" s="2118">
        <v>0</v>
      </c>
      <c r="E730" s="2118">
        <f>VLOOKUP(A730,'2012 - TB'!$A$3:$H$733,5,FALSE)</f>
        <v>1001.1</v>
      </c>
      <c r="F730" s="2118">
        <f>VLOOKUP(A730,'2012 - TB'!$A$3:$H$733,6,FALSE)</f>
        <v>0</v>
      </c>
      <c r="G730" s="2118">
        <f t="shared" si="21"/>
        <v>1001.1</v>
      </c>
      <c r="H730" s="2640">
        <f>SUMIF('Original Budget'!$A$1:$A$691,'Trial Balance - FPer'!A730,'Original Budget'!$C$1:$C$691)</f>
        <v>827.71</v>
      </c>
      <c r="I730" s="2640">
        <f>VLOOKUP(A730,'2012 - TB'!$A$3:$C$733,3,FALSE)</f>
        <v>0</v>
      </c>
      <c r="J730" s="2119" t="s">
        <v>5942</v>
      </c>
      <c r="L730" s="2024" t="str">
        <f>VLOOKUP(A730,'2012 Budget'!$A$18:$B$2152,2,FALSE)</f>
        <v>Subsistence &amp; T</v>
      </c>
    </row>
    <row r="731" spans="1:12" s="2024" customFormat="1" x14ac:dyDescent="0.2">
      <c r="A731" s="2116" t="s">
        <v>5474</v>
      </c>
      <c r="B731" s="2117" t="s">
        <v>4879</v>
      </c>
      <c r="C731" s="2109">
        <f>VLOOKUP(A731,'2011 - TB'!$A$3:$B$971,2,FALSE)</f>
        <v>81609.69</v>
      </c>
      <c r="D731" s="2118">
        <v>0</v>
      </c>
      <c r="E731" s="2118">
        <f>VLOOKUP(A731,'2012 - TB'!$A$3:$H$733,5,FALSE)</f>
        <v>14454</v>
      </c>
      <c r="F731" s="2118">
        <f>VLOOKUP(A731,'2012 - TB'!$A$3:$H$733,6,FALSE)</f>
        <v>0</v>
      </c>
      <c r="G731" s="2118">
        <f t="shared" si="21"/>
        <v>14454</v>
      </c>
      <c r="H731" s="2640">
        <f>SUMIF('Original Budget'!$A$1:$A$691,'Trial Balance - FPer'!A731,'Original Budget'!$C$1:$C$691)</f>
        <v>51157.66</v>
      </c>
      <c r="I731" s="2640">
        <f>VLOOKUP(A731,'2012 - TB'!$A$3:$C$733,3,FALSE)</f>
        <v>23271</v>
      </c>
      <c r="J731" s="2119" t="s">
        <v>5942</v>
      </c>
      <c r="L731" s="2024" t="str">
        <f>VLOOKUP(A731,'2012 Budget'!$A$18:$B$2152,2,FALSE)</f>
        <v>Subsistence &amp; T</v>
      </c>
    </row>
    <row r="732" spans="1:12" s="2024" customFormat="1" x14ac:dyDescent="0.2">
      <c r="A732" s="2116" t="s">
        <v>5475</v>
      </c>
      <c r="B732" s="2117" t="s">
        <v>4879</v>
      </c>
      <c r="C732" s="2109">
        <f>VLOOKUP(A732,'2011 - TB'!$A$3:$B$971,2,FALSE)</f>
        <v>53802.68</v>
      </c>
      <c r="D732" s="2118">
        <v>0</v>
      </c>
      <c r="E732" s="2118">
        <f>VLOOKUP(A732,'2012 - TB'!$A$3:$H$733,5,FALSE)</f>
        <v>41416.21</v>
      </c>
      <c r="F732" s="2118">
        <f>VLOOKUP(A732,'2012 - TB'!$A$3:$H$733,6,FALSE)</f>
        <v>0</v>
      </c>
      <c r="G732" s="2118">
        <f t="shared" si="21"/>
        <v>41416.21</v>
      </c>
      <c r="H732" s="2640">
        <f>SUMIF('Original Budget'!$A$1:$A$691,'Trial Balance - FPer'!A732,'Original Budget'!$C$1:$C$691)</f>
        <v>27838.69</v>
      </c>
      <c r="I732" s="2640">
        <f>VLOOKUP(A732,'2012 - TB'!$A$3:$C$733,3,FALSE)</f>
        <v>27838.69</v>
      </c>
      <c r="J732" s="2119" t="s">
        <v>5942</v>
      </c>
      <c r="L732" s="2024" t="str">
        <f>VLOOKUP(A732,'2012 Budget'!$A$18:$B$2152,2,FALSE)</f>
        <v>Subsistence &amp; T</v>
      </c>
    </row>
    <row r="733" spans="1:12" s="2024" customFormat="1" x14ac:dyDescent="0.2">
      <c r="A733" s="2116" t="s">
        <v>5504</v>
      </c>
      <c r="B733" s="2117" t="s">
        <v>4879</v>
      </c>
      <c r="C733" s="2109">
        <f>VLOOKUP(A733,'2011 - TB'!$A$3:$B$971,2,FALSE)</f>
        <v>5280.2</v>
      </c>
      <c r="D733" s="2118">
        <v>0</v>
      </c>
      <c r="E733" s="2118">
        <f>VLOOKUP(A733,'2012 - TB'!$A$3:$H$733,5,FALSE)</f>
        <v>56055.77</v>
      </c>
      <c r="F733" s="2118">
        <f>VLOOKUP(A733,'2012 - TB'!$A$3:$H$733,6,FALSE)</f>
        <v>0</v>
      </c>
      <c r="G733" s="2118">
        <f t="shared" si="21"/>
        <v>56055.77</v>
      </c>
      <c r="H733" s="2640">
        <f>SUMIF('Original Budget'!$A$1:$A$691,'Trial Balance - FPer'!A733,'Original Budget'!$C$1:$C$691)</f>
        <v>528</v>
      </c>
      <c r="I733" s="2640">
        <f>VLOOKUP(A733,'2012 - TB'!$A$3:$C$733,3,FALSE)</f>
        <v>40000</v>
      </c>
      <c r="J733" s="2119" t="s">
        <v>5942</v>
      </c>
      <c r="L733" s="2024" t="str">
        <f>VLOOKUP(A733,'2012 Budget'!$A$18:$B$2152,2,FALSE)</f>
        <v>Subsistence &amp; T</v>
      </c>
    </row>
    <row r="734" spans="1:12" s="2024" customFormat="1" x14ac:dyDescent="0.2">
      <c r="A734" s="2116" t="s">
        <v>5538</v>
      </c>
      <c r="B734" s="2117" t="s">
        <v>4879</v>
      </c>
      <c r="C734" s="2109">
        <f>VLOOKUP(A734,'2011 - TB'!$A$3:$B$971,2,FALSE)</f>
        <v>48006.68</v>
      </c>
      <c r="D734" s="2118">
        <v>0</v>
      </c>
      <c r="E734" s="2118">
        <f>VLOOKUP(A734,'2012 - TB'!$A$3:$H$733,5,FALSE)</f>
        <v>93152.16</v>
      </c>
      <c r="F734" s="2118">
        <f>VLOOKUP(A734,'2012 - TB'!$A$3:$H$733,6,FALSE)</f>
        <v>0</v>
      </c>
      <c r="G734" s="2118">
        <f t="shared" si="21"/>
        <v>93152.16</v>
      </c>
      <c r="H734" s="2640">
        <f>SUMIF('Original Budget'!$A$1:$A$691,'Trial Balance - FPer'!A734,'Original Budget'!$C$1:$C$691)</f>
        <v>8656.23</v>
      </c>
      <c r="I734" s="2640">
        <f>VLOOKUP(A734,'2012 - TB'!$A$3:$C$733,3,FALSE)</f>
        <v>45000</v>
      </c>
      <c r="J734" s="2119" t="s">
        <v>5942</v>
      </c>
      <c r="L734" s="2024" t="str">
        <f>VLOOKUP(A734,'2012 Budget'!$A$18:$B$2152,2,FALSE)</f>
        <v>Subsistence &amp; T</v>
      </c>
    </row>
    <row r="735" spans="1:12" s="2024" customFormat="1" x14ac:dyDescent="0.2">
      <c r="A735" s="2116" t="s">
        <v>5578</v>
      </c>
      <c r="B735" s="2117" t="s">
        <v>4879</v>
      </c>
      <c r="C735" s="2109">
        <v>0</v>
      </c>
      <c r="D735" s="2118">
        <v>0</v>
      </c>
      <c r="E735" s="2118">
        <v>0</v>
      </c>
      <c r="F735" s="2118">
        <v>0</v>
      </c>
      <c r="G735" s="2118">
        <f t="shared" si="21"/>
        <v>0</v>
      </c>
      <c r="H735" s="2640">
        <f>SUMIF('Original Budget'!$A$1:$A$691,'Trial Balance - FPer'!A735,'Original Budget'!$C$1:$C$691)</f>
        <v>0</v>
      </c>
      <c r="I735" s="2640"/>
      <c r="J735" s="2119" t="s">
        <v>5942</v>
      </c>
      <c r="L735" s="2024" t="str">
        <f>VLOOKUP(A735,'2012 Budget'!$A$18:$B$2152,2,FALSE)</f>
        <v>Subsistence &amp; T</v>
      </c>
    </row>
    <row r="736" spans="1:12" s="2024" customFormat="1" x14ac:dyDescent="0.2">
      <c r="A736" s="2116" t="s">
        <v>5617</v>
      </c>
      <c r="B736" s="2117" t="s">
        <v>4879</v>
      </c>
      <c r="C736" s="2109" t="str">
        <f>VLOOKUP(A736,'2011 - TB'!$A$3:$B$971,2,FALSE)</f>
        <v xml:space="preserve">                               -  </v>
      </c>
      <c r="D736" s="2118">
        <v>0</v>
      </c>
      <c r="E736" s="2118">
        <f>VLOOKUP(A736,'2012 - TB'!$A$3:$H$733,5,FALSE)</f>
        <v>25014.75</v>
      </c>
      <c r="F736" s="2118">
        <f>VLOOKUP(A736,'2012 - TB'!$A$3:$H$733,6,FALSE)</f>
        <v>0</v>
      </c>
      <c r="G736" s="2118">
        <f t="shared" si="21"/>
        <v>25014.75</v>
      </c>
      <c r="H736" s="2640">
        <f>SUMIF('Original Budget'!$A$1:$A$691,'Trial Balance - FPer'!A736,'Original Budget'!$C$1:$C$691)</f>
        <v>412.57</v>
      </c>
      <c r="I736" s="2640">
        <f>VLOOKUP(A736,'2012 - TB'!$A$3:$C$733,3,FALSE)</f>
        <v>50000</v>
      </c>
      <c r="J736" s="2119" t="s">
        <v>5942</v>
      </c>
      <c r="L736" s="2024" t="str">
        <f>VLOOKUP(A736,'2012 Budget'!$A$18:$B$2152,2,FALSE)</f>
        <v>Subsistence &amp; T</v>
      </c>
    </row>
    <row r="737" spans="1:12" s="2024" customFormat="1" x14ac:dyDescent="0.2">
      <c r="A737" s="2116" t="s">
        <v>5656</v>
      </c>
      <c r="B737" s="2117" t="s">
        <v>4879</v>
      </c>
      <c r="C737" s="2109">
        <f>VLOOKUP(A737,'2011 - TB'!$A$3:$B$971,2,FALSE)</f>
        <v>12342.93</v>
      </c>
      <c r="D737" s="2118">
        <v>0</v>
      </c>
      <c r="E737" s="2118">
        <v>0</v>
      </c>
      <c r="F737" s="2118">
        <v>0</v>
      </c>
      <c r="G737" s="2118">
        <f t="shared" si="21"/>
        <v>0</v>
      </c>
      <c r="H737" s="2640">
        <f>SUMIF('Original Budget'!$A$1:$A$691,'Trial Balance - FPer'!A737,'Original Budget'!$C$1:$C$691)</f>
        <v>0</v>
      </c>
      <c r="I737" s="2640"/>
      <c r="J737" s="2119" t="s">
        <v>5942</v>
      </c>
      <c r="L737" s="2024" t="str">
        <f>VLOOKUP(A737,'2012 Budget'!$A$18:$B$2152,2,FALSE)</f>
        <v>Subsistence &amp; T</v>
      </c>
    </row>
    <row r="738" spans="1:12" s="2024" customFormat="1" x14ac:dyDescent="0.2">
      <c r="A738" s="2116" t="s">
        <v>5694</v>
      </c>
      <c r="B738" s="2117" t="s">
        <v>4879</v>
      </c>
      <c r="C738" s="2109">
        <f>VLOOKUP(A738,'2011 - TB'!$A$3:$B$971,2,FALSE)</f>
        <v>33639.919999999998</v>
      </c>
      <c r="D738" s="2118">
        <v>0</v>
      </c>
      <c r="E738" s="2118">
        <f>VLOOKUP(A738,'2012 - TB'!$A$3:$H$733,5,FALSE)</f>
        <v>136742.37</v>
      </c>
      <c r="F738" s="2118">
        <f>VLOOKUP(A738,'2012 - TB'!$A$3:$H$733,6,FALSE)</f>
        <v>0</v>
      </c>
      <c r="G738" s="2118">
        <f t="shared" si="21"/>
        <v>136742.37</v>
      </c>
      <c r="H738" s="2640">
        <f>SUMIF('Original Budget'!$A$1:$A$691,'Trial Balance - FPer'!A738,'Original Budget'!$C$1:$C$691)</f>
        <v>12127.5</v>
      </c>
      <c r="I738" s="2640">
        <f>VLOOKUP(A738,'2012 - TB'!$A$3:$C$733,3,FALSE)</f>
        <v>80000</v>
      </c>
      <c r="J738" s="2119" t="s">
        <v>5942</v>
      </c>
      <c r="L738" s="2024" t="str">
        <f>VLOOKUP(A738,'2012 Budget'!$A$18:$B$2152,2,FALSE)</f>
        <v>Subsistence &amp; T</v>
      </c>
    </row>
    <row r="739" spans="1:12" s="2024" customFormat="1" x14ac:dyDescent="0.2">
      <c r="A739" s="2116" t="s">
        <v>5752</v>
      </c>
      <c r="B739" s="2117" t="s">
        <v>4879</v>
      </c>
      <c r="C739" s="2109">
        <f>VLOOKUP(A739,'2011 - TB'!$A$3:$B$971,2,FALSE)</f>
        <v>478.67</v>
      </c>
      <c r="D739" s="2118">
        <v>0</v>
      </c>
      <c r="E739" s="2118">
        <f>VLOOKUP(A739,'2012 - TB'!$A$3:$H$733,5,FALSE)</f>
        <v>13067.5</v>
      </c>
      <c r="F739" s="2118">
        <f>VLOOKUP(A739,'2012 - TB'!$A$3:$H$733,6,FALSE)</f>
        <v>0</v>
      </c>
      <c r="G739" s="2118">
        <f t="shared" si="21"/>
        <v>13067.5</v>
      </c>
      <c r="H739" s="2640">
        <f>SUMIF('Original Budget'!$A$1:$A$691,'Trial Balance - FPer'!A739,'Original Budget'!$C$1:$C$691)</f>
        <v>176</v>
      </c>
      <c r="I739" s="2640">
        <f>VLOOKUP(A739,'2012 - TB'!$A$3:$C$733,3,FALSE)</f>
        <v>10000</v>
      </c>
      <c r="J739" s="2119" t="s">
        <v>5942</v>
      </c>
      <c r="L739" s="2024" t="str">
        <f>VLOOKUP(A739,'2012 Budget'!$A$18:$B$2152,2,FALSE)</f>
        <v>Subsistence &amp; T</v>
      </c>
    </row>
    <row r="740" spans="1:12" s="2024" customFormat="1" x14ac:dyDescent="0.2">
      <c r="A740" s="2116" t="s">
        <v>5803</v>
      </c>
      <c r="B740" s="2117" t="s">
        <v>4879</v>
      </c>
      <c r="C740" s="2109">
        <f>VLOOKUP(A740,'2011 - TB'!$A$3:$B$971,2,FALSE)</f>
        <v>14586.05</v>
      </c>
      <c r="D740" s="2118">
        <v>0</v>
      </c>
      <c r="E740" s="2118">
        <f>VLOOKUP(A740,'2012 - TB'!$A$3:$H$733,5,FALSE)</f>
        <v>95505.3</v>
      </c>
      <c r="F740" s="2118">
        <f>VLOOKUP(A740,'2012 - TB'!$A$3:$H$733,6,FALSE)</f>
        <v>0</v>
      </c>
      <c r="G740" s="2118">
        <f t="shared" si="21"/>
        <v>95505.3</v>
      </c>
      <c r="H740" s="2640">
        <f>SUMIF('Original Budget'!$A$1:$A$691,'Trial Balance - FPer'!A740,'Original Budget'!$C$1:$C$691)</f>
        <v>19277.72</v>
      </c>
      <c r="I740" s="2640">
        <f>VLOOKUP(A740,'2012 - TB'!$A$3:$C$733,3,FALSE)</f>
        <v>80000</v>
      </c>
      <c r="J740" s="2119" t="s">
        <v>5942</v>
      </c>
      <c r="L740" s="2024" t="str">
        <f>VLOOKUP(A740,'2012 Budget'!$A$18:$B$2152,2,FALSE)</f>
        <v>Subsistence &amp; T</v>
      </c>
    </row>
    <row r="741" spans="1:12" s="2024" customFormat="1" x14ac:dyDescent="0.2">
      <c r="A741" s="2116" t="s">
        <v>5861</v>
      </c>
      <c r="B741" s="2117" t="s">
        <v>4879</v>
      </c>
      <c r="C741" s="2109">
        <f>VLOOKUP(A741,'2011 - TB'!$A$3:$B$971,2,FALSE)</f>
        <v>4647.25</v>
      </c>
      <c r="D741" s="2118">
        <v>0</v>
      </c>
      <c r="E741" s="2118">
        <f>VLOOKUP(A741,'2012 - TB'!$A$3:$H$733,5,FALSE)</f>
        <v>12216.52</v>
      </c>
      <c r="F741" s="2118">
        <f>VLOOKUP(A741,'2012 - TB'!$A$3:$H$733,6,FALSE)</f>
        <v>0</v>
      </c>
      <c r="G741" s="2118">
        <f t="shared" si="21"/>
        <v>12216.52</v>
      </c>
      <c r="H741" s="2640">
        <f>SUMIF('Original Budget'!$A$1:$A$691,'Trial Balance - FPer'!A741,'Original Budget'!$C$1:$C$691)</f>
        <v>8251.65</v>
      </c>
      <c r="I741" s="2640">
        <f>VLOOKUP(A741,'2012 - TB'!$A$3:$C$733,3,FALSE)</f>
        <v>5060</v>
      </c>
      <c r="J741" s="2119" t="s">
        <v>5942</v>
      </c>
      <c r="L741" s="2024" t="str">
        <f>VLOOKUP(A741,'2012 Budget'!$A$18:$B$2152,2,FALSE)</f>
        <v>Subsistence &amp; T</v>
      </c>
    </row>
    <row r="742" spans="1:12" s="2024" customFormat="1" ht="13.5" thickBot="1" x14ac:dyDescent="0.25">
      <c r="A742" s="2116" t="s">
        <v>5914</v>
      </c>
      <c r="B742" s="2117" t="s">
        <v>4879</v>
      </c>
      <c r="C742" s="2109">
        <f>VLOOKUP(A742,'2011 - TB'!$A$3:$B$971,2,FALSE)</f>
        <v>29843.34</v>
      </c>
      <c r="D742" s="2118">
        <v>0</v>
      </c>
      <c r="E742" s="2118">
        <f>VLOOKUP(A742,'2012 - TB'!$A$3:$H$733,5,FALSE)</f>
        <v>201088.94</v>
      </c>
      <c r="F742" s="2118">
        <f>VLOOKUP(A742,'2012 - TB'!$A$3:$H$733,6,FALSE)</f>
        <v>0</v>
      </c>
      <c r="G742" s="2118">
        <f t="shared" si="21"/>
        <v>201088.94</v>
      </c>
      <c r="H742" s="2640">
        <f>SUMIF('Original Budget'!$A$1:$A$691,'Trial Balance - FPer'!A742,'Original Budget'!$C$1:$C$691)</f>
        <v>10384.64</v>
      </c>
      <c r="I742" s="2640">
        <f>VLOOKUP(A742,'2012 - TB'!$A$3:$C$733,3,FALSE)</f>
        <v>190865.64</v>
      </c>
      <c r="J742" s="2119" t="s">
        <v>5942</v>
      </c>
      <c r="L742" s="2024" t="str">
        <f>VLOOKUP(A742,'2012 Budget'!$A$18:$B$2152,2,FALSE)</f>
        <v>Subsistence &amp; T</v>
      </c>
    </row>
    <row r="743" spans="1:12" s="2024" customFormat="1" x14ac:dyDescent="0.2">
      <c r="A743" s="2111" t="s">
        <v>4882</v>
      </c>
      <c r="B743" s="2112" t="s">
        <v>4883</v>
      </c>
      <c r="C743" s="2113">
        <f>VLOOKUP(A743,'2011 - TB'!$A$3:$B$971,2,FALSE)</f>
        <v>0</v>
      </c>
      <c r="D743" s="2114">
        <v>0</v>
      </c>
      <c r="E743" s="2114">
        <v>0</v>
      </c>
      <c r="F743" s="2114">
        <v>0</v>
      </c>
      <c r="G743" s="2114">
        <f t="shared" si="21"/>
        <v>0</v>
      </c>
      <c r="H743" s="2640">
        <f>SUMIF('Original Budget'!$A$1:$A$691,'Trial Balance - FPer'!A743,'Original Budget'!$C$1:$C$691)</f>
        <v>0</v>
      </c>
      <c r="I743" s="2640"/>
      <c r="J743" s="2115" t="s">
        <v>5965</v>
      </c>
      <c r="L743" s="2024" t="str">
        <f>VLOOKUP(A743,'2012 Budget'!$A$18:$B$2152,2,FALSE)</f>
        <v>Election Costs;</v>
      </c>
    </row>
    <row r="744" spans="1:12" s="2024" customFormat="1" x14ac:dyDescent="0.2">
      <c r="A744" s="2116" t="s">
        <v>5288</v>
      </c>
      <c r="B744" s="2117" t="s">
        <v>4883</v>
      </c>
      <c r="C744" s="2109">
        <f>VLOOKUP(A744,'2011 - TB'!$A$3:$B$971,2,FALSE)</f>
        <v>6671.66</v>
      </c>
      <c r="D744" s="2118">
        <v>0</v>
      </c>
      <c r="E744" s="2118">
        <v>0</v>
      </c>
      <c r="F744" s="2118">
        <v>0</v>
      </c>
      <c r="G744" s="2118">
        <f t="shared" si="21"/>
        <v>0</v>
      </c>
      <c r="H744" s="2640">
        <f>SUMIF('Original Budget'!$A$1:$A$691,'Trial Balance - FPer'!A744,'Original Budget'!$C$1:$C$691)</f>
        <v>0</v>
      </c>
      <c r="I744" s="2640"/>
      <c r="J744" s="2119" t="s">
        <v>5965</v>
      </c>
      <c r="L744" s="2024" t="str">
        <f>VLOOKUP(A744,'2012 Budget'!$A$18:$B$2152,2,FALSE)</f>
        <v>Uniforms &amp; Prot</v>
      </c>
    </row>
    <row r="745" spans="1:12" s="2024" customFormat="1" x14ac:dyDescent="0.2">
      <c r="A745" s="2116" t="s">
        <v>5348</v>
      </c>
      <c r="B745" s="2117" t="s">
        <v>4883</v>
      </c>
      <c r="C745" s="2109">
        <f>VLOOKUP(A745,'2011 - TB'!$A$3:$B$971,2,FALSE)</f>
        <v>0</v>
      </c>
      <c r="D745" s="2118">
        <v>0</v>
      </c>
      <c r="E745" s="2118">
        <v>0</v>
      </c>
      <c r="F745" s="2118">
        <v>0</v>
      </c>
      <c r="G745" s="2118">
        <f t="shared" si="21"/>
        <v>0</v>
      </c>
      <c r="H745" s="2640">
        <f>SUMIF('Original Budget'!$A$1:$A$691,'Trial Balance - FPer'!A745,'Original Budget'!$C$1:$C$691)</f>
        <v>0</v>
      </c>
      <c r="I745" s="2640"/>
      <c r="J745" s="2119" t="s">
        <v>5965</v>
      </c>
      <c r="L745" s="2024" t="str">
        <f>VLOOKUP(A745,'2012 Budget'!$A$18:$B$2152,2,FALSE)</f>
        <v>Uniforms &amp; Prot</v>
      </c>
    </row>
    <row r="746" spans="1:12" s="2024" customFormat="1" x14ac:dyDescent="0.2">
      <c r="A746" s="2116" t="s">
        <v>5375</v>
      </c>
      <c r="B746" s="2117" t="s">
        <v>4883</v>
      </c>
      <c r="C746" s="2109">
        <v>0</v>
      </c>
      <c r="D746" s="2118">
        <v>0</v>
      </c>
      <c r="E746" s="2118">
        <v>0</v>
      </c>
      <c r="F746" s="2118">
        <v>0</v>
      </c>
      <c r="G746" s="2118">
        <f t="shared" si="21"/>
        <v>0</v>
      </c>
      <c r="H746" s="2640">
        <f>SUMIF('Original Budget'!$A$1:$A$691,'Trial Balance - FPer'!A746,'Original Budget'!$C$1:$C$691)</f>
        <v>2067.98</v>
      </c>
      <c r="I746" s="2640"/>
      <c r="J746" s="2119" t="s">
        <v>5965</v>
      </c>
      <c r="L746" s="2024" t="str">
        <f>VLOOKUP(A746,'2012 Budget'!$A$18:$B$2152,2,FALSE)</f>
        <v>Lost Library Bo</v>
      </c>
    </row>
    <row r="747" spans="1:12" s="2024" customFormat="1" x14ac:dyDescent="0.2">
      <c r="A747" s="2116" t="s">
        <v>5404</v>
      </c>
      <c r="B747" s="2117" t="s">
        <v>4883</v>
      </c>
      <c r="C747" s="2109">
        <f>VLOOKUP(A747,'2011 - TB'!$A$3:$B$971,2,FALSE)</f>
        <v>177</v>
      </c>
      <c r="D747" s="2118">
        <v>0</v>
      </c>
      <c r="E747" s="2118">
        <v>0</v>
      </c>
      <c r="F747" s="2118">
        <v>0</v>
      </c>
      <c r="G747" s="2118">
        <f t="shared" si="21"/>
        <v>0</v>
      </c>
      <c r="H747" s="2640">
        <f>SUMIF('Original Budget'!$A$1:$A$691,'Trial Balance - FPer'!A747,'Original Budget'!$C$1:$C$691)</f>
        <v>194.3</v>
      </c>
      <c r="I747" s="2640"/>
      <c r="J747" s="2119" t="s">
        <v>5965</v>
      </c>
      <c r="L747" s="2024" t="str">
        <f>VLOOKUP(A747,'2012 Budget'!$A$18:$B$2152,2,FALSE)</f>
        <v>Uniforms &amp; Prot</v>
      </c>
    </row>
    <row r="748" spans="1:12" s="2024" customFormat="1" x14ac:dyDescent="0.2">
      <c r="A748" s="2116" t="s">
        <v>5541</v>
      </c>
      <c r="B748" s="2117" t="s">
        <v>4883</v>
      </c>
      <c r="C748" s="2109" t="str">
        <f>VLOOKUP(A748,'2011 - TB'!$A$3:$B$971,2,FALSE)</f>
        <v xml:space="preserve">                               -  </v>
      </c>
      <c r="D748" s="2118">
        <v>0</v>
      </c>
      <c r="E748" s="2118">
        <v>0</v>
      </c>
      <c r="F748" s="2118">
        <v>0</v>
      </c>
      <c r="G748" s="2118">
        <f t="shared" si="21"/>
        <v>0</v>
      </c>
      <c r="H748" s="2640">
        <f>SUMIF('Original Budget'!$A$1:$A$691,'Trial Balance - FPer'!A748,'Original Budget'!$C$1:$C$691)</f>
        <v>9849.75</v>
      </c>
      <c r="I748" s="2640"/>
      <c r="J748" s="2119" t="s">
        <v>5965</v>
      </c>
      <c r="L748" s="2024" t="str">
        <f>VLOOKUP(A748,'2012 Budget'!$A$18:$B$2152,2,FALSE)</f>
        <v>Uniforms &amp; Prot</v>
      </c>
    </row>
    <row r="749" spans="1:12" s="2024" customFormat="1" x14ac:dyDescent="0.2">
      <c r="A749" s="2116" t="s">
        <v>5560</v>
      </c>
      <c r="B749" s="2117" t="s">
        <v>4883</v>
      </c>
      <c r="C749" s="2109">
        <f>VLOOKUP(A749,'2011 - TB'!$A$3:$B$971,2,FALSE)</f>
        <v>8242</v>
      </c>
      <c r="D749" s="2118">
        <v>0</v>
      </c>
      <c r="E749" s="2118">
        <v>0</v>
      </c>
      <c r="F749" s="2118">
        <v>0</v>
      </c>
      <c r="G749" s="2118">
        <f t="shared" si="21"/>
        <v>0</v>
      </c>
      <c r="H749" s="2640">
        <f>SUMIF('Original Budget'!$A$1:$A$691,'Trial Balance - FPer'!A749,'Original Budget'!$C$1:$C$691)</f>
        <v>9066.23</v>
      </c>
      <c r="I749" s="2640"/>
      <c r="J749" s="2119" t="s">
        <v>5965</v>
      </c>
      <c r="L749" s="2024" t="str">
        <f>VLOOKUP(A749,'2012 Budget'!$A$18:$B$2152,2,FALSE)</f>
        <v>Uniforms &amp; Prot</v>
      </c>
    </row>
    <row r="750" spans="1:12" s="2024" customFormat="1" x14ac:dyDescent="0.2">
      <c r="A750" s="2116" t="s">
        <v>5618</v>
      </c>
      <c r="B750" s="2117" t="s">
        <v>4883</v>
      </c>
      <c r="C750" s="2109">
        <v>0</v>
      </c>
      <c r="D750" s="2118">
        <v>0</v>
      </c>
      <c r="E750" s="2118">
        <v>0</v>
      </c>
      <c r="F750" s="2118">
        <v>0</v>
      </c>
      <c r="G750" s="2118">
        <f t="shared" si="21"/>
        <v>0</v>
      </c>
      <c r="H750" s="2640">
        <f>SUMIF('Original Budget'!$A$1:$A$691,'Trial Balance - FPer'!A750,'Original Budget'!$C$1:$C$691)</f>
        <v>0</v>
      </c>
      <c r="I750" s="2640"/>
      <c r="J750" s="2119" t="s">
        <v>5965</v>
      </c>
      <c r="L750" s="2024" t="str">
        <f>VLOOKUP(A750,'2012 Budget'!$A$18:$B$2152,2,FALSE)</f>
        <v>Uniforms &amp; Prot</v>
      </c>
    </row>
    <row r="751" spans="1:12" s="2024" customFormat="1" x14ac:dyDescent="0.2">
      <c r="A751" s="2116" t="s">
        <v>5658</v>
      </c>
      <c r="B751" s="2117" t="s">
        <v>4883</v>
      </c>
      <c r="C751" s="2109">
        <v>0</v>
      </c>
      <c r="D751" s="2118">
        <v>0</v>
      </c>
      <c r="E751" s="2118">
        <v>0</v>
      </c>
      <c r="F751" s="2118">
        <v>0</v>
      </c>
      <c r="G751" s="2118">
        <f t="shared" si="21"/>
        <v>0</v>
      </c>
      <c r="H751" s="2640">
        <f>SUMIF('Original Budget'!$A$1:$A$691,'Trial Balance - FPer'!A751,'Original Budget'!$C$1:$C$691)</f>
        <v>0</v>
      </c>
      <c r="I751" s="2640"/>
      <c r="J751" s="2119" t="s">
        <v>5965</v>
      </c>
      <c r="L751" s="2024" t="str">
        <f>VLOOKUP(A751,'2012 Budget'!$A$18:$B$2152,2,FALSE)</f>
        <v>Uniforms &amp; Prot</v>
      </c>
    </row>
    <row r="752" spans="1:12" s="2024" customFormat="1" x14ac:dyDescent="0.2">
      <c r="A752" s="2116" t="s">
        <v>5697</v>
      </c>
      <c r="B752" s="2117" t="s">
        <v>4883</v>
      </c>
      <c r="C752" s="2109">
        <f>VLOOKUP(A752,'2011 - TB'!$A$3:$B$971,2,FALSE)</f>
        <v>13498.27</v>
      </c>
      <c r="D752" s="2118">
        <v>0</v>
      </c>
      <c r="E752" s="2118">
        <f>VLOOKUP(A752,'2012 - TB'!$A$3:$H$733,5,FALSE)</f>
        <v>58520.3</v>
      </c>
      <c r="F752" s="2118">
        <f>VLOOKUP(A752,'2012 - TB'!$A$3:$H$733,6,FALSE)</f>
        <v>0</v>
      </c>
      <c r="G752" s="2118">
        <f t="shared" si="21"/>
        <v>58520.3</v>
      </c>
      <c r="H752" s="2640">
        <f>SUMIF('Original Budget'!$A$1:$A$691,'Trial Balance - FPer'!A752,'Original Budget'!$C$1:$C$691)</f>
        <v>6615.18</v>
      </c>
      <c r="I752" s="2640">
        <f>VLOOKUP(A752,'2012 - TB'!$A$3:$C$733,3,FALSE)</f>
        <v>80000</v>
      </c>
      <c r="J752" s="2119" t="s">
        <v>5965</v>
      </c>
      <c r="L752" s="2024" t="str">
        <f>VLOOKUP(A752,'2012 Budget'!$A$18:$B$2152,2,FALSE)</f>
        <v>Uniforms &amp; Prot</v>
      </c>
    </row>
    <row r="753" spans="1:12" s="2024" customFormat="1" x14ac:dyDescent="0.2">
      <c r="A753" s="2116" t="s">
        <v>5755</v>
      </c>
      <c r="B753" s="2117" t="s">
        <v>4883</v>
      </c>
      <c r="C753" s="2109">
        <f>VLOOKUP(A753,'2011 - TB'!$A$3:$B$971,2,FALSE)</f>
        <v>19003.02</v>
      </c>
      <c r="D753" s="2118">
        <v>0</v>
      </c>
      <c r="E753" s="2118">
        <f>VLOOKUP(A753,'2012 - TB'!$A$3:$H$733,5,FALSE)</f>
        <v>113249.21</v>
      </c>
      <c r="F753" s="2118">
        <f>VLOOKUP(A753,'2012 - TB'!$A$3:$H$733,6,FALSE)</f>
        <v>0</v>
      </c>
      <c r="G753" s="2118">
        <f t="shared" si="21"/>
        <v>113249.21</v>
      </c>
      <c r="H753" s="2640">
        <f>SUMIF('Original Budget'!$A$1:$A$691,'Trial Balance - FPer'!A753,'Original Budget'!$C$1:$C$691)</f>
        <v>63267.23</v>
      </c>
      <c r="I753" s="2640">
        <f>VLOOKUP(A753,'2012 - TB'!$A$3:$C$733,3,FALSE)</f>
        <v>150000</v>
      </c>
      <c r="J753" s="2119" t="s">
        <v>5965</v>
      </c>
      <c r="L753" s="2024" t="str">
        <f>VLOOKUP(A753,'2012 Budget'!$A$18:$B$2152,2,FALSE)</f>
        <v>Uniforms &amp; Prot</v>
      </c>
    </row>
    <row r="754" spans="1:12" s="2024" customFormat="1" x14ac:dyDescent="0.2">
      <c r="A754" s="2116" t="s">
        <v>5806</v>
      </c>
      <c r="B754" s="2117" t="s">
        <v>4883</v>
      </c>
      <c r="C754" s="2109">
        <f>VLOOKUP(A754,'2011 - TB'!$A$3:$B$971,2,FALSE)</f>
        <v>25190.3</v>
      </c>
      <c r="D754" s="2118">
        <v>0</v>
      </c>
      <c r="E754" s="2118">
        <f>VLOOKUP(A754,'2012 - TB'!$A$3:$H$733,5,FALSE)</f>
        <v>105.7</v>
      </c>
      <c r="F754" s="2118">
        <f>VLOOKUP(A754,'2012 - TB'!$A$3:$H$733,6,FALSE)</f>
        <v>0</v>
      </c>
      <c r="G754" s="2118">
        <f t="shared" si="21"/>
        <v>105.7</v>
      </c>
      <c r="H754" s="2640">
        <f>SUMIF('Original Budget'!$A$1:$A$691,'Trial Balance - FPer'!A754,'Original Budget'!$C$1:$C$691)</f>
        <v>3325.96</v>
      </c>
      <c r="I754" s="2640">
        <f>VLOOKUP(A754,'2012 - TB'!$A$3:$C$733,3,FALSE)</f>
        <v>1000</v>
      </c>
      <c r="J754" s="2119" t="s">
        <v>5965</v>
      </c>
      <c r="L754" s="2024" t="str">
        <f>VLOOKUP(A754,'2012 Budget'!$A$18:$B$2152,2,FALSE)</f>
        <v>Uniforms &amp; Prot</v>
      </c>
    </row>
    <row r="755" spans="1:12" s="2024" customFormat="1" x14ac:dyDescent="0.2">
      <c r="A755" s="2116" t="s">
        <v>5864</v>
      </c>
      <c r="B755" s="2117" t="s">
        <v>4883</v>
      </c>
      <c r="C755" s="2109">
        <f>VLOOKUP(A755,'2011 - TB'!$A$3:$B$971,2,FALSE)</f>
        <v>17754.060000000001</v>
      </c>
      <c r="D755" s="2118">
        <v>0</v>
      </c>
      <c r="E755" s="2118">
        <f>VLOOKUP(A755,'2012 - TB'!$A$3:$H$733,5,FALSE)</f>
        <v>1655.42</v>
      </c>
      <c r="F755" s="2118">
        <f>VLOOKUP(A755,'2012 - TB'!$A$3:$H$733,6,FALSE)</f>
        <v>0</v>
      </c>
      <c r="G755" s="2118">
        <f t="shared" si="21"/>
        <v>1655.42</v>
      </c>
      <c r="H755" s="2640">
        <f>SUMIF('Original Budget'!$A$1:$A$691,'Trial Balance - FPer'!A755,'Original Budget'!$C$1:$C$691)</f>
        <v>541.54999999999995</v>
      </c>
      <c r="I755" s="2640">
        <f>VLOOKUP(A755,'2012 - TB'!$A$3:$C$733,3,FALSE)</f>
        <v>837</v>
      </c>
      <c r="J755" s="2119" t="s">
        <v>5965</v>
      </c>
      <c r="L755" s="2024" t="str">
        <f>VLOOKUP(A755,'2012 Budget'!$A$18:$B$2152,2,FALSE)</f>
        <v>Uniforms &amp; Prot</v>
      </c>
    </row>
    <row r="756" spans="1:12" s="2024" customFormat="1" ht="13.5" thickBot="1" x14ac:dyDescent="0.25">
      <c r="A756" s="2120" t="s">
        <v>5915</v>
      </c>
      <c r="B756" s="2121" t="s">
        <v>4883</v>
      </c>
      <c r="C756" s="2122">
        <v>0</v>
      </c>
      <c r="D756" s="2123">
        <v>0</v>
      </c>
      <c r="E756" s="2123">
        <v>0</v>
      </c>
      <c r="F756" s="2123">
        <v>0</v>
      </c>
      <c r="G756" s="2123">
        <f t="shared" si="21"/>
        <v>0</v>
      </c>
      <c r="H756" s="2640">
        <f>SUMIF('Original Budget'!$A$1:$A$691,'Trial Balance - FPer'!A756,'Original Budget'!$C$1:$C$691)</f>
        <v>6790.3</v>
      </c>
      <c r="I756" s="2640"/>
      <c r="J756" s="2124" t="s">
        <v>5965</v>
      </c>
      <c r="L756" s="2024" t="str">
        <f>VLOOKUP(A756,'2012 Budget'!$A$18:$B$2152,2,FALSE)</f>
        <v>Uniforms &amp; Prot</v>
      </c>
    </row>
    <row r="757" spans="1:12" s="2024" customFormat="1" ht="13.5" thickBot="1" x14ac:dyDescent="0.25">
      <c r="C757" s="2130">
        <f t="shared" ref="C757:I757" si="22">SUM(C458:C756)</f>
        <v>19105823.920000006</v>
      </c>
      <c r="D757" s="2130">
        <f t="shared" si="22"/>
        <v>0</v>
      </c>
      <c r="E757" s="2130">
        <f t="shared" si="22"/>
        <v>20549511.850000013</v>
      </c>
      <c r="F757" s="2130">
        <f t="shared" si="22"/>
        <v>-4536364.9300000016</v>
      </c>
      <c r="G757" s="2130">
        <f t="shared" si="22"/>
        <v>16013146.920000006</v>
      </c>
      <c r="H757" s="2641">
        <f t="shared" si="22"/>
        <v>19902195.19000002</v>
      </c>
      <c r="I757" s="2641">
        <f t="shared" si="22"/>
        <v>15937708.310000002</v>
      </c>
      <c r="J757" s="2026"/>
      <c r="L757" s="2024" t="e">
        <f>VLOOKUP(A757,'2012 Budget'!$A$18:$B$2152,2,FALSE)</f>
        <v>#N/A</v>
      </c>
    </row>
    <row r="758" spans="1:12" s="2024" customFormat="1" ht="7.5" customHeight="1" thickTop="1" x14ac:dyDescent="0.2">
      <c r="C758" s="2042"/>
      <c r="D758" s="2025"/>
      <c r="E758" s="2025"/>
      <c r="F758" s="2025"/>
      <c r="G758" s="2025"/>
      <c r="H758" s="2118">
        <f>SUMIF('Original Budget'!$A$1:$A$691,'Trial Balance - FPer'!A758,'Original Budget'!$C$1:$C$691)</f>
        <v>0</v>
      </c>
      <c r="I758" s="2118"/>
      <c r="J758" s="2026"/>
      <c r="L758" s="2024" t="e">
        <f>VLOOKUP(A758,'2012 Budget'!$A$18:$B$2152,2,FALSE)</f>
        <v>#N/A</v>
      </c>
    </row>
    <row r="759" spans="1:12" s="2024" customFormat="1" x14ac:dyDescent="0.2">
      <c r="B759" s="1208" t="s">
        <v>1212</v>
      </c>
      <c r="C759" s="2110">
        <f>'Fin Perform'!K44</f>
        <v>19176808.199999999</v>
      </c>
      <c r="D759" s="2109"/>
      <c r="E759" s="2109"/>
      <c r="F759" s="2109"/>
      <c r="G759" s="2646">
        <f>'Fin Perform'!I44</f>
        <v>20795542.219999995</v>
      </c>
      <c r="H759" s="2118">
        <f>SUMIF('Original Budget'!$A$1:$A$691,'Trial Balance - FPer'!A759,'Original Budget'!$C$1:$C$691)</f>
        <v>0</v>
      </c>
      <c r="I759" s="2118"/>
      <c r="J759" s="2026"/>
      <c r="L759" s="2024" t="e">
        <f>VLOOKUP(A759,'2012 Budget'!$A$18:$B$2152,2,FALSE)</f>
        <v>#N/A</v>
      </c>
    </row>
    <row r="760" spans="1:12" s="2024" customFormat="1" ht="7.5" customHeight="1" x14ac:dyDescent="0.2">
      <c r="C760" s="2109"/>
      <c r="D760" s="2109"/>
      <c r="E760" s="2109"/>
      <c r="F760" s="2109"/>
      <c r="G760" s="2109"/>
      <c r="H760" s="2118">
        <f>SUMIF('Original Budget'!$A$1:$A$691,'Trial Balance - FPer'!A760,'Original Budget'!$C$1:$C$691)</f>
        <v>0</v>
      </c>
      <c r="I760" s="2118"/>
      <c r="J760" s="2026"/>
      <c r="L760" s="2024" t="e">
        <f>VLOOKUP(A760,'2012 Budget'!$A$18:$B$2152,2,FALSE)</f>
        <v>#N/A</v>
      </c>
    </row>
    <row r="761" spans="1:12" s="2024" customFormat="1" ht="13.5" thickBot="1" x14ac:dyDescent="0.25">
      <c r="B761" s="1208" t="s">
        <v>6423</v>
      </c>
      <c r="C761" s="2103">
        <f>C757-C759</f>
        <v>-70984.279999993742</v>
      </c>
      <c r="D761" s="2109"/>
      <c r="E761" s="2109"/>
      <c r="F761" s="2109"/>
      <c r="G761" s="2103">
        <f>G757-G759</f>
        <v>-4782395.2999999896</v>
      </c>
      <c r="H761" s="1134" t="s">
        <v>7679</v>
      </c>
      <c r="I761" s="2118"/>
      <c r="J761" s="2026"/>
      <c r="L761" s="2024" t="e">
        <f>VLOOKUP(A761,'2012 Budget'!$A$18:$B$2152,2,FALSE)</f>
        <v>#N/A</v>
      </c>
    </row>
    <row r="762" spans="1:12" s="2024" customFormat="1" ht="14.25" thickTop="1" thickBot="1" x14ac:dyDescent="0.25">
      <c r="C762" s="2042"/>
      <c r="D762" s="2025"/>
      <c r="E762" s="2025"/>
      <c r="F762" s="2025"/>
      <c r="G762" s="2025"/>
      <c r="H762" s="2118">
        <f>SUMIF('Original Budget'!$A$1:$A$691,'Trial Balance - FPer'!A762,'Original Budget'!$C$1:$C$691)</f>
        <v>0</v>
      </c>
      <c r="I762" s="2118"/>
      <c r="J762" s="2026"/>
      <c r="L762" s="2024" t="e">
        <f>VLOOKUP(A762,'2012 Budget'!$A$18:$B$2152,2,FALSE)</f>
        <v>#N/A</v>
      </c>
    </row>
    <row r="763" spans="1:12" s="2024" customFormat="1" x14ac:dyDescent="0.2">
      <c r="A763" s="2111" t="s">
        <v>5041</v>
      </c>
      <c r="B763" s="2112" t="s">
        <v>5042</v>
      </c>
      <c r="C763" s="2113">
        <f>VLOOKUP(A763,'2011 - TB'!$A$3:$B$971,2,FALSE)</f>
        <v>3090318.15</v>
      </c>
      <c r="D763" s="2114">
        <v>0</v>
      </c>
      <c r="E763" s="2114">
        <f>VLOOKUP(A763,'2012 - TB'!$A$3:$H$733,5,FALSE)</f>
        <v>230438.59</v>
      </c>
      <c r="F763" s="2114">
        <f>VLOOKUP(A763,'2012 - TB'!$A$3:$H$733,6,FALSE)</f>
        <v>-170900</v>
      </c>
      <c r="G763" s="2114">
        <f>E763+F763</f>
        <v>59538.59</v>
      </c>
      <c r="H763" s="2640">
        <f>SUMIF('Original Budget'!$A$1:$A$691,'Trial Balance - FPer'!A763,'Original Budget'!$C$1:$C$691)</f>
        <v>400000</v>
      </c>
      <c r="I763" s="2640">
        <f>VLOOKUP(A763,'2012 - TB'!$A$3:$C$733,3,FALSE)</f>
        <v>200000</v>
      </c>
      <c r="J763" s="2115" t="s">
        <v>6476</v>
      </c>
      <c r="L763" s="2024" t="str">
        <f>VLOOKUP(A763,'2012 Budget'!$A$18:$B$2152,2,FALSE)</f>
        <v>Interim Valuati</v>
      </c>
    </row>
    <row r="764" spans="1:12" s="2024" customFormat="1" x14ac:dyDescent="0.2">
      <c r="A764" s="2116" t="s">
        <v>5292</v>
      </c>
      <c r="B764" s="2117" t="s">
        <v>5042</v>
      </c>
      <c r="C764" s="2109">
        <v>0</v>
      </c>
      <c r="D764" s="2118">
        <v>0</v>
      </c>
      <c r="E764" s="2118">
        <v>0</v>
      </c>
      <c r="F764" s="2118">
        <v>0</v>
      </c>
      <c r="G764" s="2118">
        <f>E764+F764</f>
        <v>0</v>
      </c>
      <c r="H764" s="2640">
        <f>SUMIF('Original Budget'!$A$1:$A$691,'Trial Balance - FPer'!A764,'Original Budget'!$C$1:$C$691)</f>
        <v>790000</v>
      </c>
      <c r="I764" s="2640"/>
      <c r="J764" s="2119" t="s">
        <v>6476</v>
      </c>
      <c r="L764" s="2024" t="str">
        <f>VLOOKUP(A764,'2012 Budget'!$A$18:$B$2152,2,FALSE)</f>
        <v>MSIG - Expenses</v>
      </c>
    </row>
    <row r="765" spans="1:12" s="2024" customFormat="1" ht="13.5" thickBot="1" x14ac:dyDescent="0.25">
      <c r="A765" s="2120" t="s">
        <v>5919</v>
      </c>
      <c r="B765" s="2121" t="s">
        <v>5042</v>
      </c>
      <c r="C765" s="2122">
        <v>0</v>
      </c>
      <c r="D765" s="2123">
        <v>0</v>
      </c>
      <c r="E765" s="2123">
        <v>0</v>
      </c>
      <c r="F765" s="2123">
        <v>0</v>
      </c>
      <c r="G765" s="2123">
        <f>E765+F765</f>
        <v>0</v>
      </c>
      <c r="H765" s="2640">
        <f>SUMIF('Original Budget'!$A$1:$A$691,'Trial Balance - FPer'!A765,'Original Budget'!$C$1:$C$691)</f>
        <v>55296.32</v>
      </c>
      <c r="I765" s="2640"/>
      <c r="J765" s="2124" t="s">
        <v>6476</v>
      </c>
      <c r="L765" s="2024" t="str">
        <f>VLOOKUP(A765,'2012 Budget'!$A$18:$B$2152,2,FALSE)</f>
        <v>Commision Vendo</v>
      </c>
    </row>
    <row r="766" spans="1:12" s="2024" customFormat="1" x14ac:dyDescent="0.2">
      <c r="A766" s="1275" t="s">
        <v>4930</v>
      </c>
      <c r="B766" s="2112" t="s">
        <v>4931</v>
      </c>
      <c r="C766" s="2113">
        <f>VLOOKUP(A766,'2011 - TB'!$A$3:$B$971,2,FALSE)</f>
        <v>0</v>
      </c>
      <c r="D766" s="2114">
        <v>0</v>
      </c>
      <c r="E766" s="2114">
        <f>VLOOKUP(A766,'2012 - TB'!$A$3:$H$733,5,FALSE)</f>
        <v>2123636.35</v>
      </c>
      <c r="F766" s="2114">
        <f>VLOOKUP(A766,'2012 - TB'!$A$3:$H$733,6,FALSE)</f>
        <v>-595999.78</v>
      </c>
      <c r="G766" s="2114">
        <f t="shared" ref="G766:G779" si="23">E766+F766</f>
        <v>1527636.57</v>
      </c>
      <c r="H766" s="2640">
        <f>SUMIF('Original Budget'!$A$1:$A$691,'Trial Balance - FPer'!A766,'Original Budget'!$C$1:$C$691)</f>
        <v>0</v>
      </c>
      <c r="I766" s="2640">
        <f>VLOOKUP(A766,'2012 - TB'!$A$3:$C$733,3,FALSE)</f>
        <v>41890</v>
      </c>
      <c r="J766" s="2115" t="s">
        <v>6477</v>
      </c>
      <c r="L766" s="2024" t="str">
        <f>VLOOKUP(A766,'2012 Budget'!$A$18:$B$2152,2,FALSE)</f>
        <v>Professional Se</v>
      </c>
    </row>
    <row r="767" spans="1:12" s="2024" customFormat="1" x14ac:dyDescent="0.2">
      <c r="A767" s="1283" t="s">
        <v>5044</v>
      </c>
      <c r="B767" s="2117" t="s">
        <v>4931</v>
      </c>
      <c r="C767" s="2109">
        <f>VLOOKUP(A767,'2011 - TB'!$A$3:$B$971,2,FALSE)</f>
        <v>3258559.65</v>
      </c>
      <c r="D767" s="2118">
        <v>0</v>
      </c>
      <c r="E767" s="2118">
        <f>VLOOKUP(A767,'2012 - TB'!$A$3:$H$733,5,FALSE)</f>
        <v>3284950.9099999997</v>
      </c>
      <c r="F767" s="2118">
        <f>VLOOKUP(A767,'2012 - TB'!$A$3:$H$733,6,FALSE)</f>
        <v>-1564030.95</v>
      </c>
      <c r="G767" s="2118">
        <f t="shared" si="23"/>
        <v>1720919.9599999997</v>
      </c>
      <c r="H767" s="2640">
        <f>SUMIF('Original Budget'!$A$1:$A$691,'Trial Balance - FPer'!A767,'Original Budget'!$C$1:$C$691)</f>
        <v>1928510</v>
      </c>
      <c r="I767" s="2640">
        <f>VLOOKUP(A767,'2012 - TB'!$A$3:$C$733,3,FALSE)</f>
        <v>4000000</v>
      </c>
      <c r="J767" s="2119" t="s">
        <v>6477</v>
      </c>
      <c r="L767" s="2024" t="str">
        <f>VLOOKUP(A767,'2012 Budget'!$A$18:$B$2152,2,FALSE)</f>
        <v>Professional Se</v>
      </c>
    </row>
    <row r="768" spans="1:12" s="2024" customFormat="1" x14ac:dyDescent="0.2">
      <c r="A768" s="1283" t="s">
        <v>5294</v>
      </c>
      <c r="B768" s="2117" t="s">
        <v>4931</v>
      </c>
      <c r="C768" s="2109">
        <f>VLOOKUP(A768,'2011 - TB'!$A$3:$B$971,2,FALSE)</f>
        <v>936504.37</v>
      </c>
      <c r="D768" s="2118">
        <v>0</v>
      </c>
      <c r="E768" s="2118">
        <f>VLOOKUP(A768,'2012 - TB'!$A$3:$H$733,5,FALSE)</f>
        <v>1909365.3</v>
      </c>
      <c r="F768" s="2118">
        <f>VLOOKUP(A768,'2012 - TB'!$A$3:$H$733,6,FALSE)</f>
        <v>-184750</v>
      </c>
      <c r="G768" s="2118">
        <f t="shared" si="23"/>
        <v>1724615.3</v>
      </c>
      <c r="H768" s="2640">
        <f>SUMIF('Original Budget'!$A$1:$A$691,'Trial Balance - FPer'!A768,'Original Budget'!$C$1:$C$691)</f>
        <v>800000</v>
      </c>
      <c r="I768" s="2640">
        <f>VLOOKUP(A768,'2012 - TB'!$A$3:$C$733,3,FALSE)</f>
        <v>800000</v>
      </c>
      <c r="J768" s="2119" t="s">
        <v>6477</v>
      </c>
      <c r="L768" s="2024" t="str">
        <f>VLOOKUP(A768,'2012 Budget'!$A$18:$B$2152,2,FALSE)</f>
        <v>Professional Se</v>
      </c>
    </row>
    <row r="769" spans="1:12" s="2024" customFormat="1" x14ac:dyDescent="0.2">
      <c r="A769" s="2116" t="s">
        <v>5353</v>
      </c>
      <c r="B769" s="2117" t="s">
        <v>4931</v>
      </c>
      <c r="C769" s="2109" t="str">
        <f>VLOOKUP(A769,'2011 - TB'!$A$3:$B$971,2,FALSE)</f>
        <v xml:space="preserve">                               -  </v>
      </c>
      <c r="D769" s="2118">
        <v>0</v>
      </c>
      <c r="E769" s="2118">
        <v>0</v>
      </c>
      <c r="F769" s="2118">
        <v>0</v>
      </c>
      <c r="G769" s="2118">
        <f t="shared" si="23"/>
        <v>0</v>
      </c>
      <c r="H769" s="2640">
        <f>SUMIF('Original Budget'!$A$1:$A$691,'Trial Balance - FPer'!A769,'Original Budget'!$C$1:$C$691)</f>
        <v>11822.03</v>
      </c>
      <c r="I769" s="2640"/>
      <c r="J769" s="2119" t="s">
        <v>6477</v>
      </c>
      <c r="L769" s="2024" t="str">
        <f>VLOOKUP(A769,'2012 Budget'!$A$18:$B$2152,2,FALSE)</f>
        <v>Professional Se</v>
      </c>
    </row>
    <row r="770" spans="1:12" s="2024" customFormat="1" x14ac:dyDescent="0.2">
      <c r="A770" s="2116" t="s">
        <v>5544</v>
      </c>
      <c r="B770" s="2117" t="s">
        <v>4931</v>
      </c>
      <c r="C770" s="2109">
        <f>VLOOKUP(A770,'2011 - TB'!$A$3:$B$971,2,FALSE)</f>
        <v>698245.42</v>
      </c>
      <c r="D770" s="2118">
        <v>0</v>
      </c>
      <c r="E770" s="2118">
        <f>VLOOKUP(A770,'2012 - TB'!$A$3:$H$733,5,FALSE)</f>
        <v>11400</v>
      </c>
      <c r="F770" s="2118">
        <f>VLOOKUP(A770,'2012 - TB'!$A$3:$H$733,6,FALSE)</f>
        <v>-5700</v>
      </c>
      <c r="G770" s="2118">
        <f t="shared" si="23"/>
        <v>5700</v>
      </c>
      <c r="H770" s="2640">
        <f>SUMIF('Original Budget'!$A$1:$A$691,'Trial Balance - FPer'!A770,'Original Budget'!$C$1:$C$691)</f>
        <v>1101926.8700000001</v>
      </c>
      <c r="I770" s="2640">
        <f>VLOOKUP(A770,'2012 - TB'!$A$3:$C$733,3,FALSE)</f>
        <v>30000</v>
      </c>
      <c r="J770" s="2119" t="s">
        <v>6477</v>
      </c>
      <c r="L770" s="2024" t="str">
        <f>VLOOKUP(A770,'2012 Budget'!$A$18:$B$2152,2,FALSE)</f>
        <v>Professional Se</v>
      </c>
    </row>
    <row r="771" spans="1:12" s="2024" customFormat="1" x14ac:dyDescent="0.2">
      <c r="A771" s="2116" t="s">
        <v>5705</v>
      </c>
      <c r="B771" s="2117" t="s">
        <v>4931</v>
      </c>
      <c r="C771" s="2109">
        <v>0</v>
      </c>
      <c r="D771" s="2118">
        <v>0</v>
      </c>
      <c r="E771" s="2118">
        <v>0</v>
      </c>
      <c r="F771" s="2118">
        <v>0</v>
      </c>
      <c r="G771" s="2118">
        <f t="shared" si="23"/>
        <v>0</v>
      </c>
      <c r="H771" s="2640">
        <f>SUMIF('Original Budget'!$A$1:$A$691,'Trial Balance - FPer'!A771,'Original Budget'!$C$1:$C$691)</f>
        <v>0</v>
      </c>
      <c r="I771" s="2640"/>
      <c r="J771" s="2119" t="s">
        <v>6477</v>
      </c>
      <c r="L771" s="2024" t="str">
        <f>VLOOKUP(A771,'2012 Budget'!$A$18:$B$2152,2,FALSE)</f>
        <v>MIG - Expenses;</v>
      </c>
    </row>
    <row r="772" spans="1:12" s="2024" customFormat="1" ht="13.5" thickBot="1" x14ac:dyDescent="0.25">
      <c r="A772" s="2120" t="s">
        <v>5873</v>
      </c>
      <c r="B772" s="2121" t="s">
        <v>4931</v>
      </c>
      <c r="C772" s="2122" t="str">
        <f>VLOOKUP(A772,'2011 - TB'!$A$3:$B$971,2,FALSE)</f>
        <v xml:space="preserve">                               -  </v>
      </c>
      <c r="D772" s="2123">
        <v>0</v>
      </c>
      <c r="E772" s="2123">
        <v>0</v>
      </c>
      <c r="F772" s="2123">
        <v>0</v>
      </c>
      <c r="G772" s="2123">
        <f t="shared" si="23"/>
        <v>0</v>
      </c>
      <c r="H772" s="2640">
        <f>SUMIF('Original Budget'!$A$1:$A$691,'Trial Balance - FPer'!A772,'Original Budget'!$C$1:$C$691)</f>
        <v>33104.9</v>
      </c>
      <c r="I772" s="2640"/>
      <c r="J772" s="2124" t="s">
        <v>6477</v>
      </c>
      <c r="L772" s="2024" t="str">
        <f>VLOOKUP(A772,'2012 Budget'!$A$18:$B$2152,2,FALSE)</f>
        <v>Professional Se</v>
      </c>
    </row>
    <row r="773" spans="1:12" s="2024" customFormat="1" x14ac:dyDescent="0.2">
      <c r="A773" s="2111" t="s">
        <v>4862</v>
      </c>
      <c r="B773" s="2112" t="s">
        <v>4863</v>
      </c>
      <c r="C773" s="2113">
        <v>0</v>
      </c>
      <c r="D773" s="2114">
        <v>0</v>
      </c>
      <c r="E773" s="2114">
        <v>0</v>
      </c>
      <c r="F773" s="2114">
        <v>0</v>
      </c>
      <c r="G773" s="2114">
        <f t="shared" si="23"/>
        <v>0</v>
      </c>
      <c r="H773" s="2640">
        <f>SUMIF('Original Budget'!$A$1:$A$691,'Trial Balance - FPer'!A773,'Original Budget'!$C$1:$C$691)</f>
        <v>0</v>
      </c>
      <c r="I773" s="2640"/>
      <c r="J773" s="2115" t="s">
        <v>6492</v>
      </c>
      <c r="L773" s="2024" t="str">
        <f>VLOOKUP(A773,'2012 Budget'!$A$18:$B$2152,2,FALSE)</f>
        <v>Ward Committees</v>
      </c>
    </row>
    <row r="774" spans="1:12" s="2024" customFormat="1" x14ac:dyDescent="0.2">
      <c r="A774" s="2116" t="s">
        <v>5008</v>
      </c>
      <c r="B774" s="2117" t="s">
        <v>4863</v>
      </c>
      <c r="C774" s="2109">
        <f>VLOOKUP(A774,'2011 - TB'!$A$3:$B$971,2,FALSE)</f>
        <v>0</v>
      </c>
      <c r="D774" s="2118">
        <v>0</v>
      </c>
      <c r="E774" s="2118">
        <v>0</v>
      </c>
      <c r="F774" s="2118">
        <v>0</v>
      </c>
      <c r="G774" s="2118">
        <f t="shared" si="23"/>
        <v>0</v>
      </c>
      <c r="H774" s="2640">
        <f>SUMIF('Original Budget'!$A$1:$A$691,'Trial Balance - FPer'!A774,'Original Budget'!$C$1:$C$691)</f>
        <v>0</v>
      </c>
      <c r="I774" s="2640"/>
      <c r="J774" s="2119" t="s">
        <v>6492</v>
      </c>
      <c r="L774" s="2024" t="str">
        <f>VLOOKUP(A774,'2012 Budget'!$A$18:$B$2152,2,FALSE)</f>
        <v>Security Servic</v>
      </c>
    </row>
    <row r="775" spans="1:12" s="2024" customFormat="1" x14ac:dyDescent="0.2">
      <c r="A775" s="2116" t="s">
        <v>5161</v>
      </c>
      <c r="B775" s="2117" t="s">
        <v>4863</v>
      </c>
      <c r="C775" s="2109">
        <f>VLOOKUP(A775,'2011 - TB'!$A$3:$B$971,2,FALSE)</f>
        <v>36671.870000000003</v>
      </c>
      <c r="D775" s="2118">
        <v>0</v>
      </c>
      <c r="E775" s="2118">
        <f>VLOOKUP(A775,'2012 - TB'!$A$3:$H$733,5,FALSE)</f>
        <v>131019.39</v>
      </c>
      <c r="F775" s="2118">
        <f>VLOOKUP(A775,'2012 - TB'!$A$3:$H$733,6,FALSE)</f>
        <v>-6156</v>
      </c>
      <c r="G775" s="2118">
        <f t="shared" si="23"/>
        <v>124863.39</v>
      </c>
      <c r="H775" s="2640">
        <f>SUMIF('Original Budget'!$A$1:$A$691,'Trial Balance - FPer'!A775,'Original Budget'!$C$1:$C$691)</f>
        <v>30284.560000000001</v>
      </c>
      <c r="I775" s="2640">
        <f>VLOOKUP(A775,'2012 - TB'!$A$3:$C$733,3,FALSE)</f>
        <v>50000</v>
      </c>
      <c r="J775" s="2119" t="s">
        <v>6492</v>
      </c>
      <c r="L775" s="2024" t="str">
        <f>VLOOKUP(A775,'2012 Budget'!$A$18:$B$2152,2,FALSE)</f>
        <v>Security Servic</v>
      </c>
    </row>
    <row r="776" spans="1:12" s="2024" customFormat="1" x14ac:dyDescent="0.2">
      <c r="A776" s="2116" t="s">
        <v>5370</v>
      </c>
      <c r="B776" s="2117" t="s">
        <v>4863</v>
      </c>
      <c r="C776" s="2109">
        <f>VLOOKUP(A776,'2011 - TB'!$A$3:$B$971,2,FALSE)</f>
        <v>0</v>
      </c>
      <c r="D776" s="2118">
        <v>0</v>
      </c>
      <c r="E776" s="2118">
        <v>0</v>
      </c>
      <c r="F776" s="2118">
        <v>0</v>
      </c>
      <c r="G776" s="2118">
        <f t="shared" si="23"/>
        <v>0</v>
      </c>
      <c r="H776" s="2640">
        <f>SUMIF('Original Budget'!$A$1:$A$691,'Trial Balance - FPer'!A776,'Original Budget'!$C$1:$C$691)</f>
        <v>0</v>
      </c>
      <c r="I776" s="2640"/>
      <c r="J776" s="2119" t="s">
        <v>6492</v>
      </c>
      <c r="L776" s="2024" t="str">
        <f>VLOOKUP(A776,'2012 Budget'!$A$18:$B$2152,2,FALSE)</f>
        <v>Security Servic</v>
      </c>
    </row>
    <row r="777" spans="1:12" s="2024" customFormat="1" x14ac:dyDescent="0.2">
      <c r="A777" s="2116" t="s">
        <v>5400</v>
      </c>
      <c r="B777" s="2117" t="s">
        <v>4863</v>
      </c>
      <c r="C777" s="2109">
        <v>0</v>
      </c>
      <c r="D777" s="2118">
        <v>0</v>
      </c>
      <c r="E777" s="2118">
        <f>VLOOKUP(A777,'2012 - TB'!$A$3:$H$733,5,FALSE)</f>
        <v>5992.11</v>
      </c>
      <c r="F777" s="2118">
        <v>0</v>
      </c>
      <c r="G777" s="2118">
        <f t="shared" si="23"/>
        <v>5992.11</v>
      </c>
      <c r="H777" s="2640">
        <f>SUMIF('Original Budget'!$A$1:$A$691,'Trial Balance - FPer'!A777,'Original Budget'!$C$1:$C$691)</f>
        <v>0</v>
      </c>
      <c r="I777" s="2640"/>
      <c r="J777" s="2119" t="s">
        <v>6492</v>
      </c>
      <c r="L777" s="2024" t="str">
        <f>VLOOKUP(A777,'2012 Budget'!$A$18:$B$2152,2,FALSE)</f>
        <v>Security Servic</v>
      </c>
    </row>
    <row r="778" spans="1:12" s="2024" customFormat="1" x14ac:dyDescent="0.2">
      <c r="A778" s="2116" t="s">
        <v>5614</v>
      </c>
      <c r="B778" s="2117" t="s">
        <v>4863</v>
      </c>
      <c r="C778" s="2109">
        <v>0</v>
      </c>
      <c r="D778" s="2118">
        <v>0</v>
      </c>
      <c r="E778" s="2118">
        <v>0</v>
      </c>
      <c r="F778" s="2118">
        <v>0</v>
      </c>
      <c r="G778" s="2118">
        <f t="shared" si="23"/>
        <v>0</v>
      </c>
      <c r="H778" s="2640">
        <f>SUMIF('Original Budget'!$A$1:$A$691,'Trial Balance - FPer'!A778,'Original Budget'!$C$1:$C$691)</f>
        <v>0</v>
      </c>
      <c r="I778" s="2640"/>
      <c r="J778" s="2119" t="s">
        <v>6492</v>
      </c>
      <c r="L778" s="2024" t="str">
        <f>VLOOKUP(A778,'2012 Budget'!$A$18:$B$2152,2,FALSE)</f>
        <v>Security Servic</v>
      </c>
    </row>
    <row r="779" spans="1:12" s="2024" customFormat="1" ht="13.5" thickBot="1" x14ac:dyDescent="0.25">
      <c r="A779" s="2120" t="s">
        <v>5795</v>
      </c>
      <c r="B779" s="2121" t="s">
        <v>4863</v>
      </c>
      <c r="C779" s="2122">
        <v>0</v>
      </c>
      <c r="D779" s="2123">
        <v>0</v>
      </c>
      <c r="E779" s="2123">
        <v>0</v>
      </c>
      <c r="F779" s="2123">
        <v>0</v>
      </c>
      <c r="G779" s="2123">
        <f t="shared" si="23"/>
        <v>0</v>
      </c>
      <c r="H779" s="2640">
        <f>SUMIF('Original Budget'!$A$1:$A$691,'Trial Balance - FPer'!A779,'Original Budget'!$C$1:$C$691)</f>
        <v>0</v>
      </c>
      <c r="I779" s="2640"/>
      <c r="J779" s="2124" t="s">
        <v>6492</v>
      </c>
      <c r="L779" s="2024" t="str">
        <f>VLOOKUP(A779,'2012 Budget'!$A$18:$B$2152,2,FALSE)</f>
        <v>Security Servic</v>
      </c>
    </row>
    <row r="780" spans="1:12" s="2024" customFormat="1" ht="13.5" thickBot="1" x14ac:dyDescent="0.25">
      <c r="C780" s="2130">
        <f t="shared" ref="C780:I780" si="24">SUM(C763:C779)</f>
        <v>8020299.46</v>
      </c>
      <c r="D780" s="2130">
        <f t="shared" si="24"/>
        <v>0</v>
      </c>
      <c r="E780" s="2130">
        <f t="shared" si="24"/>
        <v>7696802.6499999994</v>
      </c>
      <c r="F780" s="2130">
        <f t="shared" si="24"/>
        <v>-2527536.73</v>
      </c>
      <c r="G780" s="2130">
        <f t="shared" si="24"/>
        <v>5169265.92</v>
      </c>
      <c r="H780" s="2641">
        <f t="shared" si="24"/>
        <v>5150944.6800000006</v>
      </c>
      <c r="I780" s="2641">
        <f t="shared" si="24"/>
        <v>5121890</v>
      </c>
      <c r="J780" s="2026"/>
      <c r="L780" s="2024" t="e">
        <f>VLOOKUP(A780,'2012 Budget'!$A$18:$B$2152,2,FALSE)</f>
        <v>#N/A</v>
      </c>
    </row>
    <row r="781" spans="1:12" s="2024" customFormat="1" ht="7.5" customHeight="1" thickTop="1" x14ac:dyDescent="0.2">
      <c r="C781" s="2042"/>
      <c r="D781" s="2025"/>
      <c r="E781" s="2025"/>
      <c r="F781" s="2025"/>
      <c r="G781" s="2025"/>
      <c r="H781" s="2118">
        <f>SUMIF('Original Budget'!$A$1:$A$691,'Trial Balance - FPer'!A781,'Original Budget'!$C$1:$C$691)</f>
        <v>0</v>
      </c>
      <c r="I781" s="2118"/>
      <c r="J781" s="2026"/>
      <c r="L781" s="2024" t="e">
        <f>VLOOKUP(A781,'2012 Budget'!$A$18:$B$2152,2,FALSE)</f>
        <v>#N/A</v>
      </c>
    </row>
    <row r="782" spans="1:12" s="2024" customFormat="1" x14ac:dyDescent="0.2">
      <c r="B782" s="1208" t="s">
        <v>1212</v>
      </c>
      <c r="C782" s="2110">
        <f>'Fin Perform'!K41</f>
        <v>8020299.459999999</v>
      </c>
      <c r="D782" s="2109"/>
      <c r="E782" s="2109"/>
      <c r="F782" s="2109"/>
      <c r="G782" s="2646">
        <f>'Fin Perform'!I41</f>
        <v>5169265.92</v>
      </c>
      <c r="H782" s="2118">
        <f>SUMIF('Original Budget'!$A$1:$A$691,'Trial Balance - FPer'!A782,'Original Budget'!$C$1:$C$691)</f>
        <v>0</v>
      </c>
      <c r="I782" s="2118"/>
      <c r="J782" s="2026"/>
      <c r="L782" s="2024" t="e">
        <f>VLOOKUP(A782,'2012 Budget'!$A$18:$B$2152,2,FALSE)</f>
        <v>#N/A</v>
      </c>
    </row>
    <row r="783" spans="1:12" s="2024" customFormat="1" ht="7.5" customHeight="1" x14ac:dyDescent="0.2">
      <c r="C783" s="2109"/>
      <c r="D783" s="2109"/>
      <c r="E783" s="2109"/>
      <c r="F783" s="2109"/>
      <c r="G783" s="2109"/>
      <c r="H783" s="2118">
        <f>SUMIF('Original Budget'!$A$1:$A$691,'Trial Balance - FPer'!A783,'Original Budget'!$C$1:$C$691)</f>
        <v>0</v>
      </c>
      <c r="I783" s="2118"/>
      <c r="J783" s="2026"/>
      <c r="L783" s="2024" t="e">
        <f>VLOOKUP(A783,'2012 Budget'!$A$18:$B$2152,2,FALSE)</f>
        <v>#N/A</v>
      </c>
    </row>
    <row r="784" spans="1:12" s="2024" customFormat="1" ht="13.5" thickBot="1" x14ac:dyDescent="0.25">
      <c r="B784" s="1208" t="s">
        <v>6423</v>
      </c>
      <c r="C784" s="2103">
        <f>C780-C782</f>
        <v>0</v>
      </c>
      <c r="D784" s="2109"/>
      <c r="E784" s="2109"/>
      <c r="F784" s="2109"/>
      <c r="G784" s="2103">
        <f>G780-G782</f>
        <v>0</v>
      </c>
      <c r="H784" s="2118">
        <f>SUMIF('Original Budget'!$A$1:$A$691,'Trial Balance - FPer'!A784,'Original Budget'!$C$1:$C$691)</f>
        <v>0</v>
      </c>
      <c r="I784" s="2118"/>
      <c r="J784" s="2026"/>
      <c r="L784" s="2024" t="e">
        <f>VLOOKUP(A784,'2012 Budget'!$A$18:$B$2152,2,FALSE)</f>
        <v>#N/A</v>
      </c>
    </row>
    <row r="785" spans="1:12" s="2024" customFormat="1" ht="14.25" thickTop="1" thickBot="1" x14ac:dyDescent="0.25">
      <c r="C785" s="2042"/>
      <c r="D785" s="2025"/>
      <c r="E785" s="2025"/>
      <c r="F785" s="2025"/>
      <c r="G785" s="2025"/>
      <c r="H785" s="2118">
        <f>SUMIF('Original Budget'!$A$1:$A$691,'Trial Balance - FPer'!A785,'Original Budget'!$C$1:$C$691)</f>
        <v>0</v>
      </c>
      <c r="I785" s="2118"/>
      <c r="J785" s="2026"/>
      <c r="L785" s="2024" t="e">
        <f>VLOOKUP(A785,'2012 Budget'!$A$18:$B$2152,2,FALSE)</f>
        <v>#N/A</v>
      </c>
    </row>
    <row r="786" spans="1:12" s="2024" customFormat="1" ht="13.5" thickBot="1" x14ac:dyDescent="0.25">
      <c r="A786" s="2627" t="s">
        <v>4990</v>
      </c>
      <c r="B786" s="2628" t="s">
        <v>4991</v>
      </c>
      <c r="C786" s="2127">
        <v>0</v>
      </c>
      <c r="D786" s="2128">
        <v>0</v>
      </c>
      <c r="E786" s="2128">
        <f>VLOOKUP(A786,'2012 - TB'!$A$3:$H$733,5,FALSE)</f>
        <v>0</v>
      </c>
      <c r="F786" s="2128">
        <f>VLOOKUP(A786,'2012 - TB'!$A$3:$H$733,6,FALSE)</f>
        <v>0</v>
      </c>
      <c r="G786" s="2128">
        <f t="shared" ref="G786:G816" si="25">E786+F786</f>
        <v>0</v>
      </c>
      <c r="H786" s="2640">
        <f>SUMIF('Original Budget'!$A$1:$A$691,'Trial Balance - FPer'!A786,'Original Budget'!$C$1:$C$691)</f>
        <v>0</v>
      </c>
      <c r="I786" s="2230">
        <v>0</v>
      </c>
      <c r="J786" s="2129" t="s">
        <v>5946</v>
      </c>
      <c r="L786" s="2024" t="e">
        <f>VLOOKUP(A786,'2012 Budget'!$A$18:$B$2152,2,FALSE)</f>
        <v>#N/A</v>
      </c>
    </row>
    <row r="787" spans="1:12" s="2024" customFormat="1" ht="13.5" thickBot="1" x14ac:dyDescent="0.25">
      <c r="A787" s="2623" t="s">
        <v>5250</v>
      </c>
      <c r="B787" s="2624" t="s">
        <v>5251</v>
      </c>
      <c r="C787" s="2109">
        <v>0</v>
      </c>
      <c r="D787" s="2118">
        <v>0</v>
      </c>
      <c r="E787" s="2118">
        <f>VLOOKUP(A787,'2012 - TB'!$A$3:$H$733,5,FALSE)</f>
        <v>0</v>
      </c>
      <c r="F787" s="2118">
        <f>VLOOKUP(A787,'2012 - TB'!$A$3:$H$733,6,FALSE)</f>
        <v>0</v>
      </c>
      <c r="G787" s="2118">
        <f t="shared" si="25"/>
        <v>0</v>
      </c>
      <c r="H787" s="2640">
        <f>SUMIF('Original Budget'!$A$1:$A$691,'Trial Balance - FPer'!A787,'Original Budget'!$C$1:$C$691)</f>
        <v>0</v>
      </c>
      <c r="I787" s="2230">
        <v>0</v>
      </c>
      <c r="J787" s="2119" t="s">
        <v>5946</v>
      </c>
      <c r="L787" s="2024" t="e">
        <f>VLOOKUP(A787,'2012 Budget'!$A$18:$B$2152,2,FALSE)</f>
        <v>#N/A</v>
      </c>
    </row>
    <row r="788" spans="1:12" s="2024" customFormat="1" ht="13.5" thickBot="1" x14ac:dyDescent="0.25">
      <c r="A788" s="2125" t="s">
        <v>5822</v>
      </c>
      <c r="B788" s="2126" t="s">
        <v>5823</v>
      </c>
      <c r="C788" s="2127">
        <v>0</v>
      </c>
      <c r="D788" s="2128">
        <v>0</v>
      </c>
      <c r="E788" s="2128">
        <f>VLOOKUP(A788,'2012 - TB'!$A$3:$H$733,5,FALSE)</f>
        <v>0</v>
      </c>
      <c r="F788" s="2128">
        <f>VLOOKUP(A788,'2012 - TB'!$A$3:$H$733,6,FALSE)</f>
        <v>0</v>
      </c>
      <c r="G788" s="2128">
        <f t="shared" si="25"/>
        <v>0</v>
      </c>
      <c r="H788" s="2640">
        <f>SUMIF('Original Budget'!$A$1:$A$691,'Trial Balance - FPer'!A788,'Original Budget'!$C$1:$C$691)</f>
        <v>-536000</v>
      </c>
      <c r="I788" s="2640">
        <f>VLOOKUP(A788,'2012 - TB'!$A$3:$C$733,3,FALSE)</f>
        <v>-536000</v>
      </c>
      <c r="J788" s="2129" t="s">
        <v>5946</v>
      </c>
      <c r="L788" s="2024" t="str">
        <f>VLOOKUP(A788,'2012 Budget'!$A$18:$B$2152,2,FALSE)</f>
        <v>NT Grant - EPWP</v>
      </c>
    </row>
    <row r="789" spans="1:12" s="2024" customFormat="1" x14ac:dyDescent="0.2">
      <c r="A789" s="2116" t="s">
        <v>4900</v>
      </c>
      <c r="B789" s="2117" t="s">
        <v>4901</v>
      </c>
      <c r="C789" s="2109">
        <v>0</v>
      </c>
      <c r="D789" s="2118">
        <v>0</v>
      </c>
      <c r="E789" s="2118">
        <f>VLOOKUP(A789,'2012 - TB'!$A$3:$H$733,5,FALSE)</f>
        <v>0</v>
      </c>
      <c r="F789" s="2118">
        <f>VLOOKUP(A789,'2012 - TB'!$A$3:$H$733,6,FALSE)</f>
        <v>0</v>
      </c>
      <c r="G789" s="2118">
        <f t="shared" si="25"/>
        <v>0</v>
      </c>
      <c r="H789" s="2640">
        <f>SUMIF('Original Budget'!$A$1:$A$691,'Trial Balance - FPer'!A789,'Original Budget'!$C$1:$C$691)</f>
        <v>-3533243.37</v>
      </c>
      <c r="I789" s="2640">
        <f>VLOOKUP(A789,'2012 - TB'!$A$3:$C$733,3,FALSE)</f>
        <v>-2810723.2</v>
      </c>
      <c r="J789" s="2119" t="s">
        <v>5946</v>
      </c>
      <c r="L789" s="2024" t="str">
        <f>VLOOKUP(A789,'2012 Budget'!$A$18:$B$2152,2,FALSE)</f>
        <v>Equitqble share - Salaries &amp; Operating Expenditure</v>
      </c>
    </row>
    <row r="790" spans="1:12" s="2024" customFormat="1" x14ac:dyDescent="0.2">
      <c r="A790" s="2116" t="s">
        <v>4932</v>
      </c>
      <c r="B790" s="2117" t="s">
        <v>4901</v>
      </c>
      <c r="C790" s="2109">
        <v>0</v>
      </c>
      <c r="D790" s="2118">
        <v>0</v>
      </c>
      <c r="E790" s="2118">
        <f>VLOOKUP(A790,'2012 - TB'!$A$3:$H$733,5,FALSE)</f>
        <v>0</v>
      </c>
      <c r="F790" s="2118">
        <f>VLOOKUP(A790,'2012 - TB'!$A$3:$H$733,6,FALSE)</f>
        <v>0</v>
      </c>
      <c r="G790" s="2118">
        <f t="shared" si="25"/>
        <v>0</v>
      </c>
      <c r="H790" s="2640">
        <f>SUMIF('Original Budget'!$A$1:$A$691,'Trial Balance - FPer'!A790,'Original Budget'!$C$1:$C$691)</f>
        <v>-185190.92</v>
      </c>
      <c r="I790" s="2640">
        <f>VLOOKUP(A790,'2012 - TB'!$A$3:$C$733,3,FALSE)</f>
        <v>-1328952.07</v>
      </c>
      <c r="J790" s="2119" t="s">
        <v>5946</v>
      </c>
      <c r="L790" s="2024" t="str">
        <f>VLOOKUP(A790,'2012 Budget'!$A$18:$B$2152,2,FALSE)</f>
        <v>NT Grant - Equitable share</v>
      </c>
    </row>
    <row r="791" spans="1:12" s="2024" customFormat="1" x14ac:dyDescent="0.2">
      <c r="A791" s="2116" t="s">
        <v>5083</v>
      </c>
      <c r="B791" s="2117" t="s">
        <v>4901</v>
      </c>
      <c r="C791" s="2109">
        <f>VLOOKUP(A791,'2011 - TB'!$A$3:$B$971,2,FALSE)</f>
        <v>0</v>
      </c>
      <c r="D791" s="2118">
        <v>0</v>
      </c>
      <c r="E791" s="2118">
        <f>VLOOKUP(A791,'2012 - TB'!$A$3:$H$733,5,FALSE)</f>
        <v>0</v>
      </c>
      <c r="F791" s="2118">
        <f>VLOOKUP(A791,'2012 - TB'!$A$3:$H$733,6,FALSE)</f>
        <v>-33396000</v>
      </c>
      <c r="G791" s="2118">
        <f t="shared" si="25"/>
        <v>-33396000</v>
      </c>
      <c r="H791" s="2640">
        <f>SUMIF('Original Budget'!$A$1:$A$691,'Trial Balance - FPer'!A791,'Original Budget'!$C$1:$C$691)</f>
        <v>-159503.56</v>
      </c>
      <c r="I791" s="2640">
        <f>VLOOKUP(A791,'2012 - TB'!$A$3:$C$733,3,FALSE)</f>
        <v>-997346.51</v>
      </c>
      <c r="J791" s="2119" t="s">
        <v>5946</v>
      </c>
      <c r="L791" s="2024" t="str">
        <f>VLOOKUP(A791,'2012 Budget'!$A$18:$B$2152,2,FALSE)</f>
        <v>NT Grant - Equi</v>
      </c>
    </row>
    <row r="792" spans="1:12" s="2024" customFormat="1" x14ac:dyDescent="0.2">
      <c r="A792" s="1283" t="s">
        <v>5084</v>
      </c>
      <c r="B792" s="2117" t="s">
        <v>4901</v>
      </c>
      <c r="C792" s="2109">
        <f>VLOOKUP(A792,'2011 - TB'!$A$3:$B$971,2,FALSE)</f>
        <v>-43055675.950000003</v>
      </c>
      <c r="D792" s="2118">
        <v>0</v>
      </c>
      <c r="E792" s="2118">
        <f>VLOOKUP(A792,'2012 - TB'!$A$3:$H$733,5,FALSE)</f>
        <v>706992.27</v>
      </c>
      <c r="F792" s="2118">
        <f>VLOOKUP(A792,'2012 - TB'!$A$3:$H$733,6,FALSE)</f>
        <v>-12942992.27</v>
      </c>
      <c r="G792" s="2118">
        <f t="shared" si="25"/>
        <v>-12236000</v>
      </c>
      <c r="H792" s="2640">
        <f>SUMIF('Original Budget'!$A$1:$A$691,'Trial Balance - FPer'!A792,'Original Budget'!$C$1:$C$691)</f>
        <v>-5735953.6699999999</v>
      </c>
      <c r="I792" s="2640">
        <f>VLOOKUP(A792,'2012 - TB'!$A$3:$C$733,3,FALSE)</f>
        <v>-3126185.31</v>
      </c>
      <c r="J792" s="2119" t="s">
        <v>5946</v>
      </c>
      <c r="L792" s="2024" t="str">
        <f>VLOOKUP(A792,'2012 Budget'!$A$18:$B$2152,2,FALSE)</f>
        <v>NT Grant - Equi</v>
      </c>
    </row>
    <row r="793" spans="1:12" s="2024" customFormat="1" x14ac:dyDescent="0.2">
      <c r="A793" s="2116" t="s">
        <v>5124</v>
      </c>
      <c r="B793" s="2117" t="s">
        <v>4901</v>
      </c>
      <c r="C793" s="2109">
        <v>0</v>
      </c>
      <c r="D793" s="2118">
        <v>0</v>
      </c>
      <c r="E793" s="2118">
        <f>VLOOKUP(A793,'2012 - TB'!$A$3:$H$733,5,FALSE)</f>
        <v>0</v>
      </c>
      <c r="F793" s="2118">
        <f>VLOOKUP(A793,'2012 - TB'!$A$3:$H$733,6,FALSE)</f>
        <v>0</v>
      </c>
      <c r="G793" s="2118">
        <f t="shared" si="25"/>
        <v>0</v>
      </c>
      <c r="H793" s="2640">
        <f>SUMIF('Original Budget'!$A$1:$A$691,'Trial Balance - FPer'!A793,'Original Budget'!$C$1:$C$691)</f>
        <v>-1229330.6599999999</v>
      </c>
      <c r="I793" s="2640">
        <f>VLOOKUP(A793,'2012 - TB'!$A$3:$C$733,3,FALSE)</f>
        <v>-1420633.11</v>
      </c>
      <c r="J793" s="2119" t="s">
        <v>5946</v>
      </c>
      <c r="L793" s="2024" t="str">
        <f>VLOOKUP(A793,'2012 Budget'!$A$18:$B$2152,2,FALSE)</f>
        <v>NT Grant - Equi</v>
      </c>
    </row>
    <row r="794" spans="1:12" s="2024" customFormat="1" x14ac:dyDescent="0.2">
      <c r="A794" s="2116" t="s">
        <v>5155</v>
      </c>
      <c r="B794" s="2117" t="s">
        <v>4901</v>
      </c>
      <c r="C794" s="2109">
        <v>0</v>
      </c>
      <c r="D794" s="2118">
        <v>0</v>
      </c>
      <c r="E794" s="2118">
        <f>VLOOKUP(A794,'2012 - TB'!$A$3:$H$733,5,FALSE)</f>
        <v>0</v>
      </c>
      <c r="F794" s="2118">
        <f>VLOOKUP(A794,'2012 - TB'!$A$3:$H$733,6,FALSE)</f>
        <v>0</v>
      </c>
      <c r="G794" s="2118">
        <f t="shared" si="25"/>
        <v>0</v>
      </c>
      <c r="H794" s="2640">
        <f>SUMIF('Original Budget'!$A$1:$A$691,'Trial Balance - FPer'!A794,'Original Budget'!$C$1:$C$691)</f>
        <v>-2981495.52</v>
      </c>
      <c r="I794" s="2640">
        <f>VLOOKUP(A794,'2012 - TB'!$A$3:$C$733,3,FALSE)</f>
        <v>-840486.26</v>
      </c>
      <c r="J794" s="2119" t="s">
        <v>5946</v>
      </c>
      <c r="L794" s="2024" t="str">
        <f>VLOOKUP(A794,'2012 Budget'!$A$18:$B$2152,2,FALSE)</f>
        <v>NT Grant - Equi</v>
      </c>
    </row>
    <row r="795" spans="1:12" s="2024" customFormat="1" x14ac:dyDescent="0.2">
      <c r="A795" s="2116" t="s">
        <v>5197</v>
      </c>
      <c r="B795" s="2117" t="s">
        <v>4901</v>
      </c>
      <c r="C795" s="2109">
        <v>0</v>
      </c>
      <c r="D795" s="2118">
        <v>0</v>
      </c>
      <c r="E795" s="2118">
        <f>VLOOKUP(A795,'2012 - TB'!$A$3:$H$733,5,FALSE)</f>
        <v>0</v>
      </c>
      <c r="F795" s="2118">
        <f>VLOOKUP(A795,'2012 - TB'!$A$3:$H$733,6,FALSE)</f>
        <v>0</v>
      </c>
      <c r="G795" s="2118">
        <f t="shared" si="25"/>
        <v>0</v>
      </c>
      <c r="H795" s="2640">
        <f>SUMIF('Original Budget'!$A$1:$A$691,'Trial Balance - FPer'!A795,'Original Budget'!$C$1:$C$691)</f>
        <v>-213900.29</v>
      </c>
      <c r="I795" s="2640">
        <f>VLOOKUP(A795,'2012 - TB'!$A$3:$C$733,3,FALSE)</f>
        <v>-1324461.1499999999</v>
      </c>
      <c r="J795" s="2119" t="s">
        <v>5946</v>
      </c>
      <c r="L795" s="2024" t="str">
        <f>VLOOKUP(A795,'2012 Budget'!$A$18:$B$2152,2,FALSE)</f>
        <v>NT Grant - Equi</v>
      </c>
    </row>
    <row r="796" spans="1:12" s="2024" customFormat="1" x14ac:dyDescent="0.2">
      <c r="A796" s="2116" t="s">
        <v>5305</v>
      </c>
      <c r="B796" s="2117" t="s">
        <v>4901</v>
      </c>
      <c r="C796" s="2109">
        <v>0</v>
      </c>
      <c r="D796" s="2118">
        <v>0</v>
      </c>
      <c r="E796" s="2118">
        <f>VLOOKUP(A796,'2012 - TB'!$A$3:$H$733,5,FALSE)</f>
        <v>0</v>
      </c>
      <c r="F796" s="2118">
        <f>VLOOKUP(A796,'2012 - TB'!$A$3:$H$733,6,FALSE)</f>
        <v>0</v>
      </c>
      <c r="G796" s="2118">
        <f t="shared" si="25"/>
        <v>0</v>
      </c>
      <c r="H796" s="2640">
        <f>SUMIF('Original Budget'!$A$1:$A$691,'Trial Balance - FPer'!A796,'Original Budget'!$C$1:$C$691)</f>
        <v>-13476.18</v>
      </c>
      <c r="I796" s="2640">
        <f>VLOOKUP(A796,'2012 - TB'!$A$3:$C$733,3,FALSE)</f>
        <v>-462705.37</v>
      </c>
      <c r="J796" s="2119" t="s">
        <v>5946</v>
      </c>
      <c r="L796" s="2024" t="str">
        <f>VLOOKUP(A796,'2012 Budget'!$A$18:$B$2152,2,FALSE)</f>
        <v>NT Grant - Equi</v>
      </c>
    </row>
    <row r="797" spans="1:12" s="2024" customFormat="1" x14ac:dyDescent="0.2">
      <c r="A797" s="2116" t="s">
        <v>5306</v>
      </c>
      <c r="B797" s="2117" t="s">
        <v>4901</v>
      </c>
      <c r="C797" s="2109">
        <v>0</v>
      </c>
      <c r="D797" s="2118">
        <v>0</v>
      </c>
      <c r="E797" s="2118">
        <f>VLOOKUP(A797,'2012 - TB'!$A$3:$H$733,5,FALSE)</f>
        <v>0</v>
      </c>
      <c r="F797" s="2118">
        <f>VLOOKUP(A797,'2012 - TB'!$A$3:$H$733,6,FALSE)</f>
        <v>0</v>
      </c>
      <c r="G797" s="2118">
        <f t="shared" si="25"/>
        <v>0</v>
      </c>
      <c r="H797" s="2640">
        <f>SUMIF('Original Budget'!$A$1:$A$691,'Trial Balance - FPer'!A797,'Original Budget'!$C$1:$C$691)</f>
        <v>-91847.95</v>
      </c>
      <c r="I797" s="2640">
        <f>VLOOKUP(A797,'2012 - TB'!$A$3:$C$733,3,FALSE)</f>
        <v>-519172.23</v>
      </c>
      <c r="J797" s="2119" t="s">
        <v>5946</v>
      </c>
      <c r="L797" s="2024" t="str">
        <f>VLOOKUP(A797,'2012 Budget'!$A$18:$B$2152,2,FALSE)</f>
        <v>NT Grant - Equi</v>
      </c>
    </row>
    <row r="798" spans="1:12" s="2024" customFormat="1" x14ac:dyDescent="0.2">
      <c r="A798" s="2116" t="s">
        <v>5307</v>
      </c>
      <c r="B798" s="2117" t="s">
        <v>4901</v>
      </c>
      <c r="C798" s="2109">
        <v>0</v>
      </c>
      <c r="D798" s="2118">
        <v>0</v>
      </c>
      <c r="E798" s="2118">
        <f>VLOOKUP(A798,'2012 - TB'!$A$3:$H$733,5,FALSE)</f>
        <v>0</v>
      </c>
      <c r="F798" s="2118">
        <f>VLOOKUP(A798,'2012 - TB'!$A$3:$H$733,6,FALSE)</f>
        <v>0</v>
      </c>
      <c r="G798" s="2118">
        <f t="shared" si="25"/>
        <v>0</v>
      </c>
      <c r="H798" s="2640">
        <f>SUMIF('Original Budget'!$A$1:$A$691,'Trial Balance - FPer'!A798,'Original Budget'!$C$1:$C$691)</f>
        <v>-353519.83</v>
      </c>
      <c r="I798" s="2640">
        <f>VLOOKUP(A798,'2012 - TB'!$A$3:$C$733,3,FALSE)</f>
        <v>-1184789.56</v>
      </c>
      <c r="J798" s="2119" t="s">
        <v>5946</v>
      </c>
      <c r="L798" s="2024" t="str">
        <f>VLOOKUP(A798,'2012 Budget'!$A$18:$B$2152,2,FALSE)</f>
        <v>NT Grant - Equi</v>
      </c>
    </row>
    <row r="799" spans="1:12" s="2024" customFormat="1" x14ac:dyDescent="0.2">
      <c r="A799" s="2116" t="s">
        <v>5308</v>
      </c>
      <c r="B799" s="2117" t="s">
        <v>4901</v>
      </c>
      <c r="C799" s="2109">
        <v>0</v>
      </c>
      <c r="D799" s="2118">
        <v>0</v>
      </c>
      <c r="E799" s="2118">
        <f>VLOOKUP(A799,'2012 - TB'!$A$3:$H$733,5,FALSE)</f>
        <v>0</v>
      </c>
      <c r="F799" s="2118">
        <f>VLOOKUP(A799,'2012 - TB'!$A$3:$H$733,6,FALSE)</f>
        <v>0</v>
      </c>
      <c r="G799" s="2118">
        <f t="shared" si="25"/>
        <v>0</v>
      </c>
      <c r="H799" s="2640">
        <f>SUMIF('Original Budget'!$A$1:$A$691,'Trial Balance - FPer'!A799,'Original Budget'!$C$1:$C$691)</f>
        <v>-3971308.84</v>
      </c>
      <c r="I799" s="2640">
        <f>VLOOKUP(A799,'2012 - TB'!$A$3:$C$733,3,FALSE)</f>
        <v>-3499273.07</v>
      </c>
      <c r="J799" s="2119" t="s">
        <v>5946</v>
      </c>
      <c r="L799" s="2024" t="str">
        <f>VLOOKUP(A799,'2012 Budget'!$A$18:$B$2152,2,FALSE)</f>
        <v>NT Grant - Equi</v>
      </c>
    </row>
    <row r="800" spans="1:12" s="2024" customFormat="1" x14ac:dyDescent="0.2">
      <c r="A800" s="2116" t="s">
        <v>5358</v>
      </c>
      <c r="B800" s="2117" t="s">
        <v>4901</v>
      </c>
      <c r="C800" s="2109">
        <v>0</v>
      </c>
      <c r="D800" s="2118">
        <v>0</v>
      </c>
      <c r="E800" s="2118">
        <f>VLOOKUP(A800,'2012 - TB'!$A$3:$H$733,5,FALSE)</f>
        <v>0</v>
      </c>
      <c r="F800" s="2118">
        <f>VLOOKUP(A800,'2012 - TB'!$A$3:$H$733,6,FALSE)</f>
        <v>0</v>
      </c>
      <c r="G800" s="2118">
        <f t="shared" si="25"/>
        <v>0</v>
      </c>
      <c r="H800" s="2640">
        <f>SUMIF('Original Budget'!$A$1:$A$691,'Trial Balance - FPer'!A800,'Original Budget'!$C$1:$C$691)</f>
        <v>-841085.33</v>
      </c>
      <c r="I800" s="2640">
        <f>VLOOKUP(A800,'2012 - TB'!$A$3:$C$733,3,FALSE)</f>
        <v>-1310722.01</v>
      </c>
      <c r="J800" s="2119" t="s">
        <v>5946</v>
      </c>
      <c r="L800" s="2024" t="str">
        <f>VLOOKUP(A800,'2012 Budget'!$A$18:$B$2152,2,FALSE)</f>
        <v>NT Grant - Equi</v>
      </c>
    </row>
    <row r="801" spans="1:12" s="2024" customFormat="1" x14ac:dyDescent="0.2">
      <c r="A801" s="2116" t="s">
        <v>5383</v>
      </c>
      <c r="B801" s="2117" t="s">
        <v>4901</v>
      </c>
      <c r="C801" s="2109">
        <v>0</v>
      </c>
      <c r="D801" s="2118">
        <v>0</v>
      </c>
      <c r="E801" s="2118">
        <f>VLOOKUP(A801,'2012 - TB'!$A$3:$H$733,5,FALSE)</f>
        <v>0</v>
      </c>
      <c r="F801" s="2118">
        <f>VLOOKUP(A801,'2012 - TB'!$A$3:$H$733,6,FALSE)</f>
        <v>0</v>
      </c>
      <c r="G801" s="2118">
        <f t="shared" si="25"/>
        <v>0</v>
      </c>
      <c r="H801" s="2640">
        <f>SUMIF('Original Budget'!$A$1:$A$691,'Trial Balance - FPer'!A801,'Original Budget'!$C$1:$C$691)</f>
        <v>-1232016.3400000001</v>
      </c>
      <c r="I801" s="2640">
        <f>VLOOKUP(A801,'2012 - TB'!$A$3:$C$733,3,FALSE)</f>
        <v>-972775.24</v>
      </c>
      <c r="J801" s="2119" t="s">
        <v>5946</v>
      </c>
      <c r="L801" s="2024" t="str">
        <f>VLOOKUP(A801,'2012 Budget'!$A$18:$B$2152,2,FALSE)</f>
        <v>NT Grant - Equi</v>
      </c>
    </row>
    <row r="802" spans="1:12" s="2024" customFormat="1" x14ac:dyDescent="0.2">
      <c r="A802" s="2116" t="s">
        <v>5424</v>
      </c>
      <c r="B802" s="2117" t="s">
        <v>4901</v>
      </c>
      <c r="C802" s="2109">
        <v>0</v>
      </c>
      <c r="D802" s="2118">
        <v>0</v>
      </c>
      <c r="E802" s="2118">
        <f>VLOOKUP(A802,'2012 - TB'!$A$3:$H$733,5,FALSE)</f>
        <v>0</v>
      </c>
      <c r="F802" s="2118">
        <f>VLOOKUP(A802,'2012 - TB'!$A$3:$H$733,6,FALSE)</f>
        <v>0</v>
      </c>
      <c r="G802" s="2118">
        <f t="shared" si="25"/>
        <v>0</v>
      </c>
      <c r="H802" s="2640">
        <f>SUMIF('Original Budget'!$A$1:$A$691,'Trial Balance - FPer'!A802,'Original Budget'!$C$1:$C$691)</f>
        <v>-403824.96</v>
      </c>
      <c r="I802" s="2640">
        <f>VLOOKUP(A802,'2012 - TB'!$A$3:$C$733,3,FALSE)</f>
        <v>-334238.59999999998</v>
      </c>
      <c r="J802" s="2119" t="s">
        <v>5946</v>
      </c>
      <c r="L802" s="2024" t="str">
        <f>VLOOKUP(A802,'2012 Budget'!$A$18:$B$2152,2,FALSE)</f>
        <v>NT Grant - Equi</v>
      </c>
    </row>
    <row r="803" spans="1:12" s="2024" customFormat="1" x14ac:dyDescent="0.2">
      <c r="A803" s="2116" t="s">
        <v>5430</v>
      </c>
      <c r="B803" s="2117" t="s">
        <v>4901</v>
      </c>
      <c r="C803" s="2109">
        <v>0</v>
      </c>
      <c r="D803" s="2118">
        <v>0</v>
      </c>
      <c r="E803" s="2118">
        <f>VLOOKUP(A803,'2012 - TB'!$A$3:$H$733,5,FALSE)</f>
        <v>0</v>
      </c>
      <c r="F803" s="2118">
        <f>VLOOKUP(A803,'2012 - TB'!$A$3:$H$733,6,FALSE)</f>
        <v>0</v>
      </c>
      <c r="G803" s="2118">
        <f t="shared" si="25"/>
        <v>0</v>
      </c>
      <c r="H803" s="2640">
        <f>SUMIF('Original Budget'!$A$1:$A$691,'Trial Balance - FPer'!A803,'Original Budget'!$C$1:$C$691)</f>
        <v>-64992.18</v>
      </c>
      <c r="I803" s="2640">
        <f>VLOOKUP(A803,'2012 - TB'!$A$3:$C$733,3,FALSE)</f>
        <v>-54992.18</v>
      </c>
      <c r="J803" s="2119" t="s">
        <v>5946</v>
      </c>
      <c r="L803" s="2024" t="str">
        <f>VLOOKUP(A803,'2012 Budget'!$A$18:$B$2152,2,FALSE)</f>
        <v>NT Grant - Equi</v>
      </c>
    </row>
    <row r="804" spans="1:12" s="2024" customFormat="1" x14ac:dyDescent="0.2">
      <c r="A804" s="2116" t="s">
        <v>5485</v>
      </c>
      <c r="B804" s="2117" t="s">
        <v>4901</v>
      </c>
      <c r="C804" s="2109">
        <v>0</v>
      </c>
      <c r="D804" s="2118">
        <v>0</v>
      </c>
      <c r="E804" s="2118">
        <f>VLOOKUP(A804,'2012 - TB'!$A$3:$H$733,5,FALSE)</f>
        <v>0</v>
      </c>
      <c r="F804" s="2118">
        <f>VLOOKUP(A804,'2012 - TB'!$A$3:$H$733,6,FALSE)</f>
        <v>0</v>
      </c>
      <c r="G804" s="2118">
        <f t="shared" si="25"/>
        <v>0</v>
      </c>
      <c r="H804" s="2640">
        <f>SUMIF('Original Budget'!$A$1:$A$691,'Trial Balance - FPer'!A804,'Original Budget'!$C$1:$C$691)</f>
        <v>-85746.28</v>
      </c>
      <c r="I804" s="2640">
        <f>VLOOKUP(A804,'2012 - TB'!$A$3:$C$733,3,FALSE)</f>
        <v>-85746.28</v>
      </c>
      <c r="J804" s="2119" t="s">
        <v>5946</v>
      </c>
      <c r="L804" s="2024" t="str">
        <f>VLOOKUP(A804,'2012 Budget'!$A$18:$B$2152,2,FALSE)</f>
        <v>NT Grant - Equi</v>
      </c>
    </row>
    <row r="805" spans="1:12" s="2024" customFormat="1" x14ac:dyDescent="0.2">
      <c r="A805" s="2116" t="s">
        <v>5486</v>
      </c>
      <c r="B805" s="2117" t="s">
        <v>4901</v>
      </c>
      <c r="C805" s="2109">
        <v>0</v>
      </c>
      <c r="D805" s="2118">
        <v>0</v>
      </c>
      <c r="E805" s="2118">
        <f>VLOOKUP(A805,'2012 - TB'!$A$3:$H$733,5,FALSE)</f>
        <v>0</v>
      </c>
      <c r="F805" s="2118">
        <f>VLOOKUP(A805,'2012 - TB'!$A$3:$H$733,6,FALSE)</f>
        <v>0</v>
      </c>
      <c r="G805" s="2118">
        <f t="shared" si="25"/>
        <v>0</v>
      </c>
      <c r="H805" s="2640">
        <f>SUMIF('Original Budget'!$A$1:$A$691,'Trial Balance - FPer'!A805,'Original Budget'!$C$1:$C$691)</f>
        <v>-1171158.47</v>
      </c>
      <c r="I805" s="2640">
        <f>VLOOKUP(A805,'2012 - TB'!$A$3:$C$733,3,FALSE)</f>
        <v>-1213531.3700000001</v>
      </c>
      <c r="J805" s="2119" t="s">
        <v>5946</v>
      </c>
      <c r="L805" s="2024" t="str">
        <f>VLOOKUP(A805,'2012 Budget'!$A$18:$B$2152,2,FALSE)</f>
        <v>NT Grant - Equi</v>
      </c>
    </row>
    <row r="806" spans="1:12" s="2024" customFormat="1" x14ac:dyDescent="0.2">
      <c r="A806" s="2116" t="s">
        <v>5514</v>
      </c>
      <c r="B806" s="2117" t="s">
        <v>4901</v>
      </c>
      <c r="C806" s="2109">
        <v>0</v>
      </c>
      <c r="D806" s="2118">
        <v>0</v>
      </c>
      <c r="E806" s="2118">
        <f>VLOOKUP(A806,'2012 - TB'!$A$3:$H$733,5,FALSE)</f>
        <v>0</v>
      </c>
      <c r="F806" s="2118">
        <f>VLOOKUP(A806,'2012 - TB'!$A$3:$H$733,6,FALSE)</f>
        <v>0</v>
      </c>
      <c r="G806" s="2118">
        <f t="shared" si="25"/>
        <v>0</v>
      </c>
      <c r="H806" s="2640">
        <f>SUMIF('Original Budget'!$A$1:$A$691,'Trial Balance - FPer'!A806,'Original Budget'!$C$1:$C$691)</f>
        <v>-479141.02</v>
      </c>
      <c r="I806" s="2640">
        <f>VLOOKUP(A806,'2012 - TB'!$A$3:$C$733,3,FALSE)</f>
        <v>-407201.11</v>
      </c>
      <c r="J806" s="2119" t="s">
        <v>5946</v>
      </c>
      <c r="L806" s="2024" t="str">
        <f>VLOOKUP(A806,'2012 Budget'!$A$18:$B$2152,2,FALSE)</f>
        <v>NT Grant - Equi</v>
      </c>
    </row>
    <row r="807" spans="1:12" s="2024" customFormat="1" x14ac:dyDescent="0.2">
      <c r="A807" s="2116" t="s">
        <v>5550</v>
      </c>
      <c r="B807" s="2117" t="s">
        <v>4901</v>
      </c>
      <c r="C807" s="2109">
        <v>0</v>
      </c>
      <c r="D807" s="2118">
        <v>0</v>
      </c>
      <c r="E807" s="2118">
        <f>VLOOKUP(A807,'2012 - TB'!$A$3:$H$733,5,FALSE)</f>
        <v>0</v>
      </c>
      <c r="F807" s="2118">
        <f>VLOOKUP(A807,'2012 - TB'!$A$3:$H$733,6,FALSE)</f>
        <v>0</v>
      </c>
      <c r="G807" s="2118">
        <f t="shared" si="25"/>
        <v>0</v>
      </c>
      <c r="H807" s="2640">
        <f>SUMIF('Original Budget'!$A$1:$A$691,'Trial Balance - FPer'!A807,'Original Budget'!$C$1:$C$691)</f>
        <v>-915745.23</v>
      </c>
      <c r="I807" s="2640">
        <f>VLOOKUP(A807,'2012 - TB'!$A$3:$C$733,3,FALSE)</f>
        <v>-1113936.5</v>
      </c>
      <c r="J807" s="2119" t="s">
        <v>5946</v>
      </c>
      <c r="L807" s="2024" t="str">
        <f>VLOOKUP(A807,'2012 Budget'!$A$18:$B$2152,2,FALSE)</f>
        <v>NT Grant - Equi</v>
      </c>
    </row>
    <row r="808" spans="1:12" s="2024" customFormat="1" x14ac:dyDescent="0.2">
      <c r="A808" s="2116" t="s">
        <v>5564</v>
      </c>
      <c r="B808" s="2117" t="s">
        <v>4901</v>
      </c>
      <c r="C808" s="2109">
        <v>0</v>
      </c>
      <c r="D808" s="2118">
        <v>0</v>
      </c>
      <c r="E808" s="2118">
        <v>0</v>
      </c>
      <c r="F808" s="2118">
        <v>0</v>
      </c>
      <c r="G808" s="2118">
        <f t="shared" si="25"/>
        <v>0</v>
      </c>
      <c r="H808" s="2640">
        <f>SUMIF('Original Budget'!$A$1:$A$691,'Trial Balance - FPer'!A808,'Original Budget'!$C$1:$C$691)</f>
        <v>-79420.070000000007</v>
      </c>
      <c r="I808" s="2640"/>
      <c r="J808" s="2119" t="s">
        <v>5946</v>
      </c>
      <c r="L808" s="2024" t="str">
        <f>VLOOKUP(A808,'2012 Budget'!$A$18:$B$2152,2,FALSE)</f>
        <v>NT Grant - Equi</v>
      </c>
    </row>
    <row r="809" spans="1:12" s="2024" customFormat="1" x14ac:dyDescent="0.2">
      <c r="A809" s="2116" t="s">
        <v>5584</v>
      </c>
      <c r="B809" s="2117" t="s">
        <v>4901</v>
      </c>
      <c r="C809" s="2109">
        <v>0</v>
      </c>
      <c r="D809" s="2118">
        <v>0</v>
      </c>
      <c r="E809" s="2118">
        <v>0</v>
      </c>
      <c r="F809" s="2118">
        <f>VLOOKUP(A809,'2012 - TB'!$A$3:$H$733,6,FALSE)</f>
        <v>0</v>
      </c>
      <c r="G809" s="2118">
        <f t="shared" si="25"/>
        <v>0</v>
      </c>
      <c r="H809" s="2640">
        <f>SUMIF('Original Budget'!$A$1:$A$691,'Trial Balance - FPer'!A809,'Original Budget'!$C$1:$C$691)</f>
        <v>-221327.92</v>
      </c>
      <c r="I809" s="2640">
        <f>VLOOKUP(A809,'2012 - TB'!$A$3:$C$733,3,FALSE)</f>
        <v>-185105.96</v>
      </c>
      <c r="J809" s="2119" t="s">
        <v>5946</v>
      </c>
      <c r="L809" s="2024" t="str">
        <f>VLOOKUP(A809,'2012 Budget'!$A$18:$B$2152,2,FALSE)</f>
        <v>NT Grant - Equi</v>
      </c>
    </row>
    <row r="810" spans="1:12" s="2024" customFormat="1" x14ac:dyDescent="0.2">
      <c r="A810" s="2116" t="s">
        <v>5641</v>
      </c>
      <c r="B810" s="2117" t="s">
        <v>4901</v>
      </c>
      <c r="C810" s="2109">
        <v>0</v>
      </c>
      <c r="D810" s="2118">
        <v>0</v>
      </c>
      <c r="E810" s="2118">
        <v>0</v>
      </c>
      <c r="F810" s="2118">
        <f>VLOOKUP(A810,'2012 - TB'!$A$3:$H$733,6,FALSE)</f>
        <v>0</v>
      </c>
      <c r="G810" s="2118">
        <f t="shared" si="25"/>
        <v>0</v>
      </c>
      <c r="H810" s="2640">
        <f>SUMIF('Original Budget'!$A$1:$A$691,'Trial Balance - FPer'!A810,'Original Budget'!$C$1:$C$691)</f>
        <v>-1509096.74</v>
      </c>
      <c r="I810" s="2640">
        <f>VLOOKUP(A810,'2012 - TB'!$A$3:$C$733,3,FALSE)</f>
        <v>-1262335.96</v>
      </c>
      <c r="J810" s="2119" t="s">
        <v>5946</v>
      </c>
      <c r="L810" s="2024" t="str">
        <f>VLOOKUP(A810,'2012 Budget'!$A$18:$B$2152,2,FALSE)</f>
        <v>NT Grant - Equi</v>
      </c>
    </row>
    <row r="811" spans="1:12" s="2024" customFormat="1" x14ac:dyDescent="0.2">
      <c r="A811" s="2116" t="s">
        <v>5642</v>
      </c>
      <c r="B811" s="2117" t="s">
        <v>4901</v>
      </c>
      <c r="C811" s="2109">
        <v>0</v>
      </c>
      <c r="D811" s="2118">
        <v>0</v>
      </c>
      <c r="E811" s="2118">
        <v>0</v>
      </c>
      <c r="F811" s="2118">
        <f>VLOOKUP(A811,'2012 - TB'!$A$3:$H$733,6,FALSE)</f>
        <v>0</v>
      </c>
      <c r="G811" s="2118">
        <f t="shared" si="25"/>
        <v>0</v>
      </c>
      <c r="H811" s="2640">
        <f>SUMIF('Original Budget'!$A$1:$A$691,'Trial Balance - FPer'!A811,'Original Budget'!$C$1:$C$691)</f>
        <v>-590584.38</v>
      </c>
      <c r="I811" s="2640">
        <f>VLOOKUP(A811,'2012 - TB'!$A$3:$C$733,3,FALSE)</f>
        <v>-474032.35</v>
      </c>
      <c r="J811" s="2119" t="s">
        <v>5946</v>
      </c>
      <c r="L811" s="2024" t="str">
        <f>VLOOKUP(A811,'2012 Budget'!$A$18:$B$2152,2,FALSE)</f>
        <v>NT Grant - Equi</v>
      </c>
    </row>
    <row r="812" spans="1:12" s="2024" customFormat="1" x14ac:dyDescent="0.2">
      <c r="A812" s="2116" t="s">
        <v>5717</v>
      </c>
      <c r="B812" s="2117" t="s">
        <v>4901</v>
      </c>
      <c r="C812" s="2109">
        <v>0</v>
      </c>
      <c r="D812" s="2118">
        <v>0</v>
      </c>
      <c r="E812" s="2118">
        <v>0</v>
      </c>
      <c r="F812" s="2118">
        <f>VLOOKUP(A812,'2012 - TB'!$A$3:$H$733,6,FALSE)</f>
        <v>0</v>
      </c>
      <c r="G812" s="2118">
        <f t="shared" si="25"/>
        <v>0</v>
      </c>
      <c r="H812" s="2640">
        <f>SUMIF('Original Budget'!$A$1:$A$691,'Trial Balance - FPer'!A812,'Original Budget'!$C$1:$C$691)</f>
        <v>-6785739.3300000001</v>
      </c>
      <c r="I812" s="2640">
        <f>VLOOKUP(A812,'2012 - TB'!$A$3:$C$733,3,FALSE)</f>
        <v>-3507626.86</v>
      </c>
      <c r="J812" s="2119" t="s">
        <v>5946</v>
      </c>
      <c r="L812" s="2024" t="str">
        <f>VLOOKUP(A812,'2012 Budget'!$A$18:$B$2152,2,FALSE)</f>
        <v>NT Grant - Equi</v>
      </c>
    </row>
    <row r="813" spans="1:12" s="2024" customFormat="1" x14ac:dyDescent="0.2">
      <c r="A813" s="2116" t="s">
        <v>5770</v>
      </c>
      <c r="B813" s="2117" t="s">
        <v>4901</v>
      </c>
      <c r="C813" s="2109">
        <v>0</v>
      </c>
      <c r="D813" s="2118">
        <v>0</v>
      </c>
      <c r="E813" s="2118">
        <v>0</v>
      </c>
      <c r="F813" s="2118">
        <f>VLOOKUP(A813,'2012 - TB'!$A$3:$H$733,6,FALSE)</f>
        <v>0</v>
      </c>
      <c r="G813" s="2118">
        <f t="shared" si="25"/>
        <v>0</v>
      </c>
      <c r="H813" s="2640">
        <f>SUMIF('Original Budget'!$A$1:$A$691,'Trial Balance - FPer'!A813,'Original Budget'!$C$1:$C$691)</f>
        <v>-3236445.3</v>
      </c>
      <c r="I813" s="2640">
        <f>VLOOKUP(A813,'2012 - TB'!$A$3:$C$733,3,FALSE)</f>
        <v>-3165581.42</v>
      </c>
      <c r="J813" s="2119" t="s">
        <v>5946</v>
      </c>
      <c r="L813" s="2024" t="str">
        <f>VLOOKUP(A813,'2012 Budget'!$A$18:$B$2152,2,FALSE)</f>
        <v>NT Grant - Equi</v>
      </c>
    </row>
    <row r="814" spans="1:12" s="2024" customFormat="1" x14ac:dyDescent="0.2">
      <c r="A814" s="2116" t="s">
        <v>5820</v>
      </c>
      <c r="B814" s="2117" t="s">
        <v>4901</v>
      </c>
      <c r="C814" s="2109">
        <v>0</v>
      </c>
      <c r="D814" s="2118">
        <v>0</v>
      </c>
      <c r="E814" s="2118">
        <v>0</v>
      </c>
      <c r="F814" s="2118">
        <f>VLOOKUP(A814,'2012 - TB'!$A$3:$H$733,6,FALSE)</f>
        <v>0</v>
      </c>
      <c r="G814" s="2118">
        <f t="shared" si="25"/>
        <v>0</v>
      </c>
      <c r="H814" s="2640">
        <f>SUMIF('Original Budget'!$A$1:$A$691,'Trial Balance - FPer'!A814,'Original Budget'!$C$1:$C$691)</f>
        <v>-2545770.7400000002</v>
      </c>
      <c r="I814" s="2640">
        <f>VLOOKUP(A814,'2012 - TB'!$A$3:$C$733,3,FALSE)</f>
        <v>-2402403.79</v>
      </c>
      <c r="J814" s="2119" t="s">
        <v>5946</v>
      </c>
      <c r="L814" s="2024" t="str">
        <f>VLOOKUP(A814,'2012 Budget'!$A$18:$B$2152,2,FALSE)</f>
        <v>NT Grant - Equi</v>
      </c>
    </row>
    <row r="815" spans="1:12" s="2024" customFormat="1" ht="13.5" thickBot="1" x14ac:dyDescent="0.25">
      <c r="A815" s="2116" t="s">
        <v>5926</v>
      </c>
      <c r="B815" s="2117" t="s">
        <v>4901</v>
      </c>
      <c r="C815" s="2109">
        <v>0</v>
      </c>
      <c r="D815" s="2118">
        <v>0</v>
      </c>
      <c r="E815" s="2118">
        <v>0</v>
      </c>
      <c r="F815" s="2118">
        <f>VLOOKUP(A815,'2012 - TB'!$A$3:$H$733,6,FALSE)</f>
        <v>0</v>
      </c>
      <c r="G815" s="2118">
        <f t="shared" si="25"/>
        <v>0</v>
      </c>
      <c r="H815" s="2640">
        <f>SUMIF('Original Budget'!$A$1:$A$691,'Trial Balance - FPer'!A815,'Original Budget'!$C$1:$C$691)</f>
        <v>0</v>
      </c>
      <c r="I815" s="2640">
        <f>VLOOKUP(A815,'2012 - TB'!$A$3:$C$733,3,FALSE)</f>
        <v>-2757295.32</v>
      </c>
      <c r="J815" s="2119" t="s">
        <v>5946</v>
      </c>
      <c r="L815" s="2024" t="str">
        <f>VLOOKUP(A815,'2012 Budget'!$A$18:$B$2152,2,FALSE)</f>
        <v>NT Grant - Equi</v>
      </c>
    </row>
    <row r="816" spans="1:12" s="2024" customFormat="1" ht="13.5" thickBot="1" x14ac:dyDescent="0.25">
      <c r="A816" s="2125" t="s">
        <v>5927</v>
      </c>
      <c r="B816" s="2126" t="s">
        <v>5928</v>
      </c>
      <c r="C816" s="2127">
        <v>0</v>
      </c>
      <c r="D816" s="2128">
        <v>0</v>
      </c>
      <c r="E816" s="2128">
        <v>0</v>
      </c>
      <c r="F816" s="2128">
        <f>VLOOKUP(A816,'2012 - TB'!$A$3:$H$733,6,FALSE)</f>
        <v>-585951</v>
      </c>
      <c r="G816" s="2128">
        <f t="shared" si="25"/>
        <v>-585951</v>
      </c>
      <c r="H816" s="2640">
        <f>SUMIF('Original Budget'!$A$1:$A$691,'Trial Balance - FPer'!A816,'Original Budget'!$C$1:$C$691)</f>
        <v>-627000</v>
      </c>
      <c r="I816" s="2640">
        <f>VLOOKUP(A816,'2012 - TB'!$A$3:$C$733,3,FALSE)</f>
        <v>-627000</v>
      </c>
      <c r="J816" s="2129" t="s">
        <v>5946</v>
      </c>
      <c r="L816" s="2024" t="str">
        <f>VLOOKUP(A816,'2012 Budget'!$A$18:$B$2152,2,FALSE)</f>
        <v>NT Grant - INEP</v>
      </c>
    </row>
    <row r="817" spans="1:12" s="2024" customFormat="1" ht="13.5" thickBot="1" x14ac:dyDescent="0.25">
      <c r="A817" s="2116" t="s">
        <v>5085</v>
      </c>
      <c r="B817" s="1133" t="s">
        <v>6464</v>
      </c>
      <c r="C817" s="2109">
        <f>VLOOKUP(A817,'2011 - TB'!$A$3:$B$971,2,FALSE)</f>
        <v>-1250000</v>
      </c>
      <c r="D817" s="2118">
        <v>0</v>
      </c>
      <c r="E817" s="2118">
        <v>0</v>
      </c>
      <c r="F817" s="2118">
        <f>VLOOKUP(A817,'2012 - TB'!$A$3:$H$733,6,FALSE)</f>
        <v>-1500000</v>
      </c>
      <c r="G817" s="2118">
        <f t="shared" ref="G817:G836" si="26">E817+F817</f>
        <v>-1500000</v>
      </c>
      <c r="H817" s="2640">
        <f>SUMIF('Original Budget'!$A$1:$A$691,'Trial Balance - FPer'!A817,'Original Budget'!$C$1:$C$691)</f>
        <v>-1500000</v>
      </c>
      <c r="I817" s="2640">
        <f>VLOOKUP(A817,'2012 - TB'!$A$3:$C$733,3,FALSE)</f>
        <v>-1500000</v>
      </c>
      <c r="J817" s="2119" t="s">
        <v>5946</v>
      </c>
      <c r="L817" s="2024" t="str">
        <f>VLOOKUP(A817,'2012 Budget'!$A$18:$B$2152,2,FALSE)</f>
        <v>NT Grant - MFMA</v>
      </c>
    </row>
    <row r="818" spans="1:12" s="2024" customFormat="1" x14ac:dyDescent="0.2">
      <c r="A818" s="2111" t="s">
        <v>5886</v>
      </c>
      <c r="B818" s="2136" t="s">
        <v>6463</v>
      </c>
      <c r="C818" s="2113">
        <f>VLOOKUP(A818,'2011 - TB'!$A$3:$B$971,2,FALSE)</f>
        <v>-13113878.1</v>
      </c>
      <c r="D818" s="2114">
        <v>0</v>
      </c>
      <c r="E818" s="2114">
        <v>0</v>
      </c>
      <c r="F818" s="2114">
        <f>VLOOKUP(A818,'2012 - TB'!$A$3:$H$733,6,FALSE)</f>
        <v>-15979892.42</v>
      </c>
      <c r="G818" s="2114">
        <f t="shared" si="26"/>
        <v>-15979892.42</v>
      </c>
      <c r="H818" s="2640">
        <f>SUMIF('Original Budget'!$A$1:$A$691,'Trial Balance - FPer'!A818,'Original Budget'!$C$1:$C$691)</f>
        <v>-3831786.03</v>
      </c>
      <c r="I818" s="2640">
        <f>VLOOKUP(A818,'2012 - TB'!$A$3:$C$733,3,FALSE)</f>
        <v>-6268358.6600000001</v>
      </c>
      <c r="J818" s="2115" t="s">
        <v>5946</v>
      </c>
      <c r="L818" s="2024" t="str">
        <f>VLOOKUP(A818,'2012 Budget'!$A$18:$B$2152,2,FALSE)</f>
        <v>NT Grant - Equi</v>
      </c>
    </row>
    <row r="819" spans="1:12" s="2024" customFormat="1" x14ac:dyDescent="0.2">
      <c r="A819" s="2116" t="s">
        <v>5312</v>
      </c>
      <c r="B819" s="2117" t="s">
        <v>5313</v>
      </c>
      <c r="C819" s="2109">
        <v>0</v>
      </c>
      <c r="D819" s="2118">
        <v>0</v>
      </c>
      <c r="E819" s="2118">
        <v>0</v>
      </c>
      <c r="F819" s="2118">
        <v>0</v>
      </c>
      <c r="G819" s="2118">
        <f t="shared" si="26"/>
        <v>0</v>
      </c>
      <c r="H819" s="2640">
        <f>SUMIF('Original Budget'!$A$1:$A$691,'Trial Balance - FPer'!A819,'Original Budget'!$C$1:$C$691)</f>
        <v>0</v>
      </c>
      <c r="I819" s="2640"/>
      <c r="J819" s="2119" t="s">
        <v>5946</v>
      </c>
      <c r="L819" s="2024" t="str">
        <f>VLOOKUP(A819,'2012 Budget'!$A$18:$B$2152,2,FALSE)</f>
        <v>NT Grant - MIG;</v>
      </c>
    </row>
    <row r="820" spans="1:12" s="2024" customFormat="1" x14ac:dyDescent="0.2">
      <c r="A820" s="2116" t="s">
        <v>5314</v>
      </c>
      <c r="B820" s="2117" t="s">
        <v>5313</v>
      </c>
      <c r="C820" s="2109">
        <v>0</v>
      </c>
      <c r="D820" s="2118">
        <v>0</v>
      </c>
      <c r="E820" s="2118">
        <v>0</v>
      </c>
      <c r="F820" s="2118">
        <v>0</v>
      </c>
      <c r="G820" s="2118">
        <f t="shared" si="26"/>
        <v>0</v>
      </c>
      <c r="H820" s="2640">
        <f>SUMIF('Original Budget'!$A$1:$A$691,'Trial Balance - FPer'!A820,'Original Budget'!$C$1:$C$691)</f>
        <v>0</v>
      </c>
      <c r="I820" s="2640"/>
      <c r="J820" s="2119" t="s">
        <v>5946</v>
      </c>
      <c r="L820" s="2024" t="str">
        <f>VLOOKUP(A820,'2012 Budget'!$A$18:$B$2152,2,FALSE)</f>
        <v>Prov Gov - DWAF</v>
      </c>
    </row>
    <row r="821" spans="1:12" s="2024" customFormat="1" x14ac:dyDescent="0.2">
      <c r="A821" s="2116" t="s">
        <v>5359</v>
      </c>
      <c r="B821" s="2117" t="s">
        <v>5313</v>
      </c>
      <c r="C821" s="2109">
        <v>0</v>
      </c>
      <c r="D821" s="2118">
        <v>0</v>
      </c>
      <c r="E821" s="2118">
        <v>0</v>
      </c>
      <c r="F821" s="2118">
        <v>0</v>
      </c>
      <c r="G821" s="2118">
        <f t="shared" si="26"/>
        <v>0</v>
      </c>
      <c r="H821" s="2640">
        <f>SUMIF('Original Budget'!$A$1:$A$691,'Trial Balance - FPer'!A821,'Original Budget'!$C$1:$C$691)</f>
        <v>0</v>
      </c>
      <c r="I821" s="2640"/>
      <c r="J821" s="2119" t="s">
        <v>5946</v>
      </c>
      <c r="L821" s="2024" t="str">
        <f>VLOOKUP(A821,'2012 Budget'!$A$18:$B$2152,2,FALSE)</f>
        <v>Prov Gov - Spat</v>
      </c>
    </row>
    <row r="822" spans="1:12" s="2024" customFormat="1" x14ac:dyDescent="0.2">
      <c r="A822" s="2116" t="s">
        <v>5718</v>
      </c>
      <c r="B822" s="2117" t="s">
        <v>5313</v>
      </c>
      <c r="C822" s="2109">
        <v>0</v>
      </c>
      <c r="D822" s="2118">
        <v>0</v>
      </c>
      <c r="E822" s="2118">
        <v>0</v>
      </c>
      <c r="F822" s="2118">
        <f>VLOOKUP(A822,'2012 - TB'!$A$3:$H$733,6,FALSE)</f>
        <v>0</v>
      </c>
      <c r="G822" s="2118">
        <f t="shared" si="26"/>
        <v>0</v>
      </c>
      <c r="H822" s="2640">
        <f>SUMIF('Original Budget'!$A$1:$A$691,'Trial Balance - FPer'!A822,'Original Budget'!$C$1:$C$691)</f>
        <v>-971006.85</v>
      </c>
      <c r="I822" s="2640">
        <f>VLOOKUP(A822,'2012 - TB'!$A$3:$C$733,3,FALSE)</f>
        <v>-3798397.58</v>
      </c>
      <c r="J822" s="2119" t="s">
        <v>5946</v>
      </c>
      <c r="L822" s="2024" t="str">
        <f>VLOOKUP(A822,'2012 Budget'!$A$18:$B$2152,2,FALSE)</f>
        <v>NT Grant - MIG;</v>
      </c>
    </row>
    <row r="823" spans="1:12" s="2024" customFormat="1" x14ac:dyDescent="0.2">
      <c r="A823" s="2116" t="s">
        <v>5821</v>
      </c>
      <c r="B823" s="2117" t="s">
        <v>5313</v>
      </c>
      <c r="C823" s="2109">
        <v>0</v>
      </c>
      <c r="D823" s="2118">
        <v>0</v>
      </c>
      <c r="E823" s="2118">
        <v>0</v>
      </c>
      <c r="F823" s="2118">
        <f>VLOOKUP(A823,'2012 - TB'!$A$3:$H$733,6,FALSE)</f>
        <v>0</v>
      </c>
      <c r="G823" s="2118">
        <f t="shared" si="26"/>
        <v>0</v>
      </c>
      <c r="H823" s="2640">
        <f>SUMIF('Original Budget'!$A$1:$A$691,'Trial Balance - FPer'!A823,'Original Budget'!$C$1:$C$691)</f>
        <v>-4239709.75</v>
      </c>
      <c r="I823" s="2640">
        <f>VLOOKUP(A823,'2012 - TB'!$A$3:$C$733,3,FALSE)</f>
        <v>-8106389.4299999997</v>
      </c>
      <c r="J823" s="2119" t="s">
        <v>5946</v>
      </c>
      <c r="L823" s="2024" t="str">
        <f>VLOOKUP(A823,'2012 Budget'!$A$18:$B$2152,2,FALSE)</f>
        <v>NT Grant - MIG;</v>
      </c>
    </row>
    <row r="824" spans="1:12" s="2024" customFormat="1" ht="13.5" thickBot="1" x14ac:dyDescent="0.25">
      <c r="A824" s="2120" t="s">
        <v>5887</v>
      </c>
      <c r="B824" s="2121" t="s">
        <v>5313</v>
      </c>
      <c r="C824" s="2122">
        <v>0</v>
      </c>
      <c r="D824" s="2123">
        <v>0</v>
      </c>
      <c r="E824" s="2123">
        <v>0</v>
      </c>
      <c r="F824" s="2123">
        <f>VLOOKUP(A824,'2012 - TB'!$A$3:$H$733,6,FALSE)</f>
        <v>0</v>
      </c>
      <c r="G824" s="2123">
        <f t="shared" si="26"/>
        <v>0</v>
      </c>
      <c r="H824" s="2640">
        <f>SUMIF('Original Budget'!$A$1:$A$691,'Trial Balance - FPer'!A824,'Original Budget'!$C$1:$C$691)</f>
        <v>-9543730.4000000004</v>
      </c>
      <c r="I824" s="2640">
        <f>VLOOKUP(A824,'2012 - TB'!$A$3:$C$733,3,FALSE)</f>
        <v>-3627212.99</v>
      </c>
      <c r="J824" s="2124" t="s">
        <v>5946</v>
      </c>
      <c r="L824" s="2024" t="str">
        <f>VLOOKUP(A824,'2012 Budget'!$A$18:$B$2152,2,FALSE)</f>
        <v>NT Grant - MIG;</v>
      </c>
    </row>
    <row r="825" spans="1:12" s="2024" customFormat="1" ht="13.5" thickBot="1" x14ac:dyDescent="0.25">
      <c r="A825" s="1283" t="s">
        <v>6400</v>
      </c>
      <c r="B825" s="1133" t="s">
        <v>6401</v>
      </c>
      <c r="C825" s="2109">
        <v>-10020209.82</v>
      </c>
      <c r="D825" s="2118">
        <v>0</v>
      </c>
      <c r="E825" s="2118">
        <v>0</v>
      </c>
      <c r="F825" s="2118">
        <v>0</v>
      </c>
      <c r="G825" s="2118">
        <f t="shared" si="26"/>
        <v>0</v>
      </c>
      <c r="H825" s="2640">
        <f>SUMIF('Original Budget'!$A$1:$A$691,'Trial Balance - FPer'!A825,'Original Budget'!$C$1:$C$691)</f>
        <v>0</v>
      </c>
      <c r="I825" s="2640"/>
      <c r="J825" s="2119" t="s">
        <v>5946</v>
      </c>
      <c r="L825" s="2024" t="str">
        <f>VLOOKUP(A825,'2012 Budget'!$A$18:$B$2152,2,FALSE)</f>
        <v>Provincial Government - COGTA</v>
      </c>
    </row>
    <row r="826" spans="1:12" s="2024" customFormat="1" x14ac:dyDescent="0.2">
      <c r="A826" s="2111" t="s">
        <v>4933</v>
      </c>
      <c r="B826" s="2112" t="s">
        <v>4934</v>
      </c>
      <c r="C826" s="2113">
        <v>0</v>
      </c>
      <c r="D826" s="2114">
        <v>0</v>
      </c>
      <c r="E826" s="2114">
        <v>0</v>
      </c>
      <c r="F826" s="2114">
        <v>0</v>
      </c>
      <c r="G826" s="2114">
        <f t="shared" si="26"/>
        <v>0</v>
      </c>
      <c r="H826" s="2640">
        <f>SUMIF('Original Budget'!$A$1:$A$691,'Trial Balance - FPer'!A826,'Original Budget'!$C$1:$C$691)</f>
        <v>-939177.49</v>
      </c>
      <c r="I826" s="2640"/>
      <c r="J826" s="2115" t="s">
        <v>5946</v>
      </c>
      <c r="L826" s="2024" t="str">
        <f>VLOOKUP(A826,'2012 Budget'!$A$18:$B$2152,2,FALSE)</f>
        <v>Prov Gov - Man</v>
      </c>
    </row>
    <row r="827" spans="1:12" s="2024" customFormat="1" x14ac:dyDescent="0.2">
      <c r="A827" s="2116" t="s">
        <v>5086</v>
      </c>
      <c r="B827" s="2117" t="s">
        <v>4934</v>
      </c>
      <c r="C827" s="2109">
        <f>VLOOKUP(A827,'2011 - TB'!$A$3:$B$971,2,FALSE)</f>
        <v>0</v>
      </c>
      <c r="D827" s="2118">
        <v>0</v>
      </c>
      <c r="E827" s="2118">
        <v>0</v>
      </c>
      <c r="F827" s="2118">
        <v>0</v>
      </c>
      <c r="G827" s="2118">
        <f t="shared" si="26"/>
        <v>0</v>
      </c>
      <c r="H827" s="2640">
        <f>SUMIF('Original Budget'!$A$1:$A$691,'Trial Balance - FPer'!A827,'Original Budget'!$C$1:$C$691)</f>
        <v>-562035.11</v>
      </c>
      <c r="I827" s="2640"/>
      <c r="J827" s="2119" t="s">
        <v>5946</v>
      </c>
      <c r="L827" s="2024" t="str">
        <f>VLOOKUP(A827,'2012 Budget'!$A$18:$B$2152,2,FALSE)</f>
        <v>Prov Gov - Man</v>
      </c>
    </row>
    <row r="828" spans="1:12" s="2024" customFormat="1" x14ac:dyDescent="0.2">
      <c r="A828" s="1283" t="s">
        <v>5309</v>
      </c>
      <c r="B828" s="1133" t="s">
        <v>4934</v>
      </c>
      <c r="C828" s="2109">
        <f>VLOOKUP(A828,'2011 - TB'!$A$3:$B$971,2,FALSE)</f>
        <v>-750000</v>
      </c>
      <c r="D828" s="2118">
        <v>0</v>
      </c>
      <c r="E828" s="2118">
        <v>0</v>
      </c>
      <c r="F828" s="2118">
        <f>VLOOKUP(A828,'2012 - TB'!$A$3:$H$733,6,FALSE)</f>
        <v>-790000</v>
      </c>
      <c r="G828" s="2118">
        <f t="shared" si="26"/>
        <v>-790000</v>
      </c>
      <c r="H828" s="2640">
        <f>SUMIF('Original Budget'!$A$1:$A$691,'Trial Balance - FPer'!A828,'Original Budget'!$C$1:$C$691)</f>
        <v>-790000</v>
      </c>
      <c r="I828" s="2640">
        <f>VLOOKUP(A828,'2012 - TB'!$A$3:$C$733,3,FALSE)</f>
        <v>-790000</v>
      </c>
      <c r="J828" s="2119" t="s">
        <v>5946</v>
      </c>
      <c r="L828" s="2024" t="str">
        <f>VLOOKUP(A828,'2012 Budget'!$A$18:$B$2152,2,FALSE)</f>
        <v>NT Grant - MSIG</v>
      </c>
    </row>
    <row r="829" spans="1:12" s="2024" customFormat="1" x14ac:dyDescent="0.2">
      <c r="A829" s="2116" t="s">
        <v>5310</v>
      </c>
      <c r="B829" s="2117" t="s">
        <v>4934</v>
      </c>
      <c r="C829" s="2109">
        <f>VLOOKUP(A829,'2011 - TB'!$A$3:$B$971,2,FALSE)</f>
        <v>0</v>
      </c>
      <c r="D829" s="2118">
        <v>0</v>
      </c>
      <c r="E829" s="2118">
        <v>0</v>
      </c>
      <c r="F829" s="2118">
        <v>0</v>
      </c>
      <c r="G829" s="2118">
        <f t="shared" si="26"/>
        <v>0</v>
      </c>
      <c r="H829" s="2640">
        <f>SUMIF('Original Budget'!$A$1:$A$691,'Trial Balance - FPer'!A829,'Original Budget'!$C$1:$C$691)</f>
        <v>-272231.26</v>
      </c>
      <c r="I829" s="2640"/>
      <c r="J829" s="2119" t="s">
        <v>5946</v>
      </c>
      <c r="L829" s="2024" t="str">
        <f>VLOOKUP(A829,'2012 Budget'!$A$18:$B$2152,2,FALSE)</f>
        <v>Prov Gov - Man</v>
      </c>
    </row>
    <row r="830" spans="1:12" s="2024" customFormat="1" x14ac:dyDescent="0.2">
      <c r="A830" s="2116" t="s">
        <v>5311</v>
      </c>
      <c r="B830" s="2117" t="s">
        <v>4934</v>
      </c>
      <c r="C830" s="2109">
        <f>VLOOKUP(A830,'2011 - TB'!$A$3:$B$971,2,FALSE)</f>
        <v>0</v>
      </c>
      <c r="D830" s="2118">
        <v>0</v>
      </c>
      <c r="E830" s="2118">
        <v>0</v>
      </c>
      <c r="F830" s="2118">
        <v>0</v>
      </c>
      <c r="G830" s="2118">
        <f t="shared" si="26"/>
        <v>0</v>
      </c>
      <c r="H830" s="2640">
        <f>SUMIF('Original Budget'!$A$1:$A$691,'Trial Balance - FPer'!A830,'Original Budget'!$C$1:$C$691)</f>
        <v>-356194.07</v>
      </c>
      <c r="I830" s="2640"/>
      <c r="J830" s="2119" t="s">
        <v>5946</v>
      </c>
      <c r="L830" s="2024" t="str">
        <f>VLOOKUP(A830,'2012 Budget'!$A$18:$B$2152,2,FALSE)</f>
        <v>Prov Gov - Man</v>
      </c>
    </row>
    <row r="831" spans="1:12" s="2024" customFormat="1" x14ac:dyDescent="0.2">
      <c r="A831" s="2116" t="s">
        <v>5487</v>
      </c>
      <c r="B831" s="2117" t="s">
        <v>4934</v>
      </c>
      <c r="C831" s="2109">
        <f>VLOOKUP(A831,'2011 - TB'!$A$3:$B$971,2,FALSE)</f>
        <v>0</v>
      </c>
      <c r="D831" s="2118">
        <v>0</v>
      </c>
      <c r="E831" s="2118">
        <v>0</v>
      </c>
      <c r="F831" s="2118">
        <v>0</v>
      </c>
      <c r="G831" s="2118">
        <f t="shared" si="26"/>
        <v>0</v>
      </c>
      <c r="H831" s="2640">
        <f>SUMIF('Original Budget'!$A$1:$A$691,'Trial Balance - FPer'!A831,'Original Budget'!$C$1:$C$691)</f>
        <v>-265710.98</v>
      </c>
      <c r="I831" s="2640"/>
      <c r="J831" s="2119" t="s">
        <v>5946</v>
      </c>
      <c r="L831" s="2024" t="str">
        <f>VLOOKUP(A831,'2012 Budget'!$A$18:$B$2152,2,FALSE)</f>
        <v>Prov Gov - Man</v>
      </c>
    </row>
    <row r="832" spans="1:12" s="2024" customFormat="1" ht="13.5" thickBot="1" x14ac:dyDescent="0.25">
      <c r="A832" s="2120" t="s">
        <v>4902</v>
      </c>
      <c r="B832" s="2121" t="s">
        <v>4903</v>
      </c>
      <c r="C832" s="2122">
        <f>VLOOKUP(A832,'2011 - TB'!$A$3:$B$971,2,FALSE)</f>
        <v>0</v>
      </c>
      <c r="D832" s="2123">
        <v>0</v>
      </c>
      <c r="E832" s="2123">
        <v>0</v>
      </c>
      <c r="F832" s="2123">
        <f>VLOOKUP(A832,'2012 - TB'!$A$3:$H$733,6,FALSE)</f>
        <v>0</v>
      </c>
      <c r="G832" s="2123">
        <f t="shared" si="26"/>
        <v>0</v>
      </c>
      <c r="H832" s="2640">
        <f>SUMIF('Original Budget'!$A$1:$A$691,'Trial Balance - FPer'!A832,'Original Budget'!$C$1:$C$691)</f>
        <v>-774000</v>
      </c>
      <c r="I832" s="2640">
        <f>VLOOKUP(A832,'2012 - TB'!$A$3:$C$733,3,FALSE)</f>
        <v>-2601388.5499999998</v>
      </c>
      <c r="J832" s="2124" t="s">
        <v>5946</v>
      </c>
      <c r="L832" s="2024" t="str">
        <f>VLOOKUP(A832,'2012 Budget'!$A$18:$B$2152,2,FALSE)</f>
        <v>Equitqble share - Remuneration of Councillors</v>
      </c>
    </row>
    <row r="833" spans="1:12" s="2024" customFormat="1" x14ac:dyDescent="0.2">
      <c r="A833" s="2623" t="s">
        <v>5719</v>
      </c>
      <c r="B833" s="2624" t="s">
        <v>5720</v>
      </c>
      <c r="C833" s="2109">
        <v>0</v>
      </c>
      <c r="D833" s="2118">
        <v>0</v>
      </c>
      <c r="E833" s="2118">
        <v>0</v>
      </c>
      <c r="F833" s="2118">
        <f>VLOOKUP(A833,'2012 - TB'!$A$3:$H$733,6,FALSE)</f>
        <v>-8094000</v>
      </c>
      <c r="G833" s="2118">
        <f t="shared" si="26"/>
        <v>-8094000</v>
      </c>
      <c r="H833" s="2640">
        <f>SUMIF('Original Budget'!$A$1:$A$691,'Trial Balance - FPer'!A833,'Original Budget'!$C$1:$C$691)</f>
        <v>0</v>
      </c>
      <c r="I833" s="2640">
        <f>VLOOKUP(A833,'2012 - TB'!$A$3:$C$733,3,FALSE)</f>
        <v>-8094000</v>
      </c>
      <c r="J833" s="2119" t="s">
        <v>5946</v>
      </c>
      <c r="L833" s="2024" t="e">
        <f>VLOOKUP(A833,'2012 Budget'!$A$18:$B$2152,2,FALSE)</f>
        <v>#N/A</v>
      </c>
    </row>
    <row r="834" spans="1:12" s="2024" customFormat="1" ht="13.5" thickBot="1" x14ac:dyDescent="0.25">
      <c r="A834" s="2623" t="s">
        <v>5684</v>
      </c>
      <c r="B834" s="2624" t="s">
        <v>5685</v>
      </c>
      <c r="C834" s="2109">
        <v>0</v>
      </c>
      <c r="D834" s="2118">
        <v>0</v>
      </c>
      <c r="E834" s="2118">
        <v>0</v>
      </c>
      <c r="F834" s="2118">
        <f>VLOOKUP(A834,'2012 - TB'!$A$3:$H$733,6,FALSE)</f>
        <v>0</v>
      </c>
      <c r="G834" s="2118">
        <f t="shared" si="26"/>
        <v>0</v>
      </c>
      <c r="H834" s="2640">
        <f>SUMIF('Original Budget'!$A$1:$A$691,'Trial Balance - FPer'!A834,'Original Budget'!$C$1:$C$691)</f>
        <v>0</v>
      </c>
      <c r="I834" s="2640">
        <v>0</v>
      </c>
      <c r="J834" s="2119" t="s">
        <v>5946</v>
      </c>
      <c r="L834" s="2024" t="e">
        <f>VLOOKUP(A834,'2012 Budget'!$A$18:$B$2152,2,FALSE)</f>
        <v>#N/A</v>
      </c>
    </row>
    <row r="835" spans="1:12" s="2024" customFormat="1" x14ac:dyDescent="0.2">
      <c r="A835" s="2743" t="s">
        <v>5824</v>
      </c>
      <c r="B835" s="2622" t="s">
        <v>5825</v>
      </c>
      <c r="C835" s="2113">
        <v>0</v>
      </c>
      <c r="D835" s="2114">
        <v>0</v>
      </c>
      <c r="E835" s="2114">
        <v>0</v>
      </c>
      <c r="F835" s="2114">
        <f>VLOOKUP(A835,'2012 - TB'!$A$3:$H$733,6,FALSE)</f>
        <v>-2775200</v>
      </c>
      <c r="G835" s="2114">
        <f t="shared" si="26"/>
        <v>-2775200</v>
      </c>
      <c r="H835" s="2640">
        <f>SUMIF('Original Budget'!$A$1:$A$691,'Trial Balance - FPer'!A835,'Original Budget'!$C$1:$C$691)</f>
        <v>0</v>
      </c>
      <c r="I835" s="2640">
        <f>VLOOKUP(A835,'2012 - TB'!$A$3:$C$733,3,FALSE)</f>
        <v>-4200000</v>
      </c>
      <c r="J835" s="2115" t="s">
        <v>5946</v>
      </c>
      <c r="L835" s="2024" t="e">
        <f>VLOOKUP(A835,'2012 Budget'!$A$18:$B$2152,2,FALSE)</f>
        <v>#N/A</v>
      </c>
    </row>
    <row r="836" spans="1:12" s="2024" customFormat="1" ht="13.5" thickBot="1" x14ac:dyDescent="0.25">
      <c r="A836" s="2629" t="s">
        <v>5791</v>
      </c>
      <c r="B836" s="2630" t="s">
        <v>5792</v>
      </c>
      <c r="C836" s="2122">
        <v>0</v>
      </c>
      <c r="D836" s="2123">
        <v>0</v>
      </c>
      <c r="E836" s="2123">
        <v>0</v>
      </c>
      <c r="F836" s="2123">
        <f>VLOOKUP(A836,'2012 - TB'!$A$3:$H$733,6,FALSE)</f>
        <v>0</v>
      </c>
      <c r="G836" s="2123">
        <f t="shared" si="26"/>
        <v>0</v>
      </c>
      <c r="H836" s="2640">
        <f>SUMIF('Original Budget'!$A$1:$A$691,'Trial Balance - FPer'!A836,'Original Budget'!$C$1:$C$691)</f>
        <v>0</v>
      </c>
      <c r="I836" s="2640">
        <f>VLOOKUP(A836,'2012 - TB'!$A$3:$C$733,3,FALSE)</f>
        <v>4200000</v>
      </c>
      <c r="J836" s="2124" t="s">
        <v>5946</v>
      </c>
      <c r="L836" s="2024" t="e">
        <f>VLOOKUP(A836,'2012 Budget'!$A$18:$B$2152,2,FALSE)</f>
        <v>#N/A</v>
      </c>
    </row>
    <row r="837" spans="1:12" s="2024" customFormat="1" ht="13.5" thickBot="1" x14ac:dyDescent="0.25">
      <c r="A837" s="2025"/>
      <c r="C837" s="2130">
        <f t="shared" ref="C837:I837" si="27">SUM(C786:C836)</f>
        <v>-68189763.870000005</v>
      </c>
      <c r="D837" s="2130">
        <f t="shared" si="27"/>
        <v>0</v>
      </c>
      <c r="E837" s="2130">
        <f t="shared" si="27"/>
        <v>706992.27</v>
      </c>
      <c r="F837" s="2130">
        <f t="shared" si="27"/>
        <v>-76064035.689999998</v>
      </c>
      <c r="G837" s="2130">
        <f t="shared" si="27"/>
        <v>-75357043.420000002</v>
      </c>
      <c r="H837" s="2641">
        <f t="shared" si="27"/>
        <v>-63839447.019999996</v>
      </c>
      <c r="I837" s="2641">
        <f t="shared" si="27"/>
        <v>-72711000</v>
      </c>
      <c r="J837" s="2026"/>
      <c r="L837" s="2024" t="e">
        <f>VLOOKUP(A837,'2012 Budget'!$A$18:$B$2152,2,FALSE)</f>
        <v>#N/A</v>
      </c>
    </row>
    <row r="838" spans="1:12" s="2024" customFormat="1" ht="7.5" customHeight="1" thickTop="1" x14ac:dyDescent="0.2">
      <c r="C838" s="2042"/>
      <c r="D838" s="2025"/>
      <c r="E838" s="2025"/>
      <c r="F838" s="2025"/>
      <c r="G838" s="2025"/>
      <c r="H838" s="2118">
        <f>SUMIF('Original Budget'!$A$1:$A$691,'Trial Balance - FPer'!A838,'Original Budget'!$C$1:$C$691)</f>
        <v>0</v>
      </c>
      <c r="I838" s="2118"/>
      <c r="J838" s="2026"/>
      <c r="L838" s="2024" t="e">
        <f>VLOOKUP(A838,'2012 Budget'!$A$18:$B$2152,2,FALSE)</f>
        <v>#N/A</v>
      </c>
    </row>
    <row r="839" spans="1:12" s="2024" customFormat="1" x14ac:dyDescent="0.2">
      <c r="B839" s="1208" t="s">
        <v>1212</v>
      </c>
      <c r="C839" s="2110">
        <f>'Fin Perform'!K15</f>
        <v>68189763.920000002</v>
      </c>
      <c r="D839" s="2109"/>
      <c r="E839" s="2109"/>
      <c r="F839" s="2109"/>
      <c r="G839" s="2646">
        <f>'Fin Perform'!I15</f>
        <v>75357043.420000002</v>
      </c>
      <c r="H839" s="2118">
        <f>SUMIF('Original Budget'!$A$1:$A$691,'Trial Balance - FPer'!A839,'Original Budget'!$C$1:$C$691)</f>
        <v>0</v>
      </c>
      <c r="I839" s="2118"/>
      <c r="J839" s="2026"/>
      <c r="L839" s="2024" t="e">
        <f>VLOOKUP(A839,'2012 Budget'!$A$18:$B$2152,2,FALSE)</f>
        <v>#N/A</v>
      </c>
    </row>
    <row r="840" spans="1:12" s="2024" customFormat="1" ht="7.5" customHeight="1" x14ac:dyDescent="0.2">
      <c r="C840" s="2109"/>
      <c r="D840" s="2109"/>
      <c r="E840" s="2109"/>
      <c r="F840" s="2109"/>
      <c r="G840" s="2109"/>
      <c r="H840" s="2118">
        <f>SUMIF('Original Budget'!$A$1:$A$691,'Trial Balance - FPer'!A840,'Original Budget'!$C$1:$C$691)</f>
        <v>0</v>
      </c>
      <c r="I840" s="2118"/>
      <c r="J840" s="2026"/>
      <c r="L840" s="2024" t="e">
        <f>VLOOKUP(A840,'2012 Budget'!$A$18:$B$2152,2,FALSE)</f>
        <v>#N/A</v>
      </c>
    </row>
    <row r="841" spans="1:12" s="2024" customFormat="1" ht="13.5" thickBot="1" x14ac:dyDescent="0.25">
      <c r="B841" s="1208" t="s">
        <v>6423</v>
      </c>
      <c r="C841" s="2103">
        <f>C837+C839</f>
        <v>4.9999997019767761E-2</v>
      </c>
      <c r="D841" s="2109"/>
      <c r="E841" s="2109"/>
      <c r="F841" s="2109"/>
      <c r="G841" s="2103">
        <f>G837+G839</f>
        <v>0</v>
      </c>
      <c r="H841" s="2118">
        <f>SUMIF('Original Budget'!$A$1:$A$691,'Trial Balance - FPer'!A841,'Original Budget'!$C$1:$C$691)</f>
        <v>0</v>
      </c>
      <c r="I841" s="2118"/>
      <c r="J841" s="2026"/>
      <c r="L841" s="2024" t="e">
        <f>VLOOKUP(A841,'2012 Budget'!$A$18:$B$2152,2,FALSE)</f>
        <v>#N/A</v>
      </c>
    </row>
    <row r="842" spans="1:12" s="2024" customFormat="1" ht="14.25" thickTop="1" thickBot="1" x14ac:dyDescent="0.25">
      <c r="C842" s="2042"/>
      <c r="D842" s="2025"/>
      <c r="E842" s="2025"/>
      <c r="F842" s="2025"/>
      <c r="G842" s="2025"/>
      <c r="H842" s="2118">
        <f>SUMIF('Original Budget'!$A$1:$A$691,'Trial Balance - FPer'!A842,'Original Budget'!$C$1:$C$691)</f>
        <v>0</v>
      </c>
      <c r="I842" s="2118"/>
      <c r="J842" s="2026"/>
      <c r="L842" s="2024" t="e">
        <f>VLOOKUP(A842,'2012 Budget'!$A$18:$B$2152,2,FALSE)</f>
        <v>#N/A</v>
      </c>
    </row>
    <row r="843" spans="1:12" s="2024" customFormat="1" x14ac:dyDescent="0.2">
      <c r="A843" s="1275" t="s">
        <v>4984</v>
      </c>
      <c r="B843" s="2112" t="s">
        <v>4849</v>
      </c>
      <c r="C843" s="2113">
        <f>VLOOKUP(A843,'2011 - TB'!$A$3:$B$971,2,FALSE)</f>
        <v>416768</v>
      </c>
      <c r="D843" s="2114">
        <v>0</v>
      </c>
      <c r="E843" s="2114">
        <v>0</v>
      </c>
      <c r="F843" s="2114">
        <v>0</v>
      </c>
      <c r="G843" s="2114">
        <f t="shared" ref="G843:G854" si="28">E843+F843</f>
        <v>0</v>
      </c>
      <c r="H843" s="2640">
        <f>SUMIF('Original Budget'!$A$1:$A$691,'Trial Balance - FPer'!A843,'Original Budget'!$C$1:$C$691)</f>
        <v>0</v>
      </c>
      <c r="I843" s="2640"/>
      <c r="J843" s="2115" t="s">
        <v>5952</v>
      </c>
      <c r="L843" s="2024" t="str">
        <f>VLOOKUP(A843,'2012 Budget'!$A$18:$B$2152,2,FALSE)</f>
        <v>Equitable Share</v>
      </c>
    </row>
    <row r="844" spans="1:12" s="2024" customFormat="1" x14ac:dyDescent="0.2">
      <c r="A844" s="2116" t="s">
        <v>4985</v>
      </c>
      <c r="B844" s="2117" t="s">
        <v>4849</v>
      </c>
      <c r="C844" s="2109">
        <v>0</v>
      </c>
      <c r="D844" s="2118">
        <v>0</v>
      </c>
      <c r="E844" s="2118">
        <v>0</v>
      </c>
      <c r="F844" s="2118">
        <v>0</v>
      </c>
      <c r="G844" s="2118">
        <f t="shared" si="28"/>
        <v>0</v>
      </c>
      <c r="H844" s="2640">
        <f>SUMIF('Original Budget'!$A$1:$A$691,'Trial Balance - FPer'!A844,'Original Budget'!$C$1:$C$691)</f>
        <v>0</v>
      </c>
      <c r="I844" s="2640"/>
      <c r="J844" s="2119" t="s">
        <v>5952</v>
      </c>
      <c r="L844" s="2024" t="str">
        <f>VLOOKUP(A844,'2012 Budget'!$A$18:$B$2152,2,FALSE)</f>
        <v>Equitable share</v>
      </c>
    </row>
    <row r="845" spans="1:12" s="2024" customFormat="1" x14ac:dyDescent="0.2">
      <c r="A845" s="2116" t="s">
        <v>4986</v>
      </c>
      <c r="B845" s="2117" t="s">
        <v>4849</v>
      </c>
      <c r="C845" s="2109">
        <v>0</v>
      </c>
      <c r="D845" s="2118">
        <v>0</v>
      </c>
      <c r="E845" s="2118">
        <v>0</v>
      </c>
      <c r="F845" s="2118">
        <v>0</v>
      </c>
      <c r="G845" s="2118">
        <f t="shared" si="28"/>
        <v>0</v>
      </c>
      <c r="H845" s="2640">
        <f>SUMIF('Original Budget'!$A$1:$A$691,'Trial Balance - FPer'!A845,'Original Budget'!$C$1:$C$691)</f>
        <v>0</v>
      </c>
      <c r="I845" s="2640"/>
      <c r="J845" s="2119" t="s">
        <v>5952</v>
      </c>
      <c r="L845" s="2024" t="str">
        <f>VLOOKUP(A845,'2012 Budget'!$A$18:$B$2152,2,FALSE)</f>
        <v>Equitable share</v>
      </c>
    </row>
    <row r="846" spans="1:12" s="2024" customFormat="1" x14ac:dyDescent="0.2">
      <c r="A846" s="2116" t="s">
        <v>4987</v>
      </c>
      <c r="B846" s="2117" t="s">
        <v>4849</v>
      </c>
      <c r="C846" s="2109">
        <v>0</v>
      </c>
      <c r="D846" s="2118">
        <v>0</v>
      </c>
      <c r="E846" s="2118">
        <v>0</v>
      </c>
      <c r="F846" s="2118">
        <v>0</v>
      </c>
      <c r="G846" s="2118">
        <f t="shared" si="28"/>
        <v>0</v>
      </c>
      <c r="H846" s="2640">
        <f>SUMIF('Original Budget'!$A$1:$A$691,'Trial Balance - FPer'!A846,'Original Budget'!$C$1:$C$691)</f>
        <v>0</v>
      </c>
      <c r="I846" s="2640"/>
      <c r="J846" s="2119" t="s">
        <v>5952</v>
      </c>
      <c r="L846" s="2024" t="str">
        <f>VLOOKUP(A846,'2012 Budget'!$A$18:$B$2152,2,FALSE)</f>
        <v>Equitable share</v>
      </c>
    </row>
    <row r="847" spans="1:12" s="2024" customFormat="1" x14ac:dyDescent="0.2">
      <c r="A847" s="2116" t="s">
        <v>4988</v>
      </c>
      <c r="B847" s="2117" t="s">
        <v>4849</v>
      </c>
      <c r="C847" s="2109">
        <v>0</v>
      </c>
      <c r="D847" s="2118">
        <v>0</v>
      </c>
      <c r="E847" s="2118">
        <v>0</v>
      </c>
      <c r="F847" s="2118">
        <v>0</v>
      </c>
      <c r="G847" s="2118">
        <f t="shared" si="28"/>
        <v>0</v>
      </c>
      <c r="H847" s="2640">
        <f>SUMIF('Original Budget'!$A$1:$A$691,'Trial Balance - FPer'!A847,'Original Budget'!$C$1:$C$691)</f>
        <v>0</v>
      </c>
      <c r="I847" s="2640"/>
      <c r="J847" s="2119" t="s">
        <v>5952</v>
      </c>
      <c r="L847" s="2024" t="str">
        <f>VLOOKUP(A847,'2012 Budget'!$A$18:$B$2152,2,FALSE)</f>
        <v>Equitable share</v>
      </c>
    </row>
    <row r="848" spans="1:12" s="2024" customFormat="1" x14ac:dyDescent="0.2">
      <c r="A848" s="2116" t="s">
        <v>4989</v>
      </c>
      <c r="B848" s="2117" t="s">
        <v>4849</v>
      </c>
      <c r="C848" s="2109">
        <v>0</v>
      </c>
      <c r="D848" s="2118">
        <v>0</v>
      </c>
      <c r="E848" s="2118">
        <v>0</v>
      </c>
      <c r="F848" s="2118">
        <v>0</v>
      </c>
      <c r="G848" s="2118">
        <f t="shared" si="28"/>
        <v>0</v>
      </c>
      <c r="H848" s="2640">
        <f>SUMIF('Original Budget'!$A$1:$A$691,'Trial Balance - FPer'!A848,'Original Budget'!$C$1:$C$691)</f>
        <v>0</v>
      </c>
      <c r="I848" s="2640"/>
      <c r="J848" s="2119" t="s">
        <v>5952</v>
      </c>
      <c r="L848" s="2024" t="str">
        <f>VLOOKUP(A848,'2012 Budget'!$A$18:$B$2152,2,FALSE)</f>
        <v>Equitable share</v>
      </c>
    </row>
    <row r="849" spans="1:12" s="2024" customFormat="1" x14ac:dyDescent="0.2">
      <c r="A849" s="2116" t="s">
        <v>5248</v>
      </c>
      <c r="B849" s="2117" t="s">
        <v>4849</v>
      </c>
      <c r="C849" s="2109">
        <v>0</v>
      </c>
      <c r="D849" s="2118">
        <v>0</v>
      </c>
      <c r="E849" s="2118">
        <v>0</v>
      </c>
      <c r="F849" s="2118">
        <v>0</v>
      </c>
      <c r="G849" s="2118">
        <f t="shared" si="28"/>
        <v>0</v>
      </c>
      <c r="H849" s="2640">
        <f>SUMIF('Original Budget'!$A$1:$A$691,'Trial Balance - FPer'!A849,'Original Budget'!$C$1:$C$691)</f>
        <v>0</v>
      </c>
      <c r="I849" s="2640"/>
      <c r="J849" s="2119" t="s">
        <v>5952</v>
      </c>
      <c r="L849" s="2024" t="str">
        <f>VLOOKUP(A849,'2012 Budget'!$A$18:$B$2152,2,FALSE)</f>
        <v>MIG Repayment;</v>
      </c>
    </row>
    <row r="850" spans="1:12" s="2024" customFormat="1" x14ac:dyDescent="0.2">
      <c r="A850" s="2116" t="s">
        <v>5249</v>
      </c>
      <c r="B850" s="2117" t="s">
        <v>4849</v>
      </c>
      <c r="C850" s="2109">
        <v>0</v>
      </c>
      <c r="D850" s="2118">
        <v>0</v>
      </c>
      <c r="E850" s="2118">
        <v>0</v>
      </c>
      <c r="F850" s="2118">
        <v>0</v>
      </c>
      <c r="G850" s="2118">
        <f t="shared" si="28"/>
        <v>0</v>
      </c>
      <c r="H850" s="2640">
        <f>SUMIF('Original Budget'!$A$1:$A$691,'Trial Balance - FPer'!A850,'Original Budget'!$C$1:$C$691)</f>
        <v>0</v>
      </c>
      <c r="I850" s="2640"/>
      <c r="J850" s="2119" t="s">
        <v>5952</v>
      </c>
      <c r="L850" s="2024" t="str">
        <f>VLOOKUP(A850,'2012 Budget'!$A$18:$B$2152,2,FALSE)</f>
        <v>DWAF Repayment;</v>
      </c>
    </row>
    <row r="851" spans="1:12" s="2024" customFormat="1" x14ac:dyDescent="0.2">
      <c r="A851" s="1283" t="s">
        <v>5681</v>
      </c>
      <c r="B851" s="2117" t="s">
        <v>4849</v>
      </c>
      <c r="C851" s="2109">
        <f>VLOOKUP(A851,'2011 - TB'!$A$3:$B$971,2,FALSE)</f>
        <v>1848158.53</v>
      </c>
      <c r="D851" s="2118">
        <v>0</v>
      </c>
      <c r="E851" s="2118">
        <v>0</v>
      </c>
      <c r="F851" s="2118">
        <v>0</v>
      </c>
      <c r="G851" s="2118">
        <f t="shared" si="28"/>
        <v>0</v>
      </c>
      <c r="H851" s="2640">
        <f>SUMIF('Original Budget'!$A$1:$A$691,'Trial Balance - FPer'!A851,'Original Budget'!$C$1:$C$691)</f>
        <v>0</v>
      </c>
      <c r="I851" s="2640"/>
      <c r="J851" s="2119" t="s">
        <v>5952</v>
      </c>
      <c r="L851" s="2024" t="str">
        <f>VLOOKUP(A851,'2012 Budget'!$A$18:$B$2152,2,FALSE)</f>
        <v>Equitable Share</v>
      </c>
    </row>
    <row r="852" spans="1:12" s="2024" customFormat="1" x14ac:dyDescent="0.2">
      <c r="A852" s="1283" t="s">
        <v>5744</v>
      </c>
      <c r="B852" s="2117" t="s">
        <v>4849</v>
      </c>
      <c r="C852" s="2109">
        <f>VLOOKUP(A852,'2011 - TB'!$A$3:$B$971,2,FALSE)</f>
        <v>1390060.57</v>
      </c>
      <c r="D852" s="2118">
        <v>0</v>
      </c>
      <c r="E852" s="2118">
        <v>0</v>
      </c>
      <c r="F852" s="2118">
        <v>0</v>
      </c>
      <c r="G852" s="2118">
        <f t="shared" si="28"/>
        <v>0</v>
      </c>
      <c r="H852" s="2640">
        <f>SUMIF('Original Budget'!$A$1:$A$691,'Trial Balance - FPer'!A852,'Original Budget'!$C$1:$C$691)</f>
        <v>0</v>
      </c>
      <c r="I852" s="2640"/>
      <c r="J852" s="2119" t="s">
        <v>5952</v>
      </c>
      <c r="L852" s="2024" t="str">
        <f>VLOOKUP(A852,'2012 Budget'!$A$18:$B$2152,2,FALSE)</f>
        <v>Equitable Share</v>
      </c>
    </row>
    <row r="853" spans="1:12" s="2024" customFormat="1" x14ac:dyDescent="0.2">
      <c r="A853" s="1283" t="s">
        <v>5847</v>
      </c>
      <c r="B853" s="2117" t="s">
        <v>4849</v>
      </c>
      <c r="C853" s="2109">
        <f>VLOOKUP(A853,'2011 - TB'!$A$3:$B$971,2,FALSE)</f>
        <v>429656.62</v>
      </c>
      <c r="D853" s="2118">
        <v>0</v>
      </c>
      <c r="E853" s="2118">
        <v>0</v>
      </c>
      <c r="F853" s="2118">
        <v>0</v>
      </c>
      <c r="G853" s="2118">
        <f t="shared" si="28"/>
        <v>0</v>
      </c>
      <c r="H853" s="2640">
        <f>SUMIF('Original Budget'!$A$1:$A$691,'Trial Balance - FPer'!A853,'Original Budget'!$C$1:$C$691)</f>
        <v>0</v>
      </c>
      <c r="I853" s="2640"/>
      <c r="J853" s="2119" t="s">
        <v>5952</v>
      </c>
      <c r="L853" s="2024" t="str">
        <f>VLOOKUP(A853,'2012 Budget'!$A$18:$B$2152,2,FALSE)</f>
        <v>Free Basic Serv</v>
      </c>
    </row>
    <row r="854" spans="1:12" s="2024" customFormat="1" ht="13.5" thickBot="1" x14ac:dyDescent="0.25">
      <c r="A854" s="2116" t="s">
        <v>5907</v>
      </c>
      <c r="B854" s="2117" t="s">
        <v>4849</v>
      </c>
      <c r="C854" s="2109" t="str">
        <f>VLOOKUP(A854,'2011 - TB'!$A$3:$B$971,2,FALSE)</f>
        <v xml:space="preserve">                               -  </v>
      </c>
      <c r="D854" s="2118">
        <v>0</v>
      </c>
      <c r="E854" s="2118">
        <v>0</v>
      </c>
      <c r="F854" s="2118">
        <v>0</v>
      </c>
      <c r="G854" s="2118">
        <f t="shared" si="28"/>
        <v>0</v>
      </c>
      <c r="H854" s="2640">
        <f>SUMIF('Original Budget'!$A$1:$A$691,'Trial Balance - FPer'!A854,'Original Budget'!$C$1:$C$691)</f>
        <v>0</v>
      </c>
      <c r="I854" s="2640"/>
      <c r="J854" s="2119" t="s">
        <v>5952</v>
      </c>
      <c r="L854" s="2024" t="str">
        <f>VLOOKUP(A854,'2012 Budget'!$A$18:$B$2152,2,FALSE)</f>
        <v>Free Basic Serv</v>
      </c>
    </row>
    <row r="855" spans="1:12" s="2024" customFormat="1" x14ac:dyDescent="0.2">
      <c r="A855" s="2111" t="s">
        <v>5891</v>
      </c>
      <c r="B855" s="2112" t="s">
        <v>5095</v>
      </c>
      <c r="C855" s="2113">
        <v>0</v>
      </c>
      <c r="D855" s="2114">
        <f>VLOOKUP(A855,'2012 - TB'!$A$3:$H$733,4,FALSE)</f>
        <v>0</v>
      </c>
      <c r="E855" s="2114">
        <f>VLOOKUP(A855,'2012 - TB'!$A$3:$H$733,5,FALSE)</f>
        <v>2315.79</v>
      </c>
      <c r="F855" s="2114">
        <f>VLOOKUP(A855,'2012 - TB'!$A$3:$H$733,6,FALSE)</f>
        <v>-2315.79</v>
      </c>
      <c r="G855" s="2114">
        <f>E855+F855</f>
        <v>0</v>
      </c>
      <c r="H855" s="2640">
        <f>SUMIF('Original Budget'!$A$1:$A$691,'Trial Balance - FPer'!A855,'Original Budget'!$C$1:$C$691)</f>
        <v>1055237.54</v>
      </c>
      <c r="I855" s="2640">
        <f>VLOOKUP(A855,'2012 - TB'!$A$3:$C$733,3,FALSE)</f>
        <v>1055237.54</v>
      </c>
      <c r="J855" s="2115" t="s">
        <v>5962</v>
      </c>
      <c r="L855" s="2024" t="str">
        <f>VLOOKUP(A855,'2012 Budget'!$A$18:$B$2152,2,FALSE)</f>
        <v>Free Basic Wate</v>
      </c>
    </row>
    <row r="856" spans="1:12" s="2024" customFormat="1" ht="13.5" thickBot="1" x14ac:dyDescent="0.25">
      <c r="A856" s="2137" t="s">
        <v>5931</v>
      </c>
      <c r="B856" s="2121" t="s">
        <v>5932</v>
      </c>
      <c r="C856" s="2122">
        <f>VLOOKUP(A856,'2011 - TB'!$A$3:$B$971,2,FALSE)</f>
        <v>71262.259999999995</v>
      </c>
      <c r="D856" s="2123">
        <v>0</v>
      </c>
      <c r="E856" s="2123">
        <f>VLOOKUP(A856,'2012 - TB'!$A$3:$H$733,5,FALSE)</f>
        <v>1091380.58</v>
      </c>
      <c r="F856" s="2123">
        <f>VLOOKUP(A856,'2012 - TB'!$A$3:$H$733,6,FALSE)</f>
        <v>0</v>
      </c>
      <c r="G856" s="2123">
        <f>E856+F856</f>
        <v>1091380.58</v>
      </c>
      <c r="H856" s="2640">
        <f>SUMIF('Original Budget'!$A$1:$A$691,'Trial Balance - FPer'!A856,'Original Budget'!$C$1:$C$691)</f>
        <v>362172.06</v>
      </c>
      <c r="I856" s="2640">
        <f>VLOOKUP(A856,'2012 - TB'!$A$3:$C$733,3,FALSE)</f>
        <v>362172.06</v>
      </c>
      <c r="J856" s="2124" t="s">
        <v>5952</v>
      </c>
      <c r="L856" s="2024" t="str">
        <f>VLOOKUP(A856,'2012 Budget'!$A$18:$B$2152,2,FALSE)</f>
        <v>Free Basic Elec</v>
      </c>
    </row>
    <row r="857" spans="1:12" s="2024" customFormat="1" ht="13.5" thickBot="1" x14ac:dyDescent="0.25">
      <c r="C857" s="2130">
        <f t="shared" ref="C857:I857" si="29">SUM(C843:C856)</f>
        <v>4155905.9800000004</v>
      </c>
      <c r="D857" s="2130">
        <f t="shared" si="29"/>
        <v>0</v>
      </c>
      <c r="E857" s="2130">
        <f t="shared" si="29"/>
        <v>1093696.3700000001</v>
      </c>
      <c r="F857" s="2130">
        <f t="shared" si="29"/>
        <v>-2315.79</v>
      </c>
      <c r="G857" s="2130">
        <f t="shared" si="29"/>
        <v>1091380.58</v>
      </c>
      <c r="H857" s="2641">
        <f t="shared" si="29"/>
        <v>1417409.6</v>
      </c>
      <c r="I857" s="2641">
        <f t="shared" si="29"/>
        <v>1417409.6</v>
      </c>
      <c r="J857" s="2026"/>
      <c r="L857" s="2024" t="e">
        <f>VLOOKUP(A857,'2012 Budget'!$A$18:$B$2152,2,FALSE)</f>
        <v>#N/A</v>
      </c>
    </row>
    <row r="858" spans="1:12" s="2024" customFormat="1" ht="7.5" customHeight="1" thickTop="1" x14ac:dyDescent="0.2">
      <c r="C858" s="2042"/>
      <c r="D858" s="2025"/>
      <c r="E858" s="2025"/>
      <c r="F858" s="2025"/>
      <c r="G858" s="2025"/>
      <c r="H858" s="2118">
        <f>SUMIF('Original Budget'!$A$1:$A$691,'Trial Balance - FPer'!A858,'Original Budget'!$C$1:$C$691)</f>
        <v>0</v>
      </c>
      <c r="I858" s="2118"/>
      <c r="J858" s="2026"/>
      <c r="L858" s="2024" t="e">
        <f>VLOOKUP(A858,'2012 Budget'!$A$18:$B$2152,2,FALSE)</f>
        <v>#N/A</v>
      </c>
    </row>
    <row r="859" spans="1:12" s="2024" customFormat="1" x14ac:dyDescent="0.2">
      <c r="B859" s="1208" t="s">
        <v>1212</v>
      </c>
      <c r="C859" s="2110">
        <f>'Fin Perform'!K42</f>
        <v>4155905.9800000004</v>
      </c>
      <c r="D859" s="2109"/>
      <c r="E859" s="2109"/>
      <c r="F859" s="2109"/>
      <c r="G859" s="2646">
        <f>'Fin Perform'!I42</f>
        <v>1091380.58</v>
      </c>
      <c r="H859" s="2118">
        <f>SUMIF('Original Budget'!$A$1:$A$691,'Trial Balance - FPer'!A859,'Original Budget'!$C$1:$C$691)</f>
        <v>0</v>
      </c>
      <c r="I859" s="2118"/>
      <c r="J859" s="2026"/>
      <c r="L859" s="2024" t="e">
        <f>VLOOKUP(A859,'2012 Budget'!$A$18:$B$2152,2,FALSE)</f>
        <v>#N/A</v>
      </c>
    </row>
    <row r="860" spans="1:12" s="2024" customFormat="1" ht="7.5" customHeight="1" x14ac:dyDescent="0.2">
      <c r="C860" s="2109"/>
      <c r="D860" s="2109"/>
      <c r="E860" s="2109"/>
      <c r="F860" s="2109"/>
      <c r="G860" s="2109"/>
      <c r="H860" s="2118">
        <f>SUMIF('Original Budget'!$A$1:$A$691,'Trial Balance - FPer'!A860,'Original Budget'!$C$1:$C$691)</f>
        <v>0</v>
      </c>
      <c r="I860" s="2118"/>
      <c r="J860" s="2026"/>
      <c r="L860" s="2024" t="e">
        <f>VLOOKUP(A860,'2012 Budget'!$A$18:$B$2152,2,FALSE)</f>
        <v>#N/A</v>
      </c>
    </row>
    <row r="861" spans="1:12" s="2024" customFormat="1" ht="13.5" thickBot="1" x14ac:dyDescent="0.25">
      <c r="B861" s="1208" t="s">
        <v>6423</v>
      </c>
      <c r="C861" s="2103">
        <f>C857-C859</f>
        <v>0</v>
      </c>
      <c r="D861" s="2109"/>
      <c r="E861" s="2109"/>
      <c r="F861" s="2109"/>
      <c r="G861" s="2103">
        <f>G857-G859</f>
        <v>0</v>
      </c>
      <c r="H861" s="2118">
        <f>SUMIF('Original Budget'!$A$1:$A$691,'Trial Balance - FPer'!A861,'Original Budget'!$C$1:$C$691)</f>
        <v>0</v>
      </c>
      <c r="I861" s="2118"/>
      <c r="J861" s="2026"/>
      <c r="L861" s="2024" t="e">
        <f>VLOOKUP(A861,'2012 Budget'!$A$18:$B$2152,2,FALSE)</f>
        <v>#N/A</v>
      </c>
    </row>
    <row r="862" spans="1:12" s="2024" customFormat="1" ht="14.25" thickTop="1" thickBot="1" x14ac:dyDescent="0.25">
      <c r="C862" s="2042"/>
      <c r="D862" s="2025"/>
      <c r="E862" s="2025"/>
      <c r="F862" s="2025"/>
      <c r="G862" s="2025"/>
      <c r="H862" s="2118">
        <f>SUMIF('Original Budget'!$A$1:$A$691,'Trial Balance - FPer'!A862,'Original Budget'!$C$1:$C$691)</f>
        <v>0</v>
      </c>
      <c r="I862" s="2118"/>
      <c r="J862" s="2026"/>
      <c r="L862" s="2024" t="e">
        <f>VLOOKUP(A862,'2012 Budget'!$A$18:$B$2152,2,FALSE)</f>
        <v>#N/A</v>
      </c>
    </row>
    <row r="863" spans="1:12" s="2024" customFormat="1" x14ac:dyDescent="0.2">
      <c r="A863" s="2111" t="s">
        <v>5024</v>
      </c>
      <c r="B863" s="2112" t="s">
        <v>5025</v>
      </c>
      <c r="C863" s="2113">
        <f>VLOOKUP(A863,'2011 - TB'!$A$3:$B$971,2,FALSE)</f>
        <v>0</v>
      </c>
      <c r="D863" s="2114">
        <v>0</v>
      </c>
      <c r="E863" s="2114">
        <f>VLOOKUP(A863,'2012 - TB'!$A$3:$H$733,5,FALSE)</f>
        <v>570</v>
      </c>
      <c r="F863" s="2114">
        <f>VLOOKUP(A863,'2012 - TB'!$A$3:$H$733,6,FALSE)</f>
        <v>0</v>
      </c>
      <c r="G863" s="2114">
        <f>E863+F863</f>
        <v>570</v>
      </c>
      <c r="H863" s="2640">
        <f>SUMIF('Original Budget'!$A$1:$A$691,'Trial Balance - FPer'!A863,'Original Budget'!$C$1:$C$691)</f>
        <v>0</v>
      </c>
      <c r="I863" s="2640">
        <f>VLOOKUP(A863,'2012 - TB'!$A$3:$C$733,3,FALSE)</f>
        <v>0</v>
      </c>
      <c r="J863" s="2115" t="s">
        <v>5989</v>
      </c>
      <c r="L863" s="2024" t="str">
        <f>VLOOKUP(A863,'2012 Budget'!$A$18:$B$2152,2,FALSE)</f>
        <v>Interest Bank O</v>
      </c>
    </row>
    <row r="864" spans="1:12" s="2024" customFormat="1" x14ac:dyDescent="0.2">
      <c r="A864" s="2116" t="s">
        <v>4979</v>
      </c>
      <c r="B864" s="2117" t="s">
        <v>4980</v>
      </c>
      <c r="C864" s="2109">
        <f>VLOOKUP(A864,'2011 - TB'!$A$3:$B$971,2,FALSE)</f>
        <v>-300</v>
      </c>
      <c r="D864" s="2118">
        <v>0</v>
      </c>
      <c r="E864" s="2118">
        <f>VLOOKUP(A864,'2012 - TB'!$A$3:$H$733,5,FALSE)</f>
        <v>42811.53</v>
      </c>
      <c r="F864" s="2118">
        <f>VLOOKUP(A864,'2012 - TB'!$A$3:$H$733,6,FALSE)</f>
        <v>-42811.53</v>
      </c>
      <c r="G864" s="2118">
        <f>E864+F864</f>
        <v>0</v>
      </c>
      <c r="H864" s="2640">
        <f>SUMIF('Original Budget'!$A$1:$A$691,'Trial Balance - FPer'!A864,'Original Budget'!$C$1:$C$691)</f>
        <v>0</v>
      </c>
      <c r="I864" s="2640">
        <f>VLOOKUP(A864,'2012 - TB'!$A$3:$C$733,3,FALSE)</f>
        <v>0</v>
      </c>
      <c r="J864" s="2119" t="s">
        <v>5989</v>
      </c>
      <c r="L864" s="2024" t="str">
        <f>VLOOKUP(A864,'2012 Budget'!$A$18:$B$2152,2,FALSE)</f>
        <v>Interest Extern</v>
      </c>
    </row>
    <row r="865" spans="1:12" s="2024" customFormat="1" x14ac:dyDescent="0.2">
      <c r="A865" s="2116" t="s">
        <v>5075</v>
      </c>
      <c r="B865" s="2117" t="s">
        <v>5076</v>
      </c>
      <c r="C865" s="2109">
        <f>VLOOKUP(A865,'2011 - TB'!$A$3:$B$971,2,FALSE)</f>
        <v>-342.93</v>
      </c>
      <c r="D865" s="2118">
        <v>0</v>
      </c>
      <c r="E865" s="2118">
        <f>VLOOKUP(A865,'2012 - TB'!$A$3:$H$733,5,FALSE)</f>
        <v>0.01</v>
      </c>
      <c r="F865" s="2118">
        <f>VLOOKUP(A865,'2012 - TB'!$A$3:$H$733,6,FALSE)</f>
        <v>-75633.5</v>
      </c>
      <c r="G865" s="2118">
        <f>E865+F865</f>
        <v>-75633.490000000005</v>
      </c>
      <c r="H865" s="2640">
        <f>SUMIF('Original Budget'!$A$1:$A$691,'Trial Balance - FPer'!A865,'Original Budget'!$C$1:$C$691)</f>
        <v>-477.95</v>
      </c>
      <c r="I865" s="2640">
        <f>VLOOKUP(A865,'2012 - TB'!$A$3:$C$733,3,FALSE)</f>
        <v>-15000</v>
      </c>
      <c r="J865" s="2119" t="s">
        <v>5961</v>
      </c>
      <c r="L865" s="2024" t="str">
        <f>VLOOKUP(A865,'2012 Budget'!$A$18:$B$2152,2,FALSE)</f>
        <v>Interest - Bank</v>
      </c>
    </row>
    <row r="866" spans="1:12" s="2024" customFormat="1" ht="13.5" thickBot="1" x14ac:dyDescent="0.25">
      <c r="A866" s="2137" t="s">
        <v>5074</v>
      </c>
      <c r="B866" s="1361" t="s">
        <v>6402</v>
      </c>
      <c r="C866" s="2122">
        <f>VLOOKUP(A866,'2011 - TB'!$A$3:$B$971,2,FALSE)</f>
        <v>-30993.11</v>
      </c>
      <c r="D866" s="2123">
        <v>0</v>
      </c>
      <c r="E866" s="2123">
        <v>0</v>
      </c>
      <c r="F866" s="2123">
        <v>0</v>
      </c>
      <c r="G866" s="2123">
        <f>E866+F866</f>
        <v>0</v>
      </c>
      <c r="H866" s="2640">
        <f>SUMIF('Original Budget'!$A$1:$A$691,'Trial Balance - FPer'!A866,'Original Budget'!$C$1:$C$691)</f>
        <v>0</v>
      </c>
      <c r="I866" s="2640"/>
      <c r="J866" s="2124" t="s">
        <v>5961</v>
      </c>
      <c r="L866" s="2024" t="str">
        <f>VLOOKUP(A866,'2012 Budget'!$A$18:$B$2152,2,FALSE)</f>
        <v>Interest - Inve</v>
      </c>
    </row>
    <row r="867" spans="1:12" s="2024" customFormat="1" ht="13.5" thickBot="1" x14ac:dyDescent="0.25">
      <c r="A867" s="1208"/>
      <c r="B867" s="1208"/>
      <c r="C867" s="2130">
        <f>SUM(C863:C866)</f>
        <v>-31636.04</v>
      </c>
      <c r="D867" s="2130">
        <f t="shared" ref="D867:I867" si="30">SUM(D863:D866)</f>
        <v>0</v>
      </c>
      <c r="E867" s="2130">
        <f t="shared" si="30"/>
        <v>43381.54</v>
      </c>
      <c r="F867" s="2130">
        <f t="shared" si="30"/>
        <v>-118445.03</v>
      </c>
      <c r="G867" s="2130">
        <f t="shared" si="30"/>
        <v>-75063.490000000005</v>
      </c>
      <c r="H867" s="2641">
        <f t="shared" si="30"/>
        <v>-477.95</v>
      </c>
      <c r="I867" s="2641">
        <f t="shared" si="30"/>
        <v>-15000</v>
      </c>
      <c r="J867" s="2026"/>
      <c r="L867" s="2024" t="e">
        <f>VLOOKUP(A867,'2012 Budget'!$A$18:$B$2152,2,FALSE)</f>
        <v>#N/A</v>
      </c>
    </row>
    <row r="868" spans="1:12" s="2024" customFormat="1" ht="7.5" customHeight="1" thickTop="1" x14ac:dyDescent="0.2">
      <c r="A868" s="1208"/>
      <c r="B868" s="1208"/>
      <c r="C868" s="2042"/>
      <c r="D868" s="2025"/>
      <c r="E868" s="2025"/>
      <c r="F868" s="2025"/>
      <c r="G868" s="2025"/>
      <c r="H868" s="2118">
        <f>SUMIF('Original Budget'!$A$1:$A$691,'Trial Balance - FPer'!A868,'Original Budget'!$C$1:$C$691)</f>
        <v>0</v>
      </c>
      <c r="I868" s="2118"/>
      <c r="J868" s="2026"/>
      <c r="L868" s="2024" t="e">
        <f>VLOOKUP(A868,'2012 Budget'!$A$18:$B$2152,2,FALSE)</f>
        <v>#N/A</v>
      </c>
    </row>
    <row r="869" spans="1:12" s="2024" customFormat="1" x14ac:dyDescent="0.2">
      <c r="A869" s="1208"/>
      <c r="B869" s="1208" t="s">
        <v>1212</v>
      </c>
      <c r="C869" s="2110">
        <f>'Fin Perform'!K20</f>
        <v>31636.04</v>
      </c>
      <c r="D869" s="2109"/>
      <c r="E869" s="2109"/>
      <c r="F869" s="2109"/>
      <c r="G869" s="2646">
        <f>'Fin Perform'!I20</f>
        <v>140676.66</v>
      </c>
      <c r="H869" s="2118">
        <f>SUMIF('Original Budget'!$A$1:$A$691,'Trial Balance - FPer'!A869,'Original Budget'!$C$1:$C$691)</f>
        <v>0</v>
      </c>
      <c r="I869" s="2118"/>
      <c r="J869" s="2026"/>
      <c r="L869" s="2024" t="e">
        <f>VLOOKUP(A869,'2012 Budget'!$A$18:$B$2152,2,FALSE)</f>
        <v>#N/A</v>
      </c>
    </row>
    <row r="870" spans="1:12" s="2024" customFormat="1" ht="7.5" customHeight="1" x14ac:dyDescent="0.2">
      <c r="A870" s="1208"/>
      <c r="C870" s="2109"/>
      <c r="D870" s="2109"/>
      <c r="E870" s="2109"/>
      <c r="F870" s="2109"/>
      <c r="G870" s="2109"/>
      <c r="H870" s="2118">
        <f>SUMIF('Original Budget'!$A$1:$A$691,'Trial Balance - FPer'!A870,'Original Budget'!$C$1:$C$691)</f>
        <v>0</v>
      </c>
      <c r="I870" s="2118"/>
      <c r="J870" s="2026"/>
      <c r="L870" s="2024" t="e">
        <f>VLOOKUP(A870,'2012 Budget'!$A$18:$B$2152,2,FALSE)</f>
        <v>#N/A</v>
      </c>
    </row>
    <row r="871" spans="1:12" s="2024" customFormat="1" ht="13.5" thickBot="1" x14ac:dyDescent="0.25">
      <c r="A871" s="1208"/>
      <c r="B871" s="1208" t="s">
        <v>6423</v>
      </c>
      <c r="C871" s="2103">
        <f>C867+C869</f>
        <v>0</v>
      </c>
      <c r="D871" s="2109"/>
      <c r="E871" s="2109"/>
      <c r="F871" s="2109"/>
      <c r="G871" s="2103">
        <f>G867+G869</f>
        <v>65613.17</v>
      </c>
      <c r="H871" s="2118">
        <f>SUMIF('Original Budget'!$A$1:$A$691,'Trial Balance - FPer'!A871,'Original Budget'!$C$1:$C$691)</f>
        <v>0</v>
      </c>
      <c r="I871" s="2118"/>
      <c r="J871" s="2026"/>
      <c r="L871" s="2024" t="e">
        <f>VLOOKUP(A871,'2012 Budget'!$A$18:$B$2152,2,FALSE)</f>
        <v>#N/A</v>
      </c>
    </row>
    <row r="872" spans="1:12" s="2024" customFormat="1" ht="14.25" thickTop="1" thickBot="1" x14ac:dyDescent="0.25">
      <c r="A872" s="1208"/>
      <c r="B872" s="1208"/>
      <c r="C872" s="2042"/>
      <c r="D872" s="2025"/>
      <c r="E872" s="2025"/>
      <c r="F872" s="2025"/>
      <c r="G872" s="2025"/>
      <c r="H872" s="2118">
        <f>SUMIF('Original Budget'!$A$1:$A$691,'Trial Balance - FPer'!A872,'Original Budget'!$C$1:$C$691)</f>
        <v>0</v>
      </c>
      <c r="I872" s="2118"/>
      <c r="J872" s="2026"/>
      <c r="L872" s="2024" t="e">
        <f>VLOOKUP(A872,'2012 Budget'!$A$18:$B$2152,2,FALSE)</f>
        <v>#N/A</v>
      </c>
    </row>
    <row r="873" spans="1:12" s="2024" customFormat="1" x14ac:dyDescent="0.2">
      <c r="A873" s="2111" t="s">
        <v>5742</v>
      </c>
      <c r="B873" s="2112" t="s">
        <v>4980</v>
      </c>
      <c r="C873" s="2113">
        <v>0</v>
      </c>
      <c r="D873" s="2114">
        <v>0</v>
      </c>
      <c r="E873" s="2114">
        <v>0</v>
      </c>
      <c r="F873" s="2114">
        <v>0</v>
      </c>
      <c r="G873" s="2114">
        <f>E873+F873</f>
        <v>0</v>
      </c>
      <c r="H873" s="2640">
        <f>SUMIF('Original Budget'!$A$1:$A$691,'Trial Balance - FPer'!A873,'Original Budget'!$C$1:$C$691)</f>
        <v>0</v>
      </c>
      <c r="I873" s="2640"/>
      <c r="J873" s="2115" t="s">
        <v>5950</v>
      </c>
      <c r="L873" s="2024" t="str">
        <f>VLOOKUP(A873,'2012 Budget'!$A$18:$B$2152,2,FALSE)</f>
        <v>Interest Extern</v>
      </c>
    </row>
    <row r="874" spans="1:12" s="2024" customFormat="1" x14ac:dyDescent="0.2">
      <c r="A874" s="2116" t="s">
        <v>5787</v>
      </c>
      <c r="B874" s="2117" t="s">
        <v>4980</v>
      </c>
      <c r="C874" s="2109">
        <v>0</v>
      </c>
      <c r="D874" s="2118">
        <v>0</v>
      </c>
      <c r="E874" s="2118">
        <v>0</v>
      </c>
      <c r="F874" s="2118">
        <f>VLOOKUP(A874,'2012 - TB'!$A$3:$H$733,6,FALSE)</f>
        <v>-65043.17</v>
      </c>
      <c r="G874" s="2118">
        <f>E874+F874</f>
        <v>-65043.17</v>
      </c>
      <c r="H874" s="2640">
        <f>SUMIF('Original Budget'!$A$1:$A$691,'Trial Balance - FPer'!A874,'Original Budget'!$C$1:$C$691)</f>
        <v>0</v>
      </c>
      <c r="I874" s="2640"/>
      <c r="J874" s="2119" t="s">
        <v>5950</v>
      </c>
      <c r="L874" s="2024" t="str">
        <f>VLOOKUP(A874,'2012 Budget'!$A$18:$B$2152,2,FALSE)</f>
        <v>Interest Extern</v>
      </c>
    </row>
    <row r="875" spans="1:12" s="2024" customFormat="1" x14ac:dyDescent="0.2">
      <c r="A875" s="2116" t="s">
        <v>5843</v>
      </c>
      <c r="B875" s="2117" t="s">
        <v>4980</v>
      </c>
      <c r="C875" s="2109">
        <v>0</v>
      </c>
      <c r="D875" s="2118">
        <v>0</v>
      </c>
      <c r="E875" s="2118">
        <v>0</v>
      </c>
      <c r="F875" s="2118">
        <v>0</v>
      </c>
      <c r="G875" s="2118">
        <f>E875+F875</f>
        <v>0</v>
      </c>
      <c r="H875" s="2640">
        <f>SUMIF('Original Budget'!$A$1:$A$691,'Trial Balance - FPer'!A875,'Original Budget'!$C$1:$C$691)</f>
        <v>0</v>
      </c>
      <c r="I875" s="2640"/>
      <c r="J875" s="2119" t="s">
        <v>5950</v>
      </c>
      <c r="L875" s="2024" t="str">
        <f>VLOOKUP(A875,'2012 Budget'!$A$18:$B$2152,2,FALSE)</f>
        <v>Interest Extern</v>
      </c>
    </row>
    <row r="876" spans="1:12" s="2024" customFormat="1" ht="13.5" thickBot="1" x14ac:dyDescent="0.25">
      <c r="A876" s="2120" t="s">
        <v>5077</v>
      </c>
      <c r="B876" s="2121" t="s">
        <v>5078</v>
      </c>
      <c r="C876" s="2122">
        <f>VLOOKUP(A876,'2011 - TB'!$A$3:$B$971,2,FALSE)</f>
        <v>-226492.75</v>
      </c>
      <c r="D876" s="2123">
        <v>0</v>
      </c>
      <c r="E876" s="2123">
        <f>VLOOKUP(A876,'2012 - TB'!$A$3:$H$733,5,FALSE)</f>
        <v>112449.95</v>
      </c>
      <c r="F876" s="2123">
        <f>VLOOKUP(A876,'2012 - TB'!$A$3:$H$733,6,FALSE)</f>
        <v>-385659.2</v>
      </c>
      <c r="G876" s="2123">
        <f>E876+F876</f>
        <v>-273209.25</v>
      </c>
      <c r="H876" s="2640">
        <f>SUMIF('Original Budget'!$A$1:$A$691,'Trial Balance - FPer'!A876,'Original Budget'!$C$1:$C$691)</f>
        <v>-242201.05</v>
      </c>
      <c r="I876" s="2640">
        <f>VLOOKUP(A876,'2012 - TB'!$A$3:$C$733,3,FALSE)</f>
        <v>-242201.05</v>
      </c>
      <c r="J876" s="2124" t="s">
        <v>5950</v>
      </c>
      <c r="L876" s="2024" t="str">
        <f>VLOOKUP(A876,'2012 Budget'!$A$18:$B$2152,2,FALSE)</f>
        <v>Interest on Arr</v>
      </c>
    </row>
    <row r="877" spans="1:12" s="2024" customFormat="1" ht="13.5" thickBot="1" x14ac:dyDescent="0.25">
      <c r="C877" s="2130">
        <f t="shared" ref="C877:I877" si="31">SUM(C873:C876)</f>
        <v>-226492.75</v>
      </c>
      <c r="D877" s="2130">
        <f t="shared" si="31"/>
        <v>0</v>
      </c>
      <c r="E877" s="2130">
        <f t="shared" si="31"/>
        <v>112449.95</v>
      </c>
      <c r="F877" s="2130">
        <f t="shared" si="31"/>
        <v>-450702.37</v>
      </c>
      <c r="G877" s="2130">
        <f t="shared" si="31"/>
        <v>-338252.42</v>
      </c>
      <c r="H877" s="2641">
        <f t="shared" si="31"/>
        <v>-242201.05</v>
      </c>
      <c r="I877" s="2641">
        <f t="shared" si="31"/>
        <v>-242201.05</v>
      </c>
      <c r="J877" s="2026"/>
      <c r="L877" s="2024" t="e">
        <f>VLOOKUP(A877,'2012 Budget'!$A$18:$B$2152,2,FALSE)</f>
        <v>#N/A</v>
      </c>
    </row>
    <row r="878" spans="1:12" s="2024" customFormat="1" ht="7.5" customHeight="1" thickTop="1" x14ac:dyDescent="0.2">
      <c r="C878" s="2042"/>
      <c r="D878" s="2025"/>
      <c r="E878" s="2025"/>
      <c r="F878" s="2025"/>
      <c r="G878" s="2025"/>
      <c r="H878" s="2118">
        <f>SUMIF('Original Budget'!$A$1:$A$691,'Trial Balance - FPer'!A878,'Original Budget'!$C$1:$C$691)</f>
        <v>0</v>
      </c>
      <c r="I878" s="2118"/>
      <c r="J878" s="2026"/>
      <c r="L878" s="2024" t="e">
        <f>VLOOKUP(A878,'2012 Budget'!$A$18:$B$2152,2,FALSE)</f>
        <v>#N/A</v>
      </c>
    </row>
    <row r="879" spans="1:12" s="2024" customFormat="1" x14ac:dyDescent="0.2">
      <c r="B879" s="1208" t="s">
        <v>1212</v>
      </c>
      <c r="C879" s="2110">
        <f>'Fin Perform'!K21</f>
        <v>226492.75</v>
      </c>
      <c r="D879" s="2109"/>
      <c r="E879" s="2109"/>
      <c r="F879" s="2109"/>
      <c r="G879" s="2646">
        <f>'Fin Perform'!I21</f>
        <v>273209.25</v>
      </c>
      <c r="H879" s="2118">
        <f>SUMIF('Original Budget'!$A$1:$A$691,'Trial Balance - FPer'!A879,'Original Budget'!$C$1:$C$691)</f>
        <v>0</v>
      </c>
      <c r="I879" s="2118"/>
      <c r="J879" s="2026"/>
      <c r="L879" s="2024" t="e">
        <f>VLOOKUP(A879,'2012 Budget'!$A$18:$B$2152,2,FALSE)</f>
        <v>#N/A</v>
      </c>
    </row>
    <row r="880" spans="1:12" s="2024" customFormat="1" ht="7.5" customHeight="1" x14ac:dyDescent="0.2">
      <c r="C880" s="2109"/>
      <c r="D880" s="2109"/>
      <c r="E880" s="2109"/>
      <c r="F880" s="2109"/>
      <c r="G880" s="2109"/>
      <c r="H880" s="2118">
        <f>SUMIF('Original Budget'!$A$1:$A$691,'Trial Balance - FPer'!A880,'Original Budget'!$C$1:$C$691)</f>
        <v>0</v>
      </c>
      <c r="I880" s="2118"/>
      <c r="J880" s="2026"/>
      <c r="L880" s="2024" t="e">
        <f>VLOOKUP(A880,'2012 Budget'!$A$18:$B$2152,2,FALSE)</f>
        <v>#N/A</v>
      </c>
    </row>
    <row r="881" spans="1:12" s="2024" customFormat="1" ht="13.5" thickBot="1" x14ac:dyDescent="0.25">
      <c r="B881" s="1208" t="s">
        <v>6423</v>
      </c>
      <c r="C881" s="2103">
        <f>C877+C879</f>
        <v>0</v>
      </c>
      <c r="D881" s="2109"/>
      <c r="E881" s="2109"/>
      <c r="F881" s="2109"/>
      <c r="G881" s="2103">
        <f>G877+G879</f>
        <v>-65043.169999999984</v>
      </c>
      <c r="H881" s="2118">
        <f>SUMIF('Original Budget'!$A$1:$A$691,'Trial Balance - FPer'!A881,'Original Budget'!$C$1:$C$691)</f>
        <v>0</v>
      </c>
      <c r="I881" s="2118"/>
      <c r="J881" s="2026"/>
      <c r="L881" s="2024" t="e">
        <f>VLOOKUP(A881,'2012 Budget'!$A$18:$B$2152,2,FALSE)</f>
        <v>#N/A</v>
      </c>
    </row>
    <row r="882" spans="1:12" s="2024" customFormat="1" ht="14.25" thickTop="1" thickBot="1" x14ac:dyDescent="0.25">
      <c r="C882" s="2042"/>
      <c r="D882" s="2025"/>
      <c r="E882" s="2025"/>
      <c r="F882" s="2025"/>
      <c r="G882" s="2025"/>
      <c r="H882" s="2118">
        <f>SUMIF('Original Budget'!$A$1:$A$691,'Trial Balance - FPer'!A882,'Original Budget'!$C$1:$C$691)</f>
        <v>0</v>
      </c>
      <c r="I882" s="2118"/>
      <c r="J882" s="2026"/>
      <c r="L882" s="2024" t="e">
        <f>VLOOKUP(A882,'2012 Budget'!$A$18:$B$2152,2,FALSE)</f>
        <v>#N/A</v>
      </c>
    </row>
    <row r="883" spans="1:12" s="2024" customFormat="1" ht="13.5" thickBot="1" x14ac:dyDescent="0.25">
      <c r="A883" s="2125" t="s">
        <v>5397</v>
      </c>
      <c r="B883" s="2276" t="s">
        <v>6885</v>
      </c>
      <c r="C883" s="2127">
        <v>-1780205</v>
      </c>
      <c r="D883" s="2128">
        <v>0</v>
      </c>
      <c r="E883" s="2128">
        <v>0</v>
      </c>
      <c r="F883" s="2128">
        <f>VLOOKUP(A883,'2012 - TB'!$A$3:$H$733,6,FALSE)</f>
        <v>-16834.3</v>
      </c>
      <c r="G883" s="2128">
        <f>E883+F883</f>
        <v>-16834.3</v>
      </c>
      <c r="H883" s="2640">
        <f>SUMIF('Original Budget'!$A$1:$A$691,'Trial Balance - FPer'!A883,'Original Budget'!$C$1:$C$691)</f>
        <v>0</v>
      </c>
      <c r="I883" s="2640">
        <f>VLOOKUP(A883,'2012 - TB'!$A$3:$C$733,3,FALSE)</f>
        <v>0</v>
      </c>
      <c r="J883" s="2129" t="s">
        <v>5950</v>
      </c>
      <c r="L883" s="2024" t="str">
        <f>VLOOKUP(A883,'2012 Budget'!$A$18:$B$2152,2,FALSE)</f>
        <v>Interest Extern</v>
      </c>
    </row>
    <row r="884" spans="1:12" s="2024" customFormat="1" ht="13.5" thickBot="1" x14ac:dyDescent="0.25">
      <c r="C884" s="2130">
        <f>C883</f>
        <v>-1780205</v>
      </c>
      <c r="D884" s="2130">
        <f t="shared" ref="D884:I884" si="32">D883</f>
        <v>0</v>
      </c>
      <c r="E884" s="2130">
        <f t="shared" si="32"/>
        <v>0</v>
      </c>
      <c r="F884" s="2130">
        <f t="shared" si="32"/>
        <v>-16834.3</v>
      </c>
      <c r="G884" s="2130">
        <f t="shared" si="32"/>
        <v>-16834.3</v>
      </c>
      <c r="H884" s="2641">
        <f t="shared" si="32"/>
        <v>0</v>
      </c>
      <c r="I884" s="2641">
        <f t="shared" si="32"/>
        <v>0</v>
      </c>
      <c r="J884" s="2026"/>
      <c r="L884" s="2024" t="e">
        <f>VLOOKUP(A884,'2012 Budget'!$A$18:$B$2152,2,FALSE)</f>
        <v>#N/A</v>
      </c>
    </row>
    <row r="885" spans="1:12" s="2024" customFormat="1" ht="7.5" customHeight="1" thickTop="1" x14ac:dyDescent="0.2">
      <c r="C885" s="2042"/>
      <c r="D885" s="2025"/>
      <c r="E885" s="2025"/>
      <c r="F885" s="2025"/>
      <c r="G885" s="2025"/>
      <c r="H885" s="2118">
        <f>SUMIF('Original Budget'!$A$1:$A$691,'Trial Balance - FPer'!A885,'Original Budget'!$C$1:$C$691)</f>
        <v>0</v>
      </c>
      <c r="I885" s="2118"/>
      <c r="J885" s="2026"/>
      <c r="L885" s="2024" t="e">
        <f>VLOOKUP(A885,'2012 Budget'!$A$18:$B$2152,2,FALSE)</f>
        <v>#N/A</v>
      </c>
    </row>
    <row r="886" spans="1:12" s="2024" customFormat="1" x14ac:dyDescent="0.2">
      <c r="B886" s="1208" t="s">
        <v>1212</v>
      </c>
      <c r="C886" s="2110">
        <f>'Fin Perform'!K12</f>
        <v>1780205</v>
      </c>
      <c r="D886" s="2109"/>
      <c r="E886" s="2109"/>
      <c r="F886" s="2109"/>
      <c r="G886" s="2646">
        <f>'Fin Perform'!I12</f>
        <v>16834.3</v>
      </c>
      <c r="H886" s="2118">
        <f>SUMIF('Original Budget'!$A$1:$A$691,'Trial Balance - FPer'!A886,'Original Budget'!$C$1:$C$691)</f>
        <v>0</v>
      </c>
      <c r="I886" s="2118"/>
      <c r="J886" s="2026"/>
      <c r="L886" s="2024" t="e">
        <f>VLOOKUP(A886,'2012 Budget'!$A$18:$B$2152,2,FALSE)</f>
        <v>#N/A</v>
      </c>
    </row>
    <row r="887" spans="1:12" s="2024" customFormat="1" ht="7.5" customHeight="1" x14ac:dyDescent="0.2">
      <c r="C887" s="2109"/>
      <c r="D887" s="2109"/>
      <c r="E887" s="2109"/>
      <c r="F887" s="2109"/>
      <c r="G887" s="2109"/>
      <c r="H887" s="2118">
        <f>SUMIF('Original Budget'!$A$1:$A$691,'Trial Balance - FPer'!A887,'Original Budget'!$C$1:$C$691)</f>
        <v>0</v>
      </c>
      <c r="I887" s="2118"/>
      <c r="J887" s="2026"/>
      <c r="L887" s="2024" t="e">
        <f>VLOOKUP(A887,'2012 Budget'!$A$18:$B$2152,2,FALSE)</f>
        <v>#N/A</v>
      </c>
    </row>
    <row r="888" spans="1:12" s="2024" customFormat="1" ht="13.5" thickBot="1" x14ac:dyDescent="0.25">
      <c r="B888" s="1208" t="s">
        <v>6423</v>
      </c>
      <c r="C888" s="2103">
        <f>C884+C886</f>
        <v>0</v>
      </c>
      <c r="D888" s="2109"/>
      <c r="E888" s="2109"/>
      <c r="F888" s="2109"/>
      <c r="G888" s="2103">
        <f>G884+G886</f>
        <v>0</v>
      </c>
      <c r="H888" s="2118">
        <f>SUMIF('Original Budget'!$A$1:$A$691,'Trial Balance - FPer'!A888,'Original Budget'!$C$1:$C$691)</f>
        <v>0</v>
      </c>
      <c r="I888" s="2118"/>
      <c r="J888" s="2026"/>
      <c r="L888" s="2024" t="e">
        <f>VLOOKUP(A888,'2012 Budget'!$A$18:$B$2152,2,FALSE)</f>
        <v>#N/A</v>
      </c>
    </row>
    <row r="889" spans="1:12" s="2024" customFormat="1" ht="14.25" thickTop="1" thickBot="1" x14ac:dyDescent="0.25">
      <c r="C889" s="2042"/>
      <c r="D889" s="2025"/>
      <c r="E889" s="2025"/>
      <c r="F889" s="2025"/>
      <c r="G889" s="2025"/>
      <c r="H889" s="2118">
        <f>SUMIF('Original Budget'!$A$1:$A$691,'Trial Balance - FPer'!A889,'Original Budget'!$C$1:$C$691)</f>
        <v>0</v>
      </c>
      <c r="I889" s="2118"/>
      <c r="J889" s="2026"/>
      <c r="L889" s="2024" t="e">
        <f>VLOOKUP(A889,'2012 Budget'!$A$18:$B$2152,2,FALSE)</f>
        <v>#N/A</v>
      </c>
    </row>
    <row r="890" spans="1:12" s="2024" customFormat="1" ht="13.5" thickBot="1" x14ac:dyDescent="0.25">
      <c r="A890" s="2125" t="s">
        <v>5515</v>
      </c>
      <c r="B890" s="2126" t="s">
        <v>5516</v>
      </c>
      <c r="C890" s="2127">
        <f>VLOOKUP(A890,'2011 - TB'!$A$3:$B$971,2,FALSE)</f>
        <v>-584.28</v>
      </c>
      <c r="D890" s="2128">
        <v>0</v>
      </c>
      <c r="E890" s="2128">
        <f>VLOOKUP(A890,'2012 - TB'!$A$3:$H$733,5,FALSE)</f>
        <v>329.04</v>
      </c>
      <c r="F890" s="2128">
        <f>VLOOKUP(A890,'2012 - TB'!$A$3:$H$733,6,FALSE)</f>
        <v>-2679.2</v>
      </c>
      <c r="G890" s="2128">
        <f t="shared" ref="G890:G896" si="33">E890+F890</f>
        <v>-2350.16</v>
      </c>
      <c r="H890" s="2640">
        <f>SUMIF('Original Budget'!$A$1:$A$691,'Trial Balance - FPer'!A890,'Original Budget'!$C$1:$C$691)</f>
        <v>-3743.77</v>
      </c>
      <c r="I890" s="2640">
        <f>VLOOKUP(A890,'2012 - TB'!$A$3:$C$733,3,FALSE)</f>
        <v>-2850.39</v>
      </c>
      <c r="J890" s="2129" t="s">
        <v>5935</v>
      </c>
      <c r="L890" s="2024" t="str">
        <f>VLOOKUP(A890,'2012 Budget'!$A$18:$B$2152,2,FALSE)</f>
        <v>Building Plan &amp;</v>
      </c>
    </row>
    <row r="891" spans="1:12" s="2024" customFormat="1" ht="13.5" thickBot="1" x14ac:dyDescent="0.25">
      <c r="A891" s="2116" t="s">
        <v>5431</v>
      </c>
      <c r="B891" s="2117" t="s">
        <v>5432</v>
      </c>
      <c r="C891" s="2109">
        <f>VLOOKUP(A891,'2011 - TB'!$A$3:$B$971,2,FALSE)</f>
        <v>-45514.22</v>
      </c>
      <c r="D891" s="2118">
        <v>0</v>
      </c>
      <c r="E891" s="2118">
        <f>VLOOKUP(A891,'2012 - TB'!$A$3:$H$733,5,FALSE)</f>
        <v>3955.08</v>
      </c>
      <c r="F891" s="2118">
        <f>VLOOKUP(A891,'2012 - TB'!$A$3:$H$733,6,FALSE)</f>
        <v>-31325.11</v>
      </c>
      <c r="G891" s="2118">
        <f t="shared" si="33"/>
        <v>-27370.03</v>
      </c>
      <c r="H891" s="2640">
        <f>SUMIF('Original Budget'!$A$1:$A$691,'Trial Balance - FPer'!A891,'Original Budget'!$C$1:$C$691)</f>
        <v>-50513.58</v>
      </c>
      <c r="I891" s="2640">
        <f>VLOOKUP(A891,'2012 - TB'!$A$3:$C$733,3,FALSE)</f>
        <v>-50513.58</v>
      </c>
      <c r="J891" s="2119" t="s">
        <v>5935</v>
      </c>
      <c r="L891" s="2024" t="str">
        <f>VLOOKUP(A891,'2012 Budget'!$A$18:$B$2152,2,FALSE)</f>
        <v>Cemetery Fees;</v>
      </c>
    </row>
    <row r="892" spans="1:12" s="2024" customFormat="1" ht="13.5" thickBot="1" x14ac:dyDescent="0.25">
      <c r="A892" s="2125" t="s">
        <v>5826</v>
      </c>
      <c r="B892" s="2126" t="s">
        <v>5827</v>
      </c>
      <c r="C892" s="2127">
        <f>VLOOKUP(A892,'2011 - TB'!$A$3:$B$971,2,FALSE)</f>
        <v>-1411.7</v>
      </c>
      <c r="D892" s="2128">
        <v>0</v>
      </c>
      <c r="E892" s="2128">
        <f>VLOOKUP(A892,'2012 - TB'!$A$3:$H$733,5,FALSE)</f>
        <v>29.16</v>
      </c>
      <c r="F892" s="2128">
        <f>VLOOKUP(A892,'2012 - TB'!$A$3:$H$733,6,FALSE)</f>
        <v>-237.6</v>
      </c>
      <c r="G892" s="2128">
        <f t="shared" si="33"/>
        <v>-208.44</v>
      </c>
      <c r="H892" s="2640">
        <f>SUMIF('Original Budget'!$A$1:$A$691,'Trial Balance - FPer'!A892,'Original Budget'!$C$1:$C$691)</f>
        <v>-1980.04</v>
      </c>
      <c r="I892" s="2640">
        <f>VLOOKUP(A892,'2012 - TB'!$A$3:$C$733,3,FALSE)</f>
        <v>-1036.57</v>
      </c>
      <c r="J892" s="2129" t="s">
        <v>5935</v>
      </c>
      <c r="L892" s="2024" t="str">
        <f>VLOOKUP(A892,'2012 Budget'!$A$18:$B$2152,2,FALSE)</f>
        <v>Gravel Sales;</v>
      </c>
    </row>
    <row r="893" spans="1:12" s="2024" customFormat="1" x14ac:dyDescent="0.2">
      <c r="A893" s="2116" t="s">
        <v>5090</v>
      </c>
      <c r="B893" s="2117" t="s">
        <v>5091</v>
      </c>
      <c r="C893" s="2109">
        <v>0</v>
      </c>
      <c r="D893" s="2118">
        <v>0</v>
      </c>
      <c r="E893" s="2118">
        <v>0</v>
      </c>
      <c r="F893" s="2118">
        <v>0</v>
      </c>
      <c r="G893" s="2118">
        <f t="shared" si="33"/>
        <v>0</v>
      </c>
      <c r="H893" s="2640">
        <f>SUMIF('Original Budget'!$A$1:$A$691,'Trial Balance - FPer'!A893,'Original Budget'!$C$1:$C$691)</f>
        <v>0</v>
      </c>
      <c r="I893" s="2640"/>
      <c r="J893" s="2119" t="s">
        <v>5935</v>
      </c>
      <c r="L893" s="2024" t="str">
        <f>VLOOKUP(A893,'2012 Budget'!$A$18:$B$2152,2,FALSE)</f>
        <v>Photostats;</v>
      </c>
    </row>
    <row r="894" spans="1:12" s="2024" customFormat="1" x14ac:dyDescent="0.2">
      <c r="A894" s="2116" t="s">
        <v>5384</v>
      </c>
      <c r="B894" s="2117" t="s">
        <v>5091</v>
      </c>
      <c r="C894" s="2109">
        <f>VLOOKUP(A894,'2011 - TB'!$A$3:$B$971,2,FALSE)</f>
        <v>-67.040000000000006</v>
      </c>
      <c r="D894" s="2118">
        <v>0</v>
      </c>
      <c r="E894" s="2118">
        <f>VLOOKUP(A894,'2012 - TB'!$A$3:$H$733,5,FALSE)</f>
        <v>10.91</v>
      </c>
      <c r="F894" s="2118">
        <f>VLOOKUP(A894,'2012 - TB'!$A$3:$H$733,6,FALSE)</f>
        <v>-88.8</v>
      </c>
      <c r="G894" s="2118">
        <f t="shared" si="33"/>
        <v>-77.89</v>
      </c>
      <c r="H894" s="2640">
        <f>SUMIF('Original Budget'!$A$1:$A$691,'Trial Balance - FPer'!A894,'Original Budget'!$C$1:$C$691)</f>
        <v>-28.6</v>
      </c>
      <c r="I894" s="2640">
        <f>VLOOKUP(A894,'2012 - TB'!$A$3:$C$733,3,FALSE)</f>
        <v>-28.6</v>
      </c>
      <c r="J894" s="2119" t="s">
        <v>5935</v>
      </c>
      <c r="L894" s="2024" t="str">
        <f>VLOOKUP(A894,'2012 Budget'!$A$18:$B$2152,2,FALSE)</f>
        <v>Photostats;</v>
      </c>
    </row>
    <row r="895" spans="1:12" s="2024" customFormat="1" ht="13.5" thickBot="1" x14ac:dyDescent="0.25">
      <c r="A895" s="2116" t="s">
        <v>5585</v>
      </c>
      <c r="B895" s="2117" t="s">
        <v>5091</v>
      </c>
      <c r="C895" s="2109">
        <v>0</v>
      </c>
      <c r="D895" s="2118">
        <v>0</v>
      </c>
      <c r="E895" s="2118">
        <v>0</v>
      </c>
      <c r="F895" s="2118">
        <v>0</v>
      </c>
      <c r="G895" s="2118">
        <f t="shared" si="33"/>
        <v>0</v>
      </c>
      <c r="H895" s="2640">
        <f>SUMIF('Original Budget'!$A$1:$A$691,'Trial Balance - FPer'!A895,'Original Budget'!$C$1:$C$691)</f>
        <v>0</v>
      </c>
      <c r="I895" s="2640"/>
      <c r="J895" s="2119" t="s">
        <v>5935</v>
      </c>
      <c r="L895" s="2024" t="str">
        <f>VLOOKUP(A895,'2012 Budget'!$A$18:$B$2152,2,FALSE)</f>
        <v>Sales - Pound (</v>
      </c>
    </row>
    <row r="896" spans="1:12" s="2024" customFormat="1" x14ac:dyDescent="0.2">
      <c r="A896" s="2111" t="s">
        <v>5385</v>
      </c>
      <c r="B896" s="2112" t="s">
        <v>5386</v>
      </c>
      <c r="C896" s="2113">
        <v>0</v>
      </c>
      <c r="D896" s="2114">
        <v>0</v>
      </c>
      <c r="E896" s="2114">
        <v>0</v>
      </c>
      <c r="F896" s="2114">
        <v>0</v>
      </c>
      <c r="G896" s="2114">
        <f t="shared" si="33"/>
        <v>0</v>
      </c>
      <c r="H896" s="2640">
        <f>SUMIF('Original Budget'!$A$1:$A$691,'Trial Balance - FPer'!A896,'Original Budget'!$C$1:$C$691)</f>
        <v>0</v>
      </c>
      <c r="I896" s="2640"/>
      <c r="J896" s="2115" t="s">
        <v>5935</v>
      </c>
      <c r="L896" s="2024" t="str">
        <f>VLOOKUP(A896,'2012 Budget'!$A$18:$B$2152,2,FALSE)</f>
        <v>Fees - Lost Lib</v>
      </c>
    </row>
    <row r="897" spans="1:12" s="2024" customFormat="1" x14ac:dyDescent="0.2">
      <c r="A897" s="2116" t="s">
        <v>5586</v>
      </c>
      <c r="B897" s="2117" t="s">
        <v>5386</v>
      </c>
      <c r="C897" s="2109">
        <f>VLOOKUP(A897,'2011 - TB'!$A$3:$B$971,2,FALSE)</f>
        <v>-638.55999999999995</v>
      </c>
      <c r="D897" s="2118">
        <v>0</v>
      </c>
      <c r="E897" s="2118">
        <f>VLOOKUP(A897,'2012 - TB'!$A$3:$H$733,5,FALSE)</f>
        <v>165.93</v>
      </c>
      <c r="F897" s="2118">
        <f>VLOOKUP(A897,'2012 - TB'!$A$3:$H$733,6,FALSE)</f>
        <v>-1337.2</v>
      </c>
      <c r="G897" s="2118">
        <f t="shared" ref="G897:G966" si="34">E897+F897</f>
        <v>-1171.27</v>
      </c>
      <c r="H897" s="2640">
        <f>SUMIF('Original Budget'!$A$1:$A$691,'Trial Balance - FPer'!A897,'Original Budget'!$C$1:$C$691)</f>
        <v>-7597.15</v>
      </c>
      <c r="I897" s="2640">
        <f>VLOOKUP(A897,'2012 - TB'!$A$3:$C$733,3,FALSE)</f>
        <v>-4542.07</v>
      </c>
      <c r="J897" s="2119" t="s">
        <v>5935</v>
      </c>
      <c r="L897" s="2024" t="str">
        <f>VLOOKUP(A897,'2012 Budget'!$A$18:$B$2152,2,FALSE)</f>
        <v>Pound Fees;</v>
      </c>
    </row>
    <row r="898" spans="1:12" s="2024" customFormat="1" ht="13.5" thickBot="1" x14ac:dyDescent="0.25">
      <c r="A898" s="2120" t="s">
        <v>5890</v>
      </c>
      <c r="B898" s="2121" t="s">
        <v>5386</v>
      </c>
      <c r="C898" s="2122">
        <v>0</v>
      </c>
      <c r="D898" s="2123">
        <v>0</v>
      </c>
      <c r="E898" s="2123">
        <v>0</v>
      </c>
      <c r="F898" s="2123">
        <v>0</v>
      </c>
      <c r="G898" s="2123">
        <f t="shared" si="34"/>
        <v>0</v>
      </c>
      <c r="H898" s="2640">
        <f>SUMIF('Original Budget'!$A$1:$A$691,'Trial Balance - FPer'!A898,'Original Budget'!$C$1:$C$691)</f>
        <v>-550</v>
      </c>
      <c r="I898" s="2640"/>
      <c r="J898" s="2124" t="s">
        <v>5935</v>
      </c>
      <c r="L898" s="2024" t="str">
        <f>VLOOKUP(A898,'2012 Budget'!$A$18:$B$2152,2,FALSE)</f>
        <v>Drum Sales;</v>
      </c>
    </row>
    <row r="899" spans="1:12" s="2024" customFormat="1" x14ac:dyDescent="0.2">
      <c r="A899" s="2116" t="s">
        <v>4852</v>
      </c>
      <c r="B899" s="2117" t="s">
        <v>4853</v>
      </c>
      <c r="C899" s="2109">
        <f>VLOOKUP(A899,'2011 - TB'!$A$3:$B$971,2,FALSE)</f>
        <v>-219.3</v>
      </c>
      <c r="D899" s="2118">
        <v>0</v>
      </c>
      <c r="E899" s="2118">
        <f>VLOOKUP(A899,'2012 - TB'!$A$3:$H$733,5,FALSE)</f>
        <v>534.69000000000005</v>
      </c>
      <c r="F899" s="2118">
        <f>VLOOKUP(A899,'2012 - TB'!$A$3:$H$733,6,FALSE)</f>
        <v>0</v>
      </c>
      <c r="G899" s="2118">
        <f t="shared" si="34"/>
        <v>534.69000000000005</v>
      </c>
      <c r="H899" s="2640">
        <f>SUMIF('Original Budget'!$A$1:$A$691,'Trial Balance - FPer'!A899,'Original Budget'!$C$1:$C$691)</f>
        <v>30.87</v>
      </c>
      <c r="I899" s="2640">
        <f>VLOOKUP(A899,'2012 - TB'!$A$3:$C$733,3,FALSE)</f>
        <v>631.6</v>
      </c>
      <c r="J899" s="2119" t="s">
        <v>5935</v>
      </c>
      <c r="L899" s="2024" t="str">
        <f>VLOOKUP(A899,'2012 Budget'!$A$18:$B$2152,2,FALSE)</f>
        <v>Printing &amp; Stat</v>
      </c>
    </row>
    <row r="900" spans="1:12" s="2024" customFormat="1" ht="13.5" thickBot="1" x14ac:dyDescent="0.25">
      <c r="A900" s="2116" t="s">
        <v>5254</v>
      </c>
      <c r="B900" s="2117" t="s">
        <v>4853</v>
      </c>
      <c r="C900" s="2109">
        <f>VLOOKUP(A900,'2011 - TB'!$A$3:$B$971,2,FALSE)</f>
        <v>-9.82</v>
      </c>
      <c r="D900" s="2118">
        <v>0</v>
      </c>
      <c r="E900" s="2118">
        <f>VLOOKUP(A900,'2012 - TB'!$A$3:$H$733,5,FALSE)</f>
        <v>1533.51</v>
      </c>
      <c r="F900" s="2118">
        <f>VLOOKUP(A900,'2012 - TB'!$A$3:$H$733,6,FALSE)</f>
        <v>-504.79</v>
      </c>
      <c r="G900" s="2118">
        <f t="shared" si="34"/>
        <v>1028.72</v>
      </c>
      <c r="H900" s="2640">
        <f>SUMIF('Original Budget'!$A$1:$A$691,'Trial Balance - FPer'!A900,'Original Budget'!$C$1:$C$691)</f>
        <v>2050.79</v>
      </c>
      <c r="I900" s="2640">
        <f>VLOOKUP(A900,'2012 - TB'!$A$3:$C$733,3,FALSE)</f>
        <v>2050.79</v>
      </c>
      <c r="J900" s="2119" t="s">
        <v>5935</v>
      </c>
      <c r="L900" s="2024" t="str">
        <f>VLOOKUP(A900,'2012 Budget'!$A$18:$B$2152,2,FALSE)</f>
        <v>Printing &amp; Stat</v>
      </c>
    </row>
    <row r="901" spans="1:12" s="2024" customFormat="1" ht="13.5" thickBot="1" x14ac:dyDescent="0.25">
      <c r="A901" s="2125" t="s">
        <v>5429</v>
      </c>
      <c r="B901" s="2126" t="s">
        <v>5054</v>
      </c>
      <c r="C901" s="2127">
        <f>VLOOKUP(A901,'2011 - TB'!$A$3:$B$971,2,FALSE)</f>
        <v>-2520.12</v>
      </c>
      <c r="D901" s="2128">
        <v>0</v>
      </c>
      <c r="E901" s="2128">
        <f>VLOOKUP(A901,'2012 - TB'!$A$3:$H$733,5,FALSE)</f>
        <v>4761.78</v>
      </c>
      <c r="F901" s="2128">
        <f>VLOOKUP(A901,'2012 - TB'!$A$3:$H$733,6,FALSE)</f>
        <v>-10274.1</v>
      </c>
      <c r="G901" s="2128">
        <f t="shared" si="34"/>
        <v>-5512.3200000000006</v>
      </c>
      <c r="H901" s="2640">
        <f>SUMIF('Original Budget'!$A$1:$A$691,'Trial Balance - FPer'!A901,'Original Budget'!$C$1:$C$691)</f>
        <v>20000</v>
      </c>
      <c r="I901" s="2640">
        <f>VLOOKUP(A901,'2012 - TB'!$A$3:$C$733,3,FALSE)</f>
        <v>10000</v>
      </c>
      <c r="J901" s="2129" t="s">
        <v>5945</v>
      </c>
      <c r="L901" s="2024" t="str">
        <f>VLOOKUP(A901,'2012 Budget'!$A$18:$B$2152,2,FALSE)</f>
        <v>R/M - Grounds/G</v>
      </c>
    </row>
    <row r="902" spans="1:12" s="2024" customFormat="1" x14ac:dyDescent="0.2">
      <c r="A902" s="2116" t="s">
        <v>5087</v>
      </c>
      <c r="B902" s="2117" t="s">
        <v>5088</v>
      </c>
      <c r="C902" s="2109">
        <f>VLOOKUP(A902,'2011 - TB'!$A$3:$B$971,2,FALSE)</f>
        <v>-13870.58</v>
      </c>
      <c r="D902" s="2118">
        <v>0</v>
      </c>
      <c r="E902" s="2118">
        <f>VLOOKUP(A902,'2012 - TB'!$A$3:$H$733,5,FALSE)</f>
        <v>1579.26</v>
      </c>
      <c r="F902" s="2118">
        <f>VLOOKUP(A902,'2012 - TB'!$A$3:$H$733,6,FALSE)</f>
        <v>-12523.2</v>
      </c>
      <c r="G902" s="2118">
        <f t="shared" si="34"/>
        <v>-10943.94</v>
      </c>
      <c r="H902" s="2640">
        <f>SUMIF('Original Budget'!$A$1:$A$691,'Trial Balance - FPer'!A902,'Original Budget'!$C$1:$C$691)</f>
        <v>-37405.769999999997</v>
      </c>
      <c r="I902" s="2640">
        <f>VLOOKUP(A902,'2012 - TB'!$A$3:$C$733,3,FALSE)</f>
        <v>-15000</v>
      </c>
      <c r="J902" s="2119" t="s">
        <v>5935</v>
      </c>
      <c r="L902" s="2024" t="str">
        <f>VLOOKUP(A902,'2012 Budget'!$A$18:$B$2152,2,FALSE)</f>
        <v>Rates Certifica</v>
      </c>
    </row>
    <row r="903" spans="1:12" s="2024" customFormat="1" x14ac:dyDescent="0.2">
      <c r="A903" s="2116" t="s">
        <v>5089</v>
      </c>
      <c r="B903" s="2117" t="s">
        <v>5088</v>
      </c>
      <c r="C903" s="2109">
        <f>VLOOKUP(A903,'2011 - TB'!$A$3:$B$971,2,FALSE)</f>
        <v>-23583.48</v>
      </c>
      <c r="D903" s="2118">
        <v>0</v>
      </c>
      <c r="E903" s="2118">
        <v>0</v>
      </c>
      <c r="F903" s="2118">
        <v>0</v>
      </c>
      <c r="G903" s="2118">
        <f t="shared" si="34"/>
        <v>0</v>
      </c>
      <c r="H903" s="2640">
        <f>SUMIF('Original Budget'!$A$1:$A$691,'Trial Balance - FPer'!A903,'Original Budget'!$C$1:$C$691)</f>
        <v>0</v>
      </c>
      <c r="I903" s="2640"/>
      <c r="J903" s="2119" t="s">
        <v>5935</v>
      </c>
      <c r="L903" s="2024" t="str">
        <f>VLOOKUP(A903,'2012 Budget'!$A$18:$B$2152,2,FALSE)</f>
        <v>Discount Receiv</v>
      </c>
    </row>
    <row r="904" spans="1:12" s="2024" customFormat="1" ht="13.5" thickBot="1" x14ac:dyDescent="0.25">
      <c r="A904" s="2116" t="s">
        <v>5929</v>
      </c>
      <c r="B904" s="2117" t="s">
        <v>5088</v>
      </c>
      <c r="C904" s="2109">
        <v>0</v>
      </c>
      <c r="D904" s="2118">
        <v>0</v>
      </c>
      <c r="E904" s="2118">
        <v>0</v>
      </c>
      <c r="F904" s="2118">
        <v>0</v>
      </c>
      <c r="G904" s="2118">
        <f t="shared" si="34"/>
        <v>0</v>
      </c>
      <c r="H904" s="2640">
        <f>SUMIF('Original Budget'!$A$1:$A$691,'Trial Balance - FPer'!A904,'Original Budget'!$C$1:$C$691)</f>
        <v>0</v>
      </c>
      <c r="I904" s="2640"/>
      <c r="J904" s="2119" t="s">
        <v>5935</v>
      </c>
      <c r="L904" s="2024" t="str">
        <f>VLOOKUP(A904,'2012 Budget'!$A$18:$B$2152,2,FALSE)</f>
        <v>Re-Connection F</v>
      </c>
    </row>
    <row r="905" spans="1:12" s="2024" customFormat="1" ht="13.5" thickBot="1" x14ac:dyDescent="0.25">
      <c r="A905" s="2125" t="s">
        <v>5672</v>
      </c>
      <c r="B905" s="2126" t="s">
        <v>4826</v>
      </c>
      <c r="C905" s="2127">
        <f>VLOOKUP(A905,'2011 - TB'!$A$3:$B$971,2,FALSE)</f>
        <v>-14154.6</v>
      </c>
      <c r="D905" s="2128">
        <v>0</v>
      </c>
      <c r="E905" s="2128">
        <v>0</v>
      </c>
      <c r="F905" s="2128">
        <v>0</v>
      </c>
      <c r="G905" s="2128">
        <f t="shared" si="34"/>
        <v>0</v>
      </c>
      <c r="H905" s="2640">
        <f>SUMIF('Original Budget'!$A$1:$A$691,'Trial Balance - FPer'!A905,'Original Budget'!$C$1:$C$691)</f>
        <v>16065.57</v>
      </c>
      <c r="I905" s="2640"/>
      <c r="J905" s="2129" t="s">
        <v>5935</v>
      </c>
      <c r="L905" s="2024" t="str">
        <f>VLOOKUP(A905,'2012 Budget'!$A$18:$B$2152,2,FALSE)</f>
        <v>Compensation Co</v>
      </c>
    </row>
    <row r="906" spans="1:12" s="2024" customFormat="1" x14ac:dyDescent="0.2">
      <c r="A906" s="1275" t="s">
        <v>5092</v>
      </c>
      <c r="B906" s="2112" t="s">
        <v>5093</v>
      </c>
      <c r="C906" s="2113">
        <f>VLOOKUP(A906,'2011 - TB'!$A$3:$B$971,2,FALSE)</f>
        <v>-800979.1</v>
      </c>
      <c r="D906" s="2114">
        <v>0</v>
      </c>
      <c r="E906" s="2114">
        <f>VLOOKUP(A906,'2012 - TB'!$A$3:$H$733,5,FALSE)</f>
        <v>3452260.0799999996</v>
      </c>
      <c r="F906" s="2114">
        <f>VLOOKUP(A906,'2012 - TB'!$A$3:$H$733,6,FALSE)</f>
        <v>-3747624.19</v>
      </c>
      <c r="G906" s="2131">
        <f t="shared" si="34"/>
        <v>-295364.11000000034</v>
      </c>
      <c r="H906" s="2640">
        <f>SUMIF('Original Budget'!$A$1:$A$691,'Trial Balance - FPer'!A906,'Original Budget'!$C$1:$C$691)</f>
        <v>-83301.58</v>
      </c>
      <c r="I906" s="2640">
        <f>VLOOKUP(A906,'2012 - TB'!$A$3:$C$733,3,FALSE)</f>
        <v>-600000</v>
      </c>
      <c r="J906" s="2115" t="s">
        <v>5935</v>
      </c>
      <c r="L906" s="2024" t="str">
        <f>VLOOKUP(A906,'2012 Budget'!$A$18:$B$2152,2,FALSE)</f>
        <v>Sundry Income;</v>
      </c>
    </row>
    <row r="907" spans="1:12" s="2024" customFormat="1" x14ac:dyDescent="0.2">
      <c r="A907" s="2116" t="s">
        <v>5094</v>
      </c>
      <c r="B907" s="2117" t="s">
        <v>5095</v>
      </c>
      <c r="C907" s="2109">
        <f>VLOOKUP(A907,'2011 - TB'!$A$3:$B$971,2,FALSE)</f>
        <v>-42.11</v>
      </c>
      <c r="D907" s="2118">
        <v>0</v>
      </c>
      <c r="E907" s="2118">
        <v>0</v>
      </c>
      <c r="F907" s="2118">
        <v>0</v>
      </c>
      <c r="G907" s="2118">
        <f>E907+F907</f>
        <v>0</v>
      </c>
      <c r="H907" s="2640">
        <f>SUMIF('Original Budget'!$A$1:$A$691,'Trial Balance - FPer'!A907,'Original Budget'!$C$1:$C$691)</f>
        <v>-3000</v>
      </c>
      <c r="I907" s="2640"/>
      <c r="J907" s="2119" t="s">
        <v>5962</v>
      </c>
      <c r="L907" s="2024" t="str">
        <f>VLOOKUP(A907,'2012 Budget'!$A$18:$B$2152,2,FALSE)</f>
        <v>Administration</v>
      </c>
    </row>
    <row r="908" spans="1:12" s="2024" customFormat="1" x14ac:dyDescent="0.2">
      <c r="A908" s="2116" t="s">
        <v>5315</v>
      </c>
      <c r="B908" s="2117" t="s">
        <v>5093</v>
      </c>
      <c r="C908" s="2109">
        <f>VLOOKUP(A908,'2011 - TB'!$A$3:$B$971,2,FALSE)</f>
        <v>-263.16000000000003</v>
      </c>
      <c r="D908" s="2118">
        <v>0</v>
      </c>
      <c r="E908" s="2118">
        <v>0</v>
      </c>
      <c r="F908" s="2118">
        <v>0</v>
      </c>
      <c r="G908" s="2118">
        <f t="shared" si="34"/>
        <v>0</v>
      </c>
      <c r="H908" s="2640">
        <f>SUMIF('Original Budget'!$A$1:$A$691,'Trial Balance - FPer'!A908,'Original Budget'!$C$1:$C$691)</f>
        <v>0</v>
      </c>
      <c r="I908" s="2640"/>
      <c r="J908" s="2119" t="s">
        <v>5935</v>
      </c>
      <c r="L908" s="2024" t="str">
        <f>VLOOKUP(A908,'2012 Budget'!$A$18:$B$2152,2,FALSE)</f>
        <v>Sundry Income;</v>
      </c>
    </row>
    <row r="909" spans="1:12" s="2024" customFormat="1" x14ac:dyDescent="0.2">
      <c r="A909" s="2116" t="s">
        <v>5551</v>
      </c>
      <c r="B909" s="2117" t="s">
        <v>5093</v>
      </c>
      <c r="C909" s="2109">
        <v>0</v>
      </c>
      <c r="D909" s="2118">
        <v>0</v>
      </c>
      <c r="E909" s="2118">
        <v>0</v>
      </c>
      <c r="F909" s="2118">
        <v>0</v>
      </c>
      <c r="G909" s="2118">
        <f t="shared" si="34"/>
        <v>0</v>
      </c>
      <c r="H909" s="2640">
        <f>SUMIF('Original Budget'!$A$1:$A$691,'Trial Balance - FPer'!A909,'Original Budget'!$C$1:$C$691)</f>
        <v>0</v>
      </c>
      <c r="I909" s="2640"/>
      <c r="J909" s="2119" t="s">
        <v>5935</v>
      </c>
      <c r="L909" s="2024" t="str">
        <f>VLOOKUP(A909,'2012 Budget'!$A$18:$B$2152,2,FALSE)</f>
        <v>Sundry Income;</v>
      </c>
    </row>
    <row r="910" spans="1:12" s="2024" customFormat="1" x14ac:dyDescent="0.2">
      <c r="A910" s="2116" t="s">
        <v>5643</v>
      </c>
      <c r="B910" s="2117" t="s">
        <v>5093</v>
      </c>
      <c r="C910" s="2109">
        <v>0</v>
      </c>
      <c r="D910" s="2118">
        <v>0</v>
      </c>
      <c r="E910" s="2118">
        <v>0</v>
      </c>
      <c r="F910" s="2118">
        <v>0</v>
      </c>
      <c r="G910" s="2118">
        <f t="shared" si="34"/>
        <v>0</v>
      </c>
      <c r="H910" s="2640">
        <f>SUMIF('Original Budget'!$A$1:$A$691,'Trial Balance - FPer'!A910,'Original Budget'!$C$1:$C$691)+H1126</f>
        <v>-115711.86</v>
      </c>
      <c r="I910" s="2640">
        <f>I1126</f>
        <v>-104578.7</v>
      </c>
      <c r="J910" s="2119" t="s">
        <v>5935</v>
      </c>
      <c r="L910" s="2024" t="str">
        <f>VLOOKUP(A910,'2012 Budget'!$A$18:$B$2152,2,FALSE)</f>
        <v>Sundry Income;</v>
      </c>
    </row>
    <row r="911" spans="1:12" s="2024" customFormat="1" ht="13.5" thickBot="1" x14ac:dyDescent="0.25">
      <c r="A911" s="2120" t="s">
        <v>5930</v>
      </c>
      <c r="B911" s="2121" t="s">
        <v>5093</v>
      </c>
      <c r="C911" s="2122">
        <v>0</v>
      </c>
      <c r="D911" s="2123">
        <v>0</v>
      </c>
      <c r="E911" s="2123">
        <f>VLOOKUP(A911,'2012 - TB'!$A$3:$H$733,5,FALSE)</f>
        <v>0</v>
      </c>
      <c r="F911" s="2123">
        <f>VLOOKUP(A911,'2012 - TB'!$A$3:$H$733,6,FALSE)</f>
        <v>-115500</v>
      </c>
      <c r="G911" s="2123">
        <f t="shared" si="34"/>
        <v>-115500</v>
      </c>
      <c r="H911" s="2640">
        <f>SUMIF('Original Budget'!$A$1:$A$691,'Trial Balance - FPer'!A911,'Original Budget'!$C$1:$C$691)</f>
        <v>0</v>
      </c>
      <c r="I911" s="2640">
        <f>VLOOKUP(A911,'2012 - TB'!$A$3:$C$733,3,FALSE)</f>
        <v>0</v>
      </c>
      <c r="J911" s="2124" t="s">
        <v>5935</v>
      </c>
      <c r="L911" s="2024" t="str">
        <f>VLOOKUP(A911,'2012 Budget'!$A$18:$B$2152,2,FALSE)</f>
        <v>Sundry Income;</v>
      </c>
    </row>
    <row r="912" spans="1:12" s="2024" customFormat="1" ht="13.5" thickBot="1" x14ac:dyDescent="0.25">
      <c r="C912" s="2130">
        <f t="shared" ref="C912:I912" si="35">SUM(C890:C911)</f>
        <v>-903858.07000000007</v>
      </c>
      <c r="D912" s="2130">
        <f t="shared" si="35"/>
        <v>0</v>
      </c>
      <c r="E912" s="2130">
        <f t="shared" si="35"/>
        <v>3465159.4399999995</v>
      </c>
      <c r="F912" s="2130">
        <f t="shared" si="35"/>
        <v>-3922094.19</v>
      </c>
      <c r="G912" s="2130">
        <f t="shared" si="35"/>
        <v>-456934.75000000035</v>
      </c>
      <c r="H912" s="2641">
        <f t="shared" si="35"/>
        <v>-265685.12</v>
      </c>
      <c r="I912" s="2641">
        <f t="shared" si="35"/>
        <v>-765867.5199999999</v>
      </c>
      <c r="J912" s="2026"/>
      <c r="L912" s="2024" t="e">
        <f>VLOOKUP(A912,'2012 Budget'!$A$18:$B$2152,2,FALSE)</f>
        <v>#N/A</v>
      </c>
    </row>
    <row r="913" spans="1:12" s="2024" customFormat="1" ht="7.5" customHeight="1" thickTop="1" x14ac:dyDescent="0.2">
      <c r="C913" s="2042"/>
      <c r="D913" s="2025"/>
      <c r="E913" s="2025"/>
      <c r="F913" s="2025"/>
      <c r="G913" s="2025"/>
      <c r="H913" s="2118">
        <f>SUMIF('Original Budget'!$A$1:$A$691,'Trial Balance - FPer'!A913,'Original Budget'!$C$1:$C$691)</f>
        <v>0</v>
      </c>
      <c r="I913" s="2118"/>
      <c r="J913" s="2026"/>
      <c r="L913" s="2024" t="e">
        <f>VLOOKUP(A913,'2012 Budget'!$A$18:$B$2152,2,FALSE)</f>
        <v>#N/A</v>
      </c>
    </row>
    <row r="914" spans="1:12" s="2024" customFormat="1" x14ac:dyDescent="0.2">
      <c r="B914" s="1208" t="s">
        <v>1212</v>
      </c>
      <c r="C914" s="2110">
        <f>'Fin Perform'!K23</f>
        <v>974842.35</v>
      </c>
      <c r="D914" s="2109"/>
      <c r="E914" s="2109"/>
      <c r="F914" s="2109"/>
      <c r="G914" s="2646">
        <f>'Fin Perform'!I23</f>
        <v>567171.72000000044</v>
      </c>
      <c r="H914" s="2118">
        <f>SUMIF('Original Budget'!$A$1:$A$691,'Trial Balance - FPer'!A914,'Original Budget'!$C$1:$C$691)</f>
        <v>0</v>
      </c>
      <c r="I914" s="2118"/>
      <c r="J914" s="2026"/>
      <c r="L914" s="2024" t="e">
        <f>VLOOKUP(A914,'2012 Budget'!$A$18:$B$2152,2,FALSE)</f>
        <v>#N/A</v>
      </c>
    </row>
    <row r="915" spans="1:12" s="2024" customFormat="1" ht="7.5" customHeight="1" x14ac:dyDescent="0.2">
      <c r="C915" s="2109"/>
      <c r="D915" s="2109"/>
      <c r="E915" s="2109"/>
      <c r="F915" s="2109"/>
      <c r="G915" s="2109"/>
      <c r="H915" s="2118">
        <f>SUMIF('Original Budget'!$A$1:$A$691,'Trial Balance - FPer'!A915,'Original Budget'!$C$1:$C$691)</f>
        <v>0</v>
      </c>
      <c r="I915" s="2118"/>
      <c r="J915" s="2026"/>
      <c r="L915" s="2024" t="e">
        <f>VLOOKUP(A915,'2012 Budget'!$A$18:$B$2152,2,FALSE)</f>
        <v>#N/A</v>
      </c>
    </row>
    <row r="916" spans="1:12" s="2024" customFormat="1" ht="13.5" thickBot="1" x14ac:dyDescent="0.25">
      <c r="B916" s="1208" t="s">
        <v>6423</v>
      </c>
      <c r="C916" s="2103">
        <f>C912+C914</f>
        <v>70984.279999999912</v>
      </c>
      <c r="D916" s="2109"/>
      <c r="E916" s="2109"/>
      <c r="F916" s="2109"/>
      <c r="G916" s="2103">
        <f>G912+G914</f>
        <v>110236.97000000009</v>
      </c>
      <c r="H916" s="2118">
        <f>SUMIF('Original Budget'!$A$1:$A$691,'Trial Balance - FPer'!A916,'Original Budget'!$C$1:$C$691)</f>
        <v>0</v>
      </c>
      <c r="I916" s="2118"/>
      <c r="J916" s="2026"/>
      <c r="L916" s="2024" t="e">
        <f>VLOOKUP(A916,'2012 Budget'!$A$18:$B$2152,2,FALSE)</f>
        <v>#N/A</v>
      </c>
    </row>
    <row r="917" spans="1:12" s="2024" customFormat="1" ht="14.25" thickTop="1" thickBot="1" x14ac:dyDescent="0.25">
      <c r="C917" s="2042"/>
      <c r="D917" s="2025"/>
      <c r="E917" s="2025"/>
      <c r="F917" s="2025"/>
      <c r="G917" s="2025"/>
      <c r="H917" s="2118">
        <f>SUMIF('Original Budget'!$A$1:$A$691,'Trial Balance - FPer'!A917,'Original Budget'!$C$1:$C$691)</f>
        <v>0</v>
      </c>
      <c r="I917" s="2118"/>
      <c r="J917" s="2026"/>
      <c r="L917" s="2024" t="e">
        <f>VLOOKUP(A917,'2012 Budget'!$A$18:$B$2152,2,FALSE)</f>
        <v>#N/A</v>
      </c>
    </row>
    <row r="918" spans="1:12" s="2024" customFormat="1" x14ac:dyDescent="0.2">
      <c r="A918" s="2111" t="s">
        <v>5512</v>
      </c>
      <c r="B918" s="2112" t="s">
        <v>5513</v>
      </c>
      <c r="C918" s="2113">
        <f>VLOOKUP(A918,'2011 - TB'!$A$3:$B$971,2,FALSE)</f>
        <v>-4152.66</v>
      </c>
      <c r="D918" s="2114">
        <v>0</v>
      </c>
      <c r="E918" s="2114">
        <f>VLOOKUP(A918,'2012 - TB'!$A$3:$H$733,5,FALSE)</f>
        <v>61.4</v>
      </c>
      <c r="F918" s="2114">
        <f>VLOOKUP(A918,'2012 - TB'!$A$3:$H$733,6,FALSE)</f>
        <v>-500</v>
      </c>
      <c r="G918" s="2114">
        <f>E918+F918</f>
        <v>-438.6</v>
      </c>
      <c r="H918" s="2640">
        <f>SUMIF('Original Budget'!$A$1:$A$691,'Trial Balance - FPer'!A918,'Original Budget'!$C$1:$C$691)</f>
        <v>-110</v>
      </c>
      <c r="I918" s="2640">
        <f>VLOOKUP(A918,'2012 - TB'!$A$3:$C$733,3,FALSE)</f>
        <v>-1000</v>
      </c>
      <c r="J918" s="2115" t="s">
        <v>5935</v>
      </c>
      <c r="L918" s="2024" t="str">
        <f>VLOOKUP(A918,'2012 Budget'!$A$18:$B$2152,2,FALSE)</f>
        <v>Permits;</v>
      </c>
    </row>
    <row r="919" spans="1:12" s="2024" customFormat="1" ht="13.5" thickBot="1" x14ac:dyDescent="0.25">
      <c r="A919" s="2120" t="s">
        <v>5661</v>
      </c>
      <c r="B919" s="2121" t="s">
        <v>5513</v>
      </c>
      <c r="C919" s="2122">
        <v>0</v>
      </c>
      <c r="D919" s="2123">
        <v>0</v>
      </c>
      <c r="E919" s="2123">
        <v>0</v>
      </c>
      <c r="F919" s="2123">
        <v>0</v>
      </c>
      <c r="G919" s="2123">
        <f>E919+F919</f>
        <v>0</v>
      </c>
      <c r="H919" s="2640">
        <f>SUMIF('Original Budget'!$A$1:$A$691,'Trial Balance - FPer'!A919,'Original Budget'!$C$1:$C$691)</f>
        <v>0</v>
      </c>
      <c r="I919" s="2640"/>
      <c r="J919" s="2124" t="s">
        <v>5935</v>
      </c>
      <c r="L919" s="2024" t="str">
        <f>VLOOKUP(A919,'2012 Budget'!$A$18:$B$2152,2,FALSE)</f>
        <v>Subsidy - Dept</v>
      </c>
    </row>
    <row r="920" spans="1:12" s="2024" customFormat="1" ht="13.5" thickBot="1" x14ac:dyDescent="0.25">
      <c r="C920" s="2130">
        <f>SUM(C918:C919)</f>
        <v>-4152.66</v>
      </c>
      <c r="D920" s="2130">
        <f t="shared" ref="D920:I920" si="36">SUM(D918:D919)</f>
        <v>0</v>
      </c>
      <c r="E920" s="2130">
        <f t="shared" si="36"/>
        <v>61.4</v>
      </c>
      <c r="F920" s="2130">
        <f t="shared" si="36"/>
        <v>-500</v>
      </c>
      <c r="G920" s="2130">
        <f t="shared" si="36"/>
        <v>-438.6</v>
      </c>
      <c r="H920" s="2641">
        <f t="shared" si="36"/>
        <v>-110</v>
      </c>
      <c r="I920" s="2641">
        <f t="shared" si="36"/>
        <v>-1000</v>
      </c>
      <c r="J920" s="2026"/>
      <c r="L920" s="2024" t="e">
        <f>VLOOKUP(A920,'2012 Budget'!$A$18:$B$2152,2,FALSE)</f>
        <v>#N/A</v>
      </c>
    </row>
    <row r="921" spans="1:12" s="2024" customFormat="1" ht="7.5" customHeight="1" thickTop="1" x14ac:dyDescent="0.2">
      <c r="C921" s="2042"/>
      <c r="D921" s="2025"/>
      <c r="E921" s="2025"/>
      <c r="F921" s="2025"/>
      <c r="G921" s="2025"/>
      <c r="H921" s="2118">
        <f>SUMIF('Original Budget'!$A$1:$A$691,'Trial Balance - FPer'!A921,'Original Budget'!$C$1:$C$691)</f>
        <v>0</v>
      </c>
      <c r="I921" s="2118"/>
      <c r="J921" s="2026"/>
      <c r="L921" s="2024" t="e">
        <f>VLOOKUP(A921,'2012 Budget'!$A$18:$B$2152,2,FALSE)</f>
        <v>#N/A</v>
      </c>
    </row>
    <row r="922" spans="1:12" s="2024" customFormat="1" x14ac:dyDescent="0.2">
      <c r="B922" s="1208" t="s">
        <v>1212</v>
      </c>
      <c r="C922" s="2110">
        <f>'Fin Perform'!K13</f>
        <v>4152.66</v>
      </c>
      <c r="D922" s="2109"/>
      <c r="E922" s="2109"/>
      <c r="F922" s="2109"/>
      <c r="G922" s="2646">
        <f>'Fin Perform'!I13</f>
        <v>438.6</v>
      </c>
      <c r="H922" s="2118">
        <f>SUMIF('Original Budget'!$A$1:$A$691,'Trial Balance - FPer'!A922,'Original Budget'!$C$1:$C$691)</f>
        <v>0</v>
      </c>
      <c r="I922" s="2118"/>
      <c r="J922" s="2026"/>
      <c r="L922" s="2024" t="e">
        <f>VLOOKUP(A922,'2012 Budget'!$A$18:$B$2152,2,FALSE)</f>
        <v>#N/A</v>
      </c>
    </row>
    <row r="923" spans="1:12" s="2024" customFormat="1" ht="7.5" customHeight="1" x14ac:dyDescent="0.2">
      <c r="C923" s="2109"/>
      <c r="D923" s="2109"/>
      <c r="E923" s="2109"/>
      <c r="F923" s="2109"/>
      <c r="G923" s="2109"/>
      <c r="H923" s="2118">
        <f>SUMIF('Original Budget'!$A$1:$A$691,'Trial Balance - FPer'!A923,'Original Budget'!$C$1:$C$691)</f>
        <v>0</v>
      </c>
      <c r="I923" s="2118"/>
      <c r="J923" s="2026"/>
      <c r="L923" s="2024" t="e">
        <f>VLOOKUP(A923,'2012 Budget'!$A$18:$B$2152,2,FALSE)</f>
        <v>#N/A</v>
      </c>
    </row>
    <row r="924" spans="1:12" s="2024" customFormat="1" ht="13.5" thickBot="1" x14ac:dyDescent="0.25">
      <c r="B924" s="1208" t="s">
        <v>6423</v>
      </c>
      <c r="C924" s="2103">
        <f>C920+C922</f>
        <v>0</v>
      </c>
      <c r="D924" s="2109"/>
      <c r="E924" s="2109"/>
      <c r="F924" s="2109"/>
      <c r="G924" s="2103">
        <f>G920+G922</f>
        <v>0</v>
      </c>
      <c r="H924" s="2118">
        <f>SUMIF('Original Budget'!$A$1:$A$691,'Trial Balance - FPer'!A924,'Original Budget'!$C$1:$C$691)</f>
        <v>0</v>
      </c>
      <c r="I924" s="2118"/>
      <c r="J924" s="2026"/>
      <c r="L924" s="2024" t="e">
        <f>VLOOKUP(A924,'2012 Budget'!$A$18:$B$2152,2,FALSE)</f>
        <v>#N/A</v>
      </c>
    </row>
    <row r="925" spans="1:12" s="2024" customFormat="1" ht="14.25" thickTop="1" thickBot="1" x14ac:dyDescent="0.25">
      <c r="C925" s="2042"/>
      <c r="D925" s="2025"/>
      <c r="E925" s="2025"/>
      <c r="F925" s="2025"/>
      <c r="G925" s="2025"/>
      <c r="H925" s="2118">
        <f>SUMIF('Original Budget'!$A$1:$A$691,'Trial Balance - FPer'!A925,'Original Budget'!$C$1:$C$691)</f>
        <v>0</v>
      </c>
      <c r="I925" s="2118"/>
      <c r="J925" s="2026"/>
      <c r="L925" s="2024" t="e">
        <f>VLOOKUP(A925,'2012 Budget'!$A$18:$B$2152,2,FALSE)</f>
        <v>#N/A</v>
      </c>
    </row>
    <row r="926" spans="1:12" s="2024" customFormat="1" x14ac:dyDescent="0.2">
      <c r="A926" s="2111" t="s">
        <v>5381</v>
      </c>
      <c r="B926" s="2112" t="s">
        <v>5382</v>
      </c>
      <c r="C926" s="2113">
        <v>0</v>
      </c>
      <c r="D926" s="2114">
        <v>0</v>
      </c>
      <c r="E926" s="2114">
        <v>0</v>
      </c>
      <c r="F926" s="2114">
        <v>0</v>
      </c>
      <c r="G926" s="2114">
        <f t="shared" si="34"/>
        <v>0</v>
      </c>
      <c r="H926" s="2640">
        <f>SUMIF('Original Budget'!$A$1:$A$691,'Trial Balance - FPer'!A926,'Original Budget'!$C$1:$C$691)</f>
        <v>0</v>
      </c>
      <c r="I926" s="2640"/>
      <c r="J926" s="2115" t="s">
        <v>5935</v>
      </c>
      <c r="L926" s="2024" t="str">
        <f>VLOOKUP(A926,'2012 Budget'!$A$18:$B$2152,2,FALSE)</f>
        <v>Fines Library;</v>
      </c>
    </row>
    <row r="927" spans="1:12" s="2024" customFormat="1" ht="13.5" thickBot="1" x14ac:dyDescent="0.25">
      <c r="A927" s="2120" t="s">
        <v>5549</v>
      </c>
      <c r="B927" s="2121" t="s">
        <v>5382</v>
      </c>
      <c r="C927" s="2122">
        <f>VLOOKUP(A927,'2011 - TB'!$A$3:$B$971,2,FALSE)</f>
        <v>-156055.32</v>
      </c>
      <c r="D927" s="2123">
        <v>0</v>
      </c>
      <c r="E927" s="2123">
        <f>VLOOKUP(A927,'2012 - TB'!$A$3:$H$733,5,FALSE)</f>
        <v>727790</v>
      </c>
      <c r="F927" s="2123">
        <f>VLOOKUP(A927,'2012 - TB'!$A$3:$H$733,6,FALSE)</f>
        <v>-884933</v>
      </c>
      <c r="G927" s="2123">
        <f t="shared" si="34"/>
        <v>-157143</v>
      </c>
      <c r="H927" s="2640">
        <f>SUMIF('Original Budget'!$A$1:$A$691,'Trial Balance - FPer'!A927,'Original Budget'!$C$1:$C$691)</f>
        <v>-1210000</v>
      </c>
      <c r="I927" s="2640">
        <f>VLOOKUP(A927,'2012 - TB'!$A$3:$C$733,3,FALSE)</f>
        <v>-50000</v>
      </c>
      <c r="J927" s="2124" t="s">
        <v>5935</v>
      </c>
      <c r="L927" s="2024" t="str">
        <f>VLOOKUP(A927,'2012 Budget'!$A$18:$B$2152,2,FALSE)</f>
        <v>Traffic Fines;</v>
      </c>
    </row>
    <row r="928" spans="1:12" s="2024" customFormat="1" ht="13.5" thickBot="1" x14ac:dyDescent="0.25">
      <c r="C928" s="2130">
        <f>SUM(C926:C927)</f>
        <v>-156055.32</v>
      </c>
      <c r="D928" s="2130">
        <f t="shared" ref="D928:I928" si="37">SUM(D926:D927)</f>
        <v>0</v>
      </c>
      <c r="E928" s="2130">
        <f t="shared" si="37"/>
        <v>727790</v>
      </c>
      <c r="F928" s="2130">
        <f t="shared" si="37"/>
        <v>-884933</v>
      </c>
      <c r="G928" s="2130">
        <f t="shared" si="37"/>
        <v>-157143</v>
      </c>
      <c r="H928" s="2641">
        <f t="shared" si="37"/>
        <v>-1210000</v>
      </c>
      <c r="I928" s="2641">
        <f t="shared" si="37"/>
        <v>-50000</v>
      </c>
      <c r="J928" s="2026"/>
      <c r="L928" s="2024" t="e">
        <f>VLOOKUP(A928,'2012 Budget'!$A$18:$B$2152,2,FALSE)</f>
        <v>#N/A</v>
      </c>
    </row>
    <row r="929" spans="1:12" s="2024" customFormat="1" ht="7.5" customHeight="1" thickTop="1" x14ac:dyDescent="0.2">
      <c r="C929" s="2042"/>
      <c r="D929" s="2025"/>
      <c r="E929" s="2025"/>
      <c r="F929" s="2025"/>
      <c r="G929" s="2025"/>
      <c r="H929" s="2118">
        <f>SUMIF('Original Budget'!$A$1:$A$691,'Trial Balance - FPer'!A929,'Original Budget'!$C$1:$C$691)</f>
        <v>0</v>
      </c>
      <c r="I929" s="2118"/>
      <c r="J929" s="2026"/>
      <c r="L929" s="2024" t="e">
        <f>VLOOKUP(A929,'2012 Budget'!$A$18:$B$2152,2,FALSE)</f>
        <v>#N/A</v>
      </c>
    </row>
    <row r="930" spans="1:12" s="2024" customFormat="1" x14ac:dyDescent="0.2">
      <c r="B930" s="1208" t="s">
        <v>1212</v>
      </c>
      <c r="C930" s="2110">
        <f>'Fin Perform'!K11</f>
        <v>156055.32</v>
      </c>
      <c r="D930" s="2109"/>
      <c r="E930" s="2109"/>
      <c r="F930" s="2109"/>
      <c r="G930" s="2646">
        <f>'Fin Perform'!I11</f>
        <v>157143</v>
      </c>
      <c r="H930" s="2118">
        <f>SUMIF('Original Budget'!$A$1:$A$691,'Trial Balance - FPer'!A930,'Original Budget'!$C$1:$C$691)</f>
        <v>0</v>
      </c>
      <c r="I930" s="2118"/>
      <c r="J930" s="2026"/>
      <c r="L930" s="2024" t="e">
        <f>VLOOKUP(A930,'2012 Budget'!$A$18:$B$2152,2,FALSE)</f>
        <v>#N/A</v>
      </c>
    </row>
    <row r="931" spans="1:12" s="2024" customFormat="1" ht="7.5" customHeight="1" x14ac:dyDescent="0.2">
      <c r="C931" s="2109"/>
      <c r="D931" s="2109"/>
      <c r="E931" s="2109"/>
      <c r="F931" s="2109"/>
      <c r="G931" s="2109"/>
      <c r="H931" s="2118">
        <f>SUMIF('Original Budget'!$A$1:$A$691,'Trial Balance - FPer'!A931,'Original Budget'!$C$1:$C$691)</f>
        <v>0</v>
      </c>
      <c r="I931" s="2118"/>
      <c r="J931" s="2026"/>
      <c r="L931" s="2024" t="e">
        <f>VLOOKUP(A931,'2012 Budget'!$A$18:$B$2152,2,FALSE)</f>
        <v>#N/A</v>
      </c>
    </row>
    <row r="932" spans="1:12" s="2024" customFormat="1" ht="13.5" thickBot="1" x14ac:dyDescent="0.25">
      <c r="B932" s="1208" t="s">
        <v>6423</v>
      </c>
      <c r="C932" s="2103">
        <f>C928+C930</f>
        <v>0</v>
      </c>
      <c r="D932" s="2109"/>
      <c r="E932" s="2109"/>
      <c r="F932" s="2109"/>
      <c r="G932" s="2103">
        <f>G928+G930</f>
        <v>0</v>
      </c>
      <c r="H932" s="2118">
        <f>SUMIF('Original Budget'!$A$1:$A$691,'Trial Balance - FPer'!A932,'Original Budget'!$C$1:$C$691)</f>
        <v>0</v>
      </c>
      <c r="I932" s="2118"/>
      <c r="J932" s="2026"/>
      <c r="L932" s="2024" t="e">
        <f>VLOOKUP(A932,'2012 Budget'!$A$18:$B$2152,2,FALSE)</f>
        <v>#N/A</v>
      </c>
    </row>
    <row r="933" spans="1:12" s="2024" customFormat="1" ht="14.25" thickTop="1" thickBot="1" x14ac:dyDescent="0.25">
      <c r="C933" s="2042"/>
      <c r="D933" s="2025"/>
      <c r="E933" s="2025"/>
      <c r="F933" s="2025"/>
      <c r="G933" s="2025"/>
      <c r="H933" s="2118">
        <f>SUMIF('Original Budget'!$A$1:$A$691,'Trial Balance - FPer'!A933,'Original Budget'!$C$1:$C$691)</f>
        <v>0</v>
      </c>
      <c r="I933" s="2118"/>
      <c r="J933" s="2026"/>
      <c r="L933" s="2024" t="e">
        <f>VLOOKUP(A933,'2012 Budget'!$A$18:$B$2152,2,FALSE)</f>
        <v>#N/A</v>
      </c>
    </row>
    <row r="934" spans="1:12" s="2024" customFormat="1" x14ac:dyDescent="0.2">
      <c r="A934" s="2111" t="s">
        <v>5063</v>
      </c>
      <c r="B934" s="2112" t="s">
        <v>5064</v>
      </c>
      <c r="C934" s="2113">
        <f>VLOOKUP(A934,'2011 - TB'!$A$3:$B$971,2,FALSE)</f>
        <v>-394657.35</v>
      </c>
      <c r="D934" s="2114">
        <v>0</v>
      </c>
      <c r="E934" s="2114">
        <f>VLOOKUP(A934,'2012 - TB'!$A$3:$H$733,5,FALSE)</f>
        <v>0</v>
      </c>
      <c r="F934" s="2114">
        <f>VLOOKUP(A934,'2012 - TB'!$A$3:$H$733,6,FALSE)</f>
        <v>-411281.35</v>
      </c>
      <c r="G934" s="2114">
        <f t="shared" si="34"/>
        <v>-411281.35</v>
      </c>
      <c r="H934" s="2640">
        <f>SUMIF('Original Budget'!$A$1:$A$691,'Trial Balance - FPer'!A934,'Original Budget'!$C$1:$C$691)</f>
        <v>-6035446.3600000003</v>
      </c>
      <c r="I934" s="2640">
        <f>VLOOKUP(A934,'2012 - TB'!$A$3:$C$733,3,FALSE)</f>
        <v>-6035446.3600000003</v>
      </c>
      <c r="J934" s="2115" t="s">
        <v>404</v>
      </c>
      <c r="L934" s="2024" t="str">
        <f>VLOOKUP(A934,'2012 Budget'!$A$18:$B$2152,2,FALSE)</f>
        <v>Property Rates</v>
      </c>
    </row>
    <row r="935" spans="1:12" s="2024" customFormat="1" x14ac:dyDescent="0.2">
      <c r="A935" s="2116" t="s">
        <v>5061</v>
      </c>
      <c r="B935" s="2117" t="s">
        <v>5062</v>
      </c>
      <c r="C935" s="2109">
        <f>VLOOKUP(A935,'2011 - TB'!$A$3:$B$971,2,FALSE)</f>
        <v>-2712827.7</v>
      </c>
      <c r="D935" s="2118">
        <v>0</v>
      </c>
      <c r="E935" s="2118">
        <f>VLOOKUP(A935,'2012 - TB'!$A$3:$H$733,5,FALSE)</f>
        <v>753.05</v>
      </c>
      <c r="F935" s="2118">
        <f>VLOOKUP(A935,'2012 - TB'!$A$3:$H$733,6,FALSE)</f>
        <v>-2979713.85</v>
      </c>
      <c r="G935" s="2118">
        <f t="shared" si="34"/>
        <v>-2978960.8000000003</v>
      </c>
      <c r="H935" s="2640">
        <f>SUMIF('Original Budget'!$A$1:$A$691,'Trial Balance - FPer'!A935,'Original Budget'!$C$1:$C$691)</f>
        <v>-5968220.9400000004</v>
      </c>
      <c r="I935" s="2640">
        <f>VLOOKUP(A935,'2012 - TB'!$A$3:$C$733,3,FALSE)</f>
        <v>-5968220.9400000004</v>
      </c>
      <c r="J935" s="2119" t="s">
        <v>404</v>
      </c>
      <c r="L935" s="2024" t="str">
        <f>VLOOKUP(A935,'2012 Budget'!$A$18:$B$2152,2,FALSE)</f>
        <v>Property Rates</v>
      </c>
    </row>
    <row r="936" spans="1:12" s="2024" customFormat="1" x14ac:dyDescent="0.2">
      <c r="A936" s="2116" t="s">
        <v>5067</v>
      </c>
      <c r="B936" s="2117" t="s">
        <v>5068</v>
      </c>
      <c r="C936" s="2109">
        <f>VLOOKUP(A936,'2011 - TB'!$A$3:$B$971,2,FALSE)</f>
        <v>-281963.5</v>
      </c>
      <c r="D936" s="2118">
        <v>0</v>
      </c>
      <c r="E936" s="2118">
        <f>VLOOKUP(A936,'2012 - TB'!$A$3:$H$733,5,FALSE)</f>
        <v>0</v>
      </c>
      <c r="F936" s="2118">
        <f>VLOOKUP(A936,'2012 - TB'!$A$3:$H$733,6,FALSE)</f>
        <v>-74352.350000000006</v>
      </c>
      <c r="G936" s="2118">
        <f t="shared" si="34"/>
        <v>-74352.350000000006</v>
      </c>
      <c r="H936" s="2640">
        <f>SUMIF('Original Budget'!$A$1:$A$691,'Trial Balance - FPer'!A936,'Original Budget'!$C$1:$C$691)</f>
        <v>-620319.69999999995</v>
      </c>
      <c r="I936" s="2640">
        <f>VLOOKUP(A936,'2012 - TB'!$A$3:$C$733,3,FALSE)</f>
        <v>-620319.69999999995</v>
      </c>
      <c r="J936" s="2119" t="s">
        <v>404</v>
      </c>
      <c r="L936" s="2024" t="str">
        <f>VLOOKUP(A936,'2012 Budget'!$A$18:$B$2152,2,FALSE)</f>
        <v>Property Rates</v>
      </c>
    </row>
    <row r="937" spans="1:12" s="2024" customFormat="1" x14ac:dyDescent="0.2">
      <c r="A937" s="2116" t="s">
        <v>5069</v>
      </c>
      <c r="B937" s="2117" t="s">
        <v>5070</v>
      </c>
      <c r="C937" s="2109">
        <f>VLOOKUP(A937,'2011 - TB'!$A$3:$B$971,2,FALSE)</f>
        <v>-2673458.25</v>
      </c>
      <c r="D937" s="2118">
        <v>0</v>
      </c>
      <c r="E937" s="2118">
        <f>VLOOKUP(A937,'2012 - TB'!$A$3:$H$733,5,FALSE)</f>
        <v>-330859.99</v>
      </c>
      <c r="F937" s="2118">
        <f>VLOOKUP(A937,'2012 - TB'!$A$3:$H$733,6,FALSE)</f>
        <v>-3435760.55</v>
      </c>
      <c r="G937" s="2118">
        <f t="shared" si="34"/>
        <v>-3766620.54</v>
      </c>
      <c r="H937" s="2640">
        <f>SUMIF('Original Budget'!$A$1:$A$691,'Trial Balance - FPer'!A937,'Original Budget'!$C$1:$C$691)</f>
        <v>-868246.17</v>
      </c>
      <c r="I937" s="2640">
        <f>VLOOKUP(A937,'2012 - TB'!$A$3:$C$733,3,FALSE)</f>
        <v>-868246.17</v>
      </c>
      <c r="J937" s="2119" t="s">
        <v>404</v>
      </c>
      <c r="L937" s="2024" t="str">
        <f>VLOOKUP(A937,'2012 Budget'!$A$18:$B$2152,2,FALSE)</f>
        <v>Property Rates</v>
      </c>
    </row>
    <row r="938" spans="1:12" s="2024" customFormat="1" ht="13.5" thickBot="1" x14ac:dyDescent="0.25">
      <c r="A938" s="2120" t="s">
        <v>5071</v>
      </c>
      <c r="B938" s="2121" t="s">
        <v>5070</v>
      </c>
      <c r="C938" s="2122">
        <v>0</v>
      </c>
      <c r="D938" s="2123">
        <v>0</v>
      </c>
      <c r="E938" s="2123">
        <v>0</v>
      </c>
      <c r="F938" s="2123">
        <v>0</v>
      </c>
      <c r="G938" s="2123">
        <f t="shared" si="34"/>
        <v>0</v>
      </c>
      <c r="H938" s="2640">
        <v>6646089</v>
      </c>
      <c r="I938" s="2640">
        <v>6646089</v>
      </c>
      <c r="J938" s="2124" t="s">
        <v>404</v>
      </c>
      <c r="L938" s="2024" t="str">
        <f>VLOOKUP(A938,'2012 Budget'!$A$18:$B$2152,2,FALSE)</f>
        <v>Discount - Rate</v>
      </c>
    </row>
    <row r="939" spans="1:12" s="2024" customFormat="1" ht="13.5" thickBot="1" x14ac:dyDescent="0.25">
      <c r="C939" s="2130">
        <f t="shared" ref="C939:G939" si="38">SUM(C934:C938)</f>
        <v>-6062906.8000000007</v>
      </c>
      <c r="D939" s="2130">
        <f t="shared" si="38"/>
        <v>0</v>
      </c>
      <c r="E939" s="2130">
        <f t="shared" si="38"/>
        <v>-330106.94</v>
      </c>
      <c r="F939" s="2130">
        <f t="shared" si="38"/>
        <v>-6901108.0999999996</v>
      </c>
      <c r="G939" s="2130">
        <f t="shared" si="38"/>
        <v>-7231215.040000001</v>
      </c>
      <c r="H939" s="2641">
        <f>SUM(H934:H938)</f>
        <v>-6846144.1699999999</v>
      </c>
      <c r="I939" s="2641">
        <f>SUM(I934:I938)</f>
        <v>-6846144.1699999999</v>
      </c>
      <c r="J939" s="2026"/>
      <c r="L939" s="2024" t="e">
        <f>VLOOKUP(A939,'2012 Budget'!$A$18:$B$2152,2,FALSE)</f>
        <v>#N/A</v>
      </c>
    </row>
    <row r="940" spans="1:12" s="2024" customFormat="1" ht="7.5" customHeight="1" thickTop="1" x14ac:dyDescent="0.2">
      <c r="C940" s="2042"/>
      <c r="D940" s="2025"/>
      <c r="E940" s="2025"/>
      <c r="F940" s="2025"/>
      <c r="G940" s="2025"/>
      <c r="H940" s="2118">
        <f>SUMIF('Original Budget'!$A$1:$A$691,'Trial Balance - FPer'!A940,'Original Budget'!$C$1:$C$691)</f>
        <v>0</v>
      </c>
      <c r="I940" s="2118"/>
      <c r="J940" s="2026"/>
      <c r="L940" s="2024" t="e">
        <f>VLOOKUP(A940,'2012 Budget'!$A$18:$B$2152,2,FALSE)</f>
        <v>#N/A</v>
      </c>
    </row>
    <row r="941" spans="1:12" s="2024" customFormat="1" x14ac:dyDescent="0.2">
      <c r="B941" s="2068" t="s">
        <v>1212</v>
      </c>
      <c r="C941" s="2110">
        <f>'Fin Perform'!K9</f>
        <v>6062906.8000000007</v>
      </c>
      <c r="D941" s="2025"/>
      <c r="E941" s="2025"/>
      <c r="F941" s="2025"/>
      <c r="G941" s="2647">
        <f>'Fin Perform'!I9</f>
        <v>7231215.04</v>
      </c>
      <c r="H941" s="2118">
        <f>SUMIF('Original Budget'!$A$1:$A$691,'Trial Balance - FPer'!A941,'Original Budget'!$C$1:$C$691)</f>
        <v>0</v>
      </c>
      <c r="I941" s="2118"/>
      <c r="J941" s="2026"/>
      <c r="L941" s="2024" t="e">
        <f>VLOOKUP(A941,'2012 Budget'!$A$18:$B$2152,2,FALSE)</f>
        <v>#N/A</v>
      </c>
    </row>
    <row r="942" spans="1:12" s="2024" customFormat="1" ht="7.5" customHeight="1" x14ac:dyDescent="0.2">
      <c r="C942" s="2042"/>
      <c r="D942" s="2025"/>
      <c r="E942" s="2025"/>
      <c r="F942" s="2025"/>
      <c r="G942" s="2025"/>
      <c r="H942" s="2118">
        <f>SUMIF('Original Budget'!$A$1:$A$691,'Trial Balance - FPer'!A942,'Original Budget'!$C$1:$C$691)</f>
        <v>0</v>
      </c>
      <c r="I942" s="2118"/>
      <c r="J942" s="2026"/>
      <c r="L942" s="2024" t="e">
        <f>VLOOKUP(A942,'2012 Budget'!$A$18:$B$2152,2,FALSE)</f>
        <v>#N/A</v>
      </c>
    </row>
    <row r="943" spans="1:12" s="2024" customFormat="1" ht="13.5" thickBot="1" x14ac:dyDescent="0.25">
      <c r="B943" s="1208" t="s">
        <v>6423</v>
      </c>
      <c r="C943" s="2103">
        <f>C939+C941</f>
        <v>0</v>
      </c>
      <c r="D943" s="2025"/>
      <c r="E943" s="2025"/>
      <c r="F943" s="2025"/>
      <c r="G943" s="2103">
        <f>G939+G941</f>
        <v>0</v>
      </c>
      <c r="H943" s="2118">
        <f>SUMIF('Original Budget'!$A$1:$A$691,'Trial Balance - FPer'!A943,'Original Budget'!$C$1:$C$691)</f>
        <v>0</v>
      </c>
      <c r="I943" s="2118"/>
      <c r="J943" s="2026"/>
      <c r="L943" s="2024" t="e">
        <f>VLOOKUP(A943,'2012 Budget'!$A$18:$B$2152,2,FALSE)</f>
        <v>#N/A</v>
      </c>
    </row>
    <row r="944" spans="1:12" s="2024" customFormat="1" ht="14.25" thickTop="1" thickBot="1" x14ac:dyDescent="0.25">
      <c r="C944" s="2042"/>
      <c r="D944" s="2025"/>
      <c r="E944" s="2025"/>
      <c r="F944" s="2025"/>
      <c r="G944" s="2025"/>
      <c r="H944" s="2118">
        <f>SUMIF('Original Budget'!$A$1:$A$691,'Trial Balance - FPer'!A944,'Original Budget'!$C$1:$C$691)</f>
        <v>0</v>
      </c>
      <c r="I944" s="2118"/>
      <c r="J944" s="2026"/>
      <c r="L944" s="2024" t="e">
        <f>VLOOKUP(A944,'2012 Budget'!$A$18:$B$2152,2,FALSE)</f>
        <v>#N/A</v>
      </c>
    </row>
    <row r="945" spans="1:12" s="2024" customFormat="1" ht="13.5" thickBot="1" x14ac:dyDescent="0.25">
      <c r="A945" s="2125" t="s">
        <v>4848</v>
      </c>
      <c r="B945" s="2126" t="s">
        <v>4849</v>
      </c>
      <c r="C945" s="2127">
        <f>VLOOKUP(A945,'2011 - TB'!$A$3:$B$971,2,FALSE)</f>
        <v>-20580</v>
      </c>
      <c r="D945" s="2128">
        <v>0</v>
      </c>
      <c r="E945" s="2128">
        <f>VLOOKUP(A945,'2012 - TB'!$A$3:$H$733,5,FALSE)</f>
        <v>0</v>
      </c>
      <c r="F945" s="2128">
        <f>VLOOKUP(A945,'2012 - TB'!$A$3:$H$733,6,FALSE)</f>
        <v>0</v>
      </c>
      <c r="G945" s="2128">
        <f t="shared" si="34"/>
        <v>0</v>
      </c>
      <c r="H945" s="2640">
        <f>SUMIF('Original Budget'!$A$1:$A$691,'Trial Balance - FPer'!A945,'Original Budget'!$C$1:$C$691)</f>
        <v>28051.51</v>
      </c>
      <c r="I945" s="2640">
        <f>VLOOKUP(A945,'2012 - TB'!$A$3:$C$733,3,FALSE)</f>
        <v>28051.51</v>
      </c>
      <c r="J945" s="2129" t="s">
        <v>5934</v>
      </c>
      <c r="L945" s="2024" t="str">
        <f>VLOOKUP(A945,'2012 Budget'!$A$18:$B$2152,2,FALSE)</f>
        <v>Donations</v>
      </c>
    </row>
    <row r="946" spans="1:12" s="2024" customFormat="1" ht="13.5" thickBot="1" x14ac:dyDescent="0.25">
      <c r="C946" s="2130">
        <f>C945</f>
        <v>-20580</v>
      </c>
      <c r="D946" s="2130">
        <f t="shared" ref="D946:I946" si="39">D945</f>
        <v>0</v>
      </c>
      <c r="E946" s="2130">
        <f t="shared" si="39"/>
        <v>0</v>
      </c>
      <c r="F946" s="2130">
        <f t="shared" si="39"/>
        <v>0</v>
      </c>
      <c r="G946" s="2130">
        <f t="shared" si="39"/>
        <v>0</v>
      </c>
      <c r="H946" s="2641">
        <f t="shared" si="39"/>
        <v>28051.51</v>
      </c>
      <c r="I946" s="2641">
        <f t="shared" si="39"/>
        <v>28051.51</v>
      </c>
      <c r="J946" s="2026"/>
      <c r="L946" s="2024" t="e">
        <f>VLOOKUP(A946,'2012 Budget'!$A$18:$B$2152,2,FALSE)</f>
        <v>#N/A</v>
      </c>
    </row>
    <row r="947" spans="1:12" s="2024" customFormat="1" ht="7.5" customHeight="1" thickTop="1" x14ac:dyDescent="0.2">
      <c r="C947" s="2042"/>
      <c r="D947" s="2025"/>
      <c r="E947" s="2025"/>
      <c r="F947" s="2025"/>
      <c r="G947" s="2025"/>
      <c r="H947" s="2118">
        <f>SUMIF('Original Budget'!$A$1:$A$691,'Trial Balance - FPer'!A947,'Original Budget'!$C$1:$C$691)</f>
        <v>0</v>
      </c>
      <c r="I947" s="2118"/>
      <c r="J947" s="2026"/>
      <c r="L947" s="2024" t="e">
        <f>VLOOKUP(A947,'2012 Budget'!$A$18:$B$2152,2,FALSE)</f>
        <v>#N/A</v>
      </c>
    </row>
    <row r="948" spans="1:12" s="2024" customFormat="1" x14ac:dyDescent="0.2">
      <c r="B948" s="2068" t="s">
        <v>1212</v>
      </c>
      <c r="C948" s="2110">
        <f>'Fin Perform'!K16</f>
        <v>20580</v>
      </c>
      <c r="D948" s="2025"/>
      <c r="E948" s="2025"/>
      <c r="F948" s="2025"/>
      <c r="G948" s="2647">
        <f>'Fin Perform'!I16</f>
        <v>0</v>
      </c>
      <c r="H948" s="2118">
        <f>SUMIF('Original Budget'!$A$1:$A$691,'Trial Balance - FPer'!A948,'Original Budget'!$C$1:$C$691)</f>
        <v>0</v>
      </c>
      <c r="I948" s="2118"/>
      <c r="J948" s="2026"/>
      <c r="L948" s="2024" t="e">
        <f>VLOOKUP(A948,'2012 Budget'!$A$18:$B$2152,2,FALSE)</f>
        <v>#N/A</v>
      </c>
    </row>
    <row r="949" spans="1:12" s="2024" customFormat="1" ht="7.5" customHeight="1" x14ac:dyDescent="0.2">
      <c r="C949" s="2042"/>
      <c r="D949" s="2025"/>
      <c r="E949" s="2025"/>
      <c r="F949" s="2025"/>
      <c r="G949" s="2025"/>
      <c r="H949" s="2118">
        <f>SUMIF('Original Budget'!$A$1:$A$691,'Trial Balance - FPer'!A949,'Original Budget'!$C$1:$C$691)</f>
        <v>0</v>
      </c>
      <c r="I949" s="2118"/>
      <c r="J949" s="2026"/>
      <c r="L949" s="2024" t="e">
        <f>VLOOKUP(A949,'2012 Budget'!$A$18:$B$2152,2,FALSE)</f>
        <v>#N/A</v>
      </c>
    </row>
    <row r="950" spans="1:12" s="2024" customFormat="1" ht="13.5" thickBot="1" x14ac:dyDescent="0.25">
      <c r="B950" s="1208" t="s">
        <v>6423</v>
      </c>
      <c r="C950" s="2103">
        <f>C946+C948</f>
        <v>0</v>
      </c>
      <c r="D950" s="2025"/>
      <c r="E950" s="2025"/>
      <c r="F950" s="2025"/>
      <c r="G950" s="2103">
        <f>G946+G948</f>
        <v>0</v>
      </c>
      <c r="H950" s="2118">
        <f>SUMIF('Original Budget'!$A$1:$A$691,'Trial Balance - FPer'!A950,'Original Budget'!$C$1:$C$691)</f>
        <v>0</v>
      </c>
      <c r="I950" s="2118"/>
      <c r="J950" s="2026"/>
      <c r="L950" s="2024" t="e">
        <f>VLOOKUP(A950,'2012 Budget'!$A$18:$B$2152,2,FALSE)</f>
        <v>#N/A</v>
      </c>
    </row>
    <row r="951" spans="1:12" s="2024" customFormat="1" ht="14.25" thickTop="1" thickBot="1" x14ac:dyDescent="0.25">
      <c r="C951" s="2042"/>
      <c r="D951" s="2025"/>
      <c r="E951" s="2025"/>
      <c r="F951" s="2025"/>
      <c r="G951" s="2025"/>
      <c r="H951" s="2118">
        <f>SUMIF('Original Budget'!$A$1:$A$691,'Trial Balance - FPer'!A951,'Original Budget'!$C$1:$C$691)</f>
        <v>0</v>
      </c>
      <c r="I951" s="2118"/>
      <c r="J951" s="2026"/>
      <c r="L951" s="2024" t="e">
        <f>VLOOKUP(A951,'2012 Budget'!$A$18:$B$2152,2,FALSE)</f>
        <v>#N/A</v>
      </c>
    </row>
    <row r="952" spans="1:12" s="2024" customFormat="1" x14ac:dyDescent="0.2">
      <c r="A952" s="2111" t="s">
        <v>4834</v>
      </c>
      <c r="B952" s="2112" t="s">
        <v>4835</v>
      </c>
      <c r="C952" s="2113">
        <f>VLOOKUP(A952,'2011 - TB'!$A$3:$B$971,2,FALSE)</f>
        <v>1496677.83</v>
      </c>
      <c r="D952" s="2114">
        <v>0</v>
      </c>
      <c r="E952" s="2114">
        <f>VLOOKUP(A952,'2012 - TB'!$A$3:$H$733,5,FALSE)</f>
        <v>1731227.52</v>
      </c>
      <c r="F952" s="2114">
        <f>VLOOKUP(A952,'2012 - TB'!$A$3:$H$733,6,FALSE)</f>
        <v>0</v>
      </c>
      <c r="G952" s="2114">
        <f t="shared" si="34"/>
        <v>1731227.52</v>
      </c>
      <c r="H952" s="2640">
        <f>SUMIF('Original Budget'!$A$1:$A$691,'Trial Balance - FPer'!A952,'Original Budget'!$C$1:$C$691)</f>
        <v>1760519.78</v>
      </c>
      <c r="I952" s="2640">
        <f>VLOOKUP(A952,'2012 - TB'!$A$3:$C$733,3,FALSE)</f>
        <v>1718838.6</v>
      </c>
      <c r="J952" s="2115" t="s">
        <v>5933</v>
      </c>
      <c r="L952" s="2024" t="str">
        <f>VLOOKUP(A952,'2012 Budget'!$A$18:$B$2152,2,FALSE)</f>
        <v>Councillors - Allowance</v>
      </c>
    </row>
    <row r="953" spans="1:12" s="2024" customFormat="1" x14ac:dyDescent="0.2">
      <c r="A953" s="1283" t="s">
        <v>4842</v>
      </c>
      <c r="B953" s="2117" t="s">
        <v>4843</v>
      </c>
      <c r="C953" s="2109">
        <f>VLOOKUP(A953,'2011 - TB'!$A$3:$B$971,2,FALSE)</f>
        <v>17652.599999999999</v>
      </c>
      <c r="D953" s="2118">
        <v>0</v>
      </c>
      <c r="E953" s="2118">
        <f>VLOOKUP(A953,'2012 - TB'!$A$3:$H$733,5,FALSE)</f>
        <v>49965.279999999999</v>
      </c>
      <c r="F953" s="2118">
        <f>VLOOKUP(A953,'2012 - TB'!$A$3:$H$733,6,FALSE)</f>
        <v>0</v>
      </c>
      <c r="G953" s="2118">
        <f t="shared" si="34"/>
        <v>49965.279999999999</v>
      </c>
      <c r="H953" s="2640">
        <f>SUMIF('Original Budget'!$A$1:$A$691,'Trial Balance - FPer'!A953,'Original Budget'!$C$1:$C$691)</f>
        <v>21803.040000000001</v>
      </c>
      <c r="I953" s="2640">
        <f>VLOOKUP(A953,'2012 - TB'!$A$3:$C$733,3,FALSE)</f>
        <v>34370.6</v>
      </c>
      <c r="J953" s="2119" t="s">
        <v>5933</v>
      </c>
      <c r="L953" s="2024" t="str">
        <f>VLOOKUP(A953,'2012 Budget'!$A$18:$B$2152,2,FALSE)</f>
        <v>Councillors - Medical</v>
      </c>
    </row>
    <row r="954" spans="1:12" s="2024" customFormat="1" x14ac:dyDescent="0.2">
      <c r="A954" s="1283" t="s">
        <v>4844</v>
      </c>
      <c r="B954" s="2117" t="s">
        <v>4845</v>
      </c>
      <c r="C954" s="2109" t="str">
        <f>VLOOKUP(A954,'2011 - TB'!$A$3:$B$971,2,FALSE)</f>
        <v xml:space="preserve">                               -  </v>
      </c>
      <c r="D954" s="2118">
        <v>0</v>
      </c>
      <c r="E954" s="2118">
        <f>VLOOKUP(A954,'2012 - TB'!$A$3:$H$733,5,FALSE)</f>
        <v>129577.82</v>
      </c>
      <c r="F954" s="2118">
        <f>VLOOKUP(A954,'2012 - TB'!$A$3:$H$733,6,FALSE)</f>
        <v>0</v>
      </c>
      <c r="G954" s="2118">
        <f t="shared" si="34"/>
        <v>129577.82</v>
      </c>
      <c r="H954" s="2640">
        <f>SUMIF('Original Budget'!$A$1:$A$691,'Trial Balance - FPer'!A954,'Original Budget'!$C$1:$C$691)</f>
        <v>0</v>
      </c>
      <c r="I954" s="2640">
        <f>VLOOKUP(A954,'2012 - TB'!$A$3:$C$733,3,FALSE)</f>
        <v>75796.19</v>
      </c>
      <c r="J954" s="2119" t="s">
        <v>5933</v>
      </c>
      <c r="L954" s="2024" t="str">
        <f>VLOOKUP(A954,'2012 Budget'!$A$18:$B$2152,2,FALSE)</f>
        <v>Councillors - Pension</v>
      </c>
    </row>
    <row r="955" spans="1:12" s="2024" customFormat="1" x14ac:dyDescent="0.2">
      <c r="A955" s="1283" t="s">
        <v>4840</v>
      </c>
      <c r="B955" s="2117" t="s">
        <v>4841</v>
      </c>
      <c r="C955" s="2109">
        <f>VLOOKUP(A955,'2011 - TB'!$A$3:$B$971,2,FALSE)</f>
        <v>20476.2</v>
      </c>
      <c r="D955" s="2118">
        <v>0</v>
      </c>
      <c r="E955" s="2118">
        <f>VLOOKUP(A955,'2012 - TB'!$A$3:$H$733,5,FALSE)</f>
        <v>22477.58</v>
      </c>
      <c r="F955" s="2118">
        <f>VLOOKUP(A955,'2012 - TB'!$A$3:$H$733,6,FALSE)</f>
        <v>0</v>
      </c>
      <c r="G955" s="2118">
        <f t="shared" si="34"/>
        <v>22477.58</v>
      </c>
      <c r="H955" s="2640">
        <f>SUMIF('Original Budget'!$A$1:$A$691,'Trial Balance - FPer'!A955,'Original Budget'!$C$1:$C$691)</f>
        <v>21398.71</v>
      </c>
      <c r="I955" s="2640">
        <f>VLOOKUP(A955,'2012 - TB'!$A$3:$C$733,3,FALSE)</f>
        <v>24665.56</v>
      </c>
      <c r="J955" s="2119" t="s">
        <v>5933</v>
      </c>
      <c r="L955" s="2024" t="str">
        <f>VLOOKUP(A955,'2012 Budget'!$A$18:$B$2152,2,FALSE)</f>
        <v>Councillors - Skills</v>
      </c>
    </row>
    <row r="956" spans="1:12" s="2024" customFormat="1" x14ac:dyDescent="0.2">
      <c r="A956" s="2116" t="s">
        <v>4836</v>
      </c>
      <c r="B956" s="2117" t="s">
        <v>4837</v>
      </c>
      <c r="C956" s="2109">
        <f>VLOOKUP(A956,'2011 - TB'!$A$3:$B$971,2,FALSE)</f>
        <v>117106.71</v>
      </c>
      <c r="D956" s="2118">
        <v>0</v>
      </c>
      <c r="E956" s="2118">
        <f>VLOOKUP(A956,'2012 - TB'!$A$3:$H$733,5,FALSE)</f>
        <v>136320</v>
      </c>
      <c r="F956" s="2118">
        <f>VLOOKUP(A956,'2012 - TB'!$A$3:$H$733,6,FALSE)</f>
        <v>0</v>
      </c>
      <c r="G956" s="2118">
        <f t="shared" si="34"/>
        <v>136320</v>
      </c>
      <c r="H956" s="2640">
        <f>SUMIF('Original Budget'!$A$1:$A$691,'Trial Balance - FPer'!A956,'Original Budget'!$C$1:$C$691)</f>
        <v>140796.16</v>
      </c>
      <c r="I956" s="2640">
        <f>VLOOKUP(A956,'2012 - TB'!$A$3:$C$733,3,FALSE)</f>
        <v>174768</v>
      </c>
      <c r="J956" s="2119" t="s">
        <v>5933</v>
      </c>
      <c r="L956" s="2024" t="str">
        <f>VLOOKUP(A956,'2012 Budget'!$A$18:$B$2152,2,FALSE)</f>
        <v>Councillors - Telephone</v>
      </c>
    </row>
    <row r="957" spans="1:12" s="2024" customFormat="1" ht="13.5" thickBot="1" x14ac:dyDescent="0.25">
      <c r="A957" s="2137" t="s">
        <v>4838</v>
      </c>
      <c r="B957" s="2121" t="s">
        <v>4839</v>
      </c>
      <c r="C957" s="2122">
        <f>VLOOKUP(A957,'2011 - TB'!$A$3:$B$971,2,FALSE)</f>
        <v>557212.22</v>
      </c>
      <c r="D957" s="2123">
        <v>0</v>
      </c>
      <c r="E957" s="2123">
        <f>VLOOKUP(A957,'2012 - TB'!$A$3:$H$733,5,FALSE)</f>
        <v>530161.11</v>
      </c>
      <c r="F957" s="2123">
        <f>VLOOKUP(A957,'2012 - TB'!$A$3:$H$733,6,FALSE)</f>
        <v>0</v>
      </c>
      <c r="G957" s="2123">
        <f t="shared" si="34"/>
        <v>530161.11</v>
      </c>
      <c r="H957" s="2640">
        <f>SUMIF('Original Budget'!$A$1:$A$691,'Trial Balance - FPer'!A957,'Original Budget'!$C$1:$C$691)</f>
        <v>566717.49</v>
      </c>
      <c r="I957" s="2640">
        <f>VLOOKUP(A957,'2012 - TB'!$A$3:$C$733,3,FALSE)</f>
        <v>572949.6</v>
      </c>
      <c r="J957" s="2124" t="s">
        <v>5933</v>
      </c>
      <c r="L957" s="2024" t="str">
        <f>VLOOKUP(A957,'2012 Budget'!$A$18:$B$2152,2,FALSE)</f>
        <v>Councillors - Travelling</v>
      </c>
    </row>
    <row r="958" spans="1:12" s="2024" customFormat="1" ht="13.5" thickBot="1" x14ac:dyDescent="0.25">
      <c r="C958" s="2130">
        <f>SUM(C952:C957)</f>
        <v>2209125.56</v>
      </c>
      <c r="D958" s="2130">
        <f t="shared" ref="D958:I958" si="40">SUM(D952:D957)</f>
        <v>0</v>
      </c>
      <c r="E958" s="2130">
        <f t="shared" si="40"/>
        <v>2599729.31</v>
      </c>
      <c r="F958" s="2130">
        <f t="shared" si="40"/>
        <v>0</v>
      </c>
      <c r="G958" s="2130">
        <f t="shared" si="40"/>
        <v>2599729.31</v>
      </c>
      <c r="H958" s="2641">
        <f t="shared" si="40"/>
        <v>2511235.1799999997</v>
      </c>
      <c r="I958" s="2641">
        <f t="shared" si="40"/>
        <v>2601388.5500000003</v>
      </c>
      <c r="J958" s="2026"/>
      <c r="L958" s="2024" t="e">
        <f>VLOOKUP(A958,'2012 Budget'!$A$18:$B$2152,2,FALSE)</f>
        <v>#N/A</v>
      </c>
    </row>
    <row r="959" spans="1:12" s="2024" customFormat="1" ht="7.5" customHeight="1" thickTop="1" x14ac:dyDescent="0.2">
      <c r="C959" s="2042"/>
      <c r="D959" s="2025"/>
      <c r="E959" s="2025"/>
      <c r="F959" s="2025"/>
      <c r="G959" s="2025"/>
      <c r="H959" s="2118">
        <f>SUMIF('Original Budget'!$A$1:$A$691,'Trial Balance - FPer'!A959,'Original Budget'!$C$1:$C$691)</f>
        <v>0</v>
      </c>
      <c r="I959" s="2118"/>
      <c r="J959" s="2026"/>
      <c r="L959" s="2024" t="e">
        <f>VLOOKUP(A959,'2012 Budget'!$A$18:$B$2152,2,FALSE)</f>
        <v>#N/A</v>
      </c>
    </row>
    <row r="960" spans="1:12" s="2024" customFormat="1" x14ac:dyDescent="0.2">
      <c r="B960" s="2068" t="s">
        <v>1212</v>
      </c>
      <c r="C960" s="2110">
        <f>'Fin Perform'!K34</f>
        <v>2209126</v>
      </c>
      <c r="D960" s="2025"/>
      <c r="E960" s="2025"/>
      <c r="F960" s="2025"/>
      <c r="G960" s="2647">
        <f>'Fin Perform'!I34</f>
        <v>2599729.3099999996</v>
      </c>
      <c r="H960" s="2118">
        <f>SUMIF('Original Budget'!$A$1:$A$691,'Trial Balance - FPer'!A960,'Original Budget'!$C$1:$C$691)</f>
        <v>0</v>
      </c>
      <c r="I960" s="2118"/>
      <c r="J960" s="2026"/>
      <c r="L960" s="2024" t="e">
        <f>VLOOKUP(A960,'2012 Budget'!$A$18:$B$2152,2,FALSE)</f>
        <v>#N/A</v>
      </c>
    </row>
    <row r="961" spans="1:12" s="2024" customFormat="1" ht="7.5" customHeight="1" x14ac:dyDescent="0.2">
      <c r="C961" s="2042"/>
      <c r="D961" s="2025"/>
      <c r="E961" s="2025"/>
      <c r="F961" s="2025"/>
      <c r="G961" s="2025"/>
      <c r="H961" s="2118">
        <f>SUMIF('Original Budget'!$A$1:$A$691,'Trial Balance - FPer'!A961,'Original Budget'!$C$1:$C$691)</f>
        <v>0</v>
      </c>
      <c r="I961" s="2118"/>
      <c r="J961" s="2026"/>
      <c r="L961" s="2024" t="e">
        <f>VLOOKUP(A961,'2012 Budget'!$A$18:$B$2152,2,FALSE)</f>
        <v>#N/A</v>
      </c>
    </row>
    <row r="962" spans="1:12" s="2024" customFormat="1" ht="13.5" thickBot="1" x14ac:dyDescent="0.25">
      <c r="B962" s="1208" t="s">
        <v>6423</v>
      </c>
      <c r="C962" s="2103">
        <f>C958-C960</f>
        <v>-0.43999999994412065</v>
      </c>
      <c r="D962" s="2025"/>
      <c r="E962" s="2025"/>
      <c r="F962" s="2025"/>
      <c r="G962" s="2103">
        <f>G958-G960</f>
        <v>0</v>
      </c>
      <c r="H962" s="2118">
        <f>SUMIF('Original Budget'!$A$1:$A$691,'Trial Balance - FPer'!A962,'Original Budget'!$C$1:$C$691)</f>
        <v>0</v>
      </c>
      <c r="I962" s="2118"/>
      <c r="J962" s="2026"/>
      <c r="L962" s="2024" t="e">
        <f>VLOOKUP(A962,'2012 Budget'!$A$18:$B$2152,2,FALSE)</f>
        <v>#N/A</v>
      </c>
    </row>
    <row r="963" spans="1:12" s="2024" customFormat="1" ht="14.25" thickTop="1" thickBot="1" x14ac:dyDescent="0.25">
      <c r="C963" s="2042"/>
      <c r="D963" s="2025"/>
      <c r="E963" s="2025"/>
      <c r="F963" s="2025"/>
      <c r="G963" s="2025"/>
      <c r="H963" s="2118">
        <f>SUMIF('Original Budget'!$A$1:$A$691,'Trial Balance - FPer'!A963,'Original Budget'!$C$1:$C$691)</f>
        <v>0</v>
      </c>
      <c r="I963" s="2118"/>
      <c r="J963" s="2026"/>
      <c r="L963" s="2024" t="e">
        <f>VLOOKUP(A963,'2012 Budget'!$A$18:$B$2152,2,FALSE)</f>
        <v>#N/A</v>
      </c>
    </row>
    <row r="964" spans="1:12" s="2024" customFormat="1" x14ac:dyDescent="0.2">
      <c r="A964" s="2111" t="s">
        <v>5190</v>
      </c>
      <c r="B964" s="2112" t="s">
        <v>5191</v>
      </c>
      <c r="C964" s="2113">
        <f>VLOOKUP(A964,'2011 - TB'!$A$3:$B$971,2,FALSE)</f>
        <v>-22492.04</v>
      </c>
      <c r="D964" s="2114">
        <v>0</v>
      </c>
      <c r="E964" s="2114">
        <f>VLOOKUP(A964,'2012 - TB'!$A$3:$H$733,5,FALSE)</f>
        <v>454.12</v>
      </c>
      <c r="F964" s="2114">
        <f>VLOOKUP(A964,'2012 - TB'!$A$3:$H$733,6,FALSE)</f>
        <v>-25931.82</v>
      </c>
      <c r="G964" s="2114">
        <f t="shared" si="34"/>
        <v>-25477.7</v>
      </c>
      <c r="H964" s="2640">
        <f>SUMIF('Original Budget'!$A$1:$A$691,'Trial Balance - FPer'!A964,'Original Budget'!$C$1:$C$691)</f>
        <v>-23512.85</v>
      </c>
      <c r="I964" s="2640">
        <f>VLOOKUP(A964,'2012 - TB'!$A$3:$C$733,3,FALSE)</f>
        <v>-23512.85</v>
      </c>
      <c r="J964" s="2115" t="s">
        <v>5957</v>
      </c>
      <c r="L964" s="2024" t="str">
        <f>VLOOKUP(A964,'2012 Budget'!$A$18:$B$2152,2,FALSE)</f>
        <v>Rent - Building</v>
      </c>
    </row>
    <row r="965" spans="1:12" s="2024" customFormat="1" x14ac:dyDescent="0.2">
      <c r="A965" s="2116" t="s">
        <v>5638</v>
      </c>
      <c r="B965" s="2117" t="s">
        <v>5639</v>
      </c>
      <c r="C965" s="2109">
        <f>VLOOKUP(A965,'2011 - TB'!$A$3:$B$971,2,FALSE)</f>
        <v>-400.88</v>
      </c>
      <c r="D965" s="2118">
        <v>0</v>
      </c>
      <c r="E965" s="2118">
        <f>VLOOKUP(A965,'2012 - TB'!$A$3:$H$733,5,FALSE)</f>
        <v>349.11</v>
      </c>
      <c r="F965" s="2118">
        <f>VLOOKUP(A965,'2012 - TB'!$A$3:$H$733,6,FALSE)</f>
        <v>-2842.5</v>
      </c>
      <c r="G965" s="2118">
        <f t="shared" si="34"/>
        <v>-2493.39</v>
      </c>
      <c r="H965" s="2640">
        <f>SUMIF('Original Budget'!$A$1:$A$691,'Trial Balance - FPer'!A965,'Original Budget'!$C$1:$C$691)</f>
        <v>0</v>
      </c>
      <c r="I965" s="2640">
        <f>VLOOKUP(A965,'2012 - TB'!$A$3:$C$733,3,FALSE)</f>
        <v>-1702.17</v>
      </c>
      <c r="J965" s="2119" t="s">
        <v>5957</v>
      </c>
      <c r="L965" s="2024" t="str">
        <f>VLOOKUP(A965,'2012 Budget'!$A$18:$B$2152,2,FALSE)</f>
        <v>Rent - Caravan</v>
      </c>
    </row>
    <row r="966" spans="1:12" s="2024" customFormat="1" x14ac:dyDescent="0.2">
      <c r="A966" s="2116" t="s">
        <v>5640</v>
      </c>
      <c r="B966" s="2117" t="s">
        <v>5639</v>
      </c>
      <c r="C966" s="2109">
        <f>VLOOKUP(A966,'2011 - TB'!$A$3:$B$971,2,FALSE)</f>
        <v>-227.64</v>
      </c>
      <c r="D966" s="2118">
        <v>0</v>
      </c>
      <c r="E966" s="2118">
        <f>VLOOKUP(A966,'2012 - TB'!$A$3:$H$733,5,FALSE)</f>
        <v>0</v>
      </c>
      <c r="F966" s="2118">
        <f>VLOOKUP(A966,'2012 - TB'!$A$3:$H$733,6,FALSE)</f>
        <v>0</v>
      </c>
      <c r="G966" s="2118">
        <f t="shared" si="34"/>
        <v>0</v>
      </c>
      <c r="H966" s="2640">
        <f>SUMIF('Original Budget'!$A$1:$A$691,'Trial Balance - FPer'!A966,'Original Budget'!$C$1:$C$691)</f>
        <v>-4855.08</v>
      </c>
      <c r="I966" s="2640">
        <f>VLOOKUP(A966,'2012 - TB'!$A$3:$C$733,3,FALSE)</f>
        <v>-3152.91</v>
      </c>
      <c r="J966" s="2119" t="s">
        <v>5957</v>
      </c>
      <c r="L966" s="2024" t="str">
        <f>VLOOKUP(A966,'2012 Budget'!$A$18:$B$2152,2,FALSE)</f>
        <v>Rent - Caravan</v>
      </c>
    </row>
    <row r="967" spans="1:12" s="2024" customFormat="1" x14ac:dyDescent="0.2">
      <c r="A967" s="2116" t="s">
        <v>5422</v>
      </c>
      <c r="B967" s="2117" t="s">
        <v>5423</v>
      </c>
      <c r="C967" s="2109">
        <f>VLOOKUP(A967,'2011 - TB'!$A$3:$B$971,2,FALSE)</f>
        <v>-820.01</v>
      </c>
      <c r="D967" s="2118">
        <v>0</v>
      </c>
      <c r="E967" s="2118">
        <f>VLOOKUP(A967,'2012 - TB'!$A$3:$H$733,5,FALSE)</f>
        <v>66.06</v>
      </c>
      <c r="F967" s="2118">
        <f>VLOOKUP(A967,'2012 - TB'!$A$3:$H$733,6,FALSE)</f>
        <v>-537.9</v>
      </c>
      <c r="G967" s="2118">
        <f t="shared" ref="G967:G1004" si="41">E967+F967</f>
        <v>-471.84</v>
      </c>
      <c r="H967" s="2640">
        <f>SUMIF('Original Budget'!$A$1:$A$691,'Trial Balance - FPer'!A967,'Original Budget'!$C$1:$C$691)</f>
        <v>-750.2</v>
      </c>
      <c r="I967" s="2640">
        <f>VLOOKUP(A967,'2012 - TB'!$A$3:$C$733,3,FALSE)</f>
        <v>-750.2</v>
      </c>
      <c r="J967" s="2119" t="s">
        <v>5957</v>
      </c>
      <c r="L967" s="2024" t="str">
        <f>VLOOKUP(A967,'2012 Budget'!$A$18:$B$2152,2,FALSE)</f>
        <v>Rent - Crockery</v>
      </c>
    </row>
    <row r="968" spans="1:12" s="2024" customFormat="1" x14ac:dyDescent="0.2">
      <c r="A968" s="2116" t="s">
        <v>5192</v>
      </c>
      <c r="B968" s="2117" t="s">
        <v>5193</v>
      </c>
      <c r="C968" s="2109">
        <f>VLOOKUP(A968,'2011 - TB'!$A$3:$B$971,2,FALSE)</f>
        <v>-313.93</v>
      </c>
      <c r="D968" s="2118">
        <v>0</v>
      </c>
      <c r="E968" s="2118">
        <f>VLOOKUP(A968,'2012 - TB'!$A$3:$H$733,5,FALSE)</f>
        <v>1011.58</v>
      </c>
      <c r="F968" s="2118">
        <f>VLOOKUP(A968,'2012 - TB'!$A$3:$H$733,6,FALSE)</f>
        <v>-3364.3</v>
      </c>
      <c r="G968" s="2118">
        <f t="shared" si="41"/>
        <v>-2352.7200000000003</v>
      </c>
      <c r="H968" s="2640">
        <f>SUMIF('Original Budget'!$A$1:$A$691,'Trial Balance - FPer'!A968,'Original Budget'!$C$1:$C$691)</f>
        <v>-643.5</v>
      </c>
      <c r="I968" s="2640">
        <f>VLOOKUP(A968,'2012 - TB'!$A$3:$C$733,3,FALSE)</f>
        <v>-2500</v>
      </c>
      <c r="J968" s="2119" t="s">
        <v>5957</v>
      </c>
      <c r="L968" s="2024" t="str">
        <f>VLOOKUP(A968,'2012 Budget'!$A$18:$B$2152,2,FALSE)</f>
        <v>Rent - Hall;</v>
      </c>
    </row>
    <row r="969" spans="1:12" s="2024" customFormat="1" x14ac:dyDescent="0.2">
      <c r="A969" s="2116" t="s">
        <v>5421</v>
      </c>
      <c r="B969" s="2117" t="s">
        <v>5193</v>
      </c>
      <c r="C969" s="2109">
        <f>VLOOKUP(A969,'2011 - TB'!$A$3:$B$971,2,FALSE)</f>
        <v>-8505.7199999999993</v>
      </c>
      <c r="D969" s="2118">
        <v>0</v>
      </c>
      <c r="E969" s="2118">
        <f>VLOOKUP(A969,'2012 - TB'!$A$3:$H$733,5,FALSE)</f>
        <v>1927.01</v>
      </c>
      <c r="F969" s="2118">
        <f>VLOOKUP(A969,'2012 - TB'!$A$3:$H$733,6,FALSE)</f>
        <v>-8144.2</v>
      </c>
      <c r="G969" s="2118">
        <f t="shared" si="41"/>
        <v>-6217.19</v>
      </c>
      <c r="H969" s="2640">
        <f>SUMIF('Original Budget'!$A$1:$A$691,'Trial Balance - FPer'!A969,'Original Budget'!$C$1:$C$691)</f>
        <v>-11788.7</v>
      </c>
      <c r="I969" s="2640">
        <f>VLOOKUP(A969,'2012 - TB'!$A$3:$C$733,3,FALSE)</f>
        <v>-11788.7</v>
      </c>
      <c r="J969" s="2119" t="s">
        <v>5957</v>
      </c>
      <c r="L969" s="2024" t="str">
        <f>VLOOKUP(A969,'2012 Budget'!$A$18:$B$2152,2,FALSE)</f>
        <v>Rent - Hall;</v>
      </c>
    </row>
    <row r="970" spans="1:12" s="2024" customFormat="1" x14ac:dyDescent="0.2">
      <c r="A970" s="2116" t="s">
        <v>5637</v>
      </c>
      <c r="B970" s="2117" t="s">
        <v>5193</v>
      </c>
      <c r="C970" s="2109">
        <v>0</v>
      </c>
      <c r="D970" s="2118">
        <v>0</v>
      </c>
      <c r="E970" s="2118">
        <v>0</v>
      </c>
      <c r="F970" s="2118">
        <v>0</v>
      </c>
      <c r="G970" s="2118">
        <f t="shared" si="41"/>
        <v>0</v>
      </c>
      <c r="H970" s="2640">
        <f>SUMIF('Original Budget'!$A$1:$A$691,'Trial Balance - FPer'!A970,'Original Budget'!$C$1:$C$691)</f>
        <v>0</v>
      </c>
      <c r="I970" s="2640"/>
      <c r="J970" s="2119" t="s">
        <v>5957</v>
      </c>
      <c r="L970" s="2024" t="str">
        <f>VLOOKUP(A970,'2012 Budget'!$A$18:$B$2152,2,FALSE)</f>
        <v>Rent - Sport Fi</v>
      </c>
    </row>
    <row r="971" spans="1:12" s="2024" customFormat="1" x14ac:dyDescent="0.2">
      <c r="A971" s="2116" t="s">
        <v>5510</v>
      </c>
      <c r="B971" s="2117" t="s">
        <v>5511</v>
      </c>
      <c r="C971" s="2109">
        <f>VLOOKUP(A971,'2011 - TB'!$A$3:$B$971,2,FALSE)</f>
        <v>-447060.25</v>
      </c>
      <c r="D971" s="2118">
        <v>0</v>
      </c>
      <c r="E971" s="2118">
        <f>VLOOKUP(A971,'2012 - TB'!$A$3:$H$733,5,FALSE)</f>
        <v>8984.2999999999993</v>
      </c>
      <c r="F971" s="2118">
        <f>VLOOKUP(A971,'2012 - TB'!$A$3:$H$733,6,FALSE)</f>
        <v>-367186</v>
      </c>
      <c r="G971" s="2118">
        <f t="shared" si="41"/>
        <v>-358201.7</v>
      </c>
      <c r="H971" s="2640">
        <f>SUMIF('Original Budget'!$A$1:$A$691,'Trial Balance - FPer'!A971,'Original Budget'!$C$1:$C$691)</f>
        <v>-275185.94</v>
      </c>
      <c r="I971" s="2640">
        <f>VLOOKUP(A971,'2012 - TB'!$A$3:$C$733,3,FALSE)</f>
        <v>-275185.94</v>
      </c>
      <c r="J971" s="2119" t="s">
        <v>5957</v>
      </c>
      <c r="L971" s="2024" t="str">
        <f>VLOOKUP(A971,'2012 Budget'!$A$18:$B$2152,2,FALSE)</f>
        <v>Rent - Houses;</v>
      </c>
    </row>
    <row r="972" spans="1:12" s="2024" customFormat="1" x14ac:dyDescent="0.2">
      <c r="A972" s="2116" t="s">
        <v>5015</v>
      </c>
      <c r="B972" s="2117" t="s">
        <v>5016</v>
      </c>
      <c r="C972" s="2109">
        <f>VLOOKUP(A972,'2011 - TB'!$A$3:$B$971,2,FALSE)</f>
        <v>-344</v>
      </c>
      <c r="D972" s="2118">
        <v>0</v>
      </c>
      <c r="E972" s="2118">
        <v>0</v>
      </c>
      <c r="F972" s="2118">
        <f>VLOOKUP(A972,'2012 - TB'!$A$3:$H$733,6,FALSE)</f>
        <v>-378.4</v>
      </c>
      <c r="G972" s="2118">
        <f t="shared" si="41"/>
        <v>-378.4</v>
      </c>
      <c r="H972" s="2640">
        <f>SUMIF('Original Budget'!$A$1:$A$691,'Trial Balance - FPer'!A972,'Original Budget'!$C$1:$C$691)</f>
        <v>0</v>
      </c>
      <c r="I972" s="2640">
        <f>VLOOKUP(A972,'2012 - TB'!$A$3:$C$733,3,FALSE)</f>
        <v>0</v>
      </c>
      <c r="J972" s="2119" t="s">
        <v>5957</v>
      </c>
      <c r="L972" s="2024" t="str">
        <f>VLOOKUP(A972,'2012 Budget'!$A$18:$B$2152,2,FALSE)</f>
        <v>Rent - Equipmen</v>
      </c>
    </row>
    <row r="973" spans="1:12" s="2024" customFormat="1" x14ac:dyDescent="0.2">
      <c r="A973" s="2116" t="s">
        <v>5194</v>
      </c>
      <c r="B973" s="2117" t="s">
        <v>5195</v>
      </c>
      <c r="C973" s="2109">
        <v>0</v>
      </c>
      <c r="D973" s="2118">
        <v>0</v>
      </c>
      <c r="E973" s="2118">
        <v>0</v>
      </c>
      <c r="F973" s="2118">
        <v>0</v>
      </c>
      <c r="G973" s="2118">
        <f t="shared" si="41"/>
        <v>0</v>
      </c>
      <c r="H973" s="2640">
        <f>SUMIF('Original Budget'!$A$1:$A$691,'Trial Balance - FPer'!A973,'Original Budget'!$C$1:$C$691)</f>
        <v>0</v>
      </c>
      <c r="I973" s="2640"/>
      <c r="J973" s="2119" t="s">
        <v>5957</v>
      </c>
      <c r="L973" s="2024" t="str">
        <f>VLOOKUP(A973,'2012 Budget'!$A$18:$B$2152,2,FALSE)</f>
        <v>Rent - Camps;</v>
      </c>
    </row>
    <row r="974" spans="1:12" s="2024" customFormat="1" x14ac:dyDescent="0.2">
      <c r="A974" s="2116" t="s">
        <v>5819</v>
      </c>
      <c r="B974" s="2117" t="s">
        <v>5195</v>
      </c>
      <c r="C974" s="2109">
        <f>VLOOKUP(A974,'2011 - TB'!$A$3:$B$971,2,FALSE)</f>
        <v>-1152.78</v>
      </c>
      <c r="D974" s="2118">
        <v>0</v>
      </c>
      <c r="E974" s="2118">
        <f>VLOOKUP(A974,'2012 - TB'!$A$3:$H$733,5,FALSE)</f>
        <v>0</v>
      </c>
      <c r="F974" s="2118">
        <f>VLOOKUP(A974,'2012 - TB'!$A$3:$H$733,6,FALSE)</f>
        <v>0</v>
      </c>
      <c r="G974" s="2118">
        <f t="shared" si="41"/>
        <v>0</v>
      </c>
      <c r="H974" s="2640">
        <f>SUMIF('Original Budget'!$A$1:$A$691,'Trial Balance - FPer'!A974,'Original Budget'!$C$1:$C$691)</f>
        <v>-6488.53</v>
      </c>
      <c r="I974" s="2640">
        <f>VLOOKUP(A974,'2012 - TB'!$A$3:$C$733,3,FALSE)</f>
        <v>-6488.53</v>
      </c>
      <c r="J974" s="2119" t="s">
        <v>5957</v>
      </c>
      <c r="L974" s="2024" t="str">
        <f>VLOOKUP(A974,'2012 Budget'!$A$18:$B$2152,2,FALSE)</f>
        <v>Rent - Plant &amp;</v>
      </c>
    </row>
    <row r="975" spans="1:12" s="2024" customFormat="1" x14ac:dyDescent="0.2">
      <c r="A975" s="2116" t="s">
        <v>5072</v>
      </c>
      <c r="B975" s="2117" t="s">
        <v>5073</v>
      </c>
      <c r="C975" s="2109">
        <v>0</v>
      </c>
      <c r="D975" s="2118">
        <v>0</v>
      </c>
      <c r="E975" s="2118">
        <v>0</v>
      </c>
      <c r="F975" s="2118">
        <v>0</v>
      </c>
      <c r="G975" s="2118">
        <f t="shared" si="41"/>
        <v>0</v>
      </c>
      <c r="H975" s="2640">
        <f>SUMIF('Original Budget'!$A$1:$A$691,'Trial Balance - FPer'!A975,'Original Budget'!$C$1:$C$691)</f>
        <v>0</v>
      </c>
      <c r="I975" s="2640"/>
      <c r="J975" s="2119" t="s">
        <v>5957</v>
      </c>
      <c r="L975" s="2024" t="str">
        <f>VLOOKUP(A975,'2012 Budget'!$A$18:$B$2152,2,FALSE)</f>
        <v>Vodacom Rental;</v>
      </c>
    </row>
    <row r="976" spans="1:12" s="2024" customFormat="1" ht="13.5" thickBot="1" x14ac:dyDescent="0.25">
      <c r="A976" s="2120" t="s">
        <v>5196</v>
      </c>
      <c r="B976" s="2121" t="s">
        <v>5073</v>
      </c>
      <c r="C976" s="2122">
        <f>VLOOKUP(A976,'2011 - TB'!$A$3:$B$971,2,FALSE)</f>
        <v>-175460.07</v>
      </c>
      <c r="D976" s="2123">
        <v>0</v>
      </c>
      <c r="E976" s="2123">
        <f>VLOOKUP(A976,'2012 - TB'!$A$3:$H$733,5,FALSE)</f>
        <v>-4212.8900000000031</v>
      </c>
      <c r="F976" s="2123">
        <f>VLOOKUP(A976,'2012 - TB'!$A$3:$H$733,6,FALSE)</f>
        <v>-263330</v>
      </c>
      <c r="G976" s="2123">
        <f t="shared" si="41"/>
        <v>-267542.89</v>
      </c>
      <c r="H976" s="2640">
        <f>SUMIF('Original Budget'!$A$1:$A$691,'Trial Balance - FPer'!A976,'Original Budget'!$C$1:$C$691)</f>
        <v>-201382.5</v>
      </c>
      <c r="I976" s="2640">
        <f>VLOOKUP(A976,'2012 - TB'!$A$3:$C$733,3,FALSE)</f>
        <v>-199526</v>
      </c>
      <c r="J976" s="2124" t="s">
        <v>5957</v>
      </c>
      <c r="L976" s="2024" t="str">
        <f>VLOOKUP(A976,'2012 Budget'!$A$18:$B$2152,2,FALSE)</f>
        <v>Vodacom Rental;</v>
      </c>
    </row>
    <row r="977" spans="1:12" s="2024" customFormat="1" ht="13.5" thickBot="1" x14ac:dyDescent="0.25">
      <c r="C977" s="2130">
        <f>SUM(C964:C976)</f>
        <v>-656777.32000000007</v>
      </c>
      <c r="D977" s="2130">
        <f t="shared" ref="D977:I977" si="42">SUM(D964:D976)</f>
        <v>0</v>
      </c>
      <c r="E977" s="2130">
        <f t="shared" si="42"/>
        <v>8579.2899999999972</v>
      </c>
      <c r="F977" s="2130">
        <f t="shared" si="42"/>
        <v>-671715.12</v>
      </c>
      <c r="G977" s="2130">
        <f t="shared" si="42"/>
        <v>-663135.83000000007</v>
      </c>
      <c r="H977" s="2641">
        <f t="shared" si="42"/>
        <v>-524607.30000000005</v>
      </c>
      <c r="I977" s="2641">
        <f t="shared" si="42"/>
        <v>-524607.30000000005</v>
      </c>
      <c r="J977" s="2026"/>
      <c r="L977" s="2024" t="e">
        <f>VLOOKUP(A977,'2012 Budget'!$A$18:$B$2152,2,FALSE)</f>
        <v>#N/A</v>
      </c>
    </row>
    <row r="978" spans="1:12" s="2024" customFormat="1" ht="7.5" customHeight="1" thickTop="1" x14ac:dyDescent="0.2">
      <c r="C978" s="2042"/>
      <c r="D978" s="2025"/>
      <c r="E978" s="2025"/>
      <c r="F978" s="2025"/>
      <c r="G978" s="2025"/>
      <c r="H978" s="2118">
        <f>SUMIF('Original Budget'!$A$1:$A$691,'Trial Balance - FPer'!A978,'Original Budget'!$C$1:$C$691)</f>
        <v>0</v>
      </c>
      <c r="I978" s="2118"/>
      <c r="J978" s="2026"/>
      <c r="L978" s="2024" t="e">
        <f>VLOOKUP(A978,'2012 Budget'!$A$18:$B$2152,2,FALSE)</f>
        <v>#N/A</v>
      </c>
    </row>
    <row r="979" spans="1:12" s="2024" customFormat="1" x14ac:dyDescent="0.2">
      <c r="B979" s="2068" t="s">
        <v>1212</v>
      </c>
      <c r="C979" s="2110">
        <f>'Fin Perform'!K19</f>
        <v>656777.32000000007</v>
      </c>
      <c r="D979" s="2025"/>
      <c r="E979" s="2025"/>
      <c r="F979" s="2025"/>
      <c r="G979" s="2647">
        <f>'Fin Perform'!I19</f>
        <v>663135.83000000007</v>
      </c>
      <c r="H979" s="2118">
        <f>SUMIF('Original Budget'!$A$1:$A$691,'Trial Balance - FPer'!A979,'Original Budget'!$C$1:$C$691)</f>
        <v>0</v>
      </c>
      <c r="I979" s="2118"/>
      <c r="J979" s="2026"/>
      <c r="L979" s="2024" t="e">
        <f>VLOOKUP(A979,'2012 Budget'!$A$18:$B$2152,2,FALSE)</f>
        <v>#N/A</v>
      </c>
    </row>
    <row r="980" spans="1:12" s="2024" customFormat="1" ht="7.5" customHeight="1" x14ac:dyDescent="0.2">
      <c r="C980" s="2042"/>
      <c r="D980" s="2025"/>
      <c r="E980" s="2025"/>
      <c r="F980" s="2025"/>
      <c r="G980" s="2025"/>
      <c r="H980" s="2118">
        <f>SUMIF('Original Budget'!$A$1:$A$691,'Trial Balance - FPer'!A980,'Original Budget'!$C$1:$C$691)</f>
        <v>0</v>
      </c>
      <c r="I980" s="2118"/>
      <c r="J980" s="2026"/>
      <c r="L980" s="2024" t="e">
        <f>VLOOKUP(A980,'2012 Budget'!$A$18:$B$2152,2,FALSE)</f>
        <v>#N/A</v>
      </c>
    </row>
    <row r="981" spans="1:12" s="2024" customFormat="1" ht="13.5" thickBot="1" x14ac:dyDescent="0.25">
      <c r="B981" s="1208" t="s">
        <v>6423</v>
      </c>
      <c r="C981" s="2103">
        <f>C977+C979</f>
        <v>0</v>
      </c>
      <c r="D981" s="2025"/>
      <c r="E981" s="2025"/>
      <c r="F981" s="2025"/>
      <c r="G981" s="2103">
        <f>G977+G979</f>
        <v>0</v>
      </c>
      <c r="H981" s="2118">
        <f>SUMIF('Original Budget'!$A$1:$A$691,'Trial Balance - FPer'!A981,'Original Budget'!$C$1:$C$691)</f>
        <v>0</v>
      </c>
      <c r="I981" s="2118"/>
      <c r="J981" s="2026"/>
      <c r="L981" s="2024" t="e">
        <f>VLOOKUP(A981,'2012 Budget'!$A$18:$B$2152,2,FALSE)</f>
        <v>#N/A</v>
      </c>
    </row>
    <row r="982" spans="1:12" s="2024" customFormat="1" ht="14.25" thickTop="1" thickBot="1" x14ac:dyDescent="0.25">
      <c r="C982" s="2042"/>
      <c r="D982" s="2025"/>
      <c r="E982" s="2025"/>
      <c r="F982" s="2025"/>
      <c r="G982" s="2025"/>
      <c r="H982" s="2118">
        <f>SUMIF('Original Budget'!$A$1:$A$691,'Trial Balance - FPer'!A982,'Original Budget'!$C$1:$C$691)</f>
        <v>0</v>
      </c>
      <c r="I982" s="2118"/>
      <c r="J982" s="2026"/>
      <c r="L982" s="2024" t="e">
        <f>VLOOKUP(A982,'2012 Budget'!$A$18:$B$2152,2,FALSE)</f>
        <v>#N/A</v>
      </c>
    </row>
    <row r="983" spans="1:12" s="2024" customFormat="1" x14ac:dyDescent="0.2">
      <c r="A983" s="2111" t="s">
        <v>5164</v>
      </c>
      <c r="B983" s="2112" t="s">
        <v>5165</v>
      </c>
      <c r="C983" s="2113">
        <f>VLOOKUP(A983,'2011 - TB'!$A$3:$B$971,2,FALSE)</f>
        <v>216554.6</v>
      </c>
      <c r="D983" s="2114">
        <v>0</v>
      </c>
      <c r="E983" s="2114">
        <f>VLOOKUP(A983,'2012 - TB'!$A$3:$H$733,5,FALSE)</f>
        <v>828487.29</v>
      </c>
      <c r="F983" s="2114">
        <f>VLOOKUP(A983,'2012 - TB'!$A$3:$H$733,6,FALSE)</f>
        <v>-141551.1</v>
      </c>
      <c r="G983" s="2114">
        <f t="shared" si="41"/>
        <v>686936.19000000006</v>
      </c>
      <c r="H983" s="2640">
        <f>SUMIF('Original Budget'!$A$1:$A$691,'Trial Balance - FPer'!A983,'Original Budget'!$C$1:$C$691)</f>
        <v>209154.58</v>
      </c>
      <c r="I983" s="2640">
        <f>VLOOKUP(A983,'2012 - TB'!$A$3:$C$733,3,FALSE)</f>
        <v>1500000</v>
      </c>
      <c r="J983" s="2115" t="s">
        <v>5945</v>
      </c>
      <c r="L983" s="2024" t="str">
        <f>VLOOKUP(A983,'2012 Budget'!$A$18:$B$2152,2,FALSE)</f>
        <v>R/M - Buildings</v>
      </c>
    </row>
    <row r="984" spans="1:12" s="2024" customFormat="1" x14ac:dyDescent="0.2">
      <c r="A984" s="2116" t="s">
        <v>5297</v>
      </c>
      <c r="B984" s="2117" t="s">
        <v>5165</v>
      </c>
      <c r="C984" s="2109" t="str">
        <f>VLOOKUP(A984,'2011 - TB'!$A$3:$B$971,2,FALSE)</f>
        <v xml:space="preserve">                               -  </v>
      </c>
      <c r="D984" s="2118">
        <v>0</v>
      </c>
      <c r="E984" s="2118">
        <v>0</v>
      </c>
      <c r="F984" s="2118">
        <v>0</v>
      </c>
      <c r="G984" s="2118">
        <f t="shared" si="41"/>
        <v>0</v>
      </c>
      <c r="H984" s="2640">
        <f>SUMIF('Original Budget'!$A$1:$A$691,'Trial Balance - FPer'!A984,'Original Budget'!$C$1:$C$691)</f>
        <v>0</v>
      </c>
      <c r="I984" s="2640"/>
      <c r="J984" s="2119" t="s">
        <v>5945</v>
      </c>
      <c r="L984" s="2024" t="str">
        <f>VLOOKUP(A984,'2012 Budget'!$A$18:$B$2152,2,FALSE)</f>
        <v>R/M - Buildings</v>
      </c>
    </row>
    <row r="985" spans="1:12" s="2024" customFormat="1" x14ac:dyDescent="0.2">
      <c r="A985" s="2116" t="s">
        <v>5415</v>
      </c>
      <c r="B985" s="2117" t="s">
        <v>5165</v>
      </c>
      <c r="C985" s="2109">
        <f>VLOOKUP(A985,'2011 - TB'!$A$3:$B$971,2,FALSE)</f>
        <v>8880.66</v>
      </c>
      <c r="D985" s="2118">
        <v>0</v>
      </c>
      <c r="E985" s="2118">
        <f>VLOOKUP(A985,'2012 - TB'!$A$3:$H$733,5,FALSE)</f>
        <v>2360.1799999999998</v>
      </c>
      <c r="F985" s="2118">
        <f>VLOOKUP(A985,'2012 - TB'!$A$3:$H$733,6,FALSE)</f>
        <v>0</v>
      </c>
      <c r="G985" s="2118">
        <f t="shared" si="41"/>
        <v>2360.1799999999998</v>
      </c>
      <c r="H985" s="2640">
        <f>SUMIF('Original Budget'!$A$1:$A$691,'Trial Balance - FPer'!A985,'Original Budget'!$C$1:$C$691)</f>
        <v>12816.87</v>
      </c>
      <c r="I985" s="2640">
        <f>VLOOKUP(A985,'2012 - TB'!$A$3:$C$733,3,FALSE)</f>
        <v>3500</v>
      </c>
      <c r="J985" s="2119" t="s">
        <v>5945</v>
      </c>
      <c r="L985" s="2024" t="str">
        <f>VLOOKUP(A985,'2012 Budget'!$A$18:$B$2152,2,FALSE)</f>
        <v>R/M - Buildings</v>
      </c>
    </row>
    <row r="986" spans="1:12" s="2024" customFormat="1" x14ac:dyDescent="0.2">
      <c r="A986" s="2116" t="s">
        <v>5427</v>
      </c>
      <c r="B986" s="2117" t="s">
        <v>5165</v>
      </c>
      <c r="C986" s="2109">
        <f>VLOOKUP(A986,'2011 - TB'!$A$3:$B$971,2,FALSE)</f>
        <v>0</v>
      </c>
      <c r="D986" s="2118">
        <v>0</v>
      </c>
      <c r="E986" s="2118">
        <v>0</v>
      </c>
      <c r="F986" s="2118">
        <v>0</v>
      </c>
      <c r="G986" s="2118">
        <f t="shared" si="41"/>
        <v>0</v>
      </c>
      <c r="H986" s="2640">
        <f>SUMIF('Original Budget'!$A$1:$A$691,'Trial Balance - FPer'!A986,'Original Budget'!$C$1:$C$691)</f>
        <v>0</v>
      </c>
      <c r="I986" s="2640"/>
      <c r="J986" s="2119" t="s">
        <v>5945</v>
      </c>
      <c r="L986" s="2024" t="str">
        <f>VLOOKUP(A986,'2012 Budget'!$A$18:$B$2152,2,FALSE)</f>
        <v>R/M - Buildings</v>
      </c>
    </row>
    <row r="987" spans="1:12" s="2024" customFormat="1" x14ac:dyDescent="0.2">
      <c r="A987" s="2116" t="s">
        <v>5625</v>
      </c>
      <c r="B987" s="2117" t="s">
        <v>5165</v>
      </c>
      <c r="C987" s="2109" t="str">
        <f>VLOOKUP(A987,'2011 - TB'!$A$3:$B$971,2,FALSE)</f>
        <v xml:space="preserve">                               -  </v>
      </c>
      <c r="D987" s="2118">
        <v>0</v>
      </c>
      <c r="E987" s="2118">
        <v>0</v>
      </c>
      <c r="F987" s="2118">
        <v>0</v>
      </c>
      <c r="G987" s="2118">
        <f t="shared" si="41"/>
        <v>0</v>
      </c>
      <c r="H987" s="2640">
        <f>SUMIF('Original Budget'!$A$1:$A$691,'Trial Balance - FPer'!A987,'Original Budget'!$C$1:$C$691)</f>
        <v>4138.5200000000004</v>
      </c>
      <c r="I987" s="2640"/>
      <c r="J987" s="2119" t="s">
        <v>5945</v>
      </c>
      <c r="L987" s="2024" t="str">
        <f>VLOOKUP(A987,'2012 Budget'!$A$18:$B$2152,2,FALSE)</f>
        <v>R/M - Buildings</v>
      </c>
    </row>
    <row r="988" spans="1:12" s="2024" customFormat="1" x14ac:dyDescent="0.2">
      <c r="A988" s="2116" t="s">
        <v>5626</v>
      </c>
      <c r="B988" s="2117" t="s">
        <v>5165</v>
      </c>
      <c r="C988" s="2109" t="str">
        <f>VLOOKUP(A988,'2011 - TB'!$A$3:$B$971,2,FALSE)</f>
        <v xml:space="preserve">                               -  </v>
      </c>
      <c r="D988" s="2118">
        <v>0</v>
      </c>
      <c r="E988" s="2118">
        <f>VLOOKUP(A988,'2012 - TB'!$A$3:$H$733,5,FALSE)</f>
        <v>2314.9699999999998</v>
      </c>
      <c r="F988" s="2118">
        <f>VLOOKUP(A988,'2012 - TB'!$A$3:$H$733,6,FALSE)</f>
        <v>-286.99</v>
      </c>
      <c r="G988" s="2118">
        <f t="shared" si="41"/>
        <v>2027.9799999999998</v>
      </c>
      <c r="H988" s="2640">
        <f>SUMIF('Original Budget'!$A$1:$A$691,'Trial Balance - FPer'!A988,'Original Budget'!$C$1:$C$691)</f>
        <v>8689.59</v>
      </c>
      <c r="I988" s="2640">
        <f>VLOOKUP(A988,'2012 - TB'!$A$3:$C$733,3,FALSE)</f>
        <v>8689.59</v>
      </c>
      <c r="J988" s="2119" t="s">
        <v>5945</v>
      </c>
      <c r="L988" s="2024" t="str">
        <f>VLOOKUP(A988,'2012 Budget'!$A$18:$B$2152,2,FALSE)</f>
        <v>R/M - Buildings</v>
      </c>
    </row>
    <row r="989" spans="1:12" s="2024" customFormat="1" x14ac:dyDescent="0.2">
      <c r="A989" s="2116" t="s">
        <v>5706</v>
      </c>
      <c r="B989" s="2117" t="s">
        <v>5165</v>
      </c>
      <c r="C989" s="2109" t="str">
        <f>VLOOKUP(A989,'2011 - TB'!$A$3:$B$971,2,FALSE)</f>
        <v xml:space="preserve">                               -  </v>
      </c>
      <c r="D989" s="2118">
        <v>0</v>
      </c>
      <c r="E989" s="2118">
        <f>VLOOKUP(A989,'2012 - TB'!$A$3:$H$733,5,FALSE)</f>
        <v>6710.35</v>
      </c>
      <c r="F989" s="2118">
        <f>VLOOKUP(A989,'2012 - TB'!$A$3:$H$733,6,FALSE)</f>
        <v>0</v>
      </c>
      <c r="G989" s="2118">
        <f t="shared" si="41"/>
        <v>6710.35</v>
      </c>
      <c r="H989" s="2640">
        <f>SUMIF('Original Budget'!$A$1:$A$691,'Trial Balance - FPer'!A989,'Original Budget'!$C$1:$C$691)</f>
        <v>8277.0300000000007</v>
      </c>
      <c r="I989" s="2640">
        <f>VLOOKUP(A989,'2012 - TB'!$A$3:$C$733,3,FALSE)</f>
        <v>8277.0300000000007</v>
      </c>
      <c r="J989" s="2119" t="s">
        <v>5945</v>
      </c>
      <c r="L989" s="2024" t="str">
        <f>VLOOKUP(A989,'2012 Budget'!$A$18:$B$2152,2,FALSE)</f>
        <v>R/M - Buildings</v>
      </c>
    </row>
    <row r="990" spans="1:12" s="2024" customFormat="1" x14ac:dyDescent="0.2">
      <c r="A990" s="2116" t="s">
        <v>5812</v>
      </c>
      <c r="B990" s="2117" t="s">
        <v>5165</v>
      </c>
      <c r="C990" s="2109" t="str">
        <f>VLOOKUP(A990,'2011 - TB'!$A$3:$B$971,2,FALSE)</f>
        <v xml:space="preserve">                               -  </v>
      </c>
      <c r="D990" s="2118">
        <v>0</v>
      </c>
      <c r="E990" s="2118">
        <v>0</v>
      </c>
      <c r="F990" s="2118">
        <v>0</v>
      </c>
      <c r="G990" s="2118">
        <f t="shared" si="41"/>
        <v>0</v>
      </c>
      <c r="H990" s="2640">
        <f>SUMIF('Original Budget'!$A$1:$A$691,'Trial Balance - FPer'!A990,'Original Budget'!$C$1:$C$691)</f>
        <v>0</v>
      </c>
      <c r="I990" s="2640"/>
      <c r="J990" s="2119" t="s">
        <v>5945</v>
      </c>
      <c r="L990" s="2024" t="str">
        <f>VLOOKUP(A990,'2012 Budget'!$A$18:$B$2152,2,FALSE)</f>
        <v>R/M - Buildings</v>
      </c>
    </row>
    <row r="991" spans="1:12" s="2024" customFormat="1" x14ac:dyDescent="0.2">
      <c r="A991" s="2116" t="s">
        <v>5874</v>
      </c>
      <c r="B991" s="2117" t="s">
        <v>5165</v>
      </c>
      <c r="C991" s="2109">
        <f>VLOOKUP(A991,'2011 - TB'!$A$3:$B$971,2,FALSE)</f>
        <v>60.53</v>
      </c>
      <c r="D991" s="2118">
        <v>0</v>
      </c>
      <c r="E991" s="2118">
        <f>VLOOKUP(A991,'2012 - TB'!$A$3:$H$733,5,FALSE)</f>
        <v>2148.5</v>
      </c>
      <c r="F991" s="2118">
        <f>VLOOKUP(A991,'2012 - TB'!$A$3:$H$733,6,FALSE)</f>
        <v>0</v>
      </c>
      <c r="G991" s="2118">
        <f t="shared" si="41"/>
        <v>2148.5</v>
      </c>
      <c r="H991" s="2640">
        <f>SUMIF('Original Budget'!$A$1:$A$691,'Trial Balance - FPer'!A991,'Original Budget'!$C$1:$C$691)</f>
        <v>0</v>
      </c>
      <c r="I991" s="2640">
        <f>VLOOKUP(A991,'2012 - TB'!$A$3:$C$733,3,FALSE)</f>
        <v>2148.5</v>
      </c>
      <c r="J991" s="2119" t="s">
        <v>5945</v>
      </c>
      <c r="L991" s="2024" t="str">
        <f>VLOOKUP(A991,'2012 Budget'!$A$18:$B$2152,2,FALSE)</f>
        <v>R/M - Buildings</v>
      </c>
    </row>
    <row r="992" spans="1:12" s="2024" customFormat="1" x14ac:dyDescent="0.2">
      <c r="A992" s="2623" t="s">
        <v>5168</v>
      </c>
      <c r="B992" s="2624" t="s">
        <v>5169</v>
      </c>
      <c r="C992" s="2109" t="str">
        <f>VLOOKUP(A992,'2011 - TB'!$A$3:$B$971,2,FALSE)</f>
        <v xml:space="preserve">                               -  </v>
      </c>
      <c r="D992" s="2118">
        <v>0</v>
      </c>
      <c r="E992" s="2118">
        <v>0</v>
      </c>
      <c r="F992" s="2118">
        <v>0</v>
      </c>
      <c r="G992" s="2118">
        <f t="shared" si="41"/>
        <v>0</v>
      </c>
      <c r="H992" s="2640">
        <f>SUMIF('Original Budget'!$A$1:$A$691,'Trial Balance - FPer'!A992,'Original Budget'!$C$1:$C$691)</f>
        <v>0</v>
      </c>
      <c r="I992" s="2640"/>
      <c r="J992" s="2119" t="s">
        <v>5945</v>
      </c>
      <c r="L992" s="2024" t="e">
        <f>VLOOKUP(A992,'2012 Budget'!$A$18:$B$2152,2,FALSE)</f>
        <v>#N/A</v>
      </c>
    </row>
    <row r="993" spans="1:12" s="2024" customFormat="1" x14ac:dyDescent="0.2">
      <c r="A993" s="2116" t="s">
        <v>5428</v>
      </c>
      <c r="B993" s="2117" t="s">
        <v>5169</v>
      </c>
      <c r="C993" s="2109" t="str">
        <f>VLOOKUP(A993,'2011 - TB'!$A$3:$B$971,2,FALSE)</f>
        <v xml:space="preserve">                               -  </v>
      </c>
      <c r="D993" s="2118">
        <v>0</v>
      </c>
      <c r="E993" s="2118">
        <f>VLOOKUP(A993,'2012 - TB'!$A$3:$H$733,5,FALSE)</f>
        <v>0</v>
      </c>
      <c r="F993" s="2118">
        <f>VLOOKUP(A993,'2012 - TB'!$A$3:$H$733,6,FALSE)</f>
        <v>0</v>
      </c>
      <c r="G993" s="2118">
        <f t="shared" si="41"/>
        <v>0</v>
      </c>
      <c r="H993" s="2640">
        <f>SUMIF('Original Budget'!$A$1:$A$691,'Trial Balance - FPer'!A993,'Original Budget'!$C$1:$C$691)</f>
        <v>78824.25</v>
      </c>
      <c r="I993" s="2640">
        <f>VLOOKUP(A993,'2012 - TB'!$A$3:$C$733,3,FALSE)</f>
        <v>78824.25</v>
      </c>
      <c r="J993" s="2119" t="s">
        <v>5945</v>
      </c>
      <c r="L993" s="2024" t="str">
        <f>VLOOKUP(A993,'2012 Budget'!$A$18:$B$2152,2,FALSE)</f>
        <v>R/M - Fencing;</v>
      </c>
    </row>
    <row r="994" spans="1:12" s="2024" customFormat="1" x14ac:dyDescent="0.2">
      <c r="A994" s="2116" t="s">
        <v>5482</v>
      </c>
      <c r="B994" s="2117" t="s">
        <v>5169</v>
      </c>
      <c r="C994" s="2109" t="str">
        <f>VLOOKUP(A994,'2011 - TB'!$A$3:$B$971,2,FALSE)</f>
        <v xml:space="preserve">                               -  </v>
      </c>
      <c r="D994" s="2118">
        <v>0</v>
      </c>
      <c r="E994" s="2118">
        <f>VLOOKUP(A994,'2012 - TB'!$A$3:$H$733,5,FALSE)</f>
        <v>0</v>
      </c>
      <c r="F994" s="2118">
        <f>VLOOKUP(A994,'2012 - TB'!$A$3:$H$733,6,FALSE)</f>
        <v>0</v>
      </c>
      <c r="G994" s="2118">
        <f t="shared" si="41"/>
        <v>0</v>
      </c>
      <c r="H994" s="2640">
        <f>SUMIF('Original Budget'!$A$1:$A$691,'Trial Balance - FPer'!A994,'Original Budget'!$C$1:$C$691)</f>
        <v>131306.51</v>
      </c>
      <c r="I994" s="2640">
        <f>VLOOKUP(A994,'2012 - TB'!$A$3:$C$733,3,FALSE)</f>
        <v>131306.51</v>
      </c>
      <c r="J994" s="2119" t="s">
        <v>5945</v>
      </c>
      <c r="L994" s="2024" t="str">
        <f>VLOOKUP(A994,'2012 Budget'!$A$18:$B$2152,2,FALSE)</f>
        <v>R/M - Fencing;</v>
      </c>
    </row>
    <row r="995" spans="1:12" s="2024" customFormat="1" x14ac:dyDescent="0.2">
      <c r="A995" s="2116" t="s">
        <v>5581</v>
      </c>
      <c r="B995" s="2117" t="s">
        <v>5169</v>
      </c>
      <c r="C995" s="2109" t="str">
        <f>VLOOKUP(A995,'2011 - TB'!$A$3:$B$971,2,FALSE)</f>
        <v xml:space="preserve">                               -  </v>
      </c>
      <c r="D995" s="2118">
        <v>0</v>
      </c>
      <c r="E995" s="2118">
        <f>VLOOKUP(A995,'2012 - TB'!$A$3:$H$733,5,FALSE)</f>
        <v>0</v>
      </c>
      <c r="F995" s="2118">
        <f>VLOOKUP(A995,'2012 - TB'!$A$3:$H$733,6,FALSE)</f>
        <v>0</v>
      </c>
      <c r="G995" s="2118">
        <f t="shared" si="41"/>
        <v>0</v>
      </c>
      <c r="H995" s="2640">
        <f>SUMIF('Original Budget'!$A$1:$A$691,'Trial Balance - FPer'!A995,'Original Budget'!$C$1:$C$691)</f>
        <v>31529.7</v>
      </c>
      <c r="I995" s="2640">
        <f>VLOOKUP(A995,'2012 - TB'!$A$3:$C$733,3,FALSE)</f>
        <v>31529.7</v>
      </c>
      <c r="J995" s="2119" t="s">
        <v>5945</v>
      </c>
      <c r="L995" s="2024" t="str">
        <f>VLOOKUP(A995,'2012 Budget'!$A$18:$B$2152,2,FALSE)</f>
        <v>R/M - Fencing;</v>
      </c>
    </row>
    <row r="996" spans="1:12" s="2024" customFormat="1" x14ac:dyDescent="0.2">
      <c r="A996" s="2116" t="s">
        <v>5629</v>
      </c>
      <c r="B996" s="2117" t="s">
        <v>5169</v>
      </c>
      <c r="C996" s="2109" t="str">
        <f>VLOOKUP(A996,'2011 - TB'!$A$3:$B$971,2,FALSE)</f>
        <v xml:space="preserve">                               -  </v>
      </c>
      <c r="D996" s="2118">
        <v>0</v>
      </c>
      <c r="E996" s="2118">
        <f>VLOOKUP(A996,'2012 - TB'!$A$3:$H$733,5,FALSE)</f>
        <v>1273.6600000000001</v>
      </c>
      <c r="F996" s="2118">
        <f>VLOOKUP(A996,'2012 - TB'!$A$3:$H$733,6,FALSE)</f>
        <v>0</v>
      </c>
      <c r="G996" s="2118">
        <f t="shared" si="41"/>
        <v>1273.6600000000001</v>
      </c>
      <c r="H996" s="2640">
        <f>SUMIF('Original Budget'!$A$1:$A$691,'Trial Balance - FPer'!A996,'Original Budget'!$C$1:$C$691)</f>
        <v>132</v>
      </c>
      <c r="I996" s="2640">
        <f>VLOOKUP(A996,'2012 - TB'!$A$3:$C$733,3,FALSE)</f>
        <v>1273.6600000000001</v>
      </c>
      <c r="J996" s="2119" t="s">
        <v>5945</v>
      </c>
      <c r="L996" s="2024" t="str">
        <f>VLOOKUP(A996,'2012 Budget'!$A$18:$B$2152,2,FALSE)</f>
        <v>R/M - Fencing;</v>
      </c>
    </row>
    <row r="997" spans="1:12" s="2024" customFormat="1" x14ac:dyDescent="0.2">
      <c r="A997" s="2116" t="s">
        <v>5761</v>
      </c>
      <c r="B997" s="2117" t="s">
        <v>5169</v>
      </c>
      <c r="C997" s="2109">
        <f>VLOOKUP(A997,'2011 - TB'!$A$3:$B$971,2,FALSE)</f>
        <v>141325.46</v>
      </c>
      <c r="D997" s="2118">
        <v>0</v>
      </c>
      <c r="E997" s="2118">
        <f>VLOOKUP(A997,'2012 - TB'!$A$3:$H$733,5,FALSE)</f>
        <v>1500</v>
      </c>
      <c r="F997" s="2118">
        <f>VLOOKUP(A997,'2012 - TB'!$A$3:$H$733,6,FALSE)</f>
        <v>0</v>
      </c>
      <c r="G997" s="2118">
        <f t="shared" si="41"/>
        <v>1500</v>
      </c>
      <c r="H997" s="2640">
        <f>SUMIF('Original Budget'!$A$1:$A$691,'Trial Balance - FPer'!A997,'Original Budget'!$C$1:$C$691)</f>
        <v>121275</v>
      </c>
      <c r="I997" s="2640">
        <f>VLOOKUP(A997,'2012 - TB'!$A$3:$C$733,3,FALSE)</f>
        <v>35000</v>
      </c>
      <c r="J997" s="2119" t="s">
        <v>5945</v>
      </c>
      <c r="L997" s="2024" t="str">
        <f>VLOOKUP(A997,'2012 Budget'!$A$18:$B$2152,2,FALSE)</f>
        <v>R/M - Fencing;</v>
      </c>
    </row>
    <row r="998" spans="1:12" s="2024" customFormat="1" x14ac:dyDescent="0.2">
      <c r="A998" s="2116" t="s">
        <v>4892</v>
      </c>
      <c r="B998" s="2117" t="s">
        <v>4893</v>
      </c>
      <c r="C998" s="2109" t="str">
        <f>VLOOKUP(A998,'2011 - TB'!$A$3:$B$971,2,FALSE)</f>
        <v xml:space="preserve">                               -  </v>
      </c>
      <c r="D998" s="2118">
        <v>0</v>
      </c>
      <c r="E998" s="2118">
        <f>VLOOKUP(A998,'2012 - TB'!$A$3:$H$733,5,FALSE)</f>
        <v>0</v>
      </c>
      <c r="F998" s="2118">
        <f>VLOOKUP(A998,'2012 - TB'!$A$3:$H$733,6,FALSE)</f>
        <v>0</v>
      </c>
      <c r="G998" s="2118">
        <f t="shared" si="41"/>
        <v>0</v>
      </c>
      <c r="H998" s="2640">
        <f>SUMIF('Original Budget'!$A$1:$A$691,'Trial Balance - FPer'!A998,'Original Budget'!$C$1:$C$691)</f>
        <v>1688.6</v>
      </c>
      <c r="I998" s="2640">
        <f>VLOOKUP(A998,'2012 - TB'!$A$3:$C$733,3,FALSE)</f>
        <v>1688.6</v>
      </c>
      <c r="J998" s="2119" t="s">
        <v>5945</v>
      </c>
      <c r="L998" s="2024" t="str">
        <f>VLOOKUP(A998,'2012 Budget'!$A$18:$B$2152,2,FALSE)</f>
        <v>R/M - Furniture</v>
      </c>
    </row>
    <row r="999" spans="1:12" s="2024" customFormat="1" x14ac:dyDescent="0.2">
      <c r="A999" s="2116" t="s">
        <v>5049</v>
      </c>
      <c r="B999" s="2117" t="s">
        <v>4893</v>
      </c>
      <c r="C999" s="2109">
        <f>VLOOKUP(A999,'2011 - TB'!$A$3:$B$971,2,FALSE)</f>
        <v>12485.61</v>
      </c>
      <c r="D999" s="2118">
        <v>0</v>
      </c>
      <c r="E999" s="2118">
        <f>VLOOKUP(A999,'2012 - TB'!$A$3:$H$733,5,FALSE)</f>
        <v>2460.62</v>
      </c>
      <c r="F999" s="2118">
        <f>VLOOKUP(A999,'2012 - TB'!$A$3:$H$733,6,FALSE)</f>
        <v>0</v>
      </c>
      <c r="G999" s="2118">
        <f t="shared" si="41"/>
        <v>2460.62</v>
      </c>
      <c r="H999" s="2640">
        <f>SUMIF('Original Budget'!$A$1:$A$691,'Trial Balance - FPer'!A999,'Original Budget'!$C$1:$C$691)</f>
        <v>25635.02</v>
      </c>
      <c r="I999" s="2640">
        <f>VLOOKUP(A999,'2012 - TB'!$A$3:$C$733,3,FALSE)</f>
        <v>2535.02</v>
      </c>
      <c r="J999" s="2119" t="s">
        <v>5945</v>
      </c>
      <c r="L999" s="2024" t="str">
        <f>VLOOKUP(A999,'2012 Budget'!$A$18:$B$2152,2,FALSE)</f>
        <v>R/M - Furniture</v>
      </c>
    </row>
    <row r="1000" spans="1:12" s="2024" customFormat="1" x14ac:dyDescent="0.2">
      <c r="A1000" s="2116" t="s">
        <v>5050</v>
      </c>
      <c r="B1000" s="2117" t="s">
        <v>4893</v>
      </c>
      <c r="C1000" s="2109" t="str">
        <f>VLOOKUP(A1000,'2011 - TB'!$A$3:$B$971,2,FALSE)</f>
        <v xml:space="preserve">                               -  </v>
      </c>
      <c r="D1000" s="2118">
        <v>0</v>
      </c>
      <c r="E1000" s="2118">
        <v>0</v>
      </c>
      <c r="F1000" s="2118">
        <v>0</v>
      </c>
      <c r="G1000" s="2118">
        <f t="shared" si="41"/>
        <v>0</v>
      </c>
      <c r="H1000" s="2640">
        <f>SUMIF('Original Budget'!$A$1:$A$691,'Trial Balance - FPer'!A1000,'Original Budget'!$C$1:$C$691)</f>
        <v>0</v>
      </c>
      <c r="I1000" s="2640"/>
      <c r="J1000" s="2119" t="s">
        <v>5945</v>
      </c>
      <c r="L1000" s="2024" t="str">
        <f>VLOOKUP(A1000,'2012 Budget'!$A$18:$B$2152,2,FALSE)</f>
        <v>R/M - Furniture</v>
      </c>
    </row>
    <row r="1001" spans="1:12" s="2024" customFormat="1" x14ac:dyDescent="0.2">
      <c r="A1001" s="2116" t="s">
        <v>5121</v>
      </c>
      <c r="B1001" s="2117" t="s">
        <v>4893</v>
      </c>
      <c r="C1001" s="2109" t="str">
        <f>VLOOKUP(A1001,'2011 - TB'!$A$3:$B$971,2,FALSE)</f>
        <v xml:space="preserve">                               -  </v>
      </c>
      <c r="D1001" s="2118">
        <v>0</v>
      </c>
      <c r="E1001" s="2118">
        <v>0</v>
      </c>
      <c r="F1001" s="2118">
        <v>0</v>
      </c>
      <c r="G1001" s="2118">
        <f t="shared" si="41"/>
        <v>0</v>
      </c>
      <c r="H1001" s="2640">
        <f>SUMIF('Original Budget'!$A$1:$A$691,'Trial Balance - FPer'!A1001,'Original Budget'!$C$1:$C$691)</f>
        <v>412.57</v>
      </c>
      <c r="I1001" s="2640"/>
      <c r="J1001" s="2119" t="s">
        <v>5945</v>
      </c>
      <c r="L1001" s="2024" t="str">
        <f>VLOOKUP(A1001,'2012 Budget'!$A$18:$B$2152,2,FALSE)</f>
        <v>R/M - Furniture</v>
      </c>
    </row>
    <row r="1002" spans="1:12" s="2024" customFormat="1" x14ac:dyDescent="0.2">
      <c r="A1002" s="2116" t="s">
        <v>5151</v>
      </c>
      <c r="B1002" s="2117" t="s">
        <v>4893</v>
      </c>
      <c r="C1002" s="2109" t="str">
        <f>VLOOKUP(A1002,'2011 - TB'!$A$3:$B$971,2,FALSE)</f>
        <v xml:space="preserve">                               -  </v>
      </c>
      <c r="D1002" s="2118">
        <v>0</v>
      </c>
      <c r="E1002" s="2118">
        <f>VLOOKUP(A1002,'2012 - TB'!$A$3:$H$733,5,FALSE)</f>
        <v>13632.28</v>
      </c>
      <c r="F1002" s="2118">
        <v>0</v>
      </c>
      <c r="G1002" s="2118">
        <f t="shared" si="41"/>
        <v>13632.28</v>
      </c>
      <c r="H1002" s="2640">
        <f>SUMIF('Original Budget'!$A$1:$A$691,'Trial Balance - FPer'!A1002,'Original Budget'!$C$1:$C$691)</f>
        <v>13935.49</v>
      </c>
      <c r="I1002" s="2640">
        <f>VLOOKUP(A1002,'2012 - TB'!$A$3:$C$733,3,FALSE)</f>
        <v>20000</v>
      </c>
      <c r="J1002" s="2119" t="s">
        <v>5945</v>
      </c>
      <c r="L1002" s="2024" t="str">
        <f>VLOOKUP(A1002,'2012 Budget'!$A$18:$B$2152,2,FALSE)</f>
        <v>R/M - Furniture</v>
      </c>
    </row>
    <row r="1003" spans="1:12" s="2024" customFormat="1" x14ac:dyDescent="0.2">
      <c r="A1003" s="2623" t="s">
        <v>5167</v>
      </c>
      <c r="B1003" s="2624" t="s">
        <v>4893</v>
      </c>
      <c r="C1003" s="2109" t="str">
        <f>VLOOKUP(A1003,'2011 - TB'!$A$3:$B$971,2,FALSE)</f>
        <v xml:space="preserve">                               -  </v>
      </c>
      <c r="D1003" s="2118">
        <v>0</v>
      </c>
      <c r="E1003" s="2118">
        <v>0</v>
      </c>
      <c r="F1003" s="2118">
        <v>0</v>
      </c>
      <c r="G1003" s="2118">
        <f t="shared" si="41"/>
        <v>0</v>
      </c>
      <c r="H1003" s="2640">
        <f>SUMIF('Original Budget'!$A$1:$A$691,'Trial Balance - FPer'!A1003,'Original Budget'!$C$1:$C$691)</f>
        <v>0</v>
      </c>
      <c r="I1003" s="2640"/>
      <c r="J1003" s="2119" t="s">
        <v>5945</v>
      </c>
      <c r="L1003" s="2024" t="e">
        <f>VLOOKUP(A1003,'2012 Budget'!$A$18:$B$2152,2,FALSE)</f>
        <v>#N/A</v>
      </c>
    </row>
    <row r="1004" spans="1:12" s="2024" customFormat="1" x14ac:dyDescent="0.2">
      <c r="A1004" s="2116" t="s">
        <v>5298</v>
      </c>
      <c r="B1004" s="2117" t="s">
        <v>4893</v>
      </c>
      <c r="C1004" s="2109" t="str">
        <f>VLOOKUP(A1004,'2011 - TB'!$A$3:$B$971,2,FALSE)</f>
        <v xml:space="preserve">                               -  </v>
      </c>
      <c r="D1004" s="2118">
        <v>0</v>
      </c>
      <c r="E1004" s="2118">
        <v>0</v>
      </c>
      <c r="F1004" s="2118">
        <v>0</v>
      </c>
      <c r="G1004" s="2118">
        <f t="shared" si="41"/>
        <v>0</v>
      </c>
      <c r="H1004" s="2640">
        <f>SUMIF('Original Budget'!$A$1:$A$691,'Trial Balance - FPer'!A1004,'Original Budget'!$C$1:$C$691)</f>
        <v>412.57</v>
      </c>
      <c r="I1004" s="2640"/>
      <c r="J1004" s="2119" t="s">
        <v>5945</v>
      </c>
      <c r="L1004" s="2024" t="str">
        <f>VLOOKUP(A1004,'2012 Budget'!$A$18:$B$2152,2,FALSE)</f>
        <v>R/M - Furniture</v>
      </c>
    </row>
    <row r="1005" spans="1:12" s="2024" customFormat="1" x14ac:dyDescent="0.2">
      <c r="A1005" s="2116" t="s">
        <v>5299</v>
      </c>
      <c r="B1005" s="2117" t="s">
        <v>4893</v>
      </c>
      <c r="C1005" s="2109" t="str">
        <f>VLOOKUP(A1005,'2011 - TB'!$A$3:$B$971,2,FALSE)</f>
        <v xml:space="preserve">                               -  </v>
      </c>
      <c r="D1005" s="2118">
        <v>0</v>
      </c>
      <c r="E1005" s="2118">
        <f>VLOOKUP(A1005,'2012 - TB'!$A$3:$H$733,5,FALSE)</f>
        <v>1982.46</v>
      </c>
      <c r="F1005" s="2118">
        <v>0</v>
      </c>
      <c r="G1005" s="2118">
        <f t="shared" ref="G1005:G1033" si="43">E1005+F1005</f>
        <v>1982.46</v>
      </c>
      <c r="H1005" s="2640">
        <f>SUMIF('Original Budget'!$A$1:$A$691,'Trial Balance - FPer'!A1005,'Original Budget'!$C$1:$C$691)</f>
        <v>2067.98</v>
      </c>
      <c r="I1005" s="2640">
        <f>VLOOKUP(A1005,'2012 - TB'!$A$3:$C$733,3,FALSE)</f>
        <v>1982.46</v>
      </c>
      <c r="J1005" s="2119" t="s">
        <v>5945</v>
      </c>
      <c r="L1005" s="2024" t="str">
        <f>VLOOKUP(A1005,'2012 Budget'!$A$18:$B$2152,2,FALSE)</f>
        <v>R/M - Furniture</v>
      </c>
    </row>
    <row r="1006" spans="1:12" s="2024" customFormat="1" x14ac:dyDescent="0.2">
      <c r="A1006" s="2116" t="s">
        <v>5355</v>
      </c>
      <c r="B1006" s="2117" t="s">
        <v>4893</v>
      </c>
      <c r="C1006" s="2109" t="str">
        <f>VLOOKUP(A1006,'2011 - TB'!$A$3:$B$971,2,FALSE)</f>
        <v xml:space="preserve">                               -  </v>
      </c>
      <c r="D1006" s="2118">
        <v>0</v>
      </c>
      <c r="E1006" s="2118">
        <v>0</v>
      </c>
      <c r="F1006" s="2118">
        <v>0</v>
      </c>
      <c r="G1006" s="2118">
        <f t="shared" si="43"/>
        <v>0</v>
      </c>
      <c r="H1006" s="2640">
        <f>SUMIF('Original Budget'!$A$1:$A$691,'Trial Balance - FPer'!A1006,'Original Budget'!$C$1:$C$691)</f>
        <v>412.57</v>
      </c>
      <c r="I1006" s="2640"/>
      <c r="J1006" s="2119" t="s">
        <v>5945</v>
      </c>
      <c r="L1006" s="2024" t="str">
        <f>VLOOKUP(A1006,'2012 Budget'!$A$18:$B$2152,2,FALSE)</f>
        <v>R/M - Furniture</v>
      </c>
    </row>
    <row r="1007" spans="1:12" s="2024" customFormat="1" x14ac:dyDescent="0.2">
      <c r="A1007" s="2116" t="s">
        <v>5378</v>
      </c>
      <c r="B1007" s="2117" t="s">
        <v>4893</v>
      </c>
      <c r="C1007" s="2109" t="str">
        <f>VLOOKUP(A1007,'2011 - TB'!$A$3:$B$971,2,FALSE)</f>
        <v xml:space="preserve">                               -  </v>
      </c>
      <c r="D1007" s="2118">
        <v>0</v>
      </c>
      <c r="E1007" s="2118">
        <v>0</v>
      </c>
      <c r="F1007" s="2118">
        <v>0</v>
      </c>
      <c r="G1007" s="2118">
        <f t="shared" si="43"/>
        <v>0</v>
      </c>
      <c r="H1007" s="2640">
        <f>SUMIF('Original Budget'!$A$1:$A$691,'Trial Balance - FPer'!A1007,'Original Budget'!$C$1:$C$691)</f>
        <v>12415.54</v>
      </c>
      <c r="I1007" s="2640"/>
      <c r="J1007" s="2119" t="s">
        <v>5945</v>
      </c>
      <c r="L1007" s="2024" t="str">
        <f>VLOOKUP(A1007,'2012 Budget'!$A$18:$B$2152,2,FALSE)</f>
        <v>R/M - Furniture</v>
      </c>
    </row>
    <row r="1008" spans="1:12" s="2024" customFormat="1" x14ac:dyDescent="0.2">
      <c r="A1008" s="2116" t="s">
        <v>5481</v>
      </c>
      <c r="B1008" s="2117" t="s">
        <v>4893</v>
      </c>
      <c r="C1008" s="2109">
        <f>VLOOKUP(A1008,'2011 - TB'!$A$3:$B$971,2,FALSE)</f>
        <v>57.98</v>
      </c>
      <c r="D1008" s="2118">
        <v>0</v>
      </c>
      <c r="E1008" s="2118">
        <v>0</v>
      </c>
      <c r="F1008" s="2118">
        <v>0</v>
      </c>
      <c r="G1008" s="2118">
        <f t="shared" si="43"/>
        <v>0</v>
      </c>
      <c r="H1008" s="2640">
        <f>SUMIF('Original Budget'!$A$1:$A$691,'Trial Balance - FPer'!A1008,'Original Budget'!$C$1:$C$691)</f>
        <v>127.56</v>
      </c>
      <c r="I1008" s="2640"/>
      <c r="J1008" s="2119" t="s">
        <v>5945</v>
      </c>
      <c r="L1008" s="2024" t="str">
        <f>VLOOKUP(A1008,'2012 Budget'!$A$18:$B$2152,2,FALSE)</f>
        <v>R/M - Furniture</v>
      </c>
    </row>
    <row r="1009" spans="1:12" s="2024" customFormat="1" x14ac:dyDescent="0.2">
      <c r="A1009" s="2116" t="s">
        <v>5507</v>
      </c>
      <c r="B1009" s="2117" t="s">
        <v>4893</v>
      </c>
      <c r="C1009" s="2109" t="str">
        <f>VLOOKUP(A1009,'2011 - TB'!$A$3:$B$971,2,FALSE)</f>
        <v xml:space="preserve">                               -  </v>
      </c>
      <c r="D1009" s="2118">
        <v>0</v>
      </c>
      <c r="E1009" s="2118">
        <v>0</v>
      </c>
      <c r="F1009" s="2118">
        <v>0</v>
      </c>
      <c r="G1009" s="2118">
        <f t="shared" si="43"/>
        <v>0</v>
      </c>
      <c r="H1009" s="2640">
        <f>SUMIF('Original Budget'!$A$1:$A$691,'Trial Balance - FPer'!A1009,'Original Budget'!$C$1:$C$691)</f>
        <v>412.57</v>
      </c>
      <c r="I1009" s="2640"/>
      <c r="J1009" s="2119" t="s">
        <v>5945</v>
      </c>
      <c r="L1009" s="2024" t="str">
        <f>VLOOKUP(A1009,'2012 Budget'!$A$18:$B$2152,2,FALSE)</f>
        <v>R/M - Furniture</v>
      </c>
    </row>
    <row r="1010" spans="1:12" s="2024" customFormat="1" x14ac:dyDescent="0.2">
      <c r="A1010" s="2116" t="s">
        <v>5562</v>
      </c>
      <c r="B1010" s="2117" t="s">
        <v>4893</v>
      </c>
      <c r="C1010" s="2109" t="str">
        <f>VLOOKUP(A1010,'2011 - TB'!$A$3:$B$971,2,FALSE)</f>
        <v xml:space="preserve">                               -  </v>
      </c>
      <c r="D1010" s="2118">
        <v>0</v>
      </c>
      <c r="E1010" s="2118">
        <v>0</v>
      </c>
      <c r="F1010" s="2118">
        <v>0</v>
      </c>
      <c r="G1010" s="2118">
        <f t="shared" si="43"/>
        <v>0</v>
      </c>
      <c r="H1010" s="2640">
        <f>SUMIF('Original Budget'!$A$1:$A$691,'Trial Balance - FPer'!A1010,'Original Budget'!$C$1:$C$691)</f>
        <v>0</v>
      </c>
      <c r="I1010" s="2640"/>
      <c r="J1010" s="2119" t="s">
        <v>5945</v>
      </c>
      <c r="L1010" s="2024" t="str">
        <f>VLOOKUP(A1010,'2012 Budget'!$A$18:$B$2152,2,FALSE)</f>
        <v>R/M - Furniture</v>
      </c>
    </row>
    <row r="1011" spans="1:12" s="2024" customFormat="1" x14ac:dyDescent="0.2">
      <c r="A1011" s="2623" t="s">
        <v>5183</v>
      </c>
      <c r="B1011" s="2624" t="s">
        <v>5182</v>
      </c>
      <c r="C1011" s="2109" t="str">
        <f>VLOOKUP(A1011,'2011 - TB'!$A$3:$B$971,2,FALSE)</f>
        <v xml:space="preserve">                               -  </v>
      </c>
      <c r="D1011" s="2118">
        <v>0</v>
      </c>
      <c r="E1011" s="2118">
        <v>0</v>
      </c>
      <c r="F1011" s="2118">
        <v>0</v>
      </c>
      <c r="G1011" s="2118">
        <f t="shared" si="43"/>
        <v>0</v>
      </c>
      <c r="H1011" s="2640">
        <f>SUMIF('Original Budget'!$A$1:$A$691,'Trial Balance - FPer'!A1011,'Original Budget'!$C$1:$C$691)</f>
        <v>0</v>
      </c>
      <c r="I1011" s="2640"/>
      <c r="J1011" s="2119" t="s">
        <v>5945</v>
      </c>
      <c r="L1011" s="2024" t="e">
        <f>VLOOKUP(A1011,'2012 Budget'!$A$18:$B$2152,2,FALSE)</f>
        <v>#N/A</v>
      </c>
    </row>
    <row r="1012" spans="1:12" s="2024" customFormat="1" x14ac:dyDescent="0.2">
      <c r="A1012" s="2116" t="s">
        <v>5418</v>
      </c>
      <c r="B1012" s="2117" t="s">
        <v>5182</v>
      </c>
      <c r="C1012" s="2109">
        <f>VLOOKUP(A1012,'2011 - TB'!$A$3:$B$971,2,FALSE)</f>
        <v>1229</v>
      </c>
      <c r="D1012" s="2118">
        <v>0</v>
      </c>
      <c r="E1012" s="2118">
        <v>0</v>
      </c>
      <c r="F1012" s="2118">
        <v>0</v>
      </c>
      <c r="G1012" s="2118">
        <f t="shared" si="43"/>
        <v>0</v>
      </c>
      <c r="H1012" s="2640">
        <f>SUMIF('Original Budget'!$A$1:$A$691,'Trial Balance - FPer'!A1012,'Original Budget'!$C$1:$C$691)</f>
        <v>1144</v>
      </c>
      <c r="I1012" s="2640">
        <f>VLOOKUP(A1012,'2012 - TB'!$A$3:$C$733,3,FALSE)</f>
        <v>1144</v>
      </c>
      <c r="J1012" s="2119" t="s">
        <v>5945</v>
      </c>
      <c r="L1012" s="2024" t="str">
        <f>VLOOKUP(A1012,'2012 Budget'!$A$18:$B$2152,2,FALSE)</f>
        <v>R/M - General ;</v>
      </c>
    </row>
    <row r="1013" spans="1:12" s="2024" customFormat="1" x14ac:dyDescent="0.2">
      <c r="A1013" s="2116" t="s">
        <v>5632</v>
      </c>
      <c r="B1013" s="2117" t="s">
        <v>5182</v>
      </c>
      <c r="C1013" s="2109" t="str">
        <f>VLOOKUP(A1013,'2011 - TB'!$A$3:$B$971,2,FALSE)</f>
        <v xml:space="preserve">                               -  </v>
      </c>
      <c r="D1013" s="2118">
        <v>0</v>
      </c>
      <c r="E1013" s="2118">
        <v>0</v>
      </c>
      <c r="F1013" s="2118">
        <v>0</v>
      </c>
      <c r="G1013" s="2118">
        <f t="shared" si="43"/>
        <v>0</v>
      </c>
      <c r="H1013" s="2640">
        <f>SUMIF('Original Budget'!$A$1:$A$691,'Trial Balance - FPer'!A1013,'Original Budget'!$C$1:$C$691)</f>
        <v>0</v>
      </c>
      <c r="I1013" s="2640"/>
      <c r="J1013" s="2119" t="s">
        <v>5945</v>
      </c>
      <c r="L1013" s="2024" t="str">
        <f>VLOOKUP(A1013,'2012 Budget'!$A$18:$B$2152,2,FALSE)</f>
        <v>R/M - General ;</v>
      </c>
    </row>
    <row r="1014" spans="1:12" s="2024" customFormat="1" x14ac:dyDescent="0.2">
      <c r="A1014" s="2116" t="s">
        <v>5920</v>
      </c>
      <c r="B1014" s="2117" t="s">
        <v>5182</v>
      </c>
      <c r="C1014" s="2109" t="str">
        <f>VLOOKUP(A1014,'2011 - TB'!$A$3:$B$971,2,FALSE)</f>
        <v xml:space="preserve">                               -  </v>
      </c>
      <c r="D1014" s="2118">
        <v>0</v>
      </c>
      <c r="E1014" s="2118">
        <v>0</v>
      </c>
      <c r="F1014" s="2118">
        <v>0</v>
      </c>
      <c r="G1014" s="2118">
        <f t="shared" si="43"/>
        <v>0</v>
      </c>
      <c r="H1014" s="2640">
        <f>SUMIF('Original Budget'!$A$1:$A$691,'Trial Balance - FPer'!A1014,'Original Budget'!$C$1:$C$691)</f>
        <v>18181.23</v>
      </c>
      <c r="I1014" s="2640"/>
      <c r="J1014" s="2119" t="s">
        <v>5945</v>
      </c>
      <c r="L1014" s="2024" t="str">
        <f>VLOOKUP(A1014,'2012 Budget'!$A$18:$B$2152,2,FALSE)</f>
        <v>R/M - Street Li</v>
      </c>
    </row>
    <row r="1015" spans="1:12" s="2024" customFormat="1" x14ac:dyDescent="0.2">
      <c r="A1015" s="2116" t="s">
        <v>5053</v>
      </c>
      <c r="B1015" s="2117" t="s">
        <v>5054</v>
      </c>
      <c r="C1015" s="2109">
        <v>0</v>
      </c>
      <c r="D1015" s="2118">
        <v>0</v>
      </c>
      <c r="E1015" s="2118">
        <v>0</v>
      </c>
      <c r="F1015" s="2118">
        <v>0</v>
      </c>
      <c r="G1015" s="2118">
        <f t="shared" si="43"/>
        <v>0</v>
      </c>
      <c r="H1015" s="2640">
        <f>SUMIF('Original Budget'!$A$1:$A$691,'Trial Balance - FPer'!A1015,'Original Budget'!$C$1:$C$691)</f>
        <v>0</v>
      </c>
      <c r="I1015" s="2640"/>
      <c r="J1015" s="2119" t="s">
        <v>5945</v>
      </c>
      <c r="L1015" s="2024" t="str">
        <f>VLOOKUP(A1015,'2012 Budget'!$A$18:$B$2152,2,FALSE)</f>
        <v>Contr - Bad Deb</v>
      </c>
    </row>
    <row r="1016" spans="1:12" s="2024" customFormat="1" x14ac:dyDescent="0.2">
      <c r="A1016" s="2623" t="s">
        <v>5189</v>
      </c>
      <c r="B1016" s="2624" t="s">
        <v>5054</v>
      </c>
      <c r="C1016" s="2109" t="str">
        <f>VLOOKUP(A1016,'2011 - TB'!$A$3:$B$971,2,FALSE)</f>
        <v xml:space="preserve">                               -  </v>
      </c>
      <c r="D1016" s="2118">
        <v>0</v>
      </c>
      <c r="E1016" s="2118">
        <v>0</v>
      </c>
      <c r="F1016" s="2118">
        <v>0</v>
      </c>
      <c r="G1016" s="2118">
        <f t="shared" si="43"/>
        <v>0</v>
      </c>
      <c r="H1016" s="2640">
        <f>SUMIF('Original Budget'!$A$1:$A$691,'Trial Balance - FPer'!A1016,'Original Budget'!$C$1:$C$691)</f>
        <v>0</v>
      </c>
      <c r="I1016" s="2640"/>
      <c r="J1016" s="2119" t="s">
        <v>5945</v>
      </c>
      <c r="L1016" s="2024" t="e">
        <f>VLOOKUP(A1016,'2012 Budget'!$A$18:$B$2152,2,FALSE)</f>
        <v>#N/A</v>
      </c>
    </row>
    <row r="1017" spans="1:12" s="2024" customFormat="1" x14ac:dyDescent="0.2">
      <c r="A1017" s="2116" t="s">
        <v>5711</v>
      </c>
      <c r="B1017" s="2117" t="s">
        <v>5054</v>
      </c>
      <c r="C1017" s="2109">
        <f>VLOOKUP(A1017,'2011 - TB'!$A$3:$B$971,2,FALSE)</f>
        <v>7969.36</v>
      </c>
      <c r="D1017" s="2118">
        <v>0</v>
      </c>
      <c r="E1017" s="2118">
        <v>0</v>
      </c>
      <c r="F1017" s="2118">
        <v>0</v>
      </c>
      <c r="G1017" s="2118">
        <f t="shared" si="43"/>
        <v>0</v>
      </c>
      <c r="H1017" s="2640">
        <f>SUMIF('Original Budget'!$A$1:$A$691,'Trial Balance - FPer'!A1017,'Original Budget'!$C$1:$C$691)</f>
        <v>17532.59</v>
      </c>
      <c r="I1017" s="2640"/>
      <c r="J1017" s="2119" t="s">
        <v>5945</v>
      </c>
      <c r="L1017" s="2024" t="str">
        <f>VLOOKUP(A1017,'2012 Budget'!$A$18:$B$2152,2,FALSE)</f>
        <v>R/M - Grounds/G</v>
      </c>
    </row>
    <row r="1018" spans="1:12" s="2024" customFormat="1" x14ac:dyDescent="0.2">
      <c r="A1018" s="2116" t="s">
        <v>5712</v>
      </c>
      <c r="B1018" s="2117" t="s">
        <v>5054</v>
      </c>
      <c r="C1018" s="2109">
        <v>0</v>
      </c>
      <c r="D1018" s="2118">
        <v>0</v>
      </c>
      <c r="E1018" s="2118">
        <v>0</v>
      </c>
      <c r="F1018" s="2118">
        <v>0</v>
      </c>
      <c r="G1018" s="2118">
        <f t="shared" si="43"/>
        <v>0</v>
      </c>
      <c r="H1018" s="2640">
        <f>SUMIF('Original Budget'!$A$1:$A$691,'Trial Balance - FPer'!A1018,'Original Budget'!$C$1:$C$691)</f>
        <v>0</v>
      </c>
      <c r="I1018" s="2640"/>
      <c r="J1018" s="2119" t="s">
        <v>5945</v>
      </c>
      <c r="L1018" s="2024" t="str">
        <f>VLOOKUP(A1018,'2012 Budget'!$A$18:$B$2152,2,FALSE)</f>
        <v>Contr - Bad Deb</v>
      </c>
    </row>
    <row r="1019" spans="1:12" s="2024" customFormat="1" x14ac:dyDescent="0.2">
      <c r="A1019" s="2116" t="s">
        <v>5765</v>
      </c>
      <c r="B1019" s="2117" t="s">
        <v>5054</v>
      </c>
      <c r="C1019" s="2109">
        <v>0</v>
      </c>
      <c r="D1019" s="2118">
        <v>0</v>
      </c>
      <c r="E1019" s="2118">
        <v>0</v>
      </c>
      <c r="F1019" s="2118">
        <v>0</v>
      </c>
      <c r="G1019" s="2118">
        <f t="shared" si="43"/>
        <v>0</v>
      </c>
      <c r="H1019" s="2640">
        <f>SUMIF('Original Budget'!$A$1:$A$691,'Trial Balance - FPer'!A1019,'Original Budget'!$C$1:$C$691)</f>
        <v>0</v>
      </c>
      <c r="I1019" s="2640"/>
      <c r="J1019" s="2119" t="s">
        <v>5945</v>
      </c>
      <c r="L1019" s="2024" t="str">
        <f>VLOOKUP(A1019,'2012 Budget'!$A$18:$B$2152,2,FALSE)</f>
        <v>Contr - Bad Deb</v>
      </c>
    </row>
    <row r="1020" spans="1:12" s="2024" customFormat="1" x14ac:dyDescent="0.2">
      <c r="A1020" s="2623" t="s">
        <v>5186</v>
      </c>
      <c r="B1020" s="2624" t="s">
        <v>5187</v>
      </c>
      <c r="C1020" s="2109" t="str">
        <f>VLOOKUP(A1020,'2011 - TB'!$A$3:$B$971,2,FALSE)</f>
        <v xml:space="preserve">                               -  </v>
      </c>
      <c r="D1020" s="2118">
        <v>0</v>
      </c>
      <c r="E1020" s="2118">
        <v>0</v>
      </c>
      <c r="F1020" s="2118">
        <v>0</v>
      </c>
      <c r="G1020" s="2118">
        <f t="shared" si="43"/>
        <v>0</v>
      </c>
      <c r="H1020" s="2640">
        <f>SUMIF('Original Budget'!$A$1:$A$691,'Trial Balance - FPer'!A1020,'Original Budget'!$C$1:$C$691)</f>
        <v>0</v>
      </c>
      <c r="I1020" s="2640"/>
      <c r="J1020" s="2119" t="s">
        <v>5945</v>
      </c>
      <c r="L1020" s="2024" t="e">
        <f>VLOOKUP(A1020,'2012 Budget'!$A$18:$B$2152,2,FALSE)</f>
        <v>#N/A</v>
      </c>
    </row>
    <row r="1021" spans="1:12" s="2024" customFormat="1" x14ac:dyDescent="0.2">
      <c r="A1021" s="2623" t="s">
        <v>5188</v>
      </c>
      <c r="B1021" s="2624" t="s">
        <v>5187</v>
      </c>
      <c r="C1021" s="2109" t="str">
        <f>VLOOKUP(A1021,'2011 - TB'!$A$3:$B$971,2,FALSE)</f>
        <v xml:space="preserve">                               -  </v>
      </c>
      <c r="D1021" s="2118">
        <v>0</v>
      </c>
      <c r="E1021" s="2118">
        <v>0</v>
      </c>
      <c r="F1021" s="2118">
        <v>0</v>
      </c>
      <c r="G1021" s="2118">
        <f t="shared" si="43"/>
        <v>0</v>
      </c>
      <c r="H1021" s="2640">
        <f>SUMIF('Original Budget'!$A$1:$A$691,'Trial Balance - FPer'!A1021,'Original Budget'!$C$1:$C$691)</f>
        <v>0</v>
      </c>
      <c r="I1021" s="2640"/>
      <c r="J1021" s="2119" t="s">
        <v>5945</v>
      </c>
      <c r="L1021" s="2024" t="e">
        <f>VLOOKUP(A1021,'2012 Budget'!$A$18:$B$2152,2,FALSE)</f>
        <v>#N/A</v>
      </c>
    </row>
    <row r="1022" spans="1:12" s="2024" customFormat="1" x14ac:dyDescent="0.2">
      <c r="A1022" s="2116" t="s">
        <v>5922</v>
      </c>
      <c r="B1022" s="2117" t="s">
        <v>5187</v>
      </c>
      <c r="C1022" s="2109">
        <f>VLOOKUP(A1022,'2011 - TB'!$A$3:$B$971,2,FALSE)</f>
        <v>12380</v>
      </c>
      <c r="D1022" s="2118">
        <v>0</v>
      </c>
      <c r="E1022" s="2118">
        <f>VLOOKUP(A1022,'2012 - TB'!$A$3:$H$733,5,FALSE)</f>
        <v>29471.93</v>
      </c>
      <c r="F1022" s="2118">
        <f>VLOOKUP(A1022,'2012 - TB'!$A$3:$H$733,6,FALSE)</f>
        <v>-9972</v>
      </c>
      <c r="G1022" s="2118">
        <f t="shared" si="43"/>
        <v>19499.93</v>
      </c>
      <c r="H1022" s="2640">
        <f>SUMIF('Original Budget'!$A$1:$A$691,'Trial Balance - FPer'!A1022,'Original Budget'!$C$1:$C$691)</f>
        <v>89821.79</v>
      </c>
      <c r="I1022" s="2640">
        <f>VLOOKUP(A1022,'2012 - TB'!$A$3:$C$733,3,FALSE)</f>
        <v>45000</v>
      </c>
      <c r="J1022" s="2119" t="s">
        <v>5945</v>
      </c>
      <c r="L1022" s="2024" t="str">
        <f>VLOOKUP(A1022,'2012 Budget'!$A$18:$B$2152,2,FALSE)</f>
        <v>R/M - Network;</v>
      </c>
    </row>
    <row r="1023" spans="1:12" s="2024" customFormat="1" x14ac:dyDescent="0.2">
      <c r="A1023" s="2116" t="s">
        <v>5923</v>
      </c>
      <c r="B1023" s="2117" t="s">
        <v>5187</v>
      </c>
      <c r="C1023" s="2109" t="str">
        <f>VLOOKUP(A1023,'2011 - TB'!$A$3:$B$971,2,FALSE)</f>
        <v xml:space="preserve">                               -  </v>
      </c>
      <c r="D1023" s="2118">
        <v>0</v>
      </c>
      <c r="E1023" s="2118">
        <v>0</v>
      </c>
      <c r="F1023" s="2118">
        <v>0</v>
      </c>
      <c r="G1023" s="2118">
        <f t="shared" si="43"/>
        <v>0</v>
      </c>
      <c r="H1023" s="2640">
        <f>SUMIF('Original Budget'!$A$1:$A$691,'Trial Balance - FPer'!A1023,'Original Budget'!$C$1:$C$691)</f>
        <v>25173.71</v>
      </c>
      <c r="I1023" s="2640"/>
      <c r="J1023" s="2119" t="s">
        <v>5945</v>
      </c>
      <c r="L1023" s="2024" t="str">
        <f>VLOOKUP(A1023,'2012 Budget'!$A$18:$B$2152,2,FALSE)</f>
        <v>R/M - Meters;</v>
      </c>
    </row>
    <row r="1024" spans="1:12" s="2024" customFormat="1" x14ac:dyDescent="0.2">
      <c r="A1024" s="2623" t="s">
        <v>5184</v>
      </c>
      <c r="B1024" s="2624" t="s">
        <v>5185</v>
      </c>
      <c r="C1024" s="2109" t="str">
        <f>VLOOKUP(A1024,'2011 - TB'!$A$3:$B$971,2,FALSE)</f>
        <v xml:space="preserve">                               -  </v>
      </c>
      <c r="D1024" s="2118">
        <v>0</v>
      </c>
      <c r="E1024" s="2118">
        <v>0</v>
      </c>
      <c r="F1024" s="2118">
        <v>0</v>
      </c>
      <c r="G1024" s="2118">
        <f t="shared" si="43"/>
        <v>0</v>
      </c>
      <c r="H1024" s="2640">
        <f>SUMIF('Original Budget'!$A$1:$A$691,'Trial Balance - FPer'!A1024,'Original Budget'!$C$1:$C$691)</f>
        <v>0</v>
      </c>
      <c r="I1024" s="2640"/>
      <c r="J1024" s="2119" t="s">
        <v>5945</v>
      </c>
      <c r="L1024" s="2024" t="e">
        <f>VLOOKUP(A1024,'2012 Budget'!$A$18:$B$2152,2,FALSE)</f>
        <v>#N/A</v>
      </c>
    </row>
    <row r="1025" spans="1:12" s="2024" customFormat="1" x14ac:dyDescent="0.2">
      <c r="A1025" s="2116" t="s">
        <v>5710</v>
      </c>
      <c r="B1025" s="2117" t="s">
        <v>5185</v>
      </c>
      <c r="C1025" s="2109">
        <f>VLOOKUP(A1025,'2011 - TB'!$A$3:$B$971,2,FALSE)</f>
        <v>54163</v>
      </c>
      <c r="D1025" s="2118">
        <v>0</v>
      </c>
      <c r="E1025" s="2118">
        <f>VLOOKUP(A1025,'2012 - TB'!$A$3:$H$733,5,FALSE)</f>
        <v>22057.68</v>
      </c>
      <c r="F1025" s="2118">
        <v>0</v>
      </c>
      <c r="G1025" s="2118">
        <f t="shared" si="43"/>
        <v>22057.68</v>
      </c>
      <c r="H1025" s="2640">
        <f>SUMIF('Original Budget'!$A$1:$A$691,'Trial Balance - FPer'!A1025,'Original Budget'!$C$1:$C$691)</f>
        <v>29640.09</v>
      </c>
      <c r="I1025" s="2640">
        <f>VLOOKUP(A1025,'2012 - TB'!$A$3:$C$733,3,FALSE)</f>
        <v>40000</v>
      </c>
      <c r="J1025" s="2119" t="s">
        <v>5945</v>
      </c>
      <c r="L1025" s="2024" t="str">
        <f>VLOOKUP(A1025,'2012 Budget'!$A$18:$B$2152,2,FALSE)</f>
        <v>R/M - Plant &amp; E</v>
      </c>
    </row>
    <row r="1026" spans="1:12" s="2024" customFormat="1" x14ac:dyDescent="0.2">
      <c r="A1026" s="2116" t="s">
        <v>5764</v>
      </c>
      <c r="B1026" s="2117" t="s">
        <v>5185</v>
      </c>
      <c r="C1026" s="2109">
        <f>VLOOKUP(A1026,'2011 - TB'!$A$3:$B$971,2,FALSE)</f>
        <v>22574</v>
      </c>
      <c r="D1026" s="2118">
        <v>0</v>
      </c>
      <c r="E1026" s="2118">
        <f>VLOOKUP(A1026,'2012 - TB'!$A$3:$H$733,5,FALSE)</f>
        <v>491.4</v>
      </c>
      <c r="F1026" s="2118">
        <v>0</v>
      </c>
      <c r="G1026" s="2118">
        <f t="shared" si="43"/>
        <v>491.4</v>
      </c>
      <c r="H1026" s="2640">
        <f>SUMIF('Original Budget'!$A$1:$A$691,'Trial Balance - FPer'!A1026,'Original Budget'!$C$1:$C$691)</f>
        <v>24831.08</v>
      </c>
      <c r="I1026" s="2640">
        <f>VLOOKUP(A1026,'2012 - TB'!$A$3:$C$733,3,FALSE)</f>
        <v>24831.08</v>
      </c>
      <c r="J1026" s="2119" t="s">
        <v>5945</v>
      </c>
      <c r="L1026" s="2024" t="str">
        <f>VLOOKUP(A1026,'2012 Budget'!$A$18:$B$2152,2,FALSE)</f>
        <v>R/M - Plant &amp; E</v>
      </c>
    </row>
    <row r="1027" spans="1:12" s="2024" customFormat="1" x14ac:dyDescent="0.2">
      <c r="A1027" s="2116" t="s">
        <v>5816</v>
      </c>
      <c r="B1027" s="2117" t="s">
        <v>5185</v>
      </c>
      <c r="C1027" s="2109" t="str">
        <f>VLOOKUP(A1027,'2011 - TB'!$A$3:$B$971,2,FALSE)</f>
        <v xml:space="preserve">                               -  </v>
      </c>
      <c r="D1027" s="2118">
        <v>0</v>
      </c>
      <c r="E1027" s="2118">
        <v>0</v>
      </c>
      <c r="F1027" s="2118">
        <v>0</v>
      </c>
      <c r="G1027" s="2118">
        <f t="shared" si="43"/>
        <v>0</v>
      </c>
      <c r="H1027" s="2640">
        <f>SUMIF('Original Budget'!$A$1:$A$691,'Trial Balance - FPer'!A1027,'Original Budget'!$C$1:$C$691)</f>
        <v>0</v>
      </c>
      <c r="I1027" s="2640"/>
      <c r="J1027" s="2119" t="s">
        <v>5945</v>
      </c>
      <c r="L1027" s="2024" t="str">
        <f>VLOOKUP(A1027,'2012 Budget'!$A$18:$B$2152,2,FALSE)</f>
        <v>R/M - Plant &amp; E</v>
      </c>
    </row>
    <row r="1028" spans="1:12" s="2024" customFormat="1" x14ac:dyDescent="0.2">
      <c r="A1028" s="2116" t="s">
        <v>5879</v>
      </c>
      <c r="B1028" s="2117" t="s">
        <v>5185</v>
      </c>
      <c r="C1028" s="2109">
        <f>VLOOKUP(A1028,'2011 - TB'!$A$3:$B$971,2,FALSE)</f>
        <v>24266.66</v>
      </c>
      <c r="D1028" s="2118">
        <v>0</v>
      </c>
      <c r="E1028" s="2118">
        <f>VLOOKUP(A1028,'2012 - TB'!$A$3:$H$733,5,FALSE)</f>
        <v>132456.07999999999</v>
      </c>
      <c r="F1028" s="2118">
        <f>VLOOKUP(A1028,'2012 - TB'!$A$3:$H$733,6,FALSE)</f>
        <v>-21978.53</v>
      </c>
      <c r="G1028" s="2118">
        <f t="shared" si="43"/>
        <v>110477.54999999999</v>
      </c>
      <c r="H1028" s="2640">
        <f>SUMIF('Original Budget'!$A$1:$A$691,'Trial Balance - FPer'!A1028,'Original Budget'!$C$1:$C$691)</f>
        <v>0</v>
      </c>
      <c r="I1028" s="2640">
        <f>VLOOKUP(A1028,'2012 - TB'!$A$3:$C$733,3,FALSE)</f>
        <v>150000</v>
      </c>
      <c r="J1028" s="2119" t="s">
        <v>5945</v>
      </c>
      <c r="L1028" s="2024" t="str">
        <f>VLOOKUP(A1028,'2012 Budget'!$A$18:$B$2152,2,FALSE)</f>
        <v>R/M - Plant &amp; E</v>
      </c>
    </row>
    <row r="1029" spans="1:12" s="2024" customFormat="1" x14ac:dyDescent="0.2">
      <c r="A1029" s="2116" t="s">
        <v>5921</v>
      </c>
      <c r="B1029" s="2117" t="s">
        <v>5185</v>
      </c>
      <c r="C1029" s="2109">
        <f>VLOOKUP(A1029,'2011 - TB'!$A$3:$B$971,2,FALSE)</f>
        <v>513</v>
      </c>
      <c r="D1029" s="2118">
        <v>0</v>
      </c>
      <c r="E1029" s="2118">
        <v>0</v>
      </c>
      <c r="F1029" s="2118">
        <v>0</v>
      </c>
      <c r="G1029" s="2118">
        <f t="shared" si="43"/>
        <v>0</v>
      </c>
      <c r="H1029" s="2640">
        <f>SUMIF('Original Budget'!$A$1:$A$691,'Trial Balance - FPer'!A1029,'Original Budget'!$C$1:$C$691)</f>
        <v>564.63</v>
      </c>
      <c r="I1029" s="2640"/>
      <c r="J1029" s="2119" t="s">
        <v>5945</v>
      </c>
      <c r="L1029" s="2024" t="str">
        <f>VLOOKUP(A1029,'2012 Budget'!$A$18:$B$2152,2,FALSE)</f>
        <v>R/M - Plant &amp; E</v>
      </c>
    </row>
    <row r="1030" spans="1:12" s="2024" customFormat="1" x14ac:dyDescent="0.2">
      <c r="A1030" s="2623" t="s">
        <v>5173</v>
      </c>
      <c r="B1030" s="2624" t="s">
        <v>5174</v>
      </c>
      <c r="C1030" s="2109" t="str">
        <f>VLOOKUP(A1030,'2011 - TB'!$A$3:$B$971,2,FALSE)</f>
        <v xml:space="preserve">                               -  </v>
      </c>
      <c r="D1030" s="2118">
        <v>0</v>
      </c>
      <c r="E1030" s="2118">
        <v>0</v>
      </c>
      <c r="F1030" s="2118">
        <v>0</v>
      </c>
      <c r="G1030" s="2118">
        <f t="shared" si="43"/>
        <v>0</v>
      </c>
      <c r="H1030" s="2640">
        <f>SUMIF('Original Budget'!$A$1:$A$691,'Trial Balance - FPer'!A1030,'Original Budget'!$C$1:$C$691)</f>
        <v>0</v>
      </c>
      <c r="I1030" s="2640"/>
      <c r="J1030" s="2119" t="s">
        <v>5945</v>
      </c>
      <c r="L1030" s="2024" t="e">
        <f>VLOOKUP(A1030,'2012 Budget'!$A$18:$B$2152,2,FALSE)</f>
        <v>#N/A</v>
      </c>
    </row>
    <row r="1031" spans="1:12" s="2024" customFormat="1" x14ac:dyDescent="0.2">
      <c r="A1031" s="2116" t="s">
        <v>5814</v>
      </c>
      <c r="B1031" s="2117" t="s">
        <v>5174</v>
      </c>
      <c r="C1031" s="2109">
        <f>VLOOKUP(A1031,'2011 - TB'!$A$3:$B$971,2,FALSE)</f>
        <v>16135.41</v>
      </c>
      <c r="D1031" s="2118">
        <v>0</v>
      </c>
      <c r="E1031" s="2118">
        <f>VLOOKUP(A1031,'2012 - TB'!$A$3:$H$733,5,FALSE)</f>
        <v>71176.22</v>
      </c>
      <c r="F1031" s="2118">
        <v>0</v>
      </c>
      <c r="G1031" s="2118">
        <f t="shared" si="43"/>
        <v>71176.22</v>
      </c>
      <c r="H1031" s="2640">
        <f>SUMIF('Original Budget'!$A$1:$A$691,'Trial Balance - FPer'!A1031,'Original Budget'!$C$1:$C$691)</f>
        <v>35497.9</v>
      </c>
      <c r="I1031" s="2640">
        <f>VLOOKUP(A1031,'2012 - TB'!$A$3:$C$733,3,FALSE)</f>
        <v>61576.22</v>
      </c>
      <c r="J1031" s="2119" t="s">
        <v>5945</v>
      </c>
      <c r="L1031" s="2024" t="str">
        <f>VLOOKUP(A1031,'2012 Budget'!$A$18:$B$2152,2,FALSE)</f>
        <v>R/M - Roads &amp; S</v>
      </c>
    </row>
    <row r="1032" spans="1:12" s="2024" customFormat="1" x14ac:dyDescent="0.2">
      <c r="A1032" s="2623" t="s">
        <v>5170</v>
      </c>
      <c r="B1032" s="2624" t="s">
        <v>5171</v>
      </c>
      <c r="C1032" s="2109" t="str">
        <f>VLOOKUP(A1032,'2011 - TB'!$A$3:$B$971,2,FALSE)</f>
        <v xml:space="preserve">                               -  </v>
      </c>
      <c r="D1032" s="2118">
        <v>0</v>
      </c>
      <c r="E1032" s="2118">
        <v>0</v>
      </c>
      <c r="F1032" s="2118">
        <v>0</v>
      </c>
      <c r="G1032" s="2118">
        <f t="shared" si="43"/>
        <v>0</v>
      </c>
      <c r="H1032" s="2640">
        <f>SUMIF('Original Budget'!$A$1:$A$691,'Trial Balance - FPer'!A1032,'Original Budget'!$C$1:$C$691)</f>
        <v>0</v>
      </c>
      <c r="I1032" s="2640"/>
      <c r="J1032" s="2119" t="s">
        <v>5945</v>
      </c>
      <c r="L1032" s="2024" t="e">
        <f>VLOOKUP(A1032,'2012 Budget'!$A$18:$B$2152,2,FALSE)</f>
        <v>#N/A</v>
      </c>
    </row>
    <row r="1033" spans="1:12" s="2024" customFormat="1" x14ac:dyDescent="0.2">
      <c r="A1033" s="2623" t="s">
        <v>5172</v>
      </c>
      <c r="B1033" s="2624" t="s">
        <v>5171</v>
      </c>
      <c r="C1033" s="2109" t="str">
        <f>VLOOKUP(A1033,'2011 - TB'!$A$3:$B$971,2,FALSE)</f>
        <v xml:space="preserve">                               -  </v>
      </c>
      <c r="D1033" s="2118">
        <v>0</v>
      </c>
      <c r="E1033" s="2118">
        <v>0</v>
      </c>
      <c r="F1033" s="2118">
        <v>0</v>
      </c>
      <c r="G1033" s="2118">
        <f t="shared" si="43"/>
        <v>0</v>
      </c>
      <c r="H1033" s="2640">
        <f>SUMIF('Original Budget'!$A$1:$A$691,'Trial Balance - FPer'!A1033,'Original Budget'!$C$1:$C$691)</f>
        <v>0</v>
      </c>
      <c r="I1033" s="2640"/>
      <c r="J1033" s="2119" t="s">
        <v>5945</v>
      </c>
      <c r="L1033" s="2024" t="e">
        <f>VLOOKUP(A1033,'2012 Budget'!$A$18:$B$2152,2,FALSE)</f>
        <v>#N/A</v>
      </c>
    </row>
    <row r="1034" spans="1:12" s="2024" customFormat="1" x14ac:dyDescent="0.2">
      <c r="A1034" s="2116" t="s">
        <v>5630</v>
      </c>
      <c r="B1034" s="2117" t="s">
        <v>5171</v>
      </c>
      <c r="C1034" s="2109">
        <f>VLOOKUP(A1034,'2011 - TB'!$A$3:$B$971,2,FALSE)</f>
        <v>174.79</v>
      </c>
      <c r="D1034" s="2118">
        <v>0</v>
      </c>
      <c r="E1034" s="2118">
        <f>VLOOKUP(A1034,'2012 - TB'!$A$3:$H$733,5,FALSE)</f>
        <v>1913.36</v>
      </c>
      <c r="F1034" s="2118">
        <v>0</v>
      </c>
      <c r="G1034" s="2118">
        <f t="shared" ref="G1034:G1064" si="44">E1034+F1034</f>
        <v>1913.36</v>
      </c>
      <c r="H1034" s="2640">
        <f>SUMIF('Original Budget'!$A$1:$A$691,'Trial Balance - FPer'!A1034,'Original Budget'!$C$1:$C$691)</f>
        <v>2067.98</v>
      </c>
      <c r="I1034" s="2640">
        <f>VLOOKUP(A1034,'2012 - TB'!$A$3:$C$733,3,FALSE)</f>
        <v>0</v>
      </c>
      <c r="J1034" s="2119" t="s">
        <v>5945</v>
      </c>
      <c r="L1034" s="2024" t="str">
        <f>VLOOKUP(A1034,'2012 Budget'!$A$18:$B$2152,2,FALSE)</f>
        <v>R/M - Sport Fie</v>
      </c>
    </row>
    <row r="1035" spans="1:12" s="2024" customFormat="1" x14ac:dyDescent="0.2">
      <c r="A1035" s="2116" t="s">
        <v>5876</v>
      </c>
      <c r="B1035" s="2117" t="s">
        <v>5171</v>
      </c>
      <c r="C1035" s="2109" t="str">
        <f>VLOOKUP(A1035,'2011 - TB'!$A$3:$B$971,2,FALSE)</f>
        <v xml:space="preserve">                               -  </v>
      </c>
      <c r="D1035" s="2118">
        <v>0</v>
      </c>
      <c r="E1035" s="2118">
        <v>0</v>
      </c>
      <c r="F1035" s="2118">
        <v>0</v>
      </c>
      <c r="G1035" s="2118">
        <f t="shared" si="44"/>
        <v>0</v>
      </c>
      <c r="H1035" s="2640">
        <f>SUMIF('Original Budget'!$A$1:$A$691,'Trial Balance - FPer'!A1035,'Original Budget'!$C$1:$C$691)</f>
        <v>0</v>
      </c>
      <c r="I1035" s="2640"/>
      <c r="J1035" s="2119" t="s">
        <v>5945</v>
      </c>
      <c r="L1035" s="2024" t="str">
        <f>VLOOKUP(A1035,'2012 Budget'!$A$18:$B$2152,2,FALSE)</f>
        <v>R/M - Stormwate</v>
      </c>
    </row>
    <row r="1036" spans="1:12" s="2024" customFormat="1" x14ac:dyDescent="0.2">
      <c r="A1036" s="2623" t="s">
        <v>5166</v>
      </c>
      <c r="B1036" s="2624" t="s">
        <v>5048</v>
      </c>
      <c r="C1036" s="2109" t="str">
        <f>VLOOKUP(A1036,'2011 - TB'!$A$3:$B$971,2,FALSE)</f>
        <v xml:space="preserve">                               -  </v>
      </c>
      <c r="D1036" s="2118">
        <v>0</v>
      </c>
      <c r="E1036" s="2118">
        <v>0</v>
      </c>
      <c r="F1036" s="2118">
        <v>0</v>
      </c>
      <c r="G1036" s="2118">
        <f t="shared" si="44"/>
        <v>0</v>
      </c>
      <c r="H1036" s="2640">
        <f>SUMIF('Original Budget'!$A$1:$A$691,'Trial Balance - FPer'!A1036,'Original Budget'!$C$1:$C$691)</f>
        <v>0</v>
      </c>
      <c r="I1036" s="2640"/>
      <c r="J1036" s="2119" t="s">
        <v>5945</v>
      </c>
      <c r="L1036" s="2024" t="e">
        <f>VLOOKUP(A1036,'2012 Budget'!$A$18:$B$2152,2,FALSE)</f>
        <v>#N/A</v>
      </c>
    </row>
    <row r="1037" spans="1:12" s="2024" customFormat="1" x14ac:dyDescent="0.2">
      <c r="A1037" s="2116" t="s">
        <v>5354</v>
      </c>
      <c r="B1037" s="2117" t="s">
        <v>5048</v>
      </c>
      <c r="C1037" s="2109" t="str">
        <f>VLOOKUP(A1037,'2011 - TB'!$A$3:$B$971,2,FALSE)</f>
        <v xml:space="preserve">                               -  </v>
      </c>
      <c r="D1037" s="2118">
        <v>0</v>
      </c>
      <c r="E1037" s="2118">
        <v>0</v>
      </c>
      <c r="F1037" s="2118">
        <v>0</v>
      </c>
      <c r="G1037" s="2118">
        <f t="shared" si="44"/>
        <v>0</v>
      </c>
      <c r="H1037" s="2640">
        <f>SUMIF('Original Budget'!$A$1:$A$691,'Trial Balance - FPer'!A1037,'Original Budget'!$C$1:$C$691)</f>
        <v>0</v>
      </c>
      <c r="I1037" s="2640"/>
      <c r="J1037" s="2119" t="s">
        <v>5945</v>
      </c>
      <c r="L1037" s="2024" t="str">
        <f>VLOOKUP(A1037,'2012 Budget'!$A$18:$B$2152,2,FALSE)</f>
        <v>R/M - Tools &amp; E</v>
      </c>
    </row>
    <row r="1038" spans="1:12" s="2024" customFormat="1" x14ac:dyDescent="0.2">
      <c r="A1038" s="2116" t="s">
        <v>5416</v>
      </c>
      <c r="B1038" s="2117" t="s">
        <v>5048</v>
      </c>
      <c r="C1038" s="2109" t="str">
        <f>VLOOKUP(A1038,'2011 - TB'!$A$3:$B$971,2,FALSE)</f>
        <v xml:space="preserve">                               -  </v>
      </c>
      <c r="D1038" s="2118">
        <v>0</v>
      </c>
      <c r="E1038" s="2118">
        <v>0</v>
      </c>
      <c r="F1038" s="2118">
        <v>0</v>
      </c>
      <c r="G1038" s="2118">
        <f t="shared" si="44"/>
        <v>0</v>
      </c>
      <c r="H1038" s="2640">
        <f>SUMIF('Original Budget'!$A$1:$A$691,'Trial Balance - FPer'!A1038,'Original Budget'!$C$1:$C$691)</f>
        <v>2067.98</v>
      </c>
      <c r="I1038" s="2640"/>
      <c r="J1038" s="2119" t="s">
        <v>5945</v>
      </c>
      <c r="L1038" s="2024" t="str">
        <f>VLOOKUP(A1038,'2012 Budget'!$A$18:$B$2152,2,FALSE)</f>
        <v>R/M - Tools &amp; E</v>
      </c>
    </row>
    <row r="1039" spans="1:12" s="2024" customFormat="1" x14ac:dyDescent="0.2">
      <c r="A1039" s="2116" t="s">
        <v>5545</v>
      </c>
      <c r="B1039" s="2117" t="s">
        <v>5048</v>
      </c>
      <c r="C1039" s="2109" t="str">
        <f>VLOOKUP(A1039,'2011 - TB'!$A$3:$B$971,2,FALSE)</f>
        <v xml:space="preserve">                               -  </v>
      </c>
      <c r="D1039" s="2118">
        <v>0</v>
      </c>
      <c r="E1039" s="2118">
        <f>VLOOKUP(A1039,'2012 - TB'!$A$3:$H$733,5,FALSE)</f>
        <v>6540</v>
      </c>
      <c r="F1039" s="2118">
        <v>0</v>
      </c>
      <c r="G1039" s="2118">
        <f t="shared" si="44"/>
        <v>6540</v>
      </c>
      <c r="H1039" s="2640">
        <f>SUMIF('Original Budget'!$A$1:$A$691,'Trial Balance - FPer'!A1039,'Original Budget'!$C$1:$C$691)</f>
        <v>12415.54</v>
      </c>
      <c r="I1039" s="2640">
        <f>VLOOKUP(A1039,'2012 - TB'!$A$3:$C$733,3,FALSE)</f>
        <v>0</v>
      </c>
      <c r="J1039" s="2119" t="s">
        <v>5945</v>
      </c>
      <c r="L1039" s="2024" t="str">
        <f>VLOOKUP(A1039,'2012 Budget'!$A$18:$B$2152,2,FALSE)</f>
        <v>R/M - Tools &amp; E</v>
      </c>
    </row>
    <row r="1040" spans="1:12" s="2024" customFormat="1" x14ac:dyDescent="0.2">
      <c r="A1040" s="2116" t="s">
        <v>5561</v>
      </c>
      <c r="B1040" s="2117" t="s">
        <v>5048</v>
      </c>
      <c r="C1040" s="2109">
        <f>VLOOKUP(A1040,'2011 - TB'!$A$3:$B$971,2,FALSE)</f>
        <v>2470</v>
      </c>
      <c r="D1040" s="2118">
        <v>0</v>
      </c>
      <c r="E1040" s="2118">
        <v>0</v>
      </c>
      <c r="F1040" s="2118">
        <v>0</v>
      </c>
      <c r="G1040" s="2118">
        <f t="shared" si="44"/>
        <v>0</v>
      </c>
      <c r="H1040" s="2640">
        <f>SUMIF('Original Budget'!$A$1:$A$691,'Trial Balance - FPer'!A1040,'Original Budget'!$C$1:$C$691)</f>
        <v>39412.120000000003</v>
      </c>
      <c r="I1040" s="2640"/>
      <c r="J1040" s="2119" t="s">
        <v>5945</v>
      </c>
      <c r="L1040" s="2024" t="str">
        <f>VLOOKUP(A1040,'2012 Budget'!$A$18:$B$2152,2,FALSE)</f>
        <v>R/M - Tools &amp; E</v>
      </c>
    </row>
    <row r="1041" spans="1:12" s="2024" customFormat="1" x14ac:dyDescent="0.2">
      <c r="A1041" s="2116" t="s">
        <v>5627</v>
      </c>
      <c r="B1041" s="2117" t="s">
        <v>5048</v>
      </c>
      <c r="C1041" s="2109">
        <f>VLOOKUP(A1041,'2011 - TB'!$A$3:$B$971,2,FALSE)</f>
        <v>7307.89</v>
      </c>
      <c r="D1041" s="2118">
        <v>0</v>
      </c>
      <c r="E1041" s="2118">
        <f>VLOOKUP(A1041,'2012 - TB'!$A$3:$H$733,5,FALSE)</f>
        <v>4360.7700000000004</v>
      </c>
      <c r="F1041" s="2118">
        <v>0</v>
      </c>
      <c r="G1041" s="2118">
        <f t="shared" si="44"/>
        <v>4360.7700000000004</v>
      </c>
      <c r="H1041" s="2640">
        <f>SUMIF('Original Budget'!$A$1:$A$691,'Trial Balance - FPer'!A1041,'Original Budget'!$C$1:$C$691)</f>
        <v>14875.65</v>
      </c>
      <c r="I1041" s="2640">
        <f>VLOOKUP(A1041,'2012 - TB'!$A$3:$C$733,3,FALSE)</f>
        <v>14875.65</v>
      </c>
      <c r="J1041" s="2119" t="s">
        <v>5945</v>
      </c>
      <c r="L1041" s="2024" t="str">
        <f>VLOOKUP(A1041,'2012 Budget'!$A$18:$B$2152,2,FALSE)</f>
        <v>R/M - Tools &amp; E</v>
      </c>
    </row>
    <row r="1042" spans="1:12" s="2024" customFormat="1" x14ac:dyDescent="0.2">
      <c r="A1042" s="2116" t="s">
        <v>5628</v>
      </c>
      <c r="B1042" s="2117" t="s">
        <v>5048</v>
      </c>
      <c r="C1042" s="2109">
        <f>VLOOKUP(A1042,'2011 - TB'!$A$3:$B$971,2,FALSE)</f>
        <v>6.14</v>
      </c>
      <c r="D1042" s="2118">
        <v>0</v>
      </c>
      <c r="E1042" s="2118">
        <v>0</v>
      </c>
      <c r="F1042" s="2118">
        <v>0</v>
      </c>
      <c r="G1042" s="2118">
        <f t="shared" si="44"/>
        <v>0</v>
      </c>
      <c r="H1042" s="2640">
        <f>SUMIF('Original Budget'!$A$1:$A$691,'Trial Balance - FPer'!A1042,'Original Budget'!$C$1:$C$691)</f>
        <v>13.51</v>
      </c>
      <c r="I1042" s="2640"/>
      <c r="J1042" s="2119" t="s">
        <v>5945</v>
      </c>
      <c r="L1042" s="2024" t="str">
        <f>VLOOKUP(A1042,'2012 Budget'!$A$18:$B$2152,2,FALSE)</f>
        <v>R/M - Tools &amp; E</v>
      </c>
    </row>
    <row r="1043" spans="1:12" s="2024" customFormat="1" x14ac:dyDescent="0.2">
      <c r="A1043" s="2116" t="s">
        <v>5660</v>
      </c>
      <c r="B1043" s="2117" t="s">
        <v>5048</v>
      </c>
      <c r="C1043" s="2109" t="str">
        <f>VLOOKUP(A1043,'2011 - TB'!$A$3:$B$971,2,FALSE)</f>
        <v xml:space="preserve">                               -  </v>
      </c>
      <c r="D1043" s="2118">
        <v>0</v>
      </c>
      <c r="E1043" s="2118">
        <v>0</v>
      </c>
      <c r="F1043" s="2118">
        <v>0</v>
      </c>
      <c r="G1043" s="2118">
        <f t="shared" si="44"/>
        <v>0</v>
      </c>
      <c r="H1043" s="2640">
        <f>SUMIF('Original Budget'!$A$1:$A$691,'Trial Balance - FPer'!A1043,'Original Budget'!$C$1:$C$691)</f>
        <v>0</v>
      </c>
      <c r="I1043" s="2640"/>
      <c r="J1043" s="2119" t="s">
        <v>5945</v>
      </c>
      <c r="L1043" s="2024" t="str">
        <f>VLOOKUP(A1043,'2012 Budget'!$A$18:$B$2152,2,FALSE)</f>
        <v>R/M - Tools &amp; E</v>
      </c>
    </row>
    <row r="1044" spans="1:12" s="2024" customFormat="1" x14ac:dyDescent="0.2">
      <c r="A1044" s="2116" t="s">
        <v>5707</v>
      </c>
      <c r="B1044" s="2117" t="s">
        <v>5048</v>
      </c>
      <c r="C1044" s="2109">
        <f>VLOOKUP(A1044,'2011 - TB'!$A$3:$B$971,2,FALSE)</f>
        <v>9252.6299999999992</v>
      </c>
      <c r="D1044" s="2118">
        <v>0</v>
      </c>
      <c r="E1044" s="2118">
        <f>VLOOKUP(A1044,'2012 - TB'!$A$3:$H$733,5,FALSE)</f>
        <v>9765.5300000000007</v>
      </c>
      <c r="F1044" s="2118">
        <v>0</v>
      </c>
      <c r="G1044" s="2118">
        <f t="shared" si="44"/>
        <v>9765.5300000000007</v>
      </c>
      <c r="H1044" s="2640">
        <f>SUMIF('Original Budget'!$A$1:$A$691,'Trial Balance - FPer'!A1044,'Original Budget'!$C$1:$C$691)</f>
        <v>9517.2999999999993</v>
      </c>
      <c r="I1044" s="2640">
        <f>VLOOKUP(A1044,'2012 - TB'!$A$3:$C$733,3,FALSE)</f>
        <v>15000</v>
      </c>
      <c r="J1044" s="2119" t="s">
        <v>5945</v>
      </c>
      <c r="L1044" s="2024" t="str">
        <f>VLOOKUP(A1044,'2012 Budget'!$A$18:$B$2152,2,FALSE)</f>
        <v>R/M - Tools &amp; E</v>
      </c>
    </row>
    <row r="1045" spans="1:12" s="2024" customFormat="1" x14ac:dyDescent="0.2">
      <c r="A1045" s="2116" t="s">
        <v>5760</v>
      </c>
      <c r="B1045" s="2117" t="s">
        <v>5048</v>
      </c>
      <c r="C1045" s="2109">
        <f>VLOOKUP(A1045,'2011 - TB'!$A$3:$B$971,2,FALSE)</f>
        <v>209.9</v>
      </c>
      <c r="D1045" s="2118">
        <v>0</v>
      </c>
      <c r="E1045" s="2118">
        <v>0</v>
      </c>
      <c r="F1045" s="2118">
        <v>0</v>
      </c>
      <c r="G1045" s="2118">
        <f t="shared" si="44"/>
        <v>0</v>
      </c>
      <c r="H1045" s="2640">
        <f>SUMIF('Original Budget'!$A$1:$A$691,'Trial Balance - FPer'!A1045,'Original Budget'!$C$1:$C$691)</f>
        <v>461.78</v>
      </c>
      <c r="I1045" s="2640"/>
      <c r="J1045" s="2119" t="s">
        <v>5945</v>
      </c>
      <c r="L1045" s="2024" t="str">
        <f>VLOOKUP(A1045,'2012 Budget'!$A$18:$B$2152,2,FALSE)</f>
        <v>R/M - Tools &amp; E</v>
      </c>
    </row>
    <row r="1046" spans="1:12" s="2024" customFormat="1" x14ac:dyDescent="0.2">
      <c r="A1046" s="2116" t="s">
        <v>5813</v>
      </c>
      <c r="B1046" s="2117" t="s">
        <v>5048</v>
      </c>
      <c r="C1046" s="2109" t="str">
        <f>VLOOKUP(A1046,'2011 - TB'!$A$3:$B$971,2,FALSE)</f>
        <v xml:space="preserve">                               -  </v>
      </c>
      <c r="D1046" s="2118">
        <v>0</v>
      </c>
      <c r="E1046" s="2118">
        <v>0</v>
      </c>
      <c r="F1046" s="2118">
        <v>0</v>
      </c>
      <c r="G1046" s="2118">
        <f t="shared" si="44"/>
        <v>0</v>
      </c>
      <c r="H1046" s="2640">
        <f>SUMIF('Original Budget'!$A$1:$A$691,'Trial Balance - FPer'!A1046,'Original Budget'!$C$1:$C$691)</f>
        <v>0</v>
      </c>
      <c r="I1046" s="2640"/>
      <c r="J1046" s="2119" t="s">
        <v>5945</v>
      </c>
      <c r="L1046" s="2024" t="str">
        <f>VLOOKUP(A1046,'2012 Budget'!$A$18:$B$2152,2,FALSE)</f>
        <v>R/M - Tools &amp; E</v>
      </c>
    </row>
    <row r="1047" spans="1:12" s="2024" customFormat="1" x14ac:dyDescent="0.2">
      <c r="A1047" s="2116" t="s">
        <v>5875</v>
      </c>
      <c r="B1047" s="2117" t="s">
        <v>5048</v>
      </c>
      <c r="C1047" s="2109">
        <f>VLOOKUP(A1047,'2011 - TB'!$A$3:$B$971,2,FALSE)</f>
        <v>39.82</v>
      </c>
      <c r="D1047" s="2118">
        <v>0</v>
      </c>
      <c r="E1047" s="2118">
        <f>VLOOKUP(A1047,'2012 - TB'!$A$3:$H$733,5,FALSE)</f>
        <v>2866.66</v>
      </c>
      <c r="F1047" s="2118">
        <v>0</v>
      </c>
      <c r="G1047" s="2118">
        <f t="shared" si="44"/>
        <v>2866.66</v>
      </c>
      <c r="H1047" s="2640">
        <f>SUMIF('Original Budget'!$A$1:$A$691,'Trial Balance - FPer'!A1047,'Original Budget'!$C$1:$C$691)</f>
        <v>0</v>
      </c>
      <c r="I1047" s="2640">
        <f>VLOOKUP(A1047,'2012 - TB'!$A$3:$C$733,3,FALSE)</f>
        <v>2810</v>
      </c>
      <c r="J1047" s="2119" t="s">
        <v>5945</v>
      </c>
      <c r="L1047" s="2024" t="str">
        <f>VLOOKUP(A1047,'2012 Budget'!$A$18:$B$2152,2,FALSE)</f>
        <v>R/M - Tools &amp; E</v>
      </c>
    </row>
    <row r="1048" spans="1:12" s="2024" customFormat="1" x14ac:dyDescent="0.2">
      <c r="A1048" s="2623" t="s">
        <v>5179</v>
      </c>
      <c r="B1048" s="2624" t="s">
        <v>5180</v>
      </c>
      <c r="C1048" s="2109" t="str">
        <f>VLOOKUP(A1048,'2011 - TB'!$A$3:$B$971,2,FALSE)</f>
        <v xml:space="preserve">                               -  </v>
      </c>
      <c r="D1048" s="2118">
        <v>0</v>
      </c>
      <c r="E1048" s="2118">
        <v>0</v>
      </c>
      <c r="F1048" s="2118">
        <v>0</v>
      </c>
      <c r="G1048" s="2118">
        <f t="shared" si="44"/>
        <v>0</v>
      </c>
      <c r="H1048" s="2640">
        <f>SUMIF('Original Budget'!$A$1:$A$691,'Trial Balance - FPer'!A1048,'Original Budget'!$C$1:$C$691)</f>
        <v>0</v>
      </c>
      <c r="I1048" s="2640"/>
      <c r="J1048" s="2119" t="s">
        <v>5945</v>
      </c>
      <c r="L1048" s="2024" t="e">
        <f>VLOOKUP(A1048,'2012 Budget'!$A$18:$B$2152,2,FALSE)</f>
        <v>#N/A</v>
      </c>
    </row>
    <row r="1049" spans="1:12" s="2024" customFormat="1" x14ac:dyDescent="0.2">
      <c r="A1049" s="2116" t="s">
        <v>5546</v>
      </c>
      <c r="B1049" s="2117" t="s">
        <v>5180</v>
      </c>
      <c r="C1049" s="2109" t="str">
        <f>VLOOKUP(A1049,'2011 - TB'!$A$3:$B$971,2,FALSE)</f>
        <v xml:space="preserve">                               -  </v>
      </c>
      <c r="D1049" s="2118">
        <v>0</v>
      </c>
      <c r="E1049" s="2118">
        <f>VLOOKUP(A1049,'2012 - TB'!$A$3:$H$733,5,FALSE)</f>
        <v>0</v>
      </c>
      <c r="F1049" s="2118">
        <v>0</v>
      </c>
      <c r="G1049" s="2118">
        <f t="shared" si="44"/>
        <v>0</v>
      </c>
      <c r="H1049" s="2640">
        <f>SUMIF('Original Budget'!$A$1:$A$691,'Trial Balance - FPer'!A1049,'Original Budget'!$C$1:$C$691)</f>
        <v>59116.59</v>
      </c>
      <c r="I1049" s="2640">
        <f>VLOOKUP(A1049,'2012 - TB'!$A$3:$C$733,3,FALSE)</f>
        <v>59116.59</v>
      </c>
      <c r="J1049" s="2119" t="s">
        <v>5945</v>
      </c>
      <c r="L1049" s="2024" t="str">
        <f>VLOOKUP(A1049,'2012 Budget'!$A$18:$B$2152,2,FALSE)</f>
        <v>R/M - Traffic &amp;</v>
      </c>
    </row>
    <row r="1050" spans="1:12" s="2024" customFormat="1" x14ac:dyDescent="0.2">
      <c r="A1050" s="2623" t="s">
        <v>5709</v>
      </c>
      <c r="B1050" s="2624" t="s">
        <v>5180</v>
      </c>
      <c r="C1050" s="2109" t="str">
        <f>VLOOKUP(A1050,'2011 - TB'!$A$3:$B$971,2,FALSE)</f>
        <v xml:space="preserve">                               -  </v>
      </c>
      <c r="D1050" s="2118">
        <v>0</v>
      </c>
      <c r="E1050" s="2118">
        <v>0</v>
      </c>
      <c r="F1050" s="2118">
        <v>0</v>
      </c>
      <c r="G1050" s="2118">
        <f t="shared" si="44"/>
        <v>0</v>
      </c>
      <c r="H1050" s="2640">
        <f>SUMIF('Original Budget'!$A$1:$A$691,'Trial Balance - FPer'!A1050,'Original Budget'!$C$1:$C$691)</f>
        <v>0</v>
      </c>
      <c r="I1050" s="2640"/>
      <c r="J1050" s="2119" t="s">
        <v>5945</v>
      </c>
      <c r="L1050" s="2024" t="e">
        <f>VLOOKUP(A1050,'2012 Budget'!$A$18:$B$2152,2,FALSE)</f>
        <v>#N/A</v>
      </c>
    </row>
    <row r="1051" spans="1:12" s="2024" customFormat="1" x14ac:dyDescent="0.2">
      <c r="A1051" s="2116" t="s">
        <v>4894</v>
      </c>
      <c r="B1051" s="2117" t="s">
        <v>4895</v>
      </c>
      <c r="C1051" s="2109">
        <f>VLOOKUP(A1051,'2011 - TB'!$A$3:$B$971,2,FALSE)</f>
        <v>1415.05</v>
      </c>
      <c r="D1051" s="2118">
        <v>0</v>
      </c>
      <c r="E1051" s="2118">
        <f>VLOOKUP(A1051,'2012 - TB'!$A$3:$H$733,5,FALSE)</f>
        <v>46569.87</v>
      </c>
      <c r="F1051" s="2118">
        <v>0</v>
      </c>
      <c r="G1051" s="2118">
        <f t="shared" si="44"/>
        <v>46569.87</v>
      </c>
      <c r="H1051" s="2640">
        <f>SUMIF('Original Budget'!$A$1:$A$691,'Trial Balance - FPer'!A1051,'Original Budget'!$C$1:$C$691)</f>
        <v>552.86</v>
      </c>
      <c r="I1051" s="2640">
        <f>VLOOKUP(A1051,'2012 - TB'!$A$3:$C$733,3,FALSE)</f>
        <v>87259.74</v>
      </c>
      <c r="J1051" s="2119" t="s">
        <v>5945</v>
      </c>
      <c r="L1051" s="2024" t="str">
        <f>VLOOKUP(A1051,'2012 Budget'!$A$18:$B$2152,2,FALSE)</f>
        <v>R/M - Vehicles</v>
      </c>
    </row>
    <row r="1052" spans="1:12" s="2024" customFormat="1" x14ac:dyDescent="0.2">
      <c r="A1052" s="2116" t="s">
        <v>5051</v>
      </c>
      <c r="B1052" s="2117" t="s">
        <v>4895</v>
      </c>
      <c r="C1052" s="2109">
        <f>VLOOKUP(A1052,'2011 - TB'!$A$3:$B$971,2,FALSE)</f>
        <v>67.5</v>
      </c>
      <c r="D1052" s="2118">
        <v>0</v>
      </c>
      <c r="E1052" s="2118">
        <v>0</v>
      </c>
      <c r="F1052" s="2118">
        <v>0</v>
      </c>
      <c r="G1052" s="2118">
        <f t="shared" si="44"/>
        <v>0</v>
      </c>
      <c r="H1052" s="2640">
        <f>SUMIF('Original Budget'!$A$1:$A$691,'Trial Balance - FPer'!A1052,'Original Budget'!$C$1:$C$691)</f>
        <v>0</v>
      </c>
      <c r="I1052" s="2640"/>
      <c r="J1052" s="2119" t="s">
        <v>5945</v>
      </c>
      <c r="L1052" s="2024" t="str">
        <f>VLOOKUP(A1052,'2012 Budget'!$A$18:$B$2152,2,FALSE)</f>
        <v>R/M - Vehicles</v>
      </c>
    </row>
    <row r="1053" spans="1:12" s="2024" customFormat="1" x14ac:dyDescent="0.2">
      <c r="A1053" s="2116" t="s">
        <v>5052</v>
      </c>
      <c r="B1053" s="2117" t="s">
        <v>4895</v>
      </c>
      <c r="C1053" s="2109">
        <f>VLOOKUP(A1053,'2011 - TB'!$A$3:$B$971,2,FALSE)</f>
        <v>6442.66</v>
      </c>
      <c r="D1053" s="2118">
        <v>0</v>
      </c>
      <c r="E1053" s="2118">
        <f>VLOOKUP(A1053,'2012 - TB'!$A$3:$H$733,5,FALSE)</f>
        <v>0</v>
      </c>
      <c r="F1053" s="2118">
        <f>VLOOKUP(A1053,'2012 - TB'!$A$3:$H$733,6,FALSE)</f>
        <v>0</v>
      </c>
      <c r="G1053" s="2118">
        <f t="shared" si="44"/>
        <v>0</v>
      </c>
      <c r="H1053" s="2640">
        <f>SUMIF('Original Budget'!$A$1:$A$691,'Trial Balance - FPer'!A1053,'Original Budget'!$C$1:$C$691)</f>
        <v>14173.85</v>
      </c>
      <c r="I1053" s="2640">
        <f>VLOOKUP(A1053,'2012 - TB'!$A$3:$C$733,3,FALSE)</f>
        <v>14173.85</v>
      </c>
      <c r="J1053" s="2119" t="s">
        <v>5945</v>
      </c>
      <c r="L1053" s="2024" t="str">
        <f>VLOOKUP(A1053,'2012 Budget'!$A$18:$B$2152,2,FALSE)</f>
        <v>R/M - Vehicles</v>
      </c>
    </row>
    <row r="1054" spans="1:12" s="2024" customFormat="1" x14ac:dyDescent="0.2">
      <c r="A1054" s="2116" t="s">
        <v>5152</v>
      </c>
      <c r="B1054" s="2117" t="s">
        <v>4895</v>
      </c>
      <c r="C1054" s="2109">
        <f>VLOOKUP(A1054,'2011 - TB'!$A$3:$B$971,2,FALSE)</f>
        <v>12907.4</v>
      </c>
      <c r="D1054" s="2118">
        <v>0</v>
      </c>
      <c r="E1054" s="2118">
        <f>VLOOKUP(A1054,'2012 - TB'!$A$3:$H$733,5,FALSE)</f>
        <v>7712.4</v>
      </c>
      <c r="F1054" s="2118">
        <f>VLOOKUP(A1054,'2012 - TB'!$A$3:$H$733,6,FALSE)</f>
        <v>-90</v>
      </c>
      <c r="G1054" s="2118">
        <f t="shared" si="44"/>
        <v>7622.4</v>
      </c>
      <c r="H1054" s="2640">
        <f>SUMIF('Original Budget'!$A$1:$A$691,'Trial Balance - FPer'!A1054,'Original Budget'!$C$1:$C$691)</f>
        <v>22801.9</v>
      </c>
      <c r="I1054" s="2640">
        <f>VLOOKUP(A1054,'2012 - TB'!$A$3:$C$733,3,FALSE)</f>
        <v>22801.9</v>
      </c>
      <c r="J1054" s="2119" t="s">
        <v>5945</v>
      </c>
      <c r="L1054" s="2024" t="str">
        <f>VLOOKUP(A1054,'2012 Budget'!$A$18:$B$2152,2,FALSE)</f>
        <v>R/M - Vehicles</v>
      </c>
    </row>
    <row r="1055" spans="1:12" s="2024" customFormat="1" x14ac:dyDescent="0.2">
      <c r="A1055" s="2623" t="s">
        <v>5175</v>
      </c>
      <c r="B1055" s="2624" t="s">
        <v>4895</v>
      </c>
      <c r="C1055" s="2109" t="str">
        <f>VLOOKUP(A1055,'2011 - TB'!$A$3:$B$971,2,FALSE)</f>
        <v xml:space="preserve">                               -  </v>
      </c>
      <c r="D1055" s="2118">
        <v>0</v>
      </c>
      <c r="E1055" s="2118">
        <v>0</v>
      </c>
      <c r="F1055" s="2118">
        <v>0</v>
      </c>
      <c r="G1055" s="2118">
        <f t="shared" si="44"/>
        <v>0</v>
      </c>
      <c r="H1055" s="2640">
        <f>SUMIF('Original Budget'!$A$1:$A$691,'Trial Balance - FPer'!A1055,'Original Budget'!$C$1:$C$691)</f>
        <v>0</v>
      </c>
      <c r="I1055" s="2640"/>
      <c r="J1055" s="2119" t="s">
        <v>5945</v>
      </c>
      <c r="L1055" s="2024" t="e">
        <f>VLOOKUP(A1055,'2012 Budget'!$A$18:$B$2152,2,FALSE)</f>
        <v>#N/A</v>
      </c>
    </row>
    <row r="1056" spans="1:12" s="2024" customFormat="1" x14ac:dyDescent="0.2">
      <c r="A1056" s="2116" t="s">
        <v>5300</v>
      </c>
      <c r="B1056" s="2117" t="s">
        <v>4895</v>
      </c>
      <c r="C1056" s="2109" t="str">
        <f>VLOOKUP(A1056,'2011 - TB'!$A$3:$B$971,2,FALSE)</f>
        <v xml:space="preserve">                               -  </v>
      </c>
      <c r="D1056" s="2118">
        <v>0</v>
      </c>
      <c r="E1056" s="2118">
        <f>VLOOKUP(A1056,'2012 - TB'!$A$3:$H$733,5,FALSE)</f>
        <v>43.86</v>
      </c>
      <c r="F1056" s="2118">
        <f>VLOOKUP(A1056,'2012 - TB'!$A$3:$H$733,6,FALSE)</f>
        <v>0</v>
      </c>
      <c r="G1056" s="2118">
        <f t="shared" si="44"/>
        <v>43.86</v>
      </c>
      <c r="H1056" s="2640">
        <f>SUMIF('Original Budget'!$A$1:$A$691,'Trial Balance - FPer'!A1056,'Original Budget'!$C$1:$C$691)</f>
        <v>0</v>
      </c>
      <c r="I1056" s="2640">
        <f>VLOOKUP(A1056,'2012 - TB'!$A$3:$C$733,3,FALSE)</f>
        <v>0</v>
      </c>
      <c r="J1056" s="2119" t="s">
        <v>5945</v>
      </c>
      <c r="L1056" s="2024" t="str">
        <f>VLOOKUP(A1056,'2012 Budget'!$A$18:$B$2152,2,FALSE)</f>
        <v>R/M - Vehicles</v>
      </c>
    </row>
    <row r="1057" spans="1:12" s="2024" customFormat="1" x14ac:dyDescent="0.2">
      <c r="A1057" s="2116" t="s">
        <v>5417</v>
      </c>
      <c r="B1057" s="2117" t="s">
        <v>4895</v>
      </c>
      <c r="C1057" s="2109" t="str">
        <f>VLOOKUP(A1057,'2011 - TB'!$A$3:$B$971,2,FALSE)</f>
        <v xml:space="preserve">                               -  </v>
      </c>
      <c r="D1057" s="2118">
        <v>0</v>
      </c>
      <c r="E1057" s="2118">
        <v>0</v>
      </c>
      <c r="F1057" s="2118">
        <v>0</v>
      </c>
      <c r="G1057" s="2118">
        <f t="shared" si="44"/>
        <v>0</v>
      </c>
      <c r="H1057" s="2640">
        <f>SUMIF('Original Budget'!$A$1:$A$691,'Trial Balance - FPer'!A1057,'Original Budget'!$C$1:$C$691)</f>
        <v>0</v>
      </c>
      <c r="I1057" s="2640"/>
      <c r="J1057" s="2119" t="s">
        <v>5945</v>
      </c>
      <c r="L1057" s="2024" t="str">
        <f>VLOOKUP(A1057,'2012 Budget'!$A$18:$B$2152,2,FALSE)</f>
        <v>R/M - Vehicles</v>
      </c>
    </row>
    <row r="1058" spans="1:12" s="2024" customFormat="1" x14ac:dyDescent="0.2">
      <c r="A1058" s="2116" t="s">
        <v>5563</v>
      </c>
      <c r="B1058" s="2117" t="s">
        <v>4895</v>
      </c>
      <c r="C1058" s="2109">
        <f>VLOOKUP(A1058,'2011 - TB'!$A$3:$B$971,2,FALSE)</f>
        <v>790</v>
      </c>
      <c r="D1058" s="2118">
        <v>0</v>
      </c>
      <c r="E1058" s="2118">
        <v>0</v>
      </c>
      <c r="F1058" s="2118">
        <v>0</v>
      </c>
      <c r="G1058" s="2118">
        <f t="shared" si="44"/>
        <v>0</v>
      </c>
      <c r="H1058" s="2640">
        <f>SUMIF('Original Budget'!$A$1:$A$691,'Trial Balance - FPer'!A1058,'Original Budget'!$C$1:$C$691)</f>
        <v>1738</v>
      </c>
      <c r="I1058" s="2640"/>
      <c r="J1058" s="2119" t="s">
        <v>5945</v>
      </c>
      <c r="L1058" s="2024" t="str">
        <f>VLOOKUP(A1058,'2012 Budget'!$A$18:$B$2152,2,FALSE)</f>
        <v>R/M - Vehicles</v>
      </c>
    </row>
    <row r="1059" spans="1:12" s="2024" customFormat="1" x14ac:dyDescent="0.2">
      <c r="A1059" s="2116" t="s">
        <v>5631</v>
      </c>
      <c r="B1059" s="2117" t="s">
        <v>4895</v>
      </c>
      <c r="C1059" s="2109">
        <f>VLOOKUP(A1059,'2011 - TB'!$A$3:$B$971,2,FALSE)</f>
        <v>1820</v>
      </c>
      <c r="D1059" s="2118">
        <v>0</v>
      </c>
      <c r="E1059" s="2118">
        <f>VLOOKUP(A1059,'2012 - TB'!$A$3:$H$733,5,FALSE)</f>
        <v>0</v>
      </c>
      <c r="F1059" s="2118">
        <f>VLOOKUP(A1059,'2012 - TB'!$A$3:$H$733,6,FALSE)</f>
        <v>0</v>
      </c>
      <c r="G1059" s="2118">
        <f t="shared" si="44"/>
        <v>0</v>
      </c>
      <c r="H1059" s="2640">
        <f>SUMIF('Original Budget'!$A$1:$A$691,'Trial Balance - FPer'!A1059,'Original Budget'!$C$1:$C$691)</f>
        <v>4004</v>
      </c>
      <c r="I1059" s="2640">
        <f>VLOOKUP(A1059,'2012 - TB'!$A$3:$C$733,3,FALSE)</f>
        <v>4004</v>
      </c>
      <c r="J1059" s="2119" t="s">
        <v>5945</v>
      </c>
      <c r="L1059" s="2024" t="str">
        <f>VLOOKUP(A1059,'2012 Budget'!$A$18:$B$2152,2,FALSE)</f>
        <v>R/M - Vehicles</v>
      </c>
    </row>
    <row r="1060" spans="1:12" s="2024" customFormat="1" x14ac:dyDescent="0.2">
      <c r="A1060" s="2116" t="s">
        <v>5708</v>
      </c>
      <c r="B1060" s="2117" t="s">
        <v>4895</v>
      </c>
      <c r="C1060" s="2109">
        <f>VLOOKUP(A1060,'2011 - TB'!$A$3:$B$971,2,FALSE)</f>
        <v>14990.13</v>
      </c>
      <c r="D1060" s="2118">
        <v>0</v>
      </c>
      <c r="E1060" s="2118">
        <f>VLOOKUP(A1060,'2012 - TB'!$A$3:$H$733,5,FALSE)</f>
        <v>9881.02</v>
      </c>
      <c r="F1060" s="2118">
        <f>VLOOKUP(A1060,'2012 - TB'!$A$3:$H$733,6,FALSE)</f>
        <v>-139.65</v>
      </c>
      <c r="G1060" s="2118">
        <f t="shared" si="44"/>
        <v>9741.3700000000008</v>
      </c>
      <c r="H1060" s="2640">
        <f>SUMIF('Original Budget'!$A$1:$A$691,'Trial Balance - FPer'!A1060,'Original Budget'!$C$1:$C$691)</f>
        <v>0</v>
      </c>
      <c r="I1060" s="2640">
        <f>VLOOKUP(A1060,'2012 - TB'!$A$3:$C$733,3,FALSE)</f>
        <v>5000</v>
      </c>
      <c r="J1060" s="2119" t="s">
        <v>5945</v>
      </c>
      <c r="L1060" s="2024" t="str">
        <f>VLOOKUP(A1060,'2012 Budget'!$A$18:$B$2152,2,FALSE)</f>
        <v>R/M - Vehicles</v>
      </c>
    </row>
    <row r="1061" spans="1:12" s="2024" customFormat="1" x14ac:dyDescent="0.2">
      <c r="A1061" s="2116" t="s">
        <v>5762</v>
      </c>
      <c r="B1061" s="2117" t="s">
        <v>4895</v>
      </c>
      <c r="C1061" s="2109">
        <f>VLOOKUP(A1061,'2011 - TB'!$A$3:$B$971,2,FALSE)</f>
        <v>148706.35999999999</v>
      </c>
      <c r="D1061" s="2118">
        <v>0</v>
      </c>
      <c r="E1061" s="2118">
        <f>VLOOKUP(A1061,'2012 - TB'!$A$3:$H$733,5,FALSE)</f>
        <v>163602.32</v>
      </c>
      <c r="F1061" s="2118">
        <f>VLOOKUP(A1061,'2012 - TB'!$A$3:$H$733,6,FALSE)</f>
        <v>0</v>
      </c>
      <c r="G1061" s="2118">
        <f t="shared" si="44"/>
        <v>163602.32</v>
      </c>
      <c r="H1061" s="2640">
        <f>SUMIF('Original Budget'!$A$1:$A$691,'Trial Balance - FPer'!A1061,'Original Budget'!$C$1:$C$691)</f>
        <v>92612.63</v>
      </c>
      <c r="I1061" s="2640">
        <f>VLOOKUP(A1061,'2012 - TB'!$A$3:$C$733,3,FALSE)</f>
        <v>150000</v>
      </c>
      <c r="J1061" s="2119" t="s">
        <v>5945</v>
      </c>
      <c r="L1061" s="2024" t="str">
        <f>VLOOKUP(A1061,'2012 Budget'!$A$18:$B$2152,2,FALSE)</f>
        <v>R/M - Vehicles</v>
      </c>
    </row>
    <row r="1062" spans="1:12" s="2024" customFormat="1" x14ac:dyDescent="0.2">
      <c r="A1062" s="2116" t="s">
        <v>5815</v>
      </c>
      <c r="B1062" s="2117" t="s">
        <v>4895</v>
      </c>
      <c r="C1062" s="2109">
        <f>VLOOKUP(A1062,'2011 - TB'!$A$3:$B$971,2,FALSE)</f>
        <v>6963.44</v>
      </c>
      <c r="D1062" s="2118">
        <v>0</v>
      </c>
      <c r="E1062" s="2118">
        <f>VLOOKUP(A1062,'2012 - TB'!$A$3:$H$733,5,FALSE)</f>
        <v>43329.26</v>
      </c>
      <c r="F1062" s="2118">
        <f>VLOOKUP(A1062,'2012 - TB'!$A$3:$H$733,6,FALSE)</f>
        <v>0</v>
      </c>
      <c r="G1062" s="2118">
        <f t="shared" si="44"/>
        <v>43329.26</v>
      </c>
      <c r="H1062" s="2640">
        <f>SUMIF('Original Budget'!$A$1:$A$691,'Trial Balance - FPer'!A1062,'Original Budget'!$C$1:$C$691)</f>
        <v>2109.87</v>
      </c>
      <c r="I1062" s="2640">
        <f>VLOOKUP(A1062,'2012 - TB'!$A$3:$C$733,3,FALSE)</f>
        <v>45000</v>
      </c>
      <c r="J1062" s="2119" t="s">
        <v>5945</v>
      </c>
      <c r="L1062" s="2024" t="str">
        <f>VLOOKUP(A1062,'2012 Budget'!$A$18:$B$2152,2,FALSE)</f>
        <v>R/M - Vehicles</v>
      </c>
    </row>
    <row r="1063" spans="1:12" s="2024" customFormat="1" x14ac:dyDescent="0.2">
      <c r="A1063" s="2116" t="s">
        <v>5877</v>
      </c>
      <c r="B1063" s="2117" t="s">
        <v>4895</v>
      </c>
      <c r="C1063" s="2109">
        <f>VLOOKUP(A1063,'2011 - TB'!$A$3:$B$971,2,FALSE)</f>
        <v>9920.2000000000007</v>
      </c>
      <c r="D1063" s="2118">
        <v>0</v>
      </c>
      <c r="E1063" s="2118">
        <f>VLOOKUP(A1063,'2012 - TB'!$A$3:$H$733,5,FALSE)</f>
        <v>47495.12</v>
      </c>
      <c r="F1063" s="2118">
        <f>VLOOKUP(A1063,'2012 - TB'!$A$3:$H$733,6,FALSE)</f>
        <v>0</v>
      </c>
      <c r="G1063" s="2118">
        <f t="shared" si="44"/>
        <v>47495.12</v>
      </c>
      <c r="H1063" s="2640">
        <f>SUMIF('Original Budget'!$A$1:$A$691,'Trial Balance - FPer'!A1063,'Original Budget'!$C$1:$C$691)</f>
        <v>17561.72</v>
      </c>
      <c r="I1063" s="2640">
        <f>VLOOKUP(A1063,'2012 - TB'!$A$3:$C$733,3,FALSE)</f>
        <v>45000</v>
      </c>
      <c r="J1063" s="2119" t="s">
        <v>5945</v>
      </c>
      <c r="L1063" s="2024" t="str">
        <f>VLOOKUP(A1063,'2012 Budget'!$A$18:$B$2152,2,FALSE)</f>
        <v>R/M - Vehicles</v>
      </c>
    </row>
    <row r="1064" spans="1:12" s="2024" customFormat="1" x14ac:dyDescent="0.2">
      <c r="A1064" s="2623" t="s">
        <v>5176</v>
      </c>
      <c r="B1064" s="2624" t="s">
        <v>5177</v>
      </c>
      <c r="C1064" s="2109" t="str">
        <f>VLOOKUP(A1064,'2011 - TB'!$A$3:$B$971,2,FALSE)</f>
        <v xml:space="preserve">                               -  </v>
      </c>
      <c r="D1064" s="2118">
        <v>0</v>
      </c>
      <c r="E1064" s="2118">
        <v>0</v>
      </c>
      <c r="F1064" s="2118">
        <v>0</v>
      </c>
      <c r="G1064" s="2118">
        <f t="shared" si="44"/>
        <v>0</v>
      </c>
      <c r="H1064" s="2640">
        <f>SUMIF('Original Budget'!$A$1:$A$691,'Trial Balance - FPer'!A1064,'Original Budget'!$C$1:$C$691)</f>
        <v>0</v>
      </c>
      <c r="I1064" s="2640"/>
      <c r="J1064" s="2119" t="s">
        <v>5945</v>
      </c>
      <c r="L1064" s="2024" t="e">
        <f>VLOOKUP(A1064,'2012 Budget'!$A$18:$B$2152,2,FALSE)</f>
        <v>#N/A</v>
      </c>
    </row>
    <row r="1065" spans="1:12" s="2024" customFormat="1" x14ac:dyDescent="0.2">
      <c r="A1065" s="2623" t="s">
        <v>5178</v>
      </c>
      <c r="B1065" s="2624" t="s">
        <v>5177</v>
      </c>
      <c r="C1065" s="2109" t="str">
        <f>VLOOKUP(A1065,'2011 - TB'!$A$3:$B$971,2,FALSE)</f>
        <v xml:space="preserve">                               -  </v>
      </c>
      <c r="D1065" s="2118">
        <v>0</v>
      </c>
      <c r="E1065" s="2118">
        <v>0</v>
      </c>
      <c r="F1065" s="2118">
        <v>0</v>
      </c>
      <c r="G1065" s="2118">
        <f t="shared" ref="G1065:G1126" si="45">E1065+F1065</f>
        <v>0</v>
      </c>
      <c r="H1065" s="2640">
        <f>SUMIF('Original Budget'!$A$1:$A$691,'Trial Balance - FPer'!A1065,'Original Budget'!$C$1:$C$691)</f>
        <v>0</v>
      </c>
      <c r="I1065" s="2640"/>
      <c r="J1065" s="2119" t="s">
        <v>5945</v>
      </c>
      <c r="L1065" s="2024" t="e">
        <f>VLOOKUP(A1065,'2012 Budget'!$A$18:$B$2152,2,FALSE)</f>
        <v>#N/A</v>
      </c>
    </row>
    <row r="1066" spans="1:12" s="2024" customFormat="1" x14ac:dyDescent="0.2">
      <c r="A1066" s="2116" t="s">
        <v>5763</v>
      </c>
      <c r="B1066" s="2117" t="s">
        <v>5177</v>
      </c>
      <c r="C1066" s="2109" t="str">
        <f>VLOOKUP(A1066,'2011 - TB'!$A$3:$B$971,2,FALSE)</f>
        <v xml:space="preserve">                               -  </v>
      </c>
      <c r="D1066" s="2118">
        <v>0</v>
      </c>
      <c r="E1066" s="2118">
        <v>0</v>
      </c>
      <c r="F1066" s="2118">
        <v>0</v>
      </c>
      <c r="G1066" s="2118">
        <f t="shared" si="45"/>
        <v>0</v>
      </c>
      <c r="H1066" s="2640">
        <f>SUMIF('Original Budget'!$A$1:$A$691,'Trial Balance - FPer'!A1066,'Original Budget'!$C$1:$C$691)</f>
        <v>19704.45</v>
      </c>
      <c r="I1066" s="2640"/>
      <c r="J1066" s="2119" t="s">
        <v>5945</v>
      </c>
      <c r="L1066" s="2024" t="str">
        <f>VLOOKUP(A1066,'2012 Budget'!$A$18:$B$2152,2,FALSE)</f>
        <v>R/M - Dumping S</v>
      </c>
    </row>
    <row r="1067" spans="1:12" s="2024" customFormat="1" ht="13.5" thickBot="1" x14ac:dyDescent="0.25">
      <c r="A1067" s="2120" t="s">
        <v>5878</v>
      </c>
      <c r="B1067" s="2121" t="s">
        <v>5177</v>
      </c>
      <c r="C1067" s="2122">
        <f>VLOOKUP(A1067,'2011 - TB'!$A$3:$B$971,2,FALSE)</f>
        <v>282169.65999999997</v>
      </c>
      <c r="D1067" s="2123">
        <v>0</v>
      </c>
      <c r="E1067" s="2123">
        <f>VLOOKUP(A1067,'2012 - TB'!$A$3:$H$733,5,FALSE)</f>
        <v>95681.450000000012</v>
      </c>
      <c r="F1067" s="2123">
        <f>VLOOKUP(A1067,'2012 - TB'!$A$3:$H$733,6,FALSE)</f>
        <v>-98.9</v>
      </c>
      <c r="G1067" s="2123">
        <f t="shared" si="45"/>
        <v>95582.550000000017</v>
      </c>
      <c r="H1067" s="2640">
        <f>SUMIF('Original Budget'!$A$1:$A$691,'Trial Balance - FPer'!A1067,'Original Budget'!$C$1:$C$691)</f>
        <v>0</v>
      </c>
      <c r="I1067" s="2640">
        <f>VLOOKUP(A1067,'2012 - TB'!$A$3:$C$733,3,FALSE)</f>
        <v>0</v>
      </c>
      <c r="J1067" s="2124" t="s">
        <v>5945</v>
      </c>
      <c r="L1067" s="2024" t="str">
        <f>VLOOKUP(A1067,'2012 Budget'!$A$18:$B$2152,2,FALSE)</f>
        <v>R/M - Water Ret</v>
      </c>
    </row>
    <row r="1068" spans="1:12" s="2024" customFormat="1" ht="13.5" thickBot="1" x14ac:dyDescent="0.25">
      <c r="C1068" s="2130">
        <f t="shared" ref="C1068:I1068" si="46">SUM(C983:C1067)</f>
        <v>1024248.8399999999</v>
      </c>
      <c r="D1068" s="2130">
        <f t="shared" si="46"/>
        <v>0</v>
      </c>
      <c r="E1068" s="2130">
        <f t="shared" si="46"/>
        <v>1558285.2400000005</v>
      </c>
      <c r="F1068" s="2130">
        <f t="shared" si="46"/>
        <v>-174117.16999999998</v>
      </c>
      <c r="G1068" s="2130">
        <f>SUM(G983:G1067)</f>
        <v>1384168.0700000005</v>
      </c>
      <c r="H1068" s="2641">
        <f t="shared" si="46"/>
        <v>1221259.27</v>
      </c>
      <c r="I1068" s="2641">
        <f t="shared" si="46"/>
        <v>2614348.35</v>
      </c>
      <c r="J1068" s="2026"/>
      <c r="L1068" s="2024" t="e">
        <f>VLOOKUP(A1068,'2012 Budget'!$A$18:$B$2152,2,FALSE)</f>
        <v>#N/A</v>
      </c>
    </row>
    <row r="1069" spans="1:12" s="2024" customFormat="1" ht="7.5" customHeight="1" thickTop="1" x14ac:dyDescent="0.2">
      <c r="C1069" s="2042"/>
      <c r="D1069" s="2025"/>
      <c r="E1069" s="2025"/>
      <c r="F1069" s="2025"/>
      <c r="G1069" s="2025"/>
      <c r="H1069" s="2118">
        <f>SUMIF('Original Budget'!$A$1:$A$691,'Trial Balance - FPer'!A1069,'Original Budget'!$C$1:$C$691)</f>
        <v>0</v>
      </c>
      <c r="I1069" s="2118"/>
      <c r="J1069" s="2026"/>
      <c r="L1069" s="2024" t="e">
        <f>VLOOKUP(A1069,'2012 Budget'!$A$18:$B$2152,2,FALSE)</f>
        <v>#N/A</v>
      </c>
    </row>
    <row r="1070" spans="1:12" s="2024" customFormat="1" x14ac:dyDescent="0.2">
      <c r="B1070" s="2068" t="s">
        <v>1212</v>
      </c>
      <c r="C1070" s="2110">
        <f>'Fin Perform'!K38</f>
        <v>1024248.8399999999</v>
      </c>
      <c r="D1070" s="2025"/>
      <c r="E1070" s="2025"/>
      <c r="F1070" s="2025"/>
      <c r="G1070" s="2647">
        <f>'Fin Perform'!I38</f>
        <v>1722910.5400000005</v>
      </c>
      <c r="H1070" s="2118">
        <f>SUMIF('Original Budget'!$A$1:$A$691,'Trial Balance - FPer'!A1070,'Original Budget'!$C$1:$C$691)</f>
        <v>0</v>
      </c>
      <c r="I1070" s="2118"/>
      <c r="J1070" s="2026"/>
      <c r="L1070" s="2024" t="e">
        <f>VLOOKUP(A1070,'2012 Budget'!$A$18:$B$2152,2,FALSE)</f>
        <v>#N/A</v>
      </c>
    </row>
    <row r="1071" spans="1:12" s="2024" customFormat="1" ht="7.5" customHeight="1" x14ac:dyDescent="0.2">
      <c r="C1071" s="2042"/>
      <c r="D1071" s="2025"/>
      <c r="E1071" s="2025"/>
      <c r="F1071" s="2025"/>
      <c r="G1071" s="2025"/>
      <c r="H1071" s="2118">
        <f>SUMIF('Original Budget'!$A$1:$A$691,'Trial Balance - FPer'!A1071,'Original Budget'!$C$1:$C$691)</f>
        <v>0</v>
      </c>
      <c r="I1071" s="2118"/>
      <c r="J1071" s="2026"/>
      <c r="L1071" s="2024" t="e">
        <f>VLOOKUP(A1071,'2012 Budget'!$A$18:$B$2152,2,FALSE)</f>
        <v>#N/A</v>
      </c>
    </row>
    <row r="1072" spans="1:12" s="2024" customFormat="1" ht="13.5" thickBot="1" x14ac:dyDescent="0.25">
      <c r="B1072" s="1208" t="s">
        <v>6423</v>
      </c>
      <c r="C1072" s="2103">
        <f>C1068-C1070</f>
        <v>0</v>
      </c>
      <c r="D1072" s="2025"/>
      <c r="E1072" s="2025"/>
      <c r="F1072" s="2025"/>
      <c r="G1072" s="2103">
        <f>G1068-G1070</f>
        <v>-338742.47</v>
      </c>
      <c r="H1072" s="2118">
        <f>SUMIF('Original Budget'!$A$1:$A$691,'Trial Balance - FPer'!A1072,'Original Budget'!$C$1:$C$691)</f>
        <v>0</v>
      </c>
      <c r="I1072" s="2118"/>
      <c r="J1072" s="2026"/>
      <c r="L1072" s="2024" t="e">
        <f>VLOOKUP(A1072,'2012 Budget'!$A$18:$B$2152,2,FALSE)</f>
        <v>#N/A</v>
      </c>
    </row>
    <row r="1073" spans="1:12" s="2024" customFormat="1" ht="14.25" thickTop="1" thickBot="1" x14ac:dyDescent="0.25">
      <c r="C1073" s="2042"/>
      <c r="D1073" s="2025"/>
      <c r="E1073" s="2025"/>
      <c r="F1073" s="2025"/>
      <c r="G1073" s="2025"/>
      <c r="H1073" s="2118">
        <f>SUMIF('Original Budget'!$A$1:$A$691,'Trial Balance - FPer'!A1073,'Original Budget'!$C$1:$C$691)</f>
        <v>0</v>
      </c>
      <c r="I1073" s="2118"/>
      <c r="J1073" s="2026"/>
      <c r="L1073" s="2024" t="e">
        <f>VLOOKUP(A1073,'2012 Budget'!$A$18:$B$2152,2,FALSE)</f>
        <v>#N/A</v>
      </c>
    </row>
    <row r="1074" spans="1:12" s="2024" customFormat="1" x14ac:dyDescent="0.2">
      <c r="A1074" s="2111" t="s">
        <v>5721</v>
      </c>
      <c r="B1074" s="2112" t="s">
        <v>5722</v>
      </c>
      <c r="C1074" s="2113">
        <f>VLOOKUP(A1074,'2011 - TB'!$A$3:$B$971,2,FALSE)</f>
        <v>-7155.43</v>
      </c>
      <c r="D1074" s="2114">
        <v>0</v>
      </c>
      <c r="E1074" s="2114">
        <f>VLOOKUP(A1074,'2012 - TB'!$A$3:$H$733,5,FALSE)</f>
        <v>1098.82</v>
      </c>
      <c r="F1074" s="2114">
        <f>VLOOKUP(A1074,'2012 - TB'!$A$3:$H$733,6,FALSE)</f>
        <v>-19265.21</v>
      </c>
      <c r="G1074" s="2114">
        <f t="shared" si="45"/>
        <v>-18166.39</v>
      </c>
      <c r="H1074" s="2640">
        <f>SUMIF('Original Budget'!$A$1:$A$691,'Trial Balance - FPer'!A1074,'Original Budget'!$C$1:$C$691)</f>
        <v>-2180.6999999999998</v>
      </c>
      <c r="I1074" s="2640">
        <f>VLOOKUP(A1074,'2012 - TB'!$A$3:$C$733,3,FALSE)</f>
        <v>-6608.29</v>
      </c>
      <c r="J1074" s="2115" t="s">
        <v>5970</v>
      </c>
      <c r="L1074" s="2024" t="str">
        <f>VLOOKUP(A1074,'2012 Budget'!$A$18:$B$2152,2,FALSE)</f>
        <v>Connection Fees</v>
      </c>
    </row>
    <row r="1075" spans="1:12" s="2024" customFormat="1" ht="13.5" thickBot="1" x14ac:dyDescent="0.25">
      <c r="A1075" s="2120" t="s">
        <v>5888</v>
      </c>
      <c r="B1075" s="2121" t="s">
        <v>5722</v>
      </c>
      <c r="C1075" s="2122">
        <f>VLOOKUP(A1075,'2011 - TB'!$A$3:$B$971,2,FALSE)</f>
        <v>-807.12</v>
      </c>
      <c r="D1075" s="2123">
        <v>0</v>
      </c>
      <c r="E1075" s="2123">
        <f>VLOOKUP(A1075,'2012 - TB'!$A$3:$H$733,5,FALSE)</f>
        <v>98.07</v>
      </c>
      <c r="F1075" s="2123">
        <f>VLOOKUP(A1075,'2012 - TB'!$A$3:$H$733,6,FALSE)</f>
        <v>-798.6</v>
      </c>
      <c r="G1075" s="2123">
        <f t="shared" si="45"/>
        <v>-700.53</v>
      </c>
      <c r="H1075" s="2640">
        <f>SUMIF('Original Budget'!$A$1:$A$691,'Trial Balance - FPer'!A1075,'Original Budget'!$C$1:$C$691)</f>
        <v>-164.32</v>
      </c>
      <c r="I1075" s="2640">
        <f>VLOOKUP(A1075,'2012 - TB'!$A$3:$C$733,3,FALSE)</f>
        <v>-547.34</v>
      </c>
      <c r="J1075" s="2124" t="s">
        <v>5970</v>
      </c>
      <c r="L1075" s="2024" t="str">
        <f>VLOOKUP(A1075,'2012 Budget'!$A$18:$B$2152,2,FALSE)</f>
        <v>Connection Fees</v>
      </c>
    </row>
    <row r="1076" spans="1:12" s="2024" customFormat="1" ht="13.5" thickBot="1" x14ac:dyDescent="0.25">
      <c r="A1076" s="2116" t="s">
        <v>5768</v>
      </c>
      <c r="B1076" s="2117" t="s">
        <v>5769</v>
      </c>
      <c r="C1076" s="2109">
        <f>VLOOKUP(A1076,'2011 - TB'!$A$3:$B$971,2,FALSE)</f>
        <v>-3786978.14</v>
      </c>
      <c r="D1076" s="2118">
        <v>0</v>
      </c>
      <c r="E1076" s="2118">
        <f>VLOOKUP(A1076,'2012 - TB'!$A$3:$H$733,5,FALSE)</f>
        <v>390634.29</v>
      </c>
      <c r="F1076" s="2118">
        <f>VLOOKUP(A1076,'2012 - TB'!$A$3:$H$733,6,FALSE)</f>
        <v>-4612482.1999999993</v>
      </c>
      <c r="G1076" s="2118">
        <f t="shared" si="45"/>
        <v>-4221847.9099999992</v>
      </c>
      <c r="H1076" s="2640">
        <f>SUMIF('Original Budget'!$A$1:$A$691,'Trial Balance - FPer'!A1076,'Original Budget'!$C$1:$C$691)</f>
        <v>-694560.48</v>
      </c>
      <c r="I1076" s="2640">
        <f>VLOOKUP(A1076,'2012 - TB'!$A$3:$C$733,3,FALSE)</f>
        <v>-694560.48</v>
      </c>
      <c r="J1076" s="2119" t="s">
        <v>5970</v>
      </c>
      <c r="L1076" s="2024" t="str">
        <f>VLOOKUP(A1076,'2012 Budget'!$A$18:$B$2152,2,FALSE)</f>
        <v>Refuse Removal</v>
      </c>
    </row>
    <row r="1077" spans="1:12" s="2024" customFormat="1" x14ac:dyDescent="0.2">
      <c r="A1077" s="2111" t="s">
        <v>5723</v>
      </c>
      <c r="B1077" s="2112" t="s">
        <v>5724</v>
      </c>
      <c r="C1077" s="2113">
        <f>VLOOKUP(A1077,'2011 - TB'!$A$3:$B$971,2,FALSE)</f>
        <v>-6909.84</v>
      </c>
      <c r="D1077" s="2114">
        <v>0</v>
      </c>
      <c r="E1077" s="2114">
        <f>VLOOKUP(A1077,'2012 - TB'!$A$3:$H$733,5,FALSE)</f>
        <v>582.38</v>
      </c>
      <c r="F1077" s="2114">
        <f>VLOOKUP(A1077,'2012 - TB'!$A$3:$H$733,6,FALSE)</f>
        <v>-4740.1000000000004</v>
      </c>
      <c r="G1077" s="2114">
        <f t="shared" si="45"/>
        <v>-4157.72</v>
      </c>
      <c r="H1077" s="2640">
        <f>SUMIF('Original Budget'!$A$1:$A$691,'Trial Balance - FPer'!A1077,'Original Budget'!$C$1:$C$691)</f>
        <v>-6672.72</v>
      </c>
      <c r="I1077" s="2640">
        <f>VLOOKUP(A1077,'2012 - TB'!$A$3:$C$733,3,FALSE)</f>
        <v>-6058.01</v>
      </c>
      <c r="J1077" s="2115" t="s">
        <v>5970</v>
      </c>
      <c r="L1077" s="2024" t="str">
        <f>VLOOKUP(A1077,'2012 Budget'!$A$18:$B$2152,2,FALSE)</f>
        <v>Sewerage Blocka</v>
      </c>
    </row>
    <row r="1078" spans="1:12" s="2024" customFormat="1" ht="13.5" thickBot="1" x14ac:dyDescent="0.25">
      <c r="A1078" s="2120" t="s">
        <v>5715</v>
      </c>
      <c r="B1078" s="2121" t="s">
        <v>5716</v>
      </c>
      <c r="C1078" s="2122">
        <f>VLOOKUP(A1078,'2011 - TB'!$A$3:$B$971,2,FALSE)</f>
        <v>-5720801.6100000003</v>
      </c>
      <c r="D1078" s="2123">
        <v>0</v>
      </c>
      <c r="E1078" s="2123">
        <f>VLOOKUP(A1078,'2012 - TB'!$A$3:$H$733,5,FALSE)</f>
        <v>525128.36</v>
      </c>
      <c r="F1078" s="2123">
        <f>VLOOKUP(A1078,'2012 - TB'!$A$3:$H$733,6,FALSE)</f>
        <v>-6871884.5599999996</v>
      </c>
      <c r="G1078" s="2123">
        <f t="shared" si="45"/>
        <v>-6346756.1999999993</v>
      </c>
      <c r="H1078" s="2640">
        <f>SUMIF('Original Budget'!$A$1:$A$691,'Trial Balance - FPer'!A1078,'Original Budget'!$C$1:$C$691)</f>
        <v>-1832984.08</v>
      </c>
      <c r="I1078" s="2640">
        <f>VLOOKUP(A1078,'2012 - TB'!$A$3:$C$733,3,FALSE)</f>
        <v>-4183958.55</v>
      </c>
      <c r="J1078" s="2124" t="s">
        <v>5970</v>
      </c>
      <c r="L1078" s="2024" t="str">
        <f>VLOOKUP(A1078,'2012 Budget'!$A$18:$B$2152,2,FALSE)</f>
        <v>Sewerage Levies</v>
      </c>
    </row>
    <row r="1079" spans="1:12" s="2024" customFormat="1" x14ac:dyDescent="0.2">
      <c r="A1079" s="1275" t="s">
        <v>5884</v>
      </c>
      <c r="B1079" s="2112" t="s">
        <v>5885</v>
      </c>
      <c r="C1079" s="2113">
        <f>VLOOKUP(A1079,'2011 - TB'!$A$3:$B$971,2,FALSE)</f>
        <v>-6711790.1299999999</v>
      </c>
      <c r="D1079" s="2114">
        <v>0</v>
      </c>
      <c r="E1079" s="2114">
        <f>VLOOKUP(A1079,'2012 - TB'!$A$3:$H$733,5,FALSE)</f>
        <v>141547939.22</v>
      </c>
      <c r="F1079" s="2114">
        <f>VLOOKUP(A1079,'2012 - TB'!$A$3:$H$733,6,FALSE)</f>
        <v>-150117916.04999998</v>
      </c>
      <c r="G1079" s="2114">
        <f t="shared" si="45"/>
        <v>-8569976.8299999833</v>
      </c>
      <c r="H1079" s="2640">
        <f>SUMIF('Original Budget'!$A$1:$A$691,'Trial Balance - FPer'!A1079,'Original Budget'!$C$1:$C$691)</f>
        <v>-2175371.4900000002</v>
      </c>
      <c r="I1079" s="2640">
        <f>VLOOKUP(A1079,'2012 - TB'!$A$3:$C$733,3,FALSE)</f>
        <v>-2175371.4900000002</v>
      </c>
      <c r="J1079" s="2115" t="s">
        <v>5970</v>
      </c>
      <c r="L1079" s="2024" t="str">
        <f>VLOOKUP(A1079,'2012 Budget'!$A$18:$B$2152,2,FALSE)</f>
        <v>Water Levies;</v>
      </c>
    </row>
    <row r="1080" spans="1:12" s="2024" customFormat="1" ht="13.5" thickBot="1" x14ac:dyDescent="0.25">
      <c r="A1080" s="2120" t="s">
        <v>5925</v>
      </c>
      <c r="B1080" s="2121" t="s">
        <v>5885</v>
      </c>
      <c r="C1080" s="2122" t="str">
        <f>VLOOKUP(A1080,'2011 - TB'!$A$3:$B$971,2,FALSE)</f>
        <v xml:space="preserve">                               -  </v>
      </c>
      <c r="D1080" s="2123">
        <v>0</v>
      </c>
      <c r="E1080" s="2123">
        <v>0</v>
      </c>
      <c r="F1080" s="2123">
        <v>0</v>
      </c>
      <c r="G1080" s="2123">
        <f t="shared" si="45"/>
        <v>0</v>
      </c>
      <c r="H1080" s="2640">
        <f>SUMIF('Original Budget'!$A$1:$A$691,'Trial Balance - FPer'!A1080,'Original Budget'!$C$1:$C$691)</f>
        <v>0</v>
      </c>
      <c r="I1080" s="2640"/>
      <c r="J1080" s="2124" t="s">
        <v>5970</v>
      </c>
      <c r="L1080" s="2024" t="str">
        <f>VLOOKUP(A1080,'2012 Budget'!$A$18:$B$2152,2,FALSE)</f>
        <v>Electricity Sal</v>
      </c>
    </row>
    <row r="1081" spans="1:12" s="2024" customFormat="1" ht="13.5" thickBot="1" x14ac:dyDescent="0.25">
      <c r="C1081" s="2130">
        <f t="shared" ref="C1081:I1081" si="47">SUM(C1074:C1080)</f>
        <v>-16234442.27</v>
      </c>
      <c r="D1081" s="2130">
        <f t="shared" si="47"/>
        <v>0</v>
      </c>
      <c r="E1081" s="2130">
        <f t="shared" si="47"/>
        <v>142465481.13999999</v>
      </c>
      <c r="F1081" s="2130">
        <f t="shared" si="47"/>
        <v>-161627086.71999997</v>
      </c>
      <c r="G1081" s="2130">
        <f t="shared" si="47"/>
        <v>-19161605.579999983</v>
      </c>
      <c r="H1081" s="2641">
        <f t="shared" si="47"/>
        <v>-4711933.79</v>
      </c>
      <c r="I1081" s="2641">
        <f t="shared" si="47"/>
        <v>-7067104.1600000001</v>
      </c>
      <c r="J1081" s="2026"/>
      <c r="L1081" s="2024" t="e">
        <f>VLOOKUP(A1081,'2012 Budget'!$A$18:$B$2152,2,FALSE)</f>
        <v>#N/A</v>
      </c>
    </row>
    <row r="1082" spans="1:12" s="2024" customFormat="1" ht="13.5" thickTop="1" x14ac:dyDescent="0.2">
      <c r="C1082" s="2042"/>
      <c r="D1082" s="2025"/>
      <c r="E1082" s="2025"/>
      <c r="F1082" s="2025"/>
      <c r="G1082" s="2025"/>
      <c r="H1082" s="2118">
        <f>SUMIF('Original Budget'!$A$1:$A$691,'Trial Balance - FPer'!A1082,'Original Budget'!$C$1:$C$691)</f>
        <v>0</v>
      </c>
      <c r="I1082" s="2118"/>
      <c r="J1082" s="2026"/>
      <c r="L1082" s="2024" t="e">
        <f>VLOOKUP(A1082,'2012 Budget'!$A$18:$B$2152,2,FALSE)</f>
        <v>#N/A</v>
      </c>
    </row>
    <row r="1083" spans="1:12" s="2024" customFormat="1" x14ac:dyDescent="0.2">
      <c r="B1083" s="2068" t="s">
        <v>1212</v>
      </c>
      <c r="C1083" s="2110">
        <f>'Fin Perform'!K18</f>
        <v>28275179.93</v>
      </c>
      <c r="D1083" s="2025"/>
      <c r="E1083" s="2025"/>
      <c r="F1083" s="2025"/>
      <c r="G1083" s="2647">
        <f>'Fin Perform'!I18</f>
        <v>35847242.30999998</v>
      </c>
      <c r="H1083" s="2118">
        <f>SUMIF('Original Budget'!$A$1:$A$691,'Trial Balance - FPer'!A1083,'Original Budget'!$C$1:$C$691)</f>
        <v>0</v>
      </c>
      <c r="I1083" s="2118"/>
      <c r="J1083" s="2026"/>
      <c r="L1083" s="2024" t="e">
        <f>VLOOKUP(A1083,'2012 Budget'!$A$18:$B$2152,2,FALSE)</f>
        <v>#N/A</v>
      </c>
    </row>
    <row r="1084" spans="1:12" s="2024" customFormat="1" x14ac:dyDescent="0.2">
      <c r="C1084" s="2042"/>
      <c r="D1084" s="2025"/>
      <c r="E1084" s="2025"/>
      <c r="F1084" s="2025"/>
      <c r="G1084" s="2025"/>
      <c r="H1084" s="2118">
        <f>SUMIF('Original Budget'!$A$1:$A$691,'Trial Balance - FPer'!A1084,'Original Budget'!$C$1:$C$691)</f>
        <v>0</v>
      </c>
      <c r="I1084" s="2118"/>
      <c r="J1084" s="2026"/>
      <c r="L1084" s="2024" t="e">
        <f>VLOOKUP(A1084,'2012 Budget'!$A$18:$B$2152,2,FALSE)</f>
        <v>#N/A</v>
      </c>
    </row>
    <row r="1085" spans="1:12" s="2024" customFormat="1" ht="13.5" thickBot="1" x14ac:dyDescent="0.25">
      <c r="B1085" s="1208" t="s">
        <v>6423</v>
      </c>
      <c r="C1085" s="2103">
        <f>C1081+C1083</f>
        <v>12040737.66</v>
      </c>
      <c r="D1085" s="2025"/>
      <c r="E1085" s="2025"/>
      <c r="F1085" s="2025"/>
      <c r="G1085" s="2103">
        <f>G1081+G1083</f>
        <v>16685636.729999997</v>
      </c>
      <c r="H1085" s="2118">
        <f>SUMIF('Original Budget'!$A$1:$A$691,'Trial Balance - FPer'!A1085,'Original Budget'!$C$1:$C$691)</f>
        <v>0</v>
      </c>
      <c r="I1085" s="2118"/>
      <c r="J1085" s="2026"/>
      <c r="L1085" s="2024" t="e">
        <f>VLOOKUP(A1085,'2012 Budget'!$A$18:$B$2152,2,FALSE)</f>
        <v>#N/A</v>
      </c>
    </row>
    <row r="1086" spans="1:12" s="2024" customFormat="1" ht="14.25" thickTop="1" thickBot="1" x14ac:dyDescent="0.25">
      <c r="C1086" s="2042"/>
      <c r="D1086" s="2025"/>
      <c r="E1086" s="2025"/>
      <c r="F1086" s="2025"/>
      <c r="G1086" s="2025"/>
      <c r="H1086" s="2118">
        <f>SUMIF('Original Budget'!$A$1:$A$691,'Trial Balance - FPer'!A1086,'Original Budget'!$C$1:$C$691)</f>
        <v>0</v>
      </c>
      <c r="I1086" s="2118"/>
      <c r="J1086" s="2026"/>
      <c r="L1086" s="2024" t="e">
        <f>VLOOKUP(A1086,'2012 Budget'!$A$18:$B$2152,2,FALSE)</f>
        <v>#N/A</v>
      </c>
    </row>
    <row r="1087" spans="1:12" ht="13.5" thickBot="1" x14ac:dyDescent="0.25">
      <c r="A1087" s="2125" t="s">
        <v>4866</v>
      </c>
      <c r="B1087" s="2126" t="s">
        <v>4867</v>
      </c>
      <c r="C1087" s="2127">
        <f>VLOOKUP(A1087,'2011 - TB'!$A$3:$B$971,2,FALSE)</f>
        <v>22092963</v>
      </c>
      <c r="D1087" s="2128">
        <v>0</v>
      </c>
      <c r="E1087" s="2128">
        <f>VLOOKUP(A1087,'2012 - TB'!$A$3:$H$733,5,FALSE)</f>
        <v>21369430.350000001</v>
      </c>
      <c r="F1087" s="2128">
        <f>VLOOKUP(A1087,'2012 - TB'!$A$3:$H$733,6,FALSE)</f>
        <v>0</v>
      </c>
      <c r="G1087" s="2128">
        <f t="shared" ref="G1087" si="48">E1087+F1087</f>
        <v>21369430.350000001</v>
      </c>
      <c r="H1087" s="2640">
        <f>SUMIF('Original Budget'!$A$1:$A$691,'Trial Balance - FPer'!A1087,'Original Budget'!$C$1:$C$691)</f>
        <v>0</v>
      </c>
      <c r="I1087" s="2640">
        <f>VLOOKUP(A1087,'2012 - TB'!$A$3:$C$733,3,FALSE)</f>
        <v>0</v>
      </c>
      <c r="J1087" s="2129" t="s">
        <v>7642</v>
      </c>
      <c r="L1087" s="2024" t="str">
        <f>VLOOKUP(A1087,'2012 Budget'!$A$18:$B$2152,2,FALSE)</f>
        <v>Vehicle License</v>
      </c>
    </row>
    <row r="1088" spans="1:12" s="2100" customFormat="1" ht="13.5" thickBot="1" x14ac:dyDescent="0.25">
      <c r="A1088" s="2117"/>
      <c r="B1088" s="2117"/>
      <c r="C1088" s="2130">
        <f>C1087</f>
        <v>22092963</v>
      </c>
      <c r="D1088" s="2130">
        <f t="shared" ref="D1088:I1088" si="49">D1087</f>
        <v>0</v>
      </c>
      <c r="E1088" s="2130">
        <f t="shared" si="49"/>
        <v>21369430.350000001</v>
      </c>
      <c r="F1088" s="2130">
        <f t="shared" si="49"/>
        <v>0</v>
      </c>
      <c r="G1088" s="2130">
        <f t="shared" si="49"/>
        <v>21369430.350000001</v>
      </c>
      <c r="H1088" s="2641">
        <f t="shared" si="49"/>
        <v>0</v>
      </c>
      <c r="I1088" s="2641">
        <f t="shared" si="49"/>
        <v>0</v>
      </c>
      <c r="J1088" s="2565"/>
      <c r="L1088" s="2024" t="e">
        <f>VLOOKUP(A1088,'2012 Budget'!$A$18:$B$2152,2,FALSE)</f>
        <v>#N/A</v>
      </c>
    </row>
    <row r="1089" spans="1:12" s="2100" customFormat="1" ht="13.5" thickTop="1" x14ac:dyDescent="0.2">
      <c r="A1089" s="2117"/>
      <c r="B1089" s="2117"/>
      <c r="C1089" s="2109"/>
      <c r="D1089" s="2118"/>
      <c r="E1089" s="2118"/>
      <c r="F1089" s="2118"/>
      <c r="G1089" s="2118"/>
      <c r="H1089" s="2118">
        <f>SUMIF('Original Budget'!$A$1:$A$691,'Trial Balance - FPer'!A1089,'Original Budget'!$C$1:$C$691)</f>
        <v>0</v>
      </c>
      <c r="I1089" s="2118"/>
      <c r="J1089" s="2565"/>
      <c r="L1089" s="2024" t="e">
        <f>VLOOKUP(A1089,'2012 Budget'!$A$18:$B$2152,2,FALSE)</f>
        <v>#N/A</v>
      </c>
    </row>
    <row r="1090" spans="1:12" s="2100" customFormat="1" x14ac:dyDescent="0.2">
      <c r="A1090" s="2117"/>
      <c r="B1090" s="2068" t="s">
        <v>1212</v>
      </c>
      <c r="C1090" s="2110">
        <f>'Fin Perform'!K36</f>
        <v>21078163.109999999</v>
      </c>
      <c r="D1090" s="2025"/>
      <c r="E1090" s="2025"/>
      <c r="F1090" s="2025"/>
      <c r="G1090" s="2647">
        <f>'Fin Perform'!I36</f>
        <v>21215435.489999998</v>
      </c>
      <c r="H1090" s="2118">
        <f>SUMIF('Original Budget'!$A$1:$A$691,'Trial Balance - FPer'!A1090,'Original Budget'!$C$1:$C$691)</f>
        <v>0</v>
      </c>
      <c r="I1090" s="2118"/>
      <c r="J1090" s="2565"/>
      <c r="L1090" s="2024" t="e">
        <f>VLOOKUP(A1090,'2012 Budget'!$A$18:$B$2152,2,FALSE)</f>
        <v>#N/A</v>
      </c>
    </row>
    <row r="1091" spans="1:12" s="2100" customFormat="1" x14ac:dyDescent="0.2">
      <c r="A1091" s="2117"/>
      <c r="B1091" s="2024"/>
      <c r="C1091" s="2042"/>
      <c r="D1091" s="2025"/>
      <c r="E1091" s="2025"/>
      <c r="F1091" s="2025"/>
      <c r="G1091" s="2025"/>
      <c r="H1091" s="2118">
        <f>SUMIF('Original Budget'!$A$1:$A$691,'Trial Balance - FPer'!A1091,'Original Budget'!$C$1:$C$691)</f>
        <v>0</v>
      </c>
      <c r="I1091" s="2118"/>
      <c r="J1091" s="2565"/>
      <c r="L1091" s="2024" t="e">
        <f>VLOOKUP(A1091,'2012 Budget'!$A$18:$B$2152,2,FALSE)</f>
        <v>#N/A</v>
      </c>
    </row>
    <row r="1092" spans="1:12" s="2100" customFormat="1" ht="13.5" thickBot="1" x14ac:dyDescent="0.25">
      <c r="A1092" s="2117"/>
      <c r="B1092" s="1208" t="s">
        <v>6423</v>
      </c>
      <c r="C1092" s="2103">
        <f>C1088-C1090</f>
        <v>1014799.8900000006</v>
      </c>
      <c r="D1092" s="2025"/>
      <c r="E1092" s="2025"/>
      <c r="F1092" s="2025"/>
      <c r="G1092" s="2103">
        <f>G1088-G1090</f>
        <v>153994.86000000313</v>
      </c>
      <c r="H1092" s="2118">
        <f>SUMIF('Original Budget'!$A$1:$A$691,'Trial Balance - FPer'!A1092,'Original Budget'!$C$1:$C$691)</f>
        <v>0</v>
      </c>
      <c r="I1092" s="2118"/>
      <c r="J1092" s="2565"/>
      <c r="L1092" s="2024" t="e">
        <f>VLOOKUP(A1092,'2012 Budget'!$A$18:$B$2152,2,FALSE)</f>
        <v>#N/A</v>
      </c>
    </row>
    <row r="1093" spans="1:12" s="2100" customFormat="1" ht="14.25" thickTop="1" thickBot="1" x14ac:dyDescent="0.25">
      <c r="A1093" s="2117"/>
      <c r="B1093" s="2117"/>
      <c r="C1093" s="2109"/>
      <c r="D1093" s="2118"/>
      <c r="E1093" s="2118"/>
      <c r="F1093" s="2118"/>
      <c r="G1093" s="2118"/>
      <c r="H1093" s="2118">
        <f>SUMIF('Original Budget'!$A$1:$A$691,'Trial Balance - FPer'!A1093,'Original Budget'!$C$1:$C$691)</f>
        <v>0</v>
      </c>
      <c r="I1093" s="2118"/>
      <c r="J1093" s="2565"/>
      <c r="L1093" s="2024" t="e">
        <f>VLOOKUP(A1093,'2012 Budget'!$A$18:$B$2152,2,FALSE)</f>
        <v>#N/A</v>
      </c>
    </row>
    <row r="1094" spans="1:12" s="2100" customFormat="1" ht="13.5" thickBot="1" x14ac:dyDescent="0.25">
      <c r="A1094" s="2125" t="s">
        <v>4922</v>
      </c>
      <c r="B1094" s="2126" t="s">
        <v>4867</v>
      </c>
      <c r="C1094" s="2127">
        <v>0</v>
      </c>
      <c r="D1094" s="2128">
        <v>0</v>
      </c>
      <c r="E1094" s="2128">
        <f>VLOOKUP(A1094,'2012 - TB'!$A$3:$H$733,5,FALSE)</f>
        <v>131102</v>
      </c>
      <c r="F1094" s="2128">
        <v>0</v>
      </c>
      <c r="G1094" s="2128">
        <f t="shared" ref="G1094" si="50">E1094+F1094</f>
        <v>131102</v>
      </c>
      <c r="H1094" s="2640">
        <f>SUMIF('Original Budget'!$A$1:$A$691,'Trial Balance - FPer'!A1094,'Original Budget'!$C$1:$C$691)</f>
        <v>0</v>
      </c>
      <c r="I1094" s="2640">
        <f>VLOOKUP(A1094,'2012 - TB'!$A$3:$C$733,3,FALSE)</f>
        <v>0</v>
      </c>
      <c r="J1094" s="2129" t="s">
        <v>7643</v>
      </c>
      <c r="L1094" s="2024" t="str">
        <f>VLOOKUP(A1094,'2012 Budget'!$A$18:$B$2152,2,FALSE)</f>
        <v>Vehicle License</v>
      </c>
    </row>
    <row r="1095" spans="1:12" ht="13.5" thickBot="1" x14ac:dyDescent="0.25">
      <c r="A1095" s="2117"/>
      <c r="B1095" s="2117"/>
      <c r="C1095" s="2130">
        <f>C1094</f>
        <v>0</v>
      </c>
      <c r="D1095" s="2130">
        <f t="shared" ref="D1095:I1095" si="51">D1094</f>
        <v>0</v>
      </c>
      <c r="E1095" s="2130">
        <f t="shared" si="51"/>
        <v>131102</v>
      </c>
      <c r="F1095" s="2130">
        <f t="shared" si="51"/>
        <v>0</v>
      </c>
      <c r="G1095" s="2130">
        <f t="shared" si="51"/>
        <v>131102</v>
      </c>
      <c r="H1095" s="2641">
        <f t="shared" si="51"/>
        <v>0</v>
      </c>
      <c r="I1095" s="2641">
        <f t="shared" si="51"/>
        <v>0</v>
      </c>
      <c r="J1095" s="2565"/>
      <c r="L1095" s="2024" t="e">
        <f>VLOOKUP(A1095,'2012 Budget'!$A$18:$B$2152,2,FALSE)</f>
        <v>#N/A</v>
      </c>
    </row>
    <row r="1096" spans="1:12" s="2100" customFormat="1" ht="13.5" thickTop="1" x14ac:dyDescent="0.2">
      <c r="A1096" s="2117"/>
      <c r="B1096" s="2117"/>
      <c r="C1096" s="2109"/>
      <c r="D1096" s="2118"/>
      <c r="E1096" s="2118"/>
      <c r="F1096" s="2118"/>
      <c r="G1096" s="2118"/>
      <c r="H1096" s="2118">
        <f>SUMIF('Original Budget'!$A$1:$A$691,'Trial Balance - FPer'!A1096,'Original Budget'!$C$1:$C$691)</f>
        <v>0</v>
      </c>
      <c r="I1096" s="2118"/>
      <c r="J1096" s="2565"/>
      <c r="L1096" s="2024" t="e">
        <f>VLOOKUP(A1096,'2012 Budget'!$A$18:$B$2152,2,FALSE)</f>
        <v>#N/A</v>
      </c>
    </row>
    <row r="1097" spans="1:12" s="2100" customFormat="1" x14ac:dyDescent="0.2">
      <c r="A1097" s="2117"/>
      <c r="B1097" s="2068" t="s">
        <v>1212</v>
      </c>
      <c r="C1097" s="2110">
        <f>'Fin Perform'!K43</f>
        <v>0</v>
      </c>
      <c r="D1097" s="2025"/>
      <c r="E1097" s="2025"/>
      <c r="F1097" s="2025"/>
      <c r="G1097" s="2647">
        <f>'Fin Perform'!I46</f>
        <v>131102</v>
      </c>
      <c r="H1097" s="2118">
        <f>SUMIF('Original Budget'!$A$1:$A$691,'Trial Balance - FPer'!A1097,'Original Budget'!$C$1:$C$691)</f>
        <v>0</v>
      </c>
      <c r="I1097" s="2118"/>
      <c r="J1097" s="2565"/>
      <c r="L1097" s="2024" t="e">
        <f>VLOOKUP(A1097,'2012 Budget'!$A$18:$B$2152,2,FALSE)</f>
        <v>#N/A</v>
      </c>
    </row>
    <row r="1098" spans="1:12" s="2100" customFormat="1" x14ac:dyDescent="0.2">
      <c r="A1098" s="2117"/>
      <c r="B1098" s="2024"/>
      <c r="C1098" s="2042"/>
      <c r="D1098" s="2025"/>
      <c r="E1098" s="2025"/>
      <c r="F1098" s="2025"/>
      <c r="G1098" s="2025"/>
      <c r="H1098" s="2118">
        <f>SUMIF('Original Budget'!$A$1:$A$691,'Trial Balance - FPer'!A1098,'Original Budget'!$C$1:$C$691)</f>
        <v>0</v>
      </c>
      <c r="I1098" s="2118"/>
      <c r="J1098" s="2565"/>
      <c r="L1098" s="2024" t="e">
        <f>VLOOKUP(A1098,'2012 Budget'!$A$18:$B$2152,2,FALSE)</f>
        <v>#N/A</v>
      </c>
    </row>
    <row r="1099" spans="1:12" s="2100" customFormat="1" ht="13.5" thickBot="1" x14ac:dyDescent="0.25">
      <c r="A1099" s="2117"/>
      <c r="B1099" s="1208" t="s">
        <v>6423</v>
      </c>
      <c r="C1099" s="2103">
        <f>C1095-C1097</f>
        <v>0</v>
      </c>
      <c r="D1099" s="2025"/>
      <c r="E1099" s="2025"/>
      <c r="F1099" s="2025"/>
      <c r="G1099" s="2103">
        <f>G1095-G1097</f>
        <v>0</v>
      </c>
      <c r="H1099" s="2118">
        <f>SUMIF('Original Budget'!$A$1:$A$691,'Trial Balance - FPer'!A1099,'Original Budget'!$C$1:$C$691)</f>
        <v>0</v>
      </c>
      <c r="I1099" s="2118"/>
      <c r="J1099" s="2565"/>
      <c r="L1099" s="2024" t="e">
        <f>VLOOKUP(A1099,'2012 Budget'!$A$18:$B$2152,2,FALSE)</f>
        <v>#N/A</v>
      </c>
    </row>
    <row r="1100" spans="1:12" s="2100" customFormat="1" ht="14.25" thickTop="1" thickBot="1" x14ac:dyDescent="0.25">
      <c r="A1100" s="2117"/>
      <c r="B1100" s="2117"/>
      <c r="C1100" s="2109"/>
      <c r="D1100" s="2118"/>
      <c r="E1100" s="2118"/>
      <c r="F1100" s="2118"/>
      <c r="G1100" s="2118"/>
      <c r="H1100" s="2118">
        <f>SUMIF('Original Budget'!$A$1:$A$691,'Trial Balance - FPer'!A1100,'Original Budget'!$C$1:$C$691)</f>
        <v>0</v>
      </c>
      <c r="I1100" s="2118"/>
      <c r="J1100" s="2565"/>
      <c r="L1100" s="2024" t="e">
        <f>VLOOKUP(A1100,'2012 Budget'!$A$18:$B$2152,2,FALSE)</f>
        <v>#N/A</v>
      </c>
    </row>
    <row r="1101" spans="1:12" s="2024" customFormat="1" x14ac:dyDescent="0.2">
      <c r="A1101" s="1275" t="s">
        <v>5290</v>
      </c>
      <c r="B1101" s="2112" t="s">
        <v>4891</v>
      </c>
      <c r="C1101" s="2113">
        <f>VLOOKUP(A1101,'2011 - TB'!$A$3:$B$971,2,FALSE)</f>
        <v>0</v>
      </c>
      <c r="D1101" s="2114">
        <v>0</v>
      </c>
      <c r="E1101" s="2114">
        <f>VLOOKUP(A1101,'2012 - TB'!$A$3:$H$733,5,FALSE)</f>
        <v>3119187.56</v>
      </c>
      <c r="F1101" s="2114">
        <f>VLOOKUP(A1101,'2012 - TB'!$A$3:$H$733,6,FALSE)</f>
        <v>0</v>
      </c>
      <c r="G1101" s="2114">
        <f t="shared" ref="G1101:G1107" si="52">E1101+F1101</f>
        <v>3119187.56</v>
      </c>
      <c r="H1101" s="2640">
        <f>SUMIF('Original Budget'!$A$1:$A$691,'Trial Balance - FPer'!A1101,'Original Budget'!$C$1:$C$691)</f>
        <v>0</v>
      </c>
      <c r="I1101" s="2640">
        <f>VLOOKUP(A1101,'2012 - TB'!$A$3:$C$733,3,FALSE)</f>
        <v>0</v>
      </c>
      <c r="J1101" s="2115" t="s">
        <v>7665</v>
      </c>
      <c r="L1101" s="2024" t="str">
        <f>VLOOKUP(A1101,'2012 Budget'!$A$18:$B$2152,2,FALSE)</f>
        <v>Consumables;</v>
      </c>
    </row>
    <row r="1102" spans="1:12" s="2024" customFormat="1" x14ac:dyDescent="0.2">
      <c r="A1102" s="2116" t="s">
        <v>5623</v>
      </c>
      <c r="B1102" s="2117" t="s">
        <v>5409</v>
      </c>
      <c r="C1102" s="2109">
        <v>0</v>
      </c>
      <c r="D1102" s="2118">
        <v>0</v>
      </c>
      <c r="E1102" s="2118">
        <f>VLOOKUP(A1102,'2012 - TB'!$A$3:$H$733,5,FALSE)</f>
        <v>14183362.850000001</v>
      </c>
      <c r="F1102" s="2118">
        <f>VLOOKUP(A1102,'2012 - TB'!$A$3:$H$733,6,FALSE)</f>
        <v>0</v>
      </c>
      <c r="G1102" s="2118">
        <f t="shared" si="52"/>
        <v>14183362.850000001</v>
      </c>
      <c r="H1102" s="2640">
        <f>SUMIF('Original Budget'!$A$1:$A$691,'Trial Balance - FPer'!A1102,'Original Budget'!$C$1:$C$691)</f>
        <v>0</v>
      </c>
      <c r="I1102" s="2640">
        <f>VLOOKUP(A1102,'2012 - TB'!$A$3:$C$733,3,FALSE)</f>
        <v>0</v>
      </c>
      <c r="J1102" s="2119" t="s">
        <v>420</v>
      </c>
      <c r="L1102" s="2024" t="str">
        <f>VLOOKUP(A1102,'2012 Budget'!$A$18:$B$2152,2,FALSE)</f>
        <v>CCA - Infrastru</v>
      </c>
    </row>
    <row r="1103" spans="1:12" s="2024" customFormat="1" x14ac:dyDescent="0.2">
      <c r="A1103" s="2116" t="s">
        <v>5398</v>
      </c>
      <c r="B1103" s="2117" t="s">
        <v>5399</v>
      </c>
      <c r="C1103" s="2109">
        <f>VLOOKUP(A1103,'2011 - TB'!$A$3:$B$971,2,FALSE)</f>
        <v>0</v>
      </c>
      <c r="D1103" s="2118">
        <v>0</v>
      </c>
      <c r="E1103" s="2118">
        <f>VLOOKUP(A1103,'2012 - TB'!$A$3:$H$733,5,FALSE)</f>
        <v>133775.47</v>
      </c>
      <c r="F1103" s="2118">
        <f>VLOOKUP(A1103,'2012 - TB'!$A$3:$H$733,6,FALSE)</f>
        <v>0</v>
      </c>
      <c r="G1103" s="2118">
        <f t="shared" si="52"/>
        <v>133775.47</v>
      </c>
      <c r="H1103" s="2640">
        <f>SUMIF('Original Budget'!$A$1:$A$691,'Trial Balance - FPer'!A1103,'Original Budget'!$C$1:$C$691)</f>
        <v>0</v>
      </c>
      <c r="I1103" s="2640">
        <f>VLOOKUP(A1103,'2012 - TB'!$A$3:$C$733,3,FALSE)</f>
        <v>0</v>
      </c>
      <c r="J1103" s="2119" t="s">
        <v>1455</v>
      </c>
      <c r="L1103" s="2024" t="str">
        <f>VLOOKUP(A1103,'2012 Budget'!$A$18:$B$2152,2,FALSE)</f>
        <v>Redemption - Ex</v>
      </c>
    </row>
    <row r="1104" spans="1:12" s="2024" customFormat="1" x14ac:dyDescent="0.2">
      <c r="A1104" s="2623" t="s">
        <v>5181</v>
      </c>
      <c r="B1104" s="2624" t="s">
        <v>5182</v>
      </c>
      <c r="C1104" s="2109" t="str">
        <f>VLOOKUP(A1104,'2011 - TB'!$A$3:$B$971,2,FALSE)</f>
        <v xml:space="preserve">                               -  </v>
      </c>
      <c r="D1104" s="2118">
        <v>0</v>
      </c>
      <c r="E1104" s="2118">
        <f>VLOOKUP(A1104,'2012 - TB'!$A$3:$H$733,5,FALSE)</f>
        <v>338742.47</v>
      </c>
      <c r="F1104" s="2118">
        <f>VLOOKUP(A1104,'2012 - TB'!$A$3:$H$733,6,FALSE)</f>
        <v>0</v>
      </c>
      <c r="G1104" s="2118">
        <f t="shared" si="52"/>
        <v>338742.47</v>
      </c>
      <c r="H1104" s="2640">
        <f>SUMIF('Original Budget'!$A$1:$A$691,'Trial Balance - FPer'!A1104,'Original Budget'!$C$1:$C$691)</f>
        <v>0</v>
      </c>
      <c r="I1104" s="2640">
        <f>VLOOKUP(A1104,'2012 - TB'!$A$3:$C$733,3,FALSE)</f>
        <v>0</v>
      </c>
      <c r="J1104" s="2119" t="s">
        <v>5945</v>
      </c>
      <c r="L1104" s="2024" t="e">
        <f>VLOOKUP(A1104,'2012 Budget'!$A$18:$B$2152,2,FALSE)</f>
        <v>#N/A</v>
      </c>
    </row>
    <row r="1105" spans="1:12" s="2024" customFormat="1" x14ac:dyDescent="0.2">
      <c r="A1105" s="2116" t="s">
        <v>5047</v>
      </c>
      <c r="B1105" s="2117" t="s">
        <v>5048</v>
      </c>
      <c r="C1105" s="2109" t="str">
        <f>VLOOKUP(A1105,'2011 - TB'!$A$3:$B$971,2,FALSE)</f>
        <v xml:space="preserve">                               -  </v>
      </c>
      <c r="D1105" s="2118">
        <v>0</v>
      </c>
      <c r="E1105" s="2118">
        <f>VLOOKUP(A1105,'2012 - TB'!$A$3:$H$733,5,FALSE)</f>
        <v>1661644.33</v>
      </c>
      <c r="F1105" s="2118">
        <f>VLOOKUP(A1105,'2012 - TB'!$A$3:$H$733,6,FALSE)</f>
        <v>0</v>
      </c>
      <c r="G1105" s="2118">
        <f t="shared" si="52"/>
        <v>1661644.33</v>
      </c>
      <c r="H1105" s="2640">
        <f>SUMIF('Original Budget'!$A$1:$A$691,'Trial Balance - FPer'!A1105,'Original Budget'!$C$1:$C$691)</f>
        <v>0</v>
      </c>
      <c r="I1105" s="2640">
        <f>VLOOKUP(A1105,'2012 - TB'!$A$3:$C$733,3,FALSE)</f>
        <v>0</v>
      </c>
      <c r="J1105" s="2119" t="s">
        <v>7666</v>
      </c>
      <c r="L1105" s="2024" t="str">
        <f>VLOOKUP(A1105,'2012 Budget'!$A$18:$B$2152,2,FALSE)</f>
        <v>R/M - Tools &amp; E</v>
      </c>
    </row>
    <row r="1106" spans="1:12" s="2024" customFormat="1" x14ac:dyDescent="0.2">
      <c r="A1106" s="2116" t="s">
        <v>5924</v>
      </c>
      <c r="B1106" s="1133" t="s">
        <v>7354</v>
      </c>
      <c r="C1106" s="2109">
        <f>VLOOKUP(A1106,'2011 - TB'!$A$3:$B$971,2,FALSE)</f>
        <v>-12040737.66</v>
      </c>
      <c r="D1106" s="2118">
        <v>0</v>
      </c>
      <c r="E1106" s="2118">
        <f>VLOOKUP(A1106,'2012 - TB'!$A$3:$H$733,5,FALSE)</f>
        <v>0</v>
      </c>
      <c r="F1106" s="2118">
        <f>VLOOKUP(A1106,'2012 - TB'!$A$3:$H$733,6,FALSE)</f>
        <v>-16685636.73</v>
      </c>
      <c r="G1106" s="2118">
        <f t="shared" si="52"/>
        <v>-16685636.73</v>
      </c>
      <c r="H1106" s="2640">
        <f>SUMIF('Original Budget'!$A$1:$A$691,'Trial Balance - FPer'!A1106,'Original Budget'!$C$1:$C$691)</f>
        <v>0</v>
      </c>
      <c r="I1106" s="2640">
        <f>VLOOKUP(A1106,'2012 - TB'!$A$3:$C$733,3,FALSE)</f>
        <v>0</v>
      </c>
      <c r="J1106" s="2119" t="s">
        <v>5970</v>
      </c>
      <c r="L1106" s="2024" t="str">
        <f>VLOOKUP(A1106,'2012 Budget'!$A$18:$B$2152,2,FALSE)</f>
        <v>Electricity Sal</v>
      </c>
    </row>
    <row r="1107" spans="1:12" s="2024" customFormat="1" ht="13.5" thickBot="1" x14ac:dyDescent="0.25">
      <c r="A1107" s="2120" t="s">
        <v>5889</v>
      </c>
      <c r="B1107" s="2121" t="s">
        <v>5093</v>
      </c>
      <c r="C1107" s="2109">
        <v>0</v>
      </c>
      <c r="D1107" s="2123">
        <v>0</v>
      </c>
      <c r="E1107" s="2123">
        <f>VLOOKUP(A1107,'2012 - TB'!$A$3:$H$733,5,FALSE)</f>
        <v>0</v>
      </c>
      <c r="F1107" s="2123">
        <f>VLOOKUP(A1107,'2012 - TB'!$A$3:$H$733,6,FALSE)</f>
        <v>-108673.56</v>
      </c>
      <c r="G1107" s="2123">
        <f t="shared" si="52"/>
        <v>-108673.56</v>
      </c>
      <c r="H1107" s="2640">
        <f>SUMIF('Original Budget'!$A$1:$A$691,'Trial Balance - FPer'!A1107,'Original Budget'!$C$1:$C$691)</f>
        <v>0</v>
      </c>
      <c r="I1107" s="2640">
        <f>VLOOKUP(A1107,'2012 - TB'!$A$3:$C$733,3,FALSE)</f>
        <v>0</v>
      </c>
      <c r="J1107" s="2124" t="s">
        <v>5935</v>
      </c>
      <c r="L1107" s="2024" t="str">
        <f>VLOOKUP(A1107,'2012 Budget'!$A$18:$B$2152,2,FALSE)</f>
        <v>Sundry Income;</v>
      </c>
    </row>
    <row r="1108" spans="1:12" s="2100" customFormat="1" ht="13.5" thickBot="1" x14ac:dyDescent="0.25">
      <c r="A1108" s="2117"/>
      <c r="B1108" s="2117"/>
      <c r="C1108" s="2611">
        <f>SUM(C1101:C1107)</f>
        <v>-12040737.66</v>
      </c>
      <c r="D1108" s="2611">
        <f t="shared" ref="D1108:I1108" si="53">SUM(D1101:D1107)</f>
        <v>0</v>
      </c>
      <c r="E1108" s="2611">
        <f t="shared" si="53"/>
        <v>19436712.68</v>
      </c>
      <c r="F1108" s="2611">
        <f t="shared" si="53"/>
        <v>-16794310.289999999</v>
      </c>
      <c r="G1108" s="2611">
        <f t="shared" si="53"/>
        <v>2642402.3899999992</v>
      </c>
      <c r="H1108" s="2103">
        <f t="shared" si="53"/>
        <v>0</v>
      </c>
      <c r="I1108" s="2103">
        <f t="shared" si="53"/>
        <v>0</v>
      </c>
      <c r="J1108" s="2565"/>
      <c r="L1108" s="2024" t="e">
        <f>VLOOKUP(A1108,'2012 Budget'!$A$18:$B$2152,2,FALSE)</f>
        <v>#N/A</v>
      </c>
    </row>
    <row r="1109" spans="1:12" s="2100" customFormat="1" ht="13.5" thickTop="1" x14ac:dyDescent="0.2">
      <c r="A1109" s="2117"/>
      <c r="B1109" s="2117"/>
      <c r="C1109" s="2109"/>
      <c r="D1109" s="2118"/>
      <c r="E1109" s="2118"/>
      <c r="F1109" s="2118"/>
      <c r="G1109" s="2118"/>
      <c r="H1109" s="2118">
        <f>SUMIF('Original Budget'!$A$1:$A$691,'Trial Balance - FPer'!A1109,'Original Budget'!$C$1:$C$691)</f>
        <v>0</v>
      </c>
      <c r="I1109" s="2118"/>
      <c r="J1109" s="2565"/>
      <c r="L1109" s="2024" t="e">
        <f>VLOOKUP(A1109,'2012 Budget'!$A$18:$B$2152,2,FALSE)</f>
        <v>#N/A</v>
      </c>
    </row>
    <row r="1110" spans="1:12" s="2100" customFormat="1" x14ac:dyDescent="0.2">
      <c r="A1110" s="2117"/>
      <c r="B1110" s="2068" t="s">
        <v>1212</v>
      </c>
      <c r="C1110" s="2110">
        <f>'Fin Perform'!K56</f>
        <v>0</v>
      </c>
      <c r="D1110" s="2025"/>
      <c r="E1110" s="2025"/>
      <c r="F1110" s="2025"/>
      <c r="G1110" s="2647">
        <f>'Fin Perform'!I59</f>
        <v>-4.76837158203125E-7</v>
      </c>
      <c r="H1110" s="2118">
        <f>SUMIF('Original Budget'!$A$1:$A$691,'Trial Balance - FPer'!A1110,'Original Budget'!$C$1:$C$691)</f>
        <v>0</v>
      </c>
      <c r="I1110" s="2118"/>
      <c r="J1110" s="2565"/>
      <c r="L1110" s="2024" t="e">
        <f>VLOOKUP(A1110,'2012 Budget'!$A$18:$B$2152,2,FALSE)</f>
        <v>#N/A</v>
      </c>
    </row>
    <row r="1111" spans="1:12" s="2100" customFormat="1" x14ac:dyDescent="0.2">
      <c r="A1111" s="2117"/>
      <c r="B1111" s="2024"/>
      <c r="C1111" s="2042"/>
      <c r="D1111" s="2025"/>
      <c r="E1111" s="2025"/>
      <c r="F1111" s="2025"/>
      <c r="G1111" s="2025"/>
      <c r="H1111" s="2118">
        <f>SUMIF('Original Budget'!$A$1:$A$691,'Trial Balance - FPer'!A1111,'Original Budget'!$C$1:$C$691)</f>
        <v>0</v>
      </c>
      <c r="I1111" s="2118"/>
      <c r="J1111" s="2565"/>
      <c r="L1111" s="2024" t="e">
        <f>VLOOKUP(A1111,'2012 Budget'!$A$18:$B$2152,2,FALSE)</f>
        <v>#N/A</v>
      </c>
    </row>
    <row r="1112" spans="1:12" s="2100" customFormat="1" ht="13.5" thickBot="1" x14ac:dyDescent="0.25">
      <c r="A1112" s="2117"/>
      <c r="B1112" s="1208" t="s">
        <v>6423</v>
      </c>
      <c r="C1112" s="2103">
        <f>C1108-C1110</f>
        <v>-12040737.66</v>
      </c>
      <c r="D1112" s="2025"/>
      <c r="E1112" s="2025"/>
      <c r="F1112" s="2025"/>
      <c r="G1112" s="2103">
        <f>G1108-G1110</f>
        <v>2642402.390000476</v>
      </c>
      <c r="H1112" s="2118">
        <f>SUMIF('Original Budget'!$A$1:$A$691,'Trial Balance - FPer'!A1112,'Original Budget'!$C$1:$C$691)</f>
        <v>0</v>
      </c>
      <c r="I1112" s="2118"/>
      <c r="J1112" s="2565"/>
      <c r="L1112" s="2024" t="e">
        <f>VLOOKUP(A1112,'2012 Budget'!$A$18:$B$2152,2,FALSE)</f>
        <v>#N/A</v>
      </c>
    </row>
    <row r="1113" spans="1:12" s="2100" customFormat="1" ht="13.5" thickTop="1" x14ac:dyDescent="0.2">
      <c r="A1113" s="2117"/>
      <c r="B1113" s="2117"/>
      <c r="C1113" s="2109"/>
      <c r="D1113" s="2118"/>
      <c r="E1113" s="2118"/>
      <c r="F1113" s="2118"/>
      <c r="G1113" s="2118"/>
      <c r="H1113" s="2118">
        <f>SUMIF('Original Budget'!$A$1:$A$691,'Trial Balance - FPer'!A1113,'Original Budget'!$C$1:$C$691)</f>
        <v>0</v>
      </c>
      <c r="I1113" s="2118"/>
      <c r="J1113" s="2565"/>
      <c r="L1113" s="2024" t="e">
        <f>VLOOKUP(A1113,'2012 Budget'!$A$18:$B$2152,2,FALSE)</f>
        <v>#N/A</v>
      </c>
    </row>
    <row r="1114" spans="1:12" s="2100" customFormat="1" x14ac:dyDescent="0.2">
      <c r="A1114" s="1133" t="s">
        <v>7708</v>
      </c>
      <c r="B1114" s="2117"/>
      <c r="C1114" s="2109"/>
      <c r="D1114" s="2118"/>
      <c r="E1114" s="2118"/>
      <c r="F1114" s="2118"/>
      <c r="G1114" s="2118"/>
      <c r="H1114" s="2118">
        <f>SUMIF('Original Budget'!$A$1:$A$691,'Trial Balance - FPer'!A1114,'Original Budget'!$C$1:$C$691)</f>
        <v>0</v>
      </c>
      <c r="I1114" s="2118"/>
      <c r="J1114" s="2565"/>
      <c r="L1114" s="2024" t="e">
        <f>VLOOKUP(A1114,'2012 Budget'!$A$18:$B$2152,2,FALSE)</f>
        <v>#N/A</v>
      </c>
    </row>
    <row r="1115" spans="1:12" s="2100" customFormat="1" x14ac:dyDescent="0.2">
      <c r="A1115" s="1127" t="s">
        <v>7709</v>
      </c>
      <c r="B1115" s="1127" t="s">
        <v>1698</v>
      </c>
      <c r="C1115" s="2021"/>
      <c r="D1115" s="2016"/>
      <c r="E1115" s="2016"/>
      <c r="F1115" s="2016"/>
      <c r="G1115" s="2011">
        <f>H1115-I1115</f>
        <v>-8094000</v>
      </c>
      <c r="H1115" s="2118">
        <f>SUMIF('Original Budget'!$A$1:$A$691,'Trial Balance - FPer'!A1115,'Original Budget'!$C$1:$C$691)</f>
        <v>0</v>
      </c>
      <c r="I1115" s="2022">
        <v>8094000</v>
      </c>
      <c r="J1115" s="2565"/>
      <c r="L1115" s="2024"/>
    </row>
    <row r="1116" spans="1:12" s="2632" customFormat="1" x14ac:dyDescent="0.2">
      <c r="A1116" s="2632" t="s">
        <v>5789</v>
      </c>
      <c r="B1116" s="2632" t="s">
        <v>5790</v>
      </c>
      <c r="C1116" s="2633">
        <v>0</v>
      </c>
      <c r="D1116" s="2634">
        <v>0</v>
      </c>
      <c r="E1116" s="2634">
        <v>0</v>
      </c>
      <c r="F1116" s="2634">
        <v>0</v>
      </c>
      <c r="G1116" s="2011">
        <f t="shared" ref="G1116:G1124" si="54">H1116-I1116</f>
        <v>0</v>
      </c>
      <c r="H1116" s="2118">
        <f>SUMIF('Original Budget'!$A$1:$A$691,'Trial Balance - FPer'!A1116,'Original Budget'!$C$1:$C$691)</f>
        <v>536000</v>
      </c>
      <c r="I1116" s="2118">
        <f>VLOOKUP(A1116,'2012 - TB'!$A$3:$C$733,3,FALSE)</f>
        <v>536000</v>
      </c>
      <c r="J1116" s="2635"/>
      <c r="L1116" s="2632" t="str">
        <f>VLOOKUP(A1116,'2012 Budget'!$A$18:$B$2152,2,FALSE)</f>
        <v>EPWP Projects;</v>
      </c>
    </row>
    <row r="1117" spans="1:12" s="2632" customFormat="1" x14ac:dyDescent="0.2">
      <c r="A1117" s="2632" t="s">
        <v>5908</v>
      </c>
      <c r="B1117" s="2632" t="s">
        <v>5909</v>
      </c>
      <c r="C1117" s="2633">
        <v>0</v>
      </c>
      <c r="D1117" s="2634">
        <v>0</v>
      </c>
      <c r="E1117" s="2634">
        <v>0</v>
      </c>
      <c r="F1117" s="2634">
        <v>0</v>
      </c>
      <c r="G1117" s="2011">
        <f t="shared" si="54"/>
        <v>0</v>
      </c>
      <c r="H1117" s="2118">
        <f>SUMIF('Original Budget'!$A$1:$A$691,'Trial Balance - FPer'!A1117,'Original Budget'!$C$1:$C$691)</f>
        <v>627000</v>
      </c>
      <c r="I1117" s="2118">
        <f>VLOOKUP(A1117,'2012 - TB'!$A$3:$C$733,3,FALSE)</f>
        <v>627000</v>
      </c>
      <c r="J1117" s="2635"/>
      <c r="L1117" s="2632" t="str">
        <f>VLOOKUP(A1117,'2012 Budget'!$A$18:$B$2152,2,FALSE)</f>
        <v>INEPG Projects;</v>
      </c>
    </row>
    <row r="1118" spans="1:12" s="2018" customFormat="1" hidden="1" x14ac:dyDescent="0.2">
      <c r="A1118" s="2018" t="s">
        <v>5295</v>
      </c>
      <c r="B1118" s="2018" t="s">
        <v>5296</v>
      </c>
      <c r="C1118" s="2041">
        <v>0</v>
      </c>
      <c r="D1118" s="2019">
        <v>0</v>
      </c>
      <c r="E1118" s="2019">
        <v>0</v>
      </c>
      <c r="F1118" s="2019">
        <v>0</v>
      </c>
      <c r="G1118" s="2011">
        <f t="shared" si="54"/>
        <v>-600000</v>
      </c>
      <c r="H1118" s="2631">
        <f>SUMIF('Original Budget'!$A$1:$A$691,'Trial Balance - FPer'!A1118,'Original Budget'!$C$1:$C$691)</f>
        <v>0</v>
      </c>
      <c r="I1118" s="2631">
        <f>VLOOKUP(A1118,'2012 - TB'!$A$3:$C$733,3,FALSE)</f>
        <v>600000</v>
      </c>
      <c r="J1118" s="2017"/>
      <c r="L1118" s="2018" t="e">
        <f>VLOOKUP(A1118,'2012 Budget'!$A$18:$B$2152,2,FALSE)</f>
        <v>#N/A</v>
      </c>
    </row>
    <row r="1119" spans="1:12" s="2018" customFormat="1" hidden="1" x14ac:dyDescent="0.2">
      <c r="A1119" s="2018" t="s">
        <v>5480</v>
      </c>
      <c r="B1119" s="2018" t="s">
        <v>5296</v>
      </c>
      <c r="C1119" s="2041">
        <v>0</v>
      </c>
      <c r="D1119" s="2019">
        <v>0</v>
      </c>
      <c r="E1119" s="2019">
        <v>0</v>
      </c>
      <c r="F1119" s="2019">
        <v>0</v>
      </c>
      <c r="G1119" s="2011">
        <f t="shared" si="54"/>
        <v>0</v>
      </c>
      <c r="H1119" s="2631">
        <f>SUMIF('Original Budget'!$A$1:$A$691,'Trial Balance - FPer'!A1119,'Original Budget'!$C$1:$C$691)</f>
        <v>0</v>
      </c>
      <c r="I1119" s="2631"/>
      <c r="J1119" s="2017"/>
      <c r="L1119" s="2018" t="str">
        <f>VLOOKUP(A1119,'2012 Budget'!$A$18:$B$2152,2,FALSE)</f>
        <v>R/M - Caravan P</v>
      </c>
    </row>
    <row r="1120" spans="1:12" s="2018" customFormat="1" hidden="1" x14ac:dyDescent="0.2">
      <c r="A1120" s="2018" t="s">
        <v>5045</v>
      </c>
      <c r="B1120" s="2018" t="s">
        <v>5046</v>
      </c>
      <c r="C1120" s="2041">
        <v>0</v>
      </c>
      <c r="D1120" s="2019">
        <v>0</v>
      </c>
      <c r="E1120" s="2019">
        <f>VLOOKUP(A1120,'2012 - TB'!$A$3:$H$733,5,FALSE)</f>
        <v>0</v>
      </c>
      <c r="F1120" s="2019">
        <f>VLOOKUP(A1120,'2012 - TB'!$A$3:$H$733,6,FALSE)</f>
        <v>0</v>
      </c>
      <c r="G1120" s="2011">
        <f t="shared" si="54"/>
        <v>0</v>
      </c>
      <c r="H1120" s="2631">
        <f>SUMIF('Original Budget'!$A$1:$A$691,'Trial Balance - FPer'!A1120,'Original Budget'!$C$1:$C$691)</f>
        <v>4008.93</v>
      </c>
      <c r="I1120" s="2631">
        <f>VLOOKUP(A1120,'2012 - TB'!$A$3:$C$733,3,FALSE)</f>
        <v>4008.93</v>
      </c>
      <c r="J1120" s="2017"/>
      <c r="L1120" s="2018" t="str">
        <f>VLOOKUP(A1120,'2012 Budget'!$A$18:$B$2152,2,FALSE)</f>
        <v>Investment Adju</v>
      </c>
    </row>
    <row r="1121" spans="1:12" s="2632" customFormat="1" x14ac:dyDescent="0.2">
      <c r="A1121" s="2632" t="s">
        <v>5682</v>
      </c>
      <c r="B1121" s="2632" t="s">
        <v>5683</v>
      </c>
      <c r="C1121" s="2633">
        <v>0</v>
      </c>
      <c r="D1121" s="2634">
        <v>0</v>
      </c>
      <c r="E1121" s="2634">
        <f>VLOOKUP(A1121,'2012 - TB'!$A$3:$H$733,5,FALSE)</f>
        <v>0</v>
      </c>
      <c r="F1121" s="2634">
        <f>VLOOKUP(A1121,'2012 - TB'!$A$3:$H$733,6,FALSE)</f>
        <v>0</v>
      </c>
      <c r="G1121" s="2011">
        <f t="shared" si="54"/>
        <v>8654609.2699999996</v>
      </c>
      <c r="H1121" s="2118">
        <f>SUMIF('Original Budget'!$A$1:$A$691,'Trial Balance - FPer'!A1121,'Original Budget'!$C$1:$C$691)</f>
        <v>12453006.85</v>
      </c>
      <c r="I1121" s="2118">
        <f>VLOOKUP(A1121,'2012 - TB'!$A$3:$C$733,3,FALSE)</f>
        <v>3798397.58</v>
      </c>
      <c r="J1121" s="2635"/>
      <c r="L1121" s="2632" t="str">
        <f>VLOOKUP(A1121,'2012 Budget'!$A$18:$B$2152,2,FALSE)</f>
        <v>MIG Projects;</v>
      </c>
    </row>
    <row r="1122" spans="1:12" s="2632" customFormat="1" x14ac:dyDescent="0.2">
      <c r="A1122" s="2632" t="s">
        <v>5788</v>
      </c>
      <c r="B1122" s="2632" t="s">
        <v>5683</v>
      </c>
      <c r="C1122" s="2633">
        <v>0</v>
      </c>
      <c r="D1122" s="2634">
        <v>0</v>
      </c>
      <c r="E1122" s="2634">
        <f>VLOOKUP(A1122,'2012 - TB'!$A$3:$H$733,5,FALSE)</f>
        <v>0</v>
      </c>
      <c r="F1122" s="2634">
        <f>VLOOKUP(A1122,'2012 - TB'!$A$3:$H$733,6,FALSE)</f>
        <v>0</v>
      </c>
      <c r="G1122" s="2011">
        <f t="shared" si="54"/>
        <v>-3866679.6799999997</v>
      </c>
      <c r="H1122" s="2118">
        <f>SUMIF('Original Budget'!$A$1:$A$691,'Trial Balance - FPer'!A1122,'Original Budget'!$C$1:$C$691)</f>
        <v>4239709.75</v>
      </c>
      <c r="I1122" s="2118">
        <f>VLOOKUP(A1122,'2012 - TB'!$A$3:$C$733,3,FALSE)</f>
        <v>8106389.4299999997</v>
      </c>
      <c r="J1122" s="2635"/>
      <c r="L1122" s="2632" t="str">
        <f>VLOOKUP(A1122,'2012 Budget'!$A$18:$B$2152,2,FALSE)</f>
        <v>MIG Projects;</v>
      </c>
    </row>
    <row r="1123" spans="1:12" s="2632" customFormat="1" x14ac:dyDescent="0.2">
      <c r="A1123" s="2632" t="s">
        <v>5848</v>
      </c>
      <c r="B1123" s="2632" t="s">
        <v>5683</v>
      </c>
      <c r="C1123" s="2633">
        <v>0</v>
      </c>
      <c r="D1123" s="2634">
        <v>0</v>
      </c>
      <c r="E1123" s="2634">
        <f>VLOOKUP(A1123,'2012 - TB'!$A$3:$H$733,5,FALSE)</f>
        <v>0</v>
      </c>
      <c r="F1123" s="2634">
        <f>VLOOKUP(A1123,'2012 - TB'!$A$3:$H$733,6,FALSE)</f>
        <v>0</v>
      </c>
      <c r="G1123" s="2011">
        <f t="shared" si="54"/>
        <v>6693070.4100000001</v>
      </c>
      <c r="H1123" s="2118">
        <f>SUMIF('Original Budget'!$A$1:$A$691,'Trial Balance - FPer'!A1123,'Original Budget'!$C$1:$C$691)</f>
        <v>9543730.4000000004</v>
      </c>
      <c r="I1123" s="2118">
        <f>VLOOKUP(A1123,'2012 - TB'!$A$3:$C$733,3,FALSE)</f>
        <v>2850659.99</v>
      </c>
      <c r="J1123" s="2635"/>
      <c r="L1123" s="2632" t="str">
        <f>VLOOKUP(A1123,'2012 Budget'!$A$18:$B$2152,2,FALSE)</f>
        <v>MIG Projects;</v>
      </c>
    </row>
    <row r="1124" spans="1:12" s="2632" customFormat="1" x14ac:dyDescent="0.2">
      <c r="A1124" s="2632" t="str">
        <f>'2012 - TB'!A571</f>
        <v>1201/6560/0000</v>
      </c>
      <c r="B1124" s="2632" t="str">
        <f>'2012 - TB'!B571</f>
        <v>CCA - Tools &amp; Equipment;</v>
      </c>
      <c r="C1124" s="2633"/>
      <c r="D1124" s="2634"/>
      <c r="E1124" s="2634"/>
      <c r="F1124" s="2634"/>
      <c r="G1124" s="2011">
        <f t="shared" si="54"/>
        <v>-508500.6</v>
      </c>
      <c r="H1124" s="2118">
        <f>SUMIF('Original Budget'!$A$1:$A$691,'Trial Balance - FPer'!A1124,'Original Budget'!$C$1:$C$691)</f>
        <v>0</v>
      </c>
      <c r="I1124" s="2118">
        <f>VLOOKUP(A1124,'2012 - TB'!$A$3:$C$733,3,FALSE)</f>
        <v>508500.6</v>
      </c>
      <c r="J1124" s="2635"/>
    </row>
    <row r="1125" spans="1:12" s="2636" customFormat="1" x14ac:dyDescent="0.2">
      <c r="A1125" s="2636" t="s">
        <v>5679</v>
      </c>
      <c r="B1125" s="2636" t="s">
        <v>5680</v>
      </c>
      <c r="C1125" s="2637">
        <v>0</v>
      </c>
      <c r="D1125" s="2638">
        <v>0</v>
      </c>
      <c r="E1125" s="2638">
        <f>VLOOKUP(A1125,'2012 - TB'!$A$3:$H$733,5,FALSE)</f>
        <v>0</v>
      </c>
      <c r="F1125" s="2638">
        <f>VLOOKUP(A1125,'2012 - TB'!$A$3:$H$733,6,FALSE)</f>
        <v>0</v>
      </c>
      <c r="G1125" s="2638">
        <f t="shared" si="45"/>
        <v>0</v>
      </c>
      <c r="H1125" s="2118">
        <f>SUMIF('Original Budget'!$A$1:$A$691,'Trial Balance - FPer'!A1125,'Original Budget'!$C$1:$C$691)</f>
        <v>0</v>
      </c>
      <c r="I1125" s="2638">
        <f>VLOOKUP(A1125,'2012 - TB'!$A$3:$C$733,3,FALSE)</f>
        <v>549502.80000000005</v>
      </c>
      <c r="J1125" s="2639"/>
      <c r="L1125" s="2636" t="str">
        <f>VLOOKUP(A1125,'2012 Budget'!$A$18:$B$2152,2,FALSE)</f>
        <v>Redemption - DBSA</v>
      </c>
    </row>
    <row r="1126" spans="1:12" hidden="1" x14ac:dyDescent="0.2">
      <c r="A1126" s="2018" t="s">
        <v>5488</v>
      </c>
      <c r="B1126" s="2018" t="s">
        <v>5489</v>
      </c>
      <c r="C1126" s="2041">
        <v>0</v>
      </c>
      <c r="D1126" s="2019">
        <v>0</v>
      </c>
      <c r="E1126" s="2019">
        <f>VLOOKUP(A1126,'2012 - TB'!$A$3:$H$733,5,FALSE)</f>
        <v>0</v>
      </c>
      <c r="F1126" s="2019">
        <f>VLOOKUP(A1126,'2012 - TB'!$A$3:$H$733,6,FALSE)</f>
        <v>0</v>
      </c>
      <c r="G1126" s="2019">
        <f t="shared" si="45"/>
        <v>0</v>
      </c>
      <c r="H1126" s="2118">
        <f>SUMIF('Original Budget'!$A$1:$A$691,'Trial Balance - FPer'!A1126,'Original Budget'!$C$1:$C$691)</f>
        <v>-104578.7</v>
      </c>
      <c r="I1126" s="2631">
        <f>VLOOKUP(A1126,'2012 - TB'!$A$3:$C$733,3,FALSE)</f>
        <v>-104578.7</v>
      </c>
      <c r="J1126" s="2017"/>
      <c r="L1126" s="2024" t="str">
        <f>VLOOKUP(A1126,'2012 Budget'!$A$18:$B$2152,2,FALSE)</f>
        <v>Sale of cattle;</v>
      </c>
    </row>
    <row r="1127" spans="1:12" x14ac:dyDescent="0.2">
      <c r="A1127" s="2642" t="s">
        <v>5684</v>
      </c>
      <c r="D1127" s="2016"/>
      <c r="E1127" s="2016"/>
      <c r="F1127" s="2016"/>
      <c r="G1127" s="2016"/>
      <c r="H1127" s="2118">
        <f>SUMIF('Original Budget'!$A$1:$A$691,'Trial Balance - FPer'!A1127,'Original Budget'!$C$1:$C$691)</f>
        <v>0</v>
      </c>
      <c r="I1127" s="2640">
        <f>VLOOKUP(A786,'2012 - TB'!$A$3:$C$733,3,FALSE)</f>
        <v>1500000</v>
      </c>
      <c r="J1127" s="2016"/>
    </row>
    <row r="1128" spans="1:12" x14ac:dyDescent="0.2">
      <c r="H1128" s="2118">
        <f>SUMIF('Original Budget'!$A$1:$A$691,'Trial Balance - FPer'!A1128,'Original Budget'!$C$1:$C$691)</f>
        <v>0</v>
      </c>
      <c r="I1128" s="2640">
        <f>VLOOKUP(A787,'2012 - TB'!$A$3:$C$733,3,FALSE)</f>
        <v>790000</v>
      </c>
      <c r="J1128" s="2016"/>
    </row>
  </sheetData>
  <sortState ref="A30:I421">
    <sortCondition ref="B30:B421"/>
  </sortState>
  <pageMargins left="0.7" right="0.7" top="0.75" bottom="0.75" header="0.3" footer="0.3"/>
  <ignoredErrors>
    <ignoredError sqref="G467" formula="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1"/>
  <sheetViews>
    <sheetView topLeftCell="CC1" workbookViewId="0">
      <pane ySplit="2" topLeftCell="A607" activePane="bottomLeft" state="frozen"/>
      <selection pane="bottomLeft" activeCell="CH608" sqref="CH608"/>
    </sheetView>
  </sheetViews>
  <sheetFormatPr defaultRowHeight="12.75" x14ac:dyDescent="0.2"/>
  <cols>
    <col min="1" max="1" width="18.42578125" style="2020" bestFit="1" customWidth="1"/>
    <col min="2" max="2" width="27.7109375" style="2020" customWidth="1"/>
    <col min="3" max="3" width="14.85546875" style="2020" hidden="1" customWidth="1"/>
    <col min="4" max="4" width="15.5703125" style="2020" bestFit="1" customWidth="1"/>
    <col min="5" max="5" width="16.5703125" style="2020" bestFit="1" customWidth="1"/>
    <col min="6" max="6" width="17.28515625" style="2020" bestFit="1" customWidth="1"/>
    <col min="7" max="8" width="17.28515625" style="2020" hidden="1" customWidth="1"/>
    <col min="9" max="9" width="15.5703125" bestFit="1" customWidth="1"/>
    <col min="10" max="10" width="5.7109375" customWidth="1"/>
    <col min="11" max="11" width="5.7109375" style="2215" customWidth="1"/>
    <col min="12" max="47" width="15.7109375" style="2022" customWidth="1"/>
    <col min="48" max="48" width="15.7109375" style="2558" customWidth="1"/>
    <col min="49" max="60" width="15.7109375" style="2022" customWidth="1"/>
    <col min="61" max="70" width="15.7109375" style="2728" customWidth="1"/>
    <col min="71" max="72" width="15.7109375" style="2632" customWidth="1"/>
    <col min="73" max="74" width="15.7109375" style="2728" customWidth="1"/>
    <col min="75" max="79" width="15.7109375" style="2632" customWidth="1"/>
    <col min="80" max="80" width="15.7109375" style="2728" customWidth="1"/>
    <col min="81" max="84" width="15.7109375" style="2632" customWidth="1"/>
    <col min="85" max="86" width="15.7109375" style="2728" customWidth="1"/>
    <col min="87" max="89" width="15.7109375" style="2632" customWidth="1"/>
  </cols>
  <sheetData>
    <row r="1" spans="1:89" x14ac:dyDescent="0.2">
      <c r="D1" s="2020" t="s">
        <v>5992</v>
      </c>
      <c r="E1" s="2020" t="s">
        <v>5993</v>
      </c>
      <c r="F1" s="2020" t="s">
        <v>5994</v>
      </c>
      <c r="G1" s="2020" t="s">
        <v>5995</v>
      </c>
      <c r="H1" s="2020" t="s">
        <v>5996</v>
      </c>
    </row>
    <row r="2" spans="1:89" x14ac:dyDescent="0.2">
      <c r="A2" s="2020" t="s">
        <v>5997</v>
      </c>
      <c r="B2" s="2020" t="s">
        <v>7</v>
      </c>
      <c r="C2" s="2020" t="s">
        <v>243</v>
      </c>
      <c r="D2" s="2020" t="s">
        <v>5998</v>
      </c>
      <c r="E2" s="2020" t="s">
        <v>5999</v>
      </c>
      <c r="F2" s="2020" t="s">
        <v>6000</v>
      </c>
      <c r="G2" s="2020" t="s">
        <v>6001</v>
      </c>
      <c r="H2" s="2020" t="s">
        <v>6002</v>
      </c>
      <c r="I2" s="2106" t="s">
        <v>4511</v>
      </c>
      <c r="L2" s="2216" t="s">
        <v>6522</v>
      </c>
      <c r="M2" s="2216" t="s">
        <v>6523</v>
      </c>
      <c r="N2" s="2216" t="s">
        <v>6525</v>
      </c>
      <c r="O2" s="2216" t="s">
        <v>6526</v>
      </c>
      <c r="P2" s="2216" t="s">
        <v>6527</v>
      </c>
      <c r="Q2" s="2216" t="s">
        <v>6528</v>
      </c>
      <c r="R2" s="2216" t="s">
        <v>6529</v>
      </c>
      <c r="S2" s="2216" t="s">
        <v>6530</v>
      </c>
      <c r="T2" s="2216" t="s">
        <v>6542</v>
      </c>
      <c r="U2" s="2216" t="s">
        <v>6554</v>
      </c>
      <c r="V2" s="2216" t="s">
        <v>6556</v>
      </c>
      <c r="W2" s="2216" t="s">
        <v>6876</v>
      </c>
      <c r="X2" s="2216" t="s">
        <v>6877</v>
      </c>
      <c r="Y2" s="2216" t="s">
        <v>6887</v>
      </c>
      <c r="Z2" s="2216" t="s">
        <v>6889</v>
      </c>
      <c r="AA2" s="2216" t="s">
        <v>6904</v>
      </c>
      <c r="AB2" s="2216" t="s">
        <v>6905</v>
      </c>
      <c r="AC2" s="2216" t="s">
        <v>6907</v>
      </c>
      <c r="AD2" s="2216" t="s">
        <v>6910</v>
      </c>
      <c r="AE2" s="2022" t="s">
        <v>7299</v>
      </c>
      <c r="AF2" s="2216" t="s">
        <v>7306</v>
      </c>
      <c r="AG2" s="2216" t="s">
        <v>7309</v>
      </c>
      <c r="AH2" s="2216" t="s">
        <v>7315</v>
      </c>
      <c r="AI2" s="2216" t="s">
        <v>7324</v>
      </c>
      <c r="AJ2" s="2216" t="s">
        <v>7332</v>
      </c>
      <c r="AK2" s="2216" t="s">
        <v>7382</v>
      </c>
      <c r="AL2" s="2216" t="s">
        <v>7391</v>
      </c>
      <c r="AM2" s="2216" t="s">
        <v>7395</v>
      </c>
      <c r="AN2" s="2216" t="s">
        <v>7397</v>
      </c>
      <c r="AO2" s="2216" t="s">
        <v>7399</v>
      </c>
      <c r="AP2" s="2216" t="s">
        <v>7402</v>
      </c>
      <c r="AQ2" s="2216" t="s">
        <v>7416</v>
      </c>
      <c r="AR2" s="2216" t="s">
        <v>7418</v>
      </c>
      <c r="AS2" s="2216" t="s">
        <v>7425</v>
      </c>
      <c r="AT2" s="2216" t="s">
        <v>7427</v>
      </c>
      <c r="AU2" s="2216" t="s">
        <v>7441</v>
      </c>
      <c r="AV2" s="2559" t="s">
        <v>7465</v>
      </c>
      <c r="AW2" s="2216" t="s">
        <v>7467</v>
      </c>
      <c r="AX2" s="2216" t="s">
        <v>7479</v>
      </c>
      <c r="AY2" s="2216" t="s">
        <v>7483</v>
      </c>
      <c r="AZ2" s="2216" t="s">
        <v>7490</v>
      </c>
      <c r="BA2" s="2216" t="s">
        <v>7492</v>
      </c>
      <c r="BB2" s="2216" t="s">
        <v>7493</v>
      </c>
      <c r="BC2" s="2216" t="s">
        <v>7504</v>
      </c>
      <c r="BD2" s="2216" t="s">
        <v>7510</v>
      </c>
      <c r="BE2" s="2216" t="s">
        <v>7523</v>
      </c>
      <c r="BF2" s="2216" t="s">
        <v>7672</v>
      </c>
      <c r="BG2" s="2216" t="s">
        <v>7680</v>
      </c>
      <c r="BH2" s="2216" t="s">
        <v>8102</v>
      </c>
      <c r="BI2" s="2752" t="s">
        <v>6522</v>
      </c>
      <c r="BJ2" s="2752" t="s">
        <v>6523</v>
      </c>
      <c r="BK2" s="2752" t="s">
        <v>6525</v>
      </c>
      <c r="BL2" s="2752" t="s">
        <v>6526</v>
      </c>
      <c r="BM2" s="2752" t="s">
        <v>6527</v>
      </c>
      <c r="BN2" s="2752" t="s">
        <v>6528</v>
      </c>
      <c r="BO2" s="2752" t="s">
        <v>6529</v>
      </c>
      <c r="BP2" s="2752" t="s">
        <v>6530</v>
      </c>
      <c r="BQ2" s="2752" t="s">
        <v>6542</v>
      </c>
      <c r="BR2" s="2752" t="s">
        <v>6554</v>
      </c>
      <c r="BS2" s="2752" t="s">
        <v>6556</v>
      </c>
      <c r="BT2" s="2752" t="s">
        <v>6876</v>
      </c>
      <c r="BU2" s="2752" t="s">
        <v>6877</v>
      </c>
      <c r="BV2" s="2752" t="s">
        <v>6887</v>
      </c>
      <c r="BW2" s="2752" t="s">
        <v>6889</v>
      </c>
      <c r="BX2" s="2752" t="s">
        <v>6904</v>
      </c>
      <c r="BY2" s="2752" t="s">
        <v>6905</v>
      </c>
      <c r="BZ2" s="2752" t="s">
        <v>6907</v>
      </c>
      <c r="CA2" s="2752" t="s">
        <v>8198</v>
      </c>
      <c r="CB2" s="2752" t="s">
        <v>6910</v>
      </c>
      <c r="CC2" s="2752" t="s">
        <v>7299</v>
      </c>
      <c r="CD2" s="2752" t="s">
        <v>7306</v>
      </c>
      <c r="CE2" s="2752" t="s">
        <v>7309</v>
      </c>
      <c r="CF2" s="2752" t="s">
        <v>7315</v>
      </c>
      <c r="CG2" s="2752" t="s">
        <v>7324</v>
      </c>
      <c r="CH2" s="2752" t="s">
        <v>7332</v>
      </c>
      <c r="CI2" s="2752" t="s">
        <v>7382</v>
      </c>
      <c r="CJ2" s="2752" t="s">
        <v>7391</v>
      </c>
      <c r="CK2" s="2752" t="s">
        <v>7395</v>
      </c>
    </row>
    <row r="3" spans="1:89" x14ac:dyDescent="0.2">
      <c r="A3" s="2020" t="s">
        <v>4807</v>
      </c>
      <c r="B3" s="2020" t="s">
        <v>6003</v>
      </c>
      <c r="C3" s="2022">
        <v>1143565.23</v>
      </c>
      <c r="D3" s="2022">
        <v>0</v>
      </c>
      <c r="E3" s="2022">
        <f>1320309.21+Z3+AJ3</f>
        <v>1816522.97</v>
      </c>
      <c r="F3" s="2022">
        <f>-332367.58+BM3</f>
        <v>-529650.23</v>
      </c>
      <c r="G3" s="2022">
        <f>SUM(D3:F3)</f>
        <v>1286872.74</v>
      </c>
      <c r="H3" s="2022">
        <v>0</v>
      </c>
      <c r="I3" s="2011">
        <f t="shared" ref="I3:I60" si="0">SUM(E3:F3)</f>
        <v>1286872.74</v>
      </c>
      <c r="J3" s="2022"/>
      <c r="K3" s="2463"/>
      <c r="Z3" s="2022">
        <f>216666.58+196775.18</f>
        <v>413441.76</v>
      </c>
      <c r="AJ3" s="2022">
        <f>20000+13333+13333+13333+16666+6107</f>
        <v>82772</v>
      </c>
      <c r="BM3" s="2728">
        <v>-197282.65</v>
      </c>
    </row>
    <row r="4" spans="1:89" x14ac:dyDescent="0.2">
      <c r="A4" s="2020" t="s">
        <v>4811</v>
      </c>
      <c r="B4" s="2020" t="s">
        <v>6004</v>
      </c>
      <c r="C4" s="2022">
        <v>116860.07</v>
      </c>
      <c r="D4" s="2022">
        <v>0</v>
      </c>
      <c r="E4" s="2022">
        <f>65844.82+Z4+AJ4+AW4</f>
        <v>231161.61</v>
      </c>
      <c r="F4" s="2022">
        <v>0</v>
      </c>
      <c r="G4" s="2022">
        <f t="shared" ref="G4:G36" si="1">SUM(D4:F4)</f>
        <v>231161.61</v>
      </c>
      <c r="H4" s="2022">
        <v>0</v>
      </c>
      <c r="I4" s="2011">
        <f t="shared" si="0"/>
        <v>231161.61</v>
      </c>
      <c r="J4" s="2022"/>
      <c r="K4" s="2463"/>
      <c r="Z4" s="2022">
        <v>15034.84</v>
      </c>
      <c r="AJ4" s="2022">
        <v>4986.76</v>
      </c>
      <c r="AW4" s="2022">
        <v>145295.19</v>
      </c>
    </row>
    <row r="5" spans="1:89" x14ac:dyDescent="0.2">
      <c r="A5" s="2020" t="s">
        <v>4813</v>
      </c>
      <c r="B5" s="2020" t="s">
        <v>6005</v>
      </c>
      <c r="C5" s="2022">
        <v>6100</v>
      </c>
      <c r="D5" s="2022">
        <v>0</v>
      </c>
      <c r="E5" s="2022">
        <v>6100</v>
      </c>
      <c r="F5" s="2022">
        <v>0</v>
      </c>
      <c r="G5" s="2022">
        <f t="shared" si="1"/>
        <v>6100</v>
      </c>
      <c r="H5" s="2022">
        <v>0</v>
      </c>
      <c r="I5" s="2011">
        <f t="shared" si="0"/>
        <v>6100</v>
      </c>
      <c r="J5" s="2022"/>
      <c r="K5" s="2463"/>
    </row>
    <row r="6" spans="1:89" x14ac:dyDescent="0.2">
      <c r="A6" s="2020" t="s">
        <v>4815</v>
      </c>
      <c r="B6" s="2020" t="s">
        <v>6006</v>
      </c>
      <c r="C6" s="2022">
        <v>0</v>
      </c>
      <c r="D6" s="2022">
        <v>0</v>
      </c>
      <c r="E6" s="2022">
        <v>2048</v>
      </c>
      <c r="F6" s="2022">
        <v>0</v>
      </c>
      <c r="G6" s="2022">
        <f t="shared" si="1"/>
        <v>2048</v>
      </c>
      <c r="H6" s="2022">
        <v>0</v>
      </c>
      <c r="I6" s="2011">
        <f t="shared" si="0"/>
        <v>2048</v>
      </c>
      <c r="J6" s="2022"/>
      <c r="K6" s="2463"/>
    </row>
    <row r="7" spans="1:89" x14ac:dyDescent="0.2">
      <c r="A7" s="2020" t="s">
        <v>4817</v>
      </c>
      <c r="B7" s="2020" t="s">
        <v>6007</v>
      </c>
      <c r="C7" s="2022">
        <v>0</v>
      </c>
      <c r="D7" s="2022">
        <v>0</v>
      </c>
      <c r="E7" s="2022">
        <v>19586.66</v>
      </c>
      <c r="F7" s="2022">
        <f>Z7</f>
        <v>-1246.5899999999999</v>
      </c>
      <c r="G7" s="2022">
        <f t="shared" si="1"/>
        <v>18340.07</v>
      </c>
      <c r="H7" s="2022">
        <v>0</v>
      </c>
      <c r="I7" s="2011">
        <f t="shared" si="0"/>
        <v>18340.07</v>
      </c>
      <c r="J7" s="2022"/>
      <c r="K7" s="2463"/>
      <c r="Z7" s="2022">
        <v>-1246.5899999999999</v>
      </c>
    </row>
    <row r="8" spans="1:89" x14ac:dyDescent="0.2">
      <c r="A8" s="2020" t="s">
        <v>4819</v>
      </c>
      <c r="B8" s="2020" t="s">
        <v>6008</v>
      </c>
      <c r="C8" s="2022">
        <v>4832</v>
      </c>
      <c r="D8" s="2022">
        <v>0</v>
      </c>
      <c r="E8" s="2022">
        <v>3584</v>
      </c>
      <c r="F8" s="2022">
        <v>-800</v>
      </c>
      <c r="G8" s="2022">
        <f t="shared" si="1"/>
        <v>2784</v>
      </c>
      <c r="H8" s="2022">
        <v>0</v>
      </c>
      <c r="I8" s="2011">
        <f t="shared" si="0"/>
        <v>2784</v>
      </c>
      <c r="J8" s="2022"/>
      <c r="K8" s="2463"/>
    </row>
    <row r="9" spans="1:89" x14ac:dyDescent="0.2">
      <c r="A9" s="2020" t="s">
        <v>4821</v>
      </c>
      <c r="B9" s="2020" t="s">
        <v>6009</v>
      </c>
      <c r="C9" s="2022">
        <v>200907.34</v>
      </c>
      <c r="D9" s="2022">
        <v>0</v>
      </c>
      <c r="E9" s="2022">
        <v>186542.41</v>
      </c>
      <c r="F9" s="2022">
        <v>-3135.07</v>
      </c>
      <c r="G9" s="2022">
        <f t="shared" si="1"/>
        <v>183407.34</v>
      </c>
      <c r="H9" s="2022">
        <v>0</v>
      </c>
      <c r="I9" s="2011">
        <f t="shared" si="0"/>
        <v>183407.34</v>
      </c>
      <c r="J9" s="2022"/>
      <c r="K9" s="2463"/>
    </row>
    <row r="10" spans="1:89" x14ac:dyDescent="0.2">
      <c r="A10" s="2020" t="s">
        <v>4823</v>
      </c>
      <c r="B10" s="2020" t="s">
        <v>6010</v>
      </c>
      <c r="C10" s="2022">
        <v>516.6</v>
      </c>
      <c r="D10" s="2022">
        <v>0</v>
      </c>
      <c r="E10" s="2022">
        <f>520.7+Z10+AJ10</f>
        <v>840.50000000000011</v>
      </c>
      <c r="F10" s="2022">
        <v>0</v>
      </c>
      <c r="G10" s="2022">
        <f t="shared" si="1"/>
        <v>840.50000000000011</v>
      </c>
      <c r="H10" s="2022">
        <v>0</v>
      </c>
      <c r="I10" s="2011">
        <f t="shared" si="0"/>
        <v>840.50000000000011</v>
      </c>
      <c r="J10" s="2022"/>
      <c r="K10" s="2463"/>
      <c r="Z10" s="2022">
        <f>106.6+168.1</f>
        <v>274.7</v>
      </c>
      <c r="AJ10" s="2022">
        <f>12.3+8.2+8.2+8.2+8.2</f>
        <v>45.099999999999994</v>
      </c>
    </row>
    <row r="11" spans="1:89" x14ac:dyDescent="0.2">
      <c r="A11" s="2020" t="s">
        <v>4825</v>
      </c>
      <c r="B11" s="2020" t="s">
        <v>6011</v>
      </c>
      <c r="C11" s="2022">
        <v>13137.49</v>
      </c>
      <c r="D11" s="2022">
        <v>0</v>
      </c>
      <c r="E11" s="2022">
        <f>13657.96+Z11+AJ11</f>
        <v>18722.09</v>
      </c>
      <c r="F11" s="2022">
        <v>0</v>
      </c>
      <c r="G11" s="2022">
        <f t="shared" si="1"/>
        <v>18722.09</v>
      </c>
      <c r="H11" s="2022">
        <v>0</v>
      </c>
      <c r="I11" s="2011">
        <f t="shared" si="0"/>
        <v>18722.09</v>
      </c>
      <c r="J11" s="2022"/>
      <c r="K11" s="2463"/>
      <c r="Z11" s="2022">
        <f>2166.64+2069.75</f>
        <v>4236.3899999999994</v>
      </c>
      <c r="AJ11" s="2022">
        <f>200+133.33+133.34+133.34+227.73</f>
        <v>827.74000000000012</v>
      </c>
    </row>
    <row r="12" spans="1:89" x14ac:dyDescent="0.2">
      <c r="A12" s="2020" t="s">
        <v>4828</v>
      </c>
      <c r="B12" s="2020" t="s">
        <v>6012</v>
      </c>
      <c r="C12" s="2022">
        <v>44543.3</v>
      </c>
      <c r="D12" s="2022">
        <v>0</v>
      </c>
      <c r="E12" s="2022">
        <v>51328.1</v>
      </c>
      <c r="F12" s="2022">
        <v>0</v>
      </c>
      <c r="G12" s="2022">
        <f t="shared" si="1"/>
        <v>51328.1</v>
      </c>
      <c r="H12" s="2022">
        <v>0</v>
      </c>
      <c r="I12" s="2011">
        <f t="shared" si="0"/>
        <v>51328.1</v>
      </c>
      <c r="J12" s="2022"/>
      <c r="K12" s="2463"/>
    </row>
    <row r="13" spans="1:89" x14ac:dyDescent="0.2">
      <c r="A13" s="2020" t="s">
        <v>4830</v>
      </c>
      <c r="B13" s="2020" t="s">
        <v>6013</v>
      </c>
      <c r="C13" s="2022">
        <v>153431.67999999999</v>
      </c>
      <c r="D13" s="2022">
        <v>0</v>
      </c>
      <c r="E13" s="2022">
        <v>153431.67999999999</v>
      </c>
      <c r="F13" s="2022">
        <v>0</v>
      </c>
      <c r="G13" s="2022">
        <f t="shared" si="1"/>
        <v>153431.67999999999</v>
      </c>
      <c r="H13" s="2022">
        <v>0</v>
      </c>
      <c r="I13" s="2011">
        <f t="shared" si="0"/>
        <v>153431.67999999999</v>
      </c>
      <c r="J13" s="2022"/>
      <c r="K13" s="2463"/>
    </row>
    <row r="14" spans="1:89" x14ac:dyDescent="0.2">
      <c r="A14" s="2020" t="s">
        <v>4832</v>
      </c>
      <c r="B14" s="2020" t="s">
        <v>6014</v>
      </c>
      <c r="C14" s="2022">
        <v>27437.11</v>
      </c>
      <c r="D14" s="2022">
        <v>0</v>
      </c>
      <c r="E14" s="2022">
        <f>22178.56+Z14+AJ14</f>
        <v>27188.050000000003</v>
      </c>
      <c r="F14" s="2022">
        <v>0</v>
      </c>
      <c r="G14" s="2022">
        <f t="shared" si="1"/>
        <v>27188.050000000003</v>
      </c>
      <c r="H14" s="2022">
        <v>0</v>
      </c>
      <c r="I14" s="2011">
        <f t="shared" si="0"/>
        <v>27188.050000000003</v>
      </c>
      <c r="J14" s="2022"/>
      <c r="K14" s="2463"/>
      <c r="Z14" s="2022">
        <f>2166.58+2101.46</f>
        <v>4268.04</v>
      </c>
      <c r="AJ14" s="2022">
        <f>200+183.2+133.34+224.91</f>
        <v>741.44999999999993</v>
      </c>
    </row>
    <row r="15" spans="1:89" x14ac:dyDescent="0.2">
      <c r="A15" s="2020" t="s">
        <v>4834</v>
      </c>
      <c r="B15" s="2020" t="s">
        <v>6015</v>
      </c>
      <c r="C15" s="2022">
        <v>1718838.6</v>
      </c>
      <c r="D15" s="2022">
        <v>0</v>
      </c>
      <c r="E15" s="2022">
        <v>1731227.52</v>
      </c>
      <c r="F15" s="2022">
        <v>0</v>
      </c>
      <c r="G15" s="2022">
        <f t="shared" si="1"/>
        <v>1731227.52</v>
      </c>
      <c r="H15" s="2022">
        <v>0</v>
      </c>
      <c r="I15" s="2011">
        <f t="shared" si="0"/>
        <v>1731227.52</v>
      </c>
      <c r="J15" s="2022"/>
      <c r="K15" s="2463"/>
    </row>
    <row r="16" spans="1:89" x14ac:dyDescent="0.2">
      <c r="A16" s="2020" t="s">
        <v>4836</v>
      </c>
      <c r="B16" s="2020" t="s">
        <v>4837</v>
      </c>
      <c r="C16" s="2022">
        <v>174768</v>
      </c>
      <c r="D16" s="2022">
        <v>0</v>
      </c>
      <c r="E16" s="2022">
        <v>136320</v>
      </c>
      <c r="F16" s="2022">
        <v>0</v>
      </c>
      <c r="G16" s="2022">
        <f t="shared" si="1"/>
        <v>136320</v>
      </c>
      <c r="H16" s="2022">
        <v>0</v>
      </c>
      <c r="I16" s="2011">
        <f t="shared" si="0"/>
        <v>136320</v>
      </c>
      <c r="J16" s="2022"/>
      <c r="K16" s="2463"/>
    </row>
    <row r="17" spans="1:89" x14ac:dyDescent="0.2">
      <c r="A17" s="2020" t="s">
        <v>4838</v>
      </c>
      <c r="B17" s="2020" t="s">
        <v>4839</v>
      </c>
      <c r="C17" s="2022">
        <v>572949.6</v>
      </c>
      <c r="D17" s="2022">
        <v>0</v>
      </c>
      <c r="E17" s="2022">
        <v>530161.11</v>
      </c>
      <c r="F17" s="2022">
        <v>0</v>
      </c>
      <c r="G17" s="2022">
        <f t="shared" si="1"/>
        <v>530161.11</v>
      </c>
      <c r="H17" s="2022">
        <v>0</v>
      </c>
      <c r="I17" s="2011">
        <f t="shared" si="0"/>
        <v>530161.11</v>
      </c>
      <c r="J17" s="2022"/>
      <c r="K17" s="2463"/>
    </row>
    <row r="18" spans="1:89" x14ac:dyDescent="0.2">
      <c r="A18" s="2020" t="s">
        <v>4840</v>
      </c>
      <c r="B18" s="2020" t="s">
        <v>6016</v>
      </c>
      <c r="C18" s="2022">
        <v>24665.56</v>
      </c>
      <c r="D18" s="2022">
        <v>0</v>
      </c>
      <c r="E18" s="2022">
        <v>22477.58</v>
      </c>
      <c r="F18" s="2022">
        <v>0</v>
      </c>
      <c r="G18" s="2022">
        <f t="shared" si="1"/>
        <v>22477.58</v>
      </c>
      <c r="H18" s="2022">
        <v>0</v>
      </c>
      <c r="I18" s="2011">
        <f t="shared" si="0"/>
        <v>22477.58</v>
      </c>
      <c r="J18" s="2022"/>
      <c r="K18" s="2463"/>
    </row>
    <row r="19" spans="1:89" x14ac:dyDescent="0.2">
      <c r="A19" s="2020" t="s">
        <v>4842</v>
      </c>
      <c r="B19" s="2020" t="s">
        <v>6017</v>
      </c>
      <c r="C19" s="2022">
        <v>34370.6</v>
      </c>
      <c r="D19" s="2022">
        <v>0</v>
      </c>
      <c r="E19" s="2022">
        <v>49965.279999999999</v>
      </c>
      <c r="F19" s="2022">
        <v>0</v>
      </c>
      <c r="G19" s="2022">
        <f t="shared" si="1"/>
        <v>49965.279999999999</v>
      </c>
      <c r="H19" s="2022">
        <v>0</v>
      </c>
      <c r="I19" s="2011">
        <f t="shared" si="0"/>
        <v>49965.279999999999</v>
      </c>
      <c r="J19" s="2022"/>
      <c r="K19" s="2463"/>
    </row>
    <row r="20" spans="1:89" x14ac:dyDescent="0.2">
      <c r="A20" s="2020" t="s">
        <v>4844</v>
      </c>
      <c r="B20" s="2020" t="s">
        <v>6018</v>
      </c>
      <c r="C20" s="2022">
        <v>75796.19</v>
      </c>
      <c r="D20" s="2022">
        <v>0</v>
      </c>
      <c r="E20" s="2022">
        <v>129577.82</v>
      </c>
      <c r="F20" s="2022">
        <v>0</v>
      </c>
      <c r="G20" s="2022">
        <f t="shared" si="1"/>
        <v>129577.82</v>
      </c>
      <c r="H20" s="2022">
        <v>0</v>
      </c>
      <c r="I20" s="2011">
        <f t="shared" si="0"/>
        <v>129577.82</v>
      </c>
      <c r="J20" s="2022"/>
      <c r="K20" s="2463"/>
    </row>
    <row r="21" spans="1:89" x14ac:dyDescent="0.2">
      <c r="A21" s="2020" t="s">
        <v>4846</v>
      </c>
      <c r="B21" s="2020" t="s">
        <v>6019</v>
      </c>
      <c r="C21" s="2022">
        <v>28716.87</v>
      </c>
      <c r="D21" s="2022">
        <v>0</v>
      </c>
      <c r="E21" s="2022">
        <f>274949.63+AM21+AN21</f>
        <v>497682.20999999996</v>
      </c>
      <c r="F21" s="2022">
        <v>0</v>
      </c>
      <c r="G21" s="2022">
        <f t="shared" si="1"/>
        <v>497682.20999999996</v>
      </c>
      <c r="H21" s="2022">
        <v>0</v>
      </c>
      <c r="I21" s="2011">
        <f t="shared" si="0"/>
        <v>497682.20999999996</v>
      </c>
      <c r="J21" s="2022"/>
      <c r="K21" s="2463"/>
      <c r="AM21" s="2022">
        <v>200</v>
      </c>
      <c r="AN21" s="2022">
        <v>222532.58</v>
      </c>
    </row>
    <row r="22" spans="1:89" x14ac:dyDescent="0.2">
      <c r="A22" s="2020" t="s">
        <v>4848</v>
      </c>
      <c r="B22" s="2020" t="s">
        <v>6020</v>
      </c>
      <c r="C22" s="2022">
        <v>28051.51</v>
      </c>
      <c r="D22" s="2022">
        <v>0</v>
      </c>
      <c r="E22" s="2022">
        <v>0</v>
      </c>
      <c r="F22" s="2022">
        <v>0</v>
      </c>
      <c r="G22" s="2022">
        <f t="shared" si="1"/>
        <v>0</v>
      </c>
      <c r="H22" s="2022">
        <v>0</v>
      </c>
      <c r="I22" s="2011">
        <f t="shared" si="0"/>
        <v>0</v>
      </c>
      <c r="J22" s="2022"/>
      <c r="K22" s="2463"/>
    </row>
    <row r="23" spans="1:89" x14ac:dyDescent="0.2">
      <c r="A23" s="2020" t="s">
        <v>4852</v>
      </c>
      <c r="B23" s="2020" t="s">
        <v>6021</v>
      </c>
      <c r="C23" s="2022">
        <v>631.6</v>
      </c>
      <c r="D23" s="2022">
        <v>0</v>
      </c>
      <c r="E23" s="2022">
        <v>534.69000000000005</v>
      </c>
      <c r="F23" s="2022">
        <v>0</v>
      </c>
      <c r="G23" s="2022">
        <f t="shared" si="1"/>
        <v>534.69000000000005</v>
      </c>
      <c r="H23" s="2022">
        <v>0</v>
      </c>
      <c r="I23" s="2011">
        <f t="shared" si="0"/>
        <v>534.69000000000005</v>
      </c>
      <c r="J23" s="2022"/>
      <c r="K23" s="2463"/>
    </row>
    <row r="24" spans="1:89" x14ac:dyDescent="0.2">
      <c r="A24" s="2020" t="s">
        <v>4854</v>
      </c>
      <c r="B24" s="2020" t="s">
        <v>6022</v>
      </c>
      <c r="C24" s="2022">
        <v>7450.29</v>
      </c>
      <c r="D24" s="2022">
        <v>0</v>
      </c>
      <c r="E24" s="2022">
        <v>0</v>
      </c>
      <c r="F24" s="2022">
        <v>0</v>
      </c>
      <c r="G24" s="2022">
        <f t="shared" si="1"/>
        <v>0</v>
      </c>
      <c r="H24" s="2022">
        <v>0</v>
      </c>
      <c r="I24" s="2011">
        <f t="shared" si="0"/>
        <v>0</v>
      </c>
      <c r="J24" s="2022"/>
      <c r="K24" s="2463"/>
    </row>
    <row r="25" spans="1:89" x14ac:dyDescent="0.2">
      <c r="A25" s="2020" t="s">
        <v>4856</v>
      </c>
      <c r="B25" s="2020" t="s">
        <v>6023</v>
      </c>
      <c r="C25" s="2022">
        <v>400000</v>
      </c>
      <c r="D25" s="2022">
        <v>0</v>
      </c>
      <c r="E25" s="2022">
        <f>278984.65+AM25</f>
        <v>284082.40000000002</v>
      </c>
      <c r="F25" s="2022">
        <v>-698</v>
      </c>
      <c r="G25" s="2022">
        <f t="shared" si="1"/>
        <v>283384.40000000002</v>
      </c>
      <c r="H25" s="2022">
        <v>0</v>
      </c>
      <c r="I25" s="2011">
        <f t="shared" si="0"/>
        <v>283384.40000000002</v>
      </c>
      <c r="J25" s="2022"/>
      <c r="K25" s="2463"/>
      <c r="AM25" s="2022">
        <v>5097.75</v>
      </c>
    </row>
    <row r="26" spans="1:89" x14ac:dyDescent="0.2">
      <c r="A26" s="2020" t="s">
        <v>4858</v>
      </c>
      <c r="B26" s="2020" t="s">
        <v>6024</v>
      </c>
      <c r="C26" s="2022">
        <v>24230</v>
      </c>
      <c r="D26" s="2022">
        <v>0</v>
      </c>
      <c r="E26" s="2022">
        <v>21751.54</v>
      </c>
      <c r="F26" s="2022">
        <v>0</v>
      </c>
      <c r="G26" s="2022">
        <f t="shared" si="1"/>
        <v>21751.54</v>
      </c>
      <c r="H26" s="2022">
        <v>0</v>
      </c>
      <c r="I26" s="2011">
        <f t="shared" si="0"/>
        <v>21751.54</v>
      </c>
      <c r="J26" s="2022"/>
      <c r="K26" s="2463"/>
    </row>
    <row r="27" spans="1:89" x14ac:dyDescent="0.2">
      <c r="A27" s="2020" t="s">
        <v>4860</v>
      </c>
      <c r="B27" s="2020" t="s">
        <v>6025</v>
      </c>
      <c r="C27" s="2022">
        <v>2120</v>
      </c>
      <c r="D27" s="2022">
        <v>0</v>
      </c>
      <c r="E27" s="2022">
        <v>2120</v>
      </c>
      <c r="F27" s="2022">
        <v>0</v>
      </c>
      <c r="G27" s="2022">
        <f t="shared" si="1"/>
        <v>2120</v>
      </c>
      <c r="H27" s="2022">
        <v>0</v>
      </c>
      <c r="I27" s="2011">
        <f t="shared" si="0"/>
        <v>2120</v>
      </c>
      <c r="J27" s="2022"/>
      <c r="K27" s="2463"/>
    </row>
    <row r="28" spans="1:89" s="2100" customFormat="1" x14ac:dyDescent="0.2">
      <c r="A28" s="2106" t="s">
        <v>4866</v>
      </c>
      <c r="C28" s="2022">
        <v>0</v>
      </c>
      <c r="D28" s="2022">
        <v>0</v>
      </c>
      <c r="E28" s="2022">
        <f>AZ28+BA28</f>
        <v>21369430.350000001</v>
      </c>
      <c r="F28" s="2022">
        <v>0</v>
      </c>
      <c r="G28" s="2022">
        <f t="shared" ref="G28" si="2">SUM(D28:F28)</f>
        <v>21369430.350000001</v>
      </c>
      <c r="H28" s="2022">
        <v>1</v>
      </c>
      <c r="I28" s="2011">
        <f t="shared" ref="I28" si="3">SUM(E28:F28)</f>
        <v>21369430.350000001</v>
      </c>
      <c r="J28" s="2022"/>
      <c r="K28" s="2463"/>
      <c r="L28" s="2022"/>
      <c r="M28" s="2022"/>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c r="AL28" s="2022"/>
      <c r="AM28" s="2022"/>
      <c r="AN28" s="2022"/>
      <c r="AO28" s="2022"/>
      <c r="AP28" s="2022"/>
      <c r="AQ28" s="2022"/>
      <c r="AR28" s="2022"/>
      <c r="AS28" s="2022"/>
      <c r="AT28" s="2022"/>
      <c r="AU28" s="2022"/>
      <c r="AV28" s="2558"/>
      <c r="AW28" s="2022"/>
      <c r="AX28" s="2022"/>
      <c r="AY28" s="2022"/>
      <c r="AZ28" s="2022">
        <f>21218923-3487.63</f>
        <v>21215435.370000001</v>
      </c>
      <c r="BA28" s="2022">
        <f>-BA665+137214</f>
        <v>153994.98000000001</v>
      </c>
      <c r="BB28" s="2022"/>
      <c r="BC28" s="2022"/>
      <c r="BD28" s="2022"/>
      <c r="BE28" s="2022"/>
      <c r="BF28" s="2022"/>
      <c r="BG28" s="2022"/>
      <c r="BH28" s="2022"/>
      <c r="BI28" s="2728"/>
      <c r="BJ28" s="2728"/>
      <c r="BK28" s="2728"/>
      <c r="BL28" s="2728"/>
      <c r="BM28" s="2728"/>
      <c r="BN28" s="2728"/>
      <c r="BO28" s="2728"/>
      <c r="BP28" s="2728"/>
      <c r="BQ28" s="2728"/>
      <c r="BR28" s="2728"/>
      <c r="BS28" s="2632"/>
      <c r="BT28" s="2632"/>
      <c r="BU28" s="2728"/>
      <c r="BV28" s="2728"/>
      <c r="BW28" s="2632"/>
      <c r="BX28" s="2632"/>
      <c r="BY28" s="2632"/>
      <c r="BZ28" s="2632"/>
      <c r="CA28" s="2632"/>
      <c r="CB28" s="2728"/>
      <c r="CC28" s="2632"/>
      <c r="CD28" s="2632"/>
      <c r="CE28" s="2632"/>
      <c r="CF28" s="2632"/>
      <c r="CG28" s="2728"/>
      <c r="CH28" s="2728"/>
      <c r="CI28" s="2632"/>
      <c r="CJ28" s="2632"/>
      <c r="CK28" s="2632"/>
    </row>
    <row r="29" spans="1:89" x14ac:dyDescent="0.2">
      <c r="A29" s="2020" t="s">
        <v>4870</v>
      </c>
      <c r="B29" s="2020" t="s">
        <v>6026</v>
      </c>
      <c r="C29" s="2022">
        <v>31800</v>
      </c>
      <c r="D29" s="2022">
        <v>0</v>
      </c>
      <c r="E29" s="2022">
        <v>91736.66</v>
      </c>
      <c r="F29" s="2022">
        <v>0</v>
      </c>
      <c r="G29" s="2022">
        <f t="shared" si="1"/>
        <v>91736.66</v>
      </c>
      <c r="H29" s="2022">
        <v>0</v>
      </c>
      <c r="I29" s="2011">
        <f t="shared" si="0"/>
        <v>91736.66</v>
      </c>
      <c r="J29" s="2022"/>
      <c r="K29" s="2463"/>
    </row>
    <row r="30" spans="1:89" x14ac:dyDescent="0.2">
      <c r="A30" s="2020" t="s">
        <v>4872</v>
      </c>
      <c r="B30" s="2020" t="s">
        <v>4873</v>
      </c>
      <c r="C30" s="2022">
        <v>2663.7</v>
      </c>
      <c r="D30" s="2022">
        <v>0</v>
      </c>
      <c r="E30" s="2022">
        <f>1370.45+R30</f>
        <v>0</v>
      </c>
      <c r="F30" s="2022">
        <v>0</v>
      </c>
      <c r="G30" s="2022">
        <f t="shared" si="1"/>
        <v>0</v>
      </c>
      <c r="H30" s="2022">
        <v>0</v>
      </c>
      <c r="I30" s="2011">
        <f t="shared" si="0"/>
        <v>0</v>
      </c>
      <c r="J30" s="2022"/>
      <c r="K30" s="2463"/>
      <c r="R30" s="2022">
        <v>-1370.45</v>
      </c>
    </row>
    <row r="31" spans="1:89" x14ac:dyDescent="0.2">
      <c r="A31" s="2020" t="s">
        <v>4874</v>
      </c>
      <c r="B31" s="2020" t="s">
        <v>6027</v>
      </c>
      <c r="C31" s="2022">
        <v>19902</v>
      </c>
      <c r="D31" s="2022">
        <v>0</v>
      </c>
      <c r="E31" s="2022">
        <f>49199.17+V31+AO31</f>
        <v>72164.47</v>
      </c>
      <c r="F31" s="2022">
        <v>-11096.1</v>
      </c>
      <c r="G31" s="2022">
        <f t="shared" si="1"/>
        <v>61068.37</v>
      </c>
      <c r="H31" s="2022">
        <v>0</v>
      </c>
      <c r="I31" s="2011">
        <f t="shared" si="0"/>
        <v>61068.37</v>
      </c>
      <c r="J31" s="2022"/>
      <c r="K31" s="2463"/>
      <c r="V31" s="2022">
        <v>6250</v>
      </c>
      <c r="AO31" s="2022">
        <v>16715.3</v>
      </c>
    </row>
    <row r="32" spans="1:89" x14ac:dyDescent="0.2">
      <c r="A32" s="2020" t="s">
        <v>4876</v>
      </c>
      <c r="B32" s="2020" t="s">
        <v>6028</v>
      </c>
      <c r="C32" s="2022">
        <v>9600</v>
      </c>
      <c r="D32" s="2022">
        <v>0</v>
      </c>
      <c r="E32" s="2022">
        <f>4800+Z32</f>
        <v>100560</v>
      </c>
      <c r="F32" s="2022">
        <v>0</v>
      </c>
      <c r="G32" s="2022">
        <f t="shared" si="1"/>
        <v>100560</v>
      </c>
      <c r="H32" s="2022">
        <v>0</v>
      </c>
      <c r="I32" s="2011">
        <f t="shared" si="0"/>
        <v>100560</v>
      </c>
      <c r="J32" s="2022"/>
      <c r="K32" s="2463"/>
      <c r="Z32" s="2022">
        <v>95760</v>
      </c>
    </row>
    <row r="33" spans="1:39" x14ac:dyDescent="0.2">
      <c r="A33" s="2020" t="s">
        <v>4878</v>
      </c>
      <c r="B33" s="2020" t="s">
        <v>6029</v>
      </c>
      <c r="C33" s="2022">
        <v>400000</v>
      </c>
      <c r="D33" s="2022">
        <v>0</v>
      </c>
      <c r="E33" s="2022">
        <f>448844.58+AJ33+AM33</f>
        <v>465505.34</v>
      </c>
      <c r="F33" s="2022">
        <v>-1873.4</v>
      </c>
      <c r="G33" s="2022">
        <f t="shared" si="1"/>
        <v>463631.94</v>
      </c>
      <c r="H33" s="2022">
        <v>0</v>
      </c>
      <c r="I33" s="2011">
        <f t="shared" si="0"/>
        <v>463631.94</v>
      </c>
      <c r="J33" s="2022"/>
      <c r="K33" s="2463"/>
      <c r="AJ33" s="2022">
        <f>80+560</f>
        <v>640</v>
      </c>
      <c r="AM33" s="2022">
        <v>16020.76</v>
      </c>
    </row>
    <row r="34" spans="1:39" x14ac:dyDescent="0.2">
      <c r="A34" s="2020" t="s">
        <v>4880</v>
      </c>
      <c r="B34" s="2020" t="s">
        <v>6030</v>
      </c>
      <c r="C34" s="2022">
        <v>10985.94</v>
      </c>
      <c r="D34" s="2022">
        <v>0</v>
      </c>
      <c r="E34" s="2022">
        <v>7941.83</v>
      </c>
      <c r="F34" s="2022">
        <v>0</v>
      </c>
      <c r="G34" s="2022">
        <f t="shared" si="1"/>
        <v>7941.83</v>
      </c>
      <c r="H34" s="2022">
        <v>0</v>
      </c>
      <c r="I34" s="2011">
        <f t="shared" si="0"/>
        <v>7941.83</v>
      </c>
      <c r="J34" s="2022"/>
      <c r="K34" s="2463"/>
    </row>
    <row r="35" spans="1:39" x14ac:dyDescent="0.2">
      <c r="A35" s="2020" t="s">
        <v>4886</v>
      </c>
      <c r="B35" s="2020" t="s">
        <v>6031</v>
      </c>
      <c r="C35" s="2022">
        <v>1017.96</v>
      </c>
      <c r="D35" s="2022">
        <v>0</v>
      </c>
      <c r="E35" s="2022">
        <f>1808.25+Z35</f>
        <v>7528.25</v>
      </c>
      <c r="F35" s="2022">
        <v>0</v>
      </c>
      <c r="G35" s="2022">
        <f t="shared" si="1"/>
        <v>7528.25</v>
      </c>
      <c r="H35" s="2022">
        <v>0</v>
      </c>
      <c r="I35" s="2011">
        <f t="shared" si="0"/>
        <v>7528.25</v>
      </c>
      <c r="J35" s="2022"/>
      <c r="K35" s="2463"/>
      <c r="Z35" s="2022">
        <v>5720</v>
      </c>
    </row>
    <row r="36" spans="1:39" x14ac:dyDescent="0.2">
      <c r="A36" s="2020" t="s">
        <v>4888</v>
      </c>
      <c r="B36" s="2020" t="s">
        <v>6032</v>
      </c>
      <c r="C36" s="2022">
        <v>2018.91</v>
      </c>
      <c r="D36" s="2022">
        <v>0</v>
      </c>
      <c r="E36" s="2022">
        <v>5000</v>
      </c>
      <c r="F36" s="2022">
        <v>0</v>
      </c>
      <c r="G36" s="2022">
        <f t="shared" si="1"/>
        <v>5000</v>
      </c>
      <c r="H36" s="2022">
        <v>0</v>
      </c>
      <c r="I36" s="2011">
        <f t="shared" si="0"/>
        <v>5000</v>
      </c>
      <c r="J36" s="2022"/>
      <c r="K36" s="2463"/>
    </row>
    <row r="37" spans="1:39" x14ac:dyDescent="0.2">
      <c r="A37" s="2020" t="s">
        <v>4890</v>
      </c>
      <c r="B37" s="2020" t="s">
        <v>6033</v>
      </c>
      <c r="C37" s="2022">
        <v>1639.88</v>
      </c>
      <c r="D37" s="2022">
        <v>0</v>
      </c>
      <c r="E37" s="2022">
        <f>314.47+R37</f>
        <v>0</v>
      </c>
      <c r="F37" s="2022">
        <f>-1600+S37</f>
        <v>0</v>
      </c>
      <c r="G37" s="2022">
        <v>0</v>
      </c>
      <c r="H37" s="2022">
        <v>-1285.53</v>
      </c>
      <c r="I37" s="2011">
        <f t="shared" si="0"/>
        <v>0</v>
      </c>
      <c r="J37" s="2022"/>
      <c r="K37" s="2463"/>
      <c r="R37" s="2022">
        <v>-314.47000000000003</v>
      </c>
      <c r="S37" s="2022">
        <v>1600</v>
      </c>
    </row>
    <row r="38" spans="1:39" x14ac:dyDescent="0.2">
      <c r="A38" s="2020" t="s">
        <v>4892</v>
      </c>
      <c r="B38" s="2020" t="s">
        <v>4893</v>
      </c>
      <c r="C38" s="2022">
        <v>1688.6</v>
      </c>
      <c r="D38" s="2022">
        <v>0</v>
      </c>
      <c r="E38" s="2022">
        <v>0</v>
      </c>
      <c r="F38" s="2022">
        <v>0</v>
      </c>
      <c r="G38" s="2022">
        <v>0</v>
      </c>
      <c r="H38" s="2022">
        <v>0</v>
      </c>
      <c r="I38" s="2011">
        <f t="shared" si="0"/>
        <v>0</v>
      </c>
      <c r="J38" s="2022"/>
      <c r="K38" s="2463"/>
    </row>
    <row r="39" spans="1:39" x14ac:dyDescent="0.2">
      <c r="A39" s="2020" t="s">
        <v>4894</v>
      </c>
      <c r="B39" s="2020" t="s">
        <v>6034</v>
      </c>
      <c r="C39" s="2022">
        <v>87259.74</v>
      </c>
      <c r="D39" s="2022">
        <v>0</v>
      </c>
      <c r="E39" s="2022">
        <v>46569.87</v>
      </c>
      <c r="F39" s="2022">
        <v>0</v>
      </c>
      <c r="G39" s="2022">
        <v>46569.87</v>
      </c>
      <c r="H39" s="2022">
        <v>0</v>
      </c>
      <c r="I39" s="2011">
        <f t="shared" si="0"/>
        <v>46569.87</v>
      </c>
      <c r="J39" s="2022"/>
      <c r="K39" s="2463"/>
    </row>
    <row r="40" spans="1:39" x14ac:dyDescent="0.2">
      <c r="A40" s="2020" t="s">
        <v>4896</v>
      </c>
      <c r="B40" s="2020" t="s">
        <v>6035</v>
      </c>
      <c r="C40" s="2022">
        <v>36928.29</v>
      </c>
      <c r="D40" s="2022">
        <v>0</v>
      </c>
      <c r="E40" s="2022">
        <v>0</v>
      </c>
      <c r="F40" s="2022">
        <v>0</v>
      </c>
      <c r="G40" s="2022">
        <v>0</v>
      </c>
      <c r="H40" s="2022">
        <v>0</v>
      </c>
      <c r="I40" s="2011">
        <f t="shared" si="0"/>
        <v>0</v>
      </c>
      <c r="J40" s="2022"/>
      <c r="K40" s="2463"/>
    </row>
    <row r="41" spans="1:39" x14ac:dyDescent="0.2">
      <c r="A41" s="2020" t="s">
        <v>4898</v>
      </c>
      <c r="B41" s="2020" t="s">
        <v>6036</v>
      </c>
      <c r="C41" s="2022">
        <v>2687.09</v>
      </c>
      <c r="D41" s="2022">
        <v>0</v>
      </c>
      <c r="E41" s="2022">
        <v>0</v>
      </c>
      <c r="F41" s="2022">
        <v>0</v>
      </c>
      <c r="G41" s="2022">
        <v>0</v>
      </c>
      <c r="H41" s="2022">
        <v>0</v>
      </c>
      <c r="I41" s="2011">
        <f t="shared" si="0"/>
        <v>0</v>
      </c>
      <c r="J41" s="2022"/>
      <c r="K41" s="2463"/>
    </row>
    <row r="42" spans="1:39" x14ac:dyDescent="0.2">
      <c r="A42" s="2020" t="s">
        <v>4900</v>
      </c>
      <c r="B42" s="2020" t="s">
        <v>6037</v>
      </c>
      <c r="C42" s="2022">
        <v>-2810723.2</v>
      </c>
      <c r="D42" s="2022">
        <v>0</v>
      </c>
      <c r="E42" s="2022">
        <v>0</v>
      </c>
      <c r="F42" s="2022">
        <v>0</v>
      </c>
      <c r="G42" s="2022">
        <v>0</v>
      </c>
      <c r="H42" s="2022">
        <v>0</v>
      </c>
      <c r="I42" s="2011">
        <f t="shared" si="0"/>
        <v>0</v>
      </c>
      <c r="J42" s="2022"/>
      <c r="K42" s="2463"/>
    </row>
    <row r="43" spans="1:39" x14ac:dyDescent="0.2">
      <c r="A43" s="2020" t="s">
        <v>4902</v>
      </c>
      <c r="B43" s="2020" t="s">
        <v>6038</v>
      </c>
      <c r="C43" s="2022">
        <v>-2601388.5499999998</v>
      </c>
      <c r="D43" s="2022">
        <v>0</v>
      </c>
      <c r="E43" s="2022">
        <v>0</v>
      </c>
      <c r="F43" s="2022">
        <v>0</v>
      </c>
      <c r="G43" s="2022">
        <v>0</v>
      </c>
      <c r="H43" s="2022">
        <v>0</v>
      </c>
      <c r="I43" s="2011">
        <f t="shared" si="0"/>
        <v>0</v>
      </c>
      <c r="J43" s="2022"/>
      <c r="K43" s="2463"/>
    </row>
    <row r="44" spans="1:39" x14ac:dyDescent="0.2">
      <c r="A44" s="2020" t="s">
        <v>4904</v>
      </c>
      <c r="B44" s="2020" t="s">
        <v>6003</v>
      </c>
      <c r="C44" s="2022">
        <v>632000.04</v>
      </c>
      <c r="D44" s="2022">
        <v>0</v>
      </c>
      <c r="E44" s="2022">
        <v>649031.04</v>
      </c>
      <c r="F44" s="2022">
        <v>0</v>
      </c>
      <c r="G44" s="2022">
        <v>649031.04</v>
      </c>
      <c r="H44" s="2022">
        <v>0</v>
      </c>
      <c r="I44" s="2011">
        <f t="shared" si="0"/>
        <v>649031.04</v>
      </c>
      <c r="J44" s="2022"/>
      <c r="K44" s="2463"/>
    </row>
    <row r="45" spans="1:39" x14ac:dyDescent="0.2">
      <c r="A45" s="2020" t="s">
        <v>4905</v>
      </c>
      <c r="B45" s="2020" t="s">
        <v>6039</v>
      </c>
      <c r="C45" s="2022">
        <v>89000</v>
      </c>
      <c r="D45" s="2022">
        <v>0</v>
      </c>
      <c r="E45" s="2022">
        <v>0</v>
      </c>
      <c r="F45" s="2022">
        <v>0</v>
      </c>
      <c r="G45" s="2022">
        <v>0</v>
      </c>
      <c r="H45" s="2022">
        <v>0</v>
      </c>
      <c r="I45" s="2011">
        <f t="shared" si="0"/>
        <v>0</v>
      </c>
      <c r="J45" s="2022"/>
      <c r="K45" s="2463"/>
    </row>
    <row r="46" spans="1:39" x14ac:dyDescent="0.2">
      <c r="A46" s="2020" t="s">
        <v>4906</v>
      </c>
      <c r="B46" s="2020" t="s">
        <v>6004</v>
      </c>
      <c r="C46" s="2022">
        <v>6902</v>
      </c>
      <c r="D46" s="2022">
        <v>0</v>
      </c>
      <c r="E46" s="2022">
        <v>8596.6200000000008</v>
      </c>
      <c r="F46" s="2022">
        <v>0</v>
      </c>
      <c r="G46" s="2022">
        <v>8596.6200000000008</v>
      </c>
      <c r="H46" s="2022">
        <v>0</v>
      </c>
      <c r="I46" s="2011">
        <f t="shared" si="0"/>
        <v>8596.6200000000008</v>
      </c>
      <c r="J46" s="2022"/>
      <c r="K46" s="2463"/>
    </row>
    <row r="47" spans="1:39" x14ac:dyDescent="0.2">
      <c r="A47" s="2020" t="s">
        <v>4907</v>
      </c>
      <c r="B47" s="2020" t="s">
        <v>6005</v>
      </c>
      <c r="C47" s="2022">
        <v>3656.4</v>
      </c>
      <c r="D47" s="2022">
        <v>0</v>
      </c>
      <c r="E47" s="2022">
        <v>3656.4</v>
      </c>
      <c r="F47" s="2022">
        <v>0</v>
      </c>
      <c r="G47" s="2022">
        <v>3656.4</v>
      </c>
      <c r="H47" s="2022">
        <v>0</v>
      </c>
      <c r="I47" s="2011">
        <f t="shared" si="0"/>
        <v>3656.4</v>
      </c>
      <c r="J47" s="2022"/>
      <c r="K47" s="2463"/>
    </row>
    <row r="48" spans="1:39" x14ac:dyDescent="0.2">
      <c r="A48" s="2020" t="s">
        <v>4908</v>
      </c>
      <c r="B48" s="2020" t="s">
        <v>6006</v>
      </c>
      <c r="C48" s="2022">
        <v>3969.6</v>
      </c>
      <c r="D48" s="2022">
        <v>0</v>
      </c>
      <c r="E48" s="2022">
        <v>3969.6</v>
      </c>
      <c r="F48" s="2022">
        <v>0</v>
      </c>
      <c r="G48" s="2022">
        <v>3969.6</v>
      </c>
      <c r="H48" s="2022">
        <v>0</v>
      </c>
      <c r="I48" s="2011">
        <f t="shared" si="0"/>
        <v>3969.6</v>
      </c>
      <c r="J48" s="2022"/>
      <c r="K48" s="2463"/>
    </row>
    <row r="49" spans="1:89" s="2100" customFormat="1" x14ac:dyDescent="0.2">
      <c r="A49" s="2106" t="s">
        <v>4909</v>
      </c>
      <c r="C49" s="2022"/>
      <c r="D49" s="2022"/>
      <c r="E49" s="2022">
        <f>BH49</f>
        <v>135460.98000000001</v>
      </c>
      <c r="F49" s="2022">
        <v>0</v>
      </c>
      <c r="G49" s="2022"/>
      <c r="H49" s="2022"/>
      <c r="I49" s="2011">
        <f t="shared" si="0"/>
        <v>135460.98000000001</v>
      </c>
      <c r="J49" s="2022"/>
      <c r="K49" s="2463"/>
      <c r="L49" s="2022"/>
      <c r="M49" s="2022"/>
      <c r="N49" s="2022"/>
      <c r="O49" s="2022"/>
      <c r="P49" s="2022"/>
      <c r="Q49" s="2022"/>
      <c r="R49" s="2022"/>
      <c r="S49" s="2022"/>
      <c r="T49" s="2022"/>
      <c r="U49" s="2022"/>
      <c r="V49" s="2022"/>
      <c r="W49" s="2022"/>
      <c r="X49" s="2022"/>
      <c r="Y49" s="2022"/>
      <c r="Z49" s="2022"/>
      <c r="AA49" s="2022"/>
      <c r="AB49" s="2022"/>
      <c r="AC49" s="2022"/>
      <c r="AD49" s="2022"/>
      <c r="AE49" s="2022"/>
      <c r="AF49" s="2022"/>
      <c r="AG49" s="2022"/>
      <c r="AH49" s="2022"/>
      <c r="AI49" s="2022"/>
      <c r="AJ49" s="2022"/>
      <c r="AK49" s="2022"/>
      <c r="AL49" s="2022"/>
      <c r="AM49" s="2022"/>
      <c r="AN49" s="2022"/>
      <c r="AO49" s="2022"/>
      <c r="AP49" s="2022"/>
      <c r="AQ49" s="2022"/>
      <c r="AR49" s="2022"/>
      <c r="AS49" s="2022"/>
      <c r="AT49" s="2022"/>
      <c r="AU49" s="2022"/>
      <c r="AV49" s="2558"/>
      <c r="AW49" s="2022"/>
      <c r="AX49" s="2022"/>
      <c r="AY49" s="2022"/>
      <c r="AZ49" s="2022"/>
      <c r="BA49" s="2022"/>
      <c r="BB49" s="2022"/>
      <c r="BC49" s="2022"/>
      <c r="BD49" s="2022"/>
      <c r="BE49" s="2022"/>
      <c r="BF49" s="2022"/>
      <c r="BG49" s="2022"/>
      <c r="BH49" s="2022">
        <v>135460.98000000001</v>
      </c>
      <c r="BI49" s="2728"/>
      <c r="BJ49" s="2728"/>
      <c r="BK49" s="2728"/>
      <c r="BL49" s="2728"/>
      <c r="BM49" s="2728"/>
      <c r="BN49" s="2728"/>
      <c r="BO49" s="2728"/>
      <c r="BP49" s="2728"/>
      <c r="BQ49" s="2728"/>
      <c r="BR49" s="2728"/>
      <c r="BS49" s="2632"/>
      <c r="BT49" s="2632"/>
      <c r="BU49" s="2728"/>
      <c r="BV49" s="2728"/>
      <c r="BW49" s="2632"/>
      <c r="BX49" s="2632"/>
      <c r="BY49" s="2632"/>
      <c r="BZ49" s="2632"/>
      <c r="CA49" s="2632"/>
      <c r="CB49" s="2728"/>
      <c r="CC49" s="2632"/>
      <c r="CD49" s="2632"/>
      <c r="CE49" s="2632"/>
      <c r="CF49" s="2632"/>
      <c r="CG49" s="2728"/>
      <c r="CH49" s="2728"/>
      <c r="CI49" s="2632"/>
      <c r="CJ49" s="2632"/>
      <c r="CK49" s="2632"/>
    </row>
    <row r="50" spans="1:89" x14ac:dyDescent="0.2">
      <c r="A50" s="2020" t="s">
        <v>4910</v>
      </c>
      <c r="B50" s="2020" t="s">
        <v>6009</v>
      </c>
      <c r="C50" s="2022">
        <v>267000</v>
      </c>
      <c r="D50" s="2022">
        <v>0</v>
      </c>
      <c r="E50" s="2022">
        <v>168043.3</v>
      </c>
      <c r="F50" s="2022">
        <v>0</v>
      </c>
      <c r="G50" s="2022">
        <v>168043.3</v>
      </c>
      <c r="H50" s="2022">
        <v>0</v>
      </c>
      <c r="I50" s="2011">
        <f t="shared" si="0"/>
        <v>168043.3</v>
      </c>
      <c r="J50" s="2022"/>
      <c r="K50" s="2463"/>
    </row>
    <row r="51" spans="1:89" x14ac:dyDescent="0.2">
      <c r="A51" s="2020" t="s">
        <v>4911</v>
      </c>
      <c r="B51" s="2020" t="s">
        <v>6010</v>
      </c>
      <c r="C51" s="2022">
        <v>22356.6</v>
      </c>
      <c r="D51" s="2022">
        <v>0</v>
      </c>
      <c r="E51" s="2022">
        <v>22340.2</v>
      </c>
      <c r="F51" s="2022">
        <v>0</v>
      </c>
      <c r="G51" s="2022">
        <v>22340.2</v>
      </c>
      <c r="H51" s="2022">
        <v>0</v>
      </c>
      <c r="I51" s="2011">
        <f t="shared" si="0"/>
        <v>22340.2</v>
      </c>
      <c r="J51" s="2022"/>
      <c r="K51" s="2463"/>
    </row>
    <row r="52" spans="1:89" x14ac:dyDescent="0.2">
      <c r="A52" s="2020" t="s">
        <v>4912</v>
      </c>
      <c r="B52" s="2020" t="s">
        <v>6011</v>
      </c>
      <c r="C52" s="2022">
        <v>8799.85</v>
      </c>
      <c r="D52" s="2022">
        <v>0</v>
      </c>
      <c r="E52" s="2022">
        <v>8263.9699999999993</v>
      </c>
      <c r="F52" s="2022">
        <v>0</v>
      </c>
      <c r="G52" s="2022">
        <v>8263.9699999999993</v>
      </c>
      <c r="H52" s="2022">
        <v>0</v>
      </c>
      <c r="I52" s="2011">
        <f t="shared" si="0"/>
        <v>8263.9699999999993</v>
      </c>
      <c r="J52" s="2022"/>
      <c r="K52" s="2463"/>
    </row>
    <row r="53" spans="1:89" x14ac:dyDescent="0.2">
      <c r="A53" s="2020" t="s">
        <v>4914</v>
      </c>
      <c r="B53" s="2020" t="s">
        <v>6012</v>
      </c>
      <c r="C53" s="2022">
        <v>14147.04</v>
      </c>
      <c r="D53" s="2022">
        <v>0</v>
      </c>
      <c r="E53" s="2022">
        <v>10229.040000000001</v>
      </c>
      <c r="F53" s="2022">
        <v>0</v>
      </c>
      <c r="G53" s="2022">
        <v>10229.040000000001</v>
      </c>
      <c r="H53" s="2022">
        <v>0</v>
      </c>
      <c r="I53" s="2011">
        <f t="shared" si="0"/>
        <v>10229.040000000001</v>
      </c>
      <c r="J53" s="2022"/>
      <c r="K53" s="2463"/>
    </row>
    <row r="54" spans="1:89" x14ac:dyDescent="0.2">
      <c r="A54" s="2020" t="s">
        <v>4915</v>
      </c>
      <c r="B54" s="2020" t="s">
        <v>6013</v>
      </c>
      <c r="C54" s="2022">
        <v>43469.86</v>
      </c>
      <c r="D54" s="2022">
        <v>0</v>
      </c>
      <c r="E54" s="2022">
        <v>56053.42</v>
      </c>
      <c r="F54" s="2022">
        <v>0</v>
      </c>
      <c r="G54" s="2022">
        <v>56053.42</v>
      </c>
      <c r="H54" s="2022">
        <v>0</v>
      </c>
      <c r="I54" s="2011">
        <f t="shared" si="0"/>
        <v>56053.42</v>
      </c>
      <c r="J54" s="2022"/>
      <c r="K54" s="2463"/>
    </row>
    <row r="55" spans="1:89" x14ac:dyDescent="0.2">
      <c r="A55" s="2020" t="s">
        <v>4916</v>
      </c>
      <c r="B55" s="2020" t="s">
        <v>6014</v>
      </c>
      <c r="C55" s="2022">
        <v>3379.22</v>
      </c>
      <c r="D55" s="2022">
        <v>0</v>
      </c>
      <c r="E55" s="2022">
        <v>2939.03</v>
      </c>
      <c r="F55" s="2022">
        <v>0</v>
      </c>
      <c r="G55" s="2022">
        <v>2939.03</v>
      </c>
      <c r="H55" s="2022">
        <v>0</v>
      </c>
      <c r="I55" s="2011">
        <f t="shared" si="0"/>
        <v>2939.03</v>
      </c>
      <c r="J55" s="2022"/>
      <c r="K55" s="2463"/>
    </row>
    <row r="56" spans="1:89" x14ac:dyDescent="0.2">
      <c r="A56" s="2020" t="s">
        <v>4917</v>
      </c>
      <c r="B56" s="2020" t="s">
        <v>6040</v>
      </c>
      <c r="C56" s="2022">
        <v>0</v>
      </c>
      <c r="D56" s="2022">
        <v>0</v>
      </c>
      <c r="E56" s="2022">
        <v>1000</v>
      </c>
      <c r="F56" s="2022">
        <v>0</v>
      </c>
      <c r="G56" s="2022">
        <v>1000</v>
      </c>
      <c r="H56" s="2022">
        <v>0</v>
      </c>
      <c r="I56" s="2011">
        <f t="shared" si="0"/>
        <v>1000</v>
      </c>
      <c r="J56" s="2022"/>
      <c r="K56" s="2463"/>
    </row>
    <row r="57" spans="1:89" x14ac:dyDescent="0.2">
      <c r="A57" s="2020" t="s">
        <v>4919</v>
      </c>
      <c r="B57" s="2020" t="s">
        <v>6021</v>
      </c>
      <c r="C57" s="2022">
        <v>35.08</v>
      </c>
      <c r="D57" s="2022">
        <v>0</v>
      </c>
      <c r="E57" s="2022">
        <v>17.54</v>
      </c>
      <c r="F57" s="2022">
        <v>0</v>
      </c>
      <c r="G57" s="2022">
        <v>17.54</v>
      </c>
      <c r="H57" s="2022">
        <v>0</v>
      </c>
      <c r="I57" s="2011">
        <f t="shared" si="0"/>
        <v>17.54</v>
      </c>
      <c r="J57" s="2022"/>
      <c r="K57" s="2463"/>
    </row>
    <row r="58" spans="1:89" s="2100" customFormat="1" x14ac:dyDescent="0.2">
      <c r="A58" s="2106" t="s">
        <v>4922</v>
      </c>
      <c r="C58" s="2022">
        <v>0</v>
      </c>
      <c r="D58" s="2022">
        <v>0</v>
      </c>
      <c r="E58" s="2022">
        <f>BA58</f>
        <v>131102</v>
      </c>
      <c r="F58" s="2022">
        <v>0</v>
      </c>
      <c r="G58" s="2022">
        <v>17.54</v>
      </c>
      <c r="H58" s="2022">
        <v>0</v>
      </c>
      <c r="I58" s="2011">
        <f t="shared" ref="I58" si="4">SUM(E58:F58)</f>
        <v>131102</v>
      </c>
      <c r="J58" s="2022"/>
      <c r="K58" s="2463"/>
      <c r="L58" s="2022"/>
      <c r="M58" s="2022"/>
      <c r="N58" s="2022"/>
      <c r="O58" s="2022"/>
      <c r="P58" s="2022"/>
      <c r="Q58" s="2022"/>
      <c r="R58" s="2022"/>
      <c r="S58" s="2022"/>
      <c r="T58" s="2022"/>
      <c r="U58" s="2022"/>
      <c r="V58" s="2022"/>
      <c r="W58" s="2022"/>
      <c r="X58" s="2022"/>
      <c r="Y58" s="2022"/>
      <c r="Z58" s="2022"/>
      <c r="AA58" s="2022"/>
      <c r="AB58" s="2022"/>
      <c r="AC58" s="2022"/>
      <c r="AD58" s="2022"/>
      <c r="AE58" s="2022"/>
      <c r="AF58" s="2022"/>
      <c r="AG58" s="2022"/>
      <c r="AH58" s="2022"/>
      <c r="AI58" s="2022"/>
      <c r="AJ58" s="2022"/>
      <c r="AK58" s="2022"/>
      <c r="AL58" s="2022"/>
      <c r="AM58" s="2022"/>
      <c r="AN58" s="2022"/>
      <c r="AO58" s="2022"/>
      <c r="AP58" s="2022"/>
      <c r="AQ58" s="2022"/>
      <c r="AR58" s="2022"/>
      <c r="AS58" s="2022"/>
      <c r="AT58" s="2022"/>
      <c r="AU58" s="2022"/>
      <c r="AV58" s="2558"/>
      <c r="AW58" s="2022"/>
      <c r="AX58" s="2022"/>
      <c r="AY58" s="2022"/>
      <c r="AZ58" s="2022"/>
      <c r="BA58" s="2022">
        <v>131102</v>
      </c>
      <c r="BB58" s="2022"/>
      <c r="BC58" s="2022"/>
      <c r="BD58" s="2022"/>
      <c r="BE58" s="2022"/>
      <c r="BF58" s="2022"/>
      <c r="BG58" s="2022"/>
      <c r="BH58" s="2022"/>
      <c r="BI58" s="2728"/>
      <c r="BJ58" s="2728"/>
      <c r="BK58" s="2728"/>
      <c r="BL58" s="2728"/>
      <c r="BM58" s="2728"/>
      <c r="BN58" s="2728"/>
      <c r="BO58" s="2728"/>
      <c r="BP58" s="2728"/>
      <c r="BQ58" s="2728"/>
      <c r="BR58" s="2728"/>
      <c r="BS58" s="2632"/>
      <c r="BT58" s="2632"/>
      <c r="BU58" s="2728"/>
      <c r="BV58" s="2728"/>
      <c r="BW58" s="2632"/>
      <c r="BX58" s="2632"/>
      <c r="BY58" s="2632"/>
      <c r="BZ58" s="2632"/>
      <c r="CA58" s="2632"/>
      <c r="CB58" s="2728"/>
      <c r="CC58" s="2632"/>
      <c r="CD58" s="2632"/>
      <c r="CE58" s="2632"/>
      <c r="CF58" s="2632"/>
      <c r="CG58" s="2728"/>
      <c r="CH58" s="2728"/>
      <c r="CI58" s="2632"/>
      <c r="CJ58" s="2632"/>
      <c r="CK58" s="2632"/>
    </row>
    <row r="59" spans="1:89" x14ac:dyDescent="0.2">
      <c r="A59" s="2020" t="s">
        <v>4925</v>
      </c>
      <c r="B59" s="2020" t="s">
        <v>6027</v>
      </c>
      <c r="C59" s="2022">
        <v>12346.38</v>
      </c>
      <c r="D59" s="2022">
        <v>0</v>
      </c>
      <c r="E59" s="2022">
        <f>74876.59+AM59</f>
        <v>87322.66</v>
      </c>
      <c r="F59" s="2022">
        <v>0</v>
      </c>
      <c r="G59" s="2022">
        <v>74876.59</v>
      </c>
      <c r="H59" s="2022">
        <v>0</v>
      </c>
      <c r="I59" s="2011">
        <f t="shared" si="0"/>
        <v>87322.66</v>
      </c>
      <c r="J59" s="2022"/>
      <c r="K59" s="2463"/>
      <c r="AM59" s="2022">
        <v>12446.07</v>
      </c>
    </row>
    <row r="60" spans="1:89" x14ac:dyDescent="0.2">
      <c r="A60" s="2020" t="s">
        <v>4926</v>
      </c>
      <c r="B60" s="2020" t="s">
        <v>6028</v>
      </c>
      <c r="C60" s="2022">
        <v>0</v>
      </c>
      <c r="D60" s="2022">
        <v>0</v>
      </c>
      <c r="E60" s="2022">
        <v>56400</v>
      </c>
      <c r="F60" s="2022">
        <v>0</v>
      </c>
      <c r="G60" s="2022">
        <v>56400</v>
      </c>
      <c r="H60" s="2022">
        <v>0</v>
      </c>
      <c r="I60" s="2011">
        <f t="shared" si="0"/>
        <v>56400</v>
      </c>
      <c r="J60" s="2022"/>
      <c r="K60" s="2463"/>
    </row>
    <row r="61" spans="1:89" x14ac:dyDescent="0.2">
      <c r="A61" s="2020" t="s">
        <v>4927</v>
      </c>
      <c r="B61" s="2020" t="s">
        <v>6029</v>
      </c>
      <c r="C61" s="2022">
        <v>180000</v>
      </c>
      <c r="D61" s="2022">
        <v>0</v>
      </c>
      <c r="E61" s="2022">
        <f>291914.06+AM61+AN61</f>
        <v>333981.89</v>
      </c>
      <c r="F61" s="2022">
        <f>-450-511.9+AO61+AP61</f>
        <v>-8357.34</v>
      </c>
      <c r="G61" s="2022">
        <v>291464.06</v>
      </c>
      <c r="H61" s="2022">
        <v>0</v>
      </c>
      <c r="I61" s="2011">
        <f>SUM(E61:F61)</f>
        <v>325624.55</v>
      </c>
      <c r="J61" s="2022"/>
      <c r="K61" s="2463"/>
      <c r="AM61" s="2022">
        <v>20511.14</v>
      </c>
      <c r="AN61" s="2022">
        <f>19593.61+1963.08</f>
        <v>21556.690000000002</v>
      </c>
      <c r="AO61" s="2022">
        <v>-7028.36</v>
      </c>
      <c r="AP61" s="2022">
        <v>-367.08</v>
      </c>
    </row>
    <row r="62" spans="1:89" s="2100" customFormat="1" x14ac:dyDescent="0.2">
      <c r="A62" s="2106" t="s">
        <v>4928</v>
      </c>
      <c r="B62" s="2106" t="s">
        <v>6911</v>
      </c>
      <c r="C62" s="2022">
        <v>0</v>
      </c>
      <c r="D62" s="2022">
        <f>AC62+AV62</f>
        <v>0</v>
      </c>
      <c r="E62" s="2022">
        <f>AD62+AM62</f>
        <v>1595067.95</v>
      </c>
      <c r="F62" s="2022">
        <f>AO62+AZ62</f>
        <v>-1595067.95</v>
      </c>
      <c r="G62" s="2022"/>
      <c r="H62" s="2022"/>
      <c r="I62" s="2011">
        <f>SUM(D62:F62)</f>
        <v>0</v>
      </c>
      <c r="J62" s="2022"/>
      <c r="K62" s="2463"/>
      <c r="L62" s="2022"/>
      <c r="M62" s="2022"/>
      <c r="N62" s="2022"/>
      <c r="O62" s="2022"/>
      <c r="P62" s="2022"/>
      <c r="Q62" s="2022"/>
      <c r="R62" s="2022"/>
      <c r="S62" s="2022"/>
      <c r="T62" s="2022"/>
      <c r="U62" s="2022"/>
      <c r="V62" s="2022"/>
      <c r="W62" s="2022"/>
      <c r="X62" s="2022"/>
      <c r="Y62" s="2022"/>
      <c r="Z62" s="2022"/>
      <c r="AA62" s="2022"/>
      <c r="AB62" s="2022"/>
      <c r="AC62" s="2022">
        <v>605341.9</v>
      </c>
      <c r="AD62" s="2022">
        <v>1214788.17</v>
      </c>
      <c r="AE62" s="2022"/>
      <c r="AF62" s="2022"/>
      <c r="AG62" s="2022"/>
      <c r="AH62" s="2022"/>
      <c r="AI62" s="2022"/>
      <c r="AJ62" s="2022"/>
      <c r="AK62" s="2022"/>
      <c r="AL62" s="2022"/>
      <c r="AM62" s="2022">
        <v>380279.78</v>
      </c>
      <c r="AN62" s="2022"/>
      <c r="AO62" s="2022">
        <v>-151967.53</v>
      </c>
      <c r="AP62" s="2022"/>
      <c r="AQ62" s="2022"/>
      <c r="AR62" s="2022"/>
      <c r="AS62" s="2022"/>
      <c r="AT62" s="2022"/>
      <c r="AU62" s="2022"/>
      <c r="AV62" s="2558">
        <v>-605341.9</v>
      </c>
      <c r="AW62" s="2022"/>
      <c r="AX62" s="2022"/>
      <c r="AY62" s="2022"/>
      <c r="AZ62" s="2022">
        <v>-1443100.42</v>
      </c>
      <c r="BA62" s="2022"/>
      <c r="BB62" s="2022"/>
      <c r="BC62" s="2022"/>
      <c r="BD62" s="2022"/>
      <c r="BE62" s="2022"/>
      <c r="BF62" s="2022"/>
      <c r="BG62" s="2022"/>
      <c r="BH62" s="2022"/>
      <c r="BI62" s="2728"/>
      <c r="BJ62" s="2728"/>
      <c r="BK62" s="2728"/>
      <c r="BL62" s="2728"/>
      <c r="BM62" s="2728"/>
      <c r="BN62" s="2728"/>
      <c r="BO62" s="2728"/>
      <c r="BP62" s="2728"/>
      <c r="BQ62" s="2728"/>
      <c r="BR62" s="2728"/>
      <c r="BS62" s="2632"/>
      <c r="BT62" s="2632"/>
      <c r="BU62" s="2728"/>
      <c r="BV62" s="2728"/>
      <c r="BW62" s="2632"/>
      <c r="BX62" s="2632"/>
      <c r="BY62" s="2632"/>
      <c r="BZ62" s="2632"/>
      <c r="CA62" s="2632"/>
      <c r="CB62" s="2728"/>
      <c r="CC62" s="2632"/>
      <c r="CD62" s="2632"/>
      <c r="CE62" s="2632"/>
      <c r="CF62" s="2632"/>
      <c r="CG62" s="2728"/>
      <c r="CH62" s="2728"/>
      <c r="CI62" s="2632"/>
      <c r="CJ62" s="2632"/>
      <c r="CK62" s="2632"/>
    </row>
    <row r="63" spans="1:89" x14ac:dyDescent="0.2">
      <c r="A63" s="2020" t="s">
        <v>4930</v>
      </c>
      <c r="B63" s="2020" t="s">
        <v>6041</v>
      </c>
      <c r="C63" s="2022">
        <v>41890</v>
      </c>
      <c r="D63" s="2022">
        <v>0</v>
      </c>
      <c r="E63" s="2022">
        <f>21640+Z63+AM63+AN63</f>
        <v>2123636.35</v>
      </c>
      <c r="F63" s="2022">
        <f>AO63</f>
        <v>-595999.78</v>
      </c>
      <c r="G63" s="2022">
        <v>21640</v>
      </c>
      <c r="H63" s="2022">
        <v>0</v>
      </c>
      <c r="I63" s="2011">
        <f>SUM(E63:F63)</f>
        <v>1527636.57</v>
      </c>
      <c r="J63" s="2022"/>
      <c r="K63" s="2463"/>
      <c r="Z63" s="2022">
        <f>633219.16+171057</f>
        <v>804276.16</v>
      </c>
      <c r="AM63" s="2022">
        <v>1090147.58</v>
      </c>
      <c r="AN63" s="2022">
        <v>207572.61</v>
      </c>
      <c r="AO63" s="2022">
        <v>-595999.78</v>
      </c>
    </row>
    <row r="64" spans="1:89" x14ac:dyDescent="0.2">
      <c r="A64" s="2020" t="s">
        <v>4932</v>
      </c>
      <c r="B64" s="2020" t="s">
        <v>6037</v>
      </c>
      <c r="C64" s="2022">
        <v>-1328952.07</v>
      </c>
      <c r="D64" s="2022">
        <v>0</v>
      </c>
      <c r="E64" s="2022">
        <v>0</v>
      </c>
      <c r="F64" s="2022">
        <v>0</v>
      </c>
      <c r="G64" s="2022">
        <v>0</v>
      </c>
      <c r="H64" s="2022">
        <v>0</v>
      </c>
      <c r="I64" s="2011">
        <f t="shared" ref="I64:I127" si="5">SUM(E64:F64)</f>
        <v>0</v>
      </c>
      <c r="J64" s="2022"/>
      <c r="K64" s="2463"/>
    </row>
    <row r="65" spans="1:36" x14ac:dyDescent="0.2">
      <c r="A65" s="2020" t="s">
        <v>4935</v>
      </c>
      <c r="B65" s="2020" t="s">
        <v>6042</v>
      </c>
      <c r="C65" s="2022">
        <v>489595.47</v>
      </c>
      <c r="D65" s="2022">
        <v>0</v>
      </c>
      <c r="E65" s="2022">
        <v>452138.23999999999</v>
      </c>
      <c r="F65" s="2022">
        <v>-3022.4</v>
      </c>
      <c r="G65" s="2022">
        <v>449115.84</v>
      </c>
      <c r="H65" s="2022">
        <v>0</v>
      </c>
      <c r="I65" s="2011">
        <f t="shared" si="5"/>
        <v>449115.83999999997</v>
      </c>
      <c r="J65" s="2022"/>
      <c r="K65" s="2463"/>
    </row>
    <row r="66" spans="1:36" x14ac:dyDescent="0.2">
      <c r="A66" s="2020" t="s">
        <v>4936</v>
      </c>
      <c r="B66" s="2020" t="s">
        <v>6043</v>
      </c>
      <c r="C66" s="2022">
        <v>2786173.48</v>
      </c>
      <c r="D66" s="2022">
        <v>0</v>
      </c>
      <c r="E66" s="2022">
        <v>2727323.88</v>
      </c>
      <c r="F66" s="2022">
        <v>-24506.32</v>
      </c>
      <c r="G66" s="2022">
        <v>2702817.56</v>
      </c>
      <c r="H66" s="2022">
        <v>0</v>
      </c>
      <c r="I66" s="2011">
        <f t="shared" si="5"/>
        <v>2702817.56</v>
      </c>
      <c r="J66" s="2022"/>
      <c r="K66" s="2463"/>
    </row>
    <row r="67" spans="1:36" x14ac:dyDescent="0.2">
      <c r="A67" s="2020" t="s">
        <v>4938</v>
      </c>
      <c r="B67" s="2020" t="s">
        <v>6044</v>
      </c>
      <c r="C67" s="2022">
        <v>66858.960000000006</v>
      </c>
      <c r="D67" s="2022">
        <v>0</v>
      </c>
      <c r="E67" s="2022">
        <v>0</v>
      </c>
      <c r="F67" s="2022">
        <v>0</v>
      </c>
      <c r="G67" s="2022">
        <v>0</v>
      </c>
      <c r="H67" s="2022">
        <v>0</v>
      </c>
      <c r="I67" s="2011">
        <f t="shared" si="5"/>
        <v>0</v>
      </c>
      <c r="J67" s="2022"/>
      <c r="K67" s="2463"/>
    </row>
    <row r="68" spans="1:36" x14ac:dyDescent="0.2">
      <c r="A68" s="2020" t="s">
        <v>4939</v>
      </c>
      <c r="B68" s="2020" t="s">
        <v>6045</v>
      </c>
      <c r="C68" s="2022">
        <v>9850</v>
      </c>
      <c r="D68" s="2022">
        <v>0</v>
      </c>
      <c r="E68" s="2022">
        <v>0</v>
      </c>
      <c r="F68" s="2022">
        <v>0</v>
      </c>
      <c r="G68" s="2022">
        <v>0</v>
      </c>
      <c r="H68" s="2022">
        <v>0</v>
      </c>
      <c r="I68" s="2011">
        <f t="shared" si="5"/>
        <v>0</v>
      </c>
      <c r="J68" s="2022"/>
      <c r="K68" s="2463"/>
    </row>
    <row r="69" spans="1:36" x14ac:dyDescent="0.2">
      <c r="A69" s="2020" t="s">
        <v>4940</v>
      </c>
      <c r="B69" s="2020" t="s">
        <v>6046</v>
      </c>
      <c r="C69" s="2022">
        <v>311303.28999999998</v>
      </c>
      <c r="D69" s="2022">
        <v>0</v>
      </c>
      <c r="E69" s="2022">
        <v>241190.21</v>
      </c>
      <c r="F69" s="2022">
        <v>0</v>
      </c>
      <c r="G69" s="2022">
        <v>241190.21</v>
      </c>
      <c r="H69" s="2022">
        <v>0</v>
      </c>
      <c r="I69" s="2011">
        <f t="shared" si="5"/>
        <v>241190.21</v>
      </c>
      <c r="J69" s="2022"/>
      <c r="K69" s="2463"/>
    </row>
    <row r="70" spans="1:36" x14ac:dyDescent="0.2">
      <c r="A70" s="2020" t="s">
        <v>4942</v>
      </c>
      <c r="B70" s="2020" t="s">
        <v>6047</v>
      </c>
      <c r="C70" s="2022">
        <v>7017</v>
      </c>
      <c r="D70" s="2022">
        <v>0</v>
      </c>
      <c r="E70" s="2022">
        <v>5817</v>
      </c>
      <c r="F70" s="2022">
        <v>0</v>
      </c>
      <c r="G70" s="2022">
        <v>5817</v>
      </c>
      <c r="H70" s="2022">
        <v>0</v>
      </c>
      <c r="I70" s="2011">
        <f t="shared" si="5"/>
        <v>5817</v>
      </c>
      <c r="J70" s="2022"/>
      <c r="K70" s="2463"/>
    </row>
    <row r="71" spans="1:36" x14ac:dyDescent="0.2">
      <c r="A71" s="2020" t="s">
        <v>4943</v>
      </c>
      <c r="B71" s="2020" t="s">
        <v>6048</v>
      </c>
      <c r="C71" s="2022">
        <v>6200</v>
      </c>
      <c r="D71" s="2022">
        <v>0</v>
      </c>
      <c r="E71" s="2022">
        <v>7300</v>
      </c>
      <c r="F71" s="2022">
        <v>0</v>
      </c>
      <c r="G71" s="2022">
        <v>7300</v>
      </c>
      <c r="H71" s="2022">
        <v>0</v>
      </c>
      <c r="I71" s="2011">
        <f t="shared" si="5"/>
        <v>7300</v>
      </c>
      <c r="J71" s="2022"/>
      <c r="K71" s="2463"/>
    </row>
    <row r="72" spans="1:36" x14ac:dyDescent="0.2">
      <c r="A72" s="2020" t="s">
        <v>4946</v>
      </c>
      <c r="B72" s="2020" t="s">
        <v>6049</v>
      </c>
      <c r="C72" s="2022">
        <v>18792</v>
      </c>
      <c r="D72" s="2022">
        <v>0</v>
      </c>
      <c r="E72" s="2022">
        <v>14616</v>
      </c>
      <c r="F72" s="2022">
        <v>0</v>
      </c>
      <c r="G72" s="2022">
        <v>14616</v>
      </c>
      <c r="H72" s="2022">
        <v>0</v>
      </c>
      <c r="I72" s="2011">
        <f t="shared" si="5"/>
        <v>14616</v>
      </c>
      <c r="J72" s="2022"/>
      <c r="K72" s="2463"/>
    </row>
    <row r="73" spans="1:36" x14ac:dyDescent="0.2">
      <c r="A73" s="2020" t="s">
        <v>4948</v>
      </c>
      <c r="B73" s="2020" t="s">
        <v>6050</v>
      </c>
      <c r="C73" s="2022">
        <v>17547.2</v>
      </c>
      <c r="D73" s="2022">
        <v>0</v>
      </c>
      <c r="E73" s="2022">
        <v>15089.25</v>
      </c>
      <c r="F73" s="2022">
        <v>0</v>
      </c>
      <c r="G73" s="2022">
        <v>15089.25</v>
      </c>
      <c r="H73" s="2022">
        <v>0</v>
      </c>
      <c r="I73" s="2011">
        <f t="shared" si="5"/>
        <v>15089.25</v>
      </c>
      <c r="J73" s="2022"/>
      <c r="K73" s="2463"/>
    </row>
    <row r="74" spans="1:36" x14ac:dyDescent="0.2">
      <c r="A74" s="2020" t="s">
        <v>4953</v>
      </c>
      <c r="B74" s="2020" t="s">
        <v>6051</v>
      </c>
      <c r="C74" s="2022">
        <v>90014.45</v>
      </c>
      <c r="D74" s="2022">
        <v>0</v>
      </c>
      <c r="E74" s="2022">
        <v>290483.88</v>
      </c>
      <c r="F74" s="2022">
        <f>-960+AJ74</f>
        <v>-90973.05</v>
      </c>
      <c r="G74" s="2022">
        <v>289523.88</v>
      </c>
      <c r="H74" s="2022">
        <v>0</v>
      </c>
      <c r="I74" s="2011">
        <f t="shared" si="5"/>
        <v>199510.83000000002</v>
      </c>
      <c r="J74" s="2022"/>
      <c r="K74" s="2463"/>
      <c r="AJ74" s="2022">
        <v>-90013.05</v>
      </c>
    </row>
    <row r="75" spans="1:36" x14ac:dyDescent="0.2">
      <c r="A75" s="2020" t="s">
        <v>4955</v>
      </c>
      <c r="B75" s="2020" t="s">
        <v>6052</v>
      </c>
      <c r="C75" s="2022">
        <v>145543.17000000001</v>
      </c>
      <c r="D75" s="2022">
        <v>0</v>
      </c>
      <c r="E75" s="2022">
        <v>145543.17000000001</v>
      </c>
      <c r="F75" s="2022">
        <v>0</v>
      </c>
      <c r="G75" s="2022">
        <v>145543.17000000001</v>
      </c>
      <c r="H75" s="2022">
        <v>0</v>
      </c>
      <c r="I75" s="2011">
        <f t="shared" si="5"/>
        <v>145543.17000000001</v>
      </c>
      <c r="J75" s="2022"/>
      <c r="K75" s="2463"/>
    </row>
    <row r="76" spans="1:36" x14ac:dyDescent="0.2">
      <c r="A76" s="2020" t="s">
        <v>4956</v>
      </c>
      <c r="B76" s="2020" t="s">
        <v>6053</v>
      </c>
      <c r="C76" s="2022">
        <v>152975.29999999999</v>
      </c>
      <c r="D76" s="2022">
        <v>0</v>
      </c>
      <c r="E76" s="2022">
        <v>138975.29999999999</v>
      </c>
      <c r="F76" s="2022">
        <v>0</v>
      </c>
      <c r="G76" s="2022">
        <v>138975.29999999999</v>
      </c>
      <c r="H76" s="2022">
        <v>0</v>
      </c>
      <c r="I76" s="2011">
        <f t="shared" si="5"/>
        <v>138975.29999999999</v>
      </c>
      <c r="J76" s="2022"/>
      <c r="K76" s="2463"/>
    </row>
    <row r="77" spans="1:36" x14ac:dyDescent="0.2">
      <c r="A77" s="2020" t="s">
        <v>4958</v>
      </c>
      <c r="B77" s="2020" t="s">
        <v>6054</v>
      </c>
      <c r="C77" s="2022">
        <v>82</v>
      </c>
      <c r="D77" s="2022">
        <v>0</v>
      </c>
      <c r="E77" s="2022">
        <v>65.599999999999994</v>
      </c>
      <c r="F77" s="2022">
        <v>0</v>
      </c>
      <c r="G77" s="2022">
        <v>65.599999999999994</v>
      </c>
      <c r="H77" s="2022">
        <v>0</v>
      </c>
      <c r="I77" s="2011">
        <f t="shared" si="5"/>
        <v>65.599999999999994</v>
      </c>
      <c r="J77" s="2022"/>
      <c r="K77" s="2463"/>
    </row>
    <row r="78" spans="1:36" x14ac:dyDescent="0.2">
      <c r="A78" s="2020" t="s">
        <v>4959</v>
      </c>
      <c r="B78" s="2020" t="s">
        <v>6055</v>
      </c>
      <c r="C78" s="2022">
        <v>1230</v>
      </c>
      <c r="D78" s="2022">
        <v>0</v>
      </c>
      <c r="E78" s="2022">
        <v>1201.3</v>
      </c>
      <c r="F78" s="2022">
        <v>0</v>
      </c>
      <c r="G78" s="2022">
        <v>1201.3</v>
      </c>
      <c r="H78" s="2022">
        <v>0</v>
      </c>
      <c r="I78" s="2011">
        <f t="shared" si="5"/>
        <v>1201.3</v>
      </c>
      <c r="J78" s="2022"/>
      <c r="K78" s="2463"/>
    </row>
    <row r="79" spans="1:36" x14ac:dyDescent="0.2">
      <c r="A79" s="2020" t="s">
        <v>4961</v>
      </c>
      <c r="B79" s="2020" t="s">
        <v>6056</v>
      </c>
      <c r="C79" s="2022">
        <v>4988.3500000000004</v>
      </c>
      <c r="D79" s="2022">
        <v>0</v>
      </c>
      <c r="E79" s="2022">
        <v>4265.0600000000004</v>
      </c>
      <c r="F79" s="2022">
        <v>0</v>
      </c>
      <c r="G79" s="2022">
        <v>4265.0600000000004</v>
      </c>
      <c r="H79" s="2022">
        <v>0</v>
      </c>
      <c r="I79" s="2011">
        <f t="shared" si="5"/>
        <v>4265.0600000000004</v>
      </c>
      <c r="J79" s="2022"/>
      <c r="K79" s="2463"/>
    </row>
    <row r="80" spans="1:36" x14ac:dyDescent="0.2">
      <c r="A80" s="2020" t="s">
        <v>4962</v>
      </c>
      <c r="B80" s="2020" t="s">
        <v>6057</v>
      </c>
      <c r="C80" s="2022">
        <v>30731.8</v>
      </c>
      <c r="D80" s="2022">
        <v>0</v>
      </c>
      <c r="E80" s="2022">
        <v>30757.26</v>
      </c>
      <c r="F80" s="2022">
        <v>0</v>
      </c>
      <c r="G80" s="2022">
        <v>30757.26</v>
      </c>
      <c r="H80" s="2022">
        <v>0</v>
      </c>
      <c r="I80" s="2011">
        <f t="shared" si="5"/>
        <v>30757.26</v>
      </c>
      <c r="J80" s="2022"/>
      <c r="K80" s="2463"/>
    </row>
    <row r="81" spans="1:42" x14ac:dyDescent="0.2">
      <c r="A81" s="2020" t="s">
        <v>4967</v>
      </c>
      <c r="B81" s="2020" t="s">
        <v>6058</v>
      </c>
      <c r="C81" s="2022">
        <v>25185</v>
      </c>
      <c r="D81" s="2022">
        <v>0</v>
      </c>
      <c r="E81" s="2022">
        <v>20745</v>
      </c>
      <c r="F81" s="2022">
        <v>0</v>
      </c>
      <c r="G81" s="2022">
        <v>20745</v>
      </c>
      <c r="H81" s="2022">
        <v>0</v>
      </c>
      <c r="I81" s="2011">
        <f t="shared" si="5"/>
        <v>20745</v>
      </c>
      <c r="J81" s="2022"/>
      <c r="K81" s="2463"/>
    </row>
    <row r="82" spans="1:42" x14ac:dyDescent="0.2">
      <c r="A82" s="2020" t="s">
        <v>4968</v>
      </c>
      <c r="B82" s="2020" t="s">
        <v>6059</v>
      </c>
      <c r="C82" s="2022">
        <v>158970</v>
      </c>
      <c r="D82" s="2022">
        <v>0</v>
      </c>
      <c r="E82" s="2022">
        <v>178702.8</v>
      </c>
      <c r="F82" s="2022">
        <v>0</v>
      </c>
      <c r="G82" s="2022">
        <v>178702.8</v>
      </c>
      <c r="H82" s="2022">
        <v>0</v>
      </c>
      <c r="I82" s="2011">
        <f t="shared" si="5"/>
        <v>178702.8</v>
      </c>
      <c r="J82" s="2022"/>
      <c r="K82" s="2463"/>
    </row>
    <row r="83" spans="1:42" x14ac:dyDescent="0.2">
      <c r="A83" s="2020" t="s">
        <v>4970</v>
      </c>
      <c r="B83" s="2020" t="s">
        <v>6060</v>
      </c>
      <c r="C83" s="2022">
        <v>19626.580000000002</v>
      </c>
      <c r="D83" s="2022">
        <v>0</v>
      </c>
      <c r="E83" s="2022">
        <v>11439.26</v>
      </c>
      <c r="F83" s="2022">
        <v>0</v>
      </c>
      <c r="G83" s="2022">
        <v>11439.26</v>
      </c>
      <c r="H83" s="2022">
        <v>0</v>
      </c>
      <c r="I83" s="2011">
        <f t="shared" si="5"/>
        <v>11439.26</v>
      </c>
      <c r="J83" s="2022"/>
      <c r="K83" s="2463"/>
    </row>
    <row r="84" spans="1:42" x14ac:dyDescent="0.2">
      <c r="A84" s="2020" t="s">
        <v>4971</v>
      </c>
      <c r="B84" s="2020" t="s">
        <v>6061</v>
      </c>
      <c r="C84" s="2022">
        <v>539590.03</v>
      </c>
      <c r="D84" s="2022">
        <v>0</v>
      </c>
      <c r="E84" s="2022">
        <v>520630.68</v>
      </c>
      <c r="F84" s="2022">
        <v>0</v>
      </c>
      <c r="G84" s="2022">
        <v>520630.68</v>
      </c>
      <c r="H84" s="2022">
        <v>0</v>
      </c>
      <c r="I84" s="2011">
        <f t="shared" si="5"/>
        <v>520630.68</v>
      </c>
      <c r="J84" s="2022"/>
      <c r="K84" s="2463"/>
    </row>
    <row r="85" spans="1:42" x14ac:dyDescent="0.2">
      <c r="A85" s="2020" t="s">
        <v>4973</v>
      </c>
      <c r="B85" s="2020" t="s">
        <v>6062</v>
      </c>
      <c r="C85" s="2022">
        <v>2228.0100000000002</v>
      </c>
      <c r="D85" s="2022">
        <v>0</v>
      </c>
      <c r="E85" s="2022">
        <v>1777.61</v>
      </c>
      <c r="F85" s="2022">
        <v>0</v>
      </c>
      <c r="G85" s="2022">
        <v>1777.61</v>
      </c>
      <c r="H85" s="2022">
        <v>0</v>
      </c>
      <c r="I85" s="2011">
        <f t="shared" si="5"/>
        <v>1777.61</v>
      </c>
      <c r="J85" s="2022"/>
      <c r="K85" s="2463"/>
    </row>
    <row r="86" spans="1:42" x14ac:dyDescent="0.2">
      <c r="A86" s="2020" t="s">
        <v>4974</v>
      </c>
      <c r="B86" s="2020" t="s">
        <v>6063</v>
      </c>
      <c r="C86" s="2022">
        <v>27485.97</v>
      </c>
      <c r="D86" s="2022">
        <v>0</v>
      </c>
      <c r="E86" s="2022">
        <v>26508.32</v>
      </c>
      <c r="F86" s="2022">
        <v>0</v>
      </c>
      <c r="G86" s="2022">
        <v>26508.32</v>
      </c>
      <c r="H86" s="2022">
        <v>0</v>
      </c>
      <c r="I86" s="2011">
        <f t="shared" si="5"/>
        <v>26508.32</v>
      </c>
      <c r="J86" s="2022"/>
      <c r="K86" s="2463"/>
    </row>
    <row r="87" spans="1:42" x14ac:dyDescent="0.2">
      <c r="A87" s="2020" t="s">
        <v>4976</v>
      </c>
      <c r="B87" s="2020" t="s">
        <v>6064</v>
      </c>
      <c r="C87" s="2022">
        <v>371153.55</v>
      </c>
      <c r="D87" s="2022">
        <v>0</v>
      </c>
      <c r="E87" s="2022">
        <v>0</v>
      </c>
      <c r="F87" s="2022">
        <v>0</v>
      </c>
      <c r="G87" s="2022">
        <v>0</v>
      </c>
      <c r="H87" s="2022">
        <v>0</v>
      </c>
      <c r="I87" s="2011">
        <f t="shared" si="5"/>
        <v>0</v>
      </c>
      <c r="J87" s="2022"/>
      <c r="K87" s="2463"/>
    </row>
    <row r="88" spans="1:42" x14ac:dyDescent="0.2">
      <c r="A88" s="2020" t="s">
        <v>4979</v>
      </c>
      <c r="B88" s="2020" t="s">
        <v>4980</v>
      </c>
      <c r="C88" s="2022">
        <v>0</v>
      </c>
      <c r="D88" s="2022">
        <v>0</v>
      </c>
      <c r="E88" s="2022">
        <v>42811.53</v>
      </c>
      <c r="F88" s="2022">
        <f>AE88</f>
        <v>-42811.53</v>
      </c>
      <c r="G88" s="2022">
        <v>42811.53</v>
      </c>
      <c r="H88" s="2022">
        <v>0</v>
      </c>
      <c r="I88" s="2011">
        <f t="shared" si="5"/>
        <v>0</v>
      </c>
      <c r="J88" s="2022"/>
      <c r="K88" s="2463"/>
      <c r="AE88" s="2022">
        <v>-42811.53</v>
      </c>
    </row>
    <row r="89" spans="1:42" x14ac:dyDescent="0.2">
      <c r="A89" s="2020" t="s">
        <v>4981</v>
      </c>
      <c r="B89" s="2020" t="s">
        <v>4982</v>
      </c>
      <c r="C89" s="2022">
        <v>141655.92000000001</v>
      </c>
      <c r="D89" s="2022">
        <v>0</v>
      </c>
      <c r="E89" s="2022">
        <v>236093.2</v>
      </c>
      <c r="F89" s="2022">
        <f>AO89</f>
        <v>-647852</v>
      </c>
      <c r="G89" s="2022">
        <v>236093.2</v>
      </c>
      <c r="H89" s="2022">
        <v>0</v>
      </c>
      <c r="I89" s="2011">
        <f t="shared" si="5"/>
        <v>-411758.8</v>
      </c>
      <c r="J89" s="2022"/>
      <c r="K89" s="2463"/>
      <c r="AO89" s="2022">
        <v>-647852</v>
      </c>
    </row>
    <row r="90" spans="1:42" x14ac:dyDescent="0.2">
      <c r="A90" s="2020" t="s">
        <v>4990</v>
      </c>
      <c r="B90" s="2020" t="s">
        <v>6065</v>
      </c>
      <c r="C90" s="2022">
        <v>1500000</v>
      </c>
      <c r="D90" s="2022">
        <v>0</v>
      </c>
      <c r="E90" s="2022">
        <v>0</v>
      </c>
      <c r="F90" s="2022">
        <v>0</v>
      </c>
      <c r="G90" s="2022">
        <v>0</v>
      </c>
      <c r="H90" s="2022">
        <v>0</v>
      </c>
      <c r="I90" s="2011">
        <f t="shared" si="5"/>
        <v>0</v>
      </c>
      <c r="J90" s="2022"/>
      <c r="K90" s="2463"/>
    </row>
    <row r="91" spans="1:42" x14ac:dyDescent="0.2">
      <c r="A91" s="2020" t="s">
        <v>4995</v>
      </c>
      <c r="B91" s="2020" t="s">
        <v>6066</v>
      </c>
      <c r="C91" s="2022">
        <v>83080.42</v>
      </c>
      <c r="D91" s="2022">
        <v>0</v>
      </c>
      <c r="E91" s="2022">
        <f>79238.88+1362.83</f>
        <v>80601.710000000006</v>
      </c>
      <c r="F91" s="2022">
        <v>-2725.66</v>
      </c>
      <c r="G91" s="2022">
        <v>76513.22</v>
      </c>
      <c r="H91" s="2022">
        <v>0</v>
      </c>
      <c r="I91" s="2011">
        <f t="shared" si="5"/>
        <v>77876.05</v>
      </c>
      <c r="J91" s="2022"/>
      <c r="K91" s="2463"/>
    </row>
    <row r="92" spans="1:42" x14ac:dyDescent="0.2">
      <c r="A92" s="2020" t="s">
        <v>4997</v>
      </c>
      <c r="B92" s="2020" t="s">
        <v>6067</v>
      </c>
      <c r="C92" s="2022">
        <f>331527.36</f>
        <v>331527.36</v>
      </c>
      <c r="D92" s="2022">
        <v>0</v>
      </c>
      <c r="E92" s="2022">
        <f>297261.34+AM92</f>
        <v>302312.88</v>
      </c>
      <c r="F92" s="2022">
        <f>-1194.93+AG92+AO92</f>
        <v>-207504.93</v>
      </c>
      <c r="G92" s="2022">
        <v>296066.40999999997</v>
      </c>
      <c r="H92" s="2022">
        <v>0</v>
      </c>
      <c r="I92" s="2011">
        <f t="shared" si="5"/>
        <v>94807.950000000012</v>
      </c>
      <c r="J92" s="2022"/>
      <c r="K92" s="2463"/>
      <c r="AG92" s="2022">
        <v>-206310</v>
      </c>
      <c r="AM92" s="2022">
        <v>5051.54</v>
      </c>
    </row>
    <row r="93" spans="1:42" x14ac:dyDescent="0.2">
      <c r="A93" s="2020" t="s">
        <v>4999</v>
      </c>
      <c r="B93" s="2020" t="s">
        <v>6068</v>
      </c>
      <c r="C93" s="2022">
        <v>687.96</v>
      </c>
      <c r="D93" s="2022">
        <v>0</v>
      </c>
      <c r="E93" s="2022">
        <f>1468.83+AM93</f>
        <v>56968.83</v>
      </c>
      <c r="F93" s="2022">
        <v>0</v>
      </c>
      <c r="G93" s="2022">
        <v>1468.83</v>
      </c>
      <c r="H93" s="2022">
        <v>0</v>
      </c>
      <c r="I93" s="2011">
        <f t="shared" si="5"/>
        <v>56968.83</v>
      </c>
      <c r="J93" s="2022"/>
      <c r="K93" s="2463"/>
      <c r="AM93" s="2022">
        <v>55500</v>
      </c>
    </row>
    <row r="94" spans="1:42" x14ac:dyDescent="0.2">
      <c r="A94" s="2020" t="s">
        <v>5000</v>
      </c>
      <c r="B94" s="2020" t="s">
        <v>6069</v>
      </c>
      <c r="C94" s="2022">
        <v>453944.19</v>
      </c>
      <c r="D94" s="2022">
        <v>0</v>
      </c>
      <c r="E94" s="2022">
        <v>399270.55</v>
      </c>
      <c r="F94" s="2022">
        <v>-36290.99</v>
      </c>
      <c r="G94" s="2022">
        <v>362979.56</v>
      </c>
      <c r="H94" s="2022">
        <v>0</v>
      </c>
      <c r="I94" s="2011">
        <f t="shared" si="5"/>
        <v>362979.56</v>
      </c>
      <c r="J94" s="2022"/>
      <c r="K94" s="2463"/>
    </row>
    <row r="95" spans="1:42" x14ac:dyDescent="0.2">
      <c r="A95" s="2020" t="s">
        <v>5002</v>
      </c>
      <c r="B95" s="2020" t="s">
        <v>6070</v>
      </c>
      <c r="C95" s="2022">
        <v>79651.95</v>
      </c>
      <c r="D95" s="2022">
        <v>0</v>
      </c>
      <c r="E95" s="2022">
        <v>79255.8</v>
      </c>
      <c r="F95" s="2022">
        <v>0</v>
      </c>
      <c r="G95" s="2022">
        <v>79255.8</v>
      </c>
      <c r="H95" s="2022">
        <v>0</v>
      </c>
      <c r="I95" s="2011">
        <f t="shared" si="5"/>
        <v>79255.8</v>
      </c>
      <c r="J95" s="2022"/>
      <c r="K95" s="2463"/>
    </row>
    <row r="96" spans="1:42" x14ac:dyDescent="0.2">
      <c r="A96" s="2020" t="s">
        <v>5004</v>
      </c>
      <c r="B96" s="2020" t="s">
        <v>6071</v>
      </c>
      <c r="C96" s="2022">
        <v>2666692.73</v>
      </c>
      <c r="D96" s="2022">
        <v>0</v>
      </c>
      <c r="E96" s="2022">
        <f>2933291.96+AM96+AN96</f>
        <v>3025921.1700000004</v>
      </c>
      <c r="F96" s="2022">
        <f>-1090825.9+AO96+AP96</f>
        <v>-1416759.55</v>
      </c>
      <c r="G96" s="2022">
        <v>1842466.06</v>
      </c>
      <c r="H96" s="2022">
        <v>0</v>
      </c>
      <c r="I96" s="2011">
        <f t="shared" si="5"/>
        <v>1609161.6200000003</v>
      </c>
      <c r="J96" s="2022"/>
      <c r="K96" s="2463"/>
      <c r="AM96" s="2022">
        <v>10705.72</v>
      </c>
      <c r="AN96" s="2022">
        <v>81923.490000000005</v>
      </c>
      <c r="AO96" s="2022">
        <v>-246721.6</v>
      </c>
      <c r="AP96" s="2022">
        <v>-79212.05</v>
      </c>
    </row>
    <row r="97" spans="1:42" x14ac:dyDescent="0.2">
      <c r="A97" s="2020" t="s">
        <v>5006</v>
      </c>
      <c r="B97" s="2020" t="s">
        <v>6072</v>
      </c>
      <c r="C97" s="2022">
        <v>25986.87</v>
      </c>
      <c r="D97" s="2022">
        <v>0</v>
      </c>
      <c r="E97" s="2022">
        <v>36272.07</v>
      </c>
      <c r="F97" s="2022">
        <v>0</v>
      </c>
      <c r="G97" s="2022">
        <v>36272.07</v>
      </c>
      <c r="H97" s="2022">
        <v>0</v>
      </c>
      <c r="I97" s="2011">
        <f t="shared" si="5"/>
        <v>36272.07</v>
      </c>
      <c r="J97" s="2022"/>
      <c r="K97" s="2463"/>
    </row>
    <row r="98" spans="1:42" x14ac:dyDescent="0.2">
      <c r="A98" s="2020" t="s">
        <v>5007</v>
      </c>
      <c r="B98" s="2020" t="s">
        <v>6073</v>
      </c>
      <c r="C98" s="2022">
        <v>0</v>
      </c>
      <c r="D98" s="2022">
        <v>0</v>
      </c>
      <c r="E98" s="2022">
        <v>12577</v>
      </c>
      <c r="F98" s="2022">
        <v>0</v>
      </c>
      <c r="G98" s="2022">
        <v>12577</v>
      </c>
      <c r="H98" s="2022">
        <v>0</v>
      </c>
      <c r="I98" s="2011">
        <f t="shared" si="5"/>
        <v>12577</v>
      </c>
      <c r="J98" s="2022"/>
      <c r="K98" s="2463"/>
    </row>
    <row r="99" spans="1:42" x14ac:dyDescent="0.2">
      <c r="A99" s="2020" t="s">
        <v>5009</v>
      </c>
      <c r="B99" s="2020" t="s">
        <v>6074</v>
      </c>
      <c r="C99" s="2022">
        <v>174508.68</v>
      </c>
      <c r="D99" s="2022">
        <v>0</v>
      </c>
      <c r="E99" s="2022">
        <f>177073.93+AM99</f>
        <v>602521.92999999993</v>
      </c>
      <c r="F99" s="2022">
        <v>0</v>
      </c>
      <c r="G99" s="2022">
        <v>177073.93</v>
      </c>
      <c r="H99" s="2022">
        <v>0</v>
      </c>
      <c r="I99" s="2011">
        <f t="shared" si="5"/>
        <v>602521.92999999993</v>
      </c>
      <c r="J99" s="2022"/>
      <c r="K99" s="2463"/>
      <c r="AM99" s="2022">
        <v>425448</v>
      </c>
    </row>
    <row r="100" spans="1:42" x14ac:dyDescent="0.2">
      <c r="A100" s="2020" t="s">
        <v>5013</v>
      </c>
      <c r="B100" s="2020" t="s">
        <v>6075</v>
      </c>
      <c r="C100" s="2022">
        <v>66551.69</v>
      </c>
      <c r="D100" s="2022">
        <v>0</v>
      </c>
      <c r="E100" s="2022">
        <v>113162.8</v>
      </c>
      <c r="F100" s="2022">
        <v>0</v>
      </c>
      <c r="G100" s="2022">
        <v>113162.8</v>
      </c>
      <c r="H100" s="2022">
        <v>0</v>
      </c>
      <c r="I100" s="2011">
        <f t="shared" si="5"/>
        <v>113162.8</v>
      </c>
      <c r="J100" s="2022"/>
      <c r="K100" s="2463"/>
    </row>
    <row r="101" spans="1:42" x14ac:dyDescent="0.2">
      <c r="A101" s="2020" t="s">
        <v>5015</v>
      </c>
      <c r="B101" s="2020" t="s">
        <v>6076</v>
      </c>
      <c r="C101" s="2022">
        <v>0</v>
      </c>
      <c r="D101" s="2022">
        <v>0</v>
      </c>
      <c r="E101" s="2022">
        <v>0</v>
      </c>
      <c r="F101" s="2022">
        <v>-378.4</v>
      </c>
      <c r="G101" s="2022">
        <v>0</v>
      </c>
      <c r="H101" s="2022">
        <v>-378.4</v>
      </c>
      <c r="I101" s="2011">
        <f t="shared" si="5"/>
        <v>-378.4</v>
      </c>
      <c r="J101" s="2022"/>
      <c r="K101" s="2463"/>
    </row>
    <row r="102" spans="1:42" x14ac:dyDescent="0.2">
      <c r="A102" s="2020" t="s">
        <v>5017</v>
      </c>
      <c r="B102" s="2020" t="s">
        <v>6077</v>
      </c>
      <c r="C102" s="2022">
        <v>2689.5</v>
      </c>
      <c r="D102" s="2022">
        <v>0</v>
      </c>
      <c r="E102" s="2022">
        <v>1287.94</v>
      </c>
      <c r="F102" s="2022">
        <v>0</v>
      </c>
      <c r="G102" s="2022">
        <v>1287.94</v>
      </c>
      <c r="H102" s="2022">
        <v>0</v>
      </c>
      <c r="I102" s="2011">
        <f t="shared" si="5"/>
        <v>1287.94</v>
      </c>
      <c r="J102" s="2022"/>
      <c r="K102" s="2463"/>
    </row>
    <row r="103" spans="1:42" x14ac:dyDescent="0.2">
      <c r="A103" s="2020" t="s">
        <v>5018</v>
      </c>
      <c r="B103" s="2020" t="s">
        <v>6078</v>
      </c>
      <c r="C103" s="2022">
        <v>194794.16</v>
      </c>
      <c r="D103" s="2022">
        <v>0</v>
      </c>
      <c r="E103" s="2022">
        <v>91493.95</v>
      </c>
      <c r="F103" s="2022">
        <v>0</v>
      </c>
      <c r="G103" s="2022">
        <v>91493.95</v>
      </c>
      <c r="H103" s="2022">
        <v>0</v>
      </c>
      <c r="I103" s="2011">
        <f t="shared" si="5"/>
        <v>91493.95</v>
      </c>
      <c r="J103" s="2022"/>
      <c r="K103" s="2463"/>
    </row>
    <row r="104" spans="1:42" x14ac:dyDescent="0.2">
      <c r="A104" s="2020" t="s">
        <v>5019</v>
      </c>
      <c r="B104" s="2020" t="s">
        <v>6079</v>
      </c>
      <c r="C104" s="2022">
        <v>6625.43</v>
      </c>
      <c r="D104" s="2022">
        <v>0</v>
      </c>
      <c r="E104" s="2022">
        <v>2749.92</v>
      </c>
      <c r="F104" s="2022">
        <v>-781.29</v>
      </c>
      <c r="G104" s="2022">
        <v>1968.63</v>
      </c>
      <c r="H104" s="2022">
        <v>0</v>
      </c>
      <c r="I104" s="2011">
        <f t="shared" si="5"/>
        <v>1968.63</v>
      </c>
      <c r="J104" s="2022"/>
      <c r="K104" s="2463"/>
    </row>
    <row r="105" spans="1:42" x14ac:dyDescent="0.2">
      <c r="A105" s="2020" t="s">
        <v>5020</v>
      </c>
      <c r="B105" s="2020" t="s">
        <v>6080</v>
      </c>
      <c r="C105" s="2022">
        <v>15632.14</v>
      </c>
      <c r="D105" s="2022">
        <v>0</v>
      </c>
      <c r="E105" s="2022">
        <v>18000.560000000001</v>
      </c>
      <c r="F105" s="2022">
        <v>0</v>
      </c>
      <c r="G105" s="2022">
        <v>18000.560000000001</v>
      </c>
      <c r="H105" s="2022">
        <v>0</v>
      </c>
      <c r="I105" s="2011">
        <f t="shared" si="5"/>
        <v>18000.560000000001</v>
      </c>
      <c r="J105" s="2022"/>
      <c r="K105" s="2463"/>
    </row>
    <row r="106" spans="1:42" x14ac:dyDescent="0.2">
      <c r="A106" s="2020" t="s">
        <v>5021</v>
      </c>
      <c r="B106" s="2020" t="s">
        <v>6081</v>
      </c>
      <c r="C106" s="2022">
        <v>302445.98</v>
      </c>
      <c r="D106" s="2022">
        <v>0</v>
      </c>
      <c r="E106" s="2022">
        <v>302445.98</v>
      </c>
      <c r="F106" s="2022">
        <v>0</v>
      </c>
      <c r="G106" s="2022">
        <v>302445.98</v>
      </c>
      <c r="H106" s="2022">
        <v>0</v>
      </c>
      <c r="I106" s="2011">
        <f t="shared" si="5"/>
        <v>302445.98</v>
      </c>
      <c r="J106" s="2022"/>
      <c r="K106" s="2463"/>
    </row>
    <row r="107" spans="1:42" x14ac:dyDescent="0.2">
      <c r="A107" s="2020" t="s">
        <v>5022</v>
      </c>
      <c r="B107" s="2020" t="s">
        <v>4873</v>
      </c>
      <c r="C107" s="2022">
        <v>12855.15</v>
      </c>
      <c r="D107" s="2022">
        <v>0</v>
      </c>
      <c r="E107" s="2022">
        <f>8595.33+R107</f>
        <v>0</v>
      </c>
      <c r="F107" s="2022">
        <v>0</v>
      </c>
      <c r="G107" s="2022">
        <v>8595.33</v>
      </c>
      <c r="H107" s="2022">
        <v>0</v>
      </c>
      <c r="I107" s="2011">
        <f t="shared" si="5"/>
        <v>0</v>
      </c>
      <c r="J107" s="2022"/>
      <c r="K107" s="2463"/>
      <c r="R107" s="2022">
        <v>-8595.33</v>
      </c>
    </row>
    <row r="108" spans="1:42" x14ac:dyDescent="0.2">
      <c r="A108" s="2020" t="s">
        <v>5024</v>
      </c>
      <c r="B108" s="2020" t="s">
        <v>5025</v>
      </c>
      <c r="C108" s="2022">
        <v>0</v>
      </c>
      <c r="D108" s="2022">
        <v>0</v>
      </c>
      <c r="E108" s="2022">
        <v>570</v>
      </c>
      <c r="F108" s="2022">
        <v>0</v>
      </c>
      <c r="G108" s="2022">
        <v>570</v>
      </c>
      <c r="H108" s="2022">
        <v>0</v>
      </c>
      <c r="I108" s="2011">
        <f t="shared" si="5"/>
        <v>570</v>
      </c>
      <c r="J108" s="2022"/>
      <c r="K108" s="2463"/>
    </row>
    <row r="109" spans="1:42" x14ac:dyDescent="0.2">
      <c r="A109" s="2020" t="s">
        <v>5026</v>
      </c>
      <c r="B109" s="2020" t="s">
        <v>6082</v>
      </c>
      <c r="C109" s="2022">
        <v>3915</v>
      </c>
      <c r="D109" s="2022">
        <v>0</v>
      </c>
      <c r="E109" s="2022">
        <v>2521.34</v>
      </c>
      <c r="F109" s="2022">
        <v>0</v>
      </c>
      <c r="G109" s="2022">
        <v>2521.34</v>
      </c>
      <c r="H109" s="2022">
        <v>0</v>
      </c>
      <c r="I109" s="2011">
        <f t="shared" si="5"/>
        <v>2521.34</v>
      </c>
      <c r="J109" s="2022"/>
      <c r="K109" s="2463"/>
    </row>
    <row r="110" spans="1:42" x14ac:dyDescent="0.2">
      <c r="A110" s="2020" t="s">
        <v>5027</v>
      </c>
      <c r="B110" s="2020" t="s">
        <v>6083</v>
      </c>
      <c r="C110" s="2022">
        <v>0</v>
      </c>
      <c r="D110" s="2022">
        <v>0</v>
      </c>
      <c r="E110" s="2022">
        <f>58900+AM110+AN110</f>
        <v>73668.92</v>
      </c>
      <c r="F110" s="2022">
        <v>0</v>
      </c>
      <c r="G110" s="2022">
        <v>58900</v>
      </c>
      <c r="H110" s="2022">
        <v>0</v>
      </c>
      <c r="I110" s="2011">
        <f t="shared" si="5"/>
        <v>73668.92</v>
      </c>
      <c r="J110" s="2022"/>
      <c r="K110" s="2463"/>
      <c r="AM110" s="2022">
        <v>14768.92</v>
      </c>
    </row>
    <row r="111" spans="1:42" x14ac:dyDescent="0.2">
      <c r="A111" s="2020" t="s">
        <v>5029</v>
      </c>
      <c r="B111" s="2020" t="s">
        <v>6084</v>
      </c>
      <c r="C111" s="2022">
        <v>190000</v>
      </c>
      <c r="D111" s="2022">
        <v>0</v>
      </c>
      <c r="E111" s="2022">
        <f>191539.19+4996.78+AM111+AN111</f>
        <v>208057.54</v>
      </c>
      <c r="F111" s="2022">
        <f>AO111</f>
        <v>-321</v>
      </c>
      <c r="G111" s="2022">
        <v>191539.19</v>
      </c>
      <c r="H111" s="2022">
        <v>0</v>
      </c>
      <c r="I111" s="2011">
        <f t="shared" si="5"/>
        <v>207736.54</v>
      </c>
      <c r="J111" s="2022"/>
      <c r="K111" s="2463"/>
      <c r="AM111" s="2022">
        <v>11521.57</v>
      </c>
      <c r="AO111" s="2022">
        <f>-171-150</f>
        <v>-321</v>
      </c>
    </row>
    <row r="112" spans="1:42" x14ac:dyDescent="0.2">
      <c r="A112" s="2020" t="s">
        <v>5030</v>
      </c>
      <c r="B112" s="2020" t="s">
        <v>6085</v>
      </c>
      <c r="C112" s="2022">
        <v>190000</v>
      </c>
      <c r="D112" s="2022">
        <v>0</v>
      </c>
      <c r="E112" s="2022">
        <f>249693.43+7521.61+AM112</f>
        <v>291369.20999999996</v>
      </c>
      <c r="F112" s="2022">
        <f>AP112</f>
        <v>-1363.98</v>
      </c>
      <c r="G112" s="2022">
        <v>249693.43</v>
      </c>
      <c r="H112" s="2022">
        <v>0</v>
      </c>
      <c r="I112" s="2011">
        <f t="shared" si="5"/>
        <v>290005.23</v>
      </c>
      <c r="J112" s="2022"/>
      <c r="K112" s="2463"/>
      <c r="AM112" s="2022">
        <v>34154.17</v>
      </c>
      <c r="AP112" s="2022">
        <v>-1363.98</v>
      </c>
    </row>
    <row r="113" spans="1:89" x14ac:dyDescent="0.2">
      <c r="A113" s="2020" t="s">
        <v>5034</v>
      </c>
      <c r="B113" s="2020" t="s">
        <v>6086</v>
      </c>
      <c r="C113" s="2022">
        <v>90000</v>
      </c>
      <c r="D113" s="2022">
        <v>0</v>
      </c>
      <c r="E113" s="2022">
        <v>32201</v>
      </c>
      <c r="F113" s="2022">
        <v>0</v>
      </c>
      <c r="G113" s="2022">
        <v>32201</v>
      </c>
      <c r="H113" s="2022">
        <v>0</v>
      </c>
      <c r="I113" s="2011">
        <f t="shared" si="5"/>
        <v>32201</v>
      </c>
      <c r="J113" s="2022"/>
      <c r="K113" s="2463"/>
    </row>
    <row r="114" spans="1:89" x14ac:dyDescent="0.2">
      <c r="A114" s="2020" t="s">
        <v>5035</v>
      </c>
      <c r="B114" s="2020" t="s">
        <v>6087</v>
      </c>
      <c r="C114" s="2022">
        <v>567596.88</v>
      </c>
      <c r="D114" s="2022">
        <v>0</v>
      </c>
      <c r="E114" s="2022">
        <v>751960.18</v>
      </c>
      <c r="F114" s="2022">
        <v>-99.7</v>
      </c>
      <c r="G114" s="2022">
        <v>751860.48</v>
      </c>
      <c r="H114" s="2022">
        <v>0</v>
      </c>
      <c r="I114" s="2011">
        <f t="shared" si="5"/>
        <v>751860.4800000001</v>
      </c>
      <c r="J114" s="2022"/>
      <c r="K114" s="2463"/>
    </row>
    <row r="115" spans="1:89" x14ac:dyDescent="0.2">
      <c r="A115" s="2020" t="s">
        <v>5037</v>
      </c>
      <c r="B115" s="2020" t="s">
        <v>4885</v>
      </c>
      <c r="C115" s="2022">
        <v>500000</v>
      </c>
      <c r="D115" s="2022">
        <v>0</v>
      </c>
      <c r="E115" s="2022">
        <v>521441.35</v>
      </c>
      <c r="F115" s="2022">
        <v>-89127.7</v>
      </c>
      <c r="G115" s="2022">
        <v>432313.65</v>
      </c>
      <c r="H115" s="2022">
        <v>0</v>
      </c>
      <c r="I115" s="2011">
        <f t="shared" si="5"/>
        <v>432313.64999999997</v>
      </c>
      <c r="J115" s="2022"/>
      <c r="K115" s="2463"/>
    </row>
    <row r="116" spans="1:89" x14ac:dyDescent="0.2">
      <c r="A116" s="2020" t="s">
        <v>5038</v>
      </c>
      <c r="B116" s="2020" t="s">
        <v>6088</v>
      </c>
      <c r="C116" s="2022">
        <v>1200000</v>
      </c>
      <c r="D116" s="2022">
        <v>0</v>
      </c>
      <c r="E116" s="2022">
        <v>1322034.3400000001</v>
      </c>
      <c r="F116" s="2022">
        <v>-16453.12</v>
      </c>
      <c r="G116" s="2022">
        <v>1305581.22</v>
      </c>
      <c r="H116" s="2022">
        <v>0</v>
      </c>
      <c r="I116" s="2011">
        <f t="shared" si="5"/>
        <v>1305581.22</v>
      </c>
      <c r="J116" s="2022"/>
      <c r="K116" s="2463"/>
    </row>
    <row r="117" spans="1:89" x14ac:dyDescent="0.2">
      <c r="A117" s="2020" t="s">
        <v>5039</v>
      </c>
      <c r="B117" s="2020" t="s">
        <v>6089</v>
      </c>
      <c r="C117" s="2022">
        <v>179.71</v>
      </c>
      <c r="D117" s="2022">
        <v>0</v>
      </c>
      <c r="E117" s="2022">
        <f>1508.41+R117</f>
        <v>0</v>
      </c>
      <c r="F117" s="2022">
        <v>0</v>
      </c>
      <c r="G117" s="2022">
        <v>1508.41</v>
      </c>
      <c r="H117" s="2022">
        <v>0</v>
      </c>
      <c r="I117" s="2011">
        <f t="shared" si="5"/>
        <v>0</v>
      </c>
      <c r="J117" s="2022"/>
      <c r="K117" s="2463"/>
      <c r="R117" s="2022">
        <v>-1508.41</v>
      </c>
    </row>
    <row r="118" spans="1:89" x14ac:dyDescent="0.2">
      <c r="A118" s="2020" t="s">
        <v>5040</v>
      </c>
      <c r="B118" s="2020" t="s">
        <v>6090</v>
      </c>
      <c r="C118" s="2022">
        <v>72.75</v>
      </c>
      <c r="D118" s="2022">
        <v>0</v>
      </c>
      <c r="E118" s="2022">
        <f>1941.15+R118</f>
        <v>0</v>
      </c>
      <c r="F118" s="2022">
        <v>0</v>
      </c>
      <c r="G118" s="2022">
        <v>1941.15</v>
      </c>
      <c r="H118" s="2022">
        <v>0</v>
      </c>
      <c r="I118" s="2011">
        <f t="shared" si="5"/>
        <v>0</v>
      </c>
      <c r="J118" s="2022"/>
      <c r="K118" s="2463"/>
      <c r="R118" s="2022">
        <v>-1941.15</v>
      </c>
    </row>
    <row r="119" spans="1:89" x14ac:dyDescent="0.2">
      <c r="A119" s="2020" t="s">
        <v>5041</v>
      </c>
      <c r="B119" s="2020" t="s">
        <v>6091</v>
      </c>
      <c r="C119" s="2022">
        <v>200000</v>
      </c>
      <c r="D119" s="2022">
        <v>0</v>
      </c>
      <c r="E119" s="2022">
        <v>230438.59</v>
      </c>
      <c r="F119" s="2022">
        <v>-170900</v>
      </c>
      <c r="G119" s="2022">
        <v>59538.59</v>
      </c>
      <c r="H119" s="2022">
        <v>0</v>
      </c>
      <c r="I119" s="2011">
        <f t="shared" si="5"/>
        <v>59538.59</v>
      </c>
      <c r="J119" s="2022"/>
      <c r="K119" s="2463"/>
    </row>
    <row r="120" spans="1:89" x14ac:dyDescent="0.2">
      <c r="A120" s="2024" t="s">
        <v>5043</v>
      </c>
      <c r="B120" s="2024" t="s">
        <v>6092</v>
      </c>
      <c r="C120" s="2304">
        <v>0</v>
      </c>
      <c r="D120" s="2304">
        <v>0</v>
      </c>
      <c r="E120" s="2304">
        <v>404000</v>
      </c>
      <c r="F120" s="2304">
        <f>AZ120</f>
        <v>-404000</v>
      </c>
      <c r="G120" s="2304">
        <v>404000</v>
      </c>
      <c r="H120" s="2304">
        <v>0</v>
      </c>
      <c r="I120" s="2025">
        <f t="shared" si="5"/>
        <v>0</v>
      </c>
      <c r="J120" s="2304"/>
      <c r="K120" s="2463"/>
      <c r="AZ120" s="2022">
        <v>-404000</v>
      </c>
    </row>
    <row r="121" spans="1:89" x14ac:dyDescent="0.2">
      <c r="A121" s="2020" t="s">
        <v>5044</v>
      </c>
      <c r="B121" s="2020" t="s">
        <v>6093</v>
      </c>
      <c r="C121" s="2022">
        <v>4000000</v>
      </c>
      <c r="D121" s="2022">
        <v>0</v>
      </c>
      <c r="E121" s="2022">
        <f>3007097.59+AM121+AN121</f>
        <v>3284950.9099999997</v>
      </c>
      <c r="F121" s="2022">
        <f>-486792.57+AO121</f>
        <v>-1564030.95</v>
      </c>
      <c r="G121" s="2022">
        <v>2520305.02</v>
      </c>
      <c r="H121" s="2022">
        <v>0</v>
      </c>
      <c r="I121" s="2011">
        <f t="shared" si="5"/>
        <v>1720919.9599999997</v>
      </c>
      <c r="J121" s="2022"/>
      <c r="K121" s="2463"/>
      <c r="AM121" s="2022">
        <v>277783.32</v>
      </c>
      <c r="AN121" s="2022">
        <v>70</v>
      </c>
      <c r="AO121" s="2022">
        <v>-1077238.3799999999</v>
      </c>
    </row>
    <row r="122" spans="1:89" x14ac:dyDescent="0.2">
      <c r="A122" s="2020" t="s">
        <v>5045</v>
      </c>
      <c r="B122" s="2020" t="s">
        <v>5046</v>
      </c>
      <c r="C122" s="2022">
        <v>4008.93</v>
      </c>
      <c r="D122" s="2022">
        <v>0</v>
      </c>
      <c r="E122" s="2022">
        <v>0</v>
      </c>
      <c r="F122" s="2022">
        <v>0</v>
      </c>
      <c r="G122" s="2022">
        <v>0</v>
      </c>
      <c r="H122" s="2022">
        <v>0</v>
      </c>
      <c r="I122" s="2011">
        <f t="shared" si="5"/>
        <v>0</v>
      </c>
      <c r="J122" s="2022"/>
      <c r="K122" s="2463"/>
    </row>
    <row r="123" spans="1:89" s="2100" customFormat="1" x14ac:dyDescent="0.2">
      <c r="A123" s="2106" t="s">
        <v>5047</v>
      </c>
      <c r="B123" s="2106" t="s">
        <v>7674</v>
      </c>
      <c r="C123" s="2022">
        <v>0</v>
      </c>
      <c r="D123" s="2022">
        <v>0</v>
      </c>
      <c r="E123" s="2022">
        <f>BF123</f>
        <v>1661644.33</v>
      </c>
      <c r="F123" s="2022">
        <v>0</v>
      </c>
      <c r="G123" s="2022"/>
      <c r="H123" s="2022"/>
      <c r="I123" s="2011">
        <f t="shared" si="5"/>
        <v>1661644.33</v>
      </c>
      <c r="J123" s="2022"/>
      <c r="K123" s="2463"/>
      <c r="L123" s="2022"/>
      <c r="M123" s="2022"/>
      <c r="N123" s="2022"/>
      <c r="O123" s="2022"/>
      <c r="P123" s="2022"/>
      <c r="Q123" s="2022"/>
      <c r="R123" s="2022"/>
      <c r="S123" s="2022"/>
      <c r="T123" s="2022"/>
      <c r="U123" s="2022"/>
      <c r="V123" s="2022"/>
      <c r="W123" s="2022"/>
      <c r="X123" s="2022"/>
      <c r="Y123" s="2022"/>
      <c r="Z123" s="2022"/>
      <c r="AA123" s="2022"/>
      <c r="AB123" s="2022"/>
      <c r="AC123" s="2022"/>
      <c r="AD123" s="2022"/>
      <c r="AE123" s="2022"/>
      <c r="AF123" s="2022"/>
      <c r="AG123" s="2022"/>
      <c r="AH123" s="2022"/>
      <c r="AI123" s="2022"/>
      <c r="AJ123" s="2022"/>
      <c r="AK123" s="2022"/>
      <c r="AL123" s="2022"/>
      <c r="AM123" s="2022"/>
      <c r="AN123" s="2022"/>
      <c r="AO123" s="2022"/>
      <c r="AP123" s="2022"/>
      <c r="AQ123" s="2022"/>
      <c r="AR123" s="2022"/>
      <c r="AS123" s="2022"/>
      <c r="AT123" s="2022"/>
      <c r="AU123" s="2022"/>
      <c r="AV123" s="2558"/>
      <c r="AW123" s="2022"/>
      <c r="AX123" s="2022"/>
      <c r="AY123" s="2022"/>
      <c r="AZ123" s="2022"/>
      <c r="BA123" s="2022"/>
      <c r="BB123" s="2022"/>
      <c r="BC123" s="2022"/>
      <c r="BD123" s="2022"/>
      <c r="BE123" s="2022"/>
      <c r="BF123" s="2022">
        <v>1661644.33</v>
      </c>
      <c r="BG123" s="2022"/>
      <c r="BH123" s="2022"/>
      <c r="BI123" s="2728"/>
      <c r="BJ123" s="2728"/>
      <c r="BK123" s="2728"/>
      <c r="BL123" s="2728"/>
      <c r="BM123" s="2728"/>
      <c r="BN123" s="2728"/>
      <c r="BO123" s="2728"/>
      <c r="BP123" s="2728"/>
      <c r="BQ123" s="2728"/>
      <c r="BR123" s="2728"/>
      <c r="BS123" s="2632"/>
      <c r="BT123" s="2632"/>
      <c r="BU123" s="2728"/>
      <c r="BV123" s="2728"/>
      <c r="BW123" s="2632"/>
      <c r="BX123" s="2632"/>
      <c r="BY123" s="2632"/>
      <c r="BZ123" s="2632"/>
      <c r="CA123" s="2632"/>
      <c r="CB123" s="2728"/>
      <c r="CC123" s="2632"/>
      <c r="CD123" s="2632"/>
      <c r="CE123" s="2632"/>
      <c r="CF123" s="2632"/>
      <c r="CG123" s="2728"/>
      <c r="CH123" s="2728"/>
      <c r="CI123" s="2632"/>
      <c r="CJ123" s="2632"/>
      <c r="CK123" s="2632"/>
    </row>
    <row r="124" spans="1:89" x14ac:dyDescent="0.2">
      <c r="A124" s="2020" t="s">
        <v>5049</v>
      </c>
      <c r="B124" s="2020" t="s">
        <v>4893</v>
      </c>
      <c r="C124" s="2022">
        <v>2535.02</v>
      </c>
      <c r="D124" s="2022">
        <v>0</v>
      </c>
      <c r="E124" s="2022">
        <v>2460.62</v>
      </c>
      <c r="F124" s="2022">
        <v>0</v>
      </c>
      <c r="G124" s="2022">
        <v>2460.62</v>
      </c>
      <c r="H124" s="2022">
        <v>0</v>
      </c>
      <c r="I124" s="2011">
        <f t="shared" si="5"/>
        <v>2460.62</v>
      </c>
      <c r="J124" s="2022"/>
      <c r="K124" s="2463"/>
    </row>
    <row r="125" spans="1:89" x14ac:dyDescent="0.2">
      <c r="A125" s="2020" t="s">
        <v>5052</v>
      </c>
      <c r="B125" s="2020" t="s">
        <v>6094</v>
      </c>
      <c r="C125" s="2022">
        <v>14173.85</v>
      </c>
      <c r="D125" s="2022">
        <v>0</v>
      </c>
      <c r="E125" s="2022">
        <v>0</v>
      </c>
      <c r="F125" s="2022">
        <v>0</v>
      </c>
      <c r="G125" s="2022">
        <v>0</v>
      </c>
      <c r="H125" s="2022">
        <v>0</v>
      </c>
      <c r="I125" s="2011">
        <f t="shared" si="5"/>
        <v>0</v>
      </c>
      <c r="J125" s="2022"/>
      <c r="K125" s="2463"/>
    </row>
    <row r="126" spans="1:89" x14ac:dyDescent="0.2">
      <c r="A126" s="2020" t="s">
        <v>5055</v>
      </c>
      <c r="B126" s="2020" t="s">
        <v>6095</v>
      </c>
      <c r="C126" s="2022">
        <v>86834.26</v>
      </c>
      <c r="D126" s="2022">
        <v>0</v>
      </c>
      <c r="E126" s="2022">
        <v>65087.72</v>
      </c>
      <c r="F126" s="2022">
        <v>0</v>
      </c>
      <c r="G126" s="2022">
        <v>65087.72</v>
      </c>
      <c r="H126" s="2022">
        <v>0</v>
      </c>
      <c r="I126" s="2011">
        <f t="shared" si="5"/>
        <v>65087.72</v>
      </c>
      <c r="J126" s="2022"/>
      <c r="K126" s="2463"/>
    </row>
    <row r="127" spans="1:89" x14ac:dyDescent="0.2">
      <c r="A127" s="2020" t="s">
        <v>5057</v>
      </c>
      <c r="B127" s="2020" t="s">
        <v>6036</v>
      </c>
      <c r="C127" s="2022">
        <v>37060.6</v>
      </c>
      <c r="D127" s="2022">
        <v>0</v>
      </c>
      <c r="E127" s="2022">
        <v>0</v>
      </c>
      <c r="F127" s="2022">
        <v>0</v>
      </c>
      <c r="G127" s="2022">
        <v>0</v>
      </c>
      <c r="H127" s="2022">
        <v>0</v>
      </c>
      <c r="I127" s="2011">
        <f t="shared" si="5"/>
        <v>0</v>
      </c>
      <c r="J127" s="2022"/>
      <c r="K127" s="2463"/>
    </row>
    <row r="128" spans="1:89" x14ac:dyDescent="0.2">
      <c r="A128" s="2020" t="s">
        <v>5058</v>
      </c>
      <c r="B128" s="2020" t="s">
        <v>6036</v>
      </c>
      <c r="C128" s="2022">
        <v>29893.57</v>
      </c>
      <c r="D128" s="2022">
        <v>0</v>
      </c>
      <c r="E128" s="2022">
        <v>9955.9</v>
      </c>
      <c r="F128" s="2022">
        <v>0</v>
      </c>
      <c r="G128" s="2022">
        <v>9955.9</v>
      </c>
      <c r="H128" s="2022">
        <v>0</v>
      </c>
      <c r="I128" s="2011">
        <f t="shared" ref="I128:I192" si="6">SUM(E128:F128)</f>
        <v>9955.9</v>
      </c>
      <c r="J128" s="2022"/>
      <c r="K128" s="2463"/>
    </row>
    <row r="129" spans="1:84" x14ac:dyDescent="0.2">
      <c r="A129" s="2020" t="s">
        <v>5061</v>
      </c>
      <c r="B129" s="2020" t="s">
        <v>5062</v>
      </c>
      <c r="C129" s="2022">
        <v>-5968220.9400000004</v>
      </c>
      <c r="D129" s="2022">
        <v>0</v>
      </c>
      <c r="E129" s="2022">
        <v>753.05</v>
      </c>
      <c r="F129" s="2022">
        <v>-2979713.85</v>
      </c>
      <c r="G129" s="2022">
        <v>0</v>
      </c>
      <c r="H129" s="2022">
        <v>-2978960.8</v>
      </c>
      <c r="I129" s="2011">
        <f t="shared" si="6"/>
        <v>-2978960.8000000003</v>
      </c>
      <c r="J129" s="2022"/>
      <c r="K129" s="2463"/>
    </row>
    <row r="130" spans="1:84" x14ac:dyDescent="0.2">
      <c r="A130" s="2020" t="s">
        <v>5063</v>
      </c>
      <c r="B130" s="2020" t="s">
        <v>5064</v>
      </c>
      <c r="C130" s="2022">
        <v>-6035446.3600000003</v>
      </c>
      <c r="D130" s="2022">
        <v>0</v>
      </c>
      <c r="E130" s="2022">
        <v>0</v>
      </c>
      <c r="F130" s="2022">
        <v>-411281.35</v>
      </c>
      <c r="G130" s="2022">
        <v>0</v>
      </c>
      <c r="H130" s="2022">
        <v>-411281.35</v>
      </c>
      <c r="I130" s="2011">
        <f t="shared" si="6"/>
        <v>-411281.35</v>
      </c>
      <c r="J130" s="2022"/>
      <c r="K130" s="2463"/>
    </row>
    <row r="131" spans="1:84" x14ac:dyDescent="0.2">
      <c r="A131" s="2020" t="s">
        <v>5065</v>
      </c>
      <c r="B131" s="2020" t="s">
        <v>5066</v>
      </c>
      <c r="C131" s="2022">
        <v>6646089.25</v>
      </c>
      <c r="D131" s="2022">
        <v>0</v>
      </c>
      <c r="E131" s="2022">
        <f>1091323.4+AQ131</f>
        <v>1818375.95</v>
      </c>
      <c r="F131" s="2022">
        <v>0</v>
      </c>
      <c r="G131" s="2022">
        <v>1091323.3999999999</v>
      </c>
      <c r="H131" s="2022">
        <v>0</v>
      </c>
      <c r="I131" s="2011">
        <f t="shared" si="6"/>
        <v>1818375.95</v>
      </c>
      <c r="J131" s="2022"/>
      <c r="K131" s="2463"/>
      <c r="AQ131" s="2022">
        <v>727052.55</v>
      </c>
    </row>
    <row r="132" spans="1:84" x14ac:dyDescent="0.2">
      <c r="A132" s="2020" t="s">
        <v>5067</v>
      </c>
      <c r="B132" s="2020" t="s">
        <v>5068</v>
      </c>
      <c r="C132" s="2022">
        <v>-620319.69999999995</v>
      </c>
      <c r="D132" s="2022">
        <v>0</v>
      </c>
      <c r="E132" s="2022">
        <v>0</v>
      </c>
      <c r="F132" s="2022">
        <v>-74352.350000000006</v>
      </c>
      <c r="G132" s="2022">
        <v>0</v>
      </c>
      <c r="H132" s="2022">
        <v>-74352.350000000006</v>
      </c>
      <c r="I132" s="2011">
        <f t="shared" si="6"/>
        <v>-74352.350000000006</v>
      </c>
      <c r="J132" s="2022"/>
      <c r="K132" s="2463"/>
    </row>
    <row r="133" spans="1:84" x14ac:dyDescent="0.2">
      <c r="A133" s="2020" t="s">
        <v>5069</v>
      </c>
      <c r="B133" s="2020" t="s">
        <v>5070</v>
      </c>
      <c r="C133" s="2022">
        <v>-868246.17</v>
      </c>
      <c r="D133" s="2022">
        <v>0</v>
      </c>
      <c r="E133" s="2022">
        <f>38011.95+N133</f>
        <v>-330859.99</v>
      </c>
      <c r="F133" s="2022">
        <v>-3435760.55</v>
      </c>
      <c r="G133" s="2022">
        <v>0</v>
      </c>
      <c r="H133" s="2022">
        <v>-3397748.6</v>
      </c>
      <c r="I133" s="2011">
        <f t="shared" si="6"/>
        <v>-3766620.54</v>
      </c>
      <c r="J133" s="2022"/>
      <c r="K133" s="2463"/>
      <c r="N133" s="2022">
        <v>-368871.94</v>
      </c>
    </row>
    <row r="134" spans="1:84" x14ac:dyDescent="0.2">
      <c r="A134" s="2020" t="s">
        <v>5075</v>
      </c>
      <c r="B134" s="2020" t="s">
        <v>5076</v>
      </c>
      <c r="C134" s="2022">
        <v>-15000</v>
      </c>
      <c r="D134" s="2022">
        <v>0</v>
      </c>
      <c r="E134" s="2022">
        <v>0.01</v>
      </c>
      <c r="F134" s="2022">
        <f>-952.83+CD134</f>
        <v>-75633.5</v>
      </c>
      <c r="G134" s="2022">
        <v>0</v>
      </c>
      <c r="H134" s="2022">
        <v>-952.82</v>
      </c>
      <c r="I134" s="2011">
        <f t="shared" si="6"/>
        <v>-75633.490000000005</v>
      </c>
      <c r="J134" s="2022"/>
      <c r="K134" s="2463"/>
      <c r="CD134" s="2728">
        <v>-74680.67</v>
      </c>
    </row>
    <row r="135" spans="1:84" x14ac:dyDescent="0.2">
      <c r="A135" s="2020" t="s">
        <v>5077</v>
      </c>
      <c r="B135" s="2020" t="s">
        <v>5078</v>
      </c>
      <c r="C135" s="2022">
        <v>-242201.05</v>
      </c>
      <c r="D135" s="2022">
        <v>0</v>
      </c>
      <c r="E135" s="2022">
        <f>55155+N135</f>
        <v>112449.95</v>
      </c>
      <c r="F135" s="2022">
        <v>-385659.2</v>
      </c>
      <c r="G135" s="2022">
        <v>0</v>
      </c>
      <c r="H135" s="2022">
        <v>-330504.2</v>
      </c>
      <c r="I135" s="2011">
        <f t="shared" si="6"/>
        <v>-273209.25</v>
      </c>
      <c r="J135" s="2022"/>
      <c r="K135" s="2463"/>
      <c r="N135" s="2022">
        <f>57401.1-106.15</f>
        <v>57294.95</v>
      </c>
    </row>
    <row r="136" spans="1:84" x14ac:dyDescent="0.2">
      <c r="A136" s="2020" t="s">
        <v>5079</v>
      </c>
      <c r="B136" s="2020" t="s">
        <v>6096</v>
      </c>
      <c r="C136" s="2022">
        <v>-7625.82</v>
      </c>
      <c r="D136" s="2022">
        <v>0</v>
      </c>
      <c r="E136" s="2022">
        <v>0</v>
      </c>
      <c r="F136" s="2022">
        <v>0</v>
      </c>
      <c r="G136" s="2022">
        <v>0</v>
      </c>
      <c r="H136" s="2022">
        <v>0</v>
      </c>
      <c r="I136" s="2011">
        <f t="shared" si="6"/>
        <v>0</v>
      </c>
      <c r="J136" s="2022"/>
      <c r="K136" s="2463"/>
    </row>
    <row r="137" spans="1:84" x14ac:dyDescent="0.2">
      <c r="A137" s="2020" t="s">
        <v>5081</v>
      </c>
      <c r="B137" s="2020" t="s">
        <v>6097</v>
      </c>
      <c r="C137" s="2022">
        <v>0</v>
      </c>
      <c r="D137" s="2022">
        <v>0</v>
      </c>
      <c r="E137" s="2022">
        <v>0</v>
      </c>
      <c r="F137" s="2022">
        <v>-2961.77</v>
      </c>
      <c r="G137" s="2022">
        <v>0</v>
      </c>
      <c r="H137" s="2022">
        <v>-2961.77</v>
      </c>
      <c r="I137" s="2011">
        <f t="shared" si="6"/>
        <v>-2961.77</v>
      </c>
      <c r="J137" s="2022"/>
      <c r="K137" s="2463"/>
    </row>
    <row r="138" spans="1:84" x14ac:dyDescent="0.2">
      <c r="A138" s="2020" t="s">
        <v>5083</v>
      </c>
      <c r="B138" s="2020" t="s">
        <v>6098</v>
      </c>
      <c r="C138" s="2022">
        <v>-997346.51</v>
      </c>
      <c r="D138" s="2022">
        <v>0</v>
      </c>
      <c r="E138" s="2022">
        <v>0</v>
      </c>
      <c r="F138" s="2022">
        <v>-33396000</v>
      </c>
      <c r="G138" s="2022">
        <v>0</v>
      </c>
      <c r="H138" s="2022">
        <v>-33396000</v>
      </c>
      <c r="I138" s="2011">
        <f t="shared" si="6"/>
        <v>-33396000</v>
      </c>
      <c r="J138" s="2022"/>
      <c r="K138" s="2463"/>
    </row>
    <row r="139" spans="1:84" x14ac:dyDescent="0.2">
      <c r="A139" s="2020" t="s">
        <v>5084</v>
      </c>
      <c r="B139" s="2020" t="s">
        <v>6099</v>
      </c>
      <c r="C139" s="2022">
        <v>-3126185.31</v>
      </c>
      <c r="D139" s="2022">
        <v>0</v>
      </c>
      <c r="E139" s="2022">
        <v>706992.27</v>
      </c>
      <c r="F139" s="2022">
        <f>-12236000+AR139</f>
        <v>-12942992.27</v>
      </c>
      <c r="G139" s="2022">
        <v>0</v>
      </c>
      <c r="H139" s="2022">
        <v>-11529007.73</v>
      </c>
      <c r="I139" s="2011">
        <f t="shared" si="6"/>
        <v>-12236000</v>
      </c>
      <c r="J139" s="2022"/>
      <c r="K139" s="2463"/>
      <c r="AR139" s="2022">
        <v>-706992.27</v>
      </c>
    </row>
    <row r="140" spans="1:84" x14ac:dyDescent="0.2">
      <c r="A140" s="2020" t="s">
        <v>5085</v>
      </c>
      <c r="B140" s="2020" t="s">
        <v>6100</v>
      </c>
      <c r="C140" s="2022">
        <v>-1500000</v>
      </c>
      <c r="D140" s="2022">
        <v>0</v>
      </c>
      <c r="E140" s="2022">
        <v>0</v>
      </c>
      <c r="F140" s="2022">
        <f>Q140</f>
        <v>-1500000</v>
      </c>
      <c r="G140" s="2022">
        <v>0</v>
      </c>
      <c r="H140" s="2022">
        <v>0</v>
      </c>
      <c r="I140" s="2011">
        <f t="shared" si="6"/>
        <v>-1500000</v>
      </c>
      <c r="J140" s="2022"/>
      <c r="K140" s="2463"/>
      <c r="Q140" s="2022">
        <v>-1500000</v>
      </c>
    </row>
    <row r="141" spans="1:84" x14ac:dyDescent="0.2">
      <c r="A141" s="2020" t="s">
        <v>5087</v>
      </c>
      <c r="B141" s="2020" t="s">
        <v>6101</v>
      </c>
      <c r="C141" s="2022">
        <v>-15000</v>
      </c>
      <c r="D141" s="2022">
        <v>0</v>
      </c>
      <c r="E141" s="2022">
        <v>1579.26</v>
      </c>
      <c r="F141" s="2022">
        <v>-12523.2</v>
      </c>
      <c r="G141" s="2022">
        <v>0</v>
      </c>
      <c r="H141" s="2022">
        <v>-10943.94</v>
      </c>
      <c r="I141" s="2011">
        <f t="shared" si="6"/>
        <v>-10943.94</v>
      </c>
      <c r="J141" s="2022"/>
      <c r="K141" s="2463"/>
    </row>
    <row r="142" spans="1:84" x14ac:dyDescent="0.2">
      <c r="A142" s="2020" t="s">
        <v>5092</v>
      </c>
      <c r="B142" s="2020" t="s">
        <v>6102</v>
      </c>
      <c r="C142" s="2022">
        <v>-600000</v>
      </c>
      <c r="D142" s="2022">
        <v>0</v>
      </c>
      <c r="E142" s="2022">
        <f>498365.8+CF142</f>
        <v>3452260.0799999996</v>
      </c>
      <c r="F142" s="2022">
        <f>-4061624.19+Q142</f>
        <v>-3747624.19</v>
      </c>
      <c r="G142" s="2022">
        <v>0</v>
      </c>
      <c r="H142" s="2022">
        <v>-3563258.39</v>
      </c>
      <c r="I142" s="2011">
        <f t="shared" si="6"/>
        <v>-295364.11000000034</v>
      </c>
      <c r="J142" s="2022"/>
      <c r="K142" s="2463"/>
      <c r="Q142" s="2022">
        <v>314000</v>
      </c>
      <c r="CF142" s="2634">
        <v>2953894.28</v>
      </c>
    </row>
    <row r="143" spans="1:84" x14ac:dyDescent="0.2">
      <c r="A143" s="2020" t="s">
        <v>5096</v>
      </c>
      <c r="B143" s="2020" t="s">
        <v>6103</v>
      </c>
      <c r="C143" s="2022">
        <v>0</v>
      </c>
      <c r="D143" s="2022">
        <v>0</v>
      </c>
      <c r="E143" s="2022">
        <f>39677.38+AM143</f>
        <v>42401.38</v>
      </c>
      <c r="F143" s="2022">
        <v>0</v>
      </c>
      <c r="G143" s="2022">
        <v>39677.379999999997</v>
      </c>
      <c r="H143" s="2022">
        <v>0</v>
      </c>
      <c r="I143" s="2011">
        <f t="shared" si="6"/>
        <v>42401.38</v>
      </c>
      <c r="J143" s="2022"/>
      <c r="K143" s="2463"/>
      <c r="AM143" s="2022">
        <v>2724</v>
      </c>
    </row>
    <row r="144" spans="1:84" x14ac:dyDescent="0.2">
      <c r="A144" s="2020" t="s">
        <v>5099</v>
      </c>
      <c r="B144" s="2020" t="s">
        <v>6003</v>
      </c>
      <c r="C144" s="2022">
        <v>888615.66</v>
      </c>
      <c r="D144" s="2022">
        <v>0</v>
      </c>
      <c r="E144" s="2022">
        <v>914002.88</v>
      </c>
      <c r="F144" s="2022">
        <v>-4473.83</v>
      </c>
      <c r="G144" s="2022">
        <v>909529.05</v>
      </c>
      <c r="H144" s="2022">
        <v>0</v>
      </c>
      <c r="I144" s="2011">
        <f t="shared" si="6"/>
        <v>909529.05</v>
      </c>
      <c r="J144" s="2022"/>
      <c r="K144" s="2463"/>
    </row>
    <row r="145" spans="1:41" x14ac:dyDescent="0.2">
      <c r="A145" s="2020" t="s">
        <v>5100</v>
      </c>
      <c r="B145" s="2020" t="s">
        <v>6004</v>
      </c>
      <c r="C145" s="2022">
        <v>67186.11</v>
      </c>
      <c r="D145" s="2022">
        <v>0</v>
      </c>
      <c r="E145" s="2022">
        <v>48305.19</v>
      </c>
      <c r="F145" s="2022">
        <v>0</v>
      </c>
      <c r="G145" s="2022">
        <v>48305.19</v>
      </c>
      <c r="H145" s="2022">
        <v>0</v>
      </c>
      <c r="I145" s="2011">
        <f t="shared" si="6"/>
        <v>48305.19</v>
      </c>
      <c r="J145" s="2022"/>
      <c r="K145" s="2463"/>
    </row>
    <row r="146" spans="1:41" x14ac:dyDescent="0.2">
      <c r="A146" s="2020" t="s">
        <v>5101</v>
      </c>
      <c r="B146" s="2020" t="s">
        <v>6005</v>
      </c>
      <c r="C146" s="2022">
        <v>1300</v>
      </c>
      <c r="D146" s="2022">
        <v>0</v>
      </c>
      <c r="E146" s="2022">
        <v>1300</v>
      </c>
      <c r="F146" s="2022">
        <v>0</v>
      </c>
      <c r="G146" s="2022">
        <v>1300</v>
      </c>
      <c r="H146" s="2022">
        <v>0</v>
      </c>
      <c r="I146" s="2011">
        <f t="shared" si="6"/>
        <v>1300</v>
      </c>
      <c r="J146" s="2022"/>
      <c r="K146" s="2463"/>
    </row>
    <row r="147" spans="1:41" x14ac:dyDescent="0.2">
      <c r="A147" s="2020" t="s">
        <v>5103</v>
      </c>
      <c r="B147" s="2020" t="s">
        <v>6009</v>
      </c>
      <c r="C147" s="2022">
        <v>130434.04</v>
      </c>
      <c r="D147" s="2022">
        <v>0</v>
      </c>
      <c r="E147" s="2022">
        <v>130434.04</v>
      </c>
      <c r="F147" s="2022">
        <v>0</v>
      </c>
      <c r="G147" s="2022">
        <v>130434.04</v>
      </c>
      <c r="H147" s="2022">
        <v>0</v>
      </c>
      <c r="I147" s="2011">
        <f t="shared" si="6"/>
        <v>130434.04</v>
      </c>
      <c r="J147" s="2022"/>
      <c r="K147" s="2463"/>
    </row>
    <row r="148" spans="1:41" x14ac:dyDescent="0.2">
      <c r="A148" s="2020" t="s">
        <v>5104</v>
      </c>
      <c r="B148" s="2020" t="s">
        <v>6010</v>
      </c>
      <c r="C148" s="2022">
        <v>290.75</v>
      </c>
      <c r="D148" s="2022">
        <v>0</v>
      </c>
      <c r="E148" s="2022">
        <v>290.75</v>
      </c>
      <c r="F148" s="2022">
        <v>0</v>
      </c>
      <c r="G148" s="2022">
        <v>290.75</v>
      </c>
      <c r="H148" s="2022">
        <v>0</v>
      </c>
      <c r="I148" s="2011">
        <f t="shared" si="6"/>
        <v>290.75</v>
      </c>
      <c r="J148" s="2022"/>
      <c r="K148" s="2463"/>
    </row>
    <row r="149" spans="1:41" x14ac:dyDescent="0.2">
      <c r="A149" s="2020" t="s">
        <v>5105</v>
      </c>
      <c r="B149" s="2020" t="s">
        <v>6011</v>
      </c>
      <c r="C149" s="2022">
        <v>10797.87</v>
      </c>
      <c r="D149" s="2022">
        <v>0</v>
      </c>
      <c r="E149" s="2022">
        <v>10329.280000000001</v>
      </c>
      <c r="F149" s="2022">
        <v>0</v>
      </c>
      <c r="G149" s="2022">
        <v>10329.280000000001</v>
      </c>
      <c r="H149" s="2022">
        <v>0</v>
      </c>
      <c r="I149" s="2011">
        <f t="shared" si="6"/>
        <v>10329.280000000001</v>
      </c>
      <c r="J149" s="2022"/>
      <c r="K149" s="2463"/>
    </row>
    <row r="150" spans="1:41" x14ac:dyDescent="0.2">
      <c r="A150" s="2020" t="s">
        <v>5107</v>
      </c>
      <c r="B150" s="2020" t="s">
        <v>6012</v>
      </c>
      <c r="C150" s="2022">
        <v>23368.2</v>
      </c>
      <c r="D150" s="2022">
        <v>0</v>
      </c>
      <c r="E150" s="2022">
        <v>31633.200000000001</v>
      </c>
      <c r="F150" s="2022">
        <v>0</v>
      </c>
      <c r="G150" s="2022">
        <v>31633.200000000001</v>
      </c>
      <c r="H150" s="2022">
        <v>0</v>
      </c>
      <c r="I150" s="2011">
        <f t="shared" si="6"/>
        <v>31633.200000000001</v>
      </c>
      <c r="J150" s="2022"/>
      <c r="K150" s="2463"/>
    </row>
    <row r="151" spans="1:41" x14ac:dyDescent="0.2">
      <c r="A151" s="2020" t="s">
        <v>5108</v>
      </c>
      <c r="B151" s="2020" t="s">
        <v>6013</v>
      </c>
      <c r="C151" s="2022">
        <v>166697.04999999999</v>
      </c>
      <c r="D151" s="2022">
        <v>0</v>
      </c>
      <c r="E151" s="2022">
        <v>216697.05</v>
      </c>
      <c r="F151" s="2022">
        <v>0</v>
      </c>
      <c r="G151" s="2022">
        <v>216697.05</v>
      </c>
      <c r="H151" s="2022">
        <v>0</v>
      </c>
      <c r="I151" s="2011">
        <f t="shared" si="6"/>
        <v>216697.05</v>
      </c>
      <c r="J151" s="2022"/>
      <c r="K151" s="2463"/>
    </row>
    <row r="152" spans="1:41" x14ac:dyDescent="0.2">
      <c r="A152" s="2020" t="s">
        <v>5109</v>
      </c>
      <c r="B152" s="2020" t="s">
        <v>6014</v>
      </c>
      <c r="C152" s="2022">
        <v>7395.71</v>
      </c>
      <c r="D152" s="2022">
        <v>0</v>
      </c>
      <c r="E152" s="2022">
        <v>7524.15</v>
      </c>
      <c r="F152" s="2022">
        <v>0</v>
      </c>
      <c r="G152" s="2022">
        <v>7524.15</v>
      </c>
      <c r="H152" s="2022">
        <v>0</v>
      </c>
      <c r="I152" s="2011">
        <f t="shared" si="6"/>
        <v>7524.15</v>
      </c>
      <c r="J152" s="2022"/>
      <c r="K152" s="2463"/>
    </row>
    <row r="153" spans="1:41" x14ac:dyDescent="0.2">
      <c r="A153" s="2020" t="s">
        <v>5112</v>
      </c>
      <c r="B153" s="2020" t="s">
        <v>6104</v>
      </c>
      <c r="C153" s="2022">
        <v>0</v>
      </c>
      <c r="D153" s="2022">
        <v>0</v>
      </c>
      <c r="E153" s="2022">
        <f>5684.21+20200</f>
        <v>25884.21</v>
      </c>
      <c r="F153" s="2022">
        <v>0</v>
      </c>
      <c r="G153" s="2022">
        <v>5684.21</v>
      </c>
      <c r="H153" s="2022">
        <v>0</v>
      </c>
      <c r="I153" s="2011">
        <f t="shared" si="6"/>
        <v>25884.21</v>
      </c>
      <c r="J153" s="2022"/>
      <c r="K153" s="2463"/>
    </row>
    <row r="154" spans="1:41" x14ac:dyDescent="0.2">
      <c r="A154" s="2020" t="s">
        <v>5114</v>
      </c>
      <c r="B154" s="2020" t="s">
        <v>6021</v>
      </c>
      <c r="C154" s="2022">
        <v>1581.58</v>
      </c>
      <c r="D154" s="2022">
        <v>0</v>
      </c>
      <c r="E154" s="2022">
        <v>3849.21</v>
      </c>
      <c r="F154" s="2022">
        <v>0</v>
      </c>
      <c r="G154" s="2022">
        <v>3849.21</v>
      </c>
      <c r="H154" s="2022">
        <v>0</v>
      </c>
      <c r="I154" s="2011">
        <f t="shared" si="6"/>
        <v>3849.21</v>
      </c>
      <c r="J154" s="2022"/>
      <c r="K154" s="2463"/>
    </row>
    <row r="155" spans="1:41" x14ac:dyDescent="0.2">
      <c r="A155" s="2020" t="s">
        <v>5115</v>
      </c>
      <c r="B155" s="2020" t="s">
        <v>6105</v>
      </c>
      <c r="C155" s="2022">
        <v>56.45</v>
      </c>
      <c r="D155" s="2022">
        <v>0</v>
      </c>
      <c r="E155" s="2022">
        <v>206.98</v>
      </c>
      <c r="F155" s="2022">
        <v>0</v>
      </c>
      <c r="G155" s="2022">
        <v>206.98</v>
      </c>
      <c r="H155" s="2022">
        <v>0</v>
      </c>
      <c r="I155" s="2011">
        <f t="shared" si="6"/>
        <v>206.98</v>
      </c>
      <c r="J155" s="2022"/>
      <c r="K155" s="2463"/>
    </row>
    <row r="156" spans="1:41" x14ac:dyDescent="0.2">
      <c r="A156" s="2020" t="s">
        <v>5118</v>
      </c>
      <c r="B156" s="2020" t="s">
        <v>6029</v>
      </c>
      <c r="C156" s="2022">
        <v>100000</v>
      </c>
      <c r="D156" s="2022">
        <v>0</v>
      </c>
      <c r="E156" s="2022">
        <f>163741.47+AM156</f>
        <v>208831.37</v>
      </c>
      <c r="F156" s="2022">
        <f>-600+AO156</f>
        <v>-20230</v>
      </c>
      <c r="G156" s="2022">
        <v>163141.47</v>
      </c>
      <c r="H156" s="2022">
        <v>0</v>
      </c>
      <c r="I156" s="2011">
        <f t="shared" si="6"/>
        <v>188601.37</v>
      </c>
      <c r="J156" s="2022"/>
      <c r="K156" s="2463"/>
      <c r="AM156" s="2022">
        <v>45089.9</v>
      </c>
      <c r="AO156" s="2022">
        <v>-19630</v>
      </c>
    </row>
    <row r="157" spans="1:41" x14ac:dyDescent="0.2">
      <c r="A157" s="2020" t="s">
        <v>5119</v>
      </c>
      <c r="B157" s="2020" t="s">
        <v>6030</v>
      </c>
      <c r="C157" s="2022">
        <v>2061.39</v>
      </c>
      <c r="D157" s="2022">
        <v>0</v>
      </c>
      <c r="E157" s="2022">
        <f>2061.39+AM157</f>
        <v>2550.89</v>
      </c>
      <c r="F157" s="2022">
        <v>0</v>
      </c>
      <c r="G157" s="2022">
        <v>2061.39</v>
      </c>
      <c r="H157" s="2022">
        <v>0</v>
      </c>
      <c r="I157" s="2011">
        <f t="shared" si="6"/>
        <v>2550.89</v>
      </c>
      <c r="J157" s="2022"/>
      <c r="K157" s="2463"/>
      <c r="AM157" s="2022">
        <v>489.5</v>
      </c>
    </row>
    <row r="158" spans="1:41" x14ac:dyDescent="0.2">
      <c r="A158" s="2020" t="s">
        <v>5120</v>
      </c>
      <c r="B158" s="2020" t="s">
        <v>6033</v>
      </c>
      <c r="C158" s="2022">
        <v>633.19000000000005</v>
      </c>
      <c r="D158" s="2022">
        <v>0</v>
      </c>
      <c r="E158" s="2022">
        <f>633.19+R158</f>
        <v>0</v>
      </c>
      <c r="F158" s="2022">
        <v>0</v>
      </c>
      <c r="G158" s="2022">
        <v>633.19000000000005</v>
      </c>
      <c r="H158" s="2022">
        <v>0</v>
      </c>
      <c r="I158" s="2011">
        <f t="shared" si="6"/>
        <v>0</v>
      </c>
      <c r="J158" s="2022"/>
      <c r="K158" s="2463"/>
      <c r="R158" s="2022">
        <v>-633.19000000000005</v>
      </c>
    </row>
    <row r="159" spans="1:41" x14ac:dyDescent="0.2">
      <c r="A159" s="2020" t="s">
        <v>5122</v>
      </c>
      <c r="B159" s="2020" t="s">
        <v>6035</v>
      </c>
      <c r="C159" s="2022">
        <v>20215.11</v>
      </c>
      <c r="D159" s="2022">
        <v>0</v>
      </c>
      <c r="E159" s="2022">
        <v>20215.11</v>
      </c>
      <c r="F159" s="2022">
        <v>0</v>
      </c>
      <c r="G159" s="2022">
        <v>20215.11</v>
      </c>
      <c r="H159" s="2022">
        <v>0</v>
      </c>
      <c r="I159" s="2011">
        <f t="shared" si="6"/>
        <v>20215.11</v>
      </c>
      <c r="J159" s="2022"/>
      <c r="K159" s="2463"/>
    </row>
    <row r="160" spans="1:41" x14ac:dyDescent="0.2">
      <c r="A160" s="2020" t="s">
        <v>5124</v>
      </c>
      <c r="B160" s="2020" t="s">
        <v>6037</v>
      </c>
      <c r="C160" s="2022">
        <v>-1420633.11</v>
      </c>
      <c r="D160" s="2022">
        <v>0</v>
      </c>
      <c r="E160" s="2022">
        <v>0</v>
      </c>
      <c r="F160" s="2022">
        <v>0</v>
      </c>
      <c r="G160" s="2022">
        <v>0</v>
      </c>
      <c r="H160" s="2022">
        <v>0</v>
      </c>
      <c r="I160" s="2011">
        <f t="shared" si="6"/>
        <v>0</v>
      </c>
      <c r="J160" s="2022"/>
      <c r="K160" s="2463"/>
    </row>
    <row r="161" spans="1:11" x14ac:dyDescent="0.2">
      <c r="A161" s="2020" t="s">
        <v>5125</v>
      </c>
      <c r="B161" s="2020" t="s">
        <v>6003</v>
      </c>
      <c r="C161" s="2022">
        <v>335532.62</v>
      </c>
      <c r="D161" s="2022">
        <v>0</v>
      </c>
      <c r="E161" s="2022">
        <v>312424.53999999998</v>
      </c>
      <c r="F161" s="2022">
        <v>-4721.74</v>
      </c>
      <c r="G161" s="2022">
        <v>307702.8</v>
      </c>
      <c r="H161" s="2022">
        <v>0</v>
      </c>
      <c r="I161" s="2011">
        <f t="shared" si="6"/>
        <v>307702.8</v>
      </c>
      <c r="J161" s="2022"/>
      <c r="K161" s="2463"/>
    </row>
    <row r="162" spans="1:11" x14ac:dyDescent="0.2">
      <c r="A162" s="2020" t="s">
        <v>5126</v>
      </c>
      <c r="B162" s="2020" t="s">
        <v>6004</v>
      </c>
      <c r="C162" s="2022">
        <v>24514.6</v>
      </c>
      <c r="D162" s="2022">
        <v>0</v>
      </c>
      <c r="E162" s="2022">
        <v>30808.959999999999</v>
      </c>
      <c r="F162" s="2022">
        <v>0</v>
      </c>
      <c r="G162" s="2022">
        <v>30808.959999999999</v>
      </c>
      <c r="H162" s="2022">
        <v>0</v>
      </c>
      <c r="I162" s="2011">
        <f t="shared" si="6"/>
        <v>30808.959999999999</v>
      </c>
      <c r="J162" s="2022"/>
      <c r="K162" s="2463"/>
    </row>
    <row r="163" spans="1:11" x14ac:dyDescent="0.2">
      <c r="A163" s="2020" t="s">
        <v>5127</v>
      </c>
      <c r="B163" s="2020" t="s">
        <v>6005</v>
      </c>
      <c r="C163" s="2022">
        <v>2200</v>
      </c>
      <c r="D163" s="2022">
        <v>0</v>
      </c>
      <c r="E163" s="2022">
        <v>1000</v>
      </c>
      <c r="F163" s="2022">
        <v>0</v>
      </c>
      <c r="G163" s="2022">
        <v>1000</v>
      </c>
      <c r="H163" s="2022">
        <v>0</v>
      </c>
      <c r="I163" s="2011">
        <f t="shared" si="6"/>
        <v>1000</v>
      </c>
      <c r="J163" s="2022"/>
      <c r="K163" s="2463"/>
    </row>
    <row r="164" spans="1:11" x14ac:dyDescent="0.2">
      <c r="A164" s="2020" t="s">
        <v>5128</v>
      </c>
      <c r="B164" s="2020" t="s">
        <v>6006</v>
      </c>
      <c r="C164" s="2022">
        <v>6264</v>
      </c>
      <c r="D164" s="2022">
        <v>0</v>
      </c>
      <c r="E164" s="2022">
        <v>4576.8999999999996</v>
      </c>
      <c r="F164" s="2022">
        <v>0</v>
      </c>
      <c r="G164" s="2022">
        <v>4576.8999999999996</v>
      </c>
      <c r="H164" s="2022">
        <v>0</v>
      </c>
      <c r="I164" s="2011">
        <f t="shared" si="6"/>
        <v>4576.8999999999996</v>
      </c>
      <c r="J164" s="2022"/>
      <c r="K164" s="2463"/>
    </row>
    <row r="165" spans="1:11" x14ac:dyDescent="0.2">
      <c r="A165" s="2020" t="s">
        <v>5129</v>
      </c>
      <c r="B165" s="2020" t="s">
        <v>6007</v>
      </c>
      <c r="C165" s="2022">
        <v>10218.89</v>
      </c>
      <c r="D165" s="2022">
        <v>0</v>
      </c>
      <c r="E165" s="2022">
        <v>16112.83</v>
      </c>
      <c r="F165" s="2022">
        <v>0</v>
      </c>
      <c r="G165" s="2022">
        <v>16112.83</v>
      </c>
      <c r="H165" s="2022">
        <v>0</v>
      </c>
      <c r="I165" s="2011">
        <f t="shared" si="6"/>
        <v>16112.83</v>
      </c>
      <c r="J165" s="2022"/>
      <c r="K165" s="2463"/>
    </row>
    <row r="166" spans="1:11" x14ac:dyDescent="0.2">
      <c r="A166" s="2020" t="s">
        <v>5131</v>
      </c>
      <c r="B166" s="2020" t="s">
        <v>6009</v>
      </c>
      <c r="C166" s="2022">
        <v>49162.78</v>
      </c>
      <c r="D166" s="2022">
        <v>0</v>
      </c>
      <c r="E166" s="2022">
        <v>37850.78</v>
      </c>
      <c r="F166" s="2022">
        <v>0</v>
      </c>
      <c r="G166" s="2022">
        <v>37850.78</v>
      </c>
      <c r="H166" s="2022">
        <v>0</v>
      </c>
      <c r="I166" s="2011">
        <f t="shared" si="6"/>
        <v>37850.78</v>
      </c>
      <c r="J166" s="2022"/>
      <c r="K166" s="2463"/>
    </row>
    <row r="167" spans="1:11" x14ac:dyDescent="0.2">
      <c r="A167" s="2020" t="s">
        <v>5132</v>
      </c>
      <c r="B167" s="2020" t="s">
        <v>6010</v>
      </c>
      <c r="C167" s="2022">
        <v>168.1</v>
      </c>
      <c r="D167" s="2022">
        <v>0</v>
      </c>
      <c r="E167" s="2022">
        <v>155.80000000000001</v>
      </c>
      <c r="F167" s="2022">
        <v>0</v>
      </c>
      <c r="G167" s="2022">
        <v>155.80000000000001</v>
      </c>
      <c r="H167" s="2022">
        <v>0</v>
      </c>
      <c r="I167" s="2011">
        <f t="shared" si="6"/>
        <v>155.80000000000001</v>
      </c>
      <c r="J167" s="2022"/>
      <c r="K167" s="2463"/>
    </row>
    <row r="168" spans="1:11" x14ac:dyDescent="0.2">
      <c r="A168" s="2020" t="s">
        <v>5133</v>
      </c>
      <c r="B168" s="2020" t="s">
        <v>6011</v>
      </c>
      <c r="C168" s="2022">
        <v>3998.02</v>
      </c>
      <c r="D168" s="2022">
        <v>0</v>
      </c>
      <c r="E168" s="2022">
        <v>3966.83</v>
      </c>
      <c r="F168" s="2022">
        <v>0</v>
      </c>
      <c r="G168" s="2022">
        <v>3966.83</v>
      </c>
      <c r="H168" s="2022">
        <v>0</v>
      </c>
      <c r="I168" s="2011">
        <f t="shared" si="6"/>
        <v>3966.83</v>
      </c>
      <c r="J168" s="2022"/>
      <c r="K168" s="2463"/>
    </row>
    <row r="169" spans="1:11" x14ac:dyDescent="0.2">
      <c r="A169" s="2020" t="s">
        <v>5135</v>
      </c>
      <c r="B169" s="2020" t="s">
        <v>6012</v>
      </c>
      <c r="C169" s="2022">
        <v>44594</v>
      </c>
      <c r="D169" s="2022">
        <v>0</v>
      </c>
      <c r="E169" s="2022">
        <v>36080</v>
      </c>
      <c r="F169" s="2022">
        <v>0</v>
      </c>
      <c r="G169" s="2022">
        <v>36080</v>
      </c>
      <c r="H169" s="2022">
        <v>0</v>
      </c>
      <c r="I169" s="2011">
        <f t="shared" si="6"/>
        <v>36080</v>
      </c>
      <c r="J169" s="2022"/>
      <c r="K169" s="2463"/>
    </row>
    <row r="170" spans="1:11" x14ac:dyDescent="0.2">
      <c r="A170" s="2020" t="s">
        <v>5136</v>
      </c>
      <c r="B170" s="2020" t="s">
        <v>6013</v>
      </c>
      <c r="C170" s="2022">
        <v>69018.17</v>
      </c>
      <c r="D170" s="2022">
        <v>0</v>
      </c>
      <c r="E170" s="2022">
        <v>61117.15</v>
      </c>
      <c r="F170" s="2022">
        <v>0</v>
      </c>
      <c r="G170" s="2022">
        <v>61117.15</v>
      </c>
      <c r="H170" s="2022">
        <v>0</v>
      </c>
      <c r="I170" s="2011">
        <f t="shared" si="6"/>
        <v>61117.15</v>
      </c>
      <c r="J170" s="2022"/>
      <c r="K170" s="2463"/>
    </row>
    <row r="171" spans="1:11" x14ac:dyDescent="0.2">
      <c r="A171" s="2020" t="s">
        <v>5137</v>
      </c>
      <c r="B171" s="2020" t="s">
        <v>6014</v>
      </c>
      <c r="C171" s="2022">
        <v>3893.16</v>
      </c>
      <c r="D171" s="2022">
        <v>0</v>
      </c>
      <c r="E171" s="2022">
        <v>3454.77</v>
      </c>
      <c r="F171" s="2022">
        <v>0</v>
      </c>
      <c r="G171" s="2022">
        <v>3454.77</v>
      </c>
      <c r="H171" s="2022">
        <v>0</v>
      </c>
      <c r="I171" s="2011">
        <f t="shared" si="6"/>
        <v>3454.77</v>
      </c>
      <c r="J171" s="2022"/>
      <c r="K171" s="2463"/>
    </row>
    <row r="172" spans="1:11" x14ac:dyDescent="0.2">
      <c r="A172" s="2020" t="s">
        <v>5138</v>
      </c>
      <c r="B172" s="2020" t="s">
        <v>6106</v>
      </c>
      <c r="C172" s="2022">
        <v>315.79000000000002</v>
      </c>
      <c r="D172" s="2022">
        <v>0</v>
      </c>
      <c r="E172" s="2022">
        <v>315.79000000000002</v>
      </c>
      <c r="F172" s="2022">
        <v>0</v>
      </c>
      <c r="G172" s="2022">
        <v>315.79000000000002</v>
      </c>
      <c r="H172" s="2022">
        <v>0</v>
      </c>
      <c r="I172" s="2011">
        <f t="shared" si="6"/>
        <v>315.79000000000002</v>
      </c>
      <c r="J172" s="2022"/>
      <c r="K172" s="2463"/>
    </row>
    <row r="173" spans="1:11" x14ac:dyDescent="0.2">
      <c r="A173" s="2020" t="s">
        <v>5139</v>
      </c>
      <c r="B173" s="2020" t="s">
        <v>6021</v>
      </c>
      <c r="C173" s="2022">
        <v>412.57</v>
      </c>
      <c r="D173" s="2022">
        <v>0</v>
      </c>
      <c r="E173" s="2022">
        <v>0</v>
      </c>
      <c r="F173" s="2022">
        <v>0</v>
      </c>
      <c r="G173" s="2022">
        <v>0</v>
      </c>
      <c r="H173" s="2022">
        <v>0</v>
      </c>
      <c r="I173" s="2011">
        <f t="shared" si="6"/>
        <v>0</v>
      </c>
      <c r="J173" s="2022"/>
      <c r="K173" s="2463"/>
    </row>
    <row r="174" spans="1:11" x14ac:dyDescent="0.2">
      <c r="A174" s="2020" t="s">
        <v>5140</v>
      </c>
      <c r="B174" s="2020" t="s">
        <v>6107</v>
      </c>
      <c r="C174" s="2022">
        <v>0</v>
      </c>
      <c r="D174" s="2022">
        <v>0</v>
      </c>
      <c r="E174" s="2022">
        <v>1666.68</v>
      </c>
      <c r="F174" s="2022">
        <v>0</v>
      </c>
      <c r="G174" s="2022">
        <v>1666.68</v>
      </c>
      <c r="H174" s="2022">
        <v>0</v>
      </c>
      <c r="I174" s="2011">
        <f t="shared" si="6"/>
        <v>1666.68</v>
      </c>
      <c r="J174" s="2022"/>
      <c r="K174" s="2463"/>
    </row>
    <row r="175" spans="1:11" x14ac:dyDescent="0.2">
      <c r="A175" s="2020" t="s">
        <v>5142</v>
      </c>
      <c r="B175" s="2020" t="s">
        <v>6105</v>
      </c>
      <c r="C175" s="2022">
        <v>205.96</v>
      </c>
      <c r="D175" s="2022">
        <v>0</v>
      </c>
      <c r="E175" s="2022">
        <v>0</v>
      </c>
      <c r="F175" s="2022">
        <v>0</v>
      </c>
      <c r="G175" s="2022">
        <v>0</v>
      </c>
      <c r="H175" s="2022">
        <v>0</v>
      </c>
      <c r="I175" s="2011">
        <f t="shared" si="6"/>
        <v>0</v>
      </c>
      <c r="J175" s="2022"/>
      <c r="K175" s="2463"/>
    </row>
    <row r="176" spans="1:11" x14ac:dyDescent="0.2">
      <c r="A176" s="2020" t="s">
        <v>5143</v>
      </c>
      <c r="B176" s="2020" t="s">
        <v>6108</v>
      </c>
      <c r="C176" s="2022">
        <v>265</v>
      </c>
      <c r="D176" s="2022">
        <v>0</v>
      </c>
      <c r="E176" s="2022">
        <v>66</v>
      </c>
      <c r="F176" s="2022">
        <v>0</v>
      </c>
      <c r="G176" s="2022">
        <v>66</v>
      </c>
      <c r="H176" s="2022">
        <v>0</v>
      </c>
      <c r="I176" s="2011">
        <f t="shared" si="6"/>
        <v>66</v>
      </c>
      <c r="J176" s="2022"/>
      <c r="K176" s="2463"/>
    </row>
    <row r="177" spans="1:89" x14ac:dyDescent="0.2">
      <c r="A177" s="2020" t="s">
        <v>5144</v>
      </c>
      <c r="B177" s="2020" t="s">
        <v>6109</v>
      </c>
      <c r="C177" s="2022">
        <v>23000</v>
      </c>
      <c r="D177" s="2022">
        <v>0</v>
      </c>
      <c r="E177" s="2022">
        <f>14887.93+AM177</f>
        <v>16887.93</v>
      </c>
      <c r="F177" s="2022">
        <v>0</v>
      </c>
      <c r="G177" s="2022">
        <v>14887.93</v>
      </c>
      <c r="H177" s="2022">
        <v>0</v>
      </c>
      <c r="I177" s="2011">
        <f t="shared" si="6"/>
        <v>16887.93</v>
      </c>
      <c r="J177" s="2022"/>
      <c r="K177" s="2463"/>
      <c r="AM177" s="2022">
        <v>2000</v>
      </c>
    </row>
    <row r="178" spans="1:89" x14ac:dyDescent="0.2">
      <c r="A178" s="2020" t="s">
        <v>5145</v>
      </c>
      <c r="B178" s="2020" t="s">
        <v>4873</v>
      </c>
      <c r="C178" s="2022">
        <v>0</v>
      </c>
      <c r="D178" s="2022">
        <v>0</v>
      </c>
      <c r="E178" s="2022">
        <f>9990+R178</f>
        <v>0</v>
      </c>
      <c r="F178" s="2022">
        <v>0</v>
      </c>
      <c r="G178" s="2022">
        <v>9990</v>
      </c>
      <c r="H178" s="2022">
        <v>0</v>
      </c>
      <c r="I178" s="2011">
        <f t="shared" si="6"/>
        <v>0</v>
      </c>
      <c r="J178" s="2022"/>
      <c r="K178" s="2463"/>
      <c r="R178" s="2022">
        <v>-9990</v>
      </c>
    </row>
    <row r="179" spans="1:89" x14ac:dyDescent="0.2">
      <c r="A179" s="2020" t="s">
        <v>5146</v>
      </c>
      <c r="B179" s="2020" t="s">
        <v>6029</v>
      </c>
      <c r="C179" s="2022">
        <v>13720.89</v>
      </c>
      <c r="D179" s="2022">
        <v>0</v>
      </c>
      <c r="E179" s="2022">
        <v>9337.73</v>
      </c>
      <c r="F179" s="2022">
        <v>0</v>
      </c>
      <c r="G179" s="2022">
        <v>9337.73</v>
      </c>
      <c r="H179" s="2022">
        <v>0</v>
      </c>
      <c r="I179" s="2011">
        <f t="shared" si="6"/>
        <v>9337.73</v>
      </c>
      <c r="J179" s="2022"/>
      <c r="K179" s="2463"/>
    </row>
    <row r="180" spans="1:89" x14ac:dyDescent="0.2">
      <c r="A180" s="2020" t="s">
        <v>5147</v>
      </c>
      <c r="B180" s="2020" t="s">
        <v>6110</v>
      </c>
      <c r="C180" s="2022">
        <v>200000</v>
      </c>
      <c r="D180" s="2022">
        <v>0</v>
      </c>
      <c r="E180" s="2022">
        <v>156972.99</v>
      </c>
      <c r="F180" s="2022">
        <v>0</v>
      </c>
      <c r="G180" s="2022">
        <v>156972.99</v>
      </c>
      <c r="H180" s="2022">
        <v>0</v>
      </c>
      <c r="I180" s="2011">
        <f t="shared" si="6"/>
        <v>156972.99</v>
      </c>
      <c r="J180" s="2022"/>
      <c r="K180" s="2463"/>
    </row>
    <row r="181" spans="1:89" x14ac:dyDescent="0.2">
      <c r="A181" s="2020" t="s">
        <v>5148</v>
      </c>
      <c r="B181" s="2020" t="s">
        <v>6030</v>
      </c>
      <c r="C181" s="2022">
        <v>692</v>
      </c>
      <c r="D181" s="2022">
        <v>0</v>
      </c>
      <c r="E181" s="2022">
        <v>23600.38</v>
      </c>
      <c r="F181" s="2022">
        <v>0</v>
      </c>
      <c r="G181" s="2022">
        <v>23600.38</v>
      </c>
      <c r="H181" s="2022">
        <v>0</v>
      </c>
      <c r="I181" s="2011">
        <f t="shared" si="6"/>
        <v>23600.38</v>
      </c>
      <c r="J181" s="2022"/>
      <c r="K181" s="2463"/>
    </row>
    <row r="182" spans="1:89" x14ac:dyDescent="0.2">
      <c r="A182" s="2020" t="s">
        <v>5150</v>
      </c>
      <c r="B182" s="2020" t="s">
        <v>6033</v>
      </c>
      <c r="C182" s="2022">
        <v>412.57</v>
      </c>
      <c r="D182" s="2022">
        <v>0</v>
      </c>
      <c r="E182" s="2022">
        <f>171.6+R182</f>
        <v>0</v>
      </c>
      <c r="F182" s="2022">
        <v>0</v>
      </c>
      <c r="G182" s="2022">
        <v>171.6</v>
      </c>
      <c r="H182" s="2022">
        <v>0</v>
      </c>
      <c r="I182" s="2011">
        <f t="shared" si="6"/>
        <v>0</v>
      </c>
      <c r="J182" s="2022"/>
      <c r="K182" s="2463"/>
      <c r="R182" s="2022">
        <v>-171.6</v>
      </c>
    </row>
    <row r="183" spans="1:89" x14ac:dyDescent="0.2">
      <c r="A183" s="2020" t="s">
        <v>5151</v>
      </c>
      <c r="B183" s="2020" t="s">
        <v>4893</v>
      </c>
      <c r="C183" s="2022">
        <v>20000</v>
      </c>
      <c r="D183" s="2022">
        <v>0</v>
      </c>
      <c r="E183" s="2022">
        <v>13632.28</v>
      </c>
      <c r="F183" s="2022">
        <v>0</v>
      </c>
      <c r="G183" s="2022">
        <v>13632.28</v>
      </c>
      <c r="H183" s="2022">
        <v>0</v>
      </c>
      <c r="I183" s="2011">
        <f t="shared" si="6"/>
        <v>13632.28</v>
      </c>
      <c r="J183" s="2022"/>
      <c r="K183" s="2463"/>
    </row>
    <row r="184" spans="1:89" x14ac:dyDescent="0.2">
      <c r="A184" s="2020" t="s">
        <v>5152</v>
      </c>
      <c r="B184" s="2020" t="s">
        <v>6034</v>
      </c>
      <c r="C184" s="2022">
        <v>22801.9</v>
      </c>
      <c r="D184" s="2022">
        <v>0</v>
      </c>
      <c r="E184" s="2022">
        <v>7712.4</v>
      </c>
      <c r="F184" s="2022">
        <v>-90</v>
      </c>
      <c r="G184" s="2022">
        <v>7622.4</v>
      </c>
      <c r="H184" s="2022">
        <v>0</v>
      </c>
      <c r="I184" s="2011">
        <f t="shared" si="6"/>
        <v>7622.4</v>
      </c>
      <c r="J184" s="2022"/>
      <c r="K184" s="2463"/>
    </row>
    <row r="185" spans="1:89" x14ac:dyDescent="0.2">
      <c r="A185" s="2020" t="s">
        <v>5153</v>
      </c>
      <c r="B185" s="2020" t="s">
        <v>6035</v>
      </c>
      <c r="C185" s="2022">
        <v>9095.24</v>
      </c>
      <c r="D185" s="2022">
        <v>0</v>
      </c>
      <c r="E185" s="2022">
        <v>38515.71</v>
      </c>
      <c r="F185" s="2022">
        <v>0</v>
      </c>
      <c r="G185" s="2022">
        <v>38515.71</v>
      </c>
      <c r="H185" s="2022">
        <v>0</v>
      </c>
      <c r="I185" s="2011">
        <f t="shared" si="6"/>
        <v>38515.71</v>
      </c>
      <c r="J185" s="2022"/>
      <c r="K185" s="2463"/>
    </row>
    <row r="186" spans="1:89" x14ac:dyDescent="0.2">
      <c r="A186" s="2020" t="s">
        <v>5154</v>
      </c>
      <c r="B186" s="2020" t="s">
        <v>6036</v>
      </c>
      <c r="C186" s="2022">
        <v>0</v>
      </c>
      <c r="D186" s="2022">
        <v>0</v>
      </c>
      <c r="E186" s="2022">
        <v>10681.96</v>
      </c>
      <c r="F186" s="2022">
        <v>0</v>
      </c>
      <c r="G186" s="2022">
        <v>10681.96</v>
      </c>
      <c r="H186" s="2022">
        <v>0</v>
      </c>
      <c r="I186" s="2011">
        <f t="shared" si="6"/>
        <v>10681.96</v>
      </c>
      <c r="J186" s="2022"/>
      <c r="K186" s="2463"/>
    </row>
    <row r="187" spans="1:89" x14ac:dyDescent="0.2">
      <c r="A187" s="2020" t="s">
        <v>5155</v>
      </c>
      <c r="B187" s="2020" t="s">
        <v>6037</v>
      </c>
      <c r="C187" s="2022">
        <v>-840486.26</v>
      </c>
      <c r="D187" s="2022">
        <v>0</v>
      </c>
      <c r="E187" s="2022">
        <v>0</v>
      </c>
      <c r="F187" s="2022">
        <v>0</v>
      </c>
      <c r="G187" s="2022">
        <v>0</v>
      </c>
      <c r="H187" s="2022">
        <v>0</v>
      </c>
      <c r="I187" s="2011">
        <f t="shared" si="6"/>
        <v>0</v>
      </c>
      <c r="J187" s="2022"/>
      <c r="K187" s="2463"/>
    </row>
    <row r="188" spans="1:89" x14ac:dyDescent="0.2">
      <c r="A188" s="2020" t="s">
        <v>5161</v>
      </c>
      <c r="B188" s="2020" t="s">
        <v>4863</v>
      </c>
      <c r="C188" s="2022">
        <v>50000</v>
      </c>
      <c r="D188" s="2022">
        <v>0</v>
      </c>
      <c r="E188" s="2022">
        <f>82797.39+AM188</f>
        <v>131019.39</v>
      </c>
      <c r="F188" s="2022">
        <v>-6156</v>
      </c>
      <c r="G188" s="2022">
        <v>76641.39</v>
      </c>
      <c r="H188" s="2022">
        <v>0</v>
      </c>
      <c r="I188" s="2011">
        <f t="shared" si="6"/>
        <v>124863.39</v>
      </c>
      <c r="J188" s="2022"/>
      <c r="K188" s="2463"/>
      <c r="AM188" s="2022">
        <v>48222</v>
      </c>
    </row>
    <row r="189" spans="1:89" x14ac:dyDescent="0.2">
      <c r="A189" s="2020" t="s">
        <v>5164</v>
      </c>
      <c r="B189" s="2020" t="s">
        <v>6111</v>
      </c>
      <c r="C189" s="2022">
        <v>1500000</v>
      </c>
      <c r="D189" s="2022">
        <v>0</v>
      </c>
      <c r="E189" s="2022">
        <f>675596.59+152586.7+AM189</f>
        <v>828487.29</v>
      </c>
      <c r="F189" s="2022">
        <v>-141551.1</v>
      </c>
      <c r="G189" s="2022">
        <v>534045.49</v>
      </c>
      <c r="H189" s="2022">
        <v>0</v>
      </c>
      <c r="I189" s="2011">
        <f t="shared" si="6"/>
        <v>686936.19000000006</v>
      </c>
      <c r="J189" s="2022"/>
      <c r="K189" s="2463"/>
      <c r="AM189" s="2022">
        <v>304</v>
      </c>
    </row>
    <row r="190" spans="1:89" s="2100" customFormat="1" x14ac:dyDescent="0.2">
      <c r="A190" s="2106" t="s">
        <v>5181</v>
      </c>
      <c r="B190" s="2106" t="s">
        <v>7675</v>
      </c>
      <c r="C190" s="2022">
        <v>0</v>
      </c>
      <c r="D190" s="2022">
        <v>0</v>
      </c>
      <c r="E190" s="2022">
        <f>BF190</f>
        <v>338742.47</v>
      </c>
      <c r="F190" s="2022">
        <v>0</v>
      </c>
      <c r="G190" s="2022"/>
      <c r="H190" s="2022"/>
      <c r="I190" s="2011">
        <f t="shared" si="6"/>
        <v>338742.47</v>
      </c>
      <c r="J190" s="2022"/>
      <c r="K190" s="2463"/>
      <c r="L190" s="2022"/>
      <c r="M190" s="2022"/>
      <c r="N190" s="2022"/>
      <c r="O190" s="2022"/>
      <c r="P190" s="2022"/>
      <c r="Q190" s="2022"/>
      <c r="R190" s="2022"/>
      <c r="S190" s="2022"/>
      <c r="T190" s="2022"/>
      <c r="U190" s="2022"/>
      <c r="V190" s="2022"/>
      <c r="W190" s="2022"/>
      <c r="X190" s="2022"/>
      <c r="Y190" s="2022"/>
      <c r="Z190" s="2022"/>
      <c r="AA190" s="2022"/>
      <c r="AB190" s="2022"/>
      <c r="AC190" s="2022"/>
      <c r="AD190" s="2022"/>
      <c r="AE190" s="2022"/>
      <c r="AF190" s="2022"/>
      <c r="AG190" s="2022"/>
      <c r="AH190" s="2022"/>
      <c r="AI190" s="2022"/>
      <c r="AJ190" s="2022"/>
      <c r="AK190" s="2022"/>
      <c r="AL190" s="2022"/>
      <c r="AM190" s="2022"/>
      <c r="AN190" s="2022"/>
      <c r="AO190" s="2022"/>
      <c r="AP190" s="2022"/>
      <c r="AQ190" s="2022"/>
      <c r="AR190" s="2022"/>
      <c r="AS190" s="2022"/>
      <c r="AT190" s="2022"/>
      <c r="AU190" s="2022"/>
      <c r="AV190" s="2558"/>
      <c r="AW190" s="2022"/>
      <c r="AX190" s="2022"/>
      <c r="AY190" s="2022"/>
      <c r="AZ190" s="2022"/>
      <c r="BA190" s="2022"/>
      <c r="BB190" s="2022"/>
      <c r="BC190" s="2022"/>
      <c r="BD190" s="2022"/>
      <c r="BE190" s="2022"/>
      <c r="BF190" s="2022">
        <v>338742.47</v>
      </c>
      <c r="BG190" s="2022"/>
      <c r="BH190" s="2022"/>
      <c r="BI190" s="2728"/>
      <c r="BJ190" s="2728"/>
      <c r="BK190" s="2728"/>
      <c r="BL190" s="2728"/>
      <c r="BM190" s="2728"/>
      <c r="BN190" s="2728"/>
      <c r="BO190" s="2728"/>
      <c r="BP190" s="2728"/>
      <c r="BQ190" s="2728"/>
      <c r="BR190" s="2728"/>
      <c r="BS190" s="2632"/>
      <c r="BT190" s="2632"/>
      <c r="BU190" s="2728"/>
      <c r="BV190" s="2728"/>
      <c r="BW190" s="2632"/>
      <c r="BX190" s="2632"/>
      <c r="BY190" s="2632"/>
      <c r="BZ190" s="2632"/>
      <c r="CA190" s="2632"/>
      <c r="CB190" s="2728"/>
      <c r="CC190" s="2632"/>
      <c r="CD190" s="2632"/>
      <c r="CE190" s="2632"/>
      <c r="CF190" s="2632"/>
      <c r="CG190" s="2728"/>
      <c r="CH190" s="2728"/>
      <c r="CI190" s="2632"/>
      <c r="CJ190" s="2632"/>
      <c r="CK190" s="2632"/>
    </row>
    <row r="191" spans="1:89" x14ac:dyDescent="0.2">
      <c r="A191" s="2020" t="s">
        <v>5190</v>
      </c>
      <c r="B191" s="2020" t="s">
        <v>5191</v>
      </c>
      <c r="C191" s="2022">
        <v>-23512.85</v>
      </c>
      <c r="D191" s="2022">
        <v>0</v>
      </c>
      <c r="E191" s="2022">
        <v>454.12</v>
      </c>
      <c r="F191" s="2022">
        <v>-25931.82</v>
      </c>
      <c r="G191" s="2022">
        <v>0</v>
      </c>
      <c r="H191" s="2022">
        <v>-25477.7</v>
      </c>
      <c r="I191" s="2011">
        <f t="shared" si="6"/>
        <v>-25477.7</v>
      </c>
      <c r="J191" s="2022"/>
      <c r="K191" s="2463"/>
    </row>
    <row r="192" spans="1:89" x14ac:dyDescent="0.2">
      <c r="A192" s="2020" t="s">
        <v>5192</v>
      </c>
      <c r="B192" s="2020" t="s">
        <v>6112</v>
      </c>
      <c r="C192" s="2022">
        <v>-2500</v>
      </c>
      <c r="D192" s="2022">
        <v>0</v>
      </c>
      <c r="E192" s="2022">
        <v>1011.58</v>
      </c>
      <c r="F192" s="2022">
        <v>-3364.3</v>
      </c>
      <c r="G192" s="2022">
        <v>0</v>
      </c>
      <c r="H192" s="2022">
        <v>-2352.7199999999998</v>
      </c>
      <c r="I192" s="2011">
        <f t="shared" si="6"/>
        <v>-2352.7200000000003</v>
      </c>
      <c r="J192" s="2022"/>
      <c r="K192" s="2463"/>
    </row>
    <row r="193" spans="1:14" x14ac:dyDescent="0.2">
      <c r="A193" s="2020" t="s">
        <v>5196</v>
      </c>
      <c r="B193" s="2020" t="s">
        <v>5073</v>
      </c>
      <c r="C193" s="2022">
        <v>-199526</v>
      </c>
      <c r="D193" s="2022">
        <v>0</v>
      </c>
      <c r="E193" s="2022">
        <f>32338.77+N193</f>
        <v>-4212.8900000000031</v>
      </c>
      <c r="F193" s="2022">
        <v>-263330</v>
      </c>
      <c r="G193" s="2022">
        <v>0</v>
      </c>
      <c r="H193" s="2022">
        <v>-230991.23</v>
      </c>
      <c r="I193" s="2011">
        <f t="shared" ref="I193:I253" si="7">SUM(E193:F193)</f>
        <v>-267542.89</v>
      </c>
      <c r="J193" s="2022"/>
      <c r="K193" s="2463"/>
      <c r="N193" s="2022">
        <v>-36551.660000000003</v>
      </c>
    </row>
    <row r="194" spans="1:14" x14ac:dyDescent="0.2">
      <c r="A194" s="2020" t="s">
        <v>5197</v>
      </c>
      <c r="B194" s="2020" t="s">
        <v>6098</v>
      </c>
      <c r="C194" s="2022">
        <v>-1324461.1499999999</v>
      </c>
      <c r="D194" s="2022">
        <v>0</v>
      </c>
      <c r="E194" s="2022">
        <v>0</v>
      </c>
      <c r="F194" s="2022">
        <v>0</v>
      </c>
      <c r="G194" s="2022">
        <v>0</v>
      </c>
      <c r="H194" s="2022">
        <v>0</v>
      </c>
      <c r="I194" s="2011">
        <f t="shared" si="7"/>
        <v>0</v>
      </c>
      <c r="J194" s="2022"/>
      <c r="K194" s="2463"/>
    </row>
    <row r="195" spans="1:14" x14ac:dyDescent="0.2">
      <c r="A195" s="2020" t="s">
        <v>5198</v>
      </c>
      <c r="B195" s="2020" t="s">
        <v>6113</v>
      </c>
      <c r="C195" s="2022">
        <v>282101.34000000003</v>
      </c>
      <c r="D195" s="2022">
        <v>0</v>
      </c>
      <c r="E195" s="2022">
        <v>282701.34000000003</v>
      </c>
      <c r="F195" s="2022">
        <v>-600</v>
      </c>
      <c r="G195" s="2022">
        <v>282101.34000000003</v>
      </c>
      <c r="H195" s="2022">
        <v>0</v>
      </c>
      <c r="I195" s="2011">
        <f t="shared" si="7"/>
        <v>282101.34000000003</v>
      </c>
      <c r="J195" s="2022"/>
      <c r="K195" s="2463"/>
    </row>
    <row r="196" spans="1:14" x14ac:dyDescent="0.2">
      <c r="A196" s="2020" t="s">
        <v>5199</v>
      </c>
      <c r="B196" s="2020" t="s">
        <v>6114</v>
      </c>
      <c r="C196" s="2022">
        <v>430511.91</v>
      </c>
      <c r="D196" s="2022">
        <v>0</v>
      </c>
      <c r="E196" s="2022">
        <v>430511.91</v>
      </c>
      <c r="F196" s="2022">
        <v>0</v>
      </c>
      <c r="G196" s="2022">
        <v>430511.91</v>
      </c>
      <c r="H196" s="2022">
        <v>0</v>
      </c>
      <c r="I196" s="2011">
        <f t="shared" si="7"/>
        <v>430511.91</v>
      </c>
      <c r="J196" s="2022"/>
      <c r="K196" s="2463"/>
    </row>
    <row r="197" spans="1:14" x14ac:dyDescent="0.2">
      <c r="A197" s="2020" t="s">
        <v>5200</v>
      </c>
      <c r="B197" s="2020" t="s">
        <v>6115</v>
      </c>
      <c r="C197" s="2022">
        <v>331670.44</v>
      </c>
      <c r="D197" s="2022">
        <v>0</v>
      </c>
      <c r="E197" s="2022">
        <v>367683.32</v>
      </c>
      <c r="F197" s="2022">
        <v>-1976.08</v>
      </c>
      <c r="G197" s="2022">
        <v>365707.24</v>
      </c>
      <c r="H197" s="2022">
        <v>0</v>
      </c>
      <c r="I197" s="2011">
        <f t="shared" si="7"/>
        <v>365707.24</v>
      </c>
      <c r="J197" s="2022"/>
      <c r="K197" s="2463"/>
    </row>
    <row r="198" spans="1:14" x14ac:dyDescent="0.2">
      <c r="A198" s="2020" t="s">
        <v>5201</v>
      </c>
      <c r="B198" s="2020" t="s">
        <v>6116</v>
      </c>
      <c r="C198" s="2022">
        <v>1072148.3400000001</v>
      </c>
      <c r="D198" s="2022">
        <v>0</v>
      </c>
      <c r="E198" s="2022">
        <v>1028965.14</v>
      </c>
      <c r="F198" s="2022">
        <v>-1264.25</v>
      </c>
      <c r="G198" s="2022">
        <v>1027700.89</v>
      </c>
      <c r="H198" s="2022">
        <v>0</v>
      </c>
      <c r="I198" s="2011">
        <f t="shared" si="7"/>
        <v>1027700.89</v>
      </c>
      <c r="J198" s="2022"/>
      <c r="K198" s="2463"/>
    </row>
    <row r="199" spans="1:14" x14ac:dyDescent="0.2">
      <c r="A199" s="2020" t="s">
        <v>5204</v>
      </c>
      <c r="B199" s="2020" t="s">
        <v>6117</v>
      </c>
      <c r="C199" s="2022">
        <v>51665.34</v>
      </c>
      <c r="D199" s="2022">
        <v>0</v>
      </c>
      <c r="E199" s="2022">
        <v>0</v>
      </c>
      <c r="F199" s="2022">
        <v>0</v>
      </c>
      <c r="G199" s="2022">
        <v>0</v>
      </c>
      <c r="H199" s="2022">
        <v>0</v>
      </c>
      <c r="I199" s="2011">
        <f t="shared" si="7"/>
        <v>0</v>
      </c>
      <c r="J199" s="2022"/>
      <c r="K199" s="2463"/>
    </row>
    <row r="200" spans="1:14" x14ac:dyDescent="0.2">
      <c r="A200" s="2020" t="s">
        <v>5205</v>
      </c>
      <c r="B200" s="2020" t="s">
        <v>6118</v>
      </c>
      <c r="C200" s="2022">
        <v>51144</v>
      </c>
      <c r="D200" s="2022">
        <v>0</v>
      </c>
      <c r="E200" s="2022">
        <v>0</v>
      </c>
      <c r="F200" s="2022">
        <v>0</v>
      </c>
      <c r="G200" s="2022">
        <v>0</v>
      </c>
      <c r="H200" s="2022">
        <v>0</v>
      </c>
      <c r="I200" s="2011">
        <f t="shared" si="7"/>
        <v>0</v>
      </c>
      <c r="J200" s="2022"/>
      <c r="K200" s="2463"/>
    </row>
    <row r="201" spans="1:14" x14ac:dyDescent="0.2">
      <c r="A201" s="2020" t="s">
        <v>5207</v>
      </c>
      <c r="B201" s="2020" t="s">
        <v>6119</v>
      </c>
      <c r="C201" s="2022">
        <v>97040.67</v>
      </c>
      <c r="D201" s="2022">
        <v>0</v>
      </c>
      <c r="E201" s="2022">
        <v>75263.399999999994</v>
      </c>
      <c r="F201" s="2022">
        <v>0</v>
      </c>
      <c r="G201" s="2022">
        <v>75263.399999999994</v>
      </c>
      <c r="H201" s="2022">
        <v>0</v>
      </c>
      <c r="I201" s="2011">
        <f t="shared" si="7"/>
        <v>75263.399999999994</v>
      </c>
      <c r="J201" s="2022"/>
      <c r="K201" s="2463"/>
    </row>
    <row r="202" spans="1:14" x14ac:dyDescent="0.2">
      <c r="A202" s="2020" t="s">
        <v>5210</v>
      </c>
      <c r="B202" s="2020" t="s">
        <v>6120</v>
      </c>
      <c r="C202" s="2022">
        <v>5001</v>
      </c>
      <c r="D202" s="2022">
        <v>0</v>
      </c>
      <c r="E202" s="2022">
        <v>5885</v>
      </c>
      <c r="F202" s="2022">
        <v>0</v>
      </c>
      <c r="G202" s="2022">
        <v>5885</v>
      </c>
      <c r="H202" s="2022">
        <v>0</v>
      </c>
      <c r="I202" s="2011">
        <f t="shared" si="7"/>
        <v>5885</v>
      </c>
      <c r="J202" s="2022"/>
      <c r="K202" s="2463"/>
    </row>
    <row r="203" spans="1:14" x14ac:dyDescent="0.2">
      <c r="A203" s="2020" t="s">
        <v>5213</v>
      </c>
      <c r="B203" s="2020" t="s">
        <v>6121</v>
      </c>
      <c r="C203" s="2022">
        <v>3654</v>
      </c>
      <c r="D203" s="2022">
        <v>0</v>
      </c>
      <c r="E203" s="2022">
        <v>3654</v>
      </c>
      <c r="F203" s="2022">
        <v>0</v>
      </c>
      <c r="G203" s="2022">
        <v>3654</v>
      </c>
      <c r="H203" s="2022">
        <v>0</v>
      </c>
      <c r="I203" s="2011">
        <f t="shared" si="7"/>
        <v>3654</v>
      </c>
      <c r="J203" s="2022"/>
      <c r="K203" s="2463"/>
    </row>
    <row r="204" spans="1:14" x14ac:dyDescent="0.2">
      <c r="A204" s="2020" t="s">
        <v>5214</v>
      </c>
      <c r="B204" s="2020" t="s">
        <v>6122</v>
      </c>
      <c r="C204" s="2022">
        <v>1111</v>
      </c>
      <c r="D204" s="2022">
        <v>0</v>
      </c>
      <c r="E204" s="2022">
        <v>1111</v>
      </c>
      <c r="F204" s="2022">
        <v>0</v>
      </c>
      <c r="G204" s="2022">
        <v>1111</v>
      </c>
      <c r="H204" s="2022">
        <v>0</v>
      </c>
      <c r="I204" s="2011">
        <f t="shared" si="7"/>
        <v>1111</v>
      </c>
      <c r="J204" s="2022"/>
      <c r="K204" s="2463"/>
    </row>
    <row r="205" spans="1:14" x14ac:dyDescent="0.2">
      <c r="A205" s="2020" t="s">
        <v>5219</v>
      </c>
      <c r="B205" s="2020" t="s">
        <v>6123</v>
      </c>
      <c r="C205" s="2022">
        <v>128938.69</v>
      </c>
      <c r="D205" s="2022">
        <v>0</v>
      </c>
      <c r="E205" s="2022">
        <v>128938.69</v>
      </c>
      <c r="F205" s="2022">
        <v>0</v>
      </c>
      <c r="G205" s="2022">
        <v>128938.69</v>
      </c>
      <c r="H205" s="2022">
        <v>0</v>
      </c>
      <c r="I205" s="2011">
        <f t="shared" si="7"/>
        <v>128938.69</v>
      </c>
      <c r="J205" s="2022"/>
      <c r="K205" s="2463"/>
    </row>
    <row r="206" spans="1:14" x14ac:dyDescent="0.2">
      <c r="A206" s="2020" t="s">
        <v>5220</v>
      </c>
      <c r="B206" s="2020" t="s">
        <v>6123</v>
      </c>
      <c r="C206" s="2022">
        <v>37516.32</v>
      </c>
      <c r="D206" s="2022">
        <v>0</v>
      </c>
      <c r="E206" s="2022">
        <v>37516.32</v>
      </c>
      <c r="F206" s="2022">
        <v>0</v>
      </c>
      <c r="G206" s="2022">
        <v>37516.32</v>
      </c>
      <c r="H206" s="2022">
        <v>0</v>
      </c>
      <c r="I206" s="2011">
        <f t="shared" si="7"/>
        <v>37516.32</v>
      </c>
      <c r="J206" s="2022"/>
      <c r="K206" s="2463"/>
    </row>
    <row r="207" spans="1:14" x14ac:dyDescent="0.2">
      <c r="A207" s="2020" t="s">
        <v>5221</v>
      </c>
      <c r="B207" s="2020" t="s">
        <v>6124</v>
      </c>
      <c r="C207" s="2022">
        <v>0</v>
      </c>
      <c r="D207" s="2022">
        <v>0</v>
      </c>
      <c r="E207" s="2022">
        <v>0</v>
      </c>
      <c r="F207" s="2022">
        <v>-1500</v>
      </c>
      <c r="G207" s="2022">
        <v>0</v>
      </c>
      <c r="H207" s="2022">
        <v>-1500</v>
      </c>
      <c r="I207" s="2011">
        <f t="shared" si="7"/>
        <v>-1500</v>
      </c>
      <c r="J207" s="2022"/>
      <c r="K207" s="2463"/>
    </row>
    <row r="208" spans="1:14" x14ac:dyDescent="0.2">
      <c r="A208" s="2020" t="s">
        <v>5222</v>
      </c>
      <c r="B208" s="2020" t="s">
        <v>6125</v>
      </c>
      <c r="C208" s="2022">
        <v>75449.86</v>
      </c>
      <c r="D208" s="2022">
        <v>0</v>
      </c>
      <c r="E208" s="2022">
        <v>71489.86</v>
      </c>
      <c r="F208" s="2022">
        <v>-1200</v>
      </c>
      <c r="G208" s="2022">
        <v>70289.86</v>
      </c>
      <c r="H208" s="2022">
        <v>0</v>
      </c>
      <c r="I208" s="2011">
        <f t="shared" si="7"/>
        <v>70289.86</v>
      </c>
      <c r="J208" s="2022"/>
      <c r="K208" s="2463"/>
    </row>
    <row r="209" spans="1:11" x14ac:dyDescent="0.2">
      <c r="A209" s="2020" t="s">
        <v>5223</v>
      </c>
      <c r="B209" s="2020" t="s">
        <v>6126</v>
      </c>
      <c r="C209" s="2022">
        <v>36.9</v>
      </c>
      <c r="D209" s="2022">
        <v>0</v>
      </c>
      <c r="E209" s="2022">
        <v>36.9</v>
      </c>
      <c r="F209" s="2022">
        <v>0</v>
      </c>
      <c r="G209" s="2022">
        <v>36.9</v>
      </c>
      <c r="H209" s="2022">
        <v>0</v>
      </c>
      <c r="I209" s="2011">
        <f t="shared" si="7"/>
        <v>36.9</v>
      </c>
      <c r="J209" s="2022"/>
      <c r="K209" s="2463"/>
    </row>
    <row r="210" spans="1:11" x14ac:dyDescent="0.2">
      <c r="A210" s="2020" t="s">
        <v>5224</v>
      </c>
      <c r="B210" s="2020" t="s">
        <v>6126</v>
      </c>
      <c r="C210" s="2022">
        <v>36.9</v>
      </c>
      <c r="D210" s="2022">
        <v>0</v>
      </c>
      <c r="E210" s="2022">
        <v>36.9</v>
      </c>
      <c r="F210" s="2022">
        <v>0</v>
      </c>
      <c r="G210" s="2022">
        <v>36.9</v>
      </c>
      <c r="H210" s="2022">
        <v>0</v>
      </c>
      <c r="I210" s="2011">
        <f t="shared" si="7"/>
        <v>36.9</v>
      </c>
      <c r="J210" s="2022"/>
      <c r="K210" s="2463"/>
    </row>
    <row r="211" spans="1:11" x14ac:dyDescent="0.2">
      <c r="A211" s="2020" t="s">
        <v>5225</v>
      </c>
      <c r="B211" s="2020" t="s">
        <v>6127</v>
      </c>
      <c r="C211" s="2022">
        <v>28.7</v>
      </c>
      <c r="D211" s="2022">
        <v>0</v>
      </c>
      <c r="E211" s="2022">
        <v>28.7</v>
      </c>
      <c r="F211" s="2022">
        <v>0</v>
      </c>
      <c r="G211" s="2022">
        <v>28.7</v>
      </c>
      <c r="H211" s="2022">
        <v>0</v>
      </c>
      <c r="I211" s="2011">
        <f t="shared" si="7"/>
        <v>28.7</v>
      </c>
      <c r="J211" s="2022"/>
      <c r="K211" s="2463"/>
    </row>
    <row r="212" spans="1:11" x14ac:dyDescent="0.2">
      <c r="A212" s="2020" t="s">
        <v>5226</v>
      </c>
      <c r="B212" s="2020" t="s">
        <v>6128</v>
      </c>
      <c r="C212" s="2022">
        <v>508.4</v>
      </c>
      <c r="D212" s="2022">
        <v>0</v>
      </c>
      <c r="E212" s="2022">
        <v>467.4</v>
      </c>
      <c r="F212" s="2022">
        <v>0</v>
      </c>
      <c r="G212" s="2022">
        <v>467.4</v>
      </c>
      <c r="H212" s="2022">
        <v>0</v>
      </c>
      <c r="I212" s="2011">
        <f t="shared" si="7"/>
        <v>467.4</v>
      </c>
      <c r="J212" s="2022"/>
      <c r="K212" s="2463"/>
    </row>
    <row r="213" spans="1:11" x14ac:dyDescent="0.2">
      <c r="A213" s="2020" t="s">
        <v>5227</v>
      </c>
      <c r="B213" s="2020" t="s">
        <v>6129</v>
      </c>
      <c r="C213" s="2022">
        <v>3463.44</v>
      </c>
      <c r="D213" s="2022">
        <v>0</v>
      </c>
      <c r="E213" s="2022">
        <v>3521.02</v>
      </c>
      <c r="F213" s="2022">
        <v>0</v>
      </c>
      <c r="G213" s="2022">
        <v>3521.02</v>
      </c>
      <c r="H213" s="2022">
        <v>0</v>
      </c>
      <c r="I213" s="2011">
        <f t="shared" si="7"/>
        <v>3521.02</v>
      </c>
      <c r="J213" s="2022"/>
      <c r="K213" s="2463"/>
    </row>
    <row r="214" spans="1:11" x14ac:dyDescent="0.2">
      <c r="A214" s="2020" t="s">
        <v>5228</v>
      </c>
      <c r="B214" s="2020" t="s">
        <v>6129</v>
      </c>
      <c r="C214" s="2022">
        <v>3278.63</v>
      </c>
      <c r="D214" s="2022">
        <v>0</v>
      </c>
      <c r="E214" s="2022">
        <v>3278.66</v>
      </c>
      <c r="F214" s="2022">
        <v>0</v>
      </c>
      <c r="G214" s="2022">
        <v>3278.66</v>
      </c>
      <c r="H214" s="2022">
        <v>0</v>
      </c>
      <c r="I214" s="2011">
        <f t="shared" si="7"/>
        <v>3278.66</v>
      </c>
      <c r="J214" s="2022"/>
      <c r="K214" s="2463"/>
    </row>
    <row r="215" spans="1:11" x14ac:dyDescent="0.2">
      <c r="A215" s="2020" t="s">
        <v>5229</v>
      </c>
      <c r="B215" s="2020" t="s">
        <v>6130</v>
      </c>
      <c r="C215" s="2022">
        <v>1356.7</v>
      </c>
      <c r="D215" s="2022">
        <v>0</v>
      </c>
      <c r="E215" s="2022">
        <v>1356.7</v>
      </c>
      <c r="F215" s="2022">
        <v>0</v>
      </c>
      <c r="G215" s="2022">
        <v>1356.7</v>
      </c>
      <c r="H215" s="2022">
        <v>0</v>
      </c>
      <c r="I215" s="2011">
        <f t="shared" si="7"/>
        <v>1356.7</v>
      </c>
      <c r="J215" s="2022"/>
      <c r="K215" s="2463"/>
    </row>
    <row r="216" spans="1:11" x14ac:dyDescent="0.2">
      <c r="A216" s="2020" t="s">
        <v>5230</v>
      </c>
      <c r="B216" s="2020" t="s">
        <v>6131</v>
      </c>
      <c r="C216" s="2022">
        <v>11778.52</v>
      </c>
      <c r="D216" s="2022">
        <v>0</v>
      </c>
      <c r="E216" s="2022">
        <v>11806.17</v>
      </c>
      <c r="F216" s="2022">
        <v>0</v>
      </c>
      <c r="G216" s="2022">
        <v>11806.17</v>
      </c>
      <c r="H216" s="2022">
        <v>0</v>
      </c>
      <c r="I216" s="2011">
        <f t="shared" si="7"/>
        <v>11806.17</v>
      </c>
      <c r="J216" s="2022"/>
      <c r="K216" s="2463"/>
    </row>
    <row r="217" spans="1:11" x14ac:dyDescent="0.2">
      <c r="A217" s="2020" t="s">
        <v>5235</v>
      </c>
      <c r="B217" s="2020" t="s">
        <v>6132</v>
      </c>
      <c r="C217" s="2022">
        <v>16084.8</v>
      </c>
      <c r="D217" s="2022">
        <v>0</v>
      </c>
      <c r="E217" s="2022">
        <v>16084.8</v>
      </c>
      <c r="F217" s="2022">
        <v>0</v>
      </c>
      <c r="G217" s="2022">
        <v>16084.8</v>
      </c>
      <c r="H217" s="2022">
        <v>0</v>
      </c>
      <c r="I217" s="2011">
        <f t="shared" si="7"/>
        <v>16084.8</v>
      </c>
      <c r="J217" s="2022"/>
      <c r="K217" s="2463"/>
    </row>
    <row r="218" spans="1:11" x14ac:dyDescent="0.2">
      <c r="A218" s="2020" t="s">
        <v>5237</v>
      </c>
      <c r="B218" s="2020" t="s">
        <v>6133</v>
      </c>
      <c r="C218" s="2022">
        <v>20364.599999999999</v>
      </c>
      <c r="D218" s="2022">
        <v>0</v>
      </c>
      <c r="E218" s="2022">
        <v>20364.599999999999</v>
      </c>
      <c r="F218" s="2022">
        <v>0</v>
      </c>
      <c r="G218" s="2022">
        <v>20364.599999999999</v>
      </c>
      <c r="H218" s="2022">
        <v>0</v>
      </c>
      <c r="I218" s="2011">
        <f t="shared" si="7"/>
        <v>20364.599999999999</v>
      </c>
      <c r="J218" s="2022"/>
      <c r="K218" s="2463"/>
    </row>
    <row r="219" spans="1:11" x14ac:dyDescent="0.2">
      <c r="A219" s="2020" t="s">
        <v>5238</v>
      </c>
      <c r="B219" s="2020" t="s">
        <v>6134</v>
      </c>
      <c r="C219" s="2022">
        <v>122794.8</v>
      </c>
      <c r="D219" s="2022">
        <v>0</v>
      </c>
      <c r="E219" s="2022">
        <v>117959.2</v>
      </c>
      <c r="F219" s="2022">
        <v>0</v>
      </c>
      <c r="G219" s="2022">
        <v>117959.2</v>
      </c>
      <c r="H219" s="2022">
        <v>0</v>
      </c>
      <c r="I219" s="2011">
        <f t="shared" si="7"/>
        <v>117959.2</v>
      </c>
      <c r="J219" s="2022"/>
      <c r="K219" s="2463"/>
    </row>
    <row r="220" spans="1:11" x14ac:dyDescent="0.2">
      <c r="A220" s="2020" t="s">
        <v>5239</v>
      </c>
      <c r="B220" s="2020" t="s">
        <v>6135</v>
      </c>
      <c r="C220" s="2022">
        <v>49315.58</v>
      </c>
      <c r="D220" s="2022">
        <v>0</v>
      </c>
      <c r="E220" s="2022">
        <v>49315.38</v>
      </c>
      <c r="F220" s="2022">
        <v>0</v>
      </c>
      <c r="G220" s="2022">
        <v>49315.38</v>
      </c>
      <c r="H220" s="2022">
        <v>0</v>
      </c>
      <c r="I220" s="2011">
        <f t="shared" si="7"/>
        <v>49315.38</v>
      </c>
      <c r="J220" s="2022"/>
      <c r="K220" s="2463"/>
    </row>
    <row r="221" spans="1:11" x14ac:dyDescent="0.2">
      <c r="A221" s="2020" t="s">
        <v>5240</v>
      </c>
      <c r="B221" s="2020" t="s">
        <v>6136</v>
      </c>
      <c r="C221" s="2022">
        <v>69044.399999999994</v>
      </c>
      <c r="D221" s="2022">
        <v>0</v>
      </c>
      <c r="E221" s="2022">
        <v>69044.399999999994</v>
      </c>
      <c r="F221" s="2022">
        <v>0</v>
      </c>
      <c r="G221" s="2022">
        <v>69044.399999999994</v>
      </c>
      <c r="H221" s="2022">
        <v>0</v>
      </c>
      <c r="I221" s="2011">
        <f t="shared" si="7"/>
        <v>69044.399999999994</v>
      </c>
      <c r="J221" s="2022"/>
      <c r="K221" s="2463"/>
    </row>
    <row r="222" spans="1:11" x14ac:dyDescent="0.2">
      <c r="A222" s="2020" t="s">
        <v>5241</v>
      </c>
      <c r="B222" s="2020" t="s">
        <v>6137</v>
      </c>
      <c r="C222" s="2022">
        <v>26841.65</v>
      </c>
      <c r="D222" s="2022">
        <v>0</v>
      </c>
      <c r="E222" s="2022">
        <v>26841.65</v>
      </c>
      <c r="F222" s="2022">
        <v>0</v>
      </c>
      <c r="G222" s="2022">
        <v>26841.65</v>
      </c>
      <c r="H222" s="2022">
        <v>0</v>
      </c>
      <c r="I222" s="2011">
        <f t="shared" si="7"/>
        <v>26841.65</v>
      </c>
      <c r="J222" s="2022"/>
      <c r="K222" s="2463"/>
    </row>
    <row r="223" spans="1:11" x14ac:dyDescent="0.2">
      <c r="A223" s="2020" t="s">
        <v>5242</v>
      </c>
      <c r="B223" s="2020" t="s">
        <v>6138</v>
      </c>
      <c r="C223" s="2022">
        <v>205975.49</v>
      </c>
      <c r="D223" s="2022">
        <v>0</v>
      </c>
      <c r="E223" s="2022">
        <v>189992.89</v>
      </c>
      <c r="F223" s="2022">
        <v>0</v>
      </c>
      <c r="G223" s="2022">
        <v>189992.89</v>
      </c>
      <c r="H223" s="2022">
        <v>0</v>
      </c>
      <c r="I223" s="2011">
        <f t="shared" si="7"/>
        <v>189992.89</v>
      </c>
      <c r="J223" s="2022"/>
      <c r="K223" s="2463"/>
    </row>
    <row r="224" spans="1:11" x14ac:dyDescent="0.2">
      <c r="A224" s="2020" t="s">
        <v>5243</v>
      </c>
      <c r="B224" s="2020" t="s">
        <v>6139</v>
      </c>
      <c r="C224" s="2022">
        <v>1497.36</v>
      </c>
      <c r="D224" s="2022">
        <v>0</v>
      </c>
      <c r="E224" s="2022">
        <v>1123.02</v>
      </c>
      <c r="F224" s="2022">
        <v>0</v>
      </c>
      <c r="G224" s="2022">
        <v>1123.02</v>
      </c>
      <c r="H224" s="2022">
        <v>0</v>
      </c>
      <c r="I224" s="2011">
        <f t="shared" si="7"/>
        <v>1123.02</v>
      </c>
      <c r="J224" s="2022"/>
      <c r="K224" s="2463"/>
    </row>
    <row r="225" spans="1:42" x14ac:dyDescent="0.2">
      <c r="A225" s="2020" t="s">
        <v>5244</v>
      </c>
      <c r="B225" s="2020" t="s">
        <v>6140</v>
      </c>
      <c r="C225" s="2022">
        <v>1497.36</v>
      </c>
      <c r="D225" s="2022">
        <v>0</v>
      </c>
      <c r="E225" s="2022">
        <v>1123.02</v>
      </c>
      <c r="F225" s="2022">
        <v>0</v>
      </c>
      <c r="G225" s="2022">
        <v>1123.02</v>
      </c>
      <c r="H225" s="2022">
        <v>0</v>
      </c>
      <c r="I225" s="2011">
        <f t="shared" si="7"/>
        <v>1123.02</v>
      </c>
      <c r="J225" s="2022"/>
      <c r="K225" s="2463"/>
    </row>
    <row r="226" spans="1:42" x14ac:dyDescent="0.2">
      <c r="A226" s="2020" t="s">
        <v>5245</v>
      </c>
      <c r="B226" s="2020" t="s">
        <v>6141</v>
      </c>
      <c r="C226" s="2022">
        <v>873.47</v>
      </c>
      <c r="D226" s="2022">
        <v>0</v>
      </c>
      <c r="E226" s="2022">
        <v>873.46</v>
      </c>
      <c r="F226" s="2022">
        <v>0</v>
      </c>
      <c r="G226" s="2022">
        <v>873.46</v>
      </c>
      <c r="H226" s="2022">
        <v>0</v>
      </c>
      <c r="I226" s="2011">
        <f t="shared" si="7"/>
        <v>873.46</v>
      </c>
      <c r="J226" s="2022"/>
      <c r="K226" s="2463"/>
    </row>
    <row r="227" spans="1:42" x14ac:dyDescent="0.2">
      <c r="A227" s="2020" t="s">
        <v>5246</v>
      </c>
      <c r="B227" s="2020" t="s">
        <v>6142</v>
      </c>
      <c r="C227" s="2022">
        <v>9655.3799999999992</v>
      </c>
      <c r="D227" s="2022">
        <v>0</v>
      </c>
      <c r="E227" s="2022">
        <v>9061.19</v>
      </c>
      <c r="F227" s="2022">
        <v>0</v>
      </c>
      <c r="G227" s="2022">
        <v>9061.19</v>
      </c>
      <c r="H227" s="2022">
        <v>0</v>
      </c>
      <c r="I227" s="2011">
        <f t="shared" si="7"/>
        <v>9061.19</v>
      </c>
      <c r="J227" s="2022"/>
      <c r="K227" s="2463"/>
    </row>
    <row r="228" spans="1:42" x14ac:dyDescent="0.2">
      <c r="A228" s="2020" t="s">
        <v>5250</v>
      </c>
      <c r="B228" s="2020" t="s">
        <v>5251</v>
      </c>
      <c r="C228" s="2022">
        <v>790000</v>
      </c>
      <c r="D228" s="2022">
        <v>0</v>
      </c>
      <c r="E228" s="2022">
        <v>0</v>
      </c>
      <c r="F228" s="2022">
        <v>0</v>
      </c>
      <c r="G228" s="2022">
        <v>0</v>
      </c>
      <c r="H228" s="2022">
        <v>0</v>
      </c>
      <c r="I228" s="2011">
        <f t="shared" si="7"/>
        <v>0</v>
      </c>
      <c r="J228" s="2022"/>
      <c r="K228" s="2463"/>
    </row>
    <row r="229" spans="1:42" x14ac:dyDescent="0.2">
      <c r="A229" s="2020" t="s">
        <v>5253</v>
      </c>
      <c r="B229" s="2020" t="s">
        <v>5113</v>
      </c>
      <c r="C229" s="2022">
        <v>220895.52</v>
      </c>
      <c r="D229" s="2022">
        <v>0</v>
      </c>
      <c r="E229" s="2022">
        <f>188928.24+AM229</f>
        <v>209255.36</v>
      </c>
      <c r="F229" s="2022">
        <f>-5440+AO229+AP229</f>
        <v>-77247.990000000005</v>
      </c>
      <c r="G229" s="2022">
        <v>183488.24</v>
      </c>
      <c r="H229" s="2022">
        <v>0</v>
      </c>
      <c r="I229" s="2011">
        <f t="shared" si="7"/>
        <v>132007.37</v>
      </c>
      <c r="J229" s="2022"/>
      <c r="K229" s="2463"/>
      <c r="AM229" s="2022">
        <v>20327.12</v>
      </c>
      <c r="AO229" s="2022">
        <v>-5699.17</v>
      </c>
      <c r="AP229" s="2022">
        <v>-66108.820000000007</v>
      </c>
    </row>
    <row r="230" spans="1:42" x14ac:dyDescent="0.2">
      <c r="A230" s="2020" t="s">
        <v>5254</v>
      </c>
      <c r="B230" s="2020" t="s">
        <v>6143</v>
      </c>
      <c r="C230" s="2022">
        <v>2050.79</v>
      </c>
      <c r="D230" s="2022">
        <v>0</v>
      </c>
      <c r="E230" s="2022">
        <v>1533.51</v>
      </c>
      <c r="F230" s="2022">
        <f>AO230</f>
        <v>-504.79</v>
      </c>
      <c r="G230" s="2022">
        <v>1533.51</v>
      </c>
      <c r="H230" s="2022">
        <v>0</v>
      </c>
      <c r="I230" s="2011">
        <f t="shared" si="7"/>
        <v>1028.72</v>
      </c>
      <c r="J230" s="2022"/>
      <c r="K230" s="2463"/>
      <c r="AO230" s="2022">
        <v>-504.79</v>
      </c>
    </row>
    <row r="231" spans="1:42" x14ac:dyDescent="0.2">
      <c r="A231" s="2020" t="s">
        <v>5255</v>
      </c>
      <c r="B231" s="2020" t="s">
        <v>6143</v>
      </c>
      <c r="C231" s="2022">
        <v>6362.49</v>
      </c>
      <c r="D231" s="2022">
        <v>0</v>
      </c>
      <c r="E231" s="2022">
        <v>3635.62</v>
      </c>
      <c r="F231" s="2022">
        <v>0</v>
      </c>
      <c r="G231" s="2022">
        <v>3635.62</v>
      </c>
      <c r="H231" s="2022">
        <v>0</v>
      </c>
      <c r="I231" s="2011">
        <f t="shared" si="7"/>
        <v>3635.62</v>
      </c>
      <c r="J231" s="2022"/>
      <c r="K231" s="2463"/>
    </row>
    <row r="232" spans="1:42" x14ac:dyDescent="0.2">
      <c r="A232" s="2020" t="s">
        <v>5257</v>
      </c>
      <c r="B232" s="2020" t="s">
        <v>6144</v>
      </c>
      <c r="C232" s="2022">
        <v>62979.16</v>
      </c>
      <c r="D232" s="2022">
        <v>0</v>
      </c>
      <c r="E232" s="2022">
        <f>51250.15+AM232</f>
        <v>74050.149999999994</v>
      </c>
      <c r="F232" s="2022">
        <v>-263.16000000000003</v>
      </c>
      <c r="G232" s="2022">
        <v>50986.99</v>
      </c>
      <c r="H232" s="2022">
        <v>0</v>
      </c>
      <c r="I232" s="2011">
        <f t="shared" si="7"/>
        <v>73786.989999999991</v>
      </c>
      <c r="J232" s="2022"/>
      <c r="K232" s="2463"/>
      <c r="AM232" s="2022">
        <v>22800</v>
      </c>
    </row>
    <row r="233" spans="1:42" x14ac:dyDescent="0.2">
      <c r="A233" s="2020" t="s">
        <v>5258</v>
      </c>
      <c r="B233" s="2020" t="s">
        <v>5259</v>
      </c>
      <c r="C233" s="2022">
        <v>200000</v>
      </c>
      <c r="D233" s="2022">
        <v>0</v>
      </c>
      <c r="E233" s="2022">
        <v>260.75</v>
      </c>
      <c r="F233" s="2022">
        <f>AO233</f>
        <v>-11965.56</v>
      </c>
      <c r="G233" s="2022">
        <v>260.75</v>
      </c>
      <c r="H233" s="2022">
        <v>0</v>
      </c>
      <c r="I233" s="2011">
        <f t="shared" si="7"/>
        <v>-11704.81</v>
      </c>
      <c r="J233" s="2022"/>
      <c r="K233" s="2463"/>
      <c r="AO233" s="2022">
        <v>-11965.56</v>
      </c>
    </row>
    <row r="234" spans="1:42" x14ac:dyDescent="0.2">
      <c r="A234" s="2020" t="s">
        <v>5260</v>
      </c>
      <c r="B234" s="2020" t="s">
        <v>4857</v>
      </c>
      <c r="C234" s="2022">
        <v>8342</v>
      </c>
      <c r="D234" s="2022">
        <v>0</v>
      </c>
      <c r="E234" s="2022">
        <v>8342</v>
      </c>
      <c r="F234" s="2022">
        <v>0</v>
      </c>
      <c r="G234" s="2022">
        <v>8342</v>
      </c>
      <c r="H234" s="2022">
        <v>0</v>
      </c>
      <c r="I234" s="2011">
        <f t="shared" si="7"/>
        <v>8342</v>
      </c>
      <c r="J234" s="2022"/>
      <c r="K234" s="2463"/>
    </row>
    <row r="235" spans="1:42" x14ac:dyDescent="0.2">
      <c r="A235" s="2020" t="s">
        <v>5264</v>
      </c>
      <c r="B235" s="2020" t="s">
        <v>6145</v>
      </c>
      <c r="C235" s="2022">
        <v>24984.1</v>
      </c>
      <c r="D235" s="2022">
        <v>0</v>
      </c>
      <c r="E235" s="2022">
        <v>1908.01</v>
      </c>
      <c r="F235" s="2022">
        <v>0</v>
      </c>
      <c r="G235" s="2022">
        <v>1908.01</v>
      </c>
      <c r="H235" s="2022">
        <v>0</v>
      </c>
      <c r="I235" s="2011">
        <f t="shared" si="7"/>
        <v>1908.01</v>
      </c>
      <c r="J235" s="2022"/>
      <c r="K235" s="2463"/>
    </row>
    <row r="236" spans="1:42" x14ac:dyDescent="0.2">
      <c r="A236" s="2020" t="s">
        <v>5266</v>
      </c>
      <c r="B236" s="2020" t="s">
        <v>6146</v>
      </c>
      <c r="C236" s="2022">
        <v>3038.53</v>
      </c>
      <c r="D236" s="2022">
        <v>0</v>
      </c>
      <c r="E236" s="2022">
        <v>1747.61</v>
      </c>
      <c r="F236" s="2022">
        <v>0</v>
      </c>
      <c r="G236" s="2022">
        <v>1747.61</v>
      </c>
      <c r="H236" s="2022">
        <v>0</v>
      </c>
      <c r="I236" s="2011">
        <f t="shared" si="7"/>
        <v>1747.61</v>
      </c>
      <c r="J236" s="2022"/>
      <c r="K236" s="2463"/>
    </row>
    <row r="237" spans="1:42" x14ac:dyDescent="0.2">
      <c r="A237" s="2020" t="s">
        <v>5267</v>
      </c>
      <c r="B237" s="2020" t="s">
        <v>6147</v>
      </c>
      <c r="C237" s="2022">
        <v>197461.19</v>
      </c>
      <c r="D237" s="2022">
        <v>0</v>
      </c>
      <c r="E237" s="2022">
        <f>169716.17+AM237</f>
        <v>200292.22</v>
      </c>
      <c r="F237" s="2022">
        <f>AO237</f>
        <v>-2218.44</v>
      </c>
      <c r="G237" s="2022">
        <v>169716.17</v>
      </c>
      <c r="H237" s="2022">
        <v>0</v>
      </c>
      <c r="I237" s="2011">
        <f t="shared" si="7"/>
        <v>198073.78</v>
      </c>
      <c r="J237" s="2022"/>
      <c r="K237" s="2463"/>
      <c r="AM237" s="2022">
        <v>30576.05</v>
      </c>
      <c r="AO237" s="2022">
        <v>-2218.44</v>
      </c>
    </row>
    <row r="238" spans="1:42" x14ac:dyDescent="0.2">
      <c r="A238" s="2020" t="s">
        <v>5268</v>
      </c>
      <c r="B238" s="2020" t="s">
        <v>5269</v>
      </c>
      <c r="C238" s="2022">
        <v>1083911.8999999999</v>
      </c>
      <c r="D238" s="2022">
        <v>0</v>
      </c>
      <c r="E238" s="2022">
        <v>1210970.23</v>
      </c>
      <c r="F238" s="2022">
        <f>X238</f>
        <v>-528386.35</v>
      </c>
      <c r="G238" s="2022">
        <v>1210970.23</v>
      </c>
      <c r="H238" s="2022">
        <v>0</v>
      </c>
      <c r="I238" s="2011">
        <f t="shared" si="7"/>
        <v>682583.88</v>
      </c>
      <c r="J238" s="2022"/>
      <c r="K238" s="2463"/>
      <c r="X238" s="2022">
        <v>-528386.35</v>
      </c>
    </row>
    <row r="239" spans="1:42" x14ac:dyDescent="0.2">
      <c r="A239" s="2020" t="s">
        <v>5270</v>
      </c>
      <c r="B239" s="2020" t="s">
        <v>6148</v>
      </c>
      <c r="C239" s="2022">
        <v>2067.98</v>
      </c>
      <c r="D239" s="2022">
        <v>0</v>
      </c>
      <c r="E239" s="2022">
        <v>2112</v>
      </c>
      <c r="F239" s="2022">
        <v>-1056</v>
      </c>
      <c r="G239" s="2022">
        <v>1056</v>
      </c>
      <c r="H239" s="2022">
        <v>0</v>
      </c>
      <c r="I239" s="2011">
        <f t="shared" si="7"/>
        <v>1056</v>
      </c>
      <c r="J239" s="2022"/>
      <c r="K239" s="2463"/>
    </row>
    <row r="240" spans="1:42" x14ac:dyDescent="0.2">
      <c r="A240" s="2020" t="s">
        <v>5271</v>
      </c>
      <c r="B240" s="2020" t="s">
        <v>6149</v>
      </c>
      <c r="C240" s="2022">
        <v>0</v>
      </c>
      <c r="D240" s="2022">
        <v>0</v>
      </c>
      <c r="E240" s="2022">
        <v>1227.44</v>
      </c>
      <c r="F240" s="2022">
        <v>0</v>
      </c>
      <c r="G240" s="2022">
        <v>1227.44</v>
      </c>
      <c r="H240" s="2022">
        <v>0</v>
      </c>
      <c r="I240" s="2011">
        <f t="shared" si="7"/>
        <v>1227.44</v>
      </c>
      <c r="J240" s="2022"/>
      <c r="K240" s="2463"/>
    </row>
    <row r="241" spans="1:89" x14ac:dyDescent="0.2">
      <c r="A241" s="2020" t="s">
        <v>5273</v>
      </c>
      <c r="B241" s="2020" t="s">
        <v>4873</v>
      </c>
      <c r="C241" s="2022">
        <v>0</v>
      </c>
      <c r="D241" s="2022">
        <v>0</v>
      </c>
      <c r="E241" s="2022">
        <f>390.75+R241+AM241+BB241+BW241</f>
        <v>405213.79</v>
      </c>
      <c r="F241" s="2022">
        <v>0</v>
      </c>
      <c r="G241" s="2022">
        <v>390.75</v>
      </c>
      <c r="H241" s="2022">
        <v>0</v>
      </c>
      <c r="I241" s="2011">
        <f t="shared" si="7"/>
        <v>405213.79</v>
      </c>
      <c r="J241" s="2022"/>
      <c r="K241" s="2463"/>
      <c r="R241" s="2022">
        <v>-390.75</v>
      </c>
      <c r="AM241" s="2022">
        <v>455.3</v>
      </c>
      <c r="BB241" s="2022">
        <f>-BB571</f>
        <v>402442.7</v>
      </c>
      <c r="BW241" s="2632">
        <v>2315.79</v>
      </c>
    </row>
    <row r="242" spans="1:89" x14ac:dyDescent="0.2">
      <c r="A242" s="2020" t="s">
        <v>5274</v>
      </c>
      <c r="B242" s="2020" t="s">
        <v>4873</v>
      </c>
      <c r="C242" s="2022">
        <v>2015.99</v>
      </c>
      <c r="D242" s="2022">
        <v>0</v>
      </c>
      <c r="E242" s="2022">
        <f>3007.78+R242</f>
        <v>0</v>
      </c>
      <c r="F242" s="2022">
        <v>0</v>
      </c>
      <c r="G242" s="2022">
        <v>3007.78</v>
      </c>
      <c r="H242" s="2022">
        <v>0</v>
      </c>
      <c r="I242" s="2011">
        <f t="shared" si="7"/>
        <v>0</v>
      </c>
      <c r="J242" s="2022"/>
      <c r="K242" s="2463"/>
      <c r="R242" s="2022">
        <v>-3007.78</v>
      </c>
    </row>
    <row r="243" spans="1:89" x14ac:dyDescent="0.2">
      <c r="A243" s="2020" t="s">
        <v>5275</v>
      </c>
      <c r="B243" s="2020" t="s">
        <v>6150</v>
      </c>
      <c r="C243" s="2022">
        <v>2067.98</v>
      </c>
      <c r="D243" s="2022">
        <v>0</v>
      </c>
      <c r="E243" s="2022">
        <v>1203.0899999999999</v>
      </c>
      <c r="F243" s="2022">
        <v>0</v>
      </c>
      <c r="G243" s="2022">
        <v>1203.0899999999999</v>
      </c>
      <c r="H243" s="2022">
        <v>0</v>
      </c>
      <c r="I243" s="2011">
        <f t="shared" si="7"/>
        <v>1203.0899999999999</v>
      </c>
      <c r="J243" s="2022"/>
      <c r="K243" s="2463"/>
    </row>
    <row r="244" spans="1:89" x14ac:dyDescent="0.2">
      <c r="A244" s="2020" t="s">
        <v>5277</v>
      </c>
      <c r="B244" s="2020" t="s">
        <v>6151</v>
      </c>
      <c r="C244" s="2022">
        <v>0</v>
      </c>
      <c r="D244" s="2022">
        <v>0</v>
      </c>
      <c r="E244" s="2022">
        <v>350</v>
      </c>
      <c r="F244" s="2022">
        <v>0</v>
      </c>
      <c r="G244" s="2022">
        <v>350</v>
      </c>
      <c r="H244" s="2022">
        <v>0</v>
      </c>
      <c r="I244" s="2011">
        <f t="shared" si="7"/>
        <v>350</v>
      </c>
      <c r="J244" s="2022"/>
      <c r="K244" s="2463"/>
    </row>
    <row r="245" spans="1:89" x14ac:dyDescent="0.2">
      <c r="A245" s="2020" t="s">
        <v>5278</v>
      </c>
      <c r="B245" s="2020" t="s">
        <v>6152</v>
      </c>
      <c r="C245" s="2022">
        <v>49178.8</v>
      </c>
      <c r="D245" s="2022">
        <v>0</v>
      </c>
      <c r="E245" s="2022">
        <f>327495.5+AM245</f>
        <v>437495.5</v>
      </c>
      <c r="F245" s="2022">
        <v>-300</v>
      </c>
      <c r="G245" s="2022">
        <v>327195.5</v>
      </c>
      <c r="H245" s="2022">
        <v>0</v>
      </c>
      <c r="I245" s="2011">
        <f t="shared" si="7"/>
        <v>437195.5</v>
      </c>
      <c r="J245" s="2022"/>
      <c r="K245" s="2463"/>
      <c r="AM245" s="2022">
        <v>110000</v>
      </c>
    </row>
    <row r="246" spans="1:89" x14ac:dyDescent="0.2">
      <c r="A246" s="2020" t="s">
        <v>5279</v>
      </c>
      <c r="B246" s="2020" t="s">
        <v>6153</v>
      </c>
      <c r="C246" s="2022">
        <v>83153.990000000005</v>
      </c>
      <c r="D246" s="2022">
        <v>0</v>
      </c>
      <c r="E246" s="2022">
        <f>66344.93+AM246</f>
        <v>66712.009999999995</v>
      </c>
      <c r="F246" s="2022">
        <v>0</v>
      </c>
      <c r="G246" s="2022">
        <v>66344.929999999993</v>
      </c>
      <c r="H246" s="2022">
        <v>0</v>
      </c>
      <c r="I246" s="2011">
        <f t="shared" si="7"/>
        <v>66712.009999999995</v>
      </c>
      <c r="J246" s="2022"/>
      <c r="K246" s="2463"/>
      <c r="AM246" s="2022">
        <v>367.08</v>
      </c>
    </row>
    <row r="247" spans="1:89" x14ac:dyDescent="0.2">
      <c r="A247" s="2020" t="s">
        <v>5280</v>
      </c>
      <c r="B247" s="2020" t="s">
        <v>6153</v>
      </c>
      <c r="C247" s="2022">
        <v>20000</v>
      </c>
      <c r="D247" s="2022">
        <v>0</v>
      </c>
      <c r="E247" s="2022">
        <f>45851.29+7516.6+AM247</f>
        <v>87309.209999999992</v>
      </c>
      <c r="F247" s="2022">
        <v>0</v>
      </c>
      <c r="G247" s="2022">
        <v>45851.29</v>
      </c>
      <c r="H247" s="2022">
        <v>0</v>
      </c>
      <c r="I247" s="2011">
        <f t="shared" si="7"/>
        <v>87309.209999999992</v>
      </c>
      <c r="J247" s="2022"/>
      <c r="K247" s="2463"/>
      <c r="AM247" s="2022">
        <v>33941.32</v>
      </c>
    </row>
    <row r="248" spans="1:89" x14ac:dyDescent="0.2">
      <c r="A248" s="2020" t="s">
        <v>5281</v>
      </c>
      <c r="B248" s="2020" t="s">
        <v>6154</v>
      </c>
      <c r="C248" s="2022">
        <v>1746.46</v>
      </c>
      <c r="D248" s="2022">
        <v>0</v>
      </c>
      <c r="E248" s="2022">
        <v>1746.49</v>
      </c>
      <c r="F248" s="2022">
        <v>0</v>
      </c>
      <c r="G248" s="2022">
        <v>1746.49</v>
      </c>
      <c r="H248" s="2022">
        <v>0</v>
      </c>
      <c r="I248" s="2011">
        <f t="shared" si="7"/>
        <v>1746.49</v>
      </c>
      <c r="J248" s="2022"/>
      <c r="K248" s="2463"/>
    </row>
    <row r="249" spans="1:89" x14ac:dyDescent="0.2">
      <c r="A249" s="2020" t="s">
        <v>5282</v>
      </c>
      <c r="B249" s="2020" t="s">
        <v>6155</v>
      </c>
      <c r="C249" s="2022">
        <v>225189.46</v>
      </c>
      <c r="D249" s="2022">
        <v>0</v>
      </c>
      <c r="E249" s="2022">
        <f>318778.95+3223.66+AM249</f>
        <v>327231.87</v>
      </c>
      <c r="F249" s="2022">
        <v>0</v>
      </c>
      <c r="G249" s="2022">
        <v>318778.95</v>
      </c>
      <c r="H249" s="2022">
        <v>0</v>
      </c>
      <c r="I249" s="2011">
        <f t="shared" si="7"/>
        <v>327231.87</v>
      </c>
      <c r="J249" s="2022"/>
      <c r="K249" s="2463"/>
      <c r="AM249" s="2022">
        <v>5229.26</v>
      </c>
    </row>
    <row r="250" spans="1:89" x14ac:dyDescent="0.2">
      <c r="A250" s="2020" t="s">
        <v>5284</v>
      </c>
      <c r="B250" s="2020" t="s">
        <v>6156</v>
      </c>
      <c r="C250" s="2022">
        <v>4078.95</v>
      </c>
      <c r="D250" s="2022">
        <v>0</v>
      </c>
      <c r="E250" s="2022">
        <v>5605.09</v>
      </c>
      <c r="F250" s="2022">
        <v>-2000</v>
      </c>
      <c r="G250" s="2022">
        <v>3605.09</v>
      </c>
      <c r="H250" s="2022">
        <v>0</v>
      </c>
      <c r="I250" s="2011">
        <f t="shared" si="7"/>
        <v>3605.09</v>
      </c>
      <c r="J250" s="2022"/>
      <c r="K250" s="2463"/>
    </row>
    <row r="251" spans="1:89" x14ac:dyDescent="0.2">
      <c r="A251" s="2020" t="s">
        <v>5286</v>
      </c>
      <c r="B251" s="2020" t="s">
        <v>6157</v>
      </c>
      <c r="C251" s="2022">
        <v>211772.18</v>
      </c>
      <c r="D251" s="2022">
        <v>0</v>
      </c>
      <c r="E251" s="2022">
        <f>360615.87+AM251</f>
        <v>372010.17</v>
      </c>
      <c r="F251" s="2022">
        <v>-6005.46</v>
      </c>
      <c r="G251" s="2022">
        <v>354610.41</v>
      </c>
      <c r="H251" s="2022">
        <v>0</v>
      </c>
      <c r="I251" s="2011">
        <f t="shared" si="7"/>
        <v>366004.70999999996</v>
      </c>
      <c r="J251" s="2022"/>
      <c r="K251" s="2463"/>
      <c r="AM251" s="2022">
        <v>11394.3</v>
      </c>
    </row>
    <row r="252" spans="1:89" x14ac:dyDescent="0.2">
      <c r="A252" s="2020" t="s">
        <v>5287</v>
      </c>
      <c r="B252" s="2020" t="s">
        <v>6158</v>
      </c>
      <c r="C252" s="2022">
        <v>375046.02</v>
      </c>
      <c r="D252" s="2022">
        <v>0</v>
      </c>
      <c r="E252" s="2022">
        <f>2217088+AM252</f>
        <v>2251095.9700000002</v>
      </c>
      <c r="F252" s="2022">
        <v>-1965911.74</v>
      </c>
      <c r="G252" s="2022">
        <v>251176.26</v>
      </c>
      <c r="H252" s="2022">
        <v>0</v>
      </c>
      <c r="I252" s="2011">
        <f t="shared" si="7"/>
        <v>285184.23000000021</v>
      </c>
      <c r="J252" s="2022"/>
      <c r="K252" s="2463"/>
      <c r="AM252" s="2022">
        <v>34007.97</v>
      </c>
    </row>
    <row r="253" spans="1:89" s="2100" customFormat="1" x14ac:dyDescent="0.2">
      <c r="A253" s="2106" t="s">
        <v>5290</v>
      </c>
      <c r="B253" s="2106" t="s">
        <v>7667</v>
      </c>
      <c r="C253" s="2022">
        <v>0</v>
      </c>
      <c r="D253" s="2022">
        <v>0</v>
      </c>
      <c r="E253" s="2022">
        <f>BF253</f>
        <v>3119187.56</v>
      </c>
      <c r="F253" s="2022">
        <v>0</v>
      </c>
      <c r="G253" s="2022"/>
      <c r="H253" s="2022"/>
      <c r="I253" s="2011">
        <f t="shared" si="7"/>
        <v>3119187.56</v>
      </c>
      <c r="J253" s="2022"/>
      <c r="K253" s="2463"/>
      <c r="L253" s="2022"/>
      <c r="M253" s="2022"/>
      <c r="N253" s="2022"/>
      <c r="O253" s="2022"/>
      <c r="P253" s="2022"/>
      <c r="Q253" s="2022"/>
      <c r="R253" s="2022"/>
      <c r="S253" s="2022"/>
      <c r="T253" s="2022"/>
      <c r="U253" s="2022"/>
      <c r="V253" s="2022"/>
      <c r="W253" s="2022"/>
      <c r="X253" s="2022"/>
      <c r="Y253" s="2022"/>
      <c r="Z253" s="2022"/>
      <c r="AA253" s="2022"/>
      <c r="AB253" s="2022"/>
      <c r="AC253" s="2022"/>
      <c r="AD253" s="2022"/>
      <c r="AE253" s="2022"/>
      <c r="AF253" s="2022"/>
      <c r="AG253" s="2022"/>
      <c r="AH253" s="2022"/>
      <c r="AI253" s="2022"/>
      <c r="AJ253" s="2022"/>
      <c r="AK253" s="2022"/>
      <c r="AL253" s="2022"/>
      <c r="AM253" s="2022"/>
      <c r="AN253" s="2022"/>
      <c r="AO253" s="2022"/>
      <c r="AP253" s="2022"/>
      <c r="AQ253" s="2022"/>
      <c r="AR253" s="2022"/>
      <c r="AS253" s="2022"/>
      <c r="AT253" s="2022"/>
      <c r="AU253" s="2022"/>
      <c r="AV253" s="2558"/>
      <c r="AW253" s="2022"/>
      <c r="AX253" s="2022"/>
      <c r="AY253" s="2022"/>
      <c r="AZ253" s="2022"/>
      <c r="BA253" s="2022"/>
      <c r="BB253" s="2022"/>
      <c r="BC253" s="2022"/>
      <c r="BD253" s="2022"/>
      <c r="BE253" s="2022"/>
      <c r="BF253" s="2022">
        <f>3039107.11+80080.45</f>
        <v>3119187.56</v>
      </c>
      <c r="BG253" s="2022"/>
      <c r="BH253" s="2022"/>
      <c r="BI253" s="2728"/>
      <c r="BJ253" s="2728"/>
      <c r="BK253" s="2728"/>
      <c r="BL253" s="2728"/>
      <c r="BM253" s="2728"/>
      <c r="BN253" s="2728"/>
      <c r="BO253" s="2728"/>
      <c r="BP253" s="2728"/>
      <c r="BQ253" s="2728"/>
      <c r="BR253" s="2728"/>
      <c r="BS253" s="2632"/>
      <c r="BT253" s="2632"/>
      <c r="BU253" s="2728"/>
      <c r="BV253" s="2728"/>
      <c r="BW253" s="2632"/>
      <c r="BX253" s="2632"/>
      <c r="BY253" s="2632"/>
      <c r="BZ253" s="2632"/>
      <c r="CA253" s="2632"/>
      <c r="CB253" s="2728"/>
      <c r="CC253" s="2632"/>
      <c r="CD253" s="2632"/>
      <c r="CE253" s="2632"/>
      <c r="CF253" s="2632"/>
      <c r="CG253" s="2728"/>
      <c r="CH253" s="2728"/>
      <c r="CI253" s="2632"/>
      <c r="CJ253" s="2632"/>
      <c r="CK253" s="2632"/>
    </row>
    <row r="254" spans="1:89" x14ac:dyDescent="0.2">
      <c r="A254" s="2020" t="s">
        <v>5291</v>
      </c>
      <c r="B254" s="2020" t="s">
        <v>6159</v>
      </c>
      <c r="C254" s="2022">
        <v>1694.18</v>
      </c>
      <c r="D254" s="2022">
        <v>0</v>
      </c>
      <c r="E254" s="2022">
        <f>627.46+R254</f>
        <v>0</v>
      </c>
      <c r="F254" s="2022">
        <v>0</v>
      </c>
      <c r="G254" s="2022">
        <v>627.46</v>
      </c>
      <c r="H254" s="2022">
        <v>0</v>
      </c>
      <c r="I254" s="2011">
        <f t="shared" ref="I254:I320" si="8">SUM(E254:F254)</f>
        <v>0</v>
      </c>
      <c r="J254" s="2022"/>
      <c r="K254" s="2463"/>
      <c r="R254" s="2022">
        <v>-627.46</v>
      </c>
    </row>
    <row r="255" spans="1:89" x14ac:dyDescent="0.2">
      <c r="A255" s="2020" t="s">
        <v>5293</v>
      </c>
      <c r="B255" s="2020" t="s">
        <v>4929</v>
      </c>
      <c r="C255" s="2022">
        <v>0</v>
      </c>
      <c r="D255" s="2022">
        <f>253356+AV255</f>
        <v>0</v>
      </c>
      <c r="E255" s="2022">
        <f>131.65+V255</f>
        <v>8126220.790000001</v>
      </c>
      <c r="F255" s="2022">
        <f>-1072+AZ255</f>
        <v>-8126220.79</v>
      </c>
      <c r="G255" s="2022">
        <v>0</v>
      </c>
      <c r="H255" s="2022">
        <v>-940.35</v>
      </c>
      <c r="I255" s="2011">
        <f>SUM(C255:F255)</f>
        <v>0</v>
      </c>
      <c r="J255" s="2022"/>
      <c r="K255" s="2464"/>
      <c r="V255" s="2022">
        <f>6856838.94+1269250.2</f>
        <v>8126089.1400000006</v>
      </c>
      <c r="AV255" s="2558">
        <v>-253356</v>
      </c>
      <c r="AZ255" s="2022">
        <v>-8125148.79</v>
      </c>
    </row>
    <row r="256" spans="1:89" x14ac:dyDescent="0.2">
      <c r="A256" s="2020" t="s">
        <v>5294</v>
      </c>
      <c r="B256" s="2020" t="s">
        <v>6160</v>
      </c>
      <c r="C256" s="2022">
        <v>800000</v>
      </c>
      <c r="D256" s="2022">
        <v>0</v>
      </c>
      <c r="E256" s="2022">
        <f>1637088.5+AM256</f>
        <v>1909365.3</v>
      </c>
      <c r="F256" s="2022">
        <v>-184750</v>
      </c>
      <c r="G256" s="2022">
        <v>1452338.5</v>
      </c>
      <c r="H256" s="2022">
        <v>0</v>
      </c>
      <c r="I256" s="2011">
        <f t="shared" si="8"/>
        <v>1724615.3</v>
      </c>
      <c r="J256" s="2022"/>
      <c r="K256" s="2463"/>
      <c r="AM256" s="2022">
        <v>272276.8</v>
      </c>
    </row>
    <row r="257" spans="1:17" x14ac:dyDescent="0.2">
      <c r="A257" s="2020" t="s">
        <v>5295</v>
      </c>
      <c r="B257" s="2020" t="s">
        <v>5296</v>
      </c>
      <c r="C257" s="2022">
        <v>600000</v>
      </c>
      <c r="D257" s="2022">
        <v>0</v>
      </c>
      <c r="E257" s="2022">
        <v>0</v>
      </c>
      <c r="F257" s="2022">
        <v>0</v>
      </c>
      <c r="G257" s="2022">
        <v>0</v>
      </c>
      <c r="H257" s="2022">
        <v>0</v>
      </c>
      <c r="I257" s="2011">
        <f t="shared" si="8"/>
        <v>0</v>
      </c>
      <c r="J257" s="2022"/>
      <c r="K257" s="2463"/>
    </row>
    <row r="258" spans="1:17" x14ac:dyDescent="0.2">
      <c r="A258" s="2020" t="s">
        <v>5299</v>
      </c>
      <c r="B258" s="2020" t="s">
        <v>4893</v>
      </c>
      <c r="C258" s="2022">
        <v>1982.46</v>
      </c>
      <c r="D258" s="2022">
        <v>0</v>
      </c>
      <c r="E258" s="2022">
        <v>1982.46</v>
      </c>
      <c r="F258" s="2022">
        <v>0</v>
      </c>
      <c r="G258" s="2022">
        <v>1982.46</v>
      </c>
      <c r="H258" s="2022">
        <v>0</v>
      </c>
      <c r="I258" s="2011">
        <f t="shared" si="8"/>
        <v>1982.46</v>
      </c>
      <c r="J258" s="2022"/>
      <c r="K258" s="2463"/>
    </row>
    <row r="259" spans="1:17" x14ac:dyDescent="0.2">
      <c r="A259" s="2020" t="s">
        <v>5300</v>
      </c>
      <c r="B259" s="2020" t="s">
        <v>6161</v>
      </c>
      <c r="C259" s="2022">
        <v>0</v>
      </c>
      <c r="D259" s="2022">
        <v>0</v>
      </c>
      <c r="E259" s="2022">
        <v>43.86</v>
      </c>
      <c r="F259" s="2022">
        <v>0</v>
      </c>
      <c r="G259" s="2022">
        <v>43.86</v>
      </c>
      <c r="H259" s="2022">
        <v>0</v>
      </c>
      <c r="I259" s="2011">
        <f t="shared" si="8"/>
        <v>43.86</v>
      </c>
      <c r="J259" s="2022"/>
      <c r="K259" s="2463"/>
    </row>
    <row r="260" spans="1:17" x14ac:dyDescent="0.2">
      <c r="A260" s="2020" t="s">
        <v>5301</v>
      </c>
      <c r="B260" s="2020" t="s">
        <v>6162</v>
      </c>
      <c r="C260" s="2022">
        <v>5221.82</v>
      </c>
      <c r="D260" s="2022">
        <v>0</v>
      </c>
      <c r="E260" s="2022">
        <v>5221.82</v>
      </c>
      <c r="F260" s="2022">
        <v>0</v>
      </c>
      <c r="G260" s="2022">
        <v>5221.82</v>
      </c>
      <c r="H260" s="2022">
        <v>0</v>
      </c>
      <c r="I260" s="2011">
        <f t="shared" si="8"/>
        <v>5221.82</v>
      </c>
      <c r="J260" s="2022"/>
      <c r="K260" s="2463"/>
    </row>
    <row r="261" spans="1:17" x14ac:dyDescent="0.2">
      <c r="A261" s="2020" t="s">
        <v>5302</v>
      </c>
      <c r="B261" s="2020" t="s">
        <v>6163</v>
      </c>
      <c r="C261" s="2022">
        <v>13818.53</v>
      </c>
      <c r="D261" s="2022">
        <v>0</v>
      </c>
      <c r="E261" s="2022">
        <v>0</v>
      </c>
      <c r="F261" s="2022">
        <v>0</v>
      </c>
      <c r="G261" s="2022">
        <v>0</v>
      </c>
      <c r="H261" s="2022">
        <v>0</v>
      </c>
      <c r="I261" s="2011">
        <f t="shared" si="8"/>
        <v>0</v>
      </c>
      <c r="J261" s="2022"/>
      <c r="K261" s="2463"/>
    </row>
    <row r="262" spans="1:17" x14ac:dyDescent="0.2">
      <c r="A262" s="2020" t="s">
        <v>5304</v>
      </c>
      <c r="B262" s="2020" t="s">
        <v>6036</v>
      </c>
      <c r="C262" s="2022">
        <v>15212.05</v>
      </c>
      <c r="D262" s="2022">
        <v>0</v>
      </c>
      <c r="E262" s="2022">
        <v>0</v>
      </c>
      <c r="F262" s="2022">
        <v>0</v>
      </c>
      <c r="G262" s="2022">
        <v>0</v>
      </c>
      <c r="H262" s="2022">
        <v>0</v>
      </c>
      <c r="I262" s="2011">
        <f t="shared" si="8"/>
        <v>0</v>
      </c>
      <c r="J262" s="2022"/>
      <c r="K262" s="2463"/>
    </row>
    <row r="263" spans="1:17" x14ac:dyDescent="0.2">
      <c r="A263" s="2020" t="s">
        <v>5305</v>
      </c>
      <c r="B263" s="2020" t="s">
        <v>6164</v>
      </c>
      <c r="C263" s="2022">
        <v>-462705.37</v>
      </c>
      <c r="D263" s="2022">
        <v>0</v>
      </c>
      <c r="E263" s="2022">
        <v>0</v>
      </c>
      <c r="F263" s="2022">
        <v>0</v>
      </c>
      <c r="G263" s="2022">
        <v>0</v>
      </c>
      <c r="H263" s="2022">
        <v>0</v>
      </c>
      <c r="I263" s="2011">
        <f t="shared" si="8"/>
        <v>0</v>
      </c>
      <c r="J263" s="2022"/>
      <c r="K263" s="2463"/>
    </row>
    <row r="264" spans="1:17" x14ac:dyDescent="0.2">
      <c r="A264" s="2020" t="s">
        <v>5306</v>
      </c>
      <c r="B264" s="2020" t="s">
        <v>6164</v>
      </c>
      <c r="C264" s="2022">
        <v>-519172.23</v>
      </c>
      <c r="D264" s="2022">
        <v>0</v>
      </c>
      <c r="E264" s="2022">
        <v>0</v>
      </c>
      <c r="F264" s="2022">
        <v>0</v>
      </c>
      <c r="G264" s="2022">
        <v>0</v>
      </c>
      <c r="H264" s="2022">
        <v>0</v>
      </c>
      <c r="I264" s="2011">
        <f t="shared" si="8"/>
        <v>0</v>
      </c>
      <c r="J264" s="2022"/>
      <c r="K264" s="2463"/>
    </row>
    <row r="265" spans="1:17" x14ac:dyDescent="0.2">
      <c r="A265" s="2020" t="s">
        <v>5307</v>
      </c>
      <c r="B265" s="2020" t="s">
        <v>6165</v>
      </c>
      <c r="C265" s="2022">
        <v>-1184789.56</v>
      </c>
      <c r="D265" s="2022">
        <v>0</v>
      </c>
      <c r="E265" s="2022">
        <v>0</v>
      </c>
      <c r="F265" s="2022">
        <v>0</v>
      </c>
      <c r="G265" s="2022">
        <v>0</v>
      </c>
      <c r="H265" s="2022">
        <v>0</v>
      </c>
      <c r="I265" s="2011">
        <f t="shared" si="8"/>
        <v>0</v>
      </c>
      <c r="J265" s="2022"/>
      <c r="K265" s="2463"/>
    </row>
    <row r="266" spans="1:17" x14ac:dyDescent="0.2">
      <c r="A266" s="2020" t="s">
        <v>5308</v>
      </c>
      <c r="B266" s="2020" t="s">
        <v>6166</v>
      </c>
      <c r="C266" s="2022">
        <v>-3499273.07</v>
      </c>
      <c r="D266" s="2022">
        <v>0</v>
      </c>
      <c r="E266" s="2022">
        <v>0</v>
      </c>
      <c r="F266" s="2022">
        <v>0</v>
      </c>
      <c r="G266" s="2022">
        <v>0</v>
      </c>
      <c r="H266" s="2022">
        <v>0</v>
      </c>
      <c r="I266" s="2011">
        <f t="shared" si="8"/>
        <v>0</v>
      </c>
      <c r="J266" s="2022"/>
      <c r="K266" s="2463"/>
    </row>
    <row r="267" spans="1:17" x14ac:dyDescent="0.2">
      <c r="A267" s="2020" t="s">
        <v>5309</v>
      </c>
      <c r="B267" s="2020" t="s">
        <v>4934</v>
      </c>
      <c r="C267" s="2022">
        <v>-790000</v>
      </c>
      <c r="D267" s="2022">
        <v>0</v>
      </c>
      <c r="E267" s="2022">
        <v>0</v>
      </c>
      <c r="F267" s="2022">
        <f>Q267</f>
        <v>-790000</v>
      </c>
      <c r="G267" s="2022">
        <v>0</v>
      </c>
      <c r="H267" s="2022">
        <v>0</v>
      </c>
      <c r="I267" s="2011">
        <f t="shared" si="8"/>
        <v>-790000</v>
      </c>
      <c r="J267" s="2022"/>
      <c r="K267" s="2463"/>
      <c r="Q267" s="2022">
        <v>-790000</v>
      </c>
    </row>
    <row r="268" spans="1:17" x14ac:dyDescent="0.2">
      <c r="A268" s="2020" t="s">
        <v>5317</v>
      </c>
      <c r="B268" s="2020" t="s">
        <v>6003</v>
      </c>
      <c r="C268" s="2022">
        <v>686142.44</v>
      </c>
      <c r="D268" s="2022">
        <v>0</v>
      </c>
      <c r="E268" s="2022">
        <v>787759.48</v>
      </c>
      <c r="F268" s="2022">
        <v>0</v>
      </c>
      <c r="G268" s="2022">
        <v>787759.48</v>
      </c>
      <c r="H268" s="2022">
        <v>0</v>
      </c>
      <c r="I268" s="2011">
        <f t="shared" si="8"/>
        <v>787759.48</v>
      </c>
      <c r="J268" s="2022"/>
      <c r="K268" s="2463"/>
    </row>
    <row r="269" spans="1:17" x14ac:dyDescent="0.2">
      <c r="A269" s="2020" t="s">
        <v>5318</v>
      </c>
      <c r="B269" s="2020" t="s">
        <v>6004</v>
      </c>
      <c r="C269" s="2022">
        <v>54905.94</v>
      </c>
      <c r="D269" s="2022">
        <v>0</v>
      </c>
      <c r="E269" s="2022">
        <v>64455.3</v>
      </c>
      <c r="F269" s="2022">
        <v>0</v>
      </c>
      <c r="G269" s="2022">
        <v>64455.3</v>
      </c>
      <c r="H269" s="2022">
        <v>0</v>
      </c>
      <c r="I269" s="2011">
        <f t="shared" si="8"/>
        <v>64455.3</v>
      </c>
      <c r="J269" s="2022"/>
      <c r="K269" s="2463"/>
    </row>
    <row r="270" spans="1:17" x14ac:dyDescent="0.2">
      <c r="A270" s="2020" t="s">
        <v>5319</v>
      </c>
      <c r="B270" s="2020" t="s">
        <v>6005</v>
      </c>
      <c r="C270" s="2022">
        <v>4444</v>
      </c>
      <c r="D270" s="2022">
        <v>0</v>
      </c>
      <c r="E270" s="2022">
        <v>4444</v>
      </c>
      <c r="F270" s="2022">
        <v>0</v>
      </c>
      <c r="G270" s="2022">
        <v>4444</v>
      </c>
      <c r="H270" s="2022">
        <v>0</v>
      </c>
      <c r="I270" s="2011">
        <f t="shared" si="8"/>
        <v>4444</v>
      </c>
      <c r="J270" s="2022"/>
      <c r="K270" s="2463"/>
    </row>
    <row r="271" spans="1:17" x14ac:dyDescent="0.2">
      <c r="A271" s="2020" t="s">
        <v>5320</v>
      </c>
      <c r="B271" s="2020" t="s">
        <v>6006</v>
      </c>
      <c r="C271" s="2022">
        <v>0</v>
      </c>
      <c r="D271" s="2022">
        <v>0</v>
      </c>
      <c r="E271" s="2022">
        <v>2088</v>
      </c>
      <c r="F271" s="2022">
        <v>0</v>
      </c>
      <c r="G271" s="2022">
        <v>2088</v>
      </c>
      <c r="H271" s="2022">
        <v>0</v>
      </c>
      <c r="I271" s="2011">
        <f t="shared" si="8"/>
        <v>2088</v>
      </c>
      <c r="J271" s="2022"/>
      <c r="K271" s="2463"/>
    </row>
    <row r="272" spans="1:17" x14ac:dyDescent="0.2">
      <c r="A272" s="2020" t="s">
        <v>5321</v>
      </c>
      <c r="B272" s="2020" t="s">
        <v>6007</v>
      </c>
      <c r="C272" s="2022">
        <v>0</v>
      </c>
      <c r="D272" s="2022">
        <v>0</v>
      </c>
      <c r="E272" s="2022">
        <v>373.04</v>
      </c>
      <c r="F272" s="2022">
        <v>0</v>
      </c>
      <c r="G272" s="2022">
        <v>373.04</v>
      </c>
      <c r="H272" s="2022">
        <v>0</v>
      </c>
      <c r="I272" s="2011">
        <f t="shared" si="8"/>
        <v>373.04</v>
      </c>
      <c r="J272" s="2022"/>
      <c r="K272" s="2463"/>
    </row>
    <row r="273" spans="1:42" x14ac:dyDescent="0.2">
      <c r="A273" s="2020" t="s">
        <v>5323</v>
      </c>
      <c r="B273" s="2020" t="s">
        <v>6009</v>
      </c>
      <c r="C273" s="2022">
        <v>133400.62</v>
      </c>
      <c r="D273" s="2022">
        <v>0</v>
      </c>
      <c r="E273" s="2022">
        <v>147400.62</v>
      </c>
      <c r="F273" s="2022">
        <v>0</v>
      </c>
      <c r="G273" s="2022">
        <v>147400.62</v>
      </c>
      <c r="H273" s="2022">
        <v>0</v>
      </c>
      <c r="I273" s="2011">
        <f t="shared" si="8"/>
        <v>147400.62</v>
      </c>
      <c r="J273" s="2022"/>
      <c r="K273" s="2463"/>
    </row>
    <row r="274" spans="1:42" x14ac:dyDescent="0.2">
      <c r="A274" s="2020" t="s">
        <v>5324</v>
      </c>
      <c r="B274" s="2020" t="s">
        <v>6010</v>
      </c>
      <c r="C274" s="2022">
        <v>147.6</v>
      </c>
      <c r="D274" s="2022">
        <v>0</v>
      </c>
      <c r="E274" s="2022">
        <v>180.4</v>
      </c>
      <c r="F274" s="2022">
        <v>0</v>
      </c>
      <c r="G274" s="2022">
        <v>180.4</v>
      </c>
      <c r="H274" s="2022">
        <v>0</v>
      </c>
      <c r="I274" s="2011">
        <f t="shared" si="8"/>
        <v>180.4</v>
      </c>
      <c r="J274" s="2022"/>
      <c r="K274" s="2463"/>
    </row>
    <row r="275" spans="1:42" x14ac:dyDescent="0.2">
      <c r="A275" s="2020" t="s">
        <v>5325</v>
      </c>
      <c r="B275" s="2020" t="s">
        <v>6011</v>
      </c>
      <c r="C275" s="2022">
        <v>7088.87</v>
      </c>
      <c r="D275" s="2022">
        <v>0</v>
      </c>
      <c r="E275" s="2022">
        <v>9188.2199999999993</v>
      </c>
      <c r="F275" s="2022">
        <v>0</v>
      </c>
      <c r="G275" s="2022">
        <v>9188.2199999999993</v>
      </c>
      <c r="H275" s="2022">
        <v>0</v>
      </c>
      <c r="I275" s="2011">
        <f t="shared" si="8"/>
        <v>9188.2199999999993</v>
      </c>
      <c r="J275" s="2022"/>
      <c r="K275" s="2463"/>
    </row>
    <row r="276" spans="1:42" x14ac:dyDescent="0.2">
      <c r="A276" s="2020" t="s">
        <v>5327</v>
      </c>
      <c r="B276" s="2020" t="s">
        <v>6012</v>
      </c>
      <c r="C276" s="2022">
        <v>65469.599999999999</v>
      </c>
      <c r="D276" s="2022">
        <v>0</v>
      </c>
      <c r="E276" s="2022">
        <v>75307.199999999997</v>
      </c>
      <c r="F276" s="2022">
        <v>0</v>
      </c>
      <c r="G276" s="2022">
        <v>75307.199999999997</v>
      </c>
      <c r="H276" s="2022">
        <v>0</v>
      </c>
      <c r="I276" s="2011">
        <f t="shared" si="8"/>
        <v>75307.199999999997</v>
      </c>
      <c r="J276" s="2022"/>
      <c r="K276" s="2463"/>
    </row>
    <row r="277" spans="1:42" x14ac:dyDescent="0.2">
      <c r="A277" s="2020" t="s">
        <v>5328</v>
      </c>
      <c r="B277" s="2020" t="s">
        <v>6013</v>
      </c>
      <c r="C277" s="2022">
        <v>128128.98</v>
      </c>
      <c r="D277" s="2022">
        <v>0</v>
      </c>
      <c r="E277" s="2022">
        <v>149245.01999999999</v>
      </c>
      <c r="F277" s="2022">
        <v>0</v>
      </c>
      <c r="G277" s="2022">
        <v>149245.01999999999</v>
      </c>
      <c r="H277" s="2022">
        <v>0</v>
      </c>
      <c r="I277" s="2011">
        <f t="shared" si="8"/>
        <v>149245.01999999999</v>
      </c>
      <c r="J277" s="2022"/>
      <c r="K277" s="2463"/>
    </row>
    <row r="278" spans="1:42" x14ac:dyDescent="0.2">
      <c r="A278" s="2020" t="s">
        <v>5329</v>
      </c>
      <c r="B278" s="2020" t="s">
        <v>6014</v>
      </c>
      <c r="C278" s="2022">
        <v>4492.08</v>
      </c>
      <c r="D278" s="2022">
        <v>0</v>
      </c>
      <c r="E278" s="2022">
        <v>5461.96</v>
      </c>
      <c r="F278" s="2022">
        <v>0</v>
      </c>
      <c r="G278" s="2022">
        <v>5461.96</v>
      </c>
      <c r="H278" s="2022">
        <v>0</v>
      </c>
      <c r="I278" s="2011">
        <f t="shared" si="8"/>
        <v>5461.96</v>
      </c>
      <c r="J278" s="2022"/>
      <c r="K278" s="2463"/>
    </row>
    <row r="279" spans="1:42" x14ac:dyDescent="0.2">
      <c r="A279" s="2020" t="s">
        <v>5334</v>
      </c>
      <c r="B279" s="2020" t="s">
        <v>6167</v>
      </c>
      <c r="C279" s="2022">
        <v>9100</v>
      </c>
      <c r="D279" s="2022">
        <v>0</v>
      </c>
      <c r="E279" s="2022">
        <v>9100</v>
      </c>
      <c r="F279" s="2022">
        <v>0</v>
      </c>
      <c r="G279" s="2022">
        <v>9100</v>
      </c>
      <c r="H279" s="2022">
        <v>0</v>
      </c>
      <c r="I279" s="2011">
        <f t="shared" si="8"/>
        <v>9100</v>
      </c>
      <c r="J279" s="2022"/>
      <c r="K279" s="2463"/>
    </row>
    <row r="280" spans="1:42" x14ac:dyDescent="0.2">
      <c r="A280" s="2020" t="s">
        <v>5337</v>
      </c>
      <c r="B280" s="2020" t="s">
        <v>6168</v>
      </c>
      <c r="C280" s="2022">
        <v>2300</v>
      </c>
      <c r="D280" s="2022">
        <v>0</v>
      </c>
      <c r="E280" s="2022">
        <v>4809.37</v>
      </c>
      <c r="F280" s="2022">
        <v>0</v>
      </c>
      <c r="G280" s="2022">
        <v>4809.37</v>
      </c>
      <c r="H280" s="2022">
        <v>0</v>
      </c>
      <c r="I280" s="2011">
        <f t="shared" si="8"/>
        <v>4809.37</v>
      </c>
      <c r="J280" s="2022"/>
      <c r="K280" s="2463"/>
    </row>
    <row r="281" spans="1:42" x14ac:dyDescent="0.2">
      <c r="A281" s="2020" t="s">
        <v>5339</v>
      </c>
      <c r="B281" s="2020" t="s">
        <v>6021</v>
      </c>
      <c r="C281" s="2022">
        <v>0</v>
      </c>
      <c r="D281" s="2022">
        <v>0</v>
      </c>
      <c r="E281" s="2022">
        <v>153.51</v>
      </c>
      <c r="F281" s="2022">
        <v>0</v>
      </c>
      <c r="G281" s="2022">
        <v>153.51</v>
      </c>
      <c r="H281" s="2022">
        <v>0</v>
      </c>
      <c r="I281" s="2011">
        <f t="shared" si="8"/>
        <v>153.51</v>
      </c>
      <c r="J281" s="2022"/>
      <c r="K281" s="2463"/>
    </row>
    <row r="282" spans="1:42" x14ac:dyDescent="0.2">
      <c r="A282" s="2020" t="s">
        <v>5344</v>
      </c>
      <c r="B282" s="2020" t="s">
        <v>6029</v>
      </c>
      <c r="C282" s="2022">
        <v>150150</v>
      </c>
      <c r="D282" s="2022">
        <v>0</v>
      </c>
      <c r="E282" s="2022">
        <f>85504.45+14100.6+AM282</f>
        <v>113786.76000000001</v>
      </c>
      <c r="F282" s="2022">
        <f>-314+AP282</f>
        <v>-12085.58</v>
      </c>
      <c r="G282" s="2022">
        <v>85190.45</v>
      </c>
      <c r="H282" s="2022">
        <v>0</v>
      </c>
      <c r="I282" s="2011">
        <f t="shared" si="8"/>
        <v>101701.18000000001</v>
      </c>
      <c r="J282" s="2022"/>
      <c r="K282" s="2463"/>
      <c r="AM282" s="2022">
        <v>14181.71</v>
      </c>
      <c r="AP282" s="2022">
        <v>-11771.58</v>
      </c>
    </row>
    <row r="283" spans="1:42" x14ac:dyDescent="0.2">
      <c r="A283" s="2020" t="s">
        <v>5346</v>
      </c>
      <c r="B283" s="2020" t="s">
        <v>6030</v>
      </c>
      <c r="C283" s="2022">
        <v>64951.88</v>
      </c>
      <c r="D283" s="2022">
        <v>0</v>
      </c>
      <c r="E283" s="2022">
        <f>68853.27+AM283</f>
        <v>140858.46000000002</v>
      </c>
      <c r="F283" s="2022">
        <v>0</v>
      </c>
      <c r="G283" s="2022">
        <v>68853.27</v>
      </c>
      <c r="H283" s="2022">
        <v>0</v>
      </c>
      <c r="I283" s="2011">
        <f t="shared" si="8"/>
        <v>140858.46000000002</v>
      </c>
      <c r="J283" s="2022"/>
      <c r="K283" s="2463"/>
      <c r="AM283" s="2022">
        <v>72005.19</v>
      </c>
    </row>
    <row r="284" spans="1:42" x14ac:dyDescent="0.2">
      <c r="A284" s="2020" t="s">
        <v>5351</v>
      </c>
      <c r="B284" s="2020" t="s">
        <v>6033</v>
      </c>
      <c r="C284" s="2022">
        <v>0</v>
      </c>
      <c r="D284" s="2022">
        <v>0</v>
      </c>
      <c r="E284" s="2022">
        <f>667.89+R284</f>
        <v>0</v>
      </c>
      <c r="F284" s="2022">
        <v>0</v>
      </c>
      <c r="G284" s="2022">
        <v>667.89</v>
      </c>
      <c r="H284" s="2022">
        <v>0</v>
      </c>
      <c r="I284" s="2011">
        <f t="shared" si="8"/>
        <v>0</v>
      </c>
      <c r="J284" s="2022"/>
      <c r="K284" s="2463"/>
      <c r="R284" s="2022">
        <v>-667.89</v>
      </c>
    </row>
    <row r="285" spans="1:42" x14ac:dyDescent="0.2">
      <c r="A285" s="2020" t="s">
        <v>5356</v>
      </c>
      <c r="B285" s="2020" t="s">
        <v>6035</v>
      </c>
      <c r="C285" s="2022">
        <v>5085.1899999999996</v>
      </c>
      <c r="D285" s="2022">
        <v>0</v>
      </c>
      <c r="E285" s="2022">
        <v>0</v>
      </c>
      <c r="F285" s="2022">
        <v>0</v>
      </c>
      <c r="G285" s="2022">
        <v>0</v>
      </c>
      <c r="H285" s="2022">
        <v>0</v>
      </c>
      <c r="I285" s="2011">
        <f t="shared" si="8"/>
        <v>0</v>
      </c>
      <c r="J285" s="2022"/>
      <c r="K285" s="2463"/>
    </row>
    <row r="286" spans="1:42" x14ac:dyDescent="0.2">
      <c r="A286" s="2020" t="s">
        <v>5357</v>
      </c>
      <c r="B286" s="2020" t="s">
        <v>6036</v>
      </c>
      <c r="C286" s="2022">
        <v>5199.38</v>
      </c>
      <c r="D286" s="2022">
        <v>0</v>
      </c>
      <c r="E286" s="2022">
        <v>0</v>
      </c>
      <c r="F286" s="2022">
        <v>0</v>
      </c>
      <c r="G286" s="2022">
        <v>0</v>
      </c>
      <c r="H286" s="2022">
        <v>0</v>
      </c>
      <c r="I286" s="2011">
        <f t="shared" si="8"/>
        <v>0</v>
      </c>
      <c r="J286" s="2022"/>
      <c r="K286" s="2463"/>
    </row>
    <row r="287" spans="1:42" x14ac:dyDescent="0.2">
      <c r="A287" s="2020" t="s">
        <v>5358</v>
      </c>
      <c r="B287" s="2020" t="s">
        <v>6037</v>
      </c>
      <c r="C287" s="2022">
        <v>-1310722.01</v>
      </c>
      <c r="D287" s="2022">
        <v>0</v>
      </c>
      <c r="E287" s="2022">
        <v>0</v>
      </c>
      <c r="F287" s="2022">
        <v>0</v>
      </c>
      <c r="G287" s="2022">
        <v>0</v>
      </c>
      <c r="H287" s="2022">
        <v>0</v>
      </c>
      <c r="I287" s="2011">
        <f t="shared" si="8"/>
        <v>0</v>
      </c>
      <c r="J287" s="2022"/>
      <c r="K287" s="2463"/>
    </row>
    <row r="288" spans="1:42" x14ac:dyDescent="0.2">
      <c r="A288" s="2020" t="s">
        <v>5360</v>
      </c>
      <c r="B288" s="2020" t="s">
        <v>6003</v>
      </c>
      <c r="C288" s="2022">
        <v>680477.2</v>
      </c>
      <c r="D288" s="2022">
        <v>0</v>
      </c>
      <c r="E288" s="2022">
        <v>698444.35</v>
      </c>
      <c r="F288" s="2022">
        <v>-11978.1</v>
      </c>
      <c r="G288" s="2022">
        <v>686466.25</v>
      </c>
      <c r="H288" s="2022">
        <v>0</v>
      </c>
      <c r="I288" s="2011">
        <f t="shared" si="8"/>
        <v>686466.25</v>
      </c>
      <c r="J288" s="2022"/>
      <c r="K288" s="2463"/>
    </row>
    <row r="289" spans="1:11" x14ac:dyDescent="0.2">
      <c r="A289" s="2020" t="s">
        <v>5361</v>
      </c>
      <c r="B289" s="2020" t="s">
        <v>6004</v>
      </c>
      <c r="C289" s="2022">
        <v>60000</v>
      </c>
      <c r="D289" s="2022">
        <v>0</v>
      </c>
      <c r="E289" s="2022">
        <v>57466.3</v>
      </c>
      <c r="F289" s="2022">
        <v>0</v>
      </c>
      <c r="G289" s="2022">
        <v>57466.3</v>
      </c>
      <c r="H289" s="2022">
        <v>0</v>
      </c>
      <c r="I289" s="2011">
        <f t="shared" si="8"/>
        <v>57466.3</v>
      </c>
      <c r="J289" s="2022"/>
      <c r="K289" s="2463"/>
    </row>
    <row r="290" spans="1:11" x14ac:dyDescent="0.2">
      <c r="A290" s="2020" t="s">
        <v>5362</v>
      </c>
      <c r="B290" s="2020" t="s">
        <v>6008</v>
      </c>
      <c r="C290" s="2022">
        <v>367.87</v>
      </c>
      <c r="D290" s="2022">
        <v>0</v>
      </c>
      <c r="E290" s="2022">
        <v>367.87</v>
      </c>
      <c r="F290" s="2022">
        <v>0</v>
      </c>
      <c r="G290" s="2022">
        <v>367.87</v>
      </c>
      <c r="H290" s="2022">
        <v>0</v>
      </c>
      <c r="I290" s="2011">
        <f t="shared" si="8"/>
        <v>367.87</v>
      </c>
      <c r="J290" s="2022"/>
      <c r="K290" s="2463"/>
    </row>
    <row r="291" spans="1:11" x14ac:dyDescent="0.2">
      <c r="A291" s="2020" t="s">
        <v>5363</v>
      </c>
      <c r="B291" s="2020" t="s">
        <v>6010</v>
      </c>
      <c r="C291" s="2022">
        <v>344.4</v>
      </c>
      <c r="D291" s="2022">
        <v>0</v>
      </c>
      <c r="E291" s="2022">
        <v>344.4</v>
      </c>
      <c r="F291" s="2022">
        <v>0</v>
      </c>
      <c r="G291" s="2022">
        <v>344.4</v>
      </c>
      <c r="H291" s="2022">
        <v>0</v>
      </c>
      <c r="I291" s="2011">
        <f t="shared" si="8"/>
        <v>344.4</v>
      </c>
      <c r="J291" s="2022"/>
      <c r="K291" s="2463"/>
    </row>
    <row r="292" spans="1:11" x14ac:dyDescent="0.2">
      <c r="A292" s="2020" t="s">
        <v>5364</v>
      </c>
      <c r="B292" s="2020" t="s">
        <v>6011</v>
      </c>
      <c r="C292" s="2022">
        <v>8975.67</v>
      </c>
      <c r="D292" s="2022">
        <v>0</v>
      </c>
      <c r="E292" s="2022">
        <v>7251.2</v>
      </c>
      <c r="F292" s="2022">
        <v>0</v>
      </c>
      <c r="G292" s="2022">
        <v>7251.2</v>
      </c>
      <c r="H292" s="2022">
        <v>0</v>
      </c>
      <c r="I292" s="2011">
        <f t="shared" si="8"/>
        <v>7251.2</v>
      </c>
      <c r="J292" s="2022"/>
      <c r="K292" s="2463"/>
    </row>
    <row r="293" spans="1:11" x14ac:dyDescent="0.2">
      <c r="A293" s="2020" t="s">
        <v>5366</v>
      </c>
      <c r="B293" s="2020" t="s">
        <v>6012</v>
      </c>
      <c r="C293" s="2022">
        <v>49176</v>
      </c>
      <c r="D293" s="2022">
        <v>0</v>
      </c>
      <c r="E293" s="2022">
        <v>49176</v>
      </c>
      <c r="F293" s="2022">
        <v>0</v>
      </c>
      <c r="G293" s="2022">
        <v>49176</v>
      </c>
      <c r="H293" s="2022">
        <v>0</v>
      </c>
      <c r="I293" s="2011">
        <f t="shared" si="8"/>
        <v>49176</v>
      </c>
      <c r="J293" s="2022"/>
      <c r="K293" s="2463"/>
    </row>
    <row r="294" spans="1:11" x14ac:dyDescent="0.2">
      <c r="A294" s="2020" t="s">
        <v>5367</v>
      </c>
      <c r="B294" s="2020" t="s">
        <v>6013</v>
      </c>
      <c r="C294" s="2022">
        <v>131323.38</v>
      </c>
      <c r="D294" s="2022">
        <v>0</v>
      </c>
      <c r="E294" s="2022">
        <v>131323.38</v>
      </c>
      <c r="F294" s="2022">
        <v>0</v>
      </c>
      <c r="G294" s="2022">
        <v>131323.38</v>
      </c>
      <c r="H294" s="2022">
        <v>0</v>
      </c>
      <c r="I294" s="2011">
        <f t="shared" si="8"/>
        <v>131323.38</v>
      </c>
      <c r="J294" s="2022"/>
      <c r="K294" s="2463"/>
    </row>
    <row r="295" spans="1:11" x14ac:dyDescent="0.2">
      <c r="A295" s="2020" t="s">
        <v>5368</v>
      </c>
      <c r="B295" s="2020" t="s">
        <v>6014</v>
      </c>
      <c r="C295" s="2022">
        <v>8594.68</v>
      </c>
      <c r="D295" s="2022">
        <v>0</v>
      </c>
      <c r="E295" s="2022">
        <v>7008.3</v>
      </c>
      <c r="F295" s="2022">
        <v>0</v>
      </c>
      <c r="G295" s="2022">
        <v>7008.3</v>
      </c>
      <c r="H295" s="2022">
        <v>0</v>
      </c>
      <c r="I295" s="2011">
        <f t="shared" si="8"/>
        <v>7008.3</v>
      </c>
      <c r="J295" s="2022"/>
      <c r="K295" s="2463"/>
    </row>
    <row r="296" spans="1:11" x14ac:dyDescent="0.2">
      <c r="A296" s="2020" t="s">
        <v>5373</v>
      </c>
      <c r="B296" s="2020" t="s">
        <v>6029</v>
      </c>
      <c r="C296" s="2022">
        <v>0</v>
      </c>
      <c r="D296" s="2022">
        <v>0</v>
      </c>
      <c r="E296" s="2022">
        <v>1001.1</v>
      </c>
      <c r="F296" s="2022">
        <v>0</v>
      </c>
      <c r="G296" s="2022">
        <v>1001.1</v>
      </c>
      <c r="H296" s="2022">
        <v>0</v>
      </c>
      <c r="I296" s="2011">
        <f t="shared" si="8"/>
        <v>1001.1</v>
      </c>
      <c r="J296" s="2022"/>
      <c r="K296" s="2463"/>
    </row>
    <row r="297" spans="1:11" x14ac:dyDescent="0.2">
      <c r="A297" s="2020" t="s">
        <v>5374</v>
      </c>
      <c r="B297" s="2020" t="s">
        <v>6030</v>
      </c>
      <c r="C297" s="2022">
        <v>14437.79</v>
      </c>
      <c r="D297" s="2022">
        <v>0</v>
      </c>
      <c r="E297" s="2022">
        <v>11111.67</v>
      </c>
      <c r="F297" s="2022">
        <v>-470.2</v>
      </c>
      <c r="G297" s="2022">
        <v>10641.47</v>
      </c>
      <c r="H297" s="2022">
        <v>0</v>
      </c>
      <c r="I297" s="2011">
        <f t="shared" si="8"/>
        <v>10641.47</v>
      </c>
      <c r="J297" s="2022"/>
      <c r="K297" s="2463"/>
    </row>
    <row r="298" spans="1:11" x14ac:dyDescent="0.2">
      <c r="A298" s="2020" t="s">
        <v>5379</v>
      </c>
      <c r="B298" s="2020" t="s">
        <v>6035</v>
      </c>
      <c r="C298" s="2022">
        <v>10095.32</v>
      </c>
      <c r="D298" s="2022">
        <v>0</v>
      </c>
      <c r="E298" s="2022">
        <v>0</v>
      </c>
      <c r="F298" s="2022">
        <v>0</v>
      </c>
      <c r="G298" s="2022">
        <v>0</v>
      </c>
      <c r="H298" s="2022">
        <v>0</v>
      </c>
      <c r="I298" s="2011">
        <f t="shared" si="8"/>
        <v>0</v>
      </c>
      <c r="J298" s="2022"/>
      <c r="K298" s="2463"/>
    </row>
    <row r="299" spans="1:11" x14ac:dyDescent="0.2">
      <c r="A299" s="2020" t="s">
        <v>5380</v>
      </c>
      <c r="B299" s="2020" t="s">
        <v>6036</v>
      </c>
      <c r="C299" s="2022">
        <v>9011.5300000000007</v>
      </c>
      <c r="D299" s="2022">
        <v>0</v>
      </c>
      <c r="E299" s="2022">
        <v>0</v>
      </c>
      <c r="F299" s="2022">
        <v>0</v>
      </c>
      <c r="G299" s="2022">
        <v>0</v>
      </c>
      <c r="H299" s="2022">
        <v>0</v>
      </c>
      <c r="I299" s="2011">
        <f t="shared" si="8"/>
        <v>0</v>
      </c>
      <c r="J299" s="2022"/>
      <c r="K299" s="2463"/>
    </row>
    <row r="300" spans="1:11" x14ac:dyDescent="0.2">
      <c r="A300" s="2020" t="s">
        <v>5383</v>
      </c>
      <c r="B300" s="2020" t="s">
        <v>6037</v>
      </c>
      <c r="C300" s="2022">
        <v>-972775.24</v>
      </c>
      <c r="D300" s="2022">
        <v>0</v>
      </c>
      <c r="E300" s="2022">
        <v>0</v>
      </c>
      <c r="F300" s="2022">
        <v>0</v>
      </c>
      <c r="G300" s="2022">
        <v>0</v>
      </c>
      <c r="H300" s="2022">
        <v>0</v>
      </c>
      <c r="I300" s="2011">
        <f t="shared" si="8"/>
        <v>0</v>
      </c>
      <c r="J300" s="2022"/>
      <c r="K300" s="2463"/>
    </row>
    <row r="301" spans="1:11" x14ac:dyDescent="0.2">
      <c r="A301" s="2020" t="s">
        <v>5384</v>
      </c>
      <c r="B301" s="2020" t="s">
        <v>6169</v>
      </c>
      <c r="C301" s="2022">
        <v>-28.6</v>
      </c>
      <c r="D301" s="2022">
        <v>0</v>
      </c>
      <c r="E301" s="2022">
        <v>10.91</v>
      </c>
      <c r="F301" s="2022">
        <v>-88.8</v>
      </c>
      <c r="G301" s="2022">
        <v>0</v>
      </c>
      <c r="H301" s="2022">
        <v>-77.89</v>
      </c>
      <c r="I301" s="2011">
        <f t="shared" si="8"/>
        <v>-77.89</v>
      </c>
      <c r="J301" s="2022"/>
      <c r="K301" s="2463"/>
    </row>
    <row r="302" spans="1:11" x14ac:dyDescent="0.2">
      <c r="A302" s="2020" t="s">
        <v>5387</v>
      </c>
      <c r="B302" s="2020" t="s">
        <v>6003</v>
      </c>
      <c r="C302" s="2022">
        <v>177941.12</v>
      </c>
      <c r="D302" s="2022">
        <v>0</v>
      </c>
      <c r="E302" s="2022">
        <v>185158.59</v>
      </c>
      <c r="F302" s="2022">
        <v>-3967.11</v>
      </c>
      <c r="G302" s="2022">
        <v>181191.48</v>
      </c>
      <c r="H302" s="2022">
        <v>0</v>
      </c>
      <c r="I302" s="2011">
        <f t="shared" si="8"/>
        <v>181191.48</v>
      </c>
      <c r="J302" s="2022"/>
      <c r="K302" s="2463"/>
    </row>
    <row r="303" spans="1:11" x14ac:dyDescent="0.2">
      <c r="A303" s="2020" t="s">
        <v>5388</v>
      </c>
      <c r="B303" s="2020" t="s">
        <v>6004</v>
      </c>
      <c r="C303" s="2022">
        <v>15027.27</v>
      </c>
      <c r="D303" s="2022">
        <v>0</v>
      </c>
      <c r="E303" s="2022">
        <v>10018.18</v>
      </c>
      <c r="F303" s="2022">
        <v>0</v>
      </c>
      <c r="G303" s="2022">
        <v>10018.18</v>
      </c>
      <c r="H303" s="2022">
        <v>0</v>
      </c>
      <c r="I303" s="2011">
        <f t="shared" si="8"/>
        <v>10018.18</v>
      </c>
      <c r="J303" s="2022"/>
      <c r="K303" s="2463"/>
    </row>
    <row r="304" spans="1:11" x14ac:dyDescent="0.2">
      <c r="A304" s="2020" t="s">
        <v>5391</v>
      </c>
      <c r="B304" s="2020" t="s">
        <v>6010</v>
      </c>
      <c r="C304" s="2022">
        <v>147.6</v>
      </c>
      <c r="D304" s="2022">
        <v>0</v>
      </c>
      <c r="E304" s="2022">
        <v>135.30000000000001</v>
      </c>
      <c r="F304" s="2022">
        <v>0</v>
      </c>
      <c r="G304" s="2022">
        <v>135.30000000000001</v>
      </c>
      <c r="H304" s="2022">
        <v>0</v>
      </c>
      <c r="I304" s="2011">
        <f t="shared" si="8"/>
        <v>135.30000000000001</v>
      </c>
      <c r="J304" s="2022"/>
      <c r="K304" s="2463"/>
    </row>
    <row r="305" spans="1:89" x14ac:dyDescent="0.2">
      <c r="A305" s="2020" t="s">
        <v>5392</v>
      </c>
      <c r="B305" s="2020" t="s">
        <v>6011</v>
      </c>
      <c r="C305" s="2022">
        <v>2146.04</v>
      </c>
      <c r="D305" s="2022">
        <v>0</v>
      </c>
      <c r="E305" s="2022">
        <v>1654.78</v>
      </c>
      <c r="F305" s="2022">
        <v>0</v>
      </c>
      <c r="G305" s="2022">
        <v>1654.78</v>
      </c>
      <c r="H305" s="2022">
        <v>0</v>
      </c>
      <c r="I305" s="2011">
        <f t="shared" si="8"/>
        <v>1654.78</v>
      </c>
      <c r="J305" s="2022"/>
      <c r="K305" s="2463"/>
    </row>
    <row r="306" spans="1:89" x14ac:dyDescent="0.2">
      <c r="A306" s="2020" t="s">
        <v>5394</v>
      </c>
      <c r="B306" s="2020" t="s">
        <v>6012</v>
      </c>
      <c r="C306" s="2022">
        <v>11066.47</v>
      </c>
      <c r="D306" s="2022">
        <v>0</v>
      </c>
      <c r="E306" s="2022">
        <v>9951.07</v>
      </c>
      <c r="F306" s="2022">
        <v>0</v>
      </c>
      <c r="G306" s="2022">
        <v>9951.07</v>
      </c>
      <c r="H306" s="2022">
        <v>0</v>
      </c>
      <c r="I306" s="2011">
        <f t="shared" si="8"/>
        <v>9951.07</v>
      </c>
      <c r="J306" s="2022"/>
      <c r="K306" s="2463"/>
    </row>
    <row r="307" spans="1:89" x14ac:dyDescent="0.2">
      <c r="A307" s="2020" t="s">
        <v>5395</v>
      </c>
      <c r="B307" s="2020" t="s">
        <v>6013</v>
      </c>
      <c r="C307" s="2022">
        <v>31264.94</v>
      </c>
      <c r="D307" s="2022">
        <v>0</v>
      </c>
      <c r="E307" s="2022">
        <v>28549.52</v>
      </c>
      <c r="F307" s="2022">
        <v>0</v>
      </c>
      <c r="G307" s="2022">
        <v>28549.52</v>
      </c>
      <c r="H307" s="2022">
        <v>0</v>
      </c>
      <c r="I307" s="2011">
        <f t="shared" si="8"/>
        <v>28549.52</v>
      </c>
      <c r="J307" s="2022"/>
      <c r="K307" s="2463"/>
    </row>
    <row r="308" spans="1:89" x14ac:dyDescent="0.2">
      <c r="A308" s="2020" t="s">
        <v>5396</v>
      </c>
      <c r="B308" s="2020" t="s">
        <v>6014</v>
      </c>
      <c r="C308" s="2022">
        <v>2411.16</v>
      </c>
      <c r="D308" s="2022">
        <v>0</v>
      </c>
      <c r="E308" s="2022">
        <v>2003.06</v>
      </c>
      <c r="F308" s="2022">
        <v>0</v>
      </c>
      <c r="G308" s="2022">
        <v>2003.06</v>
      </c>
      <c r="H308" s="2022">
        <v>0</v>
      </c>
      <c r="I308" s="2011">
        <f t="shared" si="8"/>
        <v>2003.06</v>
      </c>
      <c r="J308" s="2022"/>
      <c r="K308" s="2463"/>
    </row>
    <row r="309" spans="1:89" s="2100" customFormat="1" x14ac:dyDescent="0.2">
      <c r="A309" s="2106" t="s">
        <v>5397</v>
      </c>
      <c r="B309" s="2106" t="s">
        <v>6886</v>
      </c>
      <c r="C309" s="2022">
        <v>0</v>
      </c>
      <c r="D309" s="2022">
        <v>0</v>
      </c>
      <c r="E309" s="2022">
        <v>0</v>
      </c>
      <c r="F309" s="2022">
        <f>Y309</f>
        <v>-16834.3</v>
      </c>
      <c r="G309" s="2022"/>
      <c r="H309" s="2022"/>
      <c r="I309" s="2011">
        <f t="shared" si="8"/>
        <v>-16834.3</v>
      </c>
      <c r="J309" s="2022"/>
      <c r="K309" s="2463"/>
      <c r="L309" s="2022"/>
      <c r="M309" s="2022"/>
      <c r="N309" s="2022"/>
      <c r="O309" s="2022"/>
      <c r="P309" s="2022"/>
      <c r="Q309" s="2022"/>
      <c r="R309" s="2022"/>
      <c r="S309" s="2022"/>
      <c r="T309" s="2022"/>
      <c r="U309" s="2022"/>
      <c r="V309" s="2022"/>
      <c r="W309" s="2022"/>
      <c r="X309" s="2022"/>
      <c r="Y309" s="2022">
        <v>-16834.3</v>
      </c>
      <c r="Z309" s="2022"/>
      <c r="AA309" s="2022"/>
      <c r="AB309" s="2022"/>
      <c r="AC309" s="2022"/>
      <c r="AD309" s="2022"/>
      <c r="AE309" s="2022"/>
      <c r="AF309" s="2022"/>
      <c r="AG309" s="2022"/>
      <c r="AH309" s="2022"/>
      <c r="AI309" s="2022"/>
      <c r="AJ309" s="2022"/>
      <c r="AK309" s="2022"/>
      <c r="AL309" s="2022"/>
      <c r="AM309" s="2022"/>
      <c r="AN309" s="2022"/>
      <c r="AO309" s="2022"/>
      <c r="AP309" s="2022"/>
      <c r="AQ309" s="2022"/>
      <c r="AR309" s="2022"/>
      <c r="AS309" s="2022"/>
      <c r="AT309" s="2022"/>
      <c r="AU309" s="2022"/>
      <c r="AV309" s="2558"/>
      <c r="AW309" s="2022"/>
      <c r="AX309" s="2022"/>
      <c r="AY309" s="2022"/>
      <c r="AZ309" s="2022"/>
      <c r="BA309" s="2022"/>
      <c r="BB309" s="2022"/>
      <c r="BC309" s="2022"/>
      <c r="BD309" s="2022"/>
      <c r="BE309" s="2022"/>
      <c r="BF309" s="2022"/>
      <c r="BG309" s="2022"/>
      <c r="BH309" s="2022"/>
      <c r="BI309" s="2728"/>
      <c r="BJ309" s="2728"/>
      <c r="BK309" s="2728"/>
      <c r="BL309" s="2728"/>
      <c r="BM309" s="2728"/>
      <c r="BN309" s="2728"/>
      <c r="BO309" s="2728"/>
      <c r="BP309" s="2728"/>
      <c r="BQ309" s="2728"/>
      <c r="BR309" s="2728"/>
      <c r="BS309" s="2632"/>
      <c r="BT309" s="2632"/>
      <c r="BU309" s="2728"/>
      <c r="BV309" s="2728"/>
      <c r="BW309" s="2632"/>
      <c r="BX309" s="2632"/>
      <c r="BY309" s="2632"/>
      <c r="BZ309" s="2632"/>
      <c r="CA309" s="2632"/>
      <c r="CB309" s="2728"/>
      <c r="CC309" s="2632"/>
      <c r="CD309" s="2632"/>
      <c r="CE309" s="2632"/>
      <c r="CF309" s="2632"/>
      <c r="CG309" s="2728"/>
      <c r="CH309" s="2728"/>
      <c r="CI309" s="2632"/>
      <c r="CJ309" s="2632"/>
      <c r="CK309" s="2632"/>
    </row>
    <row r="310" spans="1:89" s="2100" customFormat="1" x14ac:dyDescent="0.2">
      <c r="A310" s="2106" t="s">
        <v>5398</v>
      </c>
      <c r="B310" s="2106" t="s">
        <v>7676</v>
      </c>
      <c r="C310" s="2022">
        <v>0</v>
      </c>
      <c r="D310" s="2022">
        <v>0</v>
      </c>
      <c r="E310" s="2022">
        <f>BF310</f>
        <v>133775.47</v>
      </c>
      <c r="F310" s="2022">
        <v>0</v>
      </c>
      <c r="G310" s="2022"/>
      <c r="H310" s="2022"/>
      <c r="I310" s="2011">
        <f t="shared" si="8"/>
        <v>133775.47</v>
      </c>
      <c r="J310" s="2022"/>
      <c r="K310" s="2463"/>
      <c r="L310" s="2022"/>
      <c r="M310" s="2022"/>
      <c r="N310" s="2022"/>
      <c r="O310" s="2022"/>
      <c r="P310" s="2022"/>
      <c r="Q310" s="2022"/>
      <c r="R310" s="2022"/>
      <c r="S310" s="2022"/>
      <c r="T310" s="2022"/>
      <c r="U310" s="2022"/>
      <c r="V310" s="2022"/>
      <c r="W310" s="2022"/>
      <c r="X310" s="2022"/>
      <c r="Y310" s="2022"/>
      <c r="Z310" s="2022"/>
      <c r="AA310" s="2022"/>
      <c r="AB310" s="2022"/>
      <c r="AC310" s="2022"/>
      <c r="AD310" s="2022"/>
      <c r="AE310" s="2022"/>
      <c r="AF310" s="2022"/>
      <c r="AG310" s="2022"/>
      <c r="AH310" s="2022"/>
      <c r="AI310" s="2022"/>
      <c r="AJ310" s="2022"/>
      <c r="AK310" s="2022"/>
      <c r="AL310" s="2022"/>
      <c r="AM310" s="2022"/>
      <c r="AN310" s="2022"/>
      <c r="AO310" s="2022"/>
      <c r="AP310" s="2022"/>
      <c r="AQ310" s="2022"/>
      <c r="AR310" s="2022"/>
      <c r="AS310" s="2022"/>
      <c r="AT310" s="2022"/>
      <c r="AU310" s="2022"/>
      <c r="AV310" s="2558"/>
      <c r="AW310" s="2022"/>
      <c r="AX310" s="2022"/>
      <c r="AY310" s="2022"/>
      <c r="AZ310" s="2022"/>
      <c r="BA310" s="2022"/>
      <c r="BB310" s="2022"/>
      <c r="BC310" s="2022"/>
      <c r="BD310" s="2022"/>
      <c r="BE310" s="2022"/>
      <c r="BF310" s="2022">
        <v>133775.47</v>
      </c>
      <c r="BG310" s="2022"/>
      <c r="BH310" s="2022"/>
      <c r="BI310" s="2728"/>
      <c r="BJ310" s="2728"/>
      <c r="BK310" s="2728"/>
      <c r="BL310" s="2728"/>
      <c r="BM310" s="2728"/>
      <c r="BN310" s="2728"/>
      <c r="BO310" s="2728"/>
      <c r="BP310" s="2728"/>
      <c r="BQ310" s="2728"/>
      <c r="BR310" s="2728"/>
      <c r="BS310" s="2632"/>
      <c r="BT310" s="2632"/>
      <c r="BU310" s="2728"/>
      <c r="BV310" s="2728"/>
      <c r="BW310" s="2632"/>
      <c r="BX310" s="2632"/>
      <c r="BY310" s="2632"/>
      <c r="BZ310" s="2632"/>
      <c r="CA310" s="2632"/>
      <c r="CB310" s="2728"/>
      <c r="CC310" s="2632"/>
      <c r="CD310" s="2632"/>
      <c r="CE310" s="2632"/>
      <c r="CF310" s="2632"/>
      <c r="CG310" s="2728"/>
      <c r="CH310" s="2728"/>
      <c r="CI310" s="2632"/>
      <c r="CJ310" s="2632"/>
      <c r="CK310" s="2632"/>
    </row>
    <row r="311" spans="1:89" x14ac:dyDescent="0.2">
      <c r="A311" s="2020" t="s">
        <v>5400</v>
      </c>
      <c r="B311" s="2020" t="s">
        <v>6170</v>
      </c>
      <c r="C311" s="2022">
        <v>0</v>
      </c>
      <c r="D311" s="2022">
        <v>0</v>
      </c>
      <c r="E311" s="2022">
        <v>5992.11</v>
      </c>
      <c r="F311" s="2022">
        <v>0</v>
      </c>
      <c r="G311" s="2022">
        <v>5992.11</v>
      </c>
      <c r="H311" s="2022">
        <v>0</v>
      </c>
      <c r="I311" s="2011">
        <f t="shared" si="8"/>
        <v>5992.11</v>
      </c>
      <c r="J311" s="2022"/>
      <c r="K311" s="2463"/>
    </row>
    <row r="312" spans="1:89" x14ac:dyDescent="0.2">
      <c r="A312" s="2020" t="s">
        <v>5402</v>
      </c>
      <c r="B312" s="2020" t="s">
        <v>4873</v>
      </c>
      <c r="C312" s="2022">
        <v>212.94</v>
      </c>
      <c r="D312" s="2022">
        <v>0</v>
      </c>
      <c r="E312" s="2022">
        <f>5494.1+R312</f>
        <v>0</v>
      </c>
      <c r="F312" s="2022">
        <f>-382.89+S312</f>
        <v>0</v>
      </c>
      <c r="G312" s="2022">
        <v>5111.21</v>
      </c>
      <c r="H312" s="2022">
        <v>0</v>
      </c>
      <c r="I312" s="2011">
        <f t="shared" si="8"/>
        <v>0</v>
      </c>
      <c r="J312" s="2022"/>
      <c r="K312" s="2463"/>
      <c r="R312" s="2022">
        <v>-5494.1</v>
      </c>
      <c r="S312" s="2022">
        <v>382.89</v>
      </c>
    </row>
    <row r="313" spans="1:89" x14ac:dyDescent="0.2">
      <c r="A313" s="2020" t="s">
        <v>5403</v>
      </c>
      <c r="B313" s="2020" t="s">
        <v>6171</v>
      </c>
      <c r="C313" s="2022">
        <v>80850</v>
      </c>
      <c r="D313" s="2022">
        <v>0</v>
      </c>
      <c r="E313" s="2022">
        <v>92954.55</v>
      </c>
      <c r="F313" s="2022">
        <v>0</v>
      </c>
      <c r="G313" s="2022">
        <v>92954.55</v>
      </c>
      <c r="H313" s="2022">
        <v>0</v>
      </c>
      <c r="I313" s="2011">
        <f t="shared" si="8"/>
        <v>92954.55</v>
      </c>
      <c r="J313" s="2022"/>
      <c r="K313" s="2463"/>
    </row>
    <row r="314" spans="1:89" x14ac:dyDescent="0.2">
      <c r="A314" s="2020" t="s">
        <v>5407</v>
      </c>
      <c r="B314" s="2020" t="s">
        <v>6033</v>
      </c>
      <c r="C314" s="2022">
        <v>2500</v>
      </c>
      <c r="D314" s="2022">
        <v>0</v>
      </c>
      <c r="E314" s="2022">
        <f>4443.85+R314</f>
        <v>0</v>
      </c>
      <c r="F314" s="2022">
        <f>-301.65+S314</f>
        <v>0</v>
      </c>
      <c r="G314" s="2022">
        <v>4142.2</v>
      </c>
      <c r="H314" s="2022">
        <v>0</v>
      </c>
      <c r="I314" s="2011">
        <f t="shared" si="8"/>
        <v>0</v>
      </c>
      <c r="J314" s="2022"/>
      <c r="K314" s="2463"/>
      <c r="R314" s="2022">
        <v>-4443.8500000000004</v>
      </c>
      <c r="S314" s="2022">
        <v>301.64999999999998</v>
      </c>
    </row>
    <row r="315" spans="1:89" x14ac:dyDescent="0.2">
      <c r="A315" s="2020" t="s">
        <v>5408</v>
      </c>
      <c r="B315" s="2020" t="s">
        <v>6172</v>
      </c>
      <c r="C315" s="2022">
        <v>13493.39</v>
      </c>
      <c r="D315" s="2022">
        <v>0</v>
      </c>
      <c r="E315" s="2022">
        <v>9385.99</v>
      </c>
      <c r="F315" s="2022">
        <f>AI315</f>
        <v>-9385.99</v>
      </c>
      <c r="G315" s="2022">
        <v>9385.99</v>
      </c>
      <c r="H315" s="2022">
        <v>0</v>
      </c>
      <c r="I315" s="2011">
        <f t="shared" si="8"/>
        <v>0</v>
      </c>
      <c r="J315" s="2022"/>
      <c r="K315" s="2463"/>
      <c r="AI315" s="2022">
        <v>-9385.99</v>
      </c>
    </row>
    <row r="316" spans="1:89" x14ac:dyDescent="0.2">
      <c r="A316" s="2020" t="s">
        <v>5415</v>
      </c>
      <c r="B316" s="2020" t="s">
        <v>6173</v>
      </c>
      <c r="C316" s="2022">
        <v>3500</v>
      </c>
      <c r="D316" s="2022">
        <v>0</v>
      </c>
      <c r="E316" s="2022">
        <v>2360.1799999999998</v>
      </c>
      <c r="F316" s="2022">
        <v>0</v>
      </c>
      <c r="G316" s="2022">
        <v>2360.1799999999998</v>
      </c>
      <c r="H316" s="2022">
        <v>0</v>
      </c>
      <c r="I316" s="2011">
        <f t="shared" si="8"/>
        <v>2360.1799999999998</v>
      </c>
      <c r="J316" s="2022"/>
      <c r="K316" s="2463"/>
    </row>
    <row r="317" spans="1:89" x14ac:dyDescent="0.2">
      <c r="A317" s="2020" t="s">
        <v>5418</v>
      </c>
      <c r="B317" s="2020" t="s">
        <v>6174</v>
      </c>
      <c r="C317" s="2022">
        <v>1144</v>
      </c>
      <c r="D317" s="2022">
        <v>0</v>
      </c>
      <c r="E317" s="2022">
        <v>0</v>
      </c>
      <c r="F317" s="2022">
        <v>0</v>
      </c>
      <c r="G317" s="2022">
        <v>0</v>
      </c>
      <c r="H317" s="2022">
        <v>0</v>
      </c>
      <c r="I317" s="2011">
        <f t="shared" si="8"/>
        <v>0</v>
      </c>
      <c r="J317" s="2022"/>
      <c r="K317" s="2463"/>
    </row>
    <row r="318" spans="1:89" x14ac:dyDescent="0.2">
      <c r="A318" s="2020" t="s">
        <v>5419</v>
      </c>
      <c r="B318" s="2020" t="s">
        <v>6035</v>
      </c>
      <c r="C318" s="2022">
        <v>2751.71</v>
      </c>
      <c r="D318" s="2022">
        <v>0</v>
      </c>
      <c r="E318" s="2022">
        <v>0</v>
      </c>
      <c r="F318" s="2022">
        <v>0</v>
      </c>
      <c r="G318" s="2022">
        <v>0</v>
      </c>
      <c r="H318" s="2022">
        <v>0</v>
      </c>
      <c r="I318" s="2011">
        <f t="shared" si="8"/>
        <v>0</v>
      </c>
      <c r="J318" s="2022"/>
      <c r="K318" s="2463"/>
    </row>
    <row r="319" spans="1:89" x14ac:dyDescent="0.2">
      <c r="A319" s="2020" t="s">
        <v>5420</v>
      </c>
      <c r="B319" s="2020" t="s">
        <v>6036</v>
      </c>
      <c r="C319" s="2022">
        <v>2320.86</v>
      </c>
      <c r="D319" s="2022">
        <v>0</v>
      </c>
      <c r="E319" s="2022">
        <v>0</v>
      </c>
      <c r="F319" s="2022">
        <v>0</v>
      </c>
      <c r="G319" s="2022">
        <v>0</v>
      </c>
      <c r="H319" s="2022">
        <v>0</v>
      </c>
      <c r="I319" s="2011">
        <f t="shared" si="8"/>
        <v>0</v>
      </c>
      <c r="J319" s="2022"/>
      <c r="K319" s="2463"/>
    </row>
    <row r="320" spans="1:89" x14ac:dyDescent="0.2">
      <c r="A320" s="2020" t="s">
        <v>5421</v>
      </c>
      <c r="B320" s="2020" t="s">
        <v>6175</v>
      </c>
      <c r="C320" s="2022">
        <v>-11788.7</v>
      </c>
      <c r="D320" s="2022">
        <v>0</v>
      </c>
      <c r="E320" s="2022">
        <v>1927.01</v>
      </c>
      <c r="F320" s="2022">
        <v>-8144.2</v>
      </c>
      <c r="G320" s="2022">
        <v>0</v>
      </c>
      <c r="H320" s="2022">
        <v>-6217.19</v>
      </c>
      <c r="I320" s="2011">
        <f t="shared" si="8"/>
        <v>-6217.19</v>
      </c>
      <c r="J320" s="2022"/>
      <c r="K320" s="2463"/>
    </row>
    <row r="321" spans="1:11" x14ac:dyDescent="0.2">
      <c r="A321" s="2020" t="s">
        <v>5422</v>
      </c>
      <c r="B321" s="2020" t="s">
        <v>6176</v>
      </c>
      <c r="C321" s="2022">
        <v>-750.2</v>
      </c>
      <c r="D321" s="2022">
        <v>0</v>
      </c>
      <c r="E321" s="2022">
        <v>66.06</v>
      </c>
      <c r="F321" s="2022">
        <v>-537.9</v>
      </c>
      <c r="G321" s="2022">
        <v>0</v>
      </c>
      <c r="H321" s="2022">
        <v>-471.84</v>
      </c>
      <c r="I321" s="2011">
        <f t="shared" ref="I321:I384" si="9">SUM(E321:F321)</f>
        <v>-471.84</v>
      </c>
      <c r="J321" s="2022"/>
      <c r="K321" s="2463"/>
    </row>
    <row r="322" spans="1:11" x14ac:dyDescent="0.2">
      <c r="A322" s="2020" t="s">
        <v>5424</v>
      </c>
      <c r="B322" s="2020" t="s">
        <v>6037</v>
      </c>
      <c r="C322" s="2022">
        <v>-334238.59999999998</v>
      </c>
      <c r="D322" s="2022">
        <v>0</v>
      </c>
      <c r="E322" s="2022">
        <v>0</v>
      </c>
      <c r="F322" s="2022">
        <v>0</v>
      </c>
      <c r="G322" s="2022">
        <v>0</v>
      </c>
      <c r="H322" s="2022">
        <v>0</v>
      </c>
      <c r="I322" s="2011">
        <f t="shared" si="9"/>
        <v>0</v>
      </c>
      <c r="J322" s="2022"/>
      <c r="K322" s="2463"/>
    </row>
    <row r="323" spans="1:11" x14ac:dyDescent="0.2">
      <c r="A323" s="2020" t="s">
        <v>5426</v>
      </c>
      <c r="B323" s="2020" t="s">
        <v>6025</v>
      </c>
      <c r="C323" s="2022">
        <v>16681.509999999998</v>
      </c>
      <c r="D323" s="2022">
        <v>0</v>
      </c>
      <c r="E323" s="2022">
        <v>12720</v>
      </c>
      <c r="F323" s="2022">
        <v>0</v>
      </c>
      <c r="G323" s="2022">
        <v>12720</v>
      </c>
      <c r="H323" s="2022">
        <v>0</v>
      </c>
      <c r="I323" s="2011">
        <f t="shared" si="9"/>
        <v>12720</v>
      </c>
      <c r="J323" s="2022"/>
      <c r="K323" s="2463"/>
    </row>
    <row r="324" spans="1:11" x14ac:dyDescent="0.2">
      <c r="A324" s="2020" t="s">
        <v>5428</v>
      </c>
      <c r="B324" s="2020" t="s">
        <v>6177</v>
      </c>
      <c r="C324" s="2022">
        <v>78824.25</v>
      </c>
      <c r="D324" s="2022">
        <v>0</v>
      </c>
      <c r="E324" s="2022">
        <v>0</v>
      </c>
      <c r="F324" s="2022">
        <v>0</v>
      </c>
      <c r="G324" s="2022">
        <v>0</v>
      </c>
      <c r="H324" s="2022">
        <v>0</v>
      </c>
      <c r="I324" s="2011">
        <f t="shared" si="9"/>
        <v>0</v>
      </c>
      <c r="J324" s="2022"/>
      <c r="K324" s="2463"/>
    </row>
    <row r="325" spans="1:11" x14ac:dyDescent="0.2">
      <c r="A325" s="2020" t="s">
        <v>5429</v>
      </c>
      <c r="B325" s="2020" t="s">
        <v>6178</v>
      </c>
      <c r="C325" s="2022">
        <v>10000</v>
      </c>
      <c r="D325" s="2022">
        <v>0</v>
      </c>
      <c r="E325" s="2022">
        <v>4761.78</v>
      </c>
      <c r="F325" s="2022">
        <v>-10274.1</v>
      </c>
      <c r="G325" s="2022">
        <v>0</v>
      </c>
      <c r="H325" s="2022">
        <v>-5512.32</v>
      </c>
      <c r="I325" s="2011">
        <f t="shared" si="9"/>
        <v>-5512.3200000000006</v>
      </c>
      <c r="J325" s="2022"/>
      <c r="K325" s="2463"/>
    </row>
    <row r="326" spans="1:11" x14ac:dyDescent="0.2">
      <c r="A326" s="2020" t="s">
        <v>5430</v>
      </c>
      <c r="B326" s="2020" t="s">
        <v>6037</v>
      </c>
      <c r="C326" s="2022">
        <v>-54992.18</v>
      </c>
      <c r="D326" s="2022">
        <v>0</v>
      </c>
      <c r="E326" s="2022">
        <v>0</v>
      </c>
      <c r="F326" s="2022">
        <v>0</v>
      </c>
      <c r="G326" s="2022">
        <v>0</v>
      </c>
      <c r="H326" s="2022">
        <v>0</v>
      </c>
      <c r="I326" s="2011">
        <f t="shared" si="9"/>
        <v>0</v>
      </c>
      <c r="J326" s="2022"/>
      <c r="K326" s="2463"/>
    </row>
    <row r="327" spans="1:11" x14ac:dyDescent="0.2">
      <c r="A327" s="2020" t="s">
        <v>5431</v>
      </c>
      <c r="B327" s="2020" t="s">
        <v>6179</v>
      </c>
      <c r="C327" s="2022">
        <v>-50513.58</v>
      </c>
      <c r="D327" s="2022">
        <v>0</v>
      </c>
      <c r="E327" s="2022">
        <v>3955.08</v>
      </c>
      <c r="F327" s="2022">
        <v>-31325.11</v>
      </c>
      <c r="G327" s="2022">
        <v>0</v>
      </c>
      <c r="H327" s="2022">
        <v>-27370.03</v>
      </c>
      <c r="I327" s="2011">
        <f t="shared" si="9"/>
        <v>-27370.03</v>
      </c>
      <c r="J327" s="2022"/>
      <c r="K327" s="2463"/>
    </row>
    <row r="328" spans="1:11" x14ac:dyDescent="0.2">
      <c r="A328" s="2020" t="s">
        <v>5433</v>
      </c>
      <c r="B328" s="2020" t="s">
        <v>6180</v>
      </c>
      <c r="C328" s="2022">
        <v>91624.48</v>
      </c>
      <c r="D328" s="2022">
        <v>0</v>
      </c>
      <c r="E328" s="2022">
        <v>91624.48</v>
      </c>
      <c r="F328" s="2022">
        <v>0</v>
      </c>
      <c r="G328" s="2022">
        <v>91624.48</v>
      </c>
      <c r="H328" s="2022">
        <v>0</v>
      </c>
      <c r="I328" s="2011">
        <f t="shared" si="9"/>
        <v>91624.48</v>
      </c>
      <c r="J328" s="2022"/>
      <c r="K328" s="2463"/>
    </row>
    <row r="329" spans="1:11" x14ac:dyDescent="0.2">
      <c r="A329" s="2020" t="s">
        <v>5434</v>
      </c>
      <c r="B329" s="2020" t="s">
        <v>6181</v>
      </c>
      <c r="C329" s="2022">
        <v>730080.97</v>
      </c>
      <c r="D329" s="2022">
        <v>0</v>
      </c>
      <c r="E329" s="2022">
        <v>786021.82</v>
      </c>
      <c r="F329" s="2022">
        <v>-3512.46</v>
      </c>
      <c r="G329" s="2022">
        <v>782509.36</v>
      </c>
      <c r="H329" s="2022">
        <v>0</v>
      </c>
      <c r="I329" s="2011">
        <f t="shared" si="9"/>
        <v>782509.36</v>
      </c>
      <c r="J329" s="2022"/>
      <c r="K329" s="2463"/>
    </row>
    <row r="330" spans="1:11" x14ac:dyDescent="0.2">
      <c r="A330" s="2020" t="s">
        <v>5437</v>
      </c>
      <c r="B330" s="2020" t="s">
        <v>6182</v>
      </c>
      <c r="C330" s="2022">
        <v>87048.62</v>
      </c>
      <c r="D330" s="2022">
        <v>0</v>
      </c>
      <c r="E330" s="2022">
        <v>75647.31</v>
      </c>
      <c r="F330" s="2022">
        <v>0</v>
      </c>
      <c r="G330" s="2022">
        <v>75647.31</v>
      </c>
      <c r="H330" s="2022">
        <v>0</v>
      </c>
      <c r="I330" s="2011">
        <f t="shared" si="9"/>
        <v>75647.31</v>
      </c>
      <c r="J330" s="2022"/>
      <c r="K330" s="2463"/>
    </row>
    <row r="331" spans="1:11" x14ac:dyDescent="0.2">
      <c r="A331" s="2020" t="s">
        <v>5439</v>
      </c>
      <c r="B331" s="2020" t="s">
        <v>6183</v>
      </c>
      <c r="C331" s="2022">
        <v>500</v>
      </c>
      <c r="D331" s="2022">
        <v>0</v>
      </c>
      <c r="E331" s="2022">
        <v>500</v>
      </c>
      <c r="F331" s="2022">
        <v>0</v>
      </c>
      <c r="G331" s="2022">
        <v>500</v>
      </c>
      <c r="H331" s="2022">
        <v>0</v>
      </c>
      <c r="I331" s="2011">
        <f t="shared" si="9"/>
        <v>500</v>
      </c>
      <c r="J331" s="2022"/>
      <c r="K331" s="2463"/>
    </row>
    <row r="332" spans="1:11" x14ac:dyDescent="0.2">
      <c r="A332" s="2020" t="s">
        <v>5440</v>
      </c>
      <c r="B332" s="2020" t="s">
        <v>6184</v>
      </c>
      <c r="C332" s="2022">
        <v>6000</v>
      </c>
      <c r="D332" s="2022">
        <v>0</v>
      </c>
      <c r="E332" s="2022">
        <v>6000</v>
      </c>
      <c r="F332" s="2022">
        <v>0</v>
      </c>
      <c r="G332" s="2022">
        <v>6000</v>
      </c>
      <c r="H332" s="2022">
        <v>0</v>
      </c>
      <c r="I332" s="2011">
        <f t="shared" si="9"/>
        <v>6000</v>
      </c>
      <c r="J332" s="2022"/>
      <c r="K332" s="2463"/>
    </row>
    <row r="333" spans="1:11" x14ac:dyDescent="0.2">
      <c r="A333" s="2020" t="s">
        <v>5443</v>
      </c>
      <c r="B333" s="2020" t="s">
        <v>6185</v>
      </c>
      <c r="C333" s="2022">
        <v>3000</v>
      </c>
      <c r="D333" s="2022">
        <v>0</v>
      </c>
      <c r="E333" s="2022">
        <v>1418.29</v>
      </c>
      <c r="F333" s="2022">
        <v>0</v>
      </c>
      <c r="G333" s="2022">
        <v>1418.29</v>
      </c>
      <c r="H333" s="2022">
        <v>0</v>
      </c>
      <c r="I333" s="2011">
        <f t="shared" si="9"/>
        <v>1418.29</v>
      </c>
      <c r="J333" s="2022"/>
      <c r="K333" s="2463"/>
    </row>
    <row r="334" spans="1:11" x14ac:dyDescent="0.2">
      <c r="A334" s="2020" t="s">
        <v>5445</v>
      </c>
      <c r="B334" s="2020" t="s">
        <v>6186</v>
      </c>
      <c r="C334" s="2022">
        <v>2093.39</v>
      </c>
      <c r="D334" s="2022">
        <v>0</v>
      </c>
      <c r="E334" s="2022">
        <v>3634.77</v>
      </c>
      <c r="F334" s="2022">
        <v>0</v>
      </c>
      <c r="G334" s="2022">
        <v>3634.77</v>
      </c>
      <c r="H334" s="2022">
        <v>0</v>
      </c>
      <c r="I334" s="2011">
        <f t="shared" si="9"/>
        <v>3634.77</v>
      </c>
      <c r="J334" s="2022"/>
      <c r="K334" s="2463"/>
    </row>
    <row r="335" spans="1:11" x14ac:dyDescent="0.2">
      <c r="A335" s="2020" t="s">
        <v>5447</v>
      </c>
      <c r="B335" s="2020" t="s">
        <v>6123</v>
      </c>
      <c r="C335" s="2022">
        <v>20410.509999999998</v>
      </c>
      <c r="D335" s="2022">
        <v>0</v>
      </c>
      <c r="E335" s="2022">
        <v>20410.509999999998</v>
      </c>
      <c r="F335" s="2022">
        <v>0</v>
      </c>
      <c r="G335" s="2022">
        <v>20410.509999999998</v>
      </c>
      <c r="H335" s="2022">
        <v>0</v>
      </c>
      <c r="I335" s="2011">
        <f t="shared" si="9"/>
        <v>20410.509999999998</v>
      </c>
      <c r="J335" s="2022"/>
      <c r="K335" s="2463"/>
    </row>
    <row r="336" spans="1:11" x14ac:dyDescent="0.2">
      <c r="A336" s="2020" t="s">
        <v>5448</v>
      </c>
      <c r="B336" s="2020" t="s">
        <v>6187</v>
      </c>
      <c r="C336" s="2022">
        <v>94514.97</v>
      </c>
      <c r="D336" s="2022">
        <v>0</v>
      </c>
      <c r="E336" s="2022">
        <v>108514.97</v>
      </c>
      <c r="F336" s="2022">
        <v>0</v>
      </c>
      <c r="G336" s="2022">
        <v>108514.97</v>
      </c>
      <c r="H336" s="2022">
        <v>0</v>
      </c>
      <c r="I336" s="2011">
        <f t="shared" si="9"/>
        <v>108514.97</v>
      </c>
      <c r="J336" s="2022"/>
      <c r="K336" s="2463"/>
    </row>
    <row r="337" spans="1:18" x14ac:dyDescent="0.2">
      <c r="A337" s="2020" t="s">
        <v>5449</v>
      </c>
      <c r="B337" s="2020" t="s">
        <v>6126</v>
      </c>
      <c r="C337" s="2022">
        <v>8.1999999999999993</v>
      </c>
      <c r="D337" s="2022">
        <v>0</v>
      </c>
      <c r="E337" s="2022">
        <v>8.1999999999999993</v>
      </c>
      <c r="F337" s="2022">
        <v>0</v>
      </c>
      <c r="G337" s="2022">
        <v>8.1999999999999993</v>
      </c>
      <c r="H337" s="2022">
        <v>0</v>
      </c>
      <c r="I337" s="2011">
        <f t="shared" si="9"/>
        <v>8.1999999999999993</v>
      </c>
      <c r="J337" s="2022"/>
      <c r="K337" s="2463"/>
    </row>
    <row r="338" spans="1:18" x14ac:dyDescent="0.2">
      <c r="A338" s="2020" t="s">
        <v>5450</v>
      </c>
      <c r="B338" s="2020" t="s">
        <v>6188</v>
      </c>
      <c r="C338" s="2022">
        <v>287</v>
      </c>
      <c r="D338" s="2022">
        <v>0</v>
      </c>
      <c r="E338" s="2022">
        <v>303.39999999999998</v>
      </c>
      <c r="F338" s="2022">
        <v>0</v>
      </c>
      <c r="G338" s="2022">
        <v>303.39999999999998</v>
      </c>
      <c r="H338" s="2022">
        <v>0</v>
      </c>
      <c r="I338" s="2011">
        <f t="shared" si="9"/>
        <v>303.39999999999998</v>
      </c>
      <c r="J338" s="2022"/>
      <c r="K338" s="2463"/>
    </row>
    <row r="339" spans="1:18" x14ac:dyDescent="0.2">
      <c r="A339" s="2020" t="s">
        <v>5452</v>
      </c>
      <c r="B339" s="2020" t="s">
        <v>6129</v>
      </c>
      <c r="C339" s="2022">
        <v>340.14</v>
      </c>
      <c r="D339" s="2022">
        <v>0</v>
      </c>
      <c r="E339" s="2022">
        <v>340.14</v>
      </c>
      <c r="F339" s="2022">
        <v>0</v>
      </c>
      <c r="G339" s="2022">
        <v>340.14</v>
      </c>
      <c r="H339" s="2022">
        <v>0</v>
      </c>
      <c r="I339" s="2011">
        <f t="shared" si="9"/>
        <v>340.14</v>
      </c>
      <c r="J339" s="2022"/>
      <c r="K339" s="2463"/>
    </row>
    <row r="340" spans="1:18" x14ac:dyDescent="0.2">
      <c r="A340" s="2020" t="s">
        <v>5453</v>
      </c>
      <c r="B340" s="2020" t="s">
        <v>6189</v>
      </c>
      <c r="C340" s="2022">
        <v>8964.4699999999993</v>
      </c>
      <c r="D340" s="2022">
        <v>0</v>
      </c>
      <c r="E340" s="2022">
        <v>9187.9500000000007</v>
      </c>
      <c r="F340" s="2022">
        <v>0</v>
      </c>
      <c r="G340" s="2022">
        <v>9187.9500000000007</v>
      </c>
      <c r="H340" s="2022">
        <v>0</v>
      </c>
      <c r="I340" s="2011">
        <f t="shared" si="9"/>
        <v>9187.9500000000007</v>
      </c>
      <c r="J340" s="2022"/>
      <c r="K340" s="2463"/>
    </row>
    <row r="341" spans="1:18" x14ac:dyDescent="0.2">
      <c r="A341" s="2020" t="s">
        <v>5456</v>
      </c>
      <c r="B341" s="2020" t="s">
        <v>6190</v>
      </c>
      <c r="C341" s="2022">
        <v>3072</v>
      </c>
      <c r="D341" s="2022">
        <v>0</v>
      </c>
      <c r="E341" s="2022">
        <v>3072</v>
      </c>
      <c r="F341" s="2022">
        <v>0</v>
      </c>
      <c r="G341" s="2022">
        <v>3072</v>
      </c>
      <c r="H341" s="2022">
        <v>0</v>
      </c>
      <c r="I341" s="2011">
        <f t="shared" si="9"/>
        <v>3072</v>
      </c>
      <c r="J341" s="2022"/>
      <c r="K341" s="2463"/>
    </row>
    <row r="342" spans="1:18" x14ac:dyDescent="0.2">
      <c r="A342" s="2020" t="s">
        <v>5457</v>
      </c>
      <c r="B342" s="2020" t="s">
        <v>6191</v>
      </c>
      <c r="C342" s="2022">
        <v>54456</v>
      </c>
      <c r="D342" s="2022">
        <v>0</v>
      </c>
      <c r="E342" s="2022">
        <v>57228</v>
      </c>
      <c r="F342" s="2022">
        <v>0</v>
      </c>
      <c r="G342" s="2022">
        <v>57228</v>
      </c>
      <c r="H342" s="2022">
        <v>0</v>
      </c>
      <c r="I342" s="2011">
        <f t="shared" si="9"/>
        <v>57228</v>
      </c>
      <c r="J342" s="2022"/>
      <c r="K342" s="2463"/>
    </row>
    <row r="343" spans="1:18" x14ac:dyDescent="0.2">
      <c r="A343" s="2020" t="s">
        <v>5459</v>
      </c>
      <c r="B343" s="2020" t="s">
        <v>6192</v>
      </c>
      <c r="C343" s="2022">
        <v>8339.02</v>
      </c>
      <c r="D343" s="2022">
        <v>0</v>
      </c>
      <c r="E343" s="2022">
        <v>8339.02</v>
      </c>
      <c r="F343" s="2022">
        <v>0</v>
      </c>
      <c r="G343" s="2022">
        <v>8339.02</v>
      </c>
      <c r="H343" s="2022">
        <v>0</v>
      </c>
      <c r="I343" s="2011">
        <f t="shared" si="9"/>
        <v>8339.02</v>
      </c>
      <c r="J343" s="2022"/>
      <c r="K343" s="2463"/>
    </row>
    <row r="344" spans="1:18" x14ac:dyDescent="0.2">
      <c r="A344" s="2020" t="s">
        <v>5460</v>
      </c>
      <c r="B344" s="2020" t="s">
        <v>6193</v>
      </c>
      <c r="C344" s="2022">
        <v>142301.13</v>
      </c>
      <c r="D344" s="2022">
        <v>0</v>
      </c>
      <c r="E344" s="2022">
        <v>151457.57</v>
      </c>
      <c r="F344" s="2022">
        <v>0</v>
      </c>
      <c r="G344" s="2022">
        <v>151457.57</v>
      </c>
      <c r="H344" s="2022">
        <v>0</v>
      </c>
      <c r="I344" s="2011">
        <f t="shared" si="9"/>
        <v>151457.57</v>
      </c>
      <c r="J344" s="2022"/>
      <c r="K344" s="2463"/>
    </row>
    <row r="345" spans="1:18" x14ac:dyDescent="0.2">
      <c r="A345" s="2020" t="s">
        <v>5462</v>
      </c>
      <c r="B345" s="2020" t="s">
        <v>6194</v>
      </c>
      <c r="C345" s="2022">
        <v>249.56</v>
      </c>
      <c r="D345" s="2022">
        <v>0</v>
      </c>
      <c r="E345" s="2022">
        <v>249.56</v>
      </c>
      <c r="F345" s="2022">
        <v>0</v>
      </c>
      <c r="G345" s="2022">
        <v>249.56</v>
      </c>
      <c r="H345" s="2022">
        <v>0</v>
      </c>
      <c r="I345" s="2011">
        <f t="shared" si="9"/>
        <v>249.56</v>
      </c>
      <c r="J345" s="2022"/>
      <c r="K345" s="2463"/>
    </row>
    <row r="346" spans="1:18" x14ac:dyDescent="0.2">
      <c r="A346" s="2020" t="s">
        <v>5463</v>
      </c>
      <c r="B346" s="2020" t="s">
        <v>6195</v>
      </c>
      <c r="C346" s="2022">
        <v>7135.92</v>
      </c>
      <c r="D346" s="2022">
        <v>0</v>
      </c>
      <c r="E346" s="2022">
        <v>7007.43</v>
      </c>
      <c r="F346" s="2022">
        <v>0</v>
      </c>
      <c r="G346" s="2022">
        <v>7007.43</v>
      </c>
      <c r="H346" s="2022">
        <v>0</v>
      </c>
      <c r="I346" s="2011">
        <f t="shared" si="9"/>
        <v>7007.43</v>
      </c>
      <c r="J346" s="2022"/>
      <c r="K346" s="2463"/>
    </row>
    <row r="347" spans="1:18" x14ac:dyDescent="0.2">
      <c r="A347" s="2020" t="s">
        <v>5465</v>
      </c>
      <c r="B347" s="2020" t="s">
        <v>6143</v>
      </c>
      <c r="C347" s="2022">
        <v>24415.38</v>
      </c>
      <c r="D347" s="2022">
        <v>0</v>
      </c>
      <c r="E347" s="2022">
        <v>23763</v>
      </c>
      <c r="F347" s="2022">
        <v>0</v>
      </c>
      <c r="G347" s="2022">
        <v>23763</v>
      </c>
      <c r="H347" s="2022">
        <v>0</v>
      </c>
      <c r="I347" s="2011">
        <f t="shared" si="9"/>
        <v>23763</v>
      </c>
      <c r="J347" s="2022"/>
      <c r="K347" s="2463"/>
    </row>
    <row r="348" spans="1:18" x14ac:dyDescent="0.2">
      <c r="A348" s="2020" t="s">
        <v>5468</v>
      </c>
      <c r="B348" s="2020" t="s">
        <v>6196</v>
      </c>
      <c r="C348" s="2022">
        <v>0</v>
      </c>
      <c r="D348" s="2022">
        <v>0</v>
      </c>
      <c r="E348" s="2022">
        <v>378</v>
      </c>
      <c r="F348" s="2022">
        <v>0</v>
      </c>
      <c r="G348" s="2022">
        <v>378</v>
      </c>
      <c r="H348" s="2022">
        <v>0</v>
      </c>
      <c r="I348" s="2011">
        <f t="shared" si="9"/>
        <v>378</v>
      </c>
      <c r="J348" s="2022"/>
      <c r="K348" s="2463"/>
    </row>
    <row r="349" spans="1:18" x14ac:dyDescent="0.2">
      <c r="A349" s="2020" t="s">
        <v>5470</v>
      </c>
      <c r="B349" s="2020" t="s">
        <v>4871</v>
      </c>
      <c r="C349" s="2022">
        <v>3000</v>
      </c>
      <c r="D349" s="2022">
        <v>0</v>
      </c>
      <c r="E349" s="2022">
        <v>3000</v>
      </c>
      <c r="F349" s="2022">
        <v>0</v>
      </c>
      <c r="G349" s="2022">
        <v>3000</v>
      </c>
      <c r="H349" s="2022">
        <v>0</v>
      </c>
      <c r="I349" s="2011">
        <f t="shared" si="9"/>
        <v>3000</v>
      </c>
      <c r="J349" s="2022"/>
      <c r="K349" s="2463"/>
    </row>
    <row r="350" spans="1:18" x14ac:dyDescent="0.2">
      <c r="A350" s="2020" t="s">
        <v>5471</v>
      </c>
      <c r="B350" s="2020" t="s">
        <v>4873</v>
      </c>
      <c r="C350" s="2022">
        <v>5000</v>
      </c>
      <c r="D350" s="2022">
        <v>0</v>
      </c>
      <c r="E350" s="2022">
        <f>7691.86+R350</f>
        <v>0</v>
      </c>
      <c r="F350" s="2022">
        <v>0</v>
      </c>
      <c r="G350" s="2022">
        <v>7691.86</v>
      </c>
      <c r="H350" s="2022">
        <v>0</v>
      </c>
      <c r="I350" s="2011">
        <f t="shared" si="9"/>
        <v>0</v>
      </c>
      <c r="J350" s="2022"/>
      <c r="K350" s="2463"/>
      <c r="R350" s="2022">
        <v>-7691.86</v>
      </c>
    </row>
    <row r="351" spans="1:18" x14ac:dyDescent="0.2">
      <c r="A351" s="2020" t="s">
        <v>5472</v>
      </c>
      <c r="B351" s="2020" t="s">
        <v>4875</v>
      </c>
      <c r="C351" s="2022">
        <v>2868.05</v>
      </c>
      <c r="D351" s="2022">
        <v>0</v>
      </c>
      <c r="E351" s="2022">
        <v>769.25</v>
      </c>
      <c r="F351" s="2022">
        <v>0</v>
      </c>
      <c r="G351" s="2022">
        <v>769.25</v>
      </c>
      <c r="H351" s="2022">
        <v>0</v>
      </c>
      <c r="I351" s="2011">
        <f t="shared" si="9"/>
        <v>769.25</v>
      </c>
      <c r="J351" s="2022"/>
      <c r="K351" s="2463"/>
    </row>
    <row r="352" spans="1:18" x14ac:dyDescent="0.2">
      <c r="A352" s="2020" t="s">
        <v>5474</v>
      </c>
      <c r="B352" s="2020" t="s">
        <v>6153</v>
      </c>
      <c r="C352" s="2022">
        <v>23271</v>
      </c>
      <c r="D352" s="2022">
        <v>0</v>
      </c>
      <c r="E352" s="2022">
        <f>6934.9+7519.1</f>
        <v>14454</v>
      </c>
      <c r="F352" s="2022">
        <v>0</v>
      </c>
      <c r="G352" s="2022">
        <v>6934.9</v>
      </c>
      <c r="H352" s="2022">
        <v>0</v>
      </c>
      <c r="I352" s="2011">
        <f t="shared" si="9"/>
        <v>14454</v>
      </c>
      <c r="J352" s="2022"/>
      <c r="K352" s="2463"/>
    </row>
    <row r="353" spans="1:89" x14ac:dyDescent="0.2">
      <c r="A353" s="2020" t="s">
        <v>5475</v>
      </c>
      <c r="B353" s="2020" t="s">
        <v>6197</v>
      </c>
      <c r="C353" s="2022">
        <v>27838.69</v>
      </c>
      <c r="D353" s="2022">
        <v>0</v>
      </c>
      <c r="E353" s="2022">
        <v>41416.21</v>
      </c>
      <c r="F353" s="2022">
        <v>0</v>
      </c>
      <c r="G353" s="2022">
        <v>41416.21</v>
      </c>
      <c r="H353" s="2022">
        <v>0</v>
      </c>
      <c r="I353" s="2011">
        <f t="shared" si="9"/>
        <v>41416.21</v>
      </c>
      <c r="J353" s="2022"/>
      <c r="K353" s="2463"/>
    </row>
    <row r="354" spans="1:89" x14ac:dyDescent="0.2">
      <c r="A354" s="2020" t="s">
        <v>5476</v>
      </c>
      <c r="B354" s="2020" t="s">
        <v>6198</v>
      </c>
      <c r="C354" s="2022">
        <v>0</v>
      </c>
      <c r="D354" s="2022">
        <v>0</v>
      </c>
      <c r="E354" s="2022">
        <f>5898.27+AM354</f>
        <v>9034.5600000000013</v>
      </c>
      <c r="F354" s="2022">
        <v>0</v>
      </c>
      <c r="G354" s="2022">
        <v>5898.27</v>
      </c>
      <c r="H354" s="2022">
        <v>0</v>
      </c>
      <c r="I354" s="2011">
        <f t="shared" si="9"/>
        <v>9034.5600000000013</v>
      </c>
      <c r="J354" s="2022"/>
      <c r="K354" s="2463"/>
      <c r="AM354" s="2022">
        <v>3136.29</v>
      </c>
    </row>
    <row r="355" spans="1:89" x14ac:dyDescent="0.2">
      <c r="A355" s="2020" t="s">
        <v>5477</v>
      </c>
      <c r="B355" s="2020" t="s">
        <v>6199</v>
      </c>
      <c r="C355" s="2022">
        <v>3500</v>
      </c>
      <c r="D355" s="2022">
        <v>0</v>
      </c>
      <c r="E355" s="2022">
        <v>431.49</v>
      </c>
      <c r="F355" s="2022">
        <v>0</v>
      </c>
      <c r="G355" s="2022">
        <v>431.49</v>
      </c>
      <c r="H355" s="2022">
        <v>0</v>
      </c>
      <c r="I355" s="2011">
        <f t="shared" si="9"/>
        <v>431.49</v>
      </c>
      <c r="J355" s="2022"/>
      <c r="K355" s="2463"/>
    </row>
    <row r="356" spans="1:89" s="2100" customFormat="1" x14ac:dyDescent="0.2">
      <c r="A356" s="1283" t="s">
        <v>6548</v>
      </c>
      <c r="B356" s="1133" t="s">
        <v>6545</v>
      </c>
      <c r="C356" s="2022">
        <v>0</v>
      </c>
      <c r="D356" s="2022">
        <v>0</v>
      </c>
      <c r="E356" s="2022">
        <f>T356</f>
        <v>64230</v>
      </c>
      <c r="F356" s="2022">
        <v>0</v>
      </c>
      <c r="G356" s="2022"/>
      <c r="H356" s="2022"/>
      <c r="I356" s="2011">
        <f t="shared" si="9"/>
        <v>64230</v>
      </c>
      <c r="J356" s="2022"/>
      <c r="K356" s="2463"/>
      <c r="L356" s="2022"/>
      <c r="M356" s="2022"/>
      <c r="N356" s="2022"/>
      <c r="O356" s="2022"/>
      <c r="P356" s="2022"/>
      <c r="Q356" s="2022"/>
      <c r="R356" s="2022"/>
      <c r="S356" s="2022"/>
      <c r="T356" s="2022">
        <f>-270+64500</f>
        <v>64230</v>
      </c>
      <c r="U356" s="2022"/>
      <c r="V356" s="2022"/>
      <c r="W356" s="2022"/>
      <c r="X356" s="2022"/>
      <c r="Y356" s="2022"/>
      <c r="Z356" s="2022"/>
      <c r="AA356" s="2022"/>
      <c r="AB356" s="2022"/>
      <c r="AC356" s="2022"/>
      <c r="AD356" s="2022"/>
      <c r="AE356" s="2022"/>
      <c r="AF356" s="2022"/>
      <c r="AG356" s="2022"/>
      <c r="AH356" s="2022"/>
      <c r="AI356" s="2022"/>
      <c r="AJ356" s="2022"/>
      <c r="AK356" s="2022"/>
      <c r="AL356" s="2022"/>
      <c r="AM356" s="2022"/>
      <c r="AN356" s="2022"/>
      <c r="AO356" s="2022"/>
      <c r="AP356" s="2022"/>
      <c r="AQ356" s="2022"/>
      <c r="AR356" s="2022"/>
      <c r="AS356" s="2022"/>
      <c r="AT356" s="2022"/>
      <c r="AU356" s="2022"/>
      <c r="AV356" s="2558"/>
      <c r="AW356" s="2022"/>
      <c r="AX356" s="2022"/>
      <c r="AY356" s="2022"/>
      <c r="AZ356" s="2022"/>
      <c r="BA356" s="2022"/>
      <c r="BB356" s="2022"/>
      <c r="BC356" s="2022"/>
      <c r="BD356" s="2022"/>
      <c r="BE356" s="2022"/>
      <c r="BF356" s="2022"/>
      <c r="BG356" s="2022"/>
      <c r="BH356" s="2022"/>
      <c r="BI356" s="2728"/>
      <c r="BJ356" s="2728"/>
      <c r="BK356" s="2728"/>
      <c r="BL356" s="2728"/>
      <c r="BM356" s="2728"/>
      <c r="BN356" s="2728"/>
      <c r="BO356" s="2728"/>
      <c r="BP356" s="2728"/>
      <c r="BQ356" s="2728"/>
      <c r="BR356" s="2728"/>
      <c r="BS356" s="2632"/>
      <c r="BT356" s="2632"/>
      <c r="BU356" s="2728"/>
      <c r="BV356" s="2728"/>
      <c r="BW356" s="2632"/>
      <c r="BX356" s="2632"/>
      <c r="BY356" s="2632"/>
      <c r="BZ356" s="2632"/>
      <c r="CA356" s="2632"/>
      <c r="CB356" s="2728"/>
      <c r="CC356" s="2632"/>
      <c r="CD356" s="2632"/>
      <c r="CE356" s="2632"/>
      <c r="CF356" s="2632"/>
      <c r="CG356" s="2728"/>
      <c r="CH356" s="2728"/>
      <c r="CI356" s="2632"/>
      <c r="CJ356" s="2632"/>
      <c r="CK356" s="2632"/>
    </row>
    <row r="357" spans="1:89" s="2100" customFormat="1" x14ac:dyDescent="0.2">
      <c r="A357" s="1283" t="s">
        <v>6549</v>
      </c>
      <c r="B357" s="1133" t="s">
        <v>6547</v>
      </c>
      <c r="C357" s="2022">
        <v>0</v>
      </c>
      <c r="D357" s="2022">
        <v>0</v>
      </c>
      <c r="E357" s="2022">
        <f>T357</f>
        <v>113340</v>
      </c>
      <c r="F357" s="2022">
        <v>0</v>
      </c>
      <c r="G357" s="2022"/>
      <c r="H357" s="2022"/>
      <c r="I357" s="2011">
        <f t="shared" si="9"/>
        <v>113340</v>
      </c>
      <c r="J357" s="2022"/>
      <c r="K357" s="2463"/>
      <c r="L357" s="2022"/>
      <c r="M357" s="2022"/>
      <c r="N357" s="2022"/>
      <c r="O357" s="2022"/>
      <c r="P357" s="2022"/>
      <c r="Q357" s="2022"/>
      <c r="R357" s="2022"/>
      <c r="S357" s="2022"/>
      <c r="T357" s="2022">
        <v>113340</v>
      </c>
      <c r="U357" s="2022"/>
      <c r="V357" s="2022"/>
      <c r="W357" s="2022"/>
      <c r="X357" s="2022"/>
      <c r="Y357" s="2022"/>
      <c r="Z357" s="2022"/>
      <c r="AA357" s="2022"/>
      <c r="AB357" s="2022"/>
      <c r="AC357" s="2022"/>
      <c r="AD357" s="2022"/>
      <c r="AE357" s="2022"/>
      <c r="AF357" s="2022"/>
      <c r="AG357" s="2022"/>
      <c r="AH357" s="2022"/>
      <c r="AI357" s="2022"/>
      <c r="AJ357" s="2022"/>
      <c r="AK357" s="2022"/>
      <c r="AL357" s="2022"/>
      <c r="AM357" s="2022"/>
      <c r="AN357" s="2022"/>
      <c r="AO357" s="2022"/>
      <c r="AP357" s="2022"/>
      <c r="AQ357" s="2022"/>
      <c r="AR357" s="2022"/>
      <c r="AS357" s="2022"/>
      <c r="AT357" s="2022"/>
      <c r="AU357" s="2022"/>
      <c r="AV357" s="2558"/>
      <c r="AW357" s="2022"/>
      <c r="AX357" s="2022"/>
      <c r="AY357" s="2022"/>
      <c r="AZ357" s="2022"/>
      <c r="BA357" s="2022"/>
      <c r="BB357" s="2022"/>
      <c r="BC357" s="2022"/>
      <c r="BD357" s="2022"/>
      <c r="BE357" s="2022"/>
      <c r="BF357" s="2022"/>
      <c r="BG357" s="2022"/>
      <c r="BH357" s="2022"/>
      <c r="BI357" s="2728"/>
      <c r="BJ357" s="2728"/>
      <c r="BK357" s="2728"/>
      <c r="BL357" s="2728"/>
      <c r="BM357" s="2728"/>
      <c r="BN357" s="2728"/>
      <c r="BO357" s="2728"/>
      <c r="BP357" s="2728"/>
      <c r="BQ357" s="2728"/>
      <c r="BR357" s="2728"/>
      <c r="BS357" s="2632"/>
      <c r="BT357" s="2632"/>
      <c r="BU357" s="2728"/>
      <c r="BV357" s="2728"/>
      <c r="BW357" s="2632"/>
      <c r="BX357" s="2632"/>
      <c r="BY357" s="2632"/>
      <c r="BZ357" s="2632"/>
      <c r="CA357" s="2632"/>
      <c r="CB357" s="2728"/>
      <c r="CC357" s="2632"/>
      <c r="CD357" s="2632"/>
      <c r="CE357" s="2632"/>
      <c r="CF357" s="2632"/>
      <c r="CG357" s="2728"/>
      <c r="CH357" s="2728"/>
      <c r="CI357" s="2632"/>
      <c r="CJ357" s="2632"/>
      <c r="CK357" s="2632"/>
    </row>
    <row r="358" spans="1:89" x14ac:dyDescent="0.2">
      <c r="A358" s="2020" t="s">
        <v>5479</v>
      </c>
      <c r="B358" s="2020" t="s">
        <v>6200</v>
      </c>
      <c r="C358" s="2022">
        <v>5000</v>
      </c>
      <c r="D358" s="2022">
        <v>0</v>
      </c>
      <c r="E358" s="2022">
        <f>2569.26+R358</f>
        <v>0</v>
      </c>
      <c r="F358" s="2022">
        <v>0</v>
      </c>
      <c r="G358" s="2022">
        <v>2569.2600000000002</v>
      </c>
      <c r="H358" s="2022">
        <v>0</v>
      </c>
      <c r="I358" s="2011">
        <f t="shared" si="9"/>
        <v>0</v>
      </c>
      <c r="J358" s="2022"/>
      <c r="K358" s="2463"/>
      <c r="R358" s="2022">
        <v>-2569.2600000000002</v>
      </c>
    </row>
    <row r="359" spans="1:89" x14ac:dyDescent="0.2">
      <c r="A359" s="2020" t="s">
        <v>5482</v>
      </c>
      <c r="B359" s="2020" t="s">
        <v>6201</v>
      </c>
      <c r="C359" s="2022">
        <v>131306.51</v>
      </c>
      <c r="D359" s="2022">
        <v>0</v>
      </c>
      <c r="E359" s="2022">
        <v>0</v>
      </c>
      <c r="F359" s="2022">
        <v>0</v>
      </c>
      <c r="G359" s="2022">
        <v>0</v>
      </c>
      <c r="H359" s="2022">
        <v>0</v>
      </c>
      <c r="I359" s="2011">
        <f t="shared" si="9"/>
        <v>0</v>
      </c>
      <c r="J359" s="2022"/>
      <c r="K359" s="2463"/>
    </row>
    <row r="360" spans="1:89" x14ac:dyDescent="0.2">
      <c r="A360" s="2020" t="s">
        <v>5483</v>
      </c>
      <c r="B360" s="2020" t="s">
        <v>6202</v>
      </c>
      <c r="C360" s="2022">
        <v>20000</v>
      </c>
      <c r="D360" s="2022">
        <v>0</v>
      </c>
      <c r="E360" s="2022">
        <v>8426.3799999999992</v>
      </c>
      <c r="F360" s="2022">
        <v>0</v>
      </c>
      <c r="G360" s="2022">
        <v>8426.3799999999992</v>
      </c>
      <c r="H360" s="2022">
        <v>0</v>
      </c>
      <c r="I360" s="2011">
        <f t="shared" si="9"/>
        <v>8426.3799999999992</v>
      </c>
      <c r="J360" s="2022"/>
      <c r="K360" s="2463"/>
    </row>
    <row r="361" spans="1:89" x14ac:dyDescent="0.2">
      <c r="A361" s="2020" t="s">
        <v>5484</v>
      </c>
      <c r="B361" s="2020" t="s">
        <v>6036</v>
      </c>
      <c r="C361" s="2022">
        <v>28310.21</v>
      </c>
      <c r="D361" s="2022">
        <v>0</v>
      </c>
      <c r="E361" s="2022">
        <v>0</v>
      </c>
      <c r="F361" s="2022">
        <v>0</v>
      </c>
      <c r="G361" s="2022">
        <v>0</v>
      </c>
      <c r="H361" s="2022">
        <v>0</v>
      </c>
      <c r="I361" s="2011">
        <f t="shared" si="9"/>
        <v>0</v>
      </c>
      <c r="J361" s="2022"/>
      <c r="K361" s="2463"/>
    </row>
    <row r="362" spans="1:89" x14ac:dyDescent="0.2">
      <c r="A362" s="2020" t="s">
        <v>5485</v>
      </c>
      <c r="B362" s="2020" t="s">
        <v>6164</v>
      </c>
      <c r="C362" s="2022">
        <v>-85746.28</v>
      </c>
      <c r="D362" s="2022">
        <v>0</v>
      </c>
      <c r="E362" s="2022">
        <v>0</v>
      </c>
      <c r="F362" s="2022">
        <v>0</v>
      </c>
      <c r="G362" s="2022">
        <v>0</v>
      </c>
      <c r="H362" s="2022">
        <v>0</v>
      </c>
      <c r="I362" s="2011">
        <f t="shared" si="9"/>
        <v>0</v>
      </c>
      <c r="J362" s="2022"/>
      <c r="K362" s="2463"/>
    </row>
    <row r="363" spans="1:89" x14ac:dyDescent="0.2">
      <c r="A363" s="2020" t="s">
        <v>5486</v>
      </c>
      <c r="B363" s="2020" t="s">
        <v>6098</v>
      </c>
      <c r="C363" s="2022">
        <v>-1213531.3700000001</v>
      </c>
      <c r="D363" s="2022">
        <v>0</v>
      </c>
      <c r="E363" s="2022">
        <v>0</v>
      </c>
      <c r="F363" s="2022">
        <v>0</v>
      </c>
      <c r="G363" s="2022">
        <v>0</v>
      </c>
      <c r="H363" s="2022">
        <v>0</v>
      </c>
      <c r="I363" s="2011">
        <f t="shared" si="9"/>
        <v>0</v>
      </c>
      <c r="J363" s="2022"/>
      <c r="K363" s="2463"/>
    </row>
    <row r="364" spans="1:89" x14ac:dyDescent="0.2">
      <c r="A364" s="2020" t="s">
        <v>5488</v>
      </c>
      <c r="B364" s="2020" t="s">
        <v>5489</v>
      </c>
      <c r="C364" s="2022">
        <v>-104578.7</v>
      </c>
      <c r="D364" s="2022">
        <v>0</v>
      </c>
      <c r="E364" s="2022">
        <v>0</v>
      </c>
      <c r="F364" s="2022">
        <v>0</v>
      </c>
      <c r="G364" s="2022">
        <v>0</v>
      </c>
      <c r="H364" s="2022">
        <v>0</v>
      </c>
      <c r="I364" s="2011">
        <f t="shared" si="9"/>
        <v>0</v>
      </c>
      <c r="J364" s="2022"/>
      <c r="K364" s="2463"/>
    </row>
    <row r="365" spans="1:89" x14ac:dyDescent="0.2">
      <c r="A365" s="2020" t="s">
        <v>5490</v>
      </c>
      <c r="B365" s="2020" t="s">
        <v>6003</v>
      </c>
      <c r="C365" s="2022">
        <v>411439.92</v>
      </c>
      <c r="D365" s="2022">
        <v>0</v>
      </c>
      <c r="E365" s="2022">
        <v>416468.94</v>
      </c>
      <c r="F365" s="2022">
        <v>-3352.68</v>
      </c>
      <c r="G365" s="2022">
        <v>413116.26</v>
      </c>
      <c r="H365" s="2022">
        <v>0</v>
      </c>
      <c r="I365" s="2011">
        <f t="shared" si="9"/>
        <v>413116.26</v>
      </c>
      <c r="J365" s="2022"/>
      <c r="K365" s="2463"/>
    </row>
    <row r="366" spans="1:89" x14ac:dyDescent="0.2">
      <c r="A366" s="2020" t="s">
        <v>5491</v>
      </c>
      <c r="B366" s="2020" t="s">
        <v>6004</v>
      </c>
      <c r="C366" s="2022">
        <v>43782.75</v>
      </c>
      <c r="D366" s="2022">
        <v>0</v>
      </c>
      <c r="E366" s="2022">
        <v>40051.14</v>
      </c>
      <c r="F366" s="2022">
        <v>0</v>
      </c>
      <c r="G366" s="2022">
        <v>40051.14</v>
      </c>
      <c r="H366" s="2022">
        <v>0</v>
      </c>
      <c r="I366" s="2011">
        <f t="shared" si="9"/>
        <v>40051.14</v>
      </c>
      <c r="J366" s="2022"/>
      <c r="K366" s="2463"/>
    </row>
    <row r="367" spans="1:89" x14ac:dyDescent="0.2">
      <c r="A367" s="2020" t="s">
        <v>5492</v>
      </c>
      <c r="B367" s="2020" t="s">
        <v>6008</v>
      </c>
      <c r="C367" s="2022">
        <v>2500</v>
      </c>
      <c r="D367" s="2022">
        <v>0</v>
      </c>
      <c r="E367" s="2022">
        <v>2500</v>
      </c>
      <c r="F367" s="2022">
        <v>0</v>
      </c>
      <c r="G367" s="2022">
        <v>2500</v>
      </c>
      <c r="H367" s="2022">
        <v>0</v>
      </c>
      <c r="I367" s="2011">
        <f t="shared" si="9"/>
        <v>2500</v>
      </c>
      <c r="J367" s="2022"/>
      <c r="K367" s="2463"/>
    </row>
    <row r="368" spans="1:89" x14ac:dyDescent="0.2">
      <c r="A368" s="2020" t="s">
        <v>5493</v>
      </c>
      <c r="B368" s="2020" t="s">
        <v>6009</v>
      </c>
      <c r="C368" s="2022">
        <v>40000</v>
      </c>
      <c r="D368" s="2022">
        <v>0</v>
      </c>
      <c r="E368" s="2022">
        <v>40000</v>
      </c>
      <c r="F368" s="2022">
        <v>0</v>
      </c>
      <c r="G368" s="2022">
        <v>40000</v>
      </c>
      <c r="H368" s="2022">
        <v>0</v>
      </c>
      <c r="I368" s="2011">
        <f t="shared" si="9"/>
        <v>40000</v>
      </c>
      <c r="J368" s="2022"/>
      <c r="K368" s="2463"/>
    </row>
    <row r="369" spans="1:66" x14ac:dyDescent="0.2">
      <c r="A369" s="2020" t="s">
        <v>5494</v>
      </c>
      <c r="B369" s="2020" t="s">
        <v>6010</v>
      </c>
      <c r="C369" s="2022">
        <v>188.6</v>
      </c>
      <c r="D369" s="2022">
        <v>0</v>
      </c>
      <c r="E369" s="2022">
        <v>188.6</v>
      </c>
      <c r="F369" s="2022">
        <v>0</v>
      </c>
      <c r="G369" s="2022">
        <v>188.6</v>
      </c>
      <c r="H369" s="2022">
        <v>0</v>
      </c>
      <c r="I369" s="2011">
        <f t="shared" si="9"/>
        <v>188.6</v>
      </c>
      <c r="J369" s="2022"/>
      <c r="K369" s="2463"/>
    </row>
    <row r="370" spans="1:66" x14ac:dyDescent="0.2">
      <c r="A370" s="2020" t="s">
        <v>5495</v>
      </c>
      <c r="B370" s="2020" t="s">
        <v>6011</v>
      </c>
      <c r="C370" s="2022">
        <v>6313.58</v>
      </c>
      <c r="D370" s="2022">
        <v>0</v>
      </c>
      <c r="E370" s="2022">
        <v>5236.16</v>
      </c>
      <c r="F370" s="2022">
        <v>0</v>
      </c>
      <c r="G370" s="2022">
        <v>5236.16</v>
      </c>
      <c r="H370" s="2022">
        <v>0</v>
      </c>
      <c r="I370" s="2011">
        <f t="shared" si="9"/>
        <v>5236.16</v>
      </c>
      <c r="J370" s="2022"/>
      <c r="K370" s="2463"/>
    </row>
    <row r="371" spans="1:66" x14ac:dyDescent="0.2">
      <c r="A371" s="2020" t="s">
        <v>5497</v>
      </c>
      <c r="B371" s="2020" t="s">
        <v>6012</v>
      </c>
      <c r="C371" s="2022">
        <v>15961.2</v>
      </c>
      <c r="D371" s="2022">
        <v>0</v>
      </c>
      <c r="E371" s="2022">
        <v>15961.2</v>
      </c>
      <c r="F371" s="2022">
        <v>0</v>
      </c>
      <c r="G371" s="2022">
        <v>15961.2</v>
      </c>
      <c r="H371" s="2022">
        <v>0</v>
      </c>
      <c r="I371" s="2011">
        <f t="shared" si="9"/>
        <v>15961.2</v>
      </c>
      <c r="J371" s="2022"/>
      <c r="K371" s="2463"/>
    </row>
    <row r="372" spans="1:66" x14ac:dyDescent="0.2">
      <c r="A372" s="2020" t="s">
        <v>5498</v>
      </c>
      <c r="B372" s="2020" t="s">
        <v>6013</v>
      </c>
      <c r="C372" s="2022">
        <v>82485.31</v>
      </c>
      <c r="D372" s="2022">
        <v>0</v>
      </c>
      <c r="E372" s="2022">
        <v>82485.31</v>
      </c>
      <c r="F372" s="2022">
        <v>0</v>
      </c>
      <c r="G372" s="2022">
        <v>82485.31</v>
      </c>
      <c r="H372" s="2022">
        <v>0</v>
      </c>
      <c r="I372" s="2011">
        <f t="shared" si="9"/>
        <v>82485.31</v>
      </c>
      <c r="J372" s="2022"/>
      <c r="K372" s="2463"/>
    </row>
    <row r="373" spans="1:66" x14ac:dyDescent="0.2">
      <c r="A373" s="2020" t="s">
        <v>5499</v>
      </c>
      <c r="B373" s="2020" t="s">
        <v>6014</v>
      </c>
      <c r="C373" s="2022">
        <v>4006.38</v>
      </c>
      <c r="D373" s="2022">
        <v>0</v>
      </c>
      <c r="E373" s="2022">
        <v>3669.18</v>
      </c>
      <c r="F373" s="2022">
        <v>0</v>
      </c>
      <c r="G373" s="2022">
        <v>3669.18</v>
      </c>
      <c r="H373" s="2022">
        <v>0</v>
      </c>
      <c r="I373" s="2011">
        <f t="shared" si="9"/>
        <v>3669.18</v>
      </c>
      <c r="J373" s="2022"/>
      <c r="K373" s="2463"/>
    </row>
    <row r="374" spans="1:66" x14ac:dyDescent="0.2">
      <c r="A374" s="2020" t="s">
        <v>5504</v>
      </c>
      <c r="B374" s="2020" t="s">
        <v>6029</v>
      </c>
      <c r="C374" s="2022">
        <v>40000</v>
      </c>
      <c r="D374" s="2022">
        <v>0</v>
      </c>
      <c r="E374" s="2022">
        <f>54610.7+AM374</f>
        <v>56055.77</v>
      </c>
      <c r="F374" s="2022">
        <v>0</v>
      </c>
      <c r="G374" s="2022">
        <v>54610.7</v>
      </c>
      <c r="H374" s="2022">
        <v>0</v>
      </c>
      <c r="I374" s="2011">
        <f t="shared" si="9"/>
        <v>56055.77</v>
      </c>
      <c r="J374" s="2022"/>
      <c r="K374" s="2463"/>
      <c r="AM374" s="2022">
        <v>1445.07</v>
      </c>
    </row>
    <row r="375" spans="1:66" x14ac:dyDescent="0.2">
      <c r="A375" s="2020" t="s">
        <v>5505</v>
      </c>
      <c r="B375" s="2020" t="s">
        <v>6030</v>
      </c>
      <c r="C375" s="2022">
        <v>35000</v>
      </c>
      <c r="D375" s="2022">
        <v>0</v>
      </c>
      <c r="E375" s="2022">
        <v>29969.58</v>
      </c>
      <c r="F375" s="2022">
        <v>0</v>
      </c>
      <c r="G375" s="2022">
        <v>29969.58</v>
      </c>
      <c r="H375" s="2022">
        <v>0</v>
      </c>
      <c r="I375" s="2011">
        <f t="shared" si="9"/>
        <v>29969.58</v>
      </c>
      <c r="J375" s="2022"/>
      <c r="K375" s="2463"/>
    </row>
    <row r="376" spans="1:66" x14ac:dyDescent="0.2">
      <c r="A376" s="2020" t="s">
        <v>5508</v>
      </c>
      <c r="B376" s="2020" t="s">
        <v>6035</v>
      </c>
      <c r="C376" s="2022">
        <v>2993.96</v>
      </c>
      <c r="D376" s="2022">
        <v>0</v>
      </c>
      <c r="E376" s="2022">
        <v>0</v>
      </c>
      <c r="F376" s="2022">
        <v>0</v>
      </c>
      <c r="G376" s="2022">
        <v>0</v>
      </c>
      <c r="H376" s="2022">
        <v>0</v>
      </c>
      <c r="I376" s="2011">
        <f t="shared" si="9"/>
        <v>0</v>
      </c>
      <c r="J376" s="2022"/>
      <c r="K376" s="2463"/>
    </row>
    <row r="377" spans="1:66" x14ac:dyDescent="0.2">
      <c r="A377" s="2020" t="s">
        <v>5509</v>
      </c>
      <c r="B377" s="2020" t="s">
        <v>6036</v>
      </c>
      <c r="C377" s="2022">
        <v>1565.74</v>
      </c>
      <c r="D377" s="2022">
        <v>0</v>
      </c>
      <c r="E377" s="2022">
        <v>0</v>
      </c>
      <c r="F377" s="2022">
        <v>0</v>
      </c>
      <c r="G377" s="2022">
        <v>0</v>
      </c>
      <c r="H377" s="2022">
        <v>0</v>
      </c>
      <c r="I377" s="2011">
        <f t="shared" si="9"/>
        <v>0</v>
      </c>
      <c r="J377" s="2022"/>
      <c r="K377" s="2463"/>
    </row>
    <row r="378" spans="1:66" x14ac:dyDescent="0.2">
      <c r="A378" s="2020" t="s">
        <v>5510</v>
      </c>
      <c r="B378" s="2020" t="s">
        <v>6203</v>
      </c>
      <c r="C378" s="2022">
        <v>-275185.94</v>
      </c>
      <c r="D378" s="2022">
        <v>0</v>
      </c>
      <c r="E378" s="2022">
        <f>4832.6+BM378</f>
        <v>8984.2999999999993</v>
      </c>
      <c r="F378" s="2022">
        <f>-325012.8+BN378</f>
        <v>-367186</v>
      </c>
      <c r="G378" s="2022">
        <v>0</v>
      </c>
      <c r="H378" s="2022">
        <v>-320180.2</v>
      </c>
      <c r="I378" s="2011">
        <f t="shared" si="9"/>
        <v>-358201.7</v>
      </c>
      <c r="J378" s="2022"/>
      <c r="K378" s="2463"/>
      <c r="BM378" s="2728">
        <v>4151.7</v>
      </c>
      <c r="BN378" s="2728">
        <v>-42173.2</v>
      </c>
    </row>
    <row r="379" spans="1:66" x14ac:dyDescent="0.2">
      <c r="A379" s="2020" t="s">
        <v>5512</v>
      </c>
      <c r="B379" s="2020" t="s">
        <v>6204</v>
      </c>
      <c r="C379" s="2022">
        <v>-1000</v>
      </c>
      <c r="D379" s="2022">
        <v>0</v>
      </c>
      <c r="E379" s="2022">
        <v>61.4</v>
      </c>
      <c r="F379" s="2022">
        <v>-500</v>
      </c>
      <c r="G379" s="2022">
        <v>0</v>
      </c>
      <c r="H379" s="2022">
        <v>-438.6</v>
      </c>
      <c r="I379" s="2011">
        <f t="shared" si="9"/>
        <v>-438.6</v>
      </c>
      <c r="J379" s="2022"/>
      <c r="K379" s="2463"/>
    </row>
    <row r="380" spans="1:66" x14ac:dyDescent="0.2">
      <c r="A380" s="2020" t="s">
        <v>5514</v>
      </c>
      <c r="B380" s="2020" t="s">
        <v>6037</v>
      </c>
      <c r="C380" s="2022">
        <v>-407201.11</v>
      </c>
      <c r="D380" s="2022">
        <v>0</v>
      </c>
      <c r="E380" s="2022">
        <v>0</v>
      </c>
      <c r="F380" s="2022">
        <v>0</v>
      </c>
      <c r="G380" s="2022">
        <v>0</v>
      </c>
      <c r="H380" s="2022">
        <v>0</v>
      </c>
      <c r="I380" s="2011">
        <f t="shared" si="9"/>
        <v>0</v>
      </c>
      <c r="J380" s="2022"/>
      <c r="K380" s="2463"/>
    </row>
    <row r="381" spans="1:66" x14ac:dyDescent="0.2">
      <c r="A381" s="2020" t="s">
        <v>5515</v>
      </c>
      <c r="B381" s="2020" t="s">
        <v>5516</v>
      </c>
      <c r="C381" s="2022">
        <v>-2850.39</v>
      </c>
      <c r="D381" s="2022">
        <v>0</v>
      </c>
      <c r="E381" s="2022">
        <v>329.04</v>
      </c>
      <c r="F381" s="2022">
        <v>-2679.2</v>
      </c>
      <c r="G381" s="2022">
        <v>0</v>
      </c>
      <c r="H381" s="2022">
        <v>-2350.16</v>
      </c>
      <c r="I381" s="2011">
        <f t="shared" si="9"/>
        <v>-2350.16</v>
      </c>
      <c r="J381" s="2022"/>
      <c r="K381" s="2463"/>
    </row>
    <row r="382" spans="1:66" x14ac:dyDescent="0.2">
      <c r="A382" s="2020" t="s">
        <v>5517</v>
      </c>
      <c r="B382" s="2020" t="s">
        <v>6003</v>
      </c>
      <c r="C382" s="2022">
        <v>491962.08</v>
      </c>
      <c r="D382" s="2022">
        <v>0</v>
      </c>
      <c r="E382" s="2022">
        <v>499640.4</v>
      </c>
      <c r="F382" s="2022">
        <v>-5345.82</v>
      </c>
      <c r="G382" s="2022">
        <v>494294.58</v>
      </c>
      <c r="H382" s="2022">
        <v>0</v>
      </c>
      <c r="I382" s="2011">
        <f t="shared" si="9"/>
        <v>494294.58</v>
      </c>
      <c r="J382" s="2022"/>
      <c r="K382" s="2463"/>
    </row>
    <row r="383" spans="1:66" x14ac:dyDescent="0.2">
      <c r="A383" s="2020" t="s">
        <v>5518</v>
      </c>
      <c r="B383" s="2020" t="s">
        <v>6004</v>
      </c>
      <c r="C383" s="2022">
        <v>54098.2</v>
      </c>
      <c r="D383" s="2022">
        <v>0</v>
      </c>
      <c r="E383" s="2022">
        <v>43648.25</v>
      </c>
      <c r="F383" s="2022">
        <v>0</v>
      </c>
      <c r="G383" s="2022">
        <v>43648.25</v>
      </c>
      <c r="H383" s="2022">
        <v>0</v>
      </c>
      <c r="I383" s="2011">
        <f t="shared" si="9"/>
        <v>43648.25</v>
      </c>
      <c r="J383" s="2022"/>
      <c r="K383" s="2463"/>
    </row>
    <row r="384" spans="1:66" x14ac:dyDescent="0.2">
      <c r="A384" s="2020" t="s">
        <v>5519</v>
      </c>
      <c r="B384" s="2020" t="s">
        <v>6005</v>
      </c>
      <c r="C384" s="2022">
        <v>6600</v>
      </c>
      <c r="D384" s="2022">
        <v>0</v>
      </c>
      <c r="E384" s="2022">
        <v>6600</v>
      </c>
      <c r="F384" s="2022">
        <v>0</v>
      </c>
      <c r="G384" s="2022">
        <v>6600</v>
      </c>
      <c r="H384" s="2022">
        <v>0</v>
      </c>
      <c r="I384" s="2011">
        <f t="shared" si="9"/>
        <v>6600</v>
      </c>
      <c r="J384" s="2022"/>
      <c r="K384" s="2463"/>
    </row>
    <row r="385" spans="1:85" x14ac:dyDescent="0.2">
      <c r="A385" s="2020" t="s">
        <v>5520</v>
      </c>
      <c r="B385" s="2020" t="s">
        <v>6006</v>
      </c>
      <c r="C385" s="2022">
        <v>2328</v>
      </c>
      <c r="D385" s="2022">
        <v>0</v>
      </c>
      <c r="E385" s="2022">
        <v>2328</v>
      </c>
      <c r="F385" s="2022">
        <v>0</v>
      </c>
      <c r="G385" s="2022">
        <v>2328</v>
      </c>
      <c r="H385" s="2022">
        <v>0</v>
      </c>
      <c r="I385" s="2011">
        <f t="shared" ref="I385:I450" si="10">SUM(E385:F385)</f>
        <v>2328</v>
      </c>
      <c r="J385" s="2022"/>
      <c r="K385" s="2463"/>
    </row>
    <row r="386" spans="1:85" x14ac:dyDescent="0.2">
      <c r="A386" s="2020" t="s">
        <v>5521</v>
      </c>
      <c r="B386" s="2020" t="s">
        <v>6007</v>
      </c>
      <c r="C386" s="2022">
        <v>79807.95</v>
      </c>
      <c r="D386" s="2022">
        <v>0</v>
      </c>
      <c r="E386" s="2022">
        <v>55247.48</v>
      </c>
      <c r="F386" s="2022">
        <v>0</v>
      </c>
      <c r="G386" s="2022">
        <v>55247.48</v>
      </c>
      <c r="H386" s="2022">
        <v>0</v>
      </c>
      <c r="I386" s="2011">
        <f t="shared" si="10"/>
        <v>55247.48</v>
      </c>
      <c r="J386" s="2022"/>
      <c r="K386" s="2463"/>
    </row>
    <row r="387" spans="1:85" x14ac:dyDescent="0.2">
      <c r="A387" s="2020" t="s">
        <v>5522</v>
      </c>
      <c r="B387" s="2020" t="s">
        <v>6008</v>
      </c>
      <c r="C387" s="2022">
        <v>600</v>
      </c>
      <c r="D387" s="2022">
        <v>0</v>
      </c>
      <c r="E387" s="2022">
        <v>600</v>
      </c>
      <c r="F387" s="2022">
        <v>0</v>
      </c>
      <c r="G387" s="2022">
        <v>600</v>
      </c>
      <c r="H387" s="2022">
        <v>0</v>
      </c>
      <c r="I387" s="2011">
        <f t="shared" si="10"/>
        <v>600</v>
      </c>
      <c r="J387" s="2022"/>
      <c r="K387" s="2463"/>
    </row>
    <row r="388" spans="1:85" x14ac:dyDescent="0.2">
      <c r="A388" s="2020" t="s">
        <v>5523</v>
      </c>
      <c r="B388" s="2020" t="s">
        <v>6009</v>
      </c>
      <c r="C388" s="2022">
        <v>189336.95999999999</v>
      </c>
      <c r="D388" s="2022">
        <v>0</v>
      </c>
      <c r="E388" s="2022">
        <v>189336.95999999999</v>
      </c>
      <c r="F388" s="2022">
        <v>0</v>
      </c>
      <c r="G388" s="2022">
        <v>189336.95999999999</v>
      </c>
      <c r="H388" s="2022">
        <v>0</v>
      </c>
      <c r="I388" s="2011">
        <f t="shared" si="10"/>
        <v>189336.95999999999</v>
      </c>
      <c r="J388" s="2022"/>
      <c r="K388" s="2463"/>
    </row>
    <row r="389" spans="1:85" x14ac:dyDescent="0.2">
      <c r="A389" s="2020" t="s">
        <v>5524</v>
      </c>
      <c r="B389" s="2020" t="s">
        <v>6010</v>
      </c>
      <c r="C389" s="2022">
        <v>246</v>
      </c>
      <c r="D389" s="2022">
        <v>0</v>
      </c>
      <c r="E389" s="2022">
        <v>246</v>
      </c>
      <c r="F389" s="2022">
        <v>0</v>
      </c>
      <c r="G389" s="2022">
        <v>246</v>
      </c>
      <c r="H389" s="2022">
        <v>0</v>
      </c>
      <c r="I389" s="2011">
        <f t="shared" si="10"/>
        <v>246</v>
      </c>
      <c r="J389" s="2022"/>
      <c r="K389" s="2463"/>
    </row>
    <row r="390" spans="1:85" x14ac:dyDescent="0.2">
      <c r="A390" s="2020" t="s">
        <v>5525</v>
      </c>
      <c r="B390" s="2020" t="s">
        <v>6011</v>
      </c>
      <c r="C390" s="2022">
        <v>7530.76</v>
      </c>
      <c r="D390" s="2022">
        <v>0</v>
      </c>
      <c r="E390" s="2022">
        <v>7022.02</v>
      </c>
      <c r="F390" s="2022">
        <v>0</v>
      </c>
      <c r="G390" s="2022">
        <v>7022.02</v>
      </c>
      <c r="H390" s="2022">
        <v>0</v>
      </c>
      <c r="I390" s="2011">
        <f t="shared" si="10"/>
        <v>7022.02</v>
      </c>
      <c r="J390" s="2022"/>
      <c r="K390" s="2463"/>
    </row>
    <row r="391" spans="1:85" x14ac:dyDescent="0.2">
      <c r="A391" s="2020" t="s">
        <v>5527</v>
      </c>
      <c r="B391" s="2020" t="s">
        <v>6012</v>
      </c>
      <c r="C391" s="2022">
        <v>81681.3</v>
      </c>
      <c r="D391" s="2022">
        <v>0</v>
      </c>
      <c r="E391" s="2022">
        <v>81519.3</v>
      </c>
      <c r="F391" s="2022">
        <v>0</v>
      </c>
      <c r="G391" s="2022">
        <v>81519.3</v>
      </c>
      <c r="H391" s="2022">
        <v>0</v>
      </c>
      <c r="I391" s="2011">
        <f t="shared" si="10"/>
        <v>81519.3</v>
      </c>
      <c r="J391" s="2022"/>
      <c r="K391" s="2463"/>
    </row>
    <row r="392" spans="1:85" x14ac:dyDescent="0.2">
      <c r="A392" s="2020" t="s">
        <v>5528</v>
      </c>
      <c r="B392" s="2020" t="s">
        <v>6013</v>
      </c>
      <c r="C392" s="2022">
        <v>99513.66</v>
      </c>
      <c r="D392" s="2022">
        <v>0</v>
      </c>
      <c r="E392" s="2022">
        <v>99513.66</v>
      </c>
      <c r="F392" s="2022">
        <v>0</v>
      </c>
      <c r="G392" s="2022">
        <v>99513.66</v>
      </c>
      <c r="H392" s="2022">
        <v>0</v>
      </c>
      <c r="I392" s="2011">
        <f t="shared" si="10"/>
        <v>99513.66</v>
      </c>
      <c r="J392" s="2022"/>
      <c r="K392" s="2463"/>
    </row>
    <row r="393" spans="1:85" x14ac:dyDescent="0.2">
      <c r="A393" s="2020" t="s">
        <v>5529</v>
      </c>
      <c r="B393" s="2020" t="s">
        <v>6014</v>
      </c>
      <c r="C393" s="2022">
        <v>6558.41</v>
      </c>
      <c r="D393" s="2022">
        <v>0</v>
      </c>
      <c r="E393" s="2022">
        <v>5908.92</v>
      </c>
      <c r="F393" s="2022">
        <v>0</v>
      </c>
      <c r="G393" s="2022">
        <v>5908.92</v>
      </c>
      <c r="H393" s="2022">
        <v>0</v>
      </c>
      <c r="I393" s="2011">
        <f t="shared" si="10"/>
        <v>5908.92</v>
      </c>
      <c r="J393" s="2022"/>
      <c r="K393" s="2463"/>
    </row>
    <row r="394" spans="1:85" x14ac:dyDescent="0.2">
      <c r="A394" s="2020" t="s">
        <v>5538</v>
      </c>
      <c r="B394" s="2020" t="s">
        <v>6029</v>
      </c>
      <c r="C394" s="2022">
        <v>45000</v>
      </c>
      <c r="D394" s="2022">
        <v>0</v>
      </c>
      <c r="E394" s="2022">
        <v>93152.16</v>
      </c>
      <c r="F394" s="2022">
        <v>0</v>
      </c>
      <c r="G394" s="2022">
        <v>93152.16</v>
      </c>
      <c r="H394" s="2022">
        <v>0</v>
      </c>
      <c r="I394" s="2011">
        <f t="shared" si="10"/>
        <v>93152.16</v>
      </c>
      <c r="J394" s="2022"/>
      <c r="K394" s="2463"/>
    </row>
    <row r="395" spans="1:85" x14ac:dyDescent="0.2">
      <c r="A395" s="2020" t="s">
        <v>5544</v>
      </c>
      <c r="B395" s="2020" t="s">
        <v>6041</v>
      </c>
      <c r="C395" s="2022">
        <v>30000</v>
      </c>
      <c r="D395" s="2022">
        <v>0</v>
      </c>
      <c r="E395" s="2022">
        <v>11400</v>
      </c>
      <c r="F395" s="2022">
        <v>-5700</v>
      </c>
      <c r="G395" s="2022">
        <v>5700</v>
      </c>
      <c r="H395" s="2022">
        <v>0</v>
      </c>
      <c r="I395" s="2011">
        <f t="shared" si="10"/>
        <v>5700</v>
      </c>
      <c r="J395" s="2022"/>
      <c r="K395" s="2463"/>
    </row>
    <row r="396" spans="1:85" x14ac:dyDescent="0.2">
      <c r="A396" s="2020" t="s">
        <v>5545</v>
      </c>
      <c r="B396" s="2020" t="s">
        <v>6205</v>
      </c>
      <c r="C396" s="2022">
        <v>0</v>
      </c>
      <c r="D396" s="2022">
        <v>0</v>
      </c>
      <c r="E396" s="2022">
        <v>6540</v>
      </c>
      <c r="F396" s="2022">
        <v>0</v>
      </c>
      <c r="G396" s="2022">
        <v>6540</v>
      </c>
      <c r="H396" s="2022">
        <v>0</v>
      </c>
      <c r="I396" s="2011">
        <f t="shared" si="10"/>
        <v>6540</v>
      </c>
      <c r="J396" s="2022"/>
      <c r="K396" s="2463"/>
    </row>
    <row r="397" spans="1:85" x14ac:dyDescent="0.2">
      <c r="A397" s="2020" t="s">
        <v>5546</v>
      </c>
      <c r="B397" s="2020" t="s">
        <v>6206</v>
      </c>
      <c r="C397" s="2022">
        <v>59116.59</v>
      </c>
      <c r="D397" s="2022">
        <v>0</v>
      </c>
      <c r="E397" s="2022">
        <v>0</v>
      </c>
      <c r="F397" s="2022">
        <v>0</v>
      </c>
      <c r="G397" s="2022">
        <v>0</v>
      </c>
      <c r="H397" s="2022">
        <v>0</v>
      </c>
      <c r="I397" s="2011">
        <f t="shared" si="10"/>
        <v>0</v>
      </c>
      <c r="J397" s="2022"/>
      <c r="K397" s="2463"/>
    </row>
    <row r="398" spans="1:85" x14ac:dyDescent="0.2">
      <c r="A398" s="2020" t="s">
        <v>5547</v>
      </c>
      <c r="B398" s="2020" t="s">
        <v>6035</v>
      </c>
      <c r="C398" s="2022">
        <v>4885.22</v>
      </c>
      <c r="D398" s="2022">
        <v>0</v>
      </c>
      <c r="E398" s="2022">
        <v>0</v>
      </c>
      <c r="F398" s="2022">
        <v>0</v>
      </c>
      <c r="G398" s="2022">
        <v>0</v>
      </c>
      <c r="H398" s="2022">
        <v>0</v>
      </c>
      <c r="I398" s="2011">
        <f t="shared" si="10"/>
        <v>0</v>
      </c>
      <c r="J398" s="2022"/>
      <c r="K398" s="2463"/>
    </row>
    <row r="399" spans="1:85" x14ac:dyDescent="0.2">
      <c r="A399" s="2020" t="s">
        <v>5548</v>
      </c>
      <c r="B399" s="2020" t="s">
        <v>6036</v>
      </c>
      <c r="C399" s="2022">
        <v>4671.37</v>
      </c>
      <c r="D399" s="2022">
        <v>0</v>
      </c>
      <c r="E399" s="2022">
        <v>0</v>
      </c>
      <c r="F399" s="2022">
        <v>0</v>
      </c>
      <c r="G399" s="2022">
        <v>0</v>
      </c>
      <c r="H399" s="2022">
        <v>0</v>
      </c>
      <c r="I399" s="2011">
        <f t="shared" si="10"/>
        <v>0</v>
      </c>
      <c r="J399" s="2022"/>
      <c r="K399" s="2463"/>
    </row>
    <row r="400" spans="1:85" x14ac:dyDescent="0.2">
      <c r="A400" s="2020" t="s">
        <v>5549</v>
      </c>
      <c r="B400" s="2020" t="s">
        <v>6207</v>
      </c>
      <c r="C400" s="2022">
        <v>-50000</v>
      </c>
      <c r="D400" s="2022">
        <v>0</v>
      </c>
      <c r="E400" s="2022">
        <f>CG400</f>
        <v>727790</v>
      </c>
      <c r="F400" s="2022">
        <f>-157143+AO400</f>
        <v>-884933</v>
      </c>
      <c r="G400" s="2022">
        <v>0</v>
      </c>
      <c r="H400" s="2022">
        <v>-157143</v>
      </c>
      <c r="I400" s="2011">
        <f t="shared" si="10"/>
        <v>-157143</v>
      </c>
      <c r="J400" s="2022"/>
      <c r="K400" s="2463"/>
      <c r="AO400" s="2022">
        <v>-727790</v>
      </c>
      <c r="CG400" s="2728">
        <v>727790</v>
      </c>
    </row>
    <row r="401" spans="1:89" x14ac:dyDescent="0.2">
      <c r="A401" s="2020" t="s">
        <v>5550</v>
      </c>
      <c r="B401" s="2020" t="s">
        <v>6037</v>
      </c>
      <c r="C401" s="2022">
        <v>-1113936.5</v>
      </c>
      <c r="D401" s="2022">
        <v>0</v>
      </c>
      <c r="E401" s="2022">
        <v>0</v>
      </c>
      <c r="F401" s="2022">
        <v>0</v>
      </c>
      <c r="G401" s="2022">
        <v>0</v>
      </c>
      <c r="H401" s="2022">
        <v>0</v>
      </c>
      <c r="I401" s="2011">
        <f t="shared" si="10"/>
        <v>0</v>
      </c>
      <c r="J401" s="2022"/>
      <c r="K401" s="2463"/>
    </row>
    <row r="402" spans="1:89" x14ac:dyDescent="0.2">
      <c r="A402" s="2020" t="s">
        <v>5565</v>
      </c>
      <c r="B402" s="2020" t="s">
        <v>6003</v>
      </c>
      <c r="C402" s="2022">
        <v>118961.97</v>
      </c>
      <c r="D402" s="2022">
        <v>0</v>
      </c>
      <c r="E402" s="2022">
        <v>118961.97</v>
      </c>
      <c r="F402" s="2022">
        <v>0</v>
      </c>
      <c r="G402" s="2022">
        <v>118961.97</v>
      </c>
      <c r="H402" s="2022">
        <v>0</v>
      </c>
      <c r="I402" s="2011">
        <f t="shared" si="10"/>
        <v>118961.97</v>
      </c>
      <c r="J402" s="2022"/>
      <c r="K402" s="2463"/>
    </row>
    <row r="403" spans="1:89" x14ac:dyDescent="0.2">
      <c r="A403" s="2020" t="s">
        <v>5566</v>
      </c>
      <c r="B403" s="2020" t="s">
        <v>6004</v>
      </c>
      <c r="C403" s="2022">
        <v>9786.93</v>
      </c>
      <c r="D403" s="2022">
        <v>0</v>
      </c>
      <c r="E403" s="2022">
        <v>9513.09</v>
      </c>
      <c r="F403" s="2022">
        <v>0</v>
      </c>
      <c r="G403" s="2022">
        <v>9513.09</v>
      </c>
      <c r="H403" s="2022">
        <v>0</v>
      </c>
      <c r="I403" s="2011">
        <f t="shared" si="10"/>
        <v>9513.09</v>
      </c>
      <c r="J403" s="2022"/>
      <c r="K403" s="2463"/>
    </row>
    <row r="404" spans="1:89" x14ac:dyDescent="0.2">
      <c r="A404" s="2020" t="s">
        <v>5567</v>
      </c>
      <c r="B404" s="2020" t="s">
        <v>6007</v>
      </c>
      <c r="C404" s="2022">
        <v>500</v>
      </c>
      <c r="D404" s="2022">
        <v>0</v>
      </c>
      <c r="E404" s="2022">
        <v>1525.69</v>
      </c>
      <c r="F404" s="2022">
        <v>0</v>
      </c>
      <c r="G404" s="2022">
        <v>1525.69</v>
      </c>
      <c r="H404" s="2022">
        <v>0</v>
      </c>
      <c r="I404" s="2011">
        <f t="shared" si="10"/>
        <v>1525.69</v>
      </c>
      <c r="J404" s="2022"/>
      <c r="K404" s="2463"/>
    </row>
    <row r="405" spans="1:89" x14ac:dyDescent="0.2">
      <c r="A405" s="2020" t="s">
        <v>5569</v>
      </c>
      <c r="B405" s="2020" t="s">
        <v>6010</v>
      </c>
      <c r="C405" s="2022">
        <v>98.4</v>
      </c>
      <c r="D405" s="2022">
        <v>0</v>
      </c>
      <c r="E405" s="2022">
        <v>98.4</v>
      </c>
      <c r="F405" s="2022">
        <v>0</v>
      </c>
      <c r="G405" s="2022">
        <v>98.4</v>
      </c>
      <c r="H405" s="2022">
        <v>0</v>
      </c>
      <c r="I405" s="2011">
        <f t="shared" si="10"/>
        <v>98.4</v>
      </c>
      <c r="J405" s="2022"/>
      <c r="K405" s="2463"/>
    </row>
    <row r="406" spans="1:89" x14ac:dyDescent="0.2">
      <c r="A406" s="2020" t="s">
        <v>5570</v>
      </c>
      <c r="B406" s="2020" t="s">
        <v>6011</v>
      </c>
      <c r="C406" s="2022">
        <v>1417.54</v>
      </c>
      <c r="D406" s="2022">
        <v>0</v>
      </c>
      <c r="E406" s="2022">
        <v>1255.57</v>
      </c>
      <c r="F406" s="2022">
        <v>0</v>
      </c>
      <c r="G406" s="2022">
        <v>1255.57</v>
      </c>
      <c r="H406" s="2022">
        <v>0</v>
      </c>
      <c r="I406" s="2011">
        <f t="shared" si="10"/>
        <v>1255.57</v>
      </c>
      <c r="J406" s="2022"/>
      <c r="K406" s="2463"/>
    </row>
    <row r="407" spans="1:89" x14ac:dyDescent="0.2">
      <c r="A407" s="2020" t="s">
        <v>5573</v>
      </c>
      <c r="B407" s="2020" t="s">
        <v>6013</v>
      </c>
      <c r="C407" s="2022">
        <v>22523.55</v>
      </c>
      <c r="D407" s="2022">
        <v>0</v>
      </c>
      <c r="E407" s="2022">
        <v>22523.55</v>
      </c>
      <c r="F407" s="2022">
        <v>0</v>
      </c>
      <c r="G407" s="2022">
        <v>22523.55</v>
      </c>
      <c r="H407" s="2022">
        <v>0</v>
      </c>
      <c r="I407" s="2011">
        <f t="shared" si="10"/>
        <v>22523.55</v>
      </c>
      <c r="J407" s="2022"/>
      <c r="K407" s="2463"/>
    </row>
    <row r="408" spans="1:89" x14ac:dyDescent="0.2">
      <c r="A408" s="2020" t="s">
        <v>5574</v>
      </c>
      <c r="B408" s="2020" t="s">
        <v>6014</v>
      </c>
      <c r="C408" s="2022">
        <v>1470.1</v>
      </c>
      <c r="D408" s="2022">
        <v>0</v>
      </c>
      <c r="E408" s="2022">
        <v>1300</v>
      </c>
      <c r="F408" s="2022">
        <v>0</v>
      </c>
      <c r="G408" s="2022">
        <v>1300</v>
      </c>
      <c r="H408" s="2022">
        <v>0</v>
      </c>
      <c r="I408" s="2011">
        <f t="shared" si="10"/>
        <v>1300</v>
      </c>
      <c r="J408" s="2022"/>
      <c r="K408" s="2463"/>
    </row>
    <row r="409" spans="1:89" s="2100" customFormat="1" x14ac:dyDescent="0.2">
      <c r="A409" s="1127" t="s">
        <v>5579</v>
      </c>
      <c r="B409" s="1127" t="s">
        <v>6543</v>
      </c>
      <c r="C409" s="2022">
        <v>0</v>
      </c>
      <c r="D409" s="2022">
        <v>0</v>
      </c>
      <c r="E409" s="2022">
        <f>T409</f>
        <v>92250</v>
      </c>
      <c r="F409" s="2022">
        <v>0</v>
      </c>
      <c r="G409" s="2022">
        <v>0</v>
      </c>
      <c r="H409" s="2022">
        <v>0</v>
      </c>
      <c r="I409" s="2011">
        <f t="shared" si="10"/>
        <v>92250</v>
      </c>
      <c r="J409" s="2022"/>
      <c r="K409" s="2463"/>
      <c r="L409" s="2022"/>
      <c r="M409" s="2022"/>
      <c r="N409" s="2022"/>
      <c r="O409" s="2022"/>
      <c r="P409" s="2022"/>
      <c r="Q409" s="2022"/>
      <c r="R409" s="2022"/>
      <c r="S409" s="2022"/>
      <c r="T409" s="2022">
        <v>92250</v>
      </c>
      <c r="U409" s="2022"/>
      <c r="V409" s="2022"/>
      <c r="W409" s="2022"/>
      <c r="X409" s="2022"/>
      <c r="Y409" s="2022"/>
      <c r="Z409" s="2022"/>
      <c r="AA409" s="2022"/>
      <c r="AB409" s="2022"/>
      <c r="AC409" s="2022"/>
      <c r="AD409" s="2022"/>
      <c r="AE409" s="2022"/>
      <c r="AF409" s="2022"/>
      <c r="AG409" s="2022"/>
      <c r="AH409" s="2022"/>
      <c r="AI409" s="2022"/>
      <c r="AJ409" s="2022"/>
      <c r="AK409" s="2022"/>
      <c r="AL409" s="2022"/>
      <c r="AM409" s="2022"/>
      <c r="AN409" s="2022"/>
      <c r="AO409" s="2022"/>
      <c r="AP409" s="2022"/>
      <c r="AQ409" s="2022"/>
      <c r="AR409" s="2022"/>
      <c r="AS409" s="2022"/>
      <c r="AT409" s="2022"/>
      <c r="AU409" s="2022"/>
      <c r="AV409" s="2558"/>
      <c r="AW409" s="2022"/>
      <c r="AX409" s="2022"/>
      <c r="AY409" s="2022"/>
      <c r="AZ409" s="2022"/>
      <c r="BA409" s="2022"/>
      <c r="BB409" s="2022"/>
      <c r="BC409" s="2022"/>
      <c r="BD409" s="2022"/>
      <c r="BE409" s="2022"/>
      <c r="BF409" s="2022"/>
      <c r="BG409" s="2022"/>
      <c r="BH409" s="2022"/>
      <c r="BI409" s="2728"/>
      <c r="BJ409" s="2728"/>
      <c r="BK409" s="2728"/>
      <c r="BL409" s="2728"/>
      <c r="BM409" s="2728"/>
      <c r="BN409" s="2728"/>
      <c r="BO409" s="2728"/>
      <c r="BP409" s="2728"/>
      <c r="BQ409" s="2728"/>
      <c r="BR409" s="2728"/>
      <c r="BS409" s="2632"/>
      <c r="BT409" s="2632"/>
      <c r="BU409" s="2728"/>
      <c r="BV409" s="2728"/>
      <c r="BW409" s="2632"/>
      <c r="BX409" s="2632"/>
      <c r="BY409" s="2632"/>
      <c r="BZ409" s="2632"/>
      <c r="CA409" s="2632"/>
      <c r="CB409" s="2728"/>
      <c r="CC409" s="2632"/>
      <c r="CD409" s="2632"/>
      <c r="CE409" s="2632"/>
      <c r="CF409" s="2632"/>
      <c r="CG409" s="2728"/>
      <c r="CH409" s="2728"/>
      <c r="CI409" s="2632"/>
      <c r="CJ409" s="2632"/>
      <c r="CK409" s="2632"/>
    </row>
    <row r="410" spans="1:89" x14ac:dyDescent="0.2">
      <c r="A410" s="2020" t="s">
        <v>5581</v>
      </c>
      <c r="B410" s="2020" t="s">
        <v>6177</v>
      </c>
      <c r="C410" s="2022">
        <v>31529.7</v>
      </c>
      <c r="D410" s="2022">
        <v>0</v>
      </c>
      <c r="E410" s="2022">
        <v>0</v>
      </c>
      <c r="F410" s="2022">
        <v>0</v>
      </c>
      <c r="G410" s="2022">
        <v>0</v>
      </c>
      <c r="H410" s="2022">
        <v>0</v>
      </c>
      <c r="I410" s="2011">
        <f t="shared" si="10"/>
        <v>0</v>
      </c>
      <c r="J410" s="2022"/>
      <c r="K410" s="2463"/>
    </row>
    <row r="411" spans="1:89" x14ac:dyDescent="0.2">
      <c r="A411" s="2020" t="s">
        <v>5582</v>
      </c>
      <c r="B411" s="2020" t="s">
        <v>6035</v>
      </c>
      <c r="C411" s="2022">
        <v>1300.1600000000001</v>
      </c>
      <c r="D411" s="2022">
        <v>0</v>
      </c>
      <c r="E411" s="2022">
        <v>0</v>
      </c>
      <c r="F411" s="2022">
        <v>0</v>
      </c>
      <c r="G411" s="2022">
        <v>0</v>
      </c>
      <c r="H411" s="2022">
        <v>0</v>
      </c>
      <c r="I411" s="2011">
        <f t="shared" si="10"/>
        <v>0</v>
      </c>
      <c r="J411" s="2022"/>
      <c r="K411" s="2463"/>
    </row>
    <row r="412" spans="1:89" x14ac:dyDescent="0.2">
      <c r="A412" s="2020" t="s">
        <v>5583</v>
      </c>
      <c r="B412" s="2020" t="s">
        <v>6036</v>
      </c>
      <c r="C412" s="2022">
        <v>2059.6799999999998</v>
      </c>
      <c r="D412" s="2022">
        <v>0</v>
      </c>
      <c r="E412" s="2022">
        <v>0</v>
      </c>
      <c r="F412" s="2022">
        <v>0</v>
      </c>
      <c r="G412" s="2022">
        <v>0</v>
      </c>
      <c r="H412" s="2022">
        <v>0</v>
      </c>
      <c r="I412" s="2011">
        <f t="shared" si="10"/>
        <v>0</v>
      </c>
      <c r="J412" s="2022"/>
      <c r="K412" s="2463"/>
    </row>
    <row r="413" spans="1:89" x14ac:dyDescent="0.2">
      <c r="A413" s="2020" t="s">
        <v>5584</v>
      </c>
      <c r="B413" s="2020" t="s">
        <v>6037</v>
      </c>
      <c r="C413" s="2022">
        <v>-185105.96</v>
      </c>
      <c r="D413" s="2022">
        <v>0</v>
      </c>
      <c r="E413" s="2022">
        <v>0</v>
      </c>
      <c r="F413" s="2022">
        <v>0</v>
      </c>
      <c r="G413" s="2022">
        <v>0</v>
      </c>
      <c r="H413" s="2022">
        <v>0</v>
      </c>
      <c r="I413" s="2011">
        <f t="shared" si="10"/>
        <v>0</v>
      </c>
      <c r="J413" s="2022"/>
      <c r="K413" s="2463"/>
    </row>
    <row r="414" spans="1:89" x14ac:dyDescent="0.2">
      <c r="A414" s="2020" t="s">
        <v>5586</v>
      </c>
      <c r="B414" s="2020" t="s">
        <v>6208</v>
      </c>
      <c r="C414" s="2022">
        <v>-4542.07</v>
      </c>
      <c r="D414" s="2022">
        <v>0</v>
      </c>
      <c r="E414" s="2022">
        <v>165.93</v>
      </c>
      <c r="F414" s="2022">
        <v>-1337.2</v>
      </c>
      <c r="G414" s="2022">
        <v>0</v>
      </c>
      <c r="H414" s="2022">
        <v>-1171.27</v>
      </c>
      <c r="I414" s="2011">
        <f t="shared" si="10"/>
        <v>-1171.27</v>
      </c>
      <c r="J414" s="2022"/>
      <c r="K414" s="2463"/>
    </row>
    <row r="415" spans="1:89" x14ac:dyDescent="0.2">
      <c r="A415" s="2020" t="s">
        <v>5587</v>
      </c>
      <c r="B415" s="2020" t="s">
        <v>6209</v>
      </c>
      <c r="C415" s="2022">
        <v>793707.59</v>
      </c>
      <c r="D415" s="2022">
        <v>0</v>
      </c>
      <c r="E415" s="2022">
        <v>772147.63</v>
      </c>
      <c r="F415" s="2022">
        <v>-10954.38</v>
      </c>
      <c r="G415" s="2022">
        <v>761193.25</v>
      </c>
      <c r="H415" s="2022">
        <v>0</v>
      </c>
      <c r="I415" s="2011">
        <f t="shared" si="10"/>
        <v>761193.25</v>
      </c>
      <c r="J415" s="2022"/>
      <c r="K415" s="2463"/>
    </row>
    <row r="416" spans="1:89" x14ac:dyDescent="0.2">
      <c r="A416" s="2020" t="s">
        <v>5588</v>
      </c>
      <c r="B416" s="2020" t="s">
        <v>6210</v>
      </c>
      <c r="C416" s="2022">
        <v>295540.87</v>
      </c>
      <c r="D416" s="2022">
        <v>0</v>
      </c>
      <c r="E416" s="2022">
        <v>296312.09000000003</v>
      </c>
      <c r="F416" s="2022">
        <v>-4457.9399999999996</v>
      </c>
      <c r="G416" s="2022">
        <v>291854.15000000002</v>
      </c>
      <c r="H416" s="2022">
        <v>0</v>
      </c>
      <c r="I416" s="2011">
        <f t="shared" si="10"/>
        <v>291854.15000000002</v>
      </c>
      <c r="J416" s="2022"/>
      <c r="K416" s="2463"/>
    </row>
    <row r="417" spans="1:11" x14ac:dyDescent="0.2">
      <c r="A417" s="2020" t="s">
        <v>5589</v>
      </c>
      <c r="B417" s="2020" t="s">
        <v>6211</v>
      </c>
      <c r="C417" s="2022">
        <v>72305.08</v>
      </c>
      <c r="D417" s="2022">
        <v>0</v>
      </c>
      <c r="E417" s="2022">
        <v>69184.06</v>
      </c>
      <c r="F417" s="2022">
        <v>0</v>
      </c>
      <c r="G417" s="2022">
        <v>69184.06</v>
      </c>
      <c r="H417" s="2022">
        <v>0</v>
      </c>
      <c r="I417" s="2011">
        <f t="shared" si="10"/>
        <v>69184.06</v>
      </c>
      <c r="J417" s="2022"/>
      <c r="K417" s="2463"/>
    </row>
    <row r="418" spans="1:11" x14ac:dyDescent="0.2">
      <c r="A418" s="2020" t="s">
        <v>5590</v>
      </c>
      <c r="B418" s="2020" t="s">
        <v>6212</v>
      </c>
      <c r="C418" s="2022">
        <v>24604.66</v>
      </c>
      <c r="D418" s="2022">
        <v>0</v>
      </c>
      <c r="E418" s="2022">
        <v>25045.45</v>
      </c>
      <c r="F418" s="2022">
        <v>0</v>
      </c>
      <c r="G418" s="2022">
        <v>25045.45</v>
      </c>
      <c r="H418" s="2022">
        <v>0</v>
      </c>
      <c r="I418" s="2011">
        <f t="shared" si="10"/>
        <v>25045.45</v>
      </c>
      <c r="J418" s="2022"/>
      <c r="K418" s="2463"/>
    </row>
    <row r="419" spans="1:11" x14ac:dyDescent="0.2">
      <c r="A419" s="2020" t="s">
        <v>5592</v>
      </c>
      <c r="B419" s="2020" t="s">
        <v>6213</v>
      </c>
      <c r="C419" s="2022">
        <v>5367.12</v>
      </c>
      <c r="D419" s="2022">
        <v>0</v>
      </c>
      <c r="E419" s="2022">
        <v>5367.12</v>
      </c>
      <c r="F419" s="2022">
        <v>0</v>
      </c>
      <c r="G419" s="2022">
        <v>5367.12</v>
      </c>
      <c r="H419" s="2022">
        <v>0</v>
      </c>
      <c r="I419" s="2011">
        <f t="shared" si="10"/>
        <v>5367.12</v>
      </c>
      <c r="J419" s="2022"/>
      <c r="K419" s="2463"/>
    </row>
    <row r="420" spans="1:11" x14ac:dyDescent="0.2">
      <c r="A420" s="2020" t="s">
        <v>5594</v>
      </c>
      <c r="B420" s="2020" t="s">
        <v>6214</v>
      </c>
      <c r="C420" s="2022">
        <v>100080.04</v>
      </c>
      <c r="D420" s="2022">
        <v>0</v>
      </c>
      <c r="E420" s="2022">
        <v>69656.789999999994</v>
      </c>
      <c r="F420" s="2022">
        <v>0</v>
      </c>
      <c r="G420" s="2022">
        <v>69656.789999999994</v>
      </c>
      <c r="H420" s="2022">
        <v>0</v>
      </c>
      <c r="I420" s="2011">
        <f t="shared" si="10"/>
        <v>69656.789999999994</v>
      </c>
      <c r="J420" s="2022"/>
      <c r="K420" s="2463"/>
    </row>
    <row r="421" spans="1:11" x14ac:dyDescent="0.2">
      <c r="A421" s="2020" t="s">
        <v>5595</v>
      </c>
      <c r="B421" s="2020" t="s">
        <v>6215</v>
      </c>
      <c r="C421" s="2022">
        <v>3841.53</v>
      </c>
      <c r="D421" s="2022">
        <v>0</v>
      </c>
      <c r="E421" s="2022">
        <v>833.99</v>
      </c>
      <c r="F421" s="2022">
        <v>0</v>
      </c>
      <c r="G421" s="2022">
        <v>833.99</v>
      </c>
      <c r="H421" s="2022">
        <v>0</v>
      </c>
      <c r="I421" s="2011">
        <f t="shared" si="10"/>
        <v>833.99</v>
      </c>
      <c r="J421" s="2022"/>
      <c r="K421" s="2463"/>
    </row>
    <row r="422" spans="1:11" x14ac:dyDescent="0.2">
      <c r="A422" s="2020" t="s">
        <v>5596</v>
      </c>
      <c r="B422" s="2020" t="s">
        <v>6216</v>
      </c>
      <c r="C422" s="2022">
        <v>6182.35</v>
      </c>
      <c r="D422" s="2022">
        <v>0</v>
      </c>
      <c r="E422" s="2022">
        <v>6182.35</v>
      </c>
      <c r="F422" s="2022">
        <v>0</v>
      </c>
      <c r="G422" s="2022">
        <v>6182.35</v>
      </c>
      <c r="H422" s="2022">
        <v>0</v>
      </c>
      <c r="I422" s="2011">
        <f t="shared" si="10"/>
        <v>6182.35</v>
      </c>
      <c r="J422" s="2022"/>
      <c r="K422" s="2463"/>
    </row>
    <row r="423" spans="1:11" x14ac:dyDescent="0.2">
      <c r="A423" s="2020" t="s">
        <v>5599</v>
      </c>
      <c r="B423" s="2020" t="s">
        <v>6217</v>
      </c>
      <c r="C423" s="2022">
        <v>561.70000000000005</v>
      </c>
      <c r="D423" s="2022">
        <v>0</v>
      </c>
      <c r="E423" s="2022">
        <v>533</v>
      </c>
      <c r="F423" s="2022">
        <v>0</v>
      </c>
      <c r="G423" s="2022">
        <v>533</v>
      </c>
      <c r="H423" s="2022">
        <v>0</v>
      </c>
      <c r="I423" s="2011">
        <f t="shared" si="10"/>
        <v>533</v>
      </c>
      <c r="J423" s="2022"/>
      <c r="K423" s="2463"/>
    </row>
    <row r="424" spans="1:11" x14ac:dyDescent="0.2">
      <c r="A424" s="2020" t="s">
        <v>5600</v>
      </c>
      <c r="B424" s="2020" t="s">
        <v>6218</v>
      </c>
      <c r="C424" s="2022">
        <v>225.5</v>
      </c>
      <c r="D424" s="2022">
        <v>0</v>
      </c>
      <c r="E424" s="2022">
        <v>221.4</v>
      </c>
      <c r="F424" s="2022">
        <v>0</v>
      </c>
      <c r="G424" s="2022">
        <v>221.4</v>
      </c>
      <c r="H424" s="2022">
        <v>0</v>
      </c>
      <c r="I424" s="2011">
        <f t="shared" si="10"/>
        <v>221.4</v>
      </c>
      <c r="J424" s="2022"/>
      <c r="K424" s="2463"/>
    </row>
    <row r="425" spans="1:11" x14ac:dyDescent="0.2">
      <c r="A425" s="2020" t="s">
        <v>5601</v>
      </c>
      <c r="B425" s="2020" t="s">
        <v>6219</v>
      </c>
      <c r="C425" s="2022">
        <v>10663.63</v>
      </c>
      <c r="D425" s="2022">
        <v>0</v>
      </c>
      <c r="E425" s="2022">
        <v>9076.34</v>
      </c>
      <c r="F425" s="2022">
        <v>0</v>
      </c>
      <c r="G425" s="2022">
        <v>9076.34</v>
      </c>
      <c r="H425" s="2022">
        <v>0</v>
      </c>
      <c r="I425" s="2011">
        <f t="shared" si="10"/>
        <v>9076.34</v>
      </c>
      <c r="J425" s="2022"/>
      <c r="K425" s="2463"/>
    </row>
    <row r="426" spans="1:11" x14ac:dyDescent="0.2">
      <c r="A426" s="2020" t="s">
        <v>5602</v>
      </c>
      <c r="B426" s="2020" t="s">
        <v>6220</v>
      </c>
      <c r="C426" s="2022">
        <v>4953.75</v>
      </c>
      <c r="D426" s="2022">
        <v>0</v>
      </c>
      <c r="E426" s="2022">
        <v>3002.56</v>
      </c>
      <c r="F426" s="2022">
        <v>0</v>
      </c>
      <c r="G426" s="2022">
        <v>3002.56</v>
      </c>
      <c r="H426" s="2022">
        <v>0</v>
      </c>
      <c r="I426" s="2011">
        <f t="shared" si="10"/>
        <v>3002.56</v>
      </c>
      <c r="J426" s="2022"/>
      <c r="K426" s="2463"/>
    </row>
    <row r="427" spans="1:11" x14ac:dyDescent="0.2">
      <c r="A427" s="2020" t="s">
        <v>5605</v>
      </c>
      <c r="B427" s="2020" t="s">
        <v>6221</v>
      </c>
      <c r="C427" s="2022">
        <v>51606</v>
      </c>
      <c r="D427" s="2022">
        <v>0</v>
      </c>
      <c r="E427" s="2022">
        <v>52092</v>
      </c>
      <c r="F427" s="2022">
        <v>0</v>
      </c>
      <c r="G427" s="2022">
        <v>52092</v>
      </c>
      <c r="H427" s="2022">
        <v>0</v>
      </c>
      <c r="I427" s="2011">
        <f t="shared" si="10"/>
        <v>52092</v>
      </c>
      <c r="J427" s="2022"/>
      <c r="K427" s="2463"/>
    </row>
    <row r="428" spans="1:11" x14ac:dyDescent="0.2">
      <c r="A428" s="2020" t="s">
        <v>5606</v>
      </c>
      <c r="B428" s="2020" t="s">
        <v>6222</v>
      </c>
      <c r="C428" s="2022">
        <v>7930.8</v>
      </c>
      <c r="D428" s="2022">
        <v>0</v>
      </c>
      <c r="E428" s="2022">
        <v>7930.8</v>
      </c>
      <c r="F428" s="2022">
        <v>0</v>
      </c>
      <c r="G428" s="2022">
        <v>7930.8</v>
      </c>
      <c r="H428" s="2022">
        <v>0</v>
      </c>
      <c r="I428" s="2011">
        <f t="shared" si="10"/>
        <v>7930.8</v>
      </c>
      <c r="J428" s="2022"/>
      <c r="K428" s="2463"/>
    </row>
    <row r="429" spans="1:11" x14ac:dyDescent="0.2">
      <c r="A429" s="2020" t="s">
        <v>5607</v>
      </c>
      <c r="B429" s="2020" t="s">
        <v>6223</v>
      </c>
      <c r="C429" s="2022">
        <v>141008.57999999999</v>
      </c>
      <c r="D429" s="2022">
        <v>0</v>
      </c>
      <c r="E429" s="2022">
        <v>135306.48000000001</v>
      </c>
      <c r="F429" s="2022">
        <v>0</v>
      </c>
      <c r="G429" s="2022">
        <v>135306.48000000001</v>
      </c>
      <c r="H429" s="2022">
        <v>0</v>
      </c>
      <c r="I429" s="2011">
        <f t="shared" si="10"/>
        <v>135306.48000000001</v>
      </c>
      <c r="J429" s="2022"/>
      <c r="K429" s="2463"/>
    </row>
    <row r="430" spans="1:11" x14ac:dyDescent="0.2">
      <c r="A430" s="2020" t="s">
        <v>5608</v>
      </c>
      <c r="B430" s="2020" t="s">
        <v>6224</v>
      </c>
      <c r="C430" s="2022">
        <v>58347.24</v>
      </c>
      <c r="D430" s="2022">
        <v>0</v>
      </c>
      <c r="E430" s="2022">
        <v>57442.1</v>
      </c>
      <c r="F430" s="2022">
        <v>0</v>
      </c>
      <c r="G430" s="2022">
        <v>57442.1</v>
      </c>
      <c r="H430" s="2022">
        <v>0</v>
      </c>
      <c r="I430" s="2011">
        <f t="shared" si="10"/>
        <v>57442.1</v>
      </c>
      <c r="J430" s="2022"/>
      <c r="K430" s="2463"/>
    </row>
    <row r="431" spans="1:11" x14ac:dyDescent="0.2">
      <c r="A431" s="2020" t="s">
        <v>5609</v>
      </c>
      <c r="B431" s="2020" t="s">
        <v>6225</v>
      </c>
      <c r="C431" s="2022">
        <v>10700.56</v>
      </c>
      <c r="D431" s="2022">
        <v>0</v>
      </c>
      <c r="E431" s="2022">
        <v>8756.4</v>
      </c>
      <c r="F431" s="2022">
        <v>0</v>
      </c>
      <c r="G431" s="2022">
        <v>8756.4</v>
      </c>
      <c r="H431" s="2022">
        <v>0</v>
      </c>
      <c r="I431" s="2011">
        <f t="shared" si="10"/>
        <v>8756.4</v>
      </c>
      <c r="J431" s="2022"/>
      <c r="K431" s="2463"/>
    </row>
    <row r="432" spans="1:11" x14ac:dyDescent="0.2">
      <c r="A432" s="2020" t="s">
        <v>5610</v>
      </c>
      <c r="B432" s="2020" t="s">
        <v>6226</v>
      </c>
      <c r="C432" s="2022">
        <v>5090.82</v>
      </c>
      <c r="D432" s="2022">
        <v>0</v>
      </c>
      <c r="E432" s="2022">
        <v>3229.3</v>
      </c>
      <c r="F432" s="2022">
        <v>0</v>
      </c>
      <c r="G432" s="2022">
        <v>3229.3</v>
      </c>
      <c r="H432" s="2022">
        <v>0</v>
      </c>
      <c r="I432" s="2011">
        <f t="shared" si="10"/>
        <v>3229.3</v>
      </c>
      <c r="J432" s="2022"/>
      <c r="K432" s="2463"/>
    </row>
    <row r="433" spans="1:89" s="2100" customFormat="1" x14ac:dyDescent="0.2">
      <c r="A433" s="2106" t="s">
        <v>5611</v>
      </c>
      <c r="B433" s="2106" t="s">
        <v>7484</v>
      </c>
      <c r="C433" s="2022">
        <v>0</v>
      </c>
      <c r="D433" s="2022">
        <v>0</v>
      </c>
      <c r="E433" s="2022">
        <v>0</v>
      </c>
      <c r="F433" s="2022">
        <f>AY433</f>
        <v>1486936.5</v>
      </c>
      <c r="G433" s="2022"/>
      <c r="H433" s="2022"/>
      <c r="I433" s="2011">
        <f t="shared" si="10"/>
        <v>1486936.5</v>
      </c>
      <c r="J433" s="2022"/>
      <c r="K433" s="2463"/>
      <c r="L433" s="2022"/>
      <c r="M433" s="2022"/>
      <c r="N433" s="2022"/>
      <c r="O433" s="2022"/>
      <c r="P433" s="2022"/>
      <c r="Q433" s="2022"/>
      <c r="R433" s="2022"/>
      <c r="S433" s="2022"/>
      <c r="T433" s="2022"/>
      <c r="U433" s="2022"/>
      <c r="V433" s="2022"/>
      <c r="W433" s="2022"/>
      <c r="X433" s="2022"/>
      <c r="Y433" s="2022"/>
      <c r="Z433" s="2022"/>
      <c r="AA433" s="2022"/>
      <c r="AB433" s="2022"/>
      <c r="AC433" s="2022"/>
      <c r="AD433" s="2022"/>
      <c r="AE433" s="2022"/>
      <c r="AF433" s="2022"/>
      <c r="AG433" s="2022"/>
      <c r="AH433" s="2022"/>
      <c r="AI433" s="2022"/>
      <c r="AJ433" s="2022"/>
      <c r="AK433" s="2022"/>
      <c r="AL433" s="2022"/>
      <c r="AM433" s="2022"/>
      <c r="AN433" s="2022"/>
      <c r="AO433" s="2022"/>
      <c r="AP433" s="2022"/>
      <c r="AQ433" s="2022"/>
      <c r="AR433" s="2022"/>
      <c r="AS433" s="2022"/>
      <c r="AT433" s="2022"/>
      <c r="AU433" s="2022"/>
      <c r="AV433" s="2558"/>
      <c r="AW433" s="2022"/>
      <c r="AX433" s="2022"/>
      <c r="AY433" s="2022">
        <v>1486936.5</v>
      </c>
      <c r="AZ433" s="2022"/>
      <c r="BA433" s="2022"/>
      <c r="BB433" s="2022"/>
      <c r="BC433" s="2022"/>
      <c r="BD433" s="2022"/>
      <c r="BE433" s="2022"/>
      <c r="BF433" s="2022"/>
      <c r="BG433" s="2022"/>
      <c r="BH433" s="2022"/>
      <c r="BI433" s="2728"/>
      <c r="BJ433" s="2728"/>
      <c r="BK433" s="2728"/>
      <c r="BL433" s="2728"/>
      <c r="BM433" s="2728"/>
      <c r="BN433" s="2728"/>
      <c r="BO433" s="2728"/>
      <c r="BP433" s="2728"/>
      <c r="BQ433" s="2728"/>
      <c r="BR433" s="2728"/>
      <c r="BS433" s="2632"/>
      <c r="BT433" s="2632"/>
      <c r="BU433" s="2728"/>
      <c r="BV433" s="2728"/>
      <c r="BW433" s="2632"/>
      <c r="BX433" s="2632"/>
      <c r="BY433" s="2632"/>
      <c r="BZ433" s="2632"/>
      <c r="CA433" s="2632"/>
      <c r="CB433" s="2728"/>
      <c r="CC433" s="2632"/>
      <c r="CD433" s="2632"/>
      <c r="CE433" s="2632"/>
      <c r="CF433" s="2632"/>
      <c r="CG433" s="2728"/>
      <c r="CH433" s="2728"/>
      <c r="CI433" s="2632"/>
      <c r="CJ433" s="2632"/>
      <c r="CK433" s="2632"/>
    </row>
    <row r="434" spans="1:89" x14ac:dyDescent="0.2">
      <c r="A434" s="2020" t="s">
        <v>5617</v>
      </c>
      <c r="B434" s="2020" t="s">
        <v>6227</v>
      </c>
      <c r="C434" s="2022">
        <v>50000</v>
      </c>
      <c r="D434" s="2022">
        <v>0</v>
      </c>
      <c r="E434" s="2022">
        <v>25014.75</v>
      </c>
      <c r="F434" s="2022">
        <v>0</v>
      </c>
      <c r="G434" s="2022">
        <v>25014.75</v>
      </c>
      <c r="H434" s="2022">
        <v>0</v>
      </c>
      <c r="I434" s="2011">
        <f t="shared" si="10"/>
        <v>25014.75</v>
      </c>
      <c r="J434" s="2022"/>
      <c r="K434" s="2463"/>
    </row>
    <row r="435" spans="1:89" s="2100" customFormat="1" x14ac:dyDescent="0.2">
      <c r="A435" s="2106" t="s">
        <v>5623</v>
      </c>
      <c r="B435" s="2106" t="s">
        <v>6263</v>
      </c>
      <c r="C435" s="2022">
        <v>0</v>
      </c>
      <c r="D435" s="2022">
        <v>0</v>
      </c>
      <c r="E435" s="2022">
        <f>BF435+BV435</f>
        <v>14183362.850000001</v>
      </c>
      <c r="F435" s="2022">
        <v>0</v>
      </c>
      <c r="G435" s="2022"/>
      <c r="H435" s="2022"/>
      <c r="I435" s="2011">
        <f t="shared" si="10"/>
        <v>14183362.850000001</v>
      </c>
      <c r="J435" s="2022"/>
      <c r="K435" s="2463"/>
      <c r="L435" s="2022"/>
      <c r="M435" s="2022"/>
      <c r="N435" s="2022"/>
      <c r="O435" s="2022"/>
      <c r="P435" s="2022"/>
      <c r="Q435" s="2022"/>
      <c r="R435" s="2022"/>
      <c r="S435" s="2022"/>
      <c r="T435" s="2022"/>
      <c r="U435" s="2022"/>
      <c r="V435" s="2022"/>
      <c r="W435" s="2022"/>
      <c r="X435" s="2022"/>
      <c r="Y435" s="2022"/>
      <c r="Z435" s="2022"/>
      <c r="AA435" s="2022"/>
      <c r="AB435" s="2022"/>
      <c r="AC435" s="2022"/>
      <c r="AD435" s="2022"/>
      <c r="AE435" s="2022"/>
      <c r="AF435" s="2022"/>
      <c r="AG435" s="2022"/>
      <c r="AH435" s="2022"/>
      <c r="AI435" s="2022"/>
      <c r="AJ435" s="2022"/>
      <c r="AK435" s="2022"/>
      <c r="AL435" s="2022"/>
      <c r="AM435" s="2022"/>
      <c r="AN435" s="2022"/>
      <c r="AO435" s="2022"/>
      <c r="AP435" s="2022"/>
      <c r="AQ435" s="2022"/>
      <c r="AR435" s="2022"/>
      <c r="AS435" s="2022"/>
      <c r="AT435" s="2022"/>
      <c r="AU435" s="2022"/>
      <c r="AV435" s="2558"/>
      <c r="AW435" s="2022"/>
      <c r="AX435" s="2022"/>
      <c r="AY435" s="2022"/>
      <c r="AZ435" s="2022"/>
      <c r="BA435" s="2022"/>
      <c r="BB435" s="2022"/>
      <c r="BC435" s="2022"/>
      <c r="BD435" s="2022"/>
      <c r="BE435" s="2022"/>
      <c r="BF435" s="2022">
        <v>10427164.300000001</v>
      </c>
      <c r="BG435" s="2022"/>
      <c r="BH435" s="2022"/>
      <c r="BI435" s="2728"/>
      <c r="BJ435" s="2728"/>
      <c r="BK435" s="2728"/>
      <c r="BL435" s="2728"/>
      <c r="BM435" s="2728"/>
      <c r="BN435" s="2728"/>
      <c r="BO435" s="2728"/>
      <c r="BP435" s="2728"/>
      <c r="BQ435" s="2728"/>
      <c r="BR435" s="2728"/>
      <c r="BS435" s="2632"/>
      <c r="BT435" s="2632"/>
      <c r="BU435" s="2728"/>
      <c r="BV435" s="2728">
        <v>3756198.55</v>
      </c>
      <c r="BW435" s="2632"/>
      <c r="BX435" s="2632"/>
      <c r="BY435" s="2632"/>
      <c r="BZ435" s="2632"/>
      <c r="CA435" s="2632"/>
      <c r="CB435" s="2728"/>
      <c r="CC435" s="2632"/>
      <c r="CD435" s="2632"/>
      <c r="CE435" s="2632"/>
      <c r="CF435" s="2632"/>
      <c r="CG435" s="2728"/>
      <c r="CH435" s="2728"/>
      <c r="CI435" s="2632"/>
      <c r="CJ435" s="2632"/>
      <c r="CK435" s="2632"/>
    </row>
    <row r="436" spans="1:89" x14ac:dyDescent="0.2">
      <c r="A436" s="2020" t="s">
        <v>5626</v>
      </c>
      <c r="B436" s="2020" t="s">
        <v>6228</v>
      </c>
      <c r="C436" s="2022">
        <v>8689.59</v>
      </c>
      <c r="D436" s="2022">
        <v>0</v>
      </c>
      <c r="E436" s="2022">
        <v>2314.9699999999998</v>
      </c>
      <c r="F436" s="2022">
        <v>-286.99</v>
      </c>
      <c r="G436" s="2022">
        <v>2027.98</v>
      </c>
      <c r="H436" s="2022">
        <v>0</v>
      </c>
      <c r="I436" s="2011">
        <f t="shared" si="10"/>
        <v>2027.9799999999998</v>
      </c>
      <c r="J436" s="2022"/>
      <c r="K436" s="2463"/>
    </row>
    <row r="437" spans="1:89" x14ac:dyDescent="0.2">
      <c r="A437" s="2020" t="s">
        <v>5627</v>
      </c>
      <c r="B437" s="2020" t="s">
        <v>6229</v>
      </c>
      <c r="C437" s="2022">
        <v>14875.65</v>
      </c>
      <c r="D437" s="2022">
        <v>0</v>
      </c>
      <c r="E437" s="2022">
        <v>4360.7700000000004</v>
      </c>
      <c r="F437" s="2022">
        <v>0</v>
      </c>
      <c r="G437" s="2022">
        <v>4360.7700000000004</v>
      </c>
      <c r="H437" s="2022">
        <v>0</v>
      </c>
      <c r="I437" s="2011">
        <f t="shared" si="10"/>
        <v>4360.7700000000004</v>
      </c>
      <c r="J437" s="2022"/>
      <c r="K437" s="2463"/>
    </row>
    <row r="438" spans="1:89" x14ac:dyDescent="0.2">
      <c r="A438" s="2020" t="s">
        <v>5629</v>
      </c>
      <c r="B438" s="2020" t="s">
        <v>6230</v>
      </c>
      <c r="C438" s="2022">
        <v>1273.6600000000001</v>
      </c>
      <c r="D438" s="2022">
        <v>0</v>
      </c>
      <c r="E438" s="2022">
        <v>1273.6600000000001</v>
      </c>
      <c r="F438" s="2022">
        <v>0</v>
      </c>
      <c r="G438" s="2022">
        <v>1273.6600000000001</v>
      </c>
      <c r="H438" s="2022">
        <v>0</v>
      </c>
      <c r="I438" s="2011">
        <f t="shared" si="10"/>
        <v>1273.6600000000001</v>
      </c>
      <c r="J438" s="2022"/>
      <c r="K438" s="2463"/>
    </row>
    <row r="439" spans="1:89" x14ac:dyDescent="0.2">
      <c r="A439" s="2020" t="s">
        <v>5630</v>
      </c>
      <c r="B439" s="2020" t="s">
        <v>5171</v>
      </c>
      <c r="C439" s="2022">
        <v>0</v>
      </c>
      <c r="D439" s="2022">
        <v>0</v>
      </c>
      <c r="E439" s="2022">
        <v>1913.36</v>
      </c>
      <c r="F439" s="2022">
        <v>0</v>
      </c>
      <c r="G439" s="2022">
        <v>1913.36</v>
      </c>
      <c r="H439" s="2022">
        <v>0</v>
      </c>
      <c r="I439" s="2011">
        <f t="shared" si="10"/>
        <v>1913.36</v>
      </c>
      <c r="J439" s="2022"/>
      <c r="K439" s="2463"/>
    </row>
    <row r="440" spans="1:89" x14ac:dyDescent="0.2">
      <c r="A440" s="2020" t="s">
        <v>5631</v>
      </c>
      <c r="B440" s="2020" t="s">
        <v>6094</v>
      </c>
      <c r="C440" s="2022">
        <v>4004</v>
      </c>
      <c r="D440" s="2022">
        <v>0</v>
      </c>
      <c r="E440" s="2022">
        <v>0</v>
      </c>
      <c r="F440" s="2022">
        <v>0</v>
      </c>
      <c r="G440" s="2022">
        <v>0</v>
      </c>
      <c r="H440" s="2022">
        <v>0</v>
      </c>
      <c r="I440" s="2011">
        <f t="shared" si="10"/>
        <v>0</v>
      </c>
      <c r="J440" s="2022"/>
      <c r="K440" s="2463"/>
    </row>
    <row r="441" spans="1:89" x14ac:dyDescent="0.2">
      <c r="A441" s="2020" t="s">
        <v>5633</v>
      </c>
      <c r="B441" s="2020" t="s">
        <v>6231</v>
      </c>
      <c r="C441" s="2022">
        <v>45841.58</v>
      </c>
      <c r="D441" s="2022">
        <v>0</v>
      </c>
      <c r="E441" s="2022">
        <v>0</v>
      </c>
      <c r="F441" s="2022">
        <v>0</v>
      </c>
      <c r="G441" s="2022">
        <v>0</v>
      </c>
      <c r="H441" s="2022">
        <v>0</v>
      </c>
      <c r="I441" s="2011">
        <f t="shared" si="10"/>
        <v>0</v>
      </c>
      <c r="J441" s="2022"/>
      <c r="K441" s="2463"/>
    </row>
    <row r="442" spans="1:89" x14ac:dyDescent="0.2">
      <c r="A442" s="2020" t="s">
        <v>5634</v>
      </c>
      <c r="B442" s="2020" t="s">
        <v>6232</v>
      </c>
      <c r="C442" s="2022">
        <v>12162.55</v>
      </c>
      <c r="D442" s="2022">
        <v>0</v>
      </c>
      <c r="E442" s="2022">
        <v>0</v>
      </c>
      <c r="F442" s="2022">
        <v>0</v>
      </c>
      <c r="G442" s="2022">
        <v>0</v>
      </c>
      <c r="H442" s="2022">
        <v>0</v>
      </c>
      <c r="I442" s="2011">
        <f t="shared" si="10"/>
        <v>0</v>
      </c>
      <c r="J442" s="2022"/>
      <c r="K442" s="2463"/>
    </row>
    <row r="443" spans="1:89" x14ac:dyDescent="0.2">
      <c r="A443" s="2020" t="s">
        <v>5635</v>
      </c>
      <c r="B443" s="2020" t="s">
        <v>6036</v>
      </c>
      <c r="C443" s="2022">
        <v>6756.92</v>
      </c>
      <c r="D443" s="2022">
        <v>0</v>
      </c>
      <c r="E443" s="2022">
        <v>0</v>
      </c>
      <c r="F443" s="2022">
        <v>0</v>
      </c>
      <c r="G443" s="2022">
        <v>0</v>
      </c>
      <c r="H443" s="2022">
        <v>0</v>
      </c>
      <c r="I443" s="2011">
        <f t="shared" si="10"/>
        <v>0</v>
      </c>
      <c r="J443" s="2022"/>
      <c r="K443" s="2463"/>
    </row>
    <row r="444" spans="1:89" x14ac:dyDescent="0.2">
      <c r="A444" s="2020" t="s">
        <v>5636</v>
      </c>
      <c r="B444" s="2020" t="s">
        <v>6036</v>
      </c>
      <c r="C444" s="2022">
        <v>4901.62</v>
      </c>
      <c r="D444" s="2022">
        <v>0</v>
      </c>
      <c r="E444" s="2022">
        <v>0</v>
      </c>
      <c r="F444" s="2022">
        <v>0</v>
      </c>
      <c r="G444" s="2022">
        <v>0</v>
      </c>
      <c r="H444" s="2022">
        <v>0</v>
      </c>
      <c r="I444" s="2011">
        <f t="shared" si="10"/>
        <v>0</v>
      </c>
      <c r="J444" s="2022"/>
      <c r="K444" s="2463"/>
    </row>
    <row r="445" spans="1:89" x14ac:dyDescent="0.2">
      <c r="A445" s="2020" t="s">
        <v>5638</v>
      </c>
      <c r="B445" s="2020" t="s">
        <v>6233</v>
      </c>
      <c r="C445" s="2022">
        <v>-1702.17</v>
      </c>
      <c r="D445" s="2022">
        <v>0</v>
      </c>
      <c r="E445" s="2022">
        <v>349.11</v>
      </c>
      <c r="F445" s="2022">
        <v>-2842.5</v>
      </c>
      <c r="G445" s="2022">
        <v>0</v>
      </c>
      <c r="H445" s="2022">
        <v>-2493.39</v>
      </c>
      <c r="I445" s="2011">
        <f t="shared" si="10"/>
        <v>-2493.39</v>
      </c>
      <c r="J445" s="2022"/>
      <c r="K445" s="2463"/>
    </row>
    <row r="446" spans="1:89" x14ac:dyDescent="0.2">
      <c r="A446" s="2020" t="s">
        <v>5640</v>
      </c>
      <c r="B446" s="2020" t="s">
        <v>5639</v>
      </c>
      <c r="C446" s="2022">
        <v>-3152.91</v>
      </c>
      <c r="D446" s="2022">
        <v>0</v>
      </c>
      <c r="E446" s="2022">
        <v>0</v>
      </c>
      <c r="F446" s="2022">
        <v>0</v>
      </c>
      <c r="G446" s="2022">
        <v>0</v>
      </c>
      <c r="H446" s="2022">
        <v>0</v>
      </c>
      <c r="I446" s="2011">
        <f t="shared" si="10"/>
        <v>0</v>
      </c>
      <c r="J446" s="2022"/>
      <c r="K446" s="2463"/>
    </row>
    <row r="447" spans="1:89" x14ac:dyDescent="0.2">
      <c r="A447" s="2020" t="s">
        <v>5641</v>
      </c>
      <c r="B447" s="2020" t="s">
        <v>6234</v>
      </c>
      <c r="C447" s="2022">
        <v>-1262335.96</v>
      </c>
      <c r="D447" s="2022">
        <v>0</v>
      </c>
      <c r="E447" s="2022">
        <v>0</v>
      </c>
      <c r="F447" s="2022">
        <v>0</v>
      </c>
      <c r="G447" s="2022">
        <v>0</v>
      </c>
      <c r="H447" s="2022">
        <v>0</v>
      </c>
      <c r="I447" s="2011">
        <f t="shared" si="10"/>
        <v>0</v>
      </c>
      <c r="J447" s="2022"/>
      <c r="K447" s="2463"/>
    </row>
    <row r="448" spans="1:89" x14ac:dyDescent="0.2">
      <c r="A448" s="2020" t="s">
        <v>5642</v>
      </c>
      <c r="B448" s="2020" t="s">
        <v>6235</v>
      </c>
      <c r="C448" s="2022">
        <v>-474032.35</v>
      </c>
      <c r="D448" s="2022">
        <v>0</v>
      </c>
      <c r="E448" s="2022">
        <v>0</v>
      </c>
      <c r="F448" s="2022">
        <v>0</v>
      </c>
      <c r="G448" s="2022">
        <v>0</v>
      </c>
      <c r="H448" s="2022">
        <v>0</v>
      </c>
      <c r="I448" s="2011">
        <f t="shared" si="10"/>
        <v>0</v>
      </c>
      <c r="J448" s="2022"/>
      <c r="K448" s="2463"/>
    </row>
    <row r="449" spans="1:31" x14ac:dyDescent="0.2">
      <c r="A449" s="2020" t="s">
        <v>5662</v>
      </c>
      <c r="B449" s="2020" t="s">
        <v>6003</v>
      </c>
      <c r="C449" s="2022">
        <v>4029160.26</v>
      </c>
      <c r="D449" s="2022">
        <v>0</v>
      </c>
      <c r="E449" s="2022">
        <v>4101804.41</v>
      </c>
      <c r="F449" s="2022">
        <v>-38261.040000000001</v>
      </c>
      <c r="G449" s="2022">
        <v>4063543.37</v>
      </c>
      <c r="H449" s="2022">
        <v>0</v>
      </c>
      <c r="I449" s="2011">
        <f t="shared" si="10"/>
        <v>4063543.37</v>
      </c>
      <c r="J449" s="2022"/>
      <c r="K449" s="2463"/>
    </row>
    <row r="450" spans="1:31" x14ac:dyDescent="0.2">
      <c r="A450" s="2020" t="s">
        <v>5663</v>
      </c>
      <c r="B450" s="2020" t="s">
        <v>6004</v>
      </c>
      <c r="C450" s="2022">
        <v>327826.92</v>
      </c>
      <c r="D450" s="2022">
        <v>0</v>
      </c>
      <c r="E450" s="2022">
        <v>336735.39</v>
      </c>
      <c r="F450" s="2022">
        <v>0</v>
      </c>
      <c r="G450" s="2022">
        <v>336735.39</v>
      </c>
      <c r="H450" s="2022">
        <v>0</v>
      </c>
      <c r="I450" s="2011">
        <f t="shared" si="10"/>
        <v>336735.39</v>
      </c>
      <c r="J450" s="2022"/>
      <c r="K450" s="2463"/>
    </row>
    <row r="451" spans="1:31" x14ac:dyDescent="0.2">
      <c r="A451" s="2020" t="s">
        <v>5664</v>
      </c>
      <c r="B451" s="2020" t="s">
        <v>6005</v>
      </c>
      <c r="C451" s="2022">
        <v>1000</v>
      </c>
      <c r="D451" s="2022">
        <v>0</v>
      </c>
      <c r="E451" s="2022">
        <v>1000</v>
      </c>
      <c r="F451" s="2022">
        <v>0</v>
      </c>
      <c r="G451" s="2022">
        <v>1000</v>
      </c>
      <c r="H451" s="2022">
        <v>0</v>
      </c>
      <c r="I451" s="2011">
        <f t="shared" ref="I451:I514" si="11">SUM(E451:F451)</f>
        <v>1000</v>
      </c>
      <c r="J451" s="2022"/>
      <c r="K451" s="2463"/>
    </row>
    <row r="452" spans="1:31" x14ac:dyDescent="0.2">
      <c r="A452" s="2020" t="s">
        <v>5665</v>
      </c>
      <c r="B452" s="2020" t="s">
        <v>6236</v>
      </c>
      <c r="C452" s="2022">
        <v>16354.51</v>
      </c>
      <c r="D452" s="2022">
        <v>0</v>
      </c>
      <c r="E452" s="2022">
        <f>16345.51+Z452</f>
        <v>30631.510000000002</v>
      </c>
      <c r="F452" s="2022">
        <v>0</v>
      </c>
      <c r="G452" s="2022">
        <v>16345.51</v>
      </c>
      <c r="H452" s="2022">
        <v>0</v>
      </c>
      <c r="I452" s="2011">
        <f t="shared" si="11"/>
        <v>30631.510000000002</v>
      </c>
      <c r="J452" s="2022"/>
      <c r="K452" s="2463"/>
      <c r="Z452" s="2022">
        <v>14286</v>
      </c>
    </row>
    <row r="453" spans="1:31" x14ac:dyDescent="0.2">
      <c r="A453" s="2020" t="s">
        <v>5667</v>
      </c>
      <c r="B453" s="2020" t="s">
        <v>6007</v>
      </c>
      <c r="C453" s="2022">
        <v>747701.48</v>
      </c>
      <c r="D453" s="2022">
        <v>0</v>
      </c>
      <c r="E453" s="2022">
        <v>787881.85</v>
      </c>
      <c r="F453" s="2022">
        <v>0</v>
      </c>
      <c r="G453" s="2022">
        <v>787881.85</v>
      </c>
      <c r="H453" s="2022">
        <v>0</v>
      </c>
      <c r="I453" s="2011">
        <f t="shared" si="11"/>
        <v>787881.85</v>
      </c>
      <c r="J453" s="2022"/>
      <c r="K453" s="2463"/>
    </row>
    <row r="454" spans="1:31" x14ac:dyDescent="0.2">
      <c r="A454" s="2020" t="s">
        <v>5668</v>
      </c>
      <c r="B454" s="2020" t="s">
        <v>6008</v>
      </c>
      <c r="C454" s="2022">
        <v>97741.95</v>
      </c>
      <c r="D454" s="2022">
        <v>0</v>
      </c>
      <c r="E454" s="2022">
        <v>97741.95</v>
      </c>
      <c r="F454" s="2022">
        <v>0</v>
      </c>
      <c r="G454" s="2022">
        <v>97741.95</v>
      </c>
      <c r="H454" s="2022">
        <v>0</v>
      </c>
      <c r="I454" s="2011">
        <f t="shared" si="11"/>
        <v>97741.95</v>
      </c>
      <c r="J454" s="2022"/>
      <c r="K454" s="2463"/>
    </row>
    <row r="455" spans="1:31" x14ac:dyDescent="0.2">
      <c r="A455" s="2020" t="s">
        <v>5670</v>
      </c>
      <c r="B455" s="2020" t="s">
        <v>6010</v>
      </c>
      <c r="C455" s="2022">
        <v>2460</v>
      </c>
      <c r="D455" s="2022">
        <v>0</v>
      </c>
      <c r="E455" s="2022">
        <v>2484.6</v>
      </c>
      <c r="F455" s="2022">
        <v>0</v>
      </c>
      <c r="G455" s="2022">
        <v>2484.6</v>
      </c>
      <c r="H455" s="2022">
        <v>0</v>
      </c>
      <c r="I455" s="2011">
        <f t="shared" si="11"/>
        <v>2484.6</v>
      </c>
      <c r="J455" s="2022"/>
      <c r="K455" s="2463"/>
    </row>
    <row r="456" spans="1:31" x14ac:dyDescent="0.2">
      <c r="A456" s="2020" t="s">
        <v>5671</v>
      </c>
      <c r="B456" s="2020" t="s">
        <v>6011</v>
      </c>
      <c r="C456" s="2022">
        <v>54094.7</v>
      </c>
      <c r="D456" s="2022">
        <v>0</v>
      </c>
      <c r="E456" s="2022">
        <v>52271.94</v>
      </c>
      <c r="F456" s="2022">
        <v>0</v>
      </c>
      <c r="G456" s="2022">
        <v>52271.94</v>
      </c>
      <c r="H456" s="2022">
        <v>0</v>
      </c>
      <c r="I456" s="2011">
        <f t="shared" si="11"/>
        <v>52271.94</v>
      </c>
      <c r="J456" s="2022"/>
      <c r="K456" s="2463"/>
    </row>
    <row r="457" spans="1:31" x14ac:dyDescent="0.2">
      <c r="A457" s="2020" t="s">
        <v>5673</v>
      </c>
      <c r="B457" s="2020" t="s">
        <v>6012</v>
      </c>
      <c r="C457" s="2022">
        <v>211330.2</v>
      </c>
      <c r="D457" s="2022">
        <v>0</v>
      </c>
      <c r="E457" s="2022">
        <v>220489.92</v>
      </c>
      <c r="F457" s="2022">
        <v>0</v>
      </c>
      <c r="G457" s="2022">
        <v>220489.92</v>
      </c>
      <c r="H457" s="2022">
        <v>0</v>
      </c>
      <c r="I457" s="2011">
        <f t="shared" si="11"/>
        <v>220489.92</v>
      </c>
      <c r="J457" s="2022"/>
      <c r="K457" s="2463"/>
    </row>
    <row r="458" spans="1:31" x14ac:dyDescent="0.2">
      <c r="A458" s="2020" t="s">
        <v>5674</v>
      </c>
      <c r="B458" s="2020" t="s">
        <v>6013</v>
      </c>
      <c r="C458" s="2022">
        <v>721907.36</v>
      </c>
      <c r="D458" s="2022">
        <v>0</v>
      </c>
      <c r="E458" s="2022">
        <v>729481.12</v>
      </c>
      <c r="F458" s="2022">
        <v>0</v>
      </c>
      <c r="G458" s="2022">
        <v>729481.12</v>
      </c>
      <c r="H458" s="2022">
        <v>0</v>
      </c>
      <c r="I458" s="2011">
        <f t="shared" si="11"/>
        <v>729481.12</v>
      </c>
      <c r="J458" s="2022"/>
      <c r="K458" s="2463"/>
    </row>
    <row r="459" spans="1:31" x14ac:dyDescent="0.2">
      <c r="A459" s="2020" t="s">
        <v>5675</v>
      </c>
      <c r="B459" s="2020" t="s">
        <v>6014</v>
      </c>
      <c r="C459" s="2022">
        <v>54331.92</v>
      </c>
      <c r="D459" s="2022">
        <v>0</v>
      </c>
      <c r="E459" s="2022">
        <v>48939.96</v>
      </c>
      <c r="F459" s="2022">
        <v>0</v>
      </c>
      <c r="G459" s="2022">
        <v>48939.96</v>
      </c>
      <c r="H459" s="2022">
        <v>0</v>
      </c>
      <c r="I459" s="2011">
        <f t="shared" si="11"/>
        <v>48939.96</v>
      </c>
      <c r="J459" s="2022"/>
      <c r="K459" s="2463"/>
    </row>
    <row r="460" spans="1:31" x14ac:dyDescent="0.2">
      <c r="A460" s="2020" t="s">
        <v>5676</v>
      </c>
      <c r="B460" s="2020" t="s">
        <v>6237</v>
      </c>
      <c r="C460" s="2022">
        <v>400000</v>
      </c>
      <c r="D460" s="2022">
        <v>0</v>
      </c>
      <c r="E460" s="2022">
        <v>0</v>
      </c>
      <c r="F460" s="2022">
        <v>0</v>
      </c>
      <c r="G460" s="2022">
        <v>0</v>
      </c>
      <c r="H460" s="2022">
        <v>0</v>
      </c>
      <c r="I460" s="2011">
        <f t="shared" si="11"/>
        <v>0</v>
      </c>
      <c r="J460" s="2022"/>
      <c r="K460" s="2463"/>
    </row>
    <row r="461" spans="1:31" x14ac:dyDescent="0.2">
      <c r="A461" s="2020" t="s">
        <v>5678</v>
      </c>
      <c r="B461" s="2020" t="s">
        <v>6238</v>
      </c>
      <c r="C461" s="2022">
        <v>77497.2</v>
      </c>
      <c r="D461" s="2022">
        <v>0</v>
      </c>
      <c r="E461" s="2022">
        <f>AE461</f>
        <v>187530.31</v>
      </c>
      <c r="F461" s="2022">
        <v>0</v>
      </c>
      <c r="G461" s="2022">
        <v>0</v>
      </c>
      <c r="H461" s="2022">
        <v>0</v>
      </c>
      <c r="I461" s="2011">
        <f t="shared" si="11"/>
        <v>187530.31</v>
      </c>
      <c r="J461" s="2022"/>
      <c r="K461" s="2463"/>
      <c r="AE461" s="2022">
        <f>210103.74-22573.43</f>
        <v>187530.31</v>
      </c>
    </row>
    <row r="462" spans="1:31" x14ac:dyDescent="0.2">
      <c r="A462" s="2020" t="s">
        <v>5679</v>
      </c>
      <c r="B462" s="2020" t="s">
        <v>6239</v>
      </c>
      <c r="C462" s="2022">
        <v>549502.80000000005</v>
      </c>
      <c r="D462" s="2022">
        <v>0</v>
      </c>
      <c r="E462" s="2022">
        <v>0</v>
      </c>
      <c r="F462" s="2022">
        <v>0</v>
      </c>
      <c r="G462" s="2022">
        <v>0</v>
      </c>
      <c r="H462" s="2022">
        <v>0</v>
      </c>
      <c r="I462" s="2011">
        <f t="shared" si="11"/>
        <v>0</v>
      </c>
      <c r="J462" s="2022"/>
      <c r="K462" s="2463"/>
    </row>
    <row r="463" spans="1:31" x14ac:dyDescent="0.2">
      <c r="A463" s="2020" t="s">
        <v>5682</v>
      </c>
      <c r="B463" s="2020" t="s">
        <v>6240</v>
      </c>
      <c r="C463" s="2022">
        <v>3798397.58</v>
      </c>
      <c r="D463" s="2022">
        <v>0</v>
      </c>
      <c r="E463" s="2022">
        <v>0</v>
      </c>
      <c r="F463" s="2022">
        <v>0</v>
      </c>
      <c r="G463" s="2022">
        <v>0</v>
      </c>
      <c r="H463" s="2022">
        <v>0</v>
      </c>
      <c r="I463" s="2011">
        <f t="shared" si="11"/>
        <v>0</v>
      </c>
      <c r="J463" s="2022"/>
      <c r="K463" s="2463"/>
    </row>
    <row r="464" spans="1:31" x14ac:dyDescent="0.2">
      <c r="A464" s="2020" t="s">
        <v>5684</v>
      </c>
      <c r="B464" s="2020" t="s">
        <v>5685</v>
      </c>
      <c r="C464" s="2022">
        <v>8094000</v>
      </c>
      <c r="D464" s="2022">
        <v>0</v>
      </c>
      <c r="E464" s="2022">
        <v>0</v>
      </c>
      <c r="F464" s="2022">
        <f>Q464</f>
        <v>0</v>
      </c>
      <c r="G464" s="2022">
        <v>0</v>
      </c>
      <c r="H464" s="2022">
        <v>0</v>
      </c>
      <c r="I464" s="2011">
        <f t="shared" si="11"/>
        <v>0</v>
      </c>
      <c r="J464" s="2022"/>
      <c r="K464" s="2463"/>
    </row>
    <row r="465" spans="1:44" x14ac:dyDescent="0.2">
      <c r="A465" s="2020" t="s">
        <v>5688</v>
      </c>
      <c r="B465" s="2020" t="s">
        <v>6241</v>
      </c>
      <c r="C465" s="2022">
        <v>19872.599999999999</v>
      </c>
      <c r="D465" s="2022">
        <v>0</v>
      </c>
      <c r="E465" s="2022">
        <v>30097.07</v>
      </c>
      <c r="F465" s="2022">
        <v>0</v>
      </c>
      <c r="G465" s="2022">
        <v>30097.07</v>
      </c>
      <c r="H465" s="2022">
        <v>0</v>
      </c>
      <c r="I465" s="2011">
        <f t="shared" si="11"/>
        <v>30097.07</v>
      </c>
      <c r="J465" s="2022"/>
      <c r="K465" s="2463"/>
    </row>
    <row r="466" spans="1:44" x14ac:dyDescent="0.2">
      <c r="A466" s="2020" t="s">
        <v>5692</v>
      </c>
      <c r="B466" s="2020" t="s">
        <v>4873</v>
      </c>
      <c r="C466" s="2022">
        <v>24529.7</v>
      </c>
      <c r="D466" s="2022">
        <v>0</v>
      </c>
      <c r="E466" s="2022">
        <f>47352.05+R466</f>
        <v>0</v>
      </c>
      <c r="F466" s="2022">
        <f>-85.75+S466</f>
        <v>0</v>
      </c>
      <c r="G466" s="2022">
        <v>47266.3</v>
      </c>
      <c r="H466" s="2022">
        <v>0</v>
      </c>
      <c r="I466" s="2011">
        <f t="shared" si="11"/>
        <v>0</v>
      </c>
      <c r="J466" s="2022"/>
      <c r="K466" s="2463"/>
      <c r="R466" s="2022">
        <v>-47352.05</v>
      </c>
      <c r="S466" s="2022">
        <v>85.75</v>
      </c>
    </row>
    <row r="467" spans="1:44" x14ac:dyDescent="0.2">
      <c r="A467" s="2020" t="s">
        <v>5694</v>
      </c>
      <c r="B467" s="2020" t="s">
        <v>6029</v>
      </c>
      <c r="C467" s="2022">
        <v>80000</v>
      </c>
      <c r="D467" s="2022">
        <v>0</v>
      </c>
      <c r="E467" s="2022">
        <v>136742.37</v>
      </c>
      <c r="F467" s="2022">
        <v>0</v>
      </c>
      <c r="G467" s="2022">
        <v>136742.37</v>
      </c>
      <c r="H467" s="2022">
        <v>0</v>
      </c>
      <c r="I467" s="2011">
        <f t="shared" si="11"/>
        <v>136742.37</v>
      </c>
      <c r="J467" s="2022"/>
      <c r="K467" s="2463"/>
    </row>
    <row r="468" spans="1:44" x14ac:dyDescent="0.2">
      <c r="A468" s="2020" t="s">
        <v>5695</v>
      </c>
      <c r="B468" s="2020" t="s">
        <v>6171</v>
      </c>
      <c r="C468" s="2022">
        <v>454.28</v>
      </c>
      <c r="D468" s="2022">
        <v>0</v>
      </c>
      <c r="E468" s="2022">
        <v>1976.28</v>
      </c>
      <c r="F468" s="2022">
        <v>0</v>
      </c>
      <c r="G468" s="2022">
        <v>1976.28</v>
      </c>
      <c r="H468" s="2022">
        <v>0</v>
      </c>
      <c r="I468" s="2011">
        <f t="shared" si="11"/>
        <v>1976.28</v>
      </c>
      <c r="J468" s="2022"/>
      <c r="K468" s="2463"/>
    </row>
    <row r="469" spans="1:44" x14ac:dyDescent="0.2">
      <c r="A469" s="2020" t="s">
        <v>5696</v>
      </c>
      <c r="B469" s="2020" t="s">
        <v>6030</v>
      </c>
      <c r="C469" s="2022">
        <v>10000</v>
      </c>
      <c r="D469" s="2022">
        <v>0</v>
      </c>
      <c r="E469" s="2022">
        <v>5278.07</v>
      </c>
      <c r="F469" s="2022">
        <v>0</v>
      </c>
      <c r="G469" s="2022">
        <v>5278.07</v>
      </c>
      <c r="H469" s="2022">
        <v>0</v>
      </c>
      <c r="I469" s="2011">
        <f t="shared" si="11"/>
        <v>5278.07</v>
      </c>
      <c r="J469" s="2022"/>
      <c r="K469" s="2463"/>
    </row>
    <row r="470" spans="1:44" x14ac:dyDescent="0.2">
      <c r="A470" s="2020" t="s">
        <v>5697</v>
      </c>
      <c r="B470" s="2020" t="s">
        <v>4883</v>
      </c>
      <c r="C470" s="2022">
        <v>80000</v>
      </c>
      <c r="D470" s="2022">
        <v>0</v>
      </c>
      <c r="E470" s="2022">
        <f>57978.9+AM470</f>
        <v>58520.3</v>
      </c>
      <c r="F470" s="2022">
        <v>0</v>
      </c>
      <c r="G470" s="2022">
        <v>57978.9</v>
      </c>
      <c r="H470" s="2022">
        <v>0</v>
      </c>
      <c r="I470" s="2011">
        <f t="shared" si="11"/>
        <v>58520.3</v>
      </c>
      <c r="J470" s="2022"/>
      <c r="K470" s="2463"/>
      <c r="AM470" s="2022">
        <v>541.4</v>
      </c>
    </row>
    <row r="471" spans="1:44" x14ac:dyDescent="0.2">
      <c r="A471" s="2020" t="s">
        <v>5699</v>
      </c>
      <c r="B471" s="2020" t="s">
        <v>6032</v>
      </c>
      <c r="C471" s="2022">
        <v>65000</v>
      </c>
      <c r="D471" s="2022">
        <v>0</v>
      </c>
      <c r="E471" s="2022">
        <v>14783.72</v>
      </c>
      <c r="F471" s="2022">
        <v>-4513.07</v>
      </c>
      <c r="G471" s="2022">
        <v>10270.65</v>
      </c>
      <c r="H471" s="2022">
        <v>0</v>
      </c>
      <c r="I471" s="2011">
        <f t="shared" si="11"/>
        <v>10270.65</v>
      </c>
      <c r="J471" s="2022"/>
      <c r="K471" s="2463"/>
    </row>
    <row r="472" spans="1:44" x14ac:dyDescent="0.2">
      <c r="A472" s="2020" t="s">
        <v>5706</v>
      </c>
      <c r="B472" s="2020" t="s">
        <v>6173</v>
      </c>
      <c r="C472" s="2022">
        <v>8277.0300000000007</v>
      </c>
      <c r="D472" s="2022">
        <v>0</v>
      </c>
      <c r="E472" s="2022">
        <v>6710.35</v>
      </c>
      <c r="F472" s="2022">
        <v>0</v>
      </c>
      <c r="G472" s="2022">
        <v>6710.35</v>
      </c>
      <c r="H472" s="2022">
        <v>0</v>
      </c>
      <c r="I472" s="2011">
        <f t="shared" si="11"/>
        <v>6710.35</v>
      </c>
      <c r="J472" s="2022"/>
      <c r="K472" s="2463"/>
    </row>
    <row r="473" spans="1:44" x14ac:dyDescent="0.2">
      <c r="A473" s="2020" t="s">
        <v>5707</v>
      </c>
      <c r="B473" s="2020" t="s">
        <v>6205</v>
      </c>
      <c r="C473" s="2022">
        <v>15000</v>
      </c>
      <c r="D473" s="2022">
        <v>0</v>
      </c>
      <c r="E473" s="2022">
        <v>9765.5300000000007</v>
      </c>
      <c r="F473" s="2022">
        <v>0</v>
      </c>
      <c r="G473" s="2022">
        <v>9765.5300000000007</v>
      </c>
      <c r="H473" s="2022">
        <v>0</v>
      </c>
      <c r="I473" s="2011">
        <f t="shared" si="11"/>
        <v>9765.5300000000007</v>
      </c>
      <c r="J473" s="2022"/>
      <c r="K473" s="2463"/>
    </row>
    <row r="474" spans="1:44" x14ac:dyDescent="0.2">
      <c r="A474" s="2020" t="s">
        <v>5708</v>
      </c>
      <c r="B474" s="2020" t="s">
        <v>6034</v>
      </c>
      <c r="C474" s="2022">
        <v>5000</v>
      </c>
      <c r="D474" s="2022">
        <v>0</v>
      </c>
      <c r="E474" s="2022">
        <v>9881.02</v>
      </c>
      <c r="F474" s="2022">
        <v>-139.65</v>
      </c>
      <c r="G474" s="2022">
        <v>9741.3700000000008</v>
      </c>
      <c r="H474" s="2022">
        <v>0</v>
      </c>
      <c r="I474" s="2011">
        <f t="shared" si="11"/>
        <v>9741.3700000000008</v>
      </c>
      <c r="J474" s="2022"/>
      <c r="K474" s="2463"/>
    </row>
    <row r="475" spans="1:44" x14ac:dyDescent="0.2">
      <c r="A475" s="2020" t="s">
        <v>5710</v>
      </c>
      <c r="B475" s="2020" t="s">
        <v>6242</v>
      </c>
      <c r="C475" s="2022">
        <v>40000</v>
      </c>
      <c r="D475" s="2022">
        <v>0</v>
      </c>
      <c r="E475" s="2022">
        <v>22057.68</v>
      </c>
      <c r="F475" s="2022">
        <v>0</v>
      </c>
      <c r="G475" s="2022">
        <v>22057.68</v>
      </c>
      <c r="H475" s="2022">
        <v>0</v>
      </c>
      <c r="I475" s="2011">
        <f t="shared" si="11"/>
        <v>22057.68</v>
      </c>
      <c r="J475" s="2022"/>
      <c r="K475" s="2463"/>
    </row>
    <row r="476" spans="1:44" x14ac:dyDescent="0.2">
      <c r="A476" s="2020" t="s">
        <v>5713</v>
      </c>
      <c r="B476" s="2020" t="s">
        <v>6035</v>
      </c>
      <c r="C476" s="2022">
        <v>44121.35</v>
      </c>
      <c r="D476" s="2022">
        <v>0</v>
      </c>
      <c r="E476" s="2022">
        <v>23403.22</v>
      </c>
      <c r="F476" s="2022">
        <v>0</v>
      </c>
      <c r="G476" s="2022">
        <v>23403.22</v>
      </c>
      <c r="H476" s="2022">
        <v>0</v>
      </c>
      <c r="I476" s="2011">
        <f t="shared" si="11"/>
        <v>23403.22</v>
      </c>
      <c r="J476" s="2022"/>
      <c r="K476" s="2463"/>
    </row>
    <row r="477" spans="1:44" x14ac:dyDescent="0.2">
      <c r="A477" s="2020" t="s">
        <v>5714</v>
      </c>
      <c r="B477" s="2020" t="s">
        <v>6036</v>
      </c>
      <c r="C477" s="2022">
        <v>21087.45</v>
      </c>
      <c r="D477" s="2022">
        <v>0</v>
      </c>
      <c r="E477" s="2022">
        <v>0</v>
      </c>
      <c r="F477" s="2022">
        <v>0</v>
      </c>
      <c r="G477" s="2022">
        <v>0</v>
      </c>
      <c r="H477" s="2022">
        <v>0</v>
      </c>
      <c r="I477" s="2011">
        <f t="shared" si="11"/>
        <v>0</v>
      </c>
      <c r="J477" s="2022"/>
      <c r="K477" s="2463"/>
    </row>
    <row r="478" spans="1:44" x14ac:dyDescent="0.2">
      <c r="A478" s="2020" t="s">
        <v>5715</v>
      </c>
      <c r="B478" s="2020" t="s">
        <v>6243</v>
      </c>
      <c r="C478" s="2022">
        <v>-4183958.55</v>
      </c>
      <c r="D478" s="2022">
        <v>0</v>
      </c>
      <c r="E478" s="2022">
        <f>172624.67+AR478+N478</f>
        <v>525128.36</v>
      </c>
      <c r="F478" s="2022">
        <v>-6871884.5599999996</v>
      </c>
      <c r="G478" s="2022">
        <v>0</v>
      </c>
      <c r="H478" s="2022">
        <v>-6699259.8899999997</v>
      </c>
      <c r="I478" s="2011">
        <f t="shared" si="11"/>
        <v>-6346756.1999999993</v>
      </c>
      <c r="J478" s="2022"/>
      <c r="K478" s="2463"/>
      <c r="N478" s="2022">
        <v>8369.77</v>
      </c>
      <c r="AR478" s="2022">
        <v>344133.92</v>
      </c>
    </row>
    <row r="479" spans="1:44" x14ac:dyDescent="0.2">
      <c r="A479" s="2020" t="s">
        <v>5717</v>
      </c>
      <c r="B479" s="2020" t="s">
        <v>6037</v>
      </c>
      <c r="C479" s="2022">
        <v>-3507626.86</v>
      </c>
      <c r="D479" s="2022">
        <v>0</v>
      </c>
      <c r="E479" s="2022">
        <v>0</v>
      </c>
      <c r="F479" s="2022">
        <v>0</v>
      </c>
      <c r="G479" s="2022">
        <v>0</v>
      </c>
      <c r="H479" s="2022">
        <v>0</v>
      </c>
      <c r="I479" s="2011">
        <f t="shared" si="11"/>
        <v>0</v>
      </c>
      <c r="J479" s="2022"/>
      <c r="K479" s="2463"/>
    </row>
    <row r="480" spans="1:44" x14ac:dyDescent="0.2">
      <c r="A480" s="2020" t="s">
        <v>5718</v>
      </c>
      <c r="B480" s="1127" t="s">
        <v>6244</v>
      </c>
      <c r="C480" s="2022">
        <v>-3798397.58</v>
      </c>
      <c r="D480" s="2022">
        <v>0</v>
      </c>
      <c r="E480" s="2022">
        <v>0</v>
      </c>
      <c r="F480" s="2022">
        <v>0</v>
      </c>
      <c r="G480" s="2022">
        <v>0</v>
      </c>
      <c r="H480" s="2022">
        <v>0</v>
      </c>
      <c r="I480" s="2011">
        <f t="shared" si="11"/>
        <v>0</v>
      </c>
      <c r="J480" s="2022"/>
      <c r="K480" s="2463"/>
    </row>
    <row r="481" spans="1:89" x14ac:dyDescent="0.2">
      <c r="A481" s="2020" t="s">
        <v>5719</v>
      </c>
      <c r="B481" s="2020" t="s">
        <v>6245</v>
      </c>
      <c r="C481" s="2022">
        <v>-8094000</v>
      </c>
      <c r="D481" s="2022">
        <v>0</v>
      </c>
      <c r="E481" s="2022">
        <v>0</v>
      </c>
      <c r="F481" s="2022">
        <f>Q481</f>
        <v>-8094000</v>
      </c>
      <c r="G481" s="2022">
        <v>0</v>
      </c>
      <c r="H481" s="2022">
        <v>0</v>
      </c>
      <c r="I481" s="2011">
        <f t="shared" si="11"/>
        <v>-8094000</v>
      </c>
      <c r="J481" s="2022"/>
      <c r="K481" s="2463"/>
      <c r="Q481" s="2022">
        <f>-7239000-855000</f>
        <v>-8094000</v>
      </c>
    </row>
    <row r="482" spans="1:89" x14ac:dyDescent="0.2">
      <c r="A482" s="2020" t="s">
        <v>5721</v>
      </c>
      <c r="B482" s="2020" t="s">
        <v>6246</v>
      </c>
      <c r="C482" s="2022">
        <v>-6608.29</v>
      </c>
      <c r="D482" s="2022">
        <v>0</v>
      </c>
      <c r="E482" s="2022">
        <v>1098.82</v>
      </c>
      <c r="F482" s="2022">
        <f>-8947.5+BV482</f>
        <v>-19265.21</v>
      </c>
      <c r="G482" s="2022">
        <v>0</v>
      </c>
      <c r="H482" s="2022">
        <v>-7848.68</v>
      </c>
      <c r="I482" s="2011">
        <f t="shared" si="11"/>
        <v>-18166.39</v>
      </c>
      <c r="J482" s="2022"/>
      <c r="K482" s="2463"/>
      <c r="BV482" s="2728">
        <v>-10317.709999999999</v>
      </c>
    </row>
    <row r="483" spans="1:89" x14ac:dyDescent="0.2">
      <c r="A483" s="2020" t="s">
        <v>5723</v>
      </c>
      <c r="B483" s="2020" t="s">
        <v>6247</v>
      </c>
      <c r="C483" s="2022">
        <v>-6058.01</v>
      </c>
      <c r="D483" s="2022">
        <v>0</v>
      </c>
      <c r="E483" s="2022">
        <v>582.38</v>
      </c>
      <c r="F483" s="2022">
        <v>-4740.1000000000004</v>
      </c>
      <c r="G483" s="2022">
        <v>0</v>
      </c>
      <c r="H483" s="2022">
        <v>-4157.72</v>
      </c>
      <c r="I483" s="2011">
        <f t="shared" si="11"/>
        <v>-4157.72</v>
      </c>
      <c r="J483" s="2022"/>
      <c r="K483" s="2463"/>
    </row>
    <row r="484" spans="1:89" x14ac:dyDescent="0.2">
      <c r="A484" s="2020" t="s">
        <v>5725</v>
      </c>
      <c r="B484" s="2020" t="s">
        <v>6039</v>
      </c>
      <c r="C484" s="2022">
        <v>0</v>
      </c>
      <c r="D484" s="2022">
        <v>0</v>
      </c>
      <c r="E484" s="2022">
        <f>72161.35+BN484</f>
        <v>306683.75</v>
      </c>
      <c r="F484" s="2022">
        <v>-306683.77</v>
      </c>
      <c r="G484" s="2022">
        <v>0</v>
      </c>
      <c r="H484" s="2022">
        <v>-234522.42</v>
      </c>
      <c r="I484" s="2011">
        <f t="shared" si="11"/>
        <v>-2.0000000018626451E-2</v>
      </c>
      <c r="J484" s="2022"/>
      <c r="K484" s="2463"/>
      <c r="BN484" s="2728">
        <v>234522.4</v>
      </c>
    </row>
    <row r="485" spans="1:89" x14ac:dyDescent="0.2">
      <c r="A485" s="2020" t="s">
        <v>5726</v>
      </c>
      <c r="B485" s="2020" t="s">
        <v>6003</v>
      </c>
      <c r="C485" s="2022">
        <v>2070118.11</v>
      </c>
      <c r="D485" s="2022">
        <v>0</v>
      </c>
      <c r="E485" s="2022">
        <v>2024934.39</v>
      </c>
      <c r="F485" s="2022">
        <v>-44736.89</v>
      </c>
      <c r="G485" s="2022">
        <v>1980197.5</v>
      </c>
      <c r="H485" s="2022">
        <v>0</v>
      </c>
      <c r="I485" s="2011">
        <f t="shared" si="11"/>
        <v>1980197.5</v>
      </c>
      <c r="J485" s="2022"/>
      <c r="K485" s="2463"/>
    </row>
    <row r="486" spans="1:89" x14ac:dyDescent="0.2">
      <c r="A486" s="2020" t="s">
        <v>5727</v>
      </c>
      <c r="B486" s="2020" t="s">
        <v>6004</v>
      </c>
      <c r="C486" s="2022">
        <v>176663.02</v>
      </c>
      <c r="D486" s="2022">
        <v>0</v>
      </c>
      <c r="E486" s="2022">
        <v>185280.98</v>
      </c>
      <c r="F486" s="2022">
        <v>-4000</v>
      </c>
      <c r="G486" s="2022">
        <v>181280.98</v>
      </c>
      <c r="H486" s="2022">
        <v>0</v>
      </c>
      <c r="I486" s="2011">
        <f t="shared" si="11"/>
        <v>181280.98</v>
      </c>
      <c r="J486" s="2022"/>
      <c r="K486" s="2463"/>
    </row>
    <row r="487" spans="1:89" x14ac:dyDescent="0.2">
      <c r="A487" s="2020" t="s">
        <v>5729</v>
      </c>
      <c r="B487" s="2020" t="s">
        <v>6236</v>
      </c>
      <c r="C487" s="2022">
        <v>8167.03</v>
      </c>
      <c r="D487" s="2022">
        <v>0</v>
      </c>
      <c r="E487" s="2022">
        <v>8167.03</v>
      </c>
      <c r="F487" s="2022">
        <v>0</v>
      </c>
      <c r="G487" s="2022">
        <v>8167.03</v>
      </c>
      <c r="H487" s="2022">
        <v>0</v>
      </c>
      <c r="I487" s="2011">
        <f t="shared" si="11"/>
        <v>8167.03</v>
      </c>
      <c r="J487" s="2022"/>
      <c r="K487" s="2463"/>
    </row>
    <row r="488" spans="1:89" x14ac:dyDescent="0.2">
      <c r="A488" s="2020" t="s">
        <v>5730</v>
      </c>
      <c r="B488" s="2020" t="s">
        <v>6006</v>
      </c>
      <c r="C488" s="2022">
        <v>2088</v>
      </c>
      <c r="D488" s="2022">
        <v>0</v>
      </c>
      <c r="E488" s="2022">
        <v>2088</v>
      </c>
      <c r="F488" s="2022">
        <v>0</v>
      </c>
      <c r="G488" s="2022">
        <v>2088</v>
      </c>
      <c r="H488" s="2022">
        <v>0</v>
      </c>
      <c r="I488" s="2011">
        <f t="shared" si="11"/>
        <v>2088</v>
      </c>
      <c r="J488" s="2022"/>
      <c r="K488" s="2463"/>
    </row>
    <row r="489" spans="1:89" x14ac:dyDescent="0.2">
      <c r="A489" s="2020" t="s">
        <v>5731</v>
      </c>
      <c r="B489" s="2020" t="s">
        <v>6007</v>
      </c>
      <c r="C489" s="2022">
        <v>165277.17000000001</v>
      </c>
      <c r="D489" s="2022">
        <v>0</v>
      </c>
      <c r="E489" s="2022">
        <v>168718.77</v>
      </c>
      <c r="F489" s="2022">
        <v>0</v>
      </c>
      <c r="G489" s="2022">
        <v>168718.77</v>
      </c>
      <c r="H489" s="2022">
        <v>0</v>
      </c>
      <c r="I489" s="2011">
        <f t="shared" si="11"/>
        <v>168718.77</v>
      </c>
      <c r="J489" s="2022"/>
      <c r="K489" s="2463"/>
    </row>
    <row r="490" spans="1:89" x14ac:dyDescent="0.2">
      <c r="A490" s="2020" t="s">
        <v>5734</v>
      </c>
      <c r="B490" s="2020" t="s">
        <v>6010</v>
      </c>
      <c r="C490" s="2022">
        <v>1664.6</v>
      </c>
      <c r="D490" s="2022">
        <v>0</v>
      </c>
      <c r="E490" s="2022">
        <v>1574.4</v>
      </c>
      <c r="F490" s="2022">
        <v>0</v>
      </c>
      <c r="G490" s="2022">
        <v>1574.4</v>
      </c>
      <c r="H490" s="2022">
        <v>0</v>
      </c>
      <c r="I490" s="2011">
        <f t="shared" si="11"/>
        <v>1574.4</v>
      </c>
      <c r="J490" s="2022"/>
      <c r="K490" s="2463"/>
    </row>
    <row r="491" spans="1:89" x14ac:dyDescent="0.2">
      <c r="A491" s="2020" t="s">
        <v>5735</v>
      </c>
      <c r="B491" s="2020" t="s">
        <v>6011</v>
      </c>
      <c r="C491" s="2022">
        <v>27883.34</v>
      </c>
      <c r="D491" s="2022">
        <v>0</v>
      </c>
      <c r="E491" s="2022">
        <v>23420.06</v>
      </c>
      <c r="F491" s="2022">
        <v>0</v>
      </c>
      <c r="G491" s="2022">
        <v>23420.06</v>
      </c>
      <c r="H491" s="2022">
        <v>0</v>
      </c>
      <c r="I491" s="2011">
        <f t="shared" si="11"/>
        <v>23420.06</v>
      </c>
      <c r="J491" s="2022"/>
      <c r="K491" s="2463"/>
    </row>
    <row r="492" spans="1:89" x14ac:dyDescent="0.2">
      <c r="A492" s="2020" t="s">
        <v>5737</v>
      </c>
      <c r="B492" s="2020" t="s">
        <v>6012</v>
      </c>
      <c r="C492" s="2022">
        <v>81997.2</v>
      </c>
      <c r="D492" s="2022">
        <v>0</v>
      </c>
      <c r="E492" s="2022">
        <v>78663.600000000006</v>
      </c>
      <c r="F492" s="2022">
        <v>0</v>
      </c>
      <c r="G492" s="2022">
        <v>78663.600000000006</v>
      </c>
      <c r="H492" s="2022">
        <v>0</v>
      </c>
      <c r="I492" s="2011">
        <f t="shared" si="11"/>
        <v>78663.600000000006</v>
      </c>
      <c r="J492" s="2022"/>
      <c r="K492" s="2463"/>
    </row>
    <row r="493" spans="1:89" x14ac:dyDescent="0.2">
      <c r="A493" s="2020" t="s">
        <v>5738</v>
      </c>
      <c r="B493" s="2020" t="s">
        <v>6013</v>
      </c>
      <c r="C493" s="2022">
        <v>387237.56</v>
      </c>
      <c r="D493" s="2022">
        <v>0</v>
      </c>
      <c r="E493" s="2022">
        <v>364086.82</v>
      </c>
      <c r="F493" s="2022">
        <v>0</v>
      </c>
      <c r="G493" s="2022">
        <v>364086.82</v>
      </c>
      <c r="H493" s="2022">
        <v>0</v>
      </c>
      <c r="I493" s="2011">
        <f t="shared" si="11"/>
        <v>364086.82</v>
      </c>
      <c r="J493" s="2022"/>
      <c r="K493" s="2463"/>
    </row>
    <row r="494" spans="1:89" x14ac:dyDescent="0.2">
      <c r="A494" s="2020" t="s">
        <v>5739</v>
      </c>
      <c r="B494" s="2020" t="s">
        <v>6014</v>
      </c>
      <c r="C494" s="2022">
        <v>29289.96</v>
      </c>
      <c r="D494" s="2022">
        <v>0</v>
      </c>
      <c r="E494" s="2022">
        <v>23704.13</v>
      </c>
      <c r="F494" s="2022">
        <v>0</v>
      </c>
      <c r="G494" s="2022">
        <v>23704.13</v>
      </c>
      <c r="H494" s="2022">
        <v>0</v>
      </c>
      <c r="I494" s="2011">
        <f t="shared" si="11"/>
        <v>23704.13</v>
      </c>
      <c r="J494" s="2022"/>
      <c r="K494" s="2463"/>
    </row>
    <row r="495" spans="1:89" x14ac:dyDescent="0.2">
      <c r="A495" s="2020" t="s">
        <v>5740</v>
      </c>
      <c r="B495" s="2020" t="s">
        <v>6237</v>
      </c>
      <c r="C495" s="2022">
        <v>389410.38</v>
      </c>
      <c r="D495" s="2022">
        <v>0</v>
      </c>
      <c r="E495" s="2022">
        <f>M495</f>
        <v>0</v>
      </c>
      <c r="F495" s="2022">
        <v>0</v>
      </c>
      <c r="G495" s="2022">
        <v>0</v>
      </c>
      <c r="H495" s="2022">
        <v>0</v>
      </c>
      <c r="I495" s="2011">
        <f t="shared" si="11"/>
        <v>0</v>
      </c>
      <c r="J495" s="2022"/>
      <c r="K495" s="2463"/>
      <c r="M495" s="2022">
        <v>0</v>
      </c>
    </row>
    <row r="496" spans="1:89" s="2100" customFormat="1" x14ac:dyDescent="0.2">
      <c r="A496" s="1127" t="s">
        <v>5743</v>
      </c>
      <c r="B496" s="2106" t="s">
        <v>7310</v>
      </c>
      <c r="C496" s="2022">
        <v>0</v>
      </c>
      <c r="D496" s="2022">
        <v>0</v>
      </c>
      <c r="E496" s="2022">
        <f>AG496</f>
        <v>206310</v>
      </c>
      <c r="F496" s="2022">
        <f>AP496</f>
        <v>-4912.96</v>
      </c>
      <c r="G496" s="2022"/>
      <c r="H496" s="2022"/>
      <c r="I496" s="2011">
        <f t="shared" si="11"/>
        <v>201397.04</v>
      </c>
      <c r="J496" s="2022"/>
      <c r="K496" s="2463"/>
      <c r="L496" s="2022"/>
      <c r="M496" s="2022"/>
      <c r="N496" s="2022"/>
      <c r="O496" s="2022"/>
      <c r="P496" s="2022"/>
      <c r="Q496" s="2022"/>
      <c r="R496" s="2022"/>
      <c r="S496" s="2022"/>
      <c r="T496" s="2022"/>
      <c r="U496" s="2022"/>
      <c r="V496" s="2022"/>
      <c r="W496" s="2022"/>
      <c r="X496" s="2022"/>
      <c r="Y496" s="2022"/>
      <c r="Z496" s="2022"/>
      <c r="AA496" s="2022"/>
      <c r="AB496" s="2022"/>
      <c r="AC496" s="2022"/>
      <c r="AD496" s="2022"/>
      <c r="AE496" s="2022"/>
      <c r="AF496" s="2022"/>
      <c r="AG496" s="2022">
        <v>206310</v>
      </c>
      <c r="AH496" s="2022"/>
      <c r="AI496" s="2022"/>
      <c r="AJ496" s="2022"/>
      <c r="AK496" s="2022"/>
      <c r="AL496" s="2022"/>
      <c r="AM496" s="2022"/>
      <c r="AN496" s="2022"/>
      <c r="AO496" s="2022"/>
      <c r="AP496" s="2022">
        <v>-4912.96</v>
      </c>
      <c r="AQ496" s="2022"/>
      <c r="AR496" s="2022"/>
      <c r="AS496" s="2022"/>
      <c r="AT496" s="2022"/>
      <c r="AU496" s="2022"/>
      <c r="AV496" s="2558"/>
      <c r="AW496" s="2022"/>
      <c r="AX496" s="2022"/>
      <c r="AY496" s="2022"/>
      <c r="AZ496" s="2022"/>
      <c r="BA496" s="2022"/>
      <c r="BB496" s="2022"/>
      <c r="BC496" s="2022"/>
      <c r="BD496" s="2022"/>
      <c r="BE496" s="2022"/>
      <c r="BF496" s="2022"/>
      <c r="BG496" s="2022"/>
      <c r="BH496" s="2022"/>
      <c r="BI496" s="2728"/>
      <c r="BJ496" s="2728"/>
      <c r="BK496" s="2728"/>
      <c r="BL496" s="2728"/>
      <c r="BM496" s="2728"/>
      <c r="BN496" s="2728"/>
      <c r="BO496" s="2728"/>
      <c r="BP496" s="2728"/>
      <c r="BQ496" s="2728"/>
      <c r="BR496" s="2728"/>
      <c r="BS496" s="2632"/>
      <c r="BT496" s="2632"/>
      <c r="BU496" s="2728"/>
      <c r="BV496" s="2728"/>
      <c r="BW496" s="2632"/>
      <c r="BX496" s="2632"/>
      <c r="BY496" s="2632"/>
      <c r="BZ496" s="2632"/>
      <c r="CA496" s="2632"/>
      <c r="CB496" s="2728"/>
      <c r="CC496" s="2632"/>
      <c r="CD496" s="2632"/>
      <c r="CE496" s="2632"/>
      <c r="CF496" s="2632"/>
      <c r="CG496" s="2728"/>
      <c r="CH496" s="2728"/>
      <c r="CI496" s="2632"/>
      <c r="CJ496" s="2632"/>
      <c r="CK496" s="2632"/>
    </row>
    <row r="497" spans="1:66" x14ac:dyDescent="0.2">
      <c r="A497" s="2020" t="s">
        <v>5748</v>
      </c>
      <c r="B497" s="2020" t="s">
        <v>6108</v>
      </c>
      <c r="C497" s="2022">
        <v>10722</v>
      </c>
      <c r="D497" s="2022">
        <v>0</v>
      </c>
      <c r="E497" s="2022">
        <v>10722</v>
      </c>
      <c r="F497" s="2022">
        <v>0</v>
      </c>
      <c r="G497" s="2022">
        <v>10722</v>
      </c>
      <c r="H497" s="2022">
        <v>0</v>
      </c>
      <c r="I497" s="2011">
        <f t="shared" si="11"/>
        <v>10722</v>
      </c>
      <c r="J497" s="2022"/>
      <c r="K497" s="2463"/>
    </row>
    <row r="498" spans="1:66" x14ac:dyDescent="0.2">
      <c r="A498" s="2020" t="s">
        <v>5750</v>
      </c>
      <c r="B498" s="2020" t="s">
        <v>4873</v>
      </c>
      <c r="C498" s="2022">
        <v>15000</v>
      </c>
      <c r="D498" s="2022">
        <v>0</v>
      </c>
      <c r="E498" s="2022">
        <f>6634.41+R498</f>
        <v>0</v>
      </c>
      <c r="F498" s="2022">
        <v>0</v>
      </c>
      <c r="G498" s="2022">
        <v>6634.41</v>
      </c>
      <c r="H498" s="2022">
        <v>0</v>
      </c>
      <c r="I498" s="2011">
        <f t="shared" si="11"/>
        <v>0</v>
      </c>
      <c r="J498" s="2022"/>
      <c r="K498" s="2463"/>
      <c r="R498" s="2022">
        <v>-6634.41</v>
      </c>
    </row>
    <row r="499" spans="1:66" x14ac:dyDescent="0.2">
      <c r="A499" s="2020" t="s">
        <v>5752</v>
      </c>
      <c r="B499" s="2020" t="s">
        <v>6029</v>
      </c>
      <c r="C499" s="2022">
        <v>10000</v>
      </c>
      <c r="D499" s="2022">
        <v>0</v>
      </c>
      <c r="E499" s="2022">
        <v>13067.5</v>
      </c>
      <c r="F499" s="2022">
        <v>0</v>
      </c>
      <c r="G499" s="2022">
        <v>13067.5</v>
      </c>
      <c r="H499" s="2022">
        <v>0</v>
      </c>
      <c r="I499" s="2011">
        <f t="shared" si="11"/>
        <v>13067.5</v>
      </c>
      <c r="J499" s="2022"/>
      <c r="K499" s="2463"/>
    </row>
    <row r="500" spans="1:66" x14ac:dyDescent="0.2">
      <c r="A500" s="2020" t="s">
        <v>5753</v>
      </c>
      <c r="B500" s="2020" t="s">
        <v>6171</v>
      </c>
      <c r="C500" s="2022">
        <v>2500</v>
      </c>
      <c r="D500" s="2022">
        <v>0</v>
      </c>
      <c r="E500" s="2022">
        <v>1408.82</v>
      </c>
      <c r="F500" s="2022">
        <v>0</v>
      </c>
      <c r="G500" s="2022">
        <v>1408.82</v>
      </c>
      <c r="H500" s="2022">
        <v>0</v>
      </c>
      <c r="I500" s="2011">
        <f t="shared" si="11"/>
        <v>1408.82</v>
      </c>
      <c r="J500" s="2022"/>
      <c r="K500" s="2463"/>
    </row>
    <row r="501" spans="1:66" x14ac:dyDescent="0.2">
      <c r="A501" s="2020" t="s">
        <v>5754</v>
      </c>
      <c r="B501" s="2020" t="s">
        <v>6030</v>
      </c>
      <c r="C501" s="2022">
        <v>5902.83</v>
      </c>
      <c r="D501" s="2022">
        <v>0</v>
      </c>
      <c r="E501" s="2022">
        <v>5902.83</v>
      </c>
      <c r="F501" s="2022">
        <v>0</v>
      </c>
      <c r="G501" s="2022">
        <v>5902.83</v>
      </c>
      <c r="H501" s="2022">
        <v>0</v>
      </c>
      <c r="I501" s="2011">
        <f t="shared" si="11"/>
        <v>5902.83</v>
      </c>
      <c r="J501" s="2022"/>
      <c r="K501" s="2463"/>
    </row>
    <row r="502" spans="1:66" x14ac:dyDescent="0.2">
      <c r="A502" s="2020" t="s">
        <v>5755</v>
      </c>
      <c r="B502" s="2020" t="s">
        <v>4883</v>
      </c>
      <c r="C502" s="2022">
        <v>150000</v>
      </c>
      <c r="D502" s="2022">
        <v>0</v>
      </c>
      <c r="E502" s="2022">
        <v>113249.21</v>
      </c>
      <c r="F502" s="2022">
        <v>0</v>
      </c>
      <c r="G502" s="2022">
        <v>113249.21</v>
      </c>
      <c r="H502" s="2022">
        <v>0</v>
      </c>
      <c r="I502" s="2011">
        <f t="shared" si="11"/>
        <v>113249.21</v>
      </c>
      <c r="J502" s="2022"/>
      <c r="K502" s="2463"/>
    </row>
    <row r="503" spans="1:66" x14ac:dyDescent="0.2">
      <c r="A503" s="2020" t="s">
        <v>5757</v>
      </c>
      <c r="B503" s="2020" t="s">
        <v>6032</v>
      </c>
      <c r="C503" s="2022">
        <v>17477.830000000002</v>
      </c>
      <c r="D503" s="2022">
        <v>0</v>
      </c>
      <c r="E503" s="2022">
        <v>9111.41</v>
      </c>
      <c r="F503" s="2022">
        <v>0</v>
      </c>
      <c r="G503" s="2022">
        <v>9111.41</v>
      </c>
      <c r="H503" s="2022">
        <v>0</v>
      </c>
      <c r="I503" s="2011">
        <f t="shared" si="11"/>
        <v>9111.41</v>
      </c>
      <c r="J503" s="2022"/>
      <c r="K503" s="2463"/>
    </row>
    <row r="504" spans="1:66" x14ac:dyDescent="0.2">
      <c r="A504" s="2020" t="s">
        <v>5761</v>
      </c>
      <c r="B504" s="2020" t="s">
        <v>6177</v>
      </c>
      <c r="C504" s="2022">
        <v>35000</v>
      </c>
      <c r="D504" s="2022">
        <v>0</v>
      </c>
      <c r="E504" s="2022">
        <v>1500</v>
      </c>
      <c r="F504" s="2022">
        <v>0</v>
      </c>
      <c r="G504" s="2022">
        <v>1500</v>
      </c>
      <c r="H504" s="2022">
        <v>0</v>
      </c>
      <c r="I504" s="2011">
        <f t="shared" si="11"/>
        <v>1500</v>
      </c>
      <c r="J504" s="2022"/>
      <c r="K504" s="2463"/>
    </row>
    <row r="505" spans="1:66" x14ac:dyDescent="0.2">
      <c r="A505" s="2020" t="s">
        <v>5762</v>
      </c>
      <c r="B505" s="2020" t="s">
        <v>6034</v>
      </c>
      <c r="C505" s="2022">
        <v>150000</v>
      </c>
      <c r="D505" s="2022">
        <v>0</v>
      </c>
      <c r="E505" s="2022">
        <v>163602.32</v>
      </c>
      <c r="F505" s="2022">
        <v>0</v>
      </c>
      <c r="G505" s="2022">
        <v>163602.32</v>
      </c>
      <c r="H505" s="2022">
        <v>0</v>
      </c>
      <c r="I505" s="2011">
        <f t="shared" si="11"/>
        <v>163602.32</v>
      </c>
      <c r="J505" s="2022"/>
      <c r="K505" s="2463"/>
    </row>
    <row r="506" spans="1:66" x14ac:dyDescent="0.2">
      <c r="A506" s="2020" t="s">
        <v>5764</v>
      </c>
      <c r="B506" s="2020" t="s">
        <v>6242</v>
      </c>
      <c r="C506" s="2022">
        <v>24831.08</v>
      </c>
      <c r="D506" s="2022">
        <v>0</v>
      </c>
      <c r="E506" s="2022">
        <v>491.4</v>
      </c>
      <c r="F506" s="2022">
        <v>0</v>
      </c>
      <c r="G506" s="2022">
        <v>491.4</v>
      </c>
      <c r="H506" s="2022">
        <v>0</v>
      </c>
      <c r="I506" s="2011">
        <f t="shared" si="11"/>
        <v>491.4</v>
      </c>
      <c r="J506" s="2022"/>
      <c r="K506" s="2463"/>
    </row>
    <row r="507" spans="1:66" x14ac:dyDescent="0.2">
      <c r="A507" s="2020" t="s">
        <v>5766</v>
      </c>
      <c r="B507" s="2020" t="s">
        <v>6035</v>
      </c>
      <c r="C507" s="2022">
        <v>76930.649999999994</v>
      </c>
      <c r="D507" s="2022">
        <v>0</v>
      </c>
      <c r="E507" s="2022">
        <v>24106.94</v>
      </c>
      <c r="F507" s="2022">
        <v>0</v>
      </c>
      <c r="G507" s="2022">
        <v>24106.94</v>
      </c>
      <c r="H507" s="2022">
        <v>0</v>
      </c>
      <c r="I507" s="2011">
        <f t="shared" si="11"/>
        <v>24106.94</v>
      </c>
      <c r="J507" s="2022"/>
      <c r="K507" s="2463"/>
    </row>
    <row r="508" spans="1:66" x14ac:dyDescent="0.2">
      <c r="A508" s="2020" t="s">
        <v>5767</v>
      </c>
      <c r="B508" s="2020" t="s">
        <v>6036</v>
      </c>
      <c r="C508" s="2022">
        <v>21981.14</v>
      </c>
      <c r="D508" s="2022">
        <v>0</v>
      </c>
      <c r="E508" s="2022">
        <v>2082.21</v>
      </c>
      <c r="F508" s="2022">
        <v>0</v>
      </c>
      <c r="G508" s="2022">
        <v>2082.21</v>
      </c>
      <c r="H508" s="2022">
        <v>0</v>
      </c>
      <c r="I508" s="2011">
        <f t="shared" si="11"/>
        <v>2082.21</v>
      </c>
      <c r="J508" s="2022"/>
      <c r="K508" s="2463"/>
    </row>
    <row r="509" spans="1:66" x14ac:dyDescent="0.2">
      <c r="A509" s="2020" t="s">
        <v>5768</v>
      </c>
      <c r="B509" s="2020" t="s">
        <v>6248</v>
      </c>
      <c r="C509" s="2022">
        <v>-694560.48</v>
      </c>
      <c r="D509" s="2022">
        <v>0</v>
      </c>
      <c r="E509" s="2022">
        <f>131775.77+AR509+N509+BM509</f>
        <v>390634.29</v>
      </c>
      <c r="F509" s="2022">
        <f>-4612453.35+BN509</f>
        <v>-4612482.1999999993</v>
      </c>
      <c r="G509" s="2022">
        <v>0</v>
      </c>
      <c r="H509" s="2022">
        <v>-4480677.58</v>
      </c>
      <c r="I509" s="2011">
        <f t="shared" si="11"/>
        <v>-4221847.9099999992</v>
      </c>
      <c r="J509" s="2022"/>
      <c r="K509" s="2463"/>
      <c r="N509" s="2022">
        <v>-8571.18</v>
      </c>
      <c r="AR509" s="2022">
        <v>267405.59999999998</v>
      </c>
      <c r="BM509" s="2728">
        <v>24.1</v>
      </c>
      <c r="BN509" s="2728">
        <v>-28.85</v>
      </c>
    </row>
    <row r="510" spans="1:66" x14ac:dyDescent="0.2">
      <c r="A510" s="2020" t="s">
        <v>5770</v>
      </c>
      <c r="B510" s="2020" t="s">
        <v>6037</v>
      </c>
      <c r="C510" s="2022">
        <v>-3165581.42</v>
      </c>
      <c r="D510" s="2022">
        <v>0</v>
      </c>
      <c r="E510" s="2022">
        <v>0</v>
      </c>
      <c r="F510" s="2022">
        <v>0</v>
      </c>
      <c r="G510" s="2022">
        <v>0</v>
      </c>
      <c r="H510" s="2022">
        <v>0</v>
      </c>
      <c r="I510" s="2011">
        <f t="shared" si="11"/>
        <v>0</v>
      </c>
      <c r="J510" s="2022"/>
      <c r="K510" s="2463"/>
    </row>
    <row r="511" spans="1:66" x14ac:dyDescent="0.2">
      <c r="A511" s="2020" t="s">
        <v>5771</v>
      </c>
      <c r="B511" s="2020" t="s">
        <v>6003</v>
      </c>
      <c r="C511" s="2022">
        <v>1468457.08</v>
      </c>
      <c r="D511" s="2022">
        <v>0</v>
      </c>
      <c r="E511" s="2022">
        <v>1552645.13</v>
      </c>
      <c r="F511" s="2022">
        <v>-33926.769999999997</v>
      </c>
      <c r="G511" s="2022">
        <v>1518718.36</v>
      </c>
      <c r="H511" s="2022">
        <v>0</v>
      </c>
      <c r="I511" s="2011">
        <f t="shared" si="11"/>
        <v>1518718.3599999999</v>
      </c>
      <c r="J511" s="2022"/>
      <c r="K511" s="2463"/>
    </row>
    <row r="512" spans="1:66" x14ac:dyDescent="0.2">
      <c r="A512" s="2020" t="s">
        <v>5772</v>
      </c>
      <c r="B512" s="2020" t="s">
        <v>6004</v>
      </c>
      <c r="C512" s="2022">
        <v>119995.23</v>
      </c>
      <c r="D512" s="2022">
        <v>0</v>
      </c>
      <c r="E512" s="2022">
        <v>144210.39000000001</v>
      </c>
      <c r="F512" s="2022">
        <v>0</v>
      </c>
      <c r="G512" s="2022">
        <v>144210.39000000001</v>
      </c>
      <c r="H512" s="2022">
        <v>0</v>
      </c>
      <c r="I512" s="2011">
        <f t="shared" si="11"/>
        <v>144210.39000000001</v>
      </c>
      <c r="J512" s="2022"/>
      <c r="K512" s="2463"/>
    </row>
    <row r="513" spans="1:89" x14ac:dyDescent="0.2">
      <c r="A513" s="2020" t="s">
        <v>5774</v>
      </c>
      <c r="B513" s="2020" t="s">
        <v>6236</v>
      </c>
      <c r="C513" s="2022">
        <v>3987.46</v>
      </c>
      <c r="D513" s="2022">
        <v>0</v>
      </c>
      <c r="E513" s="2022">
        <v>3987.46</v>
      </c>
      <c r="F513" s="2022">
        <v>0</v>
      </c>
      <c r="G513" s="2022">
        <v>3987.46</v>
      </c>
      <c r="H513" s="2022">
        <v>0</v>
      </c>
      <c r="I513" s="2011">
        <f t="shared" si="11"/>
        <v>3987.46</v>
      </c>
      <c r="J513" s="2022"/>
      <c r="K513" s="2463"/>
    </row>
    <row r="514" spans="1:89" x14ac:dyDescent="0.2">
      <c r="A514" s="2020" t="s">
        <v>5775</v>
      </c>
      <c r="B514" s="2020" t="s">
        <v>6006</v>
      </c>
      <c r="C514" s="2022">
        <v>6264</v>
      </c>
      <c r="D514" s="2022">
        <v>0</v>
      </c>
      <c r="E514" s="2022">
        <v>6264</v>
      </c>
      <c r="F514" s="2022">
        <v>0</v>
      </c>
      <c r="G514" s="2022">
        <v>6264</v>
      </c>
      <c r="H514" s="2022">
        <v>0</v>
      </c>
      <c r="I514" s="2011">
        <f t="shared" si="11"/>
        <v>6264</v>
      </c>
      <c r="J514" s="2022"/>
      <c r="K514" s="2463"/>
    </row>
    <row r="515" spans="1:89" x14ac:dyDescent="0.2">
      <c r="A515" s="2020" t="s">
        <v>5776</v>
      </c>
      <c r="B515" s="2020" t="s">
        <v>6007</v>
      </c>
      <c r="C515" s="2022">
        <v>61844.45</v>
      </c>
      <c r="D515" s="2022">
        <v>0</v>
      </c>
      <c r="E515" s="2022">
        <v>65694.45</v>
      </c>
      <c r="F515" s="2022">
        <v>0</v>
      </c>
      <c r="G515" s="2022">
        <v>65694.45</v>
      </c>
      <c r="H515" s="2022">
        <v>0</v>
      </c>
      <c r="I515" s="2011">
        <f t="shared" ref="I515:I532" si="12">SUM(E515:F515)</f>
        <v>65694.45</v>
      </c>
      <c r="J515" s="2022"/>
      <c r="K515" s="2463"/>
    </row>
    <row r="516" spans="1:89" x14ac:dyDescent="0.2">
      <c r="A516" s="2020" t="s">
        <v>5778</v>
      </c>
      <c r="B516" s="2020" t="s">
        <v>6009</v>
      </c>
      <c r="C516" s="2022">
        <v>18335.310000000001</v>
      </c>
      <c r="D516" s="2022">
        <v>0</v>
      </c>
      <c r="E516" s="2022">
        <v>18335.310000000001</v>
      </c>
      <c r="F516" s="2022">
        <v>0</v>
      </c>
      <c r="G516" s="2022">
        <v>18335.310000000001</v>
      </c>
      <c r="H516" s="2022">
        <v>0</v>
      </c>
      <c r="I516" s="2011">
        <f t="shared" si="12"/>
        <v>18335.310000000001</v>
      </c>
      <c r="J516" s="2022"/>
      <c r="K516" s="2463"/>
    </row>
    <row r="517" spans="1:89" x14ac:dyDescent="0.2">
      <c r="A517" s="2020" t="s">
        <v>5779</v>
      </c>
      <c r="B517" s="2020" t="s">
        <v>6010</v>
      </c>
      <c r="C517" s="2022">
        <v>984</v>
      </c>
      <c r="D517" s="2022">
        <v>0</v>
      </c>
      <c r="E517" s="2022">
        <v>1041.4000000000001</v>
      </c>
      <c r="F517" s="2022">
        <v>0</v>
      </c>
      <c r="G517" s="2022">
        <v>1041.4000000000001</v>
      </c>
      <c r="H517" s="2022">
        <v>0</v>
      </c>
      <c r="I517" s="2011">
        <f t="shared" si="12"/>
        <v>1041.4000000000001</v>
      </c>
      <c r="J517" s="2022"/>
      <c r="K517" s="2463"/>
    </row>
    <row r="518" spans="1:89" x14ac:dyDescent="0.2">
      <c r="A518" s="2020" t="s">
        <v>5780</v>
      </c>
      <c r="B518" s="2020" t="s">
        <v>6011</v>
      </c>
      <c r="C518" s="2022">
        <v>19030.849999999999</v>
      </c>
      <c r="D518" s="2022">
        <v>0</v>
      </c>
      <c r="E518" s="2022">
        <v>17323.61</v>
      </c>
      <c r="F518" s="2022">
        <v>0</v>
      </c>
      <c r="G518" s="2022">
        <v>17323.61</v>
      </c>
      <c r="H518" s="2022">
        <v>0</v>
      </c>
      <c r="I518" s="2011">
        <f t="shared" si="12"/>
        <v>17323.61</v>
      </c>
      <c r="J518" s="2022"/>
      <c r="K518" s="2463"/>
    </row>
    <row r="519" spans="1:89" x14ac:dyDescent="0.2">
      <c r="A519" s="2020" t="s">
        <v>5782</v>
      </c>
      <c r="B519" s="2020" t="s">
        <v>6012</v>
      </c>
      <c r="C519" s="2022">
        <v>108914.4</v>
      </c>
      <c r="D519" s="2022">
        <v>0</v>
      </c>
      <c r="E519" s="2022">
        <v>120798.6</v>
      </c>
      <c r="F519" s="2022">
        <v>0</v>
      </c>
      <c r="G519" s="2022">
        <v>120798.6</v>
      </c>
      <c r="H519" s="2022">
        <v>0</v>
      </c>
      <c r="I519" s="2011">
        <f t="shared" si="12"/>
        <v>120798.6</v>
      </c>
      <c r="J519" s="2022"/>
      <c r="K519" s="2463"/>
    </row>
    <row r="520" spans="1:89" x14ac:dyDescent="0.2">
      <c r="A520" s="2020" t="s">
        <v>5783</v>
      </c>
      <c r="B520" s="2020" t="s">
        <v>6013</v>
      </c>
      <c r="C520" s="2022">
        <v>255549.37</v>
      </c>
      <c r="D520" s="2022">
        <v>0</v>
      </c>
      <c r="E520" s="2022">
        <v>263606.76</v>
      </c>
      <c r="F520" s="2022">
        <v>0</v>
      </c>
      <c r="G520" s="2022">
        <v>263606.76</v>
      </c>
      <c r="H520" s="2022">
        <v>0</v>
      </c>
      <c r="I520" s="2011">
        <f t="shared" si="12"/>
        <v>263606.76</v>
      </c>
      <c r="J520" s="2022"/>
      <c r="K520" s="2463"/>
    </row>
    <row r="521" spans="1:89" x14ac:dyDescent="0.2">
      <c r="A521" s="2020" t="s">
        <v>5784</v>
      </c>
      <c r="B521" s="2020" t="s">
        <v>6014</v>
      </c>
      <c r="C521" s="2022">
        <v>20206.080000000002</v>
      </c>
      <c r="D521" s="2022">
        <v>0</v>
      </c>
      <c r="E521" s="2022">
        <v>17204.27</v>
      </c>
      <c r="F521" s="2022">
        <v>0</v>
      </c>
      <c r="G521" s="2022">
        <v>17204.27</v>
      </c>
      <c r="H521" s="2022">
        <v>0</v>
      </c>
      <c r="I521" s="2011">
        <f t="shared" si="12"/>
        <v>17204.27</v>
      </c>
      <c r="J521" s="2022"/>
      <c r="K521" s="2463"/>
    </row>
    <row r="522" spans="1:89" s="2100" customFormat="1" x14ac:dyDescent="0.2">
      <c r="A522" s="1127" t="s">
        <v>5787</v>
      </c>
      <c r="B522" s="2106" t="s">
        <v>8156</v>
      </c>
      <c r="C522" s="2022"/>
      <c r="D522" s="2216">
        <v>0</v>
      </c>
      <c r="E522" s="2216">
        <v>0</v>
      </c>
      <c r="F522" s="2022">
        <f>BV522</f>
        <v>-65043.17</v>
      </c>
      <c r="G522" s="2022"/>
      <c r="H522" s="2022"/>
      <c r="I522" s="2011">
        <f t="shared" si="12"/>
        <v>-65043.17</v>
      </c>
      <c r="J522" s="2022"/>
      <c r="K522" s="2463"/>
      <c r="L522" s="2022"/>
      <c r="M522" s="2022"/>
      <c r="N522" s="2022"/>
      <c r="O522" s="2022"/>
      <c r="P522" s="2022"/>
      <c r="Q522" s="2022"/>
      <c r="R522" s="2022"/>
      <c r="S522" s="2022"/>
      <c r="T522" s="2022"/>
      <c r="U522" s="2022"/>
      <c r="V522" s="2022"/>
      <c r="W522" s="2022"/>
      <c r="X522" s="2022"/>
      <c r="Y522" s="2022"/>
      <c r="Z522" s="2022"/>
      <c r="AA522" s="2022"/>
      <c r="AB522" s="2022"/>
      <c r="AC522" s="2022"/>
      <c r="AD522" s="2022"/>
      <c r="AE522" s="2022"/>
      <c r="AF522" s="2022"/>
      <c r="AG522" s="2022"/>
      <c r="AH522" s="2022"/>
      <c r="AI522" s="2022"/>
      <c r="AJ522" s="2022"/>
      <c r="AK522" s="2022"/>
      <c r="AL522" s="2022"/>
      <c r="AM522" s="2022"/>
      <c r="AN522" s="2022"/>
      <c r="AO522" s="2022"/>
      <c r="AP522" s="2022"/>
      <c r="AQ522" s="2022"/>
      <c r="AR522" s="2022"/>
      <c r="AS522" s="2022"/>
      <c r="AT522" s="2022"/>
      <c r="AU522" s="2022"/>
      <c r="AV522" s="2558"/>
      <c r="AW522" s="2022"/>
      <c r="AX522" s="2022"/>
      <c r="AY522" s="2022"/>
      <c r="AZ522" s="2022"/>
      <c r="BA522" s="2022"/>
      <c r="BB522" s="2022"/>
      <c r="BC522" s="2022"/>
      <c r="BD522" s="2022"/>
      <c r="BE522" s="2022"/>
      <c r="BF522" s="2022"/>
      <c r="BG522" s="2022"/>
      <c r="BH522" s="2022"/>
      <c r="BI522" s="2728"/>
      <c r="BJ522" s="2728"/>
      <c r="BK522" s="2728"/>
      <c r="BL522" s="2728"/>
      <c r="BM522" s="2728"/>
      <c r="BN522" s="2728"/>
      <c r="BO522" s="2728"/>
      <c r="BP522" s="2728"/>
      <c r="BQ522" s="2728"/>
      <c r="BR522" s="2728"/>
      <c r="BS522" s="2632"/>
      <c r="BT522" s="2632"/>
      <c r="BU522" s="2728"/>
      <c r="BV522" s="2728">
        <v>-65043.17</v>
      </c>
      <c r="BW522" s="2632"/>
      <c r="BX522" s="2632"/>
      <c r="BY522" s="2632"/>
      <c r="BZ522" s="2632"/>
      <c r="CA522" s="2632"/>
      <c r="CB522" s="2728"/>
      <c r="CC522" s="2632"/>
      <c r="CD522" s="2632"/>
      <c r="CE522" s="2632"/>
      <c r="CF522" s="2632"/>
      <c r="CG522" s="2728"/>
      <c r="CH522" s="2728"/>
      <c r="CI522" s="2632"/>
      <c r="CJ522" s="2632"/>
      <c r="CK522" s="2632"/>
    </row>
    <row r="523" spans="1:89" x14ac:dyDescent="0.2">
      <c r="A523" s="2020" t="s">
        <v>5788</v>
      </c>
      <c r="B523" s="2020" t="s">
        <v>6240</v>
      </c>
      <c r="C523" s="2022">
        <v>8106389.4299999997</v>
      </c>
      <c r="D523" s="2022">
        <v>0</v>
      </c>
      <c r="E523" s="2022">
        <v>0</v>
      </c>
      <c r="F523" s="2022">
        <v>0</v>
      </c>
      <c r="G523" s="2022">
        <v>0</v>
      </c>
      <c r="H523" s="2022">
        <v>0</v>
      </c>
      <c r="I523" s="2011">
        <f t="shared" si="12"/>
        <v>0</v>
      </c>
      <c r="J523" s="2022"/>
      <c r="K523" s="2463"/>
    </row>
    <row r="524" spans="1:89" x14ac:dyDescent="0.2">
      <c r="A524" s="2020" t="s">
        <v>5789</v>
      </c>
      <c r="B524" s="2020" t="s">
        <v>6249</v>
      </c>
      <c r="C524" s="2022">
        <v>536000</v>
      </c>
      <c r="D524" s="2022">
        <v>0</v>
      </c>
      <c r="E524" s="2022">
        <v>0</v>
      </c>
      <c r="F524" s="2022">
        <v>0</v>
      </c>
      <c r="G524" s="2022">
        <v>0</v>
      </c>
      <c r="H524" s="2022">
        <v>0</v>
      </c>
      <c r="I524" s="2011">
        <f t="shared" si="12"/>
        <v>0</v>
      </c>
      <c r="J524" s="2022"/>
      <c r="K524" s="2463"/>
    </row>
    <row r="525" spans="1:89" x14ac:dyDescent="0.2">
      <c r="A525" s="2020" t="s">
        <v>5791</v>
      </c>
      <c r="B525" s="2020" t="s">
        <v>5792</v>
      </c>
      <c r="C525" s="2022">
        <v>4200000</v>
      </c>
      <c r="D525" s="2022">
        <v>0</v>
      </c>
      <c r="E525" s="2022">
        <v>0</v>
      </c>
      <c r="F525" s="2022">
        <v>0</v>
      </c>
      <c r="G525" s="2022">
        <v>0</v>
      </c>
      <c r="H525" s="2022">
        <v>0</v>
      </c>
      <c r="I525" s="2011">
        <f t="shared" si="12"/>
        <v>0</v>
      </c>
      <c r="J525" s="2022"/>
      <c r="K525" s="2463"/>
    </row>
    <row r="526" spans="1:89" x14ac:dyDescent="0.2">
      <c r="A526" s="2020" t="s">
        <v>5797</v>
      </c>
      <c r="B526" s="2020" t="s">
        <v>6241</v>
      </c>
      <c r="C526" s="2022">
        <v>0</v>
      </c>
      <c r="D526" s="2022">
        <v>0</v>
      </c>
      <c r="E526" s="2022">
        <v>6185</v>
      </c>
      <c r="F526" s="2022">
        <v>0</v>
      </c>
      <c r="G526" s="2022">
        <v>6185</v>
      </c>
      <c r="H526" s="2022">
        <v>0</v>
      </c>
      <c r="I526" s="2011">
        <f t="shared" si="12"/>
        <v>6185</v>
      </c>
      <c r="J526" s="2022"/>
      <c r="K526" s="2463"/>
    </row>
    <row r="527" spans="1:89" x14ac:dyDescent="0.2">
      <c r="A527" s="2020" t="s">
        <v>5799</v>
      </c>
      <c r="B527" s="2020" t="s">
        <v>6108</v>
      </c>
      <c r="C527" s="2022">
        <v>5661</v>
      </c>
      <c r="D527" s="2022">
        <v>0</v>
      </c>
      <c r="E527" s="2022">
        <v>8840.6</v>
      </c>
      <c r="F527" s="2022">
        <v>0</v>
      </c>
      <c r="G527" s="2022">
        <v>8840.6</v>
      </c>
      <c r="H527" s="2022">
        <v>0</v>
      </c>
      <c r="I527" s="2011">
        <f t="shared" si="12"/>
        <v>8840.6</v>
      </c>
      <c r="J527" s="2022"/>
      <c r="K527" s="2463"/>
    </row>
    <row r="528" spans="1:89" x14ac:dyDescent="0.2">
      <c r="A528" s="2020" t="s">
        <v>5801</v>
      </c>
      <c r="B528" s="2020" t="s">
        <v>4873</v>
      </c>
      <c r="C528" s="2022">
        <v>10050.48</v>
      </c>
      <c r="D528" s="2022">
        <v>0</v>
      </c>
      <c r="E528" s="2022">
        <f>8246.99+R528</f>
        <v>0</v>
      </c>
      <c r="F528" s="2022">
        <v>0</v>
      </c>
      <c r="G528" s="2022">
        <v>8246.99</v>
      </c>
      <c r="H528" s="2022">
        <v>0</v>
      </c>
      <c r="I528" s="2011">
        <f t="shared" si="12"/>
        <v>0</v>
      </c>
      <c r="J528" s="2022"/>
      <c r="K528" s="2463"/>
      <c r="R528" s="2022">
        <v>-8246.99</v>
      </c>
    </row>
    <row r="529" spans="1:74" x14ac:dyDescent="0.2">
      <c r="A529" s="2020" t="s">
        <v>5803</v>
      </c>
      <c r="B529" s="2020" t="s">
        <v>6029</v>
      </c>
      <c r="C529" s="2022">
        <v>80000</v>
      </c>
      <c r="D529" s="2022">
        <v>0</v>
      </c>
      <c r="E529" s="2022">
        <v>95505.3</v>
      </c>
      <c r="F529" s="2022">
        <v>0</v>
      </c>
      <c r="G529" s="2022">
        <v>95505.3</v>
      </c>
      <c r="H529" s="2022">
        <v>0</v>
      </c>
      <c r="I529" s="2011">
        <f t="shared" si="12"/>
        <v>95505.3</v>
      </c>
      <c r="J529" s="2022"/>
      <c r="K529" s="2463"/>
    </row>
    <row r="530" spans="1:74" x14ac:dyDescent="0.2">
      <c r="A530" s="2020" t="s">
        <v>5805</v>
      </c>
      <c r="B530" s="2020" t="s">
        <v>6030</v>
      </c>
      <c r="C530" s="2022">
        <v>86793.52</v>
      </c>
      <c r="D530" s="2022">
        <v>0</v>
      </c>
      <c r="E530" s="2022">
        <v>46429.06</v>
      </c>
      <c r="F530" s="2022">
        <v>0</v>
      </c>
      <c r="G530" s="2022">
        <v>46429.06</v>
      </c>
      <c r="H530" s="2022">
        <v>0</v>
      </c>
      <c r="I530" s="2011">
        <f t="shared" si="12"/>
        <v>46429.06</v>
      </c>
      <c r="J530" s="2022"/>
      <c r="K530" s="2463"/>
    </row>
    <row r="531" spans="1:74" x14ac:dyDescent="0.2">
      <c r="A531" s="2020" t="s">
        <v>5806</v>
      </c>
      <c r="B531" s="2020" t="s">
        <v>4883</v>
      </c>
      <c r="C531" s="2022">
        <v>1000</v>
      </c>
      <c r="D531" s="2022">
        <v>0</v>
      </c>
      <c r="E531" s="2022">
        <v>105.7</v>
      </c>
      <c r="F531" s="2022">
        <v>0</v>
      </c>
      <c r="G531" s="2022">
        <v>105.7</v>
      </c>
      <c r="H531" s="2022">
        <v>0</v>
      </c>
      <c r="I531" s="2011">
        <f t="shared" si="12"/>
        <v>105.7</v>
      </c>
      <c r="J531" s="2022"/>
      <c r="K531" s="2463"/>
    </row>
    <row r="532" spans="1:74" x14ac:dyDescent="0.2">
      <c r="A532" s="2020" t="s">
        <v>5808</v>
      </c>
      <c r="B532" s="2020" t="s">
        <v>6032</v>
      </c>
      <c r="C532" s="2022">
        <v>10000</v>
      </c>
      <c r="D532" s="2022">
        <v>0</v>
      </c>
      <c r="E532" s="2022">
        <v>2370.56</v>
      </c>
      <c r="F532" s="2022">
        <v>0</v>
      </c>
      <c r="G532" s="2022">
        <v>2370.56</v>
      </c>
      <c r="H532" s="2022">
        <v>0</v>
      </c>
      <c r="I532" s="2011">
        <f t="shared" si="12"/>
        <v>2370.56</v>
      </c>
      <c r="J532" s="2022"/>
      <c r="K532" s="2463"/>
    </row>
    <row r="533" spans="1:74" x14ac:dyDescent="0.2">
      <c r="A533" s="2020" t="s">
        <v>5810</v>
      </c>
      <c r="B533" s="2020" t="s">
        <v>6250</v>
      </c>
      <c r="C533" s="2022">
        <v>0</v>
      </c>
      <c r="D533" s="2022">
        <v>0</v>
      </c>
      <c r="E533" s="2022">
        <f>326890.44+Z533</f>
        <v>332599.43</v>
      </c>
      <c r="F533" s="2022">
        <f>AZ533</f>
        <v>-332599.43</v>
      </c>
      <c r="G533" s="2022">
        <v>326890.44</v>
      </c>
      <c r="H533" s="2022">
        <v>0</v>
      </c>
      <c r="I533" s="2011">
        <f>SUM(E533:F533)</f>
        <v>0</v>
      </c>
      <c r="J533" s="2022"/>
      <c r="K533" s="2463"/>
      <c r="Z533" s="2022">
        <v>5708.99</v>
      </c>
      <c r="AZ533" s="2022">
        <v>-332599.43</v>
      </c>
    </row>
    <row r="534" spans="1:74" x14ac:dyDescent="0.2">
      <c r="A534" s="2020" t="s">
        <v>5811</v>
      </c>
      <c r="B534" s="2020" t="s">
        <v>4929</v>
      </c>
      <c r="C534" s="2022">
        <v>0</v>
      </c>
      <c r="D534" s="2022">
        <f>428338+BG534+BU534</f>
        <v>428338</v>
      </c>
      <c r="E534" s="2022">
        <f>1724.18+BF534</f>
        <v>231699.81</v>
      </c>
      <c r="F534" s="2022">
        <f>-2967.92+BV534</f>
        <v>-232943.55000000002</v>
      </c>
      <c r="G534" s="2022">
        <v>0</v>
      </c>
      <c r="H534" s="2022">
        <v>-1243.74</v>
      </c>
      <c r="I534" s="2011">
        <f t="shared" ref="I534:I571" si="13">SUM(D534:F534)</f>
        <v>427094.26</v>
      </c>
      <c r="J534" s="2022"/>
      <c r="K534" s="2464"/>
      <c r="BF534" s="2022">
        <v>229975.63</v>
      </c>
      <c r="BG534" s="2022">
        <v>369451.26</v>
      </c>
      <c r="BU534" s="2728">
        <v>-369451.26</v>
      </c>
      <c r="BV534" s="2728">
        <v>-229975.63</v>
      </c>
    </row>
    <row r="535" spans="1:74" x14ac:dyDescent="0.2">
      <c r="A535" s="2020" t="s">
        <v>5814</v>
      </c>
      <c r="B535" s="2020" t="s">
        <v>6251</v>
      </c>
      <c r="C535" s="2022">
        <v>61576.22</v>
      </c>
      <c r="D535" s="2022">
        <v>0</v>
      </c>
      <c r="E535" s="2022">
        <v>71176.22</v>
      </c>
      <c r="F535" s="2022">
        <v>0</v>
      </c>
      <c r="G535" s="2022">
        <v>71176.22</v>
      </c>
      <c r="H535" s="2022">
        <v>0</v>
      </c>
      <c r="I535" s="2011">
        <f t="shared" ref="I535:I567" si="14">SUM(E535:F535)</f>
        <v>71176.22</v>
      </c>
      <c r="J535" s="2022"/>
      <c r="K535" s="2463"/>
    </row>
    <row r="536" spans="1:74" x14ac:dyDescent="0.2">
      <c r="A536" s="2020" t="s">
        <v>5815</v>
      </c>
      <c r="B536" s="2020" t="s">
        <v>6034</v>
      </c>
      <c r="C536" s="2022">
        <v>45000</v>
      </c>
      <c r="D536" s="2022">
        <v>0</v>
      </c>
      <c r="E536" s="2022">
        <v>43329.26</v>
      </c>
      <c r="F536" s="2022">
        <v>0</v>
      </c>
      <c r="G536" s="2022">
        <v>43329.26</v>
      </c>
      <c r="H536" s="2022">
        <v>0</v>
      </c>
      <c r="I536" s="2011">
        <f t="shared" si="14"/>
        <v>43329.26</v>
      </c>
      <c r="J536" s="2022"/>
      <c r="K536" s="2463"/>
    </row>
    <row r="537" spans="1:74" x14ac:dyDescent="0.2">
      <c r="A537" s="2020" t="s">
        <v>5817</v>
      </c>
      <c r="B537" s="2020" t="s">
        <v>6035</v>
      </c>
      <c r="C537" s="2022">
        <v>11901.41</v>
      </c>
      <c r="D537" s="2022">
        <v>0</v>
      </c>
      <c r="E537" s="2022">
        <v>11606.07</v>
      </c>
      <c r="F537" s="2022">
        <v>0</v>
      </c>
      <c r="G537" s="2022">
        <v>11606.07</v>
      </c>
      <c r="H537" s="2022">
        <v>0</v>
      </c>
      <c r="I537" s="2011">
        <f t="shared" si="14"/>
        <v>11606.07</v>
      </c>
      <c r="J537" s="2022"/>
      <c r="K537" s="2463"/>
    </row>
    <row r="538" spans="1:74" x14ac:dyDescent="0.2">
      <c r="A538" s="2020" t="s">
        <v>5818</v>
      </c>
      <c r="B538" s="2020" t="s">
        <v>6036</v>
      </c>
      <c r="C538" s="2022">
        <v>14378.08</v>
      </c>
      <c r="D538" s="2022">
        <v>0</v>
      </c>
      <c r="E538" s="2022">
        <v>4387.5200000000004</v>
      </c>
      <c r="F538" s="2022">
        <v>0</v>
      </c>
      <c r="G538" s="2022">
        <v>4387.5200000000004</v>
      </c>
      <c r="H538" s="2022">
        <v>0</v>
      </c>
      <c r="I538" s="2011">
        <f t="shared" si="14"/>
        <v>4387.5200000000004</v>
      </c>
      <c r="J538" s="2022"/>
      <c r="K538" s="2463"/>
    </row>
    <row r="539" spans="1:74" x14ac:dyDescent="0.2">
      <c r="A539" s="2020" t="s">
        <v>5819</v>
      </c>
      <c r="B539" s="2020" t="s">
        <v>6252</v>
      </c>
      <c r="C539" s="2022">
        <v>-6488.53</v>
      </c>
      <c r="D539" s="2022">
        <v>0</v>
      </c>
      <c r="E539" s="2022">
        <v>0</v>
      </c>
      <c r="F539" s="2022">
        <v>0</v>
      </c>
      <c r="G539" s="2022">
        <v>0</v>
      </c>
      <c r="H539" s="2022">
        <v>0</v>
      </c>
      <c r="I539" s="2011">
        <f t="shared" si="14"/>
        <v>0</v>
      </c>
      <c r="J539" s="2022"/>
      <c r="K539" s="2463"/>
    </row>
    <row r="540" spans="1:74" x14ac:dyDescent="0.2">
      <c r="A540" s="2020" t="s">
        <v>5820</v>
      </c>
      <c r="B540" s="2020" t="s">
        <v>6037</v>
      </c>
      <c r="C540" s="2022">
        <v>-2402403.79</v>
      </c>
      <c r="D540" s="2022">
        <v>0</v>
      </c>
      <c r="E540" s="2022">
        <v>0</v>
      </c>
      <c r="F540" s="2022">
        <v>0</v>
      </c>
      <c r="G540" s="2022">
        <v>0</v>
      </c>
      <c r="H540" s="2022">
        <v>0</v>
      </c>
      <c r="I540" s="2011">
        <f t="shared" si="14"/>
        <v>0</v>
      </c>
      <c r="J540" s="2022"/>
      <c r="K540" s="2463"/>
    </row>
    <row r="541" spans="1:74" x14ac:dyDescent="0.2">
      <c r="A541" s="2020" t="s">
        <v>5821</v>
      </c>
      <c r="B541" s="2020" t="s">
        <v>6244</v>
      </c>
      <c r="C541" s="2022">
        <v>-8106389.4299999997</v>
      </c>
      <c r="D541" s="2022">
        <v>0</v>
      </c>
      <c r="E541" s="2022">
        <v>0</v>
      </c>
      <c r="F541" s="2022">
        <v>0</v>
      </c>
      <c r="G541" s="2022">
        <v>0</v>
      </c>
      <c r="H541" s="2022">
        <v>0</v>
      </c>
      <c r="I541" s="2011">
        <f t="shared" si="14"/>
        <v>0</v>
      </c>
      <c r="J541" s="2022"/>
      <c r="K541" s="2463"/>
    </row>
    <row r="542" spans="1:74" x14ac:dyDescent="0.2">
      <c r="A542" s="2020" t="s">
        <v>5822</v>
      </c>
      <c r="B542" s="2020" t="s">
        <v>6253</v>
      </c>
      <c r="C542" s="2022">
        <v>-536000</v>
      </c>
      <c r="D542" s="2022">
        <v>0</v>
      </c>
      <c r="E542" s="2022">
        <v>0</v>
      </c>
      <c r="F542" s="2022">
        <v>0</v>
      </c>
      <c r="G542" s="2022">
        <v>0</v>
      </c>
      <c r="H542" s="2022">
        <v>0</v>
      </c>
      <c r="I542" s="2011">
        <f t="shared" si="14"/>
        <v>0</v>
      </c>
      <c r="J542" s="2022"/>
      <c r="K542" s="2463"/>
    </row>
    <row r="543" spans="1:74" x14ac:dyDescent="0.2">
      <c r="A543" s="2020" t="s">
        <v>5824</v>
      </c>
      <c r="B543" s="2020" t="s">
        <v>6254</v>
      </c>
      <c r="C543" s="2022">
        <v>-4200000</v>
      </c>
      <c r="D543" s="2022">
        <v>0</v>
      </c>
      <c r="E543" s="2022">
        <v>0</v>
      </c>
      <c r="F543" s="2022">
        <f>P543+BP543+BR543</f>
        <v>-2775200</v>
      </c>
      <c r="G543" s="2022">
        <v>0</v>
      </c>
      <c r="H543" s="2022">
        <v>0</v>
      </c>
      <c r="I543" s="2011">
        <f t="shared" si="14"/>
        <v>-2775200</v>
      </c>
      <c r="J543" s="2022"/>
      <c r="K543" s="2463"/>
      <c r="P543" s="2022">
        <v>-1651000</v>
      </c>
      <c r="BP543" s="2728">
        <f>-853251.14-147456</f>
        <v>-1000707.14</v>
      </c>
      <c r="BR543" s="2728">
        <v>-123492.86</v>
      </c>
    </row>
    <row r="544" spans="1:74" x14ac:dyDescent="0.2">
      <c r="A544" s="2020" t="s">
        <v>5826</v>
      </c>
      <c r="B544" s="2020" t="s">
        <v>6255</v>
      </c>
      <c r="C544" s="2022">
        <v>-1036.57</v>
      </c>
      <c r="D544" s="2022">
        <v>0</v>
      </c>
      <c r="E544" s="2022">
        <v>29.16</v>
      </c>
      <c r="F544" s="2022">
        <v>-237.6</v>
      </c>
      <c r="G544" s="2022">
        <v>0</v>
      </c>
      <c r="H544" s="2022">
        <v>-208.44</v>
      </c>
      <c r="I544" s="2011">
        <f t="shared" si="14"/>
        <v>-208.44</v>
      </c>
      <c r="J544" s="2022"/>
      <c r="K544" s="2463"/>
    </row>
    <row r="545" spans="1:43" x14ac:dyDescent="0.2">
      <c r="A545" s="2020" t="s">
        <v>5828</v>
      </c>
      <c r="B545" s="2020" t="s">
        <v>6003</v>
      </c>
      <c r="C545" s="2022">
        <v>3180071.08</v>
      </c>
      <c r="D545" s="2022">
        <v>0</v>
      </c>
      <c r="E545" s="2022">
        <v>3258616.8</v>
      </c>
      <c r="F545" s="2022">
        <f>-53715.09+AQ545</f>
        <v>-780767.64</v>
      </c>
      <c r="G545" s="2022">
        <v>3204901.71</v>
      </c>
      <c r="H545" s="2022">
        <v>0</v>
      </c>
      <c r="I545" s="2011">
        <f t="shared" si="14"/>
        <v>2477849.1599999997</v>
      </c>
      <c r="J545" s="2022"/>
      <c r="K545" s="2463"/>
      <c r="AQ545" s="2022">
        <v>-727052.55</v>
      </c>
    </row>
    <row r="546" spans="1:43" x14ac:dyDescent="0.2">
      <c r="A546" s="2020" t="s">
        <v>5829</v>
      </c>
      <c r="B546" s="2020" t="s">
        <v>6004</v>
      </c>
      <c r="C546" s="2022">
        <v>211623.54</v>
      </c>
      <c r="D546" s="2022">
        <v>0</v>
      </c>
      <c r="E546" s="2022">
        <v>211448.58</v>
      </c>
      <c r="F546" s="2022">
        <v>0</v>
      </c>
      <c r="G546" s="2022">
        <v>211448.58</v>
      </c>
      <c r="H546" s="2022">
        <v>0</v>
      </c>
      <c r="I546" s="2011">
        <f t="shared" si="14"/>
        <v>211448.58</v>
      </c>
      <c r="J546" s="2022"/>
      <c r="K546" s="2463"/>
    </row>
    <row r="547" spans="1:43" x14ac:dyDescent="0.2">
      <c r="A547" s="2020" t="s">
        <v>5830</v>
      </c>
      <c r="B547" s="2020" t="s">
        <v>6005</v>
      </c>
      <c r="C547" s="2022">
        <v>1800</v>
      </c>
      <c r="D547" s="2022">
        <v>0</v>
      </c>
      <c r="E547" s="2022">
        <v>300</v>
      </c>
      <c r="F547" s="2022">
        <v>0</v>
      </c>
      <c r="G547" s="2022">
        <v>300</v>
      </c>
      <c r="H547" s="2022">
        <v>0</v>
      </c>
      <c r="I547" s="2011">
        <f t="shared" si="14"/>
        <v>300</v>
      </c>
      <c r="J547" s="2022"/>
      <c r="K547" s="2463"/>
    </row>
    <row r="548" spans="1:43" x14ac:dyDescent="0.2">
      <c r="A548" s="2020" t="s">
        <v>5831</v>
      </c>
      <c r="B548" s="2020" t="s">
        <v>6236</v>
      </c>
      <c r="C548" s="2022">
        <v>30911.919999999998</v>
      </c>
      <c r="D548" s="2022">
        <v>0</v>
      </c>
      <c r="E548" s="2022">
        <v>30911.919999999998</v>
      </c>
      <c r="F548" s="2022">
        <v>0</v>
      </c>
      <c r="G548" s="2022">
        <v>30911.919999999998</v>
      </c>
      <c r="H548" s="2022">
        <v>0</v>
      </c>
      <c r="I548" s="2011">
        <f t="shared" si="14"/>
        <v>30911.919999999998</v>
      </c>
      <c r="J548" s="2022"/>
      <c r="K548" s="2463"/>
    </row>
    <row r="549" spans="1:43" x14ac:dyDescent="0.2">
      <c r="A549" s="2020" t="s">
        <v>5833</v>
      </c>
      <c r="B549" s="2020" t="s">
        <v>6007</v>
      </c>
      <c r="C549" s="2022">
        <v>500000</v>
      </c>
      <c r="D549" s="2022">
        <v>0</v>
      </c>
      <c r="E549" s="2022">
        <v>502104.53</v>
      </c>
      <c r="F549" s="2022">
        <v>0</v>
      </c>
      <c r="G549" s="2022">
        <v>502104.53</v>
      </c>
      <c r="H549" s="2022">
        <v>0</v>
      </c>
      <c r="I549" s="2011">
        <f t="shared" si="14"/>
        <v>502104.53</v>
      </c>
      <c r="J549" s="2022"/>
      <c r="K549" s="2463"/>
    </row>
    <row r="550" spans="1:43" x14ac:dyDescent="0.2">
      <c r="A550" s="2020" t="s">
        <v>5835</v>
      </c>
      <c r="B550" s="2020" t="s">
        <v>6010</v>
      </c>
      <c r="C550" s="2022">
        <v>1664.6</v>
      </c>
      <c r="D550" s="2022">
        <v>0</v>
      </c>
      <c r="E550" s="2022">
        <v>1656.4</v>
      </c>
      <c r="F550" s="2022">
        <v>0</v>
      </c>
      <c r="G550" s="2022">
        <v>1656.4</v>
      </c>
      <c r="H550" s="2022">
        <v>0</v>
      </c>
      <c r="I550" s="2011">
        <f t="shared" si="14"/>
        <v>1656.4</v>
      </c>
      <c r="J550" s="2022"/>
      <c r="K550" s="2463"/>
    </row>
    <row r="551" spans="1:43" x14ac:dyDescent="0.2">
      <c r="A551" s="2020" t="s">
        <v>5836</v>
      </c>
      <c r="B551" s="2020" t="s">
        <v>6011</v>
      </c>
      <c r="C551" s="2022">
        <v>35714.42</v>
      </c>
      <c r="D551" s="2022">
        <v>0</v>
      </c>
      <c r="E551" s="2022">
        <v>31728.42</v>
      </c>
      <c r="F551" s="2022">
        <v>0</v>
      </c>
      <c r="G551" s="2022">
        <v>31728.42</v>
      </c>
      <c r="H551" s="2022">
        <v>0</v>
      </c>
      <c r="I551" s="2011">
        <f t="shared" si="14"/>
        <v>31728.42</v>
      </c>
      <c r="J551" s="2022"/>
      <c r="K551" s="2463"/>
    </row>
    <row r="552" spans="1:43" x14ac:dyDescent="0.2">
      <c r="A552" s="2020" t="s">
        <v>5838</v>
      </c>
      <c r="B552" s="2020" t="s">
        <v>6012</v>
      </c>
      <c r="C552" s="2022">
        <v>122311.8</v>
      </c>
      <c r="D552" s="2022">
        <v>0</v>
      </c>
      <c r="E552" s="2022">
        <v>131662.6</v>
      </c>
      <c r="F552" s="2022">
        <v>0</v>
      </c>
      <c r="G552" s="2022">
        <v>131662.6</v>
      </c>
      <c r="H552" s="2022">
        <v>0</v>
      </c>
      <c r="I552" s="2011">
        <f t="shared" si="14"/>
        <v>131662.6</v>
      </c>
      <c r="J552" s="2022"/>
      <c r="K552" s="2463"/>
    </row>
    <row r="553" spans="1:43" x14ac:dyDescent="0.2">
      <c r="A553" s="2020" t="s">
        <v>5839</v>
      </c>
      <c r="B553" s="2020" t="s">
        <v>6013</v>
      </c>
      <c r="C553" s="2022">
        <v>458476.46</v>
      </c>
      <c r="D553" s="2022">
        <v>0</v>
      </c>
      <c r="E553" s="2022">
        <v>457578.47</v>
      </c>
      <c r="F553" s="2022">
        <v>0</v>
      </c>
      <c r="G553" s="2022">
        <v>457578.47</v>
      </c>
      <c r="H553" s="2022">
        <v>0</v>
      </c>
      <c r="I553" s="2011">
        <f t="shared" si="14"/>
        <v>457578.47</v>
      </c>
      <c r="J553" s="2022"/>
      <c r="K553" s="2463"/>
    </row>
    <row r="554" spans="1:43" x14ac:dyDescent="0.2">
      <c r="A554" s="2020" t="s">
        <v>5840</v>
      </c>
      <c r="B554" s="2020" t="s">
        <v>6014</v>
      </c>
      <c r="C554" s="2022">
        <v>36827.89</v>
      </c>
      <c r="D554" s="2022">
        <v>0</v>
      </c>
      <c r="E554" s="2022">
        <v>31086.97</v>
      </c>
      <c r="F554" s="2022">
        <v>0</v>
      </c>
      <c r="G554" s="2022">
        <v>31086.97</v>
      </c>
      <c r="H554" s="2022">
        <v>0</v>
      </c>
      <c r="I554" s="2011">
        <f t="shared" si="14"/>
        <v>31086.97</v>
      </c>
      <c r="J554" s="2022"/>
      <c r="K554" s="2463"/>
    </row>
    <row r="555" spans="1:43" x14ac:dyDescent="0.2">
      <c r="A555" s="2020" t="s">
        <v>5841</v>
      </c>
      <c r="B555" s="2020" t="s">
        <v>6237</v>
      </c>
      <c r="C555" s="2022">
        <v>434745.59999999998</v>
      </c>
      <c r="D555" s="2022">
        <v>0</v>
      </c>
      <c r="E555" s="2022">
        <v>0</v>
      </c>
      <c r="F555" s="2022">
        <v>0</v>
      </c>
      <c r="G555" s="2022">
        <v>0</v>
      </c>
      <c r="H555" s="2022">
        <v>0</v>
      </c>
      <c r="I555" s="2011">
        <f t="shared" si="14"/>
        <v>0</v>
      </c>
      <c r="J555" s="2022"/>
      <c r="K555" s="2463"/>
    </row>
    <row r="556" spans="1:43" x14ac:dyDescent="0.2">
      <c r="A556" s="2020" t="s">
        <v>5845</v>
      </c>
      <c r="B556" s="2020" t="s">
        <v>6256</v>
      </c>
      <c r="C556" s="2022">
        <v>2315.79</v>
      </c>
      <c r="D556" s="2022">
        <v>0</v>
      </c>
      <c r="E556" s="2022">
        <v>2315.79</v>
      </c>
      <c r="F556" s="2022">
        <f>AI556</f>
        <v>-2315.79</v>
      </c>
      <c r="G556" s="2022">
        <v>2315.79</v>
      </c>
      <c r="H556" s="2022">
        <v>0</v>
      </c>
      <c r="I556" s="2011">
        <f t="shared" si="14"/>
        <v>0</v>
      </c>
      <c r="J556" s="2022"/>
      <c r="K556" s="2463"/>
      <c r="AI556" s="2022">
        <v>-2315.79</v>
      </c>
    </row>
    <row r="557" spans="1:43" x14ac:dyDescent="0.2">
      <c r="A557" s="2020" t="s">
        <v>5848</v>
      </c>
      <c r="B557" s="2020" t="s">
        <v>6240</v>
      </c>
      <c r="C557" s="2022">
        <v>2850659.99</v>
      </c>
      <c r="D557" s="2022">
        <v>0</v>
      </c>
      <c r="E557" s="2022">
        <v>0</v>
      </c>
      <c r="F557" s="2022">
        <v>0</v>
      </c>
      <c r="G557" s="2022">
        <v>0</v>
      </c>
      <c r="H557" s="2022">
        <v>0</v>
      </c>
      <c r="I557" s="2011">
        <f t="shared" si="14"/>
        <v>0</v>
      </c>
      <c r="J557" s="2022"/>
      <c r="K557" s="2463"/>
    </row>
    <row r="558" spans="1:43" x14ac:dyDescent="0.2">
      <c r="A558" s="2020" t="s">
        <v>5849</v>
      </c>
      <c r="B558" s="2020" t="s">
        <v>6257</v>
      </c>
      <c r="C558" s="2022">
        <v>776553</v>
      </c>
      <c r="D558" s="2022">
        <v>0</v>
      </c>
      <c r="E558" s="2022">
        <v>0</v>
      </c>
      <c r="F558" s="2022">
        <v>0</v>
      </c>
      <c r="G558" s="2022">
        <v>0</v>
      </c>
      <c r="H558" s="2022">
        <v>0</v>
      </c>
      <c r="I558" s="2011">
        <f t="shared" si="14"/>
        <v>0</v>
      </c>
      <c r="J558" s="2022"/>
      <c r="K558" s="2463"/>
    </row>
    <row r="559" spans="1:43" x14ac:dyDescent="0.2">
      <c r="A559" s="2020" t="s">
        <v>5850</v>
      </c>
      <c r="B559" s="2020" t="s">
        <v>6021</v>
      </c>
      <c r="C559" s="2022">
        <v>23227.79</v>
      </c>
      <c r="D559" s="2022">
        <v>0</v>
      </c>
      <c r="E559" s="2022">
        <v>23227.79</v>
      </c>
      <c r="F559" s="2022">
        <v>0</v>
      </c>
      <c r="G559" s="2022">
        <v>23227.79</v>
      </c>
      <c r="H559" s="2022">
        <v>0</v>
      </c>
      <c r="I559" s="2011">
        <f t="shared" si="14"/>
        <v>23227.79</v>
      </c>
      <c r="J559" s="2022"/>
      <c r="K559" s="2463"/>
    </row>
    <row r="560" spans="1:43" x14ac:dyDescent="0.2">
      <c r="A560" s="2020" t="s">
        <v>5851</v>
      </c>
      <c r="B560" s="2020" t="s">
        <v>6105</v>
      </c>
      <c r="C560" s="2022">
        <v>0</v>
      </c>
      <c r="D560" s="2022">
        <v>0</v>
      </c>
      <c r="E560" s="2022">
        <v>175.44</v>
      </c>
      <c r="F560" s="2022">
        <v>0</v>
      </c>
      <c r="G560" s="2022">
        <v>175.44</v>
      </c>
      <c r="H560" s="2022">
        <v>0</v>
      </c>
      <c r="I560" s="2011">
        <f t="shared" si="14"/>
        <v>175.44</v>
      </c>
      <c r="J560" s="2022"/>
      <c r="K560" s="2463"/>
    </row>
    <row r="561" spans="1:54" x14ac:dyDescent="0.2">
      <c r="A561" s="2020" t="s">
        <v>5853</v>
      </c>
      <c r="B561" s="2020" t="s">
        <v>6241</v>
      </c>
      <c r="C561" s="2022">
        <v>5299.73</v>
      </c>
      <c r="D561" s="2022">
        <v>0</v>
      </c>
      <c r="E561" s="2022">
        <f>11518.67+AM561</f>
        <v>14083.67</v>
      </c>
      <c r="F561" s="2022">
        <v>0</v>
      </c>
      <c r="G561" s="2022">
        <v>11518.67</v>
      </c>
      <c r="H561" s="2022">
        <v>0</v>
      </c>
      <c r="I561" s="2011">
        <f t="shared" si="14"/>
        <v>14083.67</v>
      </c>
      <c r="J561" s="2022"/>
      <c r="K561" s="2463"/>
      <c r="AM561" s="2022">
        <v>2565</v>
      </c>
    </row>
    <row r="562" spans="1:54" x14ac:dyDescent="0.2">
      <c r="A562" s="2020" t="s">
        <v>5856</v>
      </c>
      <c r="B562" s="2020" t="s">
        <v>4873</v>
      </c>
      <c r="C562" s="2022">
        <v>50000</v>
      </c>
      <c r="D562" s="2022">
        <v>0</v>
      </c>
      <c r="E562" s="2022">
        <f>50065.28+R562</f>
        <v>0</v>
      </c>
      <c r="F562" s="2022">
        <f>-96.4+S562</f>
        <v>0</v>
      </c>
      <c r="G562" s="2022">
        <v>49968.88</v>
      </c>
      <c r="H562" s="2022">
        <v>0</v>
      </c>
      <c r="I562" s="2011">
        <f t="shared" si="14"/>
        <v>0</v>
      </c>
      <c r="J562" s="2022"/>
      <c r="K562" s="2463"/>
      <c r="R562" s="2022">
        <v>-50065.279999999999</v>
      </c>
      <c r="S562" s="2022">
        <v>96.4</v>
      </c>
    </row>
    <row r="563" spans="1:54" x14ac:dyDescent="0.2">
      <c r="A563" s="2020" t="s">
        <v>5859</v>
      </c>
      <c r="B563" s="2020" t="s">
        <v>6258</v>
      </c>
      <c r="C563" s="2022">
        <v>1500000</v>
      </c>
      <c r="D563" s="2022">
        <v>0</v>
      </c>
      <c r="E563" s="2022">
        <f>2079120.88+86845.22+AM563</f>
        <v>2201298.37</v>
      </c>
      <c r="F563" s="2022">
        <f>-100160.26+AO563+AP563</f>
        <v>-109211.81999999999</v>
      </c>
      <c r="G563" s="2022">
        <v>1978960.62</v>
      </c>
      <c r="H563" s="2022">
        <v>0</v>
      </c>
      <c r="I563" s="2011">
        <f t="shared" si="14"/>
        <v>2092086.55</v>
      </c>
      <c r="J563" s="2022"/>
      <c r="K563" s="2463"/>
      <c r="AM563" s="2022">
        <v>35332.269999999997</v>
      </c>
      <c r="AO563" s="2022">
        <v>-2696.56</v>
      </c>
      <c r="AP563" s="2022">
        <v>-6355</v>
      </c>
    </row>
    <row r="564" spans="1:54" x14ac:dyDescent="0.2">
      <c r="A564" s="2020" t="s">
        <v>5861</v>
      </c>
      <c r="B564" s="2020" t="s">
        <v>6029</v>
      </c>
      <c r="C564" s="2022">
        <v>5060</v>
      </c>
      <c r="D564" s="2022">
        <v>0</v>
      </c>
      <c r="E564" s="2022">
        <v>12216.52</v>
      </c>
      <c r="F564" s="2022">
        <v>0</v>
      </c>
      <c r="G564" s="2022">
        <v>12216.52</v>
      </c>
      <c r="H564" s="2022">
        <v>0</v>
      </c>
      <c r="I564" s="2011">
        <f t="shared" si="14"/>
        <v>12216.52</v>
      </c>
      <c r="J564" s="2022"/>
      <c r="K564" s="2463"/>
    </row>
    <row r="565" spans="1:54" x14ac:dyDescent="0.2">
      <c r="A565" s="2020" t="s">
        <v>5863</v>
      </c>
      <c r="B565" s="2020" t="s">
        <v>6030</v>
      </c>
      <c r="C565" s="2022">
        <v>12675.92</v>
      </c>
      <c r="D565" s="2022">
        <v>0</v>
      </c>
      <c r="E565" s="2022">
        <f>17244.34+AM565</f>
        <v>20103.68</v>
      </c>
      <c r="F565" s="2022">
        <v>0</v>
      </c>
      <c r="G565" s="2022">
        <v>17244.34</v>
      </c>
      <c r="H565" s="2022">
        <v>0</v>
      </c>
      <c r="I565" s="2011">
        <f t="shared" si="14"/>
        <v>20103.68</v>
      </c>
      <c r="J565" s="2022"/>
      <c r="K565" s="2463"/>
      <c r="AM565" s="2022">
        <v>2859.34</v>
      </c>
    </row>
    <row r="566" spans="1:54" x14ac:dyDescent="0.2">
      <c r="A566" s="2020" t="s">
        <v>5864</v>
      </c>
      <c r="B566" s="2020" t="s">
        <v>4883</v>
      </c>
      <c r="C566" s="2022">
        <v>837</v>
      </c>
      <c r="D566" s="2022">
        <v>0</v>
      </c>
      <c r="E566" s="2022">
        <v>1655.42</v>
      </c>
      <c r="F566" s="2022">
        <v>0</v>
      </c>
      <c r="G566" s="2022">
        <v>1655.42</v>
      </c>
      <c r="H566" s="2022">
        <v>0</v>
      </c>
      <c r="I566" s="2011">
        <f t="shared" si="14"/>
        <v>1655.42</v>
      </c>
      <c r="J566" s="2022"/>
      <c r="K566" s="2463"/>
    </row>
    <row r="567" spans="1:54" x14ac:dyDescent="0.2">
      <c r="A567" s="2020" t="s">
        <v>5866</v>
      </c>
      <c r="B567" s="2020" t="s">
        <v>6259</v>
      </c>
      <c r="C567" s="2022">
        <v>15000</v>
      </c>
      <c r="D567" s="2022">
        <v>0</v>
      </c>
      <c r="E567" s="2022">
        <v>12098.25</v>
      </c>
      <c r="F567" s="2022">
        <v>-400</v>
      </c>
      <c r="G567" s="2022">
        <v>11698.25</v>
      </c>
      <c r="H567" s="2022">
        <v>0</v>
      </c>
      <c r="I567" s="2011">
        <f t="shared" si="14"/>
        <v>11698.25</v>
      </c>
      <c r="J567" s="2022"/>
      <c r="K567" s="2463"/>
    </row>
    <row r="568" spans="1:54" x14ac:dyDescent="0.2">
      <c r="A568" s="2020" t="s">
        <v>5868</v>
      </c>
      <c r="B568" s="2020" t="s">
        <v>6032</v>
      </c>
      <c r="C568" s="2022">
        <v>10000</v>
      </c>
      <c r="D568" s="2022">
        <v>0</v>
      </c>
      <c r="E568" s="2022">
        <v>24275.9</v>
      </c>
      <c r="F568" s="2022">
        <v>-646.79999999999995</v>
      </c>
      <c r="G568" s="2022">
        <v>23629.1</v>
      </c>
      <c r="H568" s="2022">
        <v>0</v>
      </c>
      <c r="I568" s="2011">
        <f>SUM(E568:F568)</f>
        <v>23629.100000000002</v>
      </c>
      <c r="J568" s="2022"/>
      <c r="K568" s="2463"/>
    </row>
    <row r="569" spans="1:54" x14ac:dyDescent="0.2">
      <c r="A569" s="2020" t="s">
        <v>5869</v>
      </c>
      <c r="B569" s="2020" t="s">
        <v>6033</v>
      </c>
      <c r="C569" s="2022">
        <v>12872.49</v>
      </c>
      <c r="D569" s="2022">
        <v>0</v>
      </c>
      <c r="E569" s="2022">
        <f>15510.26+R569</f>
        <v>0</v>
      </c>
      <c r="F569" s="2022">
        <v>0</v>
      </c>
      <c r="G569" s="2022">
        <v>15510.26</v>
      </c>
      <c r="H569" s="2022">
        <v>0</v>
      </c>
      <c r="I569" s="2011">
        <f t="shared" ref="I569:I603" si="15">SUM(E569:F569)</f>
        <v>0</v>
      </c>
      <c r="J569" s="2022"/>
      <c r="K569" s="2463"/>
      <c r="R569" s="2022">
        <v>-15510.26</v>
      </c>
    </row>
    <row r="570" spans="1:54" x14ac:dyDescent="0.2">
      <c r="A570" s="2020" t="s">
        <v>5870</v>
      </c>
      <c r="B570" s="2020" t="s">
        <v>6172</v>
      </c>
      <c r="C570" s="2022">
        <v>10000</v>
      </c>
      <c r="D570" s="2022">
        <v>0</v>
      </c>
      <c r="E570" s="2022">
        <v>457.85</v>
      </c>
      <c r="F570" s="2022">
        <f>AI570</f>
        <v>-457.85</v>
      </c>
      <c r="G570" s="2022">
        <v>457.85</v>
      </c>
      <c r="H570" s="2022">
        <v>0</v>
      </c>
      <c r="I570" s="2011">
        <f t="shared" si="15"/>
        <v>0</v>
      </c>
      <c r="J570" s="2022"/>
      <c r="K570" s="2463"/>
      <c r="AI570" s="2022">
        <v>-457.85</v>
      </c>
    </row>
    <row r="571" spans="1:54" x14ac:dyDescent="0.2">
      <c r="A571" s="1208" t="s">
        <v>5872</v>
      </c>
      <c r="B571" s="2024" t="s">
        <v>6250</v>
      </c>
      <c r="C571" s="2022">
        <v>508500.6</v>
      </c>
      <c r="D571" s="2022">
        <f>AB571</f>
        <v>83566</v>
      </c>
      <c r="E571" s="2022">
        <f>512011.23+R571</f>
        <v>700329.23</v>
      </c>
      <c r="F571" s="2022">
        <f>-179250+S571+BB571</f>
        <v>-584159.39</v>
      </c>
      <c r="G571" s="2022">
        <v>332761.23</v>
      </c>
      <c r="H571" s="2022">
        <v>0</v>
      </c>
      <c r="I571" s="2011">
        <f t="shared" si="13"/>
        <v>199735.83999999997</v>
      </c>
      <c r="J571" s="2022"/>
      <c r="K571" s="2463"/>
      <c r="R571" s="2022">
        <v>188318</v>
      </c>
      <c r="S571" s="2022">
        <v>-2466.69</v>
      </c>
      <c r="AB571" s="2022">
        <v>83566</v>
      </c>
      <c r="BB571" s="2022">
        <v>-402442.7</v>
      </c>
    </row>
    <row r="572" spans="1:54" x14ac:dyDescent="0.2">
      <c r="A572" s="2020" t="s">
        <v>5874</v>
      </c>
      <c r="B572" s="2020" t="s">
        <v>6173</v>
      </c>
      <c r="C572" s="2022">
        <v>2148.5</v>
      </c>
      <c r="D572" s="2022">
        <v>0</v>
      </c>
      <c r="E572" s="2022">
        <v>2148.5</v>
      </c>
      <c r="F572" s="2022">
        <v>0</v>
      </c>
      <c r="G572" s="2022">
        <v>2148.5</v>
      </c>
      <c r="H572" s="2022">
        <v>0</v>
      </c>
      <c r="I572" s="2011">
        <f t="shared" si="15"/>
        <v>2148.5</v>
      </c>
      <c r="J572" s="2022"/>
      <c r="K572" s="2463"/>
    </row>
    <row r="573" spans="1:54" x14ac:dyDescent="0.2">
      <c r="A573" s="2020" t="s">
        <v>5875</v>
      </c>
      <c r="B573" s="2020" t="s">
        <v>6205</v>
      </c>
      <c r="C573" s="2022">
        <v>2810</v>
      </c>
      <c r="D573" s="2022">
        <v>0</v>
      </c>
      <c r="E573" s="2022">
        <v>2866.66</v>
      </c>
      <c r="F573" s="2022">
        <v>0</v>
      </c>
      <c r="G573" s="2022">
        <v>2866.66</v>
      </c>
      <c r="H573" s="2022">
        <v>0</v>
      </c>
      <c r="I573" s="2011">
        <f t="shared" si="15"/>
        <v>2866.66</v>
      </c>
      <c r="J573" s="2022"/>
      <c r="K573" s="2463"/>
    </row>
    <row r="574" spans="1:54" x14ac:dyDescent="0.2">
      <c r="A574" s="2020" t="s">
        <v>5877</v>
      </c>
      <c r="B574" s="2020" t="s">
        <v>6034</v>
      </c>
      <c r="C574" s="2022">
        <v>45000</v>
      </c>
      <c r="D574" s="2022">
        <v>0</v>
      </c>
      <c r="E574" s="2022">
        <v>47495.12</v>
      </c>
      <c r="F574" s="2022">
        <v>0</v>
      </c>
      <c r="G574" s="2022">
        <v>47495.12</v>
      </c>
      <c r="H574" s="2022">
        <v>0</v>
      </c>
      <c r="I574" s="2011">
        <f t="shared" si="15"/>
        <v>47495.12</v>
      </c>
      <c r="J574" s="2022"/>
      <c r="K574" s="2463"/>
    </row>
    <row r="575" spans="1:54" x14ac:dyDescent="0.2">
      <c r="A575" s="2020" t="s">
        <v>5878</v>
      </c>
      <c r="B575" s="2020" t="s">
        <v>6260</v>
      </c>
      <c r="C575" s="2022">
        <v>0</v>
      </c>
      <c r="D575" s="2022">
        <v>0</v>
      </c>
      <c r="E575" s="2022">
        <f>57408.87+AM575</f>
        <v>95681.450000000012</v>
      </c>
      <c r="F575" s="2022">
        <v>-98.9</v>
      </c>
      <c r="G575" s="2022">
        <v>57309.97</v>
      </c>
      <c r="H575" s="2022">
        <v>0</v>
      </c>
      <c r="I575" s="2011">
        <f t="shared" si="15"/>
        <v>95582.550000000017</v>
      </c>
      <c r="J575" s="2022"/>
      <c r="K575" s="2463"/>
      <c r="AM575" s="2022">
        <v>38272.58</v>
      </c>
    </row>
    <row r="576" spans="1:54" x14ac:dyDescent="0.2">
      <c r="A576" s="2020" t="s">
        <v>5879</v>
      </c>
      <c r="B576" s="2020" t="s">
        <v>6242</v>
      </c>
      <c r="C576" s="2022">
        <v>150000</v>
      </c>
      <c r="D576" s="2022">
        <v>0</v>
      </c>
      <c r="E576" s="2022">
        <v>132456.07999999999</v>
      </c>
      <c r="F576" s="2022">
        <v>-21978.53</v>
      </c>
      <c r="G576" s="2022">
        <v>110477.55</v>
      </c>
      <c r="H576" s="2022">
        <v>0</v>
      </c>
      <c r="I576" s="2011">
        <f t="shared" si="15"/>
        <v>110477.54999999999</v>
      </c>
      <c r="J576" s="2022"/>
      <c r="K576" s="2463"/>
    </row>
    <row r="577" spans="1:89" s="2100" customFormat="1" x14ac:dyDescent="0.2">
      <c r="A577" s="1127" t="s">
        <v>5880</v>
      </c>
      <c r="B577" s="2106" t="s">
        <v>6524</v>
      </c>
      <c r="C577" s="2022">
        <v>0</v>
      </c>
      <c r="D577" s="2022">
        <v>0</v>
      </c>
      <c r="E577" s="2022">
        <f>M577+BV577</f>
        <v>47832103.059999995</v>
      </c>
      <c r="F577" s="2022">
        <f>CB577</f>
        <v>-16858903.460000001</v>
      </c>
      <c r="G577" s="2022"/>
      <c r="H577" s="2022"/>
      <c r="I577" s="2011">
        <f t="shared" si="15"/>
        <v>30973199.599999994</v>
      </c>
      <c r="J577" s="2022"/>
      <c r="K577" s="2463"/>
      <c r="L577" s="2022"/>
      <c r="M577" s="2022">
        <f>-M712</f>
        <v>47490425.169999994</v>
      </c>
      <c r="N577" s="2022"/>
      <c r="O577" s="2022"/>
      <c r="P577" s="2022"/>
      <c r="Q577" s="2022"/>
      <c r="R577" s="2022"/>
      <c r="S577" s="2022"/>
      <c r="T577" s="2022"/>
      <c r="U577" s="2022"/>
      <c r="V577" s="2022"/>
      <c r="W577" s="2022"/>
      <c r="X577" s="2022"/>
      <c r="Y577" s="2022"/>
      <c r="Z577" s="2022"/>
      <c r="AA577" s="2022"/>
      <c r="AB577" s="2022"/>
      <c r="AC577" s="2022"/>
      <c r="AD577" s="2022"/>
      <c r="AE577" s="2022"/>
      <c r="AF577" s="2022"/>
      <c r="AG577" s="2022"/>
      <c r="AH577" s="2022"/>
      <c r="AI577" s="2022"/>
      <c r="AJ577" s="2022"/>
      <c r="AK577" s="2022"/>
      <c r="AL577" s="2022"/>
      <c r="AM577" s="2022"/>
      <c r="AN577" s="2022"/>
      <c r="AO577" s="2022"/>
      <c r="AP577" s="2022"/>
      <c r="AQ577" s="2022"/>
      <c r="AR577" s="2022"/>
      <c r="AS577" s="2022"/>
      <c r="AT577" s="2022"/>
      <c r="AU577" s="2022"/>
      <c r="AV577" s="2558"/>
      <c r="AW577" s="2022"/>
      <c r="AX577" s="2022"/>
      <c r="AY577" s="2022"/>
      <c r="AZ577" s="2022"/>
      <c r="BA577" s="2022"/>
      <c r="BB577" s="2022"/>
      <c r="BC577" s="2022"/>
      <c r="BD577" s="2022"/>
      <c r="BE577" s="2022"/>
      <c r="BF577" s="2022"/>
      <c r="BG577" s="2022"/>
      <c r="BH577" s="2022"/>
      <c r="BI577" s="2728"/>
      <c r="BJ577" s="2728"/>
      <c r="BK577" s="2728"/>
      <c r="BL577" s="2728"/>
      <c r="BM577" s="2728"/>
      <c r="BN577" s="2728"/>
      <c r="BO577" s="2728"/>
      <c r="BP577" s="2728"/>
      <c r="BQ577" s="2728"/>
      <c r="BR577" s="2728"/>
      <c r="BS577" s="2632"/>
      <c r="BT577" s="2632"/>
      <c r="BU577" s="2728"/>
      <c r="BV577" s="2728">
        <v>341677.89</v>
      </c>
      <c r="BW577" s="2632"/>
      <c r="BX577" s="2632"/>
      <c r="BY577" s="2632"/>
      <c r="BZ577" s="2632"/>
      <c r="CA577" s="2632"/>
      <c r="CB577" s="2728">
        <v>-16858903.460000001</v>
      </c>
      <c r="CC577" s="2632"/>
      <c r="CD577" s="2632"/>
      <c r="CE577" s="2632"/>
      <c r="CF577" s="2632"/>
      <c r="CG577" s="2728"/>
      <c r="CH577" s="2728"/>
      <c r="CI577" s="2632"/>
      <c r="CJ577" s="2632"/>
      <c r="CK577" s="2632"/>
    </row>
    <row r="578" spans="1:89" x14ac:dyDescent="0.2">
      <c r="A578" s="2020" t="s">
        <v>5881</v>
      </c>
      <c r="B578" s="2020" t="s">
        <v>6035</v>
      </c>
      <c r="C578" s="2022">
        <v>652.4</v>
      </c>
      <c r="D578" s="2022">
        <v>0</v>
      </c>
      <c r="E578" s="2022">
        <v>0</v>
      </c>
      <c r="F578" s="2022">
        <v>0</v>
      </c>
      <c r="G578" s="2022">
        <v>0</v>
      </c>
      <c r="H578" s="2022">
        <v>0</v>
      </c>
      <c r="I578" s="2011">
        <f t="shared" si="15"/>
        <v>0</v>
      </c>
      <c r="J578" s="2022"/>
      <c r="K578" s="2463"/>
    </row>
    <row r="579" spans="1:89" x14ac:dyDescent="0.2">
      <c r="A579" s="2020" t="s">
        <v>5882</v>
      </c>
      <c r="B579" s="2020" t="s">
        <v>6036</v>
      </c>
      <c r="C579" s="2022">
        <v>18492.419999999998</v>
      </c>
      <c r="D579" s="2022">
        <v>0</v>
      </c>
      <c r="E579" s="2022">
        <v>0</v>
      </c>
      <c r="F579" s="2022">
        <v>0</v>
      </c>
      <c r="G579" s="2022">
        <v>0</v>
      </c>
      <c r="H579" s="2022">
        <v>0</v>
      </c>
      <c r="I579" s="2011">
        <f t="shared" si="15"/>
        <v>0</v>
      </c>
      <c r="J579" s="2022"/>
      <c r="K579" s="2463"/>
    </row>
    <row r="580" spans="1:89" x14ac:dyDescent="0.2">
      <c r="A580" s="2020" t="s">
        <v>5884</v>
      </c>
      <c r="B580" s="2020" t="s">
        <v>6261</v>
      </c>
      <c r="C580" s="2022">
        <v>-2175371.4900000002</v>
      </c>
      <c r="D580" s="2022">
        <v>0</v>
      </c>
      <c r="E580" s="2022">
        <f>126425639.83+AR580+N580+CB580+BM580</f>
        <v>141547939.22</v>
      </c>
      <c r="F580" s="2022">
        <f>-149925595.7+BN580</f>
        <v>-150117916.04999998</v>
      </c>
      <c r="G580" s="2022">
        <v>0</v>
      </c>
      <c r="H580" s="2022">
        <v>-23499955.899999999</v>
      </c>
      <c r="I580" s="2011">
        <f t="shared" si="15"/>
        <v>-8569976.8299999833</v>
      </c>
      <c r="J580" s="2022"/>
      <c r="K580" s="2463"/>
      <c r="N580" s="2022">
        <v>7214.15</v>
      </c>
      <c r="AR580" s="2022">
        <v>95452.75</v>
      </c>
      <c r="BM580" s="2728">
        <v>193106.85</v>
      </c>
      <c r="BN580" s="2728">
        <v>-192320.35</v>
      </c>
      <c r="CB580" s="2728">
        <v>14826525.640000001</v>
      </c>
    </row>
    <row r="581" spans="1:89" x14ac:dyDescent="0.2">
      <c r="A581" s="2020" t="s">
        <v>5886</v>
      </c>
      <c r="B581" s="2100" t="s">
        <v>6244</v>
      </c>
      <c r="C581" s="2022">
        <v>-6268358.6600000001</v>
      </c>
      <c r="D581" s="2022">
        <v>0</v>
      </c>
      <c r="E581" s="2022">
        <v>0</v>
      </c>
      <c r="F581" s="2022">
        <f>Q581</f>
        <v>-15979892.42</v>
      </c>
      <c r="G581" s="2022">
        <v>0</v>
      </c>
      <c r="H581" s="2022">
        <v>0</v>
      </c>
      <c r="I581" s="2011">
        <f t="shared" si="15"/>
        <v>-15979892.42</v>
      </c>
      <c r="J581" s="2022"/>
      <c r="K581" s="2463"/>
      <c r="Q581" s="2022">
        <f>-14363000-1169000-441642.7-6249.72</f>
        <v>-15979892.42</v>
      </c>
    </row>
    <row r="582" spans="1:89" x14ac:dyDescent="0.2">
      <c r="A582" s="2020" t="s">
        <v>5887</v>
      </c>
      <c r="B582" s="2020" t="s">
        <v>6244</v>
      </c>
      <c r="C582" s="2022">
        <v>-3627212.99</v>
      </c>
      <c r="D582" s="2022">
        <v>0</v>
      </c>
      <c r="E582" s="2022">
        <v>0</v>
      </c>
      <c r="F582" s="2022">
        <v>0</v>
      </c>
      <c r="G582" s="2022">
        <v>0</v>
      </c>
      <c r="H582" s="2022">
        <v>0</v>
      </c>
      <c r="I582" s="2011">
        <f t="shared" si="15"/>
        <v>0</v>
      </c>
      <c r="J582" s="2022"/>
      <c r="K582" s="2463"/>
    </row>
    <row r="583" spans="1:89" x14ac:dyDescent="0.2">
      <c r="A583" s="2020" t="s">
        <v>5888</v>
      </c>
      <c r="B583" s="2020" t="s">
        <v>6246</v>
      </c>
      <c r="C583" s="2022">
        <v>-547.34</v>
      </c>
      <c r="D583" s="2022">
        <v>0</v>
      </c>
      <c r="E583" s="2022">
        <v>98.07</v>
      </c>
      <c r="F583" s="2022">
        <v>-798.6</v>
      </c>
      <c r="G583" s="2022">
        <v>0</v>
      </c>
      <c r="H583" s="2022">
        <v>-700.53</v>
      </c>
      <c r="I583" s="2011">
        <f t="shared" si="15"/>
        <v>-700.53</v>
      </c>
      <c r="J583" s="2022"/>
      <c r="K583" s="2463"/>
    </row>
    <row r="584" spans="1:89" s="2100" customFormat="1" x14ac:dyDescent="0.2">
      <c r="A584" s="2106" t="s">
        <v>5889</v>
      </c>
      <c r="B584" s="2106" t="s">
        <v>7677</v>
      </c>
      <c r="C584" s="2022">
        <v>0</v>
      </c>
      <c r="D584" s="2022">
        <v>0</v>
      </c>
      <c r="E584" s="2022">
        <v>0</v>
      </c>
      <c r="F584" s="2022">
        <f>BF584</f>
        <v>-108673.56</v>
      </c>
      <c r="G584" s="2022"/>
      <c r="H584" s="2022"/>
      <c r="I584" s="2011">
        <f t="shared" si="15"/>
        <v>-108673.56</v>
      </c>
      <c r="J584" s="2022"/>
      <c r="K584" s="2463"/>
      <c r="L584" s="2022"/>
      <c r="M584" s="2022"/>
      <c r="N584" s="2022"/>
      <c r="O584" s="2022"/>
      <c r="P584" s="2022"/>
      <c r="Q584" s="2022"/>
      <c r="R584" s="2022"/>
      <c r="S584" s="2022"/>
      <c r="T584" s="2022"/>
      <c r="U584" s="2022"/>
      <c r="V584" s="2022"/>
      <c r="W584" s="2022"/>
      <c r="X584" s="2022"/>
      <c r="Y584" s="2022"/>
      <c r="Z584" s="2022"/>
      <c r="AA584" s="2022"/>
      <c r="AB584" s="2022"/>
      <c r="AC584" s="2022"/>
      <c r="AD584" s="2022"/>
      <c r="AE584" s="2022"/>
      <c r="AF584" s="2022"/>
      <c r="AG584" s="2022"/>
      <c r="AH584" s="2022"/>
      <c r="AI584" s="2022"/>
      <c r="AJ584" s="2022"/>
      <c r="AK584" s="2022"/>
      <c r="AL584" s="2022"/>
      <c r="AM584" s="2022"/>
      <c r="AN584" s="2022"/>
      <c r="AO584" s="2022"/>
      <c r="AP584" s="2022"/>
      <c r="AQ584" s="2022"/>
      <c r="AR584" s="2022"/>
      <c r="AS584" s="2022"/>
      <c r="AT584" s="2022"/>
      <c r="AU584" s="2022"/>
      <c r="AV584" s="2558"/>
      <c r="AW584" s="2022"/>
      <c r="AX584" s="2022"/>
      <c r="AY584" s="2022"/>
      <c r="AZ584" s="2022"/>
      <c r="BA584" s="2022"/>
      <c r="BB584" s="2022"/>
      <c r="BC584" s="2022"/>
      <c r="BD584" s="2022"/>
      <c r="BE584" s="2022"/>
      <c r="BF584" s="2022">
        <v>-108673.56</v>
      </c>
      <c r="BG584" s="2022"/>
      <c r="BH584" s="2022"/>
      <c r="BI584" s="2728"/>
      <c r="BJ584" s="2728"/>
      <c r="BK584" s="2728"/>
      <c r="BL584" s="2728"/>
      <c r="BM584" s="2728"/>
      <c r="BN584" s="2728"/>
      <c r="BO584" s="2728"/>
      <c r="BP584" s="2728"/>
      <c r="BQ584" s="2728"/>
      <c r="BR584" s="2728"/>
      <c r="BS584" s="2632"/>
      <c r="BT584" s="2632"/>
      <c r="BU584" s="2728"/>
      <c r="BV584" s="2728"/>
      <c r="BW584" s="2632"/>
      <c r="BX584" s="2632"/>
      <c r="BY584" s="2632"/>
      <c r="BZ584" s="2632"/>
      <c r="CA584" s="2632"/>
      <c r="CB584" s="2728"/>
      <c r="CC584" s="2632"/>
      <c r="CD584" s="2632"/>
      <c r="CE584" s="2632"/>
      <c r="CF584" s="2632"/>
      <c r="CG584" s="2728"/>
      <c r="CH584" s="2728"/>
      <c r="CI584" s="2632"/>
      <c r="CJ584" s="2632"/>
      <c r="CK584" s="2632"/>
    </row>
    <row r="585" spans="1:89" x14ac:dyDescent="0.2">
      <c r="A585" s="2020" t="s">
        <v>5891</v>
      </c>
      <c r="B585" s="2020" t="s">
        <v>6262</v>
      </c>
      <c r="C585" s="2022">
        <v>1055237.54</v>
      </c>
      <c r="D585" s="2022">
        <v>0</v>
      </c>
      <c r="E585" s="2022">
        <f>AI585</f>
        <v>2315.79</v>
      </c>
      <c r="F585" s="2022">
        <f>BW585</f>
        <v>-2315.79</v>
      </c>
      <c r="G585" s="2022">
        <v>0</v>
      </c>
      <c r="H585" s="2022">
        <v>0</v>
      </c>
      <c r="I585" s="2011">
        <f t="shared" si="15"/>
        <v>0</v>
      </c>
      <c r="J585" s="2022"/>
      <c r="K585" s="2463"/>
      <c r="AI585" s="2022">
        <v>2315.79</v>
      </c>
      <c r="BW585" s="2632">
        <v>-2315.79</v>
      </c>
    </row>
    <row r="586" spans="1:89" x14ac:dyDescent="0.2">
      <c r="A586" s="2020" t="s">
        <v>5892</v>
      </c>
      <c r="B586" s="2020" t="s">
        <v>6003</v>
      </c>
      <c r="C586" s="2022">
        <v>499293.48</v>
      </c>
      <c r="D586" s="2022">
        <v>0</v>
      </c>
      <c r="E586" s="2022">
        <v>499293.48</v>
      </c>
      <c r="F586" s="2022">
        <v>-3894.94</v>
      </c>
      <c r="G586" s="2022">
        <v>495398.54</v>
      </c>
      <c r="H586" s="2022">
        <v>0</v>
      </c>
      <c r="I586" s="2011">
        <f t="shared" si="15"/>
        <v>495398.54</v>
      </c>
      <c r="J586" s="2022"/>
      <c r="K586" s="2463"/>
    </row>
    <row r="587" spans="1:89" x14ac:dyDescent="0.2">
      <c r="A587" s="2020" t="s">
        <v>5893</v>
      </c>
      <c r="B587" s="2020" t="s">
        <v>6004</v>
      </c>
      <c r="C587" s="2022">
        <v>41123.379999999997</v>
      </c>
      <c r="D587" s="2022">
        <v>0</v>
      </c>
      <c r="E587" s="2022">
        <v>33134.199999999997</v>
      </c>
      <c r="F587" s="2022">
        <v>0</v>
      </c>
      <c r="G587" s="2022">
        <v>33134.199999999997</v>
      </c>
      <c r="H587" s="2022">
        <v>0</v>
      </c>
      <c r="I587" s="2011">
        <f t="shared" si="15"/>
        <v>33134.199999999997</v>
      </c>
      <c r="J587" s="2022"/>
      <c r="K587" s="2463"/>
    </row>
    <row r="588" spans="1:89" x14ac:dyDescent="0.2">
      <c r="A588" s="2020" t="s">
        <v>5894</v>
      </c>
      <c r="B588" s="2020" t="s">
        <v>6005</v>
      </c>
      <c r="C588" s="2022">
        <v>8400</v>
      </c>
      <c r="D588" s="2022">
        <v>0</v>
      </c>
      <c r="E588" s="2022">
        <v>8400</v>
      </c>
      <c r="F588" s="2022">
        <v>0</v>
      </c>
      <c r="G588" s="2022">
        <v>8400</v>
      </c>
      <c r="H588" s="2022">
        <v>0</v>
      </c>
      <c r="I588" s="2011">
        <f t="shared" si="15"/>
        <v>8400</v>
      </c>
      <c r="J588" s="2022"/>
      <c r="K588" s="2463"/>
    </row>
    <row r="589" spans="1:89" x14ac:dyDescent="0.2">
      <c r="A589" s="2020" t="s">
        <v>5895</v>
      </c>
      <c r="B589" s="2020" t="s">
        <v>6007</v>
      </c>
      <c r="C589" s="2022">
        <v>45000</v>
      </c>
      <c r="D589" s="2022">
        <v>0</v>
      </c>
      <c r="E589" s="2022">
        <v>35717.99</v>
      </c>
      <c r="F589" s="2022">
        <v>0</v>
      </c>
      <c r="G589" s="2022">
        <v>35717.99</v>
      </c>
      <c r="H589" s="2022">
        <v>0</v>
      </c>
      <c r="I589" s="2011">
        <f t="shared" si="15"/>
        <v>35717.99</v>
      </c>
      <c r="J589" s="2022"/>
      <c r="K589" s="2463"/>
    </row>
    <row r="590" spans="1:89" x14ac:dyDescent="0.2">
      <c r="A590" s="2020" t="s">
        <v>5896</v>
      </c>
      <c r="B590" s="2020" t="s">
        <v>6010</v>
      </c>
      <c r="C590" s="2022">
        <v>150.51</v>
      </c>
      <c r="D590" s="2022">
        <v>0</v>
      </c>
      <c r="E590" s="2022">
        <v>147.51</v>
      </c>
      <c r="F590" s="2022">
        <v>0</v>
      </c>
      <c r="G590" s="2022">
        <v>147.51</v>
      </c>
      <c r="H590" s="2022">
        <v>0</v>
      </c>
      <c r="I590" s="2011">
        <f t="shared" si="15"/>
        <v>147.51</v>
      </c>
      <c r="J590" s="2022"/>
      <c r="K590" s="2463"/>
    </row>
    <row r="591" spans="1:89" x14ac:dyDescent="0.2">
      <c r="A591" s="2020" t="s">
        <v>5897</v>
      </c>
      <c r="B591" s="2020" t="s">
        <v>6011</v>
      </c>
      <c r="C591" s="2022">
        <v>5345.46</v>
      </c>
      <c r="D591" s="2022">
        <v>0</v>
      </c>
      <c r="E591" s="2022">
        <v>5585.02</v>
      </c>
      <c r="F591" s="2022">
        <v>0</v>
      </c>
      <c r="G591" s="2022">
        <v>5585.02</v>
      </c>
      <c r="H591" s="2022">
        <v>0</v>
      </c>
      <c r="I591" s="2011">
        <f t="shared" si="15"/>
        <v>5585.02</v>
      </c>
      <c r="J591" s="2022"/>
      <c r="K591" s="2463"/>
    </row>
    <row r="592" spans="1:89" x14ac:dyDescent="0.2">
      <c r="A592" s="2020" t="s">
        <v>5899</v>
      </c>
      <c r="B592" s="2020" t="s">
        <v>6012</v>
      </c>
      <c r="C592" s="2022">
        <v>36381.599999999999</v>
      </c>
      <c r="D592" s="2022">
        <v>0</v>
      </c>
      <c r="E592" s="2022">
        <v>36381.599999999999</v>
      </c>
      <c r="F592" s="2022">
        <v>0</v>
      </c>
      <c r="G592" s="2022">
        <v>36381.599999999999</v>
      </c>
      <c r="H592" s="2022">
        <v>0</v>
      </c>
      <c r="I592" s="2011">
        <f t="shared" si="15"/>
        <v>36381.599999999999</v>
      </c>
      <c r="J592" s="2022"/>
      <c r="K592" s="2463"/>
    </row>
    <row r="593" spans="1:89" x14ac:dyDescent="0.2">
      <c r="A593" s="2020" t="s">
        <v>5900</v>
      </c>
      <c r="B593" s="2020" t="s">
        <v>6013</v>
      </c>
      <c r="C593" s="2022">
        <v>84253.75</v>
      </c>
      <c r="D593" s="2022">
        <v>0</v>
      </c>
      <c r="E593" s="2022">
        <v>84253.75</v>
      </c>
      <c r="F593" s="2022">
        <v>0</v>
      </c>
      <c r="G593" s="2022">
        <v>84253.75</v>
      </c>
      <c r="H593" s="2022">
        <v>0</v>
      </c>
      <c r="I593" s="2011">
        <f t="shared" si="15"/>
        <v>84253.75</v>
      </c>
      <c r="J593" s="2022"/>
      <c r="K593" s="2463"/>
    </row>
    <row r="594" spans="1:89" x14ac:dyDescent="0.2">
      <c r="A594" s="2020" t="s">
        <v>5901</v>
      </c>
      <c r="B594" s="2020" t="s">
        <v>6014</v>
      </c>
      <c r="C594" s="2022">
        <v>22352.94</v>
      </c>
      <c r="D594" s="2022">
        <v>0</v>
      </c>
      <c r="E594" s="2022">
        <v>22352.94</v>
      </c>
      <c r="F594" s="2022">
        <v>0</v>
      </c>
      <c r="G594" s="2022">
        <v>22352.94</v>
      </c>
      <c r="H594" s="2022">
        <v>0</v>
      </c>
      <c r="I594" s="2011">
        <f t="shared" si="15"/>
        <v>22352.94</v>
      </c>
      <c r="J594" s="2022"/>
      <c r="K594" s="2463"/>
    </row>
    <row r="595" spans="1:89" s="2100" customFormat="1" x14ac:dyDescent="0.2">
      <c r="A595" s="1127" t="s">
        <v>5903</v>
      </c>
      <c r="B595" s="2106" t="s">
        <v>6879</v>
      </c>
      <c r="C595" s="2022">
        <v>0</v>
      </c>
      <c r="D595" s="2022">
        <v>0</v>
      </c>
      <c r="E595" s="2022">
        <f>X595</f>
        <v>70113.919999999998</v>
      </c>
      <c r="F595" s="2022">
        <v>0</v>
      </c>
      <c r="G595" s="2022"/>
      <c r="H595" s="2022"/>
      <c r="I595" s="2011">
        <f t="shared" si="15"/>
        <v>70113.919999999998</v>
      </c>
      <c r="J595" s="2022"/>
      <c r="K595" s="2463"/>
      <c r="L595" s="2022"/>
      <c r="M595" s="2022"/>
      <c r="N595" s="2022"/>
      <c r="O595" s="2022"/>
      <c r="P595" s="2022"/>
      <c r="Q595" s="2022"/>
      <c r="R595" s="2022"/>
      <c r="S595" s="2022"/>
      <c r="T595" s="2022"/>
      <c r="U595" s="2022"/>
      <c r="V595" s="2022"/>
      <c r="W595" s="2022"/>
      <c r="X595" s="2022">
        <v>70113.919999999998</v>
      </c>
      <c r="Y595" s="2022"/>
      <c r="Z595" s="2022"/>
      <c r="AA595" s="2022"/>
      <c r="AB595" s="2022"/>
      <c r="AC595" s="2022"/>
      <c r="AD595" s="2022"/>
      <c r="AE595" s="2022"/>
      <c r="AF595" s="2022"/>
      <c r="AG595" s="2022"/>
      <c r="AH595" s="2022"/>
      <c r="AI595" s="2022"/>
      <c r="AJ595" s="2022"/>
      <c r="AK595" s="2022"/>
      <c r="AL595" s="2022"/>
      <c r="AM595" s="2022"/>
      <c r="AN595" s="2022"/>
      <c r="AO595" s="2022"/>
      <c r="AP595" s="2022"/>
      <c r="AQ595" s="2022"/>
      <c r="AR595" s="2022"/>
      <c r="AS595" s="2022"/>
      <c r="AT595" s="2022"/>
      <c r="AU595" s="2022"/>
      <c r="AV595" s="2558"/>
      <c r="AW595" s="2022"/>
      <c r="AX595" s="2022"/>
      <c r="AY595" s="2022"/>
      <c r="AZ595" s="2022"/>
      <c r="BA595" s="2022"/>
      <c r="BB595" s="2022"/>
      <c r="BC595" s="2022"/>
      <c r="BD595" s="2022"/>
      <c r="BE595" s="2022"/>
      <c r="BF595" s="2022"/>
      <c r="BG595" s="2022"/>
      <c r="BH595" s="2022"/>
      <c r="BI595" s="2728"/>
      <c r="BJ595" s="2728"/>
      <c r="BK595" s="2728"/>
      <c r="BL595" s="2728"/>
      <c r="BM595" s="2728"/>
      <c r="BN595" s="2728"/>
      <c r="BO595" s="2728"/>
      <c r="BP595" s="2728"/>
      <c r="BQ595" s="2728"/>
      <c r="BR595" s="2728"/>
      <c r="BS595" s="2632"/>
      <c r="BT595" s="2632"/>
      <c r="BU595" s="2728"/>
      <c r="BV595" s="2728"/>
      <c r="BW595" s="2632"/>
      <c r="BX595" s="2632"/>
      <c r="BY595" s="2632"/>
      <c r="BZ595" s="2632"/>
      <c r="CA595" s="2632"/>
      <c r="CB595" s="2728"/>
      <c r="CC595" s="2632"/>
      <c r="CD595" s="2632"/>
      <c r="CE595" s="2632"/>
      <c r="CF595" s="2632"/>
      <c r="CG595" s="2728"/>
      <c r="CH595" s="2728"/>
      <c r="CI595" s="2632"/>
      <c r="CJ595" s="2632"/>
      <c r="CK595" s="2632"/>
    </row>
    <row r="596" spans="1:89" x14ac:dyDescent="0.2">
      <c r="A596" s="2020" t="s">
        <v>5905</v>
      </c>
      <c r="B596" s="2020" t="s">
        <v>6263</v>
      </c>
      <c r="C596" s="2022">
        <v>1400000</v>
      </c>
      <c r="D596" s="2022">
        <v>0</v>
      </c>
      <c r="E596" s="2022">
        <f>1715447.81+AM596</f>
        <v>1982915.79</v>
      </c>
      <c r="F596" s="2022">
        <f>-307221.69+AI596+AP596</f>
        <v>-1982915.79</v>
      </c>
      <c r="G596" s="2022">
        <v>1408226.12</v>
      </c>
      <c r="H596" s="2022">
        <v>0</v>
      </c>
      <c r="I596" s="2011">
        <f t="shared" si="15"/>
        <v>0</v>
      </c>
      <c r="J596" s="2022"/>
      <c r="K596" s="2463"/>
      <c r="AI596" s="2022">
        <f>-1408226.12+328389.18</f>
        <v>-1079836.9400000002</v>
      </c>
      <c r="AM596" s="2022">
        <v>267467.98</v>
      </c>
      <c r="AP596" s="2022">
        <v>-595857.16</v>
      </c>
    </row>
    <row r="597" spans="1:89" x14ac:dyDescent="0.2">
      <c r="A597" s="2020" t="s">
        <v>5908</v>
      </c>
      <c r="B597" s="2020" t="s">
        <v>6264</v>
      </c>
      <c r="C597" s="2022">
        <v>627000</v>
      </c>
      <c r="D597" s="2022">
        <v>0</v>
      </c>
      <c r="E597" s="2022">
        <v>0</v>
      </c>
      <c r="F597" s="2022">
        <v>0</v>
      </c>
      <c r="G597" s="2022">
        <v>0</v>
      </c>
      <c r="H597" s="2022">
        <v>0</v>
      </c>
      <c r="I597" s="2011">
        <f t="shared" si="15"/>
        <v>0</v>
      </c>
      <c r="J597" s="2022"/>
      <c r="K597" s="2463"/>
    </row>
    <row r="598" spans="1:89" x14ac:dyDescent="0.2">
      <c r="A598" s="2020" t="s">
        <v>5913</v>
      </c>
      <c r="B598" s="2020" t="s">
        <v>4873</v>
      </c>
      <c r="C598" s="2022">
        <v>16956.5</v>
      </c>
      <c r="D598" s="2022">
        <v>0</v>
      </c>
      <c r="E598" s="2022">
        <f>11091.46+R598</f>
        <v>0</v>
      </c>
      <c r="F598" s="2022">
        <v>0</v>
      </c>
      <c r="G598" s="2022">
        <v>11091.46</v>
      </c>
      <c r="H598" s="2022">
        <v>0</v>
      </c>
      <c r="I598" s="2011">
        <f t="shared" si="15"/>
        <v>0</v>
      </c>
      <c r="J598" s="2022"/>
      <c r="K598" s="2463"/>
      <c r="R598" s="2022">
        <v>-11091.46</v>
      </c>
    </row>
    <row r="599" spans="1:89" x14ac:dyDescent="0.2">
      <c r="A599" s="2020" t="s">
        <v>5914</v>
      </c>
      <c r="B599" s="2020" t="s">
        <v>6029</v>
      </c>
      <c r="C599" s="2022">
        <v>190865.64</v>
      </c>
      <c r="D599" s="2022">
        <v>0</v>
      </c>
      <c r="E599" s="2022">
        <v>201088.94</v>
      </c>
      <c r="F599" s="2022">
        <v>0</v>
      </c>
      <c r="G599" s="2022">
        <v>201088.94</v>
      </c>
      <c r="H599" s="2022">
        <v>0</v>
      </c>
      <c r="I599" s="2011">
        <f t="shared" si="15"/>
        <v>201088.94</v>
      </c>
      <c r="J599" s="2022"/>
      <c r="K599" s="2463"/>
    </row>
    <row r="600" spans="1:89" x14ac:dyDescent="0.2">
      <c r="A600" s="2020" t="s">
        <v>5922</v>
      </c>
      <c r="B600" s="2020" t="s">
        <v>6265</v>
      </c>
      <c r="C600" s="2022">
        <v>45000</v>
      </c>
      <c r="D600" s="2022">
        <v>0</v>
      </c>
      <c r="E600" s="2022">
        <v>29471.93</v>
      </c>
      <c r="F600" s="2022">
        <v>-9972</v>
      </c>
      <c r="G600" s="2022">
        <v>19499.93</v>
      </c>
      <c r="H600" s="2022">
        <v>0</v>
      </c>
      <c r="I600" s="2011">
        <f t="shared" si="15"/>
        <v>19499.93</v>
      </c>
      <c r="J600" s="2022"/>
      <c r="K600" s="2463"/>
    </row>
    <row r="601" spans="1:89" x14ac:dyDescent="0.2">
      <c r="A601" s="2020" t="s">
        <v>5926</v>
      </c>
      <c r="B601" s="2020" t="s">
        <v>6037</v>
      </c>
      <c r="C601" s="2022">
        <v>-2757295.32</v>
      </c>
      <c r="D601" s="2022">
        <v>0</v>
      </c>
      <c r="E601" s="2022">
        <v>0</v>
      </c>
      <c r="F601" s="2022">
        <v>0</v>
      </c>
      <c r="G601" s="2022">
        <v>0</v>
      </c>
      <c r="H601" s="2022">
        <v>0</v>
      </c>
      <c r="I601" s="2011">
        <f t="shared" si="15"/>
        <v>0</v>
      </c>
      <c r="J601" s="2022"/>
      <c r="K601" s="2463"/>
    </row>
    <row r="602" spans="1:89" x14ac:dyDescent="0.2">
      <c r="A602" s="2020" t="s">
        <v>5927</v>
      </c>
      <c r="B602" s="2020" t="s">
        <v>6266</v>
      </c>
      <c r="C602" s="2022">
        <v>-627000</v>
      </c>
      <c r="D602" s="2022">
        <v>0</v>
      </c>
      <c r="E602" s="2022">
        <v>0</v>
      </c>
      <c r="F602" s="2022">
        <f>Q602</f>
        <v>-585951</v>
      </c>
      <c r="G602" s="2022">
        <v>0</v>
      </c>
      <c r="H602" s="2022">
        <v>0</v>
      </c>
      <c r="I602" s="2011">
        <f t="shared" si="15"/>
        <v>-585951</v>
      </c>
      <c r="J602" s="2022"/>
      <c r="K602" s="2463"/>
      <c r="Q602" s="2022">
        <f>-627000+41049</f>
        <v>-585951</v>
      </c>
    </row>
    <row r="603" spans="1:89" s="2100" customFormat="1" x14ac:dyDescent="0.2">
      <c r="A603" s="2106" t="s">
        <v>5930</v>
      </c>
      <c r="B603" s="2106" t="s">
        <v>6550</v>
      </c>
      <c r="C603" s="2022">
        <v>0</v>
      </c>
      <c r="D603" s="2022">
        <v>0</v>
      </c>
      <c r="E603" s="2022">
        <v>0</v>
      </c>
      <c r="F603" s="2022">
        <f>T603</f>
        <v>-115500</v>
      </c>
      <c r="G603" s="2022"/>
      <c r="H603" s="2022"/>
      <c r="I603" s="2011">
        <f t="shared" si="15"/>
        <v>-115500</v>
      </c>
      <c r="J603" s="2022"/>
      <c r="K603" s="2463"/>
      <c r="L603" s="2022"/>
      <c r="M603" s="2022"/>
      <c r="N603" s="2022"/>
      <c r="O603" s="2022"/>
      <c r="P603" s="2022"/>
      <c r="Q603" s="2022"/>
      <c r="R603" s="2022"/>
      <c r="S603" s="2022"/>
      <c r="T603" s="2022">
        <v>-115500</v>
      </c>
      <c r="U603" s="2022"/>
      <c r="V603" s="2022"/>
      <c r="W603" s="2022"/>
      <c r="X603" s="2022"/>
      <c r="Y603" s="2022"/>
      <c r="Z603" s="2022"/>
      <c r="AA603" s="2022"/>
      <c r="AB603" s="2022"/>
      <c r="AC603" s="2022"/>
      <c r="AD603" s="2022"/>
      <c r="AE603" s="2022"/>
      <c r="AF603" s="2022"/>
      <c r="AG603" s="2022"/>
      <c r="AH603" s="2022"/>
      <c r="AI603" s="2022"/>
      <c r="AJ603" s="2022"/>
      <c r="AK603" s="2022"/>
      <c r="AL603" s="2022"/>
      <c r="AM603" s="2022"/>
      <c r="AN603" s="2022"/>
      <c r="AO603" s="2022"/>
      <c r="AP603" s="2022"/>
      <c r="AQ603" s="2022"/>
      <c r="AR603" s="2022"/>
      <c r="AS603" s="2022"/>
      <c r="AT603" s="2022"/>
      <c r="AU603" s="2022"/>
      <c r="AV603" s="2558"/>
      <c r="AW603" s="2022"/>
      <c r="AX603" s="2022"/>
      <c r="AY603" s="2022"/>
      <c r="AZ603" s="2022"/>
      <c r="BA603" s="2022"/>
      <c r="BB603" s="2022"/>
      <c r="BC603" s="2022"/>
      <c r="BD603" s="2022"/>
      <c r="BE603" s="2022"/>
      <c r="BF603" s="2022"/>
      <c r="BG603" s="2022"/>
      <c r="BH603" s="2022"/>
      <c r="BI603" s="2728"/>
      <c r="BJ603" s="2728"/>
      <c r="BK603" s="2728"/>
      <c r="BL603" s="2728"/>
      <c r="BM603" s="2728"/>
      <c r="BN603" s="2728"/>
      <c r="BO603" s="2728"/>
      <c r="BP603" s="2728"/>
      <c r="BQ603" s="2728"/>
      <c r="BR603" s="2728"/>
      <c r="BS603" s="2632"/>
      <c r="BT603" s="2632"/>
      <c r="BU603" s="2728"/>
      <c r="BV603" s="2728"/>
      <c r="BW603" s="2632"/>
      <c r="BX603" s="2632"/>
      <c r="BY603" s="2632"/>
      <c r="BZ603" s="2632"/>
      <c r="CA603" s="2632"/>
      <c r="CB603" s="2728"/>
      <c r="CC603" s="2632"/>
      <c r="CD603" s="2632"/>
      <c r="CE603" s="2632"/>
      <c r="CF603" s="2632"/>
      <c r="CG603" s="2728"/>
      <c r="CH603" s="2728"/>
      <c r="CI603" s="2632"/>
      <c r="CJ603" s="2632"/>
      <c r="CK603" s="2632"/>
    </row>
    <row r="604" spans="1:89" x14ac:dyDescent="0.2">
      <c r="A604" s="2020" t="s">
        <v>5931</v>
      </c>
      <c r="B604" s="2020" t="s">
        <v>6267</v>
      </c>
      <c r="C604" s="2022">
        <v>362172.06</v>
      </c>
      <c r="D604" s="2022">
        <v>0</v>
      </c>
      <c r="E604" s="2022">
        <f>AI604+N604</f>
        <v>1091380.58</v>
      </c>
      <c r="F604" s="2022">
        <v>0</v>
      </c>
      <c r="G604" s="2022">
        <v>0</v>
      </c>
      <c r="H604" s="2022">
        <v>0</v>
      </c>
      <c r="I604" s="2011">
        <f>SUM(E604:F604)</f>
        <v>1091380.58</v>
      </c>
      <c r="J604" s="2022"/>
      <c r="K604" s="2463"/>
      <c r="N604" s="2022">
        <v>1699.8</v>
      </c>
      <c r="AI604" s="2022">
        <f>1418069.96-328389.18</f>
        <v>1089680.78</v>
      </c>
    </row>
    <row r="605" spans="1:89" s="2100" customFormat="1" x14ac:dyDescent="0.2">
      <c r="A605" s="2106" t="s">
        <v>5924</v>
      </c>
      <c r="B605" s="2106" t="s">
        <v>7678</v>
      </c>
      <c r="C605" s="2022">
        <v>0</v>
      </c>
      <c r="D605" s="2022">
        <v>0</v>
      </c>
      <c r="E605" s="2022">
        <v>0</v>
      </c>
      <c r="F605" s="2022">
        <f>BF605+BV605</f>
        <v>-16685636.73</v>
      </c>
      <c r="G605" s="2022"/>
      <c r="H605" s="2022"/>
      <c r="I605" s="2011">
        <f>SUM(E605:F605)</f>
        <v>-16685636.73</v>
      </c>
      <c r="J605" s="2022"/>
      <c r="K605" s="2463"/>
      <c r="L605" s="2022"/>
      <c r="M605" s="2022"/>
      <c r="N605" s="2022"/>
      <c r="O605" s="2022"/>
      <c r="P605" s="2022"/>
      <c r="Q605" s="2022"/>
      <c r="R605" s="2022"/>
      <c r="S605" s="2022"/>
      <c r="T605" s="2022"/>
      <c r="U605" s="2022"/>
      <c r="V605" s="2022"/>
      <c r="W605" s="2022"/>
      <c r="X605" s="2022"/>
      <c r="Y605" s="2022"/>
      <c r="Z605" s="2022"/>
      <c r="AA605" s="2022"/>
      <c r="AB605" s="2022"/>
      <c r="AC605" s="2022"/>
      <c r="AD605" s="2022"/>
      <c r="AE605" s="2022"/>
      <c r="AF605" s="2022"/>
      <c r="AG605" s="2022"/>
      <c r="AH605" s="2022"/>
      <c r="AI605" s="2022"/>
      <c r="AJ605" s="2022"/>
      <c r="AK605" s="2022"/>
      <c r="AL605" s="2022"/>
      <c r="AM605" s="2022"/>
      <c r="AN605" s="2022"/>
      <c r="AO605" s="2022"/>
      <c r="AP605" s="2022"/>
      <c r="AQ605" s="2022"/>
      <c r="AR605" s="2022"/>
      <c r="AS605" s="2022"/>
      <c r="AT605" s="2022"/>
      <c r="AU605" s="2022"/>
      <c r="AV605" s="2558"/>
      <c r="AW605" s="2022"/>
      <c r="AX605" s="2022"/>
      <c r="AY605" s="2022"/>
      <c r="AZ605" s="2022"/>
      <c r="BA605" s="2022"/>
      <c r="BB605" s="2022"/>
      <c r="BC605" s="2022"/>
      <c r="BD605" s="2022"/>
      <c r="BE605" s="2022"/>
      <c r="BF605" s="2022">
        <v>-16657619.470000001</v>
      </c>
      <c r="BG605" s="2022"/>
      <c r="BH605" s="2022"/>
      <c r="BI605" s="2728"/>
      <c r="BJ605" s="2728"/>
      <c r="BK605" s="2728"/>
      <c r="BL605" s="2728"/>
      <c r="BM605" s="2728"/>
      <c r="BN605" s="2728"/>
      <c r="BO605" s="2728"/>
      <c r="BP605" s="2728"/>
      <c r="BQ605" s="2728"/>
      <c r="BR605" s="2728"/>
      <c r="BS605" s="2632"/>
      <c r="BT605" s="2632"/>
      <c r="BU605" s="2728"/>
      <c r="BV605" s="2728">
        <v>-28017.26</v>
      </c>
      <c r="BW605" s="2632"/>
      <c r="BX605" s="2632"/>
      <c r="BY605" s="2632"/>
      <c r="BZ605" s="2632"/>
      <c r="CA605" s="2632"/>
      <c r="CB605" s="2728"/>
      <c r="CC605" s="2632"/>
      <c r="CD605" s="2632"/>
      <c r="CE605" s="2632"/>
      <c r="CF605" s="2632"/>
      <c r="CG605" s="2728"/>
      <c r="CH605" s="2728"/>
      <c r="CI605" s="2632"/>
      <c r="CJ605" s="2632"/>
      <c r="CK605" s="2632"/>
    </row>
    <row r="606" spans="1:89" x14ac:dyDescent="0.2">
      <c r="A606" s="2020" t="s">
        <v>4514</v>
      </c>
      <c r="B606" s="2020" t="s">
        <v>6268</v>
      </c>
      <c r="C606" s="2022">
        <v>0</v>
      </c>
      <c r="D606" s="2022">
        <v>362</v>
      </c>
      <c r="E606" s="2022">
        <v>0</v>
      </c>
      <c r="F606" s="2022">
        <v>0</v>
      </c>
      <c r="G606" s="2022">
        <v>362</v>
      </c>
      <c r="H606" s="2022">
        <v>0</v>
      </c>
      <c r="I606" s="2011">
        <f t="shared" ref="I606:I667" si="16">SUM(D606:F606)</f>
        <v>362</v>
      </c>
      <c r="J606" s="2022"/>
      <c r="K606" s="2463"/>
    </row>
    <row r="607" spans="1:89" x14ac:dyDescent="0.2">
      <c r="A607" s="2020" t="s">
        <v>4518</v>
      </c>
      <c r="B607" s="2020" t="s">
        <v>4519</v>
      </c>
      <c r="C607" s="2022">
        <v>0</v>
      </c>
      <c r="D607" s="2022">
        <v>1501779.84</v>
      </c>
      <c r="E607" s="2022">
        <v>0</v>
      </c>
      <c r="F607" s="2022">
        <v>0</v>
      </c>
      <c r="G607" s="2022">
        <v>1501779.84</v>
      </c>
      <c r="H607" s="2022">
        <v>0</v>
      </c>
      <c r="I607" s="2011">
        <f t="shared" si="16"/>
        <v>1501779.84</v>
      </c>
      <c r="J607" s="2022"/>
      <c r="K607" s="2463"/>
    </row>
    <row r="608" spans="1:89" x14ac:dyDescent="0.2">
      <c r="A608" s="1127" t="s">
        <v>4520</v>
      </c>
      <c r="B608" s="2020" t="s">
        <v>6269</v>
      </c>
      <c r="C608" s="2022">
        <v>0</v>
      </c>
      <c r="D608" s="2022">
        <f>-166324402.84+O608+P608+Q608-476446+W608+AA608+AB608+AK608+AL608+AT608+AU608+AV608+AX608+AZ608+BC608+BG608+BI608+BK608+BO608+BQ608+BU608+CC608+CE608+CB608+CA608+CH608+CI608+CK608</f>
        <v>-306665903.81000012</v>
      </c>
      <c r="E608" s="2022">
        <f>AH608+N608+BF608</f>
        <v>80494.31</v>
      </c>
      <c r="F608" s="2022">
        <f>-106.1-80388.16</f>
        <v>-80494.260000000009</v>
      </c>
      <c r="G608" s="2022">
        <v>0</v>
      </c>
      <c r="H608" s="2022">
        <v>-166324508.90000001</v>
      </c>
      <c r="I608" s="2011">
        <f>SUM(D608:F608)</f>
        <v>-306665903.76000011</v>
      </c>
      <c r="J608" s="2022"/>
      <c r="K608" s="2463"/>
      <c r="N608" s="2022">
        <v>106.15</v>
      </c>
      <c r="O608" s="2022">
        <f>-O729</f>
        <v>10215500</v>
      </c>
      <c r="P608" s="2022">
        <f>-SUM(P653:P659)+1651000-31183.05-343835-1352069</f>
        <v>-9708399.0500000007</v>
      </c>
      <c r="W608" s="2022">
        <v>-527958.4</v>
      </c>
      <c r="AA608" s="2022">
        <v>-5135150</v>
      </c>
      <c r="AB608" s="2022">
        <v>-83566</v>
      </c>
      <c r="AH608" s="2022">
        <v>80388.160000000003</v>
      </c>
      <c r="AK608" s="2022">
        <v>7319.97</v>
      </c>
      <c r="AL608" s="2022">
        <v>-5782835.6500000004</v>
      </c>
      <c r="AT608" s="2022">
        <f>10665500-1780205</f>
        <v>8885295</v>
      </c>
      <c r="AU608" s="2022">
        <v>-4488394</v>
      </c>
      <c r="AV608" s="2558">
        <f>-142520127.91-4927213-666482-534123.09-2193676-23340400-1791664</f>
        <v>-175973686</v>
      </c>
      <c r="AX608" s="2022">
        <v>15563008.32</v>
      </c>
      <c r="AZ608" s="2022">
        <v>0</v>
      </c>
      <c r="BC608" s="2022">
        <v>-875692.23</v>
      </c>
      <c r="BF608" s="2022">
        <v>0</v>
      </c>
      <c r="BG608" s="2022">
        <v>1893812.49</v>
      </c>
      <c r="BI608" s="2728">
        <f>-BJ701</f>
        <v>-15459936</v>
      </c>
      <c r="BK608" s="2728">
        <v>36376330</v>
      </c>
      <c r="BO608" s="2728">
        <v>1402051.14</v>
      </c>
      <c r="BQ608" s="2728">
        <v>513729.96</v>
      </c>
      <c r="BU608" s="2728">
        <f>1396028.75-123492.86</f>
        <v>1272535.8899999999</v>
      </c>
      <c r="CA608" s="2634">
        <f>-CA728</f>
        <v>2032377.82</v>
      </c>
      <c r="CC608" s="2728">
        <v>483384.44</v>
      </c>
      <c r="CE608" s="2634">
        <f>-CE728</f>
        <v>2752135.1999999997</v>
      </c>
      <c r="CH608" s="2728">
        <f>-CH628</f>
        <v>-727790</v>
      </c>
      <c r="CI608" s="2728">
        <v>2614488.13</v>
      </c>
      <c r="CK608" s="2632">
        <v>-5113616</v>
      </c>
    </row>
    <row r="609" spans="1:89" x14ac:dyDescent="0.2">
      <c r="A609" s="2020" t="s">
        <v>4522</v>
      </c>
      <c r="B609" s="2020" t="s">
        <v>6270</v>
      </c>
      <c r="C609" s="2022">
        <v>0</v>
      </c>
      <c r="D609" s="2022">
        <v>1945897.45</v>
      </c>
      <c r="E609" s="2022">
        <v>0</v>
      </c>
      <c r="F609" s="2022">
        <v>0</v>
      </c>
      <c r="G609" s="2022">
        <v>1945897.45</v>
      </c>
      <c r="H609" s="2022">
        <v>0</v>
      </c>
      <c r="I609" s="2011">
        <f t="shared" si="16"/>
        <v>1945897.45</v>
      </c>
      <c r="J609" s="2022"/>
      <c r="K609" s="2463"/>
    </row>
    <row r="610" spans="1:89" x14ac:dyDescent="0.2">
      <c r="A610" s="2020" t="s">
        <v>4524</v>
      </c>
      <c r="B610" s="2020" t="s">
        <v>6271</v>
      </c>
      <c r="C610" s="2022">
        <v>0</v>
      </c>
      <c r="D610" s="2022">
        <f>-513729.96+BG610+BU610</f>
        <v>-6198904.6399999997</v>
      </c>
      <c r="E610" s="2022">
        <f>BD610</f>
        <v>123492.86</v>
      </c>
      <c r="F610" s="2022">
        <f>BF610+BP610+BV610</f>
        <v>-4359383.6399999997</v>
      </c>
      <c r="G610" s="2022">
        <v>0</v>
      </c>
      <c r="H610" s="2022">
        <v>-513729.96</v>
      </c>
      <c r="I610" s="2011">
        <f t="shared" si="16"/>
        <v>-10434795.419999998</v>
      </c>
      <c r="J610" s="2022"/>
      <c r="K610" s="2463"/>
      <c r="BD610" s="2022">
        <v>123492.86</v>
      </c>
      <c r="BF610" s="2022">
        <v>-340447.22</v>
      </c>
      <c r="BG610" s="2022">
        <f>-4837005.62+513729.96</f>
        <v>-4323275.66</v>
      </c>
      <c r="BP610" s="2728">
        <v>-123492.86</v>
      </c>
      <c r="BU610" s="2728">
        <f>-1485391.88+123492.86</f>
        <v>-1361899.0199999998</v>
      </c>
      <c r="BV610" s="2728">
        <v>-3895443.56</v>
      </c>
      <c r="BX610" s="2634"/>
    </row>
    <row r="611" spans="1:89" x14ac:dyDescent="0.2">
      <c r="A611" s="1127" t="s">
        <v>4526</v>
      </c>
      <c r="B611" s="2020" t="s">
        <v>6272</v>
      </c>
      <c r="C611" s="2022">
        <v>0</v>
      </c>
      <c r="D611" s="2022">
        <f>-1720880.76+AK611</f>
        <v>-1441412.07</v>
      </c>
      <c r="E611" s="2022">
        <f>268472.33</f>
        <v>268472.33</v>
      </c>
      <c r="F611" s="2022">
        <f>AE611</f>
        <v>-238769.92000000001</v>
      </c>
      <c r="G611" s="2022">
        <v>0</v>
      </c>
      <c r="H611" s="2022">
        <v>-1452408.43</v>
      </c>
      <c r="I611" s="2011">
        <f t="shared" si="16"/>
        <v>-1411709.66</v>
      </c>
      <c r="J611" s="2022"/>
      <c r="K611" s="2463"/>
      <c r="AE611" s="2022">
        <v>-238769.92000000001</v>
      </c>
      <c r="AK611" s="2022">
        <v>279468.69</v>
      </c>
    </row>
    <row r="612" spans="1:89" x14ac:dyDescent="0.2">
      <c r="A612" s="2020" t="s">
        <v>4528</v>
      </c>
      <c r="B612" s="2020" t="s">
        <v>6273</v>
      </c>
      <c r="C612" s="2022">
        <v>0</v>
      </c>
      <c r="D612" s="2022">
        <f>-53804.39+BQ612</f>
        <v>-64927.619999999995</v>
      </c>
      <c r="E612" s="2022">
        <f>BR612</f>
        <v>5557.08</v>
      </c>
      <c r="F612" s="2022">
        <v>0</v>
      </c>
      <c r="G612" s="2022">
        <v>0</v>
      </c>
      <c r="H612" s="2022">
        <v>-53804.39</v>
      </c>
      <c r="I612" s="2011">
        <f t="shared" si="16"/>
        <v>-59370.539999999994</v>
      </c>
      <c r="J612" s="2022"/>
      <c r="K612" s="2463"/>
      <c r="BQ612" s="2728">
        <v>-11123.23</v>
      </c>
      <c r="BR612" s="2728">
        <v>5557.08</v>
      </c>
    </row>
    <row r="613" spans="1:89" x14ac:dyDescent="0.2">
      <c r="A613" s="2020" t="s">
        <v>4530</v>
      </c>
      <c r="B613" s="2020" t="s">
        <v>6273</v>
      </c>
      <c r="C613" s="2022">
        <v>0</v>
      </c>
      <c r="D613" s="2022">
        <f>-213213.04+BQ613</f>
        <v>-261156.69</v>
      </c>
      <c r="E613" s="2022">
        <f>BR613</f>
        <v>20088.98</v>
      </c>
      <c r="F613" s="2022">
        <v>0</v>
      </c>
      <c r="G613" s="2022">
        <v>0</v>
      </c>
      <c r="H613" s="2022">
        <v>-213213.04</v>
      </c>
      <c r="I613" s="2011">
        <f t="shared" si="16"/>
        <v>-241067.71</v>
      </c>
      <c r="J613" s="2022"/>
      <c r="K613" s="2463"/>
      <c r="BQ613" s="2728">
        <v>-47943.65</v>
      </c>
      <c r="BR613" s="2728">
        <v>20088.98</v>
      </c>
    </row>
    <row r="614" spans="1:89" s="2100" customFormat="1" x14ac:dyDescent="0.2">
      <c r="A614" s="1127" t="s">
        <v>4531</v>
      </c>
      <c r="C614" s="2022"/>
      <c r="D614" s="2022">
        <f>BQ614</f>
        <v>-331257.37</v>
      </c>
      <c r="E614" s="2022">
        <f>BR614</f>
        <v>30269.38</v>
      </c>
      <c r="F614" s="2022"/>
      <c r="G614" s="2022"/>
      <c r="H614" s="2022"/>
      <c r="I614" s="2011">
        <f t="shared" si="16"/>
        <v>-300987.99</v>
      </c>
      <c r="J614" s="2022"/>
      <c r="K614" s="2463"/>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2022"/>
      <c r="AF614" s="2022"/>
      <c r="AG614" s="2022"/>
      <c r="AH614" s="2022"/>
      <c r="AI614" s="2022"/>
      <c r="AJ614" s="2022"/>
      <c r="AK614" s="2022"/>
      <c r="AL614" s="2022"/>
      <c r="AM614" s="2022"/>
      <c r="AN614" s="2022"/>
      <c r="AO614" s="2022"/>
      <c r="AP614" s="2022"/>
      <c r="AQ614" s="2022"/>
      <c r="AR614" s="2022"/>
      <c r="AS614" s="2022"/>
      <c r="AT614" s="2022"/>
      <c r="AU614" s="2022"/>
      <c r="AV614" s="2558"/>
      <c r="AW614" s="2022"/>
      <c r="AX614" s="2022"/>
      <c r="AY614" s="2022"/>
      <c r="AZ614" s="2022"/>
      <c r="BA614" s="2022"/>
      <c r="BB614" s="2022"/>
      <c r="BC614" s="2022"/>
      <c r="BD614" s="2022"/>
      <c r="BE614" s="2022"/>
      <c r="BF614" s="2022"/>
      <c r="BG614" s="2022"/>
      <c r="BH614" s="2022"/>
      <c r="BI614" s="2728"/>
      <c r="BJ614" s="2728"/>
      <c r="BK614" s="2728"/>
      <c r="BL614" s="2728"/>
      <c r="BM614" s="2728"/>
      <c r="BN614" s="2728"/>
      <c r="BO614" s="2728"/>
      <c r="BP614" s="2728"/>
      <c r="BQ614" s="2728">
        <v>-331257.37</v>
      </c>
      <c r="BR614" s="2728">
        <v>30269.38</v>
      </c>
      <c r="BS614" s="2632"/>
      <c r="BT614" s="2632"/>
      <c r="BU614" s="2728"/>
      <c r="BV614" s="2728"/>
      <c r="BW614" s="2632"/>
      <c r="BX614" s="2632"/>
      <c r="BY614" s="2632"/>
      <c r="BZ614" s="2632"/>
      <c r="CA614" s="2632"/>
      <c r="CB614" s="2728"/>
      <c r="CC614" s="2632"/>
      <c r="CD614" s="2632"/>
      <c r="CE614" s="2632"/>
      <c r="CF614" s="2632"/>
      <c r="CG614" s="2728"/>
      <c r="CH614" s="2728"/>
      <c r="CI614" s="2632"/>
      <c r="CJ614" s="2632"/>
      <c r="CK614" s="2632"/>
    </row>
    <row r="615" spans="1:89" x14ac:dyDescent="0.2">
      <c r="A615" s="2020" t="s">
        <v>4532</v>
      </c>
      <c r="B615" s="2020" t="s">
        <v>6274</v>
      </c>
      <c r="C615" s="2022">
        <v>0</v>
      </c>
      <c r="D615" s="2022">
        <f>-267194.32+BQ615</f>
        <v>-330423.37</v>
      </c>
      <c r="E615" s="2022">
        <f>BR615</f>
        <v>31484.63</v>
      </c>
      <c r="F615" s="2022">
        <v>0</v>
      </c>
      <c r="G615" s="2022">
        <v>0</v>
      </c>
      <c r="H615" s="2022">
        <v>-267194.32</v>
      </c>
      <c r="I615" s="2011">
        <f t="shared" si="16"/>
        <v>-298938.74</v>
      </c>
      <c r="J615" s="2022"/>
      <c r="K615" s="2463"/>
      <c r="BQ615" s="2728">
        <v>-63229.05</v>
      </c>
      <c r="BR615" s="2728">
        <v>31484.63</v>
      </c>
    </row>
    <row r="616" spans="1:89" x14ac:dyDescent="0.2">
      <c r="A616" s="2020" t="s">
        <v>4534</v>
      </c>
      <c r="B616" s="2020" t="s">
        <v>6275</v>
      </c>
      <c r="C616" s="2022">
        <v>0</v>
      </c>
      <c r="D616" s="2022">
        <f>-23201.65+BQ616</f>
        <v>0</v>
      </c>
      <c r="E616" s="2022">
        <v>0</v>
      </c>
      <c r="F616" s="2022">
        <v>0</v>
      </c>
      <c r="G616" s="2022">
        <v>0</v>
      </c>
      <c r="H616" s="2022">
        <v>-23201.65</v>
      </c>
      <c r="I616" s="2011">
        <f t="shared" si="16"/>
        <v>0</v>
      </c>
      <c r="J616" s="2022"/>
      <c r="K616" s="2463"/>
      <c r="BQ616" s="2728">
        <v>23201.65</v>
      </c>
    </row>
    <row r="617" spans="1:89" x14ac:dyDescent="0.2">
      <c r="A617" s="2020" t="s">
        <v>4536</v>
      </c>
      <c r="B617" s="2020" t="s">
        <v>6276</v>
      </c>
      <c r="C617" s="2022">
        <v>0</v>
      </c>
      <c r="D617" s="2022">
        <f>-88134.56+BQ617</f>
        <v>-83040.88</v>
      </c>
      <c r="E617" s="2022">
        <f>BR617</f>
        <v>13847.07</v>
      </c>
      <c r="F617" s="2022">
        <v>0</v>
      </c>
      <c r="G617" s="2022">
        <v>0</v>
      </c>
      <c r="H617" s="2022">
        <v>-88134.56</v>
      </c>
      <c r="I617" s="2011">
        <f t="shared" si="16"/>
        <v>-69193.81</v>
      </c>
      <c r="J617" s="2022"/>
      <c r="K617" s="2463"/>
      <c r="BQ617" s="2728">
        <v>5093.68</v>
      </c>
      <c r="BR617" s="2728">
        <v>13847.07</v>
      </c>
    </row>
    <row r="618" spans="1:89" x14ac:dyDescent="0.2">
      <c r="A618" s="2020" t="s">
        <v>4538</v>
      </c>
      <c r="B618" s="2020" t="s">
        <v>6277</v>
      </c>
      <c r="C618" s="2022">
        <v>0</v>
      </c>
      <c r="D618" s="2022">
        <f>-178476.72+BQ618</f>
        <v>-266948.71000000002</v>
      </c>
      <c r="E618" s="2022">
        <f>BR618</f>
        <v>22245.72</v>
      </c>
      <c r="F618" s="2022">
        <v>0</v>
      </c>
      <c r="G618" s="2022">
        <v>0</v>
      </c>
      <c r="H618" s="2022">
        <v>-178476.72</v>
      </c>
      <c r="I618" s="2011">
        <f t="shared" si="16"/>
        <v>-244702.99000000002</v>
      </c>
      <c r="J618" s="2022"/>
      <c r="K618" s="2463"/>
      <c r="BQ618" s="2728">
        <v>-88471.99</v>
      </c>
      <c r="BR618" s="2728">
        <v>22245.72</v>
      </c>
    </row>
    <row r="619" spans="1:89" x14ac:dyDescent="0.2">
      <c r="A619" s="2020" t="s">
        <v>4540</v>
      </c>
      <c r="B619" s="2020" t="s">
        <v>6278</v>
      </c>
      <c r="C619" s="2022">
        <v>0</v>
      </c>
      <c r="D619" s="2022">
        <f>-1636557.01+W619</f>
        <v>-1108598.6099999999</v>
      </c>
      <c r="E619" s="2022">
        <f>X619</f>
        <v>458272.44</v>
      </c>
      <c r="F619" s="2022">
        <v>0</v>
      </c>
      <c r="G619" s="2022">
        <v>0</v>
      </c>
      <c r="H619" s="2022">
        <v>-1636557.01</v>
      </c>
      <c r="I619" s="2011">
        <f t="shared" si="16"/>
        <v>-650326.16999999993</v>
      </c>
      <c r="J619" s="2022"/>
      <c r="K619" s="2463"/>
      <c r="W619" s="2022">
        <v>527958.4</v>
      </c>
      <c r="X619" s="2022">
        <v>458272.44</v>
      </c>
    </row>
    <row r="620" spans="1:89" x14ac:dyDescent="0.2">
      <c r="A620" s="2020" t="s">
        <v>4543</v>
      </c>
      <c r="B620" s="2020" t="s">
        <v>6279</v>
      </c>
      <c r="C620" s="2022">
        <v>0</v>
      </c>
      <c r="D620" s="2022">
        <v>46.25</v>
      </c>
      <c r="E620" s="2022">
        <v>0</v>
      </c>
      <c r="F620" s="2022">
        <v>0</v>
      </c>
      <c r="G620" s="2022">
        <v>46.25</v>
      </c>
      <c r="H620" s="2022">
        <v>0</v>
      </c>
      <c r="I620" s="2011">
        <f t="shared" si="16"/>
        <v>46.25</v>
      </c>
      <c r="J620" s="2022"/>
      <c r="K620" s="2463"/>
    </row>
    <row r="621" spans="1:89" x14ac:dyDescent="0.2">
      <c r="A621" s="2020" t="s">
        <v>4545</v>
      </c>
      <c r="B621" s="2020" t="s">
        <v>6280</v>
      </c>
      <c r="C621" s="2022">
        <v>0</v>
      </c>
      <c r="D621" s="2022">
        <v>630.5</v>
      </c>
      <c r="E621" s="2022">
        <v>0</v>
      </c>
      <c r="F621" s="2022">
        <v>-1064.8</v>
      </c>
      <c r="G621" s="2022">
        <v>0</v>
      </c>
      <c r="H621" s="2022">
        <v>-434.3</v>
      </c>
      <c r="I621" s="2011">
        <f t="shared" si="16"/>
        <v>-434.29999999999995</v>
      </c>
      <c r="J621" s="2022"/>
      <c r="K621" s="2463"/>
    </row>
    <row r="622" spans="1:89" x14ac:dyDescent="0.2">
      <c r="A622" s="2020" t="s">
        <v>4547</v>
      </c>
      <c r="B622" s="2020" t="s">
        <v>6281</v>
      </c>
      <c r="C622" s="2022">
        <v>0</v>
      </c>
      <c r="D622" s="2022">
        <f>-1643+BG622</f>
        <v>-97051.04</v>
      </c>
      <c r="E622" s="2022">
        <v>0</v>
      </c>
      <c r="F622" s="2022">
        <f>BF622</f>
        <v>-431.45</v>
      </c>
      <c r="G622" s="2022">
        <v>0</v>
      </c>
      <c r="H622" s="2022">
        <v>-1643</v>
      </c>
      <c r="I622" s="2011">
        <f t="shared" si="16"/>
        <v>-97482.489999999991</v>
      </c>
      <c r="J622" s="2022"/>
      <c r="K622" s="2463"/>
      <c r="BF622" s="2022">
        <v>-431.45</v>
      </c>
      <c r="BG622" s="2022">
        <f>-97051.04+1643</f>
        <v>-95408.04</v>
      </c>
    </row>
    <row r="623" spans="1:89" x14ac:dyDescent="0.2">
      <c r="A623" s="2020" t="s">
        <v>4548</v>
      </c>
      <c r="B623" s="2020" t="s">
        <v>6279</v>
      </c>
      <c r="C623" s="2022">
        <v>0</v>
      </c>
      <c r="D623" s="2022">
        <v>-800</v>
      </c>
      <c r="E623" s="2022">
        <v>0</v>
      </c>
      <c r="F623" s="2022">
        <v>0</v>
      </c>
      <c r="G623" s="2022">
        <v>0</v>
      </c>
      <c r="H623" s="2022">
        <v>-800</v>
      </c>
      <c r="I623" s="2011">
        <f t="shared" si="16"/>
        <v>-800</v>
      </c>
      <c r="J623" s="2022"/>
      <c r="K623" s="2463"/>
    </row>
    <row r="624" spans="1:89" x14ac:dyDescent="0.2">
      <c r="A624" s="2020" t="s">
        <v>4549</v>
      </c>
      <c r="B624" s="2020" t="s">
        <v>6280</v>
      </c>
      <c r="C624" s="2022">
        <v>0</v>
      </c>
      <c r="D624" s="2022">
        <v>-66120</v>
      </c>
      <c r="E624" s="2022">
        <v>0</v>
      </c>
      <c r="F624" s="2022">
        <v>0</v>
      </c>
      <c r="G624" s="2022">
        <v>0</v>
      </c>
      <c r="H624" s="2022">
        <v>-66120</v>
      </c>
      <c r="I624" s="2011">
        <f t="shared" si="16"/>
        <v>-66120</v>
      </c>
      <c r="J624" s="2022"/>
      <c r="K624" s="2463"/>
    </row>
    <row r="625" spans="1:89" x14ac:dyDescent="0.2">
      <c r="A625" s="2020" t="s">
        <v>4551</v>
      </c>
      <c r="B625" s="2020" t="s">
        <v>6282</v>
      </c>
      <c r="C625" s="2022">
        <v>0</v>
      </c>
      <c r="D625" s="2022">
        <f>-3023636.66+BC625</f>
        <v>-2147944.4300000002</v>
      </c>
      <c r="E625" s="2022">
        <v>0</v>
      </c>
      <c r="F625" s="2022">
        <f>BH625</f>
        <v>-135460.98000000001</v>
      </c>
      <c r="G625" s="2022">
        <v>0</v>
      </c>
      <c r="H625" s="2022">
        <v>-3023636.66</v>
      </c>
      <c r="I625" s="2011">
        <f t="shared" si="16"/>
        <v>-2283405.41</v>
      </c>
      <c r="J625" s="2022"/>
      <c r="K625" s="2463"/>
      <c r="BC625" s="2022">
        <v>875692.23</v>
      </c>
      <c r="BH625" s="2022">
        <v>-135460.98000000001</v>
      </c>
    </row>
    <row r="626" spans="1:89" x14ac:dyDescent="0.2">
      <c r="A626" s="2020" t="s">
        <v>4553</v>
      </c>
      <c r="B626" s="2020" t="s">
        <v>6283</v>
      </c>
      <c r="C626" s="2022">
        <v>0</v>
      </c>
      <c r="D626" s="2022">
        <v>-689433.13</v>
      </c>
      <c r="E626" s="2022">
        <v>0</v>
      </c>
      <c r="F626" s="2022">
        <f>AW626</f>
        <v>-145295.19</v>
      </c>
      <c r="G626" s="2022">
        <v>0</v>
      </c>
      <c r="H626" s="2022">
        <v>-689433.13</v>
      </c>
      <c r="I626" s="2011">
        <f t="shared" si="16"/>
        <v>-834728.32000000007</v>
      </c>
      <c r="J626" s="2022"/>
      <c r="K626" s="2463"/>
      <c r="AW626" s="2022">
        <v>-145295.19</v>
      </c>
    </row>
    <row r="627" spans="1:89" x14ac:dyDescent="0.2">
      <c r="A627" s="2020" t="s">
        <v>4556</v>
      </c>
      <c r="B627" s="2020" t="s">
        <v>6284</v>
      </c>
      <c r="C627" s="2022">
        <v>0</v>
      </c>
      <c r="D627" s="2022">
        <v>-34472.54</v>
      </c>
      <c r="E627" s="2022">
        <f>BP627</f>
        <v>123492.86</v>
      </c>
      <c r="F627" s="2022">
        <f>BD627</f>
        <v>-123492.86</v>
      </c>
      <c r="G627" s="2022">
        <v>0</v>
      </c>
      <c r="H627" s="2022">
        <v>-34472.54</v>
      </c>
      <c r="I627" s="2011">
        <f t="shared" si="16"/>
        <v>-34472.539999999994</v>
      </c>
      <c r="J627" s="2022"/>
      <c r="K627" s="2463"/>
      <c r="BD627" s="2022">
        <v>-123492.86</v>
      </c>
      <c r="BP627" s="2728">
        <v>123492.86</v>
      </c>
    </row>
    <row r="628" spans="1:89" x14ac:dyDescent="0.2">
      <c r="A628" s="1127" t="s">
        <v>4558</v>
      </c>
      <c r="B628" s="2020" t="s">
        <v>6285</v>
      </c>
      <c r="C628" s="2022">
        <v>0</v>
      </c>
      <c r="D628" s="2022">
        <f>-12099045.41-205248+AU628+BG628+BY628+CC628+CH628+CI628</f>
        <v>-14322312.239999998</v>
      </c>
      <c r="E628" s="2022">
        <f>59402794.69+AO628+AP628+BP628+BZ628+CD628</f>
        <v>69675240.420000002</v>
      </c>
      <c r="F628" s="2022">
        <f>-58943522.93-411445.82+AM628+AN628+BF628+CG628</f>
        <v>-64072189.129999995</v>
      </c>
      <c r="G628" s="2022">
        <v>0</v>
      </c>
      <c r="H628" s="2022">
        <v>-11639773.65</v>
      </c>
      <c r="I628" s="2011">
        <f t="shared" si="16"/>
        <v>-8719260.9499999881</v>
      </c>
      <c r="J628" s="2022"/>
      <c r="K628" s="2464"/>
      <c r="AM628" s="2022">
        <v>-3437647.75</v>
      </c>
      <c r="AN628" s="2022">
        <v>-533655.37</v>
      </c>
      <c r="AO628" s="2022">
        <f>5492097.22+5564.12+299.79-724172.21</f>
        <v>4773788.92</v>
      </c>
      <c r="AP628" s="2022">
        <v>765948.63</v>
      </c>
      <c r="AU628" s="2022">
        <f>-AU608</f>
        <v>4488394</v>
      </c>
      <c r="BF628" s="2022">
        <v>-18127.259999999998</v>
      </c>
      <c r="BG628" s="2022">
        <v>-34462.519999999997</v>
      </c>
      <c r="BP628" s="2728">
        <v>147456</v>
      </c>
      <c r="BY628" s="2728">
        <v>-4101867.74</v>
      </c>
      <c r="BZ628" s="2752">
        <v>4101867.74</v>
      </c>
      <c r="CA628" s="2752"/>
      <c r="CC628" s="2728">
        <v>-483384.44</v>
      </c>
      <c r="CD628" s="2634">
        <f>-CC628</f>
        <v>483384.44</v>
      </c>
      <c r="CG628" s="2728">
        <v>-727790</v>
      </c>
      <c r="CH628" s="2728">
        <v>727790</v>
      </c>
      <c r="CI628" s="2634">
        <f>-CI608</f>
        <v>-2614488.13</v>
      </c>
    </row>
    <row r="629" spans="1:89" x14ac:dyDescent="0.2">
      <c r="A629" s="1127" t="s">
        <v>4560</v>
      </c>
      <c r="B629" s="2020" t="s">
        <v>6286</v>
      </c>
      <c r="C629" s="2022">
        <v>0</v>
      </c>
      <c r="D629" s="2022">
        <f>-250+AK629</f>
        <v>-287038.65999999997</v>
      </c>
      <c r="E629" s="2022">
        <f>192987.52+AE629</f>
        <v>287038.65999999997</v>
      </c>
      <c r="F629" s="2022">
        <v>0</v>
      </c>
      <c r="G629" s="2022">
        <v>192737.52</v>
      </c>
      <c r="H629" s="2022">
        <v>0</v>
      </c>
      <c r="I629" s="2011">
        <f t="shared" si="16"/>
        <v>0</v>
      </c>
      <c r="J629" s="2022"/>
      <c r="K629" s="2463"/>
      <c r="AE629" s="2022">
        <v>94051.14</v>
      </c>
      <c r="AK629" s="2022">
        <v>-286788.65999999997</v>
      </c>
    </row>
    <row r="630" spans="1:89" x14ac:dyDescent="0.2">
      <c r="A630" s="1127" t="s">
        <v>4562</v>
      </c>
      <c r="B630" s="1127" t="s">
        <v>6287</v>
      </c>
      <c r="C630" s="2022">
        <v>0</v>
      </c>
      <c r="D630" s="2022">
        <v>198547.47</v>
      </c>
      <c r="E630" s="2022">
        <v>0</v>
      </c>
      <c r="F630" s="2022">
        <f>L630</f>
        <v>-533532.43000000005</v>
      </c>
      <c r="G630" s="2022">
        <v>198547.47</v>
      </c>
      <c r="H630" s="2022">
        <v>0</v>
      </c>
      <c r="I630" s="2011">
        <f t="shared" si="16"/>
        <v>-334984.96000000008</v>
      </c>
      <c r="J630" s="2022"/>
      <c r="K630" s="2463"/>
      <c r="L630" s="2022">
        <v>-533532.43000000005</v>
      </c>
    </row>
    <row r="631" spans="1:89" x14ac:dyDescent="0.2">
      <c r="A631" s="2020" t="s">
        <v>4565</v>
      </c>
      <c r="B631" s="2020" t="s">
        <v>4566</v>
      </c>
      <c r="C631" s="2022">
        <v>0</v>
      </c>
      <c r="D631" s="2022">
        <v>20565.13</v>
      </c>
      <c r="E631" s="2022">
        <v>0</v>
      </c>
      <c r="F631" s="2022">
        <f>N631</f>
        <v>-106.15</v>
      </c>
      <c r="G631" s="2022">
        <v>20565.13</v>
      </c>
      <c r="H631" s="2022">
        <v>0</v>
      </c>
      <c r="I631" s="2011">
        <f t="shared" si="16"/>
        <v>20458.98</v>
      </c>
      <c r="J631" s="2022"/>
      <c r="K631" s="2463"/>
      <c r="N631" s="2022">
        <v>-106.15</v>
      </c>
    </row>
    <row r="632" spans="1:89" x14ac:dyDescent="0.2">
      <c r="A632" s="2020" t="s">
        <v>4571</v>
      </c>
      <c r="B632" s="2020" t="s">
        <v>6288</v>
      </c>
      <c r="C632" s="2022">
        <v>0</v>
      </c>
      <c r="D632" s="2022">
        <v>-5030</v>
      </c>
      <c r="E632" s="2022">
        <v>1721.2</v>
      </c>
      <c r="F632" s="2022">
        <v>-5354.1</v>
      </c>
      <c r="G632" s="2022">
        <v>0</v>
      </c>
      <c r="H632" s="2022">
        <v>-8662.9</v>
      </c>
      <c r="I632" s="2011">
        <f t="shared" si="16"/>
        <v>-8662.9000000000015</v>
      </c>
      <c r="J632" s="2022"/>
      <c r="K632" s="2463"/>
    </row>
    <row r="633" spans="1:89" x14ac:dyDescent="0.2">
      <c r="A633" s="2020" t="s">
        <v>4573</v>
      </c>
      <c r="B633" s="2020" t="s">
        <v>4574</v>
      </c>
      <c r="C633" s="2022">
        <v>0</v>
      </c>
      <c r="D633" s="2022">
        <v>-31284</v>
      </c>
      <c r="E633" s="2022">
        <v>0</v>
      </c>
      <c r="F633" s="2022">
        <v>-16128</v>
      </c>
      <c r="G633" s="2022">
        <v>0</v>
      </c>
      <c r="H633" s="2022">
        <v>-47412</v>
      </c>
      <c r="I633" s="2011">
        <f t="shared" si="16"/>
        <v>-47412</v>
      </c>
      <c r="J633" s="2022"/>
      <c r="K633" s="2463"/>
    </row>
    <row r="634" spans="1:89" x14ac:dyDescent="0.2">
      <c r="A634" s="2020" t="s">
        <v>4575</v>
      </c>
      <c r="B634" s="2020" t="s">
        <v>6289</v>
      </c>
      <c r="C634" s="2022">
        <v>0</v>
      </c>
      <c r="D634" s="2022">
        <f>-834358.78+BG634</f>
        <v>-944761.98</v>
      </c>
      <c r="E634" s="2022">
        <v>18017567.829999998</v>
      </c>
      <c r="F634" s="2022">
        <f>-21801810.72+BF634</f>
        <v>-22315321.239999998</v>
      </c>
      <c r="G634" s="2022">
        <v>0</v>
      </c>
      <c r="H634" s="2022">
        <v>-4618601.67</v>
      </c>
      <c r="I634" s="2011">
        <f t="shared" si="16"/>
        <v>-5242515.3900000006</v>
      </c>
      <c r="J634" s="2022"/>
      <c r="K634" s="2463"/>
      <c r="BF634" s="2022">
        <v>-513510.52</v>
      </c>
      <c r="BG634" s="2022">
        <v>-110403.2</v>
      </c>
    </row>
    <row r="635" spans="1:89" x14ac:dyDescent="0.2">
      <c r="A635" s="1127" t="s">
        <v>4577</v>
      </c>
      <c r="B635" s="2020" t="s">
        <v>6290</v>
      </c>
      <c r="C635" s="2022">
        <v>0</v>
      </c>
      <c r="D635" s="2022">
        <v>511704.77</v>
      </c>
      <c r="E635" s="2022">
        <f>39318715.03+1720201.67</f>
        <v>41038916.700000003</v>
      </c>
      <c r="F635" s="2022">
        <f>-40255970.98+AO635+AS635</f>
        <v>-41550621.469999991</v>
      </c>
      <c r="G635" s="2022">
        <v>0</v>
      </c>
      <c r="H635" s="2022">
        <v>-425551.18</v>
      </c>
      <c r="I635" s="2011">
        <f t="shared" si="16"/>
        <v>0</v>
      </c>
      <c r="J635" s="2022"/>
      <c r="K635" s="2463"/>
      <c r="AO635" s="2022">
        <v>-1292871.26</v>
      </c>
      <c r="AS635" s="2022">
        <v>-1779.23</v>
      </c>
    </row>
    <row r="636" spans="1:89" x14ac:dyDescent="0.2">
      <c r="A636" s="1127" t="s">
        <v>4579</v>
      </c>
      <c r="B636" s="2020" t="s">
        <v>6291</v>
      </c>
      <c r="C636" s="2022">
        <v>0</v>
      </c>
      <c r="D636" s="2022">
        <f>BO636</f>
        <v>-1402051.14</v>
      </c>
      <c r="E636" s="2022">
        <f>500+BP636</f>
        <v>853751.14</v>
      </c>
      <c r="F636" s="2022">
        <f>AS636</f>
        <v>-2171437.0499999998</v>
      </c>
      <c r="G636" s="2022">
        <v>500</v>
      </c>
      <c r="H636" s="2022">
        <v>0</v>
      </c>
      <c r="I636" s="2011">
        <f t="shared" si="16"/>
        <v>-2719737.05</v>
      </c>
      <c r="J636" s="2022"/>
      <c r="K636" s="2463"/>
      <c r="AS636" s="2022">
        <f>-2173216.28+1779.23</f>
        <v>-2171437.0499999998</v>
      </c>
      <c r="BO636" s="2728">
        <v>-1402051.14</v>
      </c>
      <c r="BP636" s="2728">
        <v>853251.14</v>
      </c>
    </row>
    <row r="637" spans="1:89" x14ac:dyDescent="0.2">
      <c r="A637" s="2020" t="s">
        <v>4581</v>
      </c>
      <c r="B637" s="2020" t="s">
        <v>6292</v>
      </c>
      <c r="C637" s="2022">
        <v>0</v>
      </c>
      <c r="D637" s="2022">
        <v>9339.31</v>
      </c>
      <c r="E637" s="2022">
        <v>0</v>
      </c>
      <c r="F637" s="2022">
        <v>0</v>
      </c>
      <c r="G637" s="2022">
        <v>9339.31</v>
      </c>
      <c r="H637" s="2022">
        <v>0</v>
      </c>
      <c r="I637" s="2011">
        <f t="shared" si="16"/>
        <v>9339.31</v>
      </c>
      <c r="J637" s="2022"/>
      <c r="K637" s="2463"/>
    </row>
    <row r="638" spans="1:89" x14ac:dyDescent="0.2">
      <c r="A638" s="2020" t="s">
        <v>4584</v>
      </c>
      <c r="B638" s="2020" t="s">
        <v>6293</v>
      </c>
      <c r="C638" s="2022">
        <v>0</v>
      </c>
      <c r="D638" s="2022">
        <v>-28.03</v>
      </c>
      <c r="E638" s="2022">
        <v>0</v>
      </c>
      <c r="F638" s="2022">
        <v>0</v>
      </c>
      <c r="G638" s="2022">
        <v>0</v>
      </c>
      <c r="H638" s="2022">
        <v>-28.03</v>
      </c>
      <c r="I638" s="2011">
        <f t="shared" si="16"/>
        <v>-28.03</v>
      </c>
      <c r="J638" s="2022"/>
      <c r="K638" s="2463"/>
    </row>
    <row r="639" spans="1:89" x14ac:dyDescent="0.2">
      <c r="A639" s="2020" t="s">
        <v>4586</v>
      </c>
      <c r="B639" s="2020" t="s">
        <v>6294</v>
      </c>
      <c r="C639" s="2022">
        <v>0</v>
      </c>
      <c r="D639" s="2022">
        <v>22734</v>
      </c>
      <c r="E639" s="2022">
        <v>0</v>
      </c>
      <c r="F639" s="2022">
        <v>0</v>
      </c>
      <c r="G639" s="2022">
        <v>22734</v>
      </c>
      <c r="H639" s="2022">
        <v>0</v>
      </c>
      <c r="I639" s="2011">
        <f t="shared" si="16"/>
        <v>22734</v>
      </c>
      <c r="J639" s="2022"/>
      <c r="K639" s="2463"/>
    </row>
    <row r="640" spans="1:89" s="2100" customFormat="1" x14ac:dyDescent="0.2">
      <c r="A640" s="2106" t="s">
        <v>4588</v>
      </c>
      <c r="B640" s="2106" t="s">
        <v>6294</v>
      </c>
      <c r="C640" s="2022"/>
      <c r="D640" s="2022">
        <v>0</v>
      </c>
      <c r="E640" s="2022">
        <f>CJ640</f>
        <v>354386</v>
      </c>
      <c r="F640" s="2022">
        <v>0</v>
      </c>
      <c r="G640" s="2022"/>
      <c r="H640" s="2022"/>
      <c r="I640" s="2011">
        <f t="shared" si="16"/>
        <v>354386</v>
      </c>
      <c r="J640" s="2022"/>
      <c r="K640" s="2463"/>
      <c r="L640" s="2022"/>
      <c r="M640" s="2022"/>
      <c r="N640" s="2022"/>
      <c r="O640" s="2022"/>
      <c r="P640" s="2022"/>
      <c r="Q640" s="2022"/>
      <c r="R640" s="2022"/>
      <c r="S640" s="2022"/>
      <c r="T640" s="2022"/>
      <c r="U640" s="2022"/>
      <c r="V640" s="2022"/>
      <c r="W640" s="2022"/>
      <c r="X640" s="2022"/>
      <c r="Y640" s="2022"/>
      <c r="Z640" s="2022"/>
      <c r="AA640" s="2022"/>
      <c r="AB640" s="2022"/>
      <c r="AC640" s="2022"/>
      <c r="AD640" s="2022"/>
      <c r="AE640" s="2022"/>
      <c r="AF640" s="2022"/>
      <c r="AG640" s="2022"/>
      <c r="AH640" s="2022"/>
      <c r="AI640" s="2022"/>
      <c r="AJ640" s="2022"/>
      <c r="AK640" s="2022"/>
      <c r="AL640" s="2022"/>
      <c r="AM640" s="2022"/>
      <c r="AN640" s="2022"/>
      <c r="AO640" s="2022"/>
      <c r="AP640" s="2022"/>
      <c r="AQ640" s="2022"/>
      <c r="AR640" s="2022"/>
      <c r="AS640" s="2022"/>
      <c r="AT640" s="2022"/>
      <c r="AU640" s="2022"/>
      <c r="AV640" s="2558"/>
      <c r="AW640" s="2022"/>
      <c r="AX640" s="2022"/>
      <c r="AY640" s="2022"/>
      <c r="AZ640" s="2022"/>
      <c r="BA640" s="2022"/>
      <c r="BB640" s="2022"/>
      <c r="BC640" s="2022"/>
      <c r="BD640" s="2022"/>
      <c r="BE640" s="2022"/>
      <c r="BF640" s="2022"/>
      <c r="BG640" s="2022"/>
      <c r="BH640" s="2022"/>
      <c r="BI640" s="2728"/>
      <c r="BJ640" s="2728"/>
      <c r="BK640" s="2728"/>
      <c r="BL640" s="2728"/>
      <c r="BM640" s="2728"/>
      <c r="BN640" s="2728"/>
      <c r="BO640" s="2728"/>
      <c r="BP640" s="2728"/>
      <c r="BQ640" s="2728"/>
      <c r="BR640" s="2728"/>
      <c r="BS640" s="2632"/>
      <c r="BT640" s="2632"/>
      <c r="BU640" s="2728"/>
      <c r="BV640" s="2728"/>
      <c r="BW640" s="2632"/>
      <c r="BX640" s="2632"/>
      <c r="BY640" s="2632"/>
      <c r="BZ640" s="2632"/>
      <c r="CA640" s="2632"/>
      <c r="CB640" s="2728"/>
      <c r="CC640" s="2632"/>
      <c r="CD640" s="2632"/>
      <c r="CE640" s="2632"/>
      <c r="CF640" s="2632"/>
      <c r="CG640" s="2728"/>
      <c r="CH640" s="2728"/>
      <c r="CI640" s="2632"/>
      <c r="CJ640" s="2728">
        <v>354386</v>
      </c>
      <c r="CK640" s="2632"/>
    </row>
    <row r="641" spans="1:89" x14ac:dyDescent="0.2">
      <c r="A641" s="2020" t="s">
        <v>4589</v>
      </c>
      <c r="B641" s="2020" t="s">
        <v>6295</v>
      </c>
      <c r="C641" s="2022">
        <v>0</v>
      </c>
      <c r="D641" s="2022">
        <v>-236574.36</v>
      </c>
      <c r="E641" s="2022">
        <f>BF641</f>
        <v>211803.2</v>
      </c>
      <c r="F641" s="2022">
        <f>-10136.68+U641+CD641</f>
        <v>-1016935.9900000001</v>
      </c>
      <c r="G641" s="2022">
        <v>0</v>
      </c>
      <c r="H641" s="2022">
        <v>-246711.04000000001</v>
      </c>
      <c r="I641" s="2011">
        <f t="shared" si="16"/>
        <v>-1041707.1500000001</v>
      </c>
      <c r="J641" s="2022"/>
      <c r="K641" s="2463"/>
      <c r="U641" s="2022">
        <f>-U645</f>
        <v>-598095.54</v>
      </c>
      <c r="BF641" s="2022">
        <v>211803.2</v>
      </c>
      <c r="CD641" s="2728">
        <v>-408703.77</v>
      </c>
    </row>
    <row r="642" spans="1:89" x14ac:dyDescent="0.2">
      <c r="A642" s="2020" t="s">
        <v>4591</v>
      </c>
      <c r="B642" s="2020" t="s">
        <v>6296</v>
      </c>
      <c r="C642" s="2022">
        <v>0</v>
      </c>
      <c r="D642" s="2022">
        <f>AX642</f>
        <v>-15563008.32</v>
      </c>
      <c r="E642" s="2022">
        <v>0</v>
      </c>
      <c r="F642" s="2022">
        <f>AY642</f>
        <v>-1486936.5</v>
      </c>
      <c r="G642" s="2022">
        <v>0</v>
      </c>
      <c r="H642" s="2022">
        <v>-5135150</v>
      </c>
      <c r="I642" s="2011">
        <f t="shared" si="16"/>
        <v>-17049944.82</v>
      </c>
      <c r="J642" s="2022"/>
      <c r="K642" s="2463"/>
      <c r="AA642" s="2022">
        <v>5135150</v>
      </c>
      <c r="AX642" s="2022">
        <v>-15563008.32</v>
      </c>
      <c r="AY642" s="2022">
        <v>-1486936.5</v>
      </c>
    </row>
    <row r="643" spans="1:89" x14ac:dyDescent="0.2">
      <c r="A643" s="2020" t="s">
        <v>4592</v>
      </c>
      <c r="B643" s="2020" t="s">
        <v>6297</v>
      </c>
      <c r="C643" s="2022">
        <v>0</v>
      </c>
      <c r="D643" s="2022">
        <v>-39526</v>
      </c>
      <c r="E643" s="2022">
        <v>0</v>
      </c>
      <c r="F643" s="2022">
        <v>0</v>
      </c>
      <c r="G643" s="2022">
        <v>0</v>
      </c>
      <c r="H643" s="2022">
        <v>-39526</v>
      </c>
      <c r="I643" s="2011">
        <f t="shared" si="16"/>
        <v>-39526</v>
      </c>
      <c r="J643" s="2022"/>
      <c r="K643" s="2463"/>
    </row>
    <row r="644" spans="1:89" x14ac:dyDescent="0.2">
      <c r="A644" s="2020" t="s">
        <v>4594</v>
      </c>
      <c r="B644" s="2020" t="s">
        <v>6298</v>
      </c>
      <c r="C644" s="2022">
        <v>0</v>
      </c>
      <c r="D644" s="2022">
        <v>0</v>
      </c>
      <c r="E644" s="2022">
        <v>4181304.48</v>
      </c>
      <c r="F644" s="2022">
        <f>-4061436.73+AS644</f>
        <v>-4181304.48</v>
      </c>
      <c r="G644" s="2022">
        <v>119867.75</v>
      </c>
      <c r="H644" s="2022">
        <v>0</v>
      </c>
      <c r="I644" s="2011">
        <f t="shared" si="16"/>
        <v>0</v>
      </c>
      <c r="J644" s="2022"/>
      <c r="K644" s="2463"/>
      <c r="AS644" s="2022">
        <v>-119867.75</v>
      </c>
    </row>
    <row r="645" spans="1:89" x14ac:dyDescent="0.2">
      <c r="A645" s="2020" t="s">
        <v>4596</v>
      </c>
      <c r="B645" s="2020" t="s">
        <v>6299</v>
      </c>
      <c r="C645" s="2022">
        <v>0</v>
      </c>
      <c r="D645" s="2022">
        <v>26063.87</v>
      </c>
      <c r="E645" s="2022">
        <f>78412782.59+U645+1909655.94+AF645+AS645</f>
        <v>100243593.79000001</v>
      </c>
      <c r="F645" s="2022">
        <f>-102148269.5+N645+Q645+AE645+AH645</f>
        <v>-100269657.66</v>
      </c>
      <c r="G645" s="2022">
        <v>0</v>
      </c>
      <c r="H645" s="2022">
        <v>-23709423.100000001</v>
      </c>
      <c r="I645" s="2011">
        <f t="shared" si="16"/>
        <v>0</v>
      </c>
      <c r="J645" s="2022"/>
      <c r="K645" s="2463"/>
      <c r="Q645" s="2022">
        <f>790000+1169000</f>
        <v>1959000</v>
      </c>
      <c r="U645" s="2022">
        <f>844806.54-246711</f>
        <v>598095.54</v>
      </c>
      <c r="AE645" s="2022">
        <v>0</v>
      </c>
      <c r="AF645" s="2022">
        <v>17029975.690000001</v>
      </c>
      <c r="AH645" s="2022">
        <f>-AH608</f>
        <v>-80388.160000000003</v>
      </c>
      <c r="AS645" s="2022">
        <v>2293084.0299999998</v>
      </c>
    </row>
    <row r="646" spans="1:89" x14ac:dyDescent="0.2">
      <c r="A646" s="2020" t="s">
        <v>4598</v>
      </c>
      <c r="B646" s="2020" t="s">
        <v>6300</v>
      </c>
      <c r="C646" s="2022">
        <v>0</v>
      </c>
      <c r="D646" s="2022">
        <v>-780</v>
      </c>
      <c r="E646" s="2022">
        <v>16128</v>
      </c>
      <c r="F646" s="2022">
        <v>-20290</v>
      </c>
      <c r="G646" s="2022">
        <v>0</v>
      </c>
      <c r="H646" s="2022">
        <v>-4942</v>
      </c>
      <c r="I646" s="2011">
        <f t="shared" si="16"/>
        <v>-4942</v>
      </c>
      <c r="J646" s="2022"/>
      <c r="K646" s="2463"/>
    </row>
    <row r="647" spans="1:89" x14ac:dyDescent="0.2">
      <c r="A647" s="2020" t="s">
        <v>4600</v>
      </c>
      <c r="B647" s="2020" t="s">
        <v>6301</v>
      </c>
      <c r="C647" s="2022">
        <v>0</v>
      </c>
      <c r="D647" s="2022">
        <f>-1352069+P647</f>
        <v>0</v>
      </c>
      <c r="E647" s="2022">
        <v>0</v>
      </c>
      <c r="F647" s="2022">
        <f>-855000+Q647</f>
        <v>0</v>
      </c>
      <c r="G647" s="2022">
        <v>0</v>
      </c>
      <c r="H647" s="2022">
        <v>-2207069</v>
      </c>
      <c r="I647" s="2011">
        <f t="shared" si="16"/>
        <v>0</v>
      </c>
      <c r="J647" s="2022"/>
      <c r="K647" s="2463"/>
      <c r="P647" s="2022">
        <v>1352069</v>
      </c>
      <c r="Q647" s="2022">
        <f>855000</f>
        <v>855000</v>
      </c>
    </row>
    <row r="648" spans="1:89" x14ac:dyDescent="0.2">
      <c r="A648" s="2020" t="s">
        <v>4602</v>
      </c>
      <c r="B648" s="2020" t="s">
        <v>6302</v>
      </c>
      <c r="C648" s="2022">
        <v>0</v>
      </c>
      <c r="D648" s="2022">
        <f>-343835.01+P648</f>
        <v>-1.0000000009313226E-2</v>
      </c>
      <c r="E648" s="2022">
        <v>6856838.9400000004</v>
      </c>
      <c r="F648" s="2022">
        <f>-7238999.99+Q648+V648</f>
        <v>-6856838.9300000006</v>
      </c>
      <c r="G648" s="2022">
        <v>0</v>
      </c>
      <c r="H648" s="2022">
        <v>-725996.06</v>
      </c>
      <c r="I648" s="2011">
        <f t="shared" si="16"/>
        <v>0</v>
      </c>
      <c r="J648" s="2022"/>
      <c r="K648" s="2463"/>
      <c r="P648" s="2022">
        <v>343835</v>
      </c>
      <c r="Q648" s="2022">
        <v>7239000</v>
      </c>
      <c r="V648" s="2022">
        <v>-6856838.9400000004</v>
      </c>
    </row>
    <row r="649" spans="1:89" x14ac:dyDescent="0.2">
      <c r="A649" s="2020" t="s">
        <v>4604</v>
      </c>
      <c r="B649" s="2020" t="s">
        <v>6303</v>
      </c>
      <c r="C649" s="2022">
        <v>0</v>
      </c>
      <c r="D649" s="2022">
        <v>0</v>
      </c>
      <c r="E649" s="2022">
        <v>975800.55</v>
      </c>
      <c r="F649" s="2022">
        <f>-1500000+Q649+Z649</f>
        <v>-975800.55</v>
      </c>
      <c r="G649" s="2022">
        <v>0</v>
      </c>
      <c r="H649" s="2022">
        <v>-524199.45</v>
      </c>
      <c r="I649" s="2011">
        <f t="shared" si="16"/>
        <v>0</v>
      </c>
      <c r="J649" s="2022"/>
      <c r="K649" s="2463"/>
      <c r="Q649" s="2022">
        <v>1500000</v>
      </c>
      <c r="Z649" s="2022">
        <v>-975800.55</v>
      </c>
    </row>
    <row r="650" spans="1:89" s="2069" customFormat="1" x14ac:dyDescent="0.2">
      <c r="A650" s="1208" t="s">
        <v>4606</v>
      </c>
      <c r="B650" s="2024" t="s">
        <v>4607</v>
      </c>
      <c r="C650" s="2304">
        <v>0</v>
      </c>
      <c r="D650" s="2304">
        <f>605341.9+AC650</f>
        <v>0</v>
      </c>
      <c r="E650" s="2304">
        <f>1214788.17+AD650</f>
        <v>0</v>
      </c>
      <c r="F650" s="2304">
        <f>-313000+Q650</f>
        <v>-41049</v>
      </c>
      <c r="G650" s="2105">
        <v>1507130.07</v>
      </c>
      <c r="H650" s="2105">
        <v>0</v>
      </c>
      <c r="I650" s="2011">
        <f t="shared" si="16"/>
        <v>-41049</v>
      </c>
      <c r="J650" s="2022"/>
      <c r="K650" s="2463"/>
      <c r="L650" s="2304"/>
      <c r="M650" s="2304"/>
      <c r="N650" s="2304"/>
      <c r="O650" s="2304"/>
      <c r="P650" s="2304"/>
      <c r="Q650" s="2304">
        <f>313000-41049</f>
        <v>271951</v>
      </c>
      <c r="R650" s="2304"/>
      <c r="S650" s="2304"/>
      <c r="T650" s="2304"/>
      <c r="U650" s="2304"/>
      <c r="V650" s="2304"/>
      <c r="W650" s="2304"/>
      <c r="X650" s="2304"/>
      <c r="Y650" s="2304"/>
      <c r="Z650" s="2304"/>
      <c r="AA650" s="2304"/>
      <c r="AB650" s="2304"/>
      <c r="AC650" s="2304">
        <v>-605341.9</v>
      </c>
      <c r="AD650" s="2304">
        <f>-1214788.17</f>
        <v>-1214788.17</v>
      </c>
      <c r="AE650" s="2304"/>
      <c r="AF650" s="2304"/>
      <c r="AG650" s="2304"/>
      <c r="AH650" s="2304"/>
      <c r="AI650" s="2304"/>
      <c r="AJ650" s="2304"/>
      <c r="AK650" s="2304"/>
      <c r="AL650" s="2304"/>
      <c r="AM650" s="2304"/>
      <c r="AN650" s="2304"/>
      <c r="AO650" s="2304"/>
      <c r="AP650" s="2304"/>
      <c r="AQ650" s="2304"/>
      <c r="AR650" s="2304"/>
      <c r="AS650" s="2304"/>
      <c r="AT650" s="2304"/>
      <c r="AU650" s="2304"/>
      <c r="AV650" s="2558"/>
      <c r="AW650" s="2304"/>
      <c r="AX650" s="2304"/>
      <c r="AY650" s="2304"/>
      <c r="AZ650" s="2304"/>
      <c r="BA650" s="2304"/>
      <c r="BB650" s="2304"/>
      <c r="BC650" s="2304"/>
      <c r="BD650" s="2304"/>
      <c r="BE650" s="2304"/>
      <c r="BF650" s="2304"/>
      <c r="BG650" s="2304"/>
      <c r="BH650" s="2304"/>
      <c r="BI650" s="2728"/>
      <c r="BJ650" s="2728"/>
      <c r="BK650" s="2728"/>
      <c r="BL650" s="2728"/>
      <c r="BM650" s="2728"/>
      <c r="BN650" s="2728"/>
      <c r="BO650" s="2728"/>
      <c r="BP650" s="2728"/>
      <c r="BQ650" s="2728"/>
      <c r="BR650" s="2728"/>
      <c r="BS650" s="2632"/>
      <c r="BT650" s="2632"/>
      <c r="BU650" s="2728"/>
      <c r="BV650" s="2728"/>
      <c r="BW650" s="2632"/>
      <c r="BX650" s="2632"/>
      <c r="BY650" s="2632"/>
      <c r="BZ650" s="2632"/>
      <c r="CA650" s="2632"/>
      <c r="CB650" s="2728"/>
      <c r="CC650" s="2632"/>
      <c r="CD650" s="2632"/>
      <c r="CE650" s="2632"/>
      <c r="CF650" s="2632"/>
      <c r="CG650" s="2728"/>
      <c r="CH650" s="2728"/>
      <c r="CI650" s="2632"/>
      <c r="CJ650" s="2632"/>
      <c r="CK650" s="2632"/>
    </row>
    <row r="651" spans="1:89" x14ac:dyDescent="0.2">
      <c r="A651" s="2024" t="s">
        <v>4608</v>
      </c>
      <c r="B651" s="2024" t="s">
        <v>6304</v>
      </c>
      <c r="C651" s="2304">
        <v>0</v>
      </c>
      <c r="D651" s="2304">
        <v>-12487502.699999999</v>
      </c>
      <c r="E651" s="2304">
        <v>1475500.2</v>
      </c>
      <c r="F651" s="2304">
        <f>-14563000+Q651+V651</f>
        <v>-1027607.78</v>
      </c>
      <c r="G651" s="2022">
        <v>0</v>
      </c>
      <c r="H651" s="2022">
        <v>-25575002.5</v>
      </c>
      <c r="I651" s="2011">
        <f t="shared" si="16"/>
        <v>-12039610.279999999</v>
      </c>
      <c r="J651" s="2022"/>
      <c r="K651" s="2463"/>
      <c r="L651" s="2304"/>
      <c r="M651" s="2304"/>
      <c r="N651" s="2304"/>
      <c r="O651" s="2304"/>
      <c r="P651" s="2304"/>
      <c r="Q651" s="2304">
        <f>14363000+441642.7+6249.72</f>
        <v>14810892.42</v>
      </c>
      <c r="R651" s="2304"/>
      <c r="S651" s="2304"/>
      <c r="T651" s="2304"/>
      <c r="U651" s="2304"/>
      <c r="V651" s="2304">
        <f>-1269250.2-6250</f>
        <v>-1275500.2</v>
      </c>
      <c r="W651" s="2304"/>
      <c r="X651" s="2304"/>
      <c r="Y651" s="2304"/>
      <c r="Z651" s="2304"/>
      <c r="AA651" s="2304"/>
      <c r="AB651" s="2304"/>
      <c r="AC651" s="2304"/>
      <c r="AD651" s="2304"/>
      <c r="AE651" s="2304"/>
      <c r="AF651" s="2304"/>
      <c r="AG651" s="2304"/>
      <c r="AH651" s="2304"/>
      <c r="AI651" s="2304"/>
      <c r="AJ651" s="2304"/>
      <c r="AK651" s="2304"/>
      <c r="AL651" s="2304"/>
      <c r="AM651" s="2304"/>
      <c r="AN651" s="2304"/>
      <c r="AO651" s="2304"/>
      <c r="AP651" s="2304"/>
      <c r="AQ651" s="2304"/>
      <c r="AR651" s="2304"/>
      <c r="AS651" s="2304"/>
      <c r="AT651" s="2304"/>
      <c r="AU651" s="2304"/>
      <c r="AW651" s="2304"/>
      <c r="AX651" s="2304"/>
      <c r="AY651" s="2304"/>
      <c r="AZ651" s="2304"/>
      <c r="BA651" s="2304"/>
      <c r="BB651" s="2304"/>
      <c r="BC651" s="2304"/>
      <c r="BD651" s="2304"/>
      <c r="BE651" s="2304"/>
      <c r="BF651" s="2304"/>
      <c r="BG651" s="2304"/>
      <c r="BH651" s="2304"/>
    </row>
    <row r="652" spans="1:89" x14ac:dyDescent="0.2">
      <c r="A652" s="2024" t="s">
        <v>4610</v>
      </c>
      <c r="B652" s="2024" t="s">
        <v>6305</v>
      </c>
      <c r="C652" s="2304">
        <v>0</v>
      </c>
      <c r="D652" s="2304">
        <f>-31183.05+P652</f>
        <v>0</v>
      </c>
      <c r="E652" s="2304">
        <v>387206.33</v>
      </c>
      <c r="F652" s="2304">
        <f>-1246.59+Z652</f>
        <v>-387206.33</v>
      </c>
      <c r="G652" s="2022">
        <v>354776.69</v>
      </c>
      <c r="H652" s="2022">
        <v>0</v>
      </c>
      <c r="I652" s="2011">
        <f t="shared" si="16"/>
        <v>0</v>
      </c>
      <c r="J652" s="2022"/>
      <c r="K652" s="2463"/>
      <c r="L652" s="2304"/>
      <c r="M652" s="2304"/>
      <c r="N652" s="2304"/>
      <c r="O652" s="2304"/>
      <c r="P652" s="2304">
        <v>31183.05</v>
      </c>
      <c r="Q652" s="2304"/>
      <c r="R652" s="2304"/>
      <c r="S652" s="2304"/>
      <c r="T652" s="2304"/>
      <c r="U652" s="2304"/>
      <c r="V652" s="2304"/>
      <c r="W652" s="2304"/>
      <c r="X652" s="2304"/>
      <c r="Y652" s="2304"/>
      <c r="Z652" s="2304">
        <v>-385959.74</v>
      </c>
      <c r="AA652" s="2304"/>
      <c r="AB652" s="2304"/>
      <c r="AC652" s="2304"/>
      <c r="AD652" s="2304"/>
      <c r="AE652" s="2304"/>
      <c r="AF652" s="2304"/>
      <c r="AG652" s="2304"/>
      <c r="AH652" s="2304"/>
      <c r="AI652" s="2304"/>
      <c r="AJ652" s="2304"/>
      <c r="AK652" s="2304"/>
      <c r="AL652" s="2304"/>
      <c r="AM652" s="2304"/>
      <c r="AN652" s="2304"/>
      <c r="AO652" s="2304"/>
      <c r="AP652" s="2304"/>
      <c r="AQ652" s="2304"/>
      <c r="AR652" s="2304"/>
      <c r="AS652" s="2304"/>
      <c r="AT652" s="2304"/>
      <c r="AU652" s="2304"/>
      <c r="AW652" s="2304"/>
      <c r="AX652" s="2304"/>
      <c r="AY652" s="2304"/>
      <c r="AZ652" s="2304"/>
      <c r="BA652" s="2304"/>
      <c r="BB652" s="2304"/>
      <c r="BC652" s="2304"/>
      <c r="BD652" s="2304"/>
      <c r="BE652" s="2304"/>
      <c r="BF652" s="2304"/>
      <c r="BG652" s="2304"/>
      <c r="BH652" s="2304"/>
    </row>
    <row r="653" spans="1:89" x14ac:dyDescent="0.2">
      <c r="A653" s="2024" t="s">
        <v>4612</v>
      </c>
      <c r="B653" s="2024" t="s">
        <v>6306</v>
      </c>
      <c r="C653" s="2304">
        <v>0</v>
      </c>
      <c r="D653" s="2304">
        <f>-1846795+P653</f>
        <v>0</v>
      </c>
      <c r="E653" s="2304">
        <v>0</v>
      </c>
      <c r="F653" s="2304">
        <v>0</v>
      </c>
      <c r="G653" s="2022">
        <v>0</v>
      </c>
      <c r="H653" s="2022">
        <v>-1846795.13</v>
      </c>
      <c r="I653" s="2011">
        <f t="shared" si="16"/>
        <v>0</v>
      </c>
      <c r="J653" s="2022"/>
      <c r="K653" s="2463"/>
      <c r="L653" s="2304"/>
      <c r="M653" s="2304"/>
      <c r="N653" s="2304"/>
      <c r="O653" s="2304"/>
      <c r="P653" s="2304">
        <f>1846795</f>
        <v>1846795</v>
      </c>
      <c r="Q653" s="2304"/>
      <c r="R653" s="2304"/>
      <c r="S653" s="2304"/>
      <c r="T653" s="2304"/>
      <c r="U653" s="2304"/>
      <c r="V653" s="2304"/>
      <c r="W653" s="2304"/>
      <c r="X653" s="2304"/>
      <c r="Y653" s="2304"/>
      <c r="Z653" s="2304"/>
      <c r="AA653" s="2304"/>
      <c r="AB653" s="2304"/>
      <c r="AC653" s="2304"/>
      <c r="AD653" s="2304"/>
      <c r="AE653" s="2304"/>
      <c r="AF653" s="2304"/>
      <c r="AG653" s="2304"/>
      <c r="AH653" s="2304"/>
      <c r="AI653" s="2304"/>
      <c r="AJ653" s="2304"/>
      <c r="AK653" s="2304"/>
      <c r="AL653" s="2304"/>
      <c r="AM653" s="2304"/>
      <c r="AN653" s="2304"/>
      <c r="AO653" s="2304"/>
      <c r="AP653" s="2304"/>
      <c r="AQ653" s="2304"/>
      <c r="AR653" s="2304"/>
      <c r="AS653" s="2304"/>
      <c r="AT653" s="2304"/>
      <c r="AU653" s="2304"/>
      <c r="AW653" s="2304"/>
      <c r="AX653" s="2304"/>
      <c r="AY653" s="2304"/>
      <c r="AZ653" s="2304"/>
      <c r="BA653" s="2304"/>
      <c r="BB653" s="2304"/>
      <c r="BC653" s="2304"/>
      <c r="BD653" s="2304"/>
      <c r="BE653" s="2304"/>
      <c r="BF653" s="2304"/>
      <c r="BG653" s="2304"/>
      <c r="BH653" s="2304"/>
    </row>
    <row r="654" spans="1:89" x14ac:dyDescent="0.2">
      <c r="A654" s="2024" t="s">
        <v>4614</v>
      </c>
      <c r="B654" s="2024" t="s">
        <v>4615</v>
      </c>
      <c r="C654" s="2304">
        <v>0</v>
      </c>
      <c r="D654" s="2304">
        <f>-527275+P654</f>
        <v>0</v>
      </c>
      <c r="E654" s="2304">
        <v>0</v>
      </c>
      <c r="F654" s="2304">
        <v>0</v>
      </c>
      <c r="G654" s="2022">
        <v>0</v>
      </c>
      <c r="H654" s="2022">
        <v>-527275</v>
      </c>
      <c r="I654" s="2011">
        <f t="shared" si="16"/>
        <v>0</v>
      </c>
      <c r="J654" s="2022"/>
      <c r="K654" s="2463"/>
      <c r="L654" s="2304"/>
      <c r="M654" s="2304"/>
      <c r="N654" s="2304"/>
      <c r="O654" s="2304"/>
      <c r="P654" s="2304">
        <f>527275</f>
        <v>527275</v>
      </c>
      <c r="Q654" s="2304"/>
      <c r="R654" s="2304"/>
      <c r="S654" s="2304"/>
      <c r="T654" s="2304"/>
      <c r="U654" s="2304"/>
      <c r="V654" s="2304"/>
      <c r="W654" s="2304"/>
      <c r="X654" s="2304"/>
      <c r="Y654" s="2304"/>
      <c r="Z654" s="2304"/>
      <c r="AA654" s="2304"/>
      <c r="AB654" s="2304"/>
      <c r="AC654" s="2304"/>
      <c r="AD654" s="2304"/>
      <c r="AE654" s="2304"/>
      <c r="AF654" s="2304"/>
      <c r="AG654" s="2304"/>
      <c r="AH654" s="2304"/>
      <c r="AI654" s="2304"/>
      <c r="AJ654" s="2304"/>
      <c r="AK654" s="2304"/>
      <c r="AL654" s="2304"/>
      <c r="AM654" s="2304"/>
      <c r="AN654" s="2304"/>
      <c r="AO654" s="2304"/>
      <c r="AP654" s="2304"/>
      <c r="AQ654" s="2304"/>
      <c r="AR654" s="2304"/>
      <c r="AS654" s="2304"/>
      <c r="AT654" s="2304"/>
      <c r="AU654" s="2304"/>
      <c r="AW654" s="2304"/>
      <c r="AX654" s="2304"/>
      <c r="AY654" s="2304"/>
      <c r="AZ654" s="2304"/>
      <c r="BA654" s="2304"/>
      <c r="BB654" s="2304"/>
      <c r="BC654" s="2304"/>
      <c r="BD654" s="2304"/>
      <c r="BE654" s="2304"/>
      <c r="BF654" s="2304"/>
      <c r="BG654" s="2304"/>
      <c r="BH654" s="2304"/>
    </row>
    <row r="655" spans="1:89" x14ac:dyDescent="0.2">
      <c r="A655" s="2024" t="s">
        <v>4616</v>
      </c>
      <c r="B655" s="2024" t="s">
        <v>4617</v>
      </c>
      <c r="C655" s="2304">
        <v>0</v>
      </c>
      <c r="D655" s="2304">
        <f>-2208424+P655</f>
        <v>0</v>
      </c>
      <c r="E655" s="2304">
        <v>0</v>
      </c>
      <c r="F655" s="2304">
        <v>0</v>
      </c>
      <c r="G655" s="2022">
        <v>0</v>
      </c>
      <c r="H655" s="2022">
        <v>-2208424</v>
      </c>
      <c r="I655" s="2011">
        <f t="shared" si="16"/>
        <v>0</v>
      </c>
      <c r="J655" s="2022"/>
      <c r="K655" s="2463"/>
      <c r="L655" s="2304"/>
      <c r="M655" s="2304"/>
      <c r="N655" s="2304"/>
      <c r="O655" s="2304"/>
      <c r="P655" s="2304">
        <f>2208424</f>
        <v>2208424</v>
      </c>
      <c r="Q655" s="2304"/>
      <c r="R655" s="2304"/>
      <c r="S655" s="2304"/>
      <c r="T655" s="2304"/>
      <c r="U655" s="2304"/>
      <c r="V655" s="2304"/>
      <c r="W655" s="2304"/>
      <c r="X655" s="2304"/>
      <c r="Y655" s="2304"/>
      <c r="Z655" s="2304"/>
      <c r="AA655" s="2304"/>
      <c r="AB655" s="2304"/>
      <c r="AC655" s="2304"/>
      <c r="AD655" s="2304"/>
      <c r="AE655" s="2304"/>
      <c r="AF655" s="2304"/>
      <c r="AG655" s="2304"/>
      <c r="AH655" s="2304"/>
      <c r="AI655" s="2304"/>
      <c r="AJ655" s="2304"/>
      <c r="AK655" s="2304"/>
      <c r="AL655" s="2304"/>
      <c r="AM655" s="2304"/>
      <c r="AN655" s="2304"/>
      <c r="AO655" s="2304"/>
      <c r="AP655" s="2304"/>
      <c r="AQ655" s="2304"/>
      <c r="AR655" s="2304"/>
      <c r="AS655" s="2304"/>
      <c r="AT655" s="2304"/>
      <c r="AU655" s="2304"/>
      <c r="AW655" s="2304"/>
      <c r="AX655" s="2304"/>
      <c r="AY655" s="2304"/>
      <c r="AZ655" s="2304"/>
      <c r="BA655" s="2304"/>
      <c r="BB655" s="2304"/>
      <c r="BC655" s="2304"/>
      <c r="BD655" s="2304"/>
      <c r="BE655" s="2304"/>
      <c r="BF655" s="2304"/>
      <c r="BG655" s="2304"/>
      <c r="BH655" s="2304"/>
    </row>
    <row r="656" spans="1:89" x14ac:dyDescent="0.2">
      <c r="A656" s="2024" t="s">
        <v>4618</v>
      </c>
      <c r="B656" s="2024" t="s">
        <v>6307</v>
      </c>
      <c r="C656" s="2304">
        <v>0</v>
      </c>
      <c r="D656" s="2304">
        <f>-92818+P656</f>
        <v>0</v>
      </c>
      <c r="E656" s="2304">
        <v>0</v>
      </c>
      <c r="F656" s="2304">
        <v>0</v>
      </c>
      <c r="G656" s="2022">
        <v>0</v>
      </c>
      <c r="H656" s="2022">
        <v>-92818</v>
      </c>
      <c r="I656" s="2011">
        <f t="shared" si="16"/>
        <v>0</v>
      </c>
      <c r="J656" s="2022"/>
      <c r="K656" s="2463"/>
      <c r="L656" s="2304"/>
      <c r="M656" s="2304"/>
      <c r="N656" s="2304"/>
      <c r="O656" s="2304"/>
      <c r="P656" s="2304">
        <f>92818</f>
        <v>92818</v>
      </c>
      <c r="Q656" s="2304"/>
      <c r="R656" s="2304"/>
      <c r="S656" s="2304"/>
      <c r="T656" s="2304"/>
      <c r="U656" s="2304"/>
      <c r="V656" s="2304"/>
      <c r="W656" s="2304"/>
      <c r="X656" s="2304"/>
      <c r="Y656" s="2304"/>
      <c r="Z656" s="2304"/>
      <c r="AA656" s="2304"/>
      <c r="AB656" s="2304"/>
      <c r="AC656" s="2304"/>
      <c r="AD656" s="2304"/>
      <c r="AE656" s="2304"/>
      <c r="AF656" s="2304"/>
      <c r="AG656" s="2304"/>
      <c r="AH656" s="2304"/>
      <c r="AI656" s="2304"/>
      <c r="AJ656" s="2304"/>
      <c r="AK656" s="2304"/>
      <c r="AL656" s="2304"/>
      <c r="AM656" s="2304"/>
      <c r="AN656" s="2304"/>
      <c r="AO656" s="2304"/>
      <c r="AP656" s="2304"/>
      <c r="AQ656" s="2304"/>
      <c r="AR656" s="2304"/>
      <c r="AS656" s="2304"/>
      <c r="AT656" s="2304"/>
      <c r="AU656" s="2304"/>
      <c r="AW656" s="2304"/>
      <c r="AX656" s="2304"/>
      <c r="AY656" s="2304"/>
      <c r="AZ656" s="2304"/>
      <c r="BA656" s="2304"/>
      <c r="BB656" s="2304"/>
      <c r="BC656" s="2304"/>
      <c r="BD656" s="2304"/>
      <c r="BE656" s="2304"/>
      <c r="BF656" s="2304"/>
      <c r="BG656" s="2304"/>
      <c r="BH656" s="2304"/>
    </row>
    <row r="657" spans="1:89" x14ac:dyDescent="0.2">
      <c r="A657" s="2024" t="s">
        <v>4620</v>
      </c>
      <c r="B657" s="2024" t="s">
        <v>6308</v>
      </c>
      <c r="C657" s="2304">
        <v>0</v>
      </c>
      <c r="D657" s="2304">
        <f>-176085+176085</f>
        <v>0</v>
      </c>
      <c r="E657" s="2304">
        <v>1651000</v>
      </c>
      <c r="F657" s="2304">
        <v>-1651000</v>
      </c>
      <c r="G657" s="2022">
        <v>0</v>
      </c>
      <c r="H657" s="2022">
        <v>-1827085</v>
      </c>
      <c r="I657" s="2011">
        <f t="shared" si="16"/>
        <v>0</v>
      </c>
      <c r="J657" s="2022"/>
      <c r="K657" s="2463"/>
      <c r="L657" s="2304"/>
      <c r="M657" s="2304"/>
      <c r="N657" s="2304"/>
      <c r="O657" s="2304"/>
      <c r="P657" s="2304">
        <v>1827085</v>
      </c>
      <c r="Q657" s="2304"/>
      <c r="R657" s="2304"/>
      <c r="S657" s="2304"/>
      <c r="T657" s="2304"/>
      <c r="U657" s="2304"/>
      <c r="V657" s="2304"/>
      <c r="W657" s="2304"/>
      <c r="X657" s="2304"/>
      <c r="Y657" s="2304"/>
      <c r="Z657" s="2304"/>
      <c r="AA657" s="2304"/>
      <c r="AB657" s="2304"/>
      <c r="AC657" s="2304"/>
      <c r="AD657" s="2304"/>
      <c r="AE657" s="2304"/>
      <c r="AF657" s="2304"/>
      <c r="AG657" s="2304"/>
      <c r="AH657" s="2304"/>
      <c r="AI657" s="2304"/>
      <c r="AJ657" s="2304"/>
      <c r="AK657" s="2304"/>
      <c r="AL657" s="2304"/>
      <c r="AM657" s="2304"/>
      <c r="AN657" s="2304"/>
      <c r="AO657" s="2304"/>
      <c r="AP657" s="2304"/>
      <c r="AQ657" s="2304"/>
      <c r="AR657" s="2304"/>
      <c r="AS657" s="2304"/>
      <c r="AT657" s="2304"/>
      <c r="AU657" s="2304"/>
      <c r="AW657" s="2304"/>
      <c r="AX657" s="2304"/>
      <c r="AY657" s="2304"/>
      <c r="AZ657" s="2304"/>
      <c r="BA657" s="2304"/>
      <c r="BB657" s="2304"/>
      <c r="BC657" s="2304"/>
      <c r="BD657" s="2304"/>
      <c r="BE657" s="2304"/>
      <c r="BF657" s="2304"/>
      <c r="BG657" s="2304"/>
      <c r="BH657" s="2304"/>
    </row>
    <row r="658" spans="1:89" s="2069" customFormat="1" x14ac:dyDescent="0.2">
      <c r="A658" s="2024" t="s">
        <v>4622</v>
      </c>
      <c r="B658" s="2024" t="s">
        <v>6309</v>
      </c>
      <c r="C658" s="2304">
        <v>0</v>
      </c>
      <c r="D658" s="2304">
        <f>-909915+P658</f>
        <v>0</v>
      </c>
      <c r="E658" s="2304">
        <v>0</v>
      </c>
      <c r="F658" s="2304">
        <v>0</v>
      </c>
      <c r="G658" s="2105">
        <v>0</v>
      </c>
      <c r="H658" s="2105">
        <v>-909915</v>
      </c>
      <c r="I658" s="2011">
        <f t="shared" si="16"/>
        <v>0</v>
      </c>
      <c r="J658" s="2022"/>
      <c r="K658" s="2463"/>
      <c r="L658" s="2304"/>
      <c r="M658" s="2304"/>
      <c r="N658" s="2304"/>
      <c r="O658" s="2304"/>
      <c r="P658" s="2304">
        <f>909915</f>
        <v>909915</v>
      </c>
      <c r="Q658" s="2304"/>
      <c r="R658" s="2304"/>
      <c r="S658" s="2022"/>
      <c r="T658" s="2304"/>
      <c r="U658" s="2304"/>
      <c r="V658" s="2304"/>
      <c r="W658" s="2304"/>
      <c r="X658" s="2304"/>
      <c r="Y658" s="2304"/>
      <c r="Z658" s="2304"/>
      <c r="AA658" s="2304"/>
      <c r="AB658" s="2304"/>
      <c r="AC658" s="2304"/>
      <c r="AD658" s="2304"/>
      <c r="AE658" s="2304"/>
      <c r="AF658" s="2304"/>
      <c r="AG658" s="2304"/>
      <c r="AH658" s="2304"/>
      <c r="AI658" s="2304"/>
      <c r="AJ658" s="2304"/>
      <c r="AK658" s="2304"/>
      <c r="AL658" s="2304"/>
      <c r="AM658" s="2304"/>
      <c r="AN658" s="2304"/>
      <c r="AO658" s="2304"/>
      <c r="AP658" s="2304"/>
      <c r="AQ658" s="2304"/>
      <c r="AR658" s="2304"/>
      <c r="AS658" s="2304"/>
      <c r="AT658" s="2304"/>
      <c r="AU658" s="2304"/>
      <c r="AV658" s="2558"/>
      <c r="AW658" s="2304"/>
      <c r="AX658" s="2304"/>
      <c r="AY658" s="2304"/>
      <c r="AZ658" s="2304"/>
      <c r="BA658" s="2304"/>
      <c r="BB658" s="2304"/>
      <c r="BC658" s="2304"/>
      <c r="BD658" s="2304"/>
      <c r="BE658" s="2304"/>
      <c r="BF658" s="2304"/>
      <c r="BG658" s="2304"/>
      <c r="BH658" s="2304"/>
      <c r="BI658" s="2728"/>
      <c r="BJ658" s="2728"/>
      <c r="BK658" s="2728"/>
      <c r="BL658" s="2728"/>
      <c r="BM658" s="2728"/>
      <c r="BN658" s="2728"/>
      <c r="BO658" s="2728"/>
      <c r="BP658" s="2728"/>
      <c r="BQ658" s="2728"/>
      <c r="BR658" s="2728"/>
      <c r="BS658" s="2632"/>
      <c r="BT658" s="2632"/>
      <c r="BU658" s="2728"/>
      <c r="BV658" s="2728"/>
      <c r="BW658" s="2632"/>
      <c r="BX658" s="2632"/>
      <c r="BY658" s="2632"/>
      <c r="BZ658" s="2632"/>
      <c r="CA658" s="2632"/>
      <c r="CB658" s="2728"/>
      <c r="CC658" s="2632"/>
      <c r="CD658" s="2632"/>
      <c r="CE658" s="2632"/>
      <c r="CF658" s="2632"/>
      <c r="CG658" s="2728"/>
      <c r="CH658" s="2728"/>
      <c r="CI658" s="2632"/>
      <c r="CJ658" s="2632"/>
      <c r="CK658" s="2632"/>
    </row>
    <row r="659" spans="1:89" x14ac:dyDescent="0.2">
      <c r="A659" s="2020" t="s">
        <v>4624</v>
      </c>
      <c r="B659" s="2020" t="s">
        <v>6310</v>
      </c>
      <c r="C659" s="2022">
        <v>0</v>
      </c>
      <c r="D659" s="2022">
        <f>-2220000+P659</f>
        <v>0</v>
      </c>
      <c r="E659" s="2022">
        <v>0</v>
      </c>
      <c r="F659" s="2022">
        <v>0</v>
      </c>
      <c r="G659" s="2022">
        <v>0</v>
      </c>
      <c r="H659" s="2022">
        <v>-2220000</v>
      </c>
      <c r="I659" s="2011">
        <f t="shared" si="16"/>
        <v>0</v>
      </c>
      <c r="J659" s="2022"/>
      <c r="K659" s="2463"/>
      <c r="P659" s="2022">
        <f>2220000</f>
        <v>2220000</v>
      </c>
    </row>
    <row r="660" spans="1:89" x14ac:dyDescent="0.2">
      <c r="A660" s="2020" t="s">
        <v>4626</v>
      </c>
      <c r="B660" s="2020" t="s">
        <v>6311</v>
      </c>
      <c r="C660" s="2022">
        <v>0</v>
      </c>
      <c r="D660" s="2022">
        <f>2138316.88+AV660</f>
        <v>5252344.51</v>
      </c>
      <c r="E660" s="2022">
        <v>1597891.26</v>
      </c>
      <c r="F660" s="2022">
        <f>AZ660</f>
        <v>-196232.26</v>
      </c>
      <c r="G660" s="2022">
        <v>3736208.14</v>
      </c>
      <c r="H660" s="2022">
        <v>0</v>
      </c>
      <c r="I660" s="2011">
        <f t="shared" si="16"/>
        <v>6654003.5099999998</v>
      </c>
      <c r="J660" s="2022"/>
      <c r="K660" s="2463"/>
      <c r="AV660" s="2558">
        <v>3114027.63</v>
      </c>
      <c r="AZ660" s="2022">
        <v>-196232.26</v>
      </c>
    </row>
    <row r="661" spans="1:89" x14ac:dyDescent="0.2">
      <c r="A661" s="1127" t="s">
        <v>4628</v>
      </c>
      <c r="B661" s="2020" t="s">
        <v>6312</v>
      </c>
      <c r="C661" s="2022">
        <v>0</v>
      </c>
      <c r="D661" s="2022">
        <f>3204500.2+AV661+BY661</f>
        <v>11974594.189999999</v>
      </c>
      <c r="E661" s="2022">
        <v>1124764.6000000001</v>
      </c>
      <c r="F661" s="2022">
        <f>AZ661+BZ661</f>
        <v>-3585296.2199999997</v>
      </c>
      <c r="G661" s="2022">
        <v>4329264.8</v>
      </c>
      <c r="H661" s="2022">
        <v>0</v>
      </c>
      <c r="I661" s="2011">
        <f t="shared" si="16"/>
        <v>9514062.5700000003</v>
      </c>
      <c r="J661" s="2022"/>
      <c r="K661" s="2463"/>
      <c r="AV661" s="2558">
        <v>5746263.0899999999</v>
      </c>
      <c r="AZ661" s="2022">
        <v>-138128.99</v>
      </c>
      <c r="BY661" s="2728">
        <v>3023830.9</v>
      </c>
      <c r="BZ661" s="2632">
        <v>-3447167.23</v>
      </c>
    </row>
    <row r="662" spans="1:89" x14ac:dyDescent="0.2">
      <c r="A662" s="2020" t="s">
        <v>4630</v>
      </c>
      <c r="B662" s="2020" t="s">
        <v>6313</v>
      </c>
      <c r="C662" s="2022">
        <v>0</v>
      </c>
      <c r="D662" s="2022">
        <f>3118613.4+AV662</f>
        <v>5710899.4399999995</v>
      </c>
      <c r="E662" s="2022">
        <v>2184134.3199999998</v>
      </c>
      <c r="F662" s="2022">
        <f>AZ662</f>
        <v>-268227.02</v>
      </c>
      <c r="G662" s="2022">
        <v>5302747.72</v>
      </c>
      <c r="H662" s="2022">
        <v>0</v>
      </c>
      <c r="I662" s="2011">
        <f t="shared" si="16"/>
        <v>7626806.7400000002</v>
      </c>
      <c r="J662" s="2022"/>
      <c r="K662" s="2463"/>
      <c r="AV662" s="2558">
        <v>2592286.04</v>
      </c>
      <c r="AZ662" s="2022">
        <v>-268227.02</v>
      </c>
      <c r="BY662" s="2728"/>
    </row>
    <row r="663" spans="1:89" x14ac:dyDescent="0.2">
      <c r="A663" s="1127" t="s">
        <v>4632</v>
      </c>
      <c r="B663" s="2020" t="s">
        <v>6314</v>
      </c>
      <c r="C663" s="2022">
        <v>0</v>
      </c>
      <c r="D663" s="2022">
        <f>3760897.78+BY663</f>
        <v>4335196.4799999995</v>
      </c>
      <c r="E663" s="2022">
        <v>9793602.0399999991</v>
      </c>
      <c r="F663" s="2022">
        <f>-400000+AZ663+BZ663</f>
        <v>-1450971.04</v>
      </c>
      <c r="G663" s="2022">
        <v>13154499.82</v>
      </c>
      <c r="H663" s="2022">
        <v>0</v>
      </c>
      <c r="I663" s="2011">
        <f t="shared" si="16"/>
        <v>12677827.48</v>
      </c>
      <c r="J663" s="2022"/>
      <c r="K663" s="2463"/>
      <c r="AZ663" s="2022">
        <v>-396270.52</v>
      </c>
      <c r="BY663" s="2728">
        <v>574298.69999999995</v>
      </c>
      <c r="BZ663" s="2632">
        <v>-654700.52</v>
      </c>
    </row>
    <row r="664" spans="1:89" x14ac:dyDescent="0.2">
      <c r="A664" s="2020" t="s">
        <v>4634</v>
      </c>
      <c r="B664" s="2020" t="s">
        <v>6315</v>
      </c>
      <c r="C664" s="2022">
        <v>0</v>
      </c>
      <c r="D664" s="2022">
        <v>-2091729.91</v>
      </c>
      <c r="E664" s="2022">
        <v>123427599.41</v>
      </c>
      <c r="F664" s="2022">
        <f>-104890694-20360534.2</f>
        <v>-125251228.2</v>
      </c>
      <c r="G664" s="2022">
        <v>16445175.460000001</v>
      </c>
      <c r="H664" s="2022">
        <v>0</v>
      </c>
      <c r="I664" s="2011">
        <f t="shared" si="16"/>
        <v>-3915358.700000003</v>
      </c>
      <c r="J664" s="2022"/>
      <c r="K664" s="2463"/>
    </row>
    <row r="665" spans="1:89" x14ac:dyDescent="0.2">
      <c r="A665" s="2020" t="s">
        <v>4636</v>
      </c>
      <c r="B665" s="2020" t="s">
        <v>6316</v>
      </c>
      <c r="C665" s="2022">
        <v>0</v>
      </c>
      <c r="D665" s="2022">
        <f>196206.46+AV665</f>
        <v>6734183</v>
      </c>
      <c r="E665" s="2022">
        <f>AZ665</f>
        <v>404000</v>
      </c>
      <c r="F665" s="2022">
        <f>BA665+BX665+CJ665</f>
        <v>-420781.01</v>
      </c>
      <c r="G665" s="2022">
        <v>196206.46</v>
      </c>
      <c r="H665" s="2022">
        <v>0</v>
      </c>
      <c r="I665" s="2011">
        <f t="shared" si="16"/>
        <v>6717401.9900000002</v>
      </c>
      <c r="J665" s="2022"/>
      <c r="K665" s="2463"/>
      <c r="AV665" s="2558">
        <f>-196206.46+6734183</f>
        <v>6537976.54</v>
      </c>
      <c r="AZ665" s="2022">
        <v>404000</v>
      </c>
      <c r="BA665" s="2022">
        <v>-16780.98</v>
      </c>
      <c r="BX665" s="2728">
        <f>-BX728</f>
        <v>-49614.03</v>
      </c>
      <c r="CJ665" s="2728">
        <v>-354386</v>
      </c>
    </row>
    <row r="666" spans="1:89" s="2100" customFormat="1" x14ac:dyDescent="0.2">
      <c r="A666" s="1127" t="s">
        <v>4638</v>
      </c>
      <c r="C666" s="2022">
        <v>0</v>
      </c>
      <c r="D666" s="2022">
        <f>AV666</f>
        <v>-1806970</v>
      </c>
      <c r="E666" s="2022">
        <v>0</v>
      </c>
      <c r="F666" s="2022">
        <f>AZ666</f>
        <v>-829247</v>
      </c>
      <c r="G666" s="2022">
        <v>196206.46</v>
      </c>
      <c r="H666" s="2022">
        <v>0</v>
      </c>
      <c r="I666" s="2011">
        <f t="shared" ref="I666" si="17">SUM(D666:F666)</f>
        <v>-2636217</v>
      </c>
      <c r="J666" s="2022"/>
      <c r="K666" s="2463"/>
      <c r="L666" s="2022"/>
      <c r="M666" s="2022"/>
      <c r="N666" s="2022"/>
      <c r="O666" s="2022"/>
      <c r="P666" s="2022"/>
      <c r="Q666" s="2022"/>
      <c r="R666" s="2022"/>
      <c r="S666" s="2022"/>
      <c r="T666" s="2022"/>
      <c r="U666" s="2022"/>
      <c r="V666" s="2022"/>
      <c r="W666" s="2022"/>
      <c r="X666" s="2022"/>
      <c r="Y666" s="2022"/>
      <c r="Z666" s="2022"/>
      <c r="AA666" s="2022"/>
      <c r="AB666" s="2022"/>
      <c r="AC666" s="2022"/>
      <c r="AD666" s="2022"/>
      <c r="AE666" s="2022"/>
      <c r="AF666" s="2022"/>
      <c r="AG666" s="2022"/>
      <c r="AH666" s="2022"/>
      <c r="AI666" s="2022"/>
      <c r="AJ666" s="2022"/>
      <c r="AK666" s="2022"/>
      <c r="AL666" s="2022"/>
      <c r="AM666" s="2022"/>
      <c r="AN666" s="2022"/>
      <c r="AO666" s="2022"/>
      <c r="AP666" s="2022"/>
      <c r="AQ666" s="2022"/>
      <c r="AR666" s="2022"/>
      <c r="AS666" s="2022"/>
      <c r="AT666" s="2022"/>
      <c r="AU666" s="2022"/>
      <c r="AV666" s="2558">
        <v>-1806970</v>
      </c>
      <c r="AW666" s="2022"/>
      <c r="AX666" s="2022"/>
      <c r="AY666" s="2022"/>
      <c r="AZ666" s="2022">
        <v>-829247</v>
      </c>
      <c r="BA666" s="2022"/>
      <c r="BB666" s="2022"/>
      <c r="BC666" s="2022"/>
      <c r="BD666" s="2022"/>
      <c r="BE666" s="2022"/>
      <c r="BF666" s="2022"/>
      <c r="BG666" s="2022"/>
      <c r="BH666" s="2022"/>
      <c r="BI666" s="2728"/>
      <c r="BJ666" s="2728"/>
      <c r="BK666" s="2728"/>
      <c r="BL666" s="2728"/>
      <c r="BM666" s="2728"/>
      <c r="BN666" s="2728"/>
      <c r="BO666" s="2728"/>
      <c r="BP666" s="2728"/>
      <c r="BQ666" s="2728"/>
      <c r="BR666" s="2728"/>
      <c r="BS666" s="2632"/>
      <c r="BT666" s="2632"/>
      <c r="BU666" s="2728"/>
      <c r="BV666" s="2728"/>
      <c r="BW666" s="2632"/>
      <c r="BX666" s="2632"/>
      <c r="BY666" s="2632"/>
      <c r="BZ666" s="2632"/>
      <c r="CA666" s="2632"/>
      <c r="CB666" s="2728"/>
      <c r="CC666" s="2632"/>
      <c r="CD666" s="2632"/>
      <c r="CE666" s="2632"/>
      <c r="CF666" s="2632"/>
      <c r="CG666" s="2728"/>
      <c r="CH666" s="2728"/>
      <c r="CI666" s="2632"/>
      <c r="CJ666" s="2632"/>
      <c r="CK666" s="2632"/>
    </row>
    <row r="667" spans="1:89" x14ac:dyDescent="0.2">
      <c r="A667" s="2020" t="s">
        <v>4639</v>
      </c>
      <c r="B667" s="2020" t="s">
        <v>6317</v>
      </c>
      <c r="C667" s="2022">
        <v>0</v>
      </c>
      <c r="D667" s="2022">
        <f>931819.03+AV667</f>
        <v>1291611</v>
      </c>
      <c r="E667" s="2022">
        <v>0</v>
      </c>
      <c r="F667" s="2022">
        <v>0</v>
      </c>
      <c r="G667" s="2022">
        <v>931819.03</v>
      </c>
      <c r="H667" s="2022">
        <v>0</v>
      </c>
      <c r="I667" s="2011">
        <f t="shared" si="16"/>
        <v>1291611</v>
      </c>
      <c r="J667" s="2022"/>
      <c r="K667" s="2463"/>
      <c r="AV667" s="2558">
        <f>-931819.03+1291611</f>
        <v>359791.97</v>
      </c>
    </row>
    <row r="668" spans="1:89" s="2100" customFormat="1" x14ac:dyDescent="0.2">
      <c r="A668" s="1127" t="s">
        <v>4641</v>
      </c>
      <c r="C668" s="2022">
        <v>0</v>
      </c>
      <c r="D668" s="2022">
        <f>AV668</f>
        <v>-625129</v>
      </c>
      <c r="E668" s="2022">
        <v>0</v>
      </c>
      <c r="F668" s="2022">
        <f>AZ668</f>
        <v>-327445</v>
      </c>
      <c r="G668" s="2022">
        <v>931819.03</v>
      </c>
      <c r="H668" s="2022">
        <v>0</v>
      </c>
      <c r="I668" s="2011">
        <f t="shared" ref="I668" si="18">SUM(D668:F668)</f>
        <v>-952574</v>
      </c>
      <c r="J668" s="2022"/>
      <c r="K668" s="2463"/>
      <c r="L668" s="2022"/>
      <c r="M668" s="2022"/>
      <c r="N668" s="2022"/>
      <c r="O668" s="2022"/>
      <c r="P668" s="2022"/>
      <c r="Q668" s="2022"/>
      <c r="R668" s="2022"/>
      <c r="S668" s="2022"/>
      <c r="T668" s="2022"/>
      <c r="U668" s="2022"/>
      <c r="V668" s="2022"/>
      <c r="W668" s="2022"/>
      <c r="X668" s="2022"/>
      <c r="Y668" s="2022"/>
      <c r="Z668" s="2022"/>
      <c r="AA668" s="2022"/>
      <c r="AB668" s="2022"/>
      <c r="AC668" s="2022"/>
      <c r="AD668" s="2022"/>
      <c r="AE668" s="2022"/>
      <c r="AF668" s="2022"/>
      <c r="AG668" s="2022"/>
      <c r="AH668" s="2022"/>
      <c r="AI668" s="2022"/>
      <c r="AJ668" s="2022"/>
      <c r="AK668" s="2022"/>
      <c r="AL668" s="2022"/>
      <c r="AM668" s="2022"/>
      <c r="AN668" s="2022"/>
      <c r="AO668" s="2022"/>
      <c r="AP668" s="2022"/>
      <c r="AQ668" s="2022"/>
      <c r="AR668" s="2022"/>
      <c r="AS668" s="2022"/>
      <c r="AT668" s="2022"/>
      <c r="AU668" s="2022"/>
      <c r="AV668" s="2558">
        <v>-625129</v>
      </c>
      <c r="AW668" s="2022"/>
      <c r="AX668" s="2022"/>
      <c r="AY668" s="2022"/>
      <c r="AZ668" s="2022">
        <v>-327445</v>
      </c>
      <c r="BA668" s="2022"/>
      <c r="BB668" s="2022"/>
      <c r="BC668" s="2022"/>
      <c r="BD668" s="2022"/>
      <c r="BE668" s="2022"/>
      <c r="BF668" s="2022"/>
      <c r="BG668" s="2022"/>
      <c r="BH668" s="2022"/>
      <c r="BI668" s="2728"/>
      <c r="BJ668" s="2728"/>
      <c r="BK668" s="2728"/>
      <c r="BL668" s="2728"/>
      <c r="BM668" s="2728"/>
      <c r="BN668" s="2728"/>
      <c r="BO668" s="2728"/>
      <c r="BP668" s="2728"/>
      <c r="BQ668" s="2728"/>
      <c r="BR668" s="2728"/>
      <c r="BS668" s="2632"/>
      <c r="BT668" s="2632"/>
      <c r="BU668" s="2728"/>
      <c r="BV668" s="2728"/>
      <c r="BW668" s="2632"/>
      <c r="BX668" s="2632"/>
      <c r="BY668" s="2632"/>
      <c r="BZ668" s="2632"/>
      <c r="CA668" s="2632"/>
      <c r="CB668" s="2728"/>
      <c r="CC668" s="2632"/>
      <c r="CD668" s="2632"/>
      <c r="CE668" s="2632"/>
      <c r="CF668" s="2632"/>
      <c r="CG668" s="2728"/>
      <c r="CH668" s="2728"/>
      <c r="CI668" s="2632"/>
      <c r="CJ668" s="2632"/>
      <c r="CK668" s="2632"/>
    </row>
    <row r="669" spans="1:89" x14ac:dyDescent="0.2">
      <c r="A669" s="2020" t="s">
        <v>4642</v>
      </c>
      <c r="B669" s="2020" t="s">
        <v>6318</v>
      </c>
      <c r="C669" s="2022">
        <v>0</v>
      </c>
      <c r="D669" s="2022">
        <f>26289.83+AV669</f>
        <v>0</v>
      </c>
      <c r="E669" s="2022">
        <v>0</v>
      </c>
      <c r="F669" s="2022">
        <v>0</v>
      </c>
      <c r="G669" s="2022">
        <v>26289.83</v>
      </c>
      <c r="H669" s="2022">
        <v>0</v>
      </c>
      <c r="I669" s="2011">
        <f t="shared" ref="I669:I733" si="19">SUM(D669:F669)</f>
        <v>0</v>
      </c>
      <c r="J669" s="2022"/>
      <c r="K669" s="2463"/>
      <c r="AV669" s="2558">
        <v>-26289.83</v>
      </c>
    </row>
    <row r="670" spans="1:89" x14ac:dyDescent="0.2">
      <c r="A670" s="2020" t="s">
        <v>4645</v>
      </c>
      <c r="B670" s="2020" t="s">
        <v>6319</v>
      </c>
      <c r="C670" s="2022">
        <v>0</v>
      </c>
      <c r="D670" s="2022">
        <f>345558.03+AV670</f>
        <v>0</v>
      </c>
      <c r="E670" s="2022">
        <v>0</v>
      </c>
      <c r="F670" s="2022">
        <v>0</v>
      </c>
      <c r="G670" s="2022">
        <v>345558.03</v>
      </c>
      <c r="H670" s="2022">
        <v>0</v>
      </c>
      <c r="I670" s="2011">
        <f t="shared" si="19"/>
        <v>0</v>
      </c>
      <c r="J670" s="2022"/>
      <c r="K670" s="2463"/>
      <c r="AV670" s="2558">
        <v>-345558.03</v>
      </c>
    </row>
    <row r="671" spans="1:89" x14ac:dyDescent="0.2">
      <c r="A671" s="2020" t="s">
        <v>4648</v>
      </c>
      <c r="B671" s="2020" t="s">
        <v>6320</v>
      </c>
      <c r="C671" s="2022">
        <v>0</v>
      </c>
      <c r="D671" s="2022">
        <f>27903.51+AV671</f>
        <v>0</v>
      </c>
      <c r="E671" s="2022">
        <v>0</v>
      </c>
      <c r="F671" s="2022">
        <v>0</v>
      </c>
      <c r="G671" s="2022">
        <v>27903.51</v>
      </c>
      <c r="H671" s="2022">
        <v>0</v>
      </c>
      <c r="I671" s="2011">
        <f t="shared" si="19"/>
        <v>0</v>
      </c>
      <c r="J671" s="2022"/>
      <c r="K671" s="2463"/>
      <c r="AV671" s="2558">
        <v>-27903.51</v>
      </c>
    </row>
    <row r="672" spans="1:89" x14ac:dyDescent="0.2">
      <c r="A672" s="2020" t="s">
        <v>4651</v>
      </c>
      <c r="B672" s="2020" t="s">
        <v>6321</v>
      </c>
      <c r="C672" s="2022">
        <v>0</v>
      </c>
      <c r="D672" s="2022">
        <f>18214120.31+AV672+BK672+BS672</f>
        <v>54617584</v>
      </c>
      <c r="E672" s="2022">
        <f>BT672</f>
        <v>4215670</v>
      </c>
      <c r="F672" s="2022">
        <f>BE672+BL672</f>
        <v>-4215670</v>
      </c>
      <c r="G672" s="2022">
        <v>18214120.309999999</v>
      </c>
      <c r="H672" s="2022">
        <v>0</v>
      </c>
      <c r="I672" s="2011">
        <f t="shared" si="19"/>
        <v>54617584</v>
      </c>
      <c r="J672" s="2022"/>
      <c r="K672" s="2463"/>
      <c r="AV672" s="2558">
        <f>36403463.69+40592000</f>
        <v>76995463.689999998</v>
      </c>
      <c r="BE672" s="2022">
        <v>-40592000</v>
      </c>
      <c r="BK672" s="2728">
        <v>-36376330</v>
      </c>
      <c r="BL672" s="2728">
        <v>36376330</v>
      </c>
      <c r="BS672" s="2754">
        <v>-4215670</v>
      </c>
      <c r="BT672" s="2754">
        <v>4215670</v>
      </c>
    </row>
    <row r="673" spans="1:89" s="2100" customFormat="1" x14ac:dyDescent="0.2">
      <c r="A673" s="2106" t="s">
        <v>4653</v>
      </c>
      <c r="C673" s="2022">
        <v>0</v>
      </c>
      <c r="D673" s="2022">
        <f>AV673+BI673</f>
        <v>-30420019</v>
      </c>
      <c r="E673" s="2022">
        <f>BE673</f>
        <v>15459936</v>
      </c>
      <c r="F673" s="2022">
        <f>AZ673+BJ673</f>
        <v>-17502350.91</v>
      </c>
      <c r="G673" s="2022"/>
      <c r="H673" s="2022"/>
      <c r="I673" s="2011">
        <f t="shared" si="19"/>
        <v>-32462433.91</v>
      </c>
      <c r="J673" s="2022"/>
      <c r="K673" s="2463"/>
      <c r="L673" s="2022"/>
      <c r="M673" s="2022"/>
      <c r="N673" s="2022"/>
      <c r="O673" s="2022"/>
      <c r="P673" s="2022"/>
      <c r="Q673" s="2022"/>
      <c r="R673" s="2022"/>
      <c r="S673" s="2022"/>
      <c r="T673" s="2022"/>
      <c r="U673" s="2022"/>
      <c r="V673" s="2022"/>
      <c r="W673" s="2022"/>
      <c r="X673" s="2022"/>
      <c r="Y673" s="2022"/>
      <c r="Z673" s="2022"/>
      <c r="AA673" s="2022"/>
      <c r="AB673" s="2022"/>
      <c r="AC673" s="2022"/>
      <c r="AD673" s="2022"/>
      <c r="AE673" s="2022"/>
      <c r="AF673" s="2022"/>
      <c r="AG673" s="2022"/>
      <c r="AH673" s="2022"/>
      <c r="AI673" s="2022"/>
      <c r="AJ673" s="2022"/>
      <c r="AK673" s="2022"/>
      <c r="AL673" s="2022"/>
      <c r="AM673" s="2022"/>
      <c r="AN673" s="2022"/>
      <c r="AO673" s="2022"/>
      <c r="AP673" s="2022"/>
      <c r="AQ673" s="2022"/>
      <c r="AR673" s="2022"/>
      <c r="AS673" s="2022"/>
      <c r="AT673" s="2022"/>
      <c r="AU673" s="2022"/>
      <c r="AV673" s="2558">
        <f>-30420019-15459936</f>
        <v>-45879955</v>
      </c>
      <c r="AW673" s="2022"/>
      <c r="AX673" s="2022"/>
      <c r="AY673" s="2022"/>
      <c r="AZ673" s="2022">
        <v>-2042414.91</v>
      </c>
      <c r="BA673" s="2022"/>
      <c r="BB673" s="2022"/>
      <c r="BC673" s="2022"/>
      <c r="BD673" s="2022"/>
      <c r="BE673" s="2022">
        <v>15459936</v>
      </c>
      <c r="BF673" s="2022"/>
      <c r="BG673" s="2022"/>
      <c r="BH673" s="2022"/>
      <c r="BI673" s="2728">
        <v>15459936</v>
      </c>
      <c r="BJ673" s="2728">
        <v>-15459936</v>
      </c>
      <c r="BK673" s="2728"/>
      <c r="BL673" s="2728"/>
      <c r="BM673" s="2728"/>
      <c r="BN673" s="2728"/>
      <c r="BO673" s="2728"/>
      <c r="BP673" s="2728"/>
      <c r="BQ673" s="2728"/>
      <c r="BR673" s="2728"/>
      <c r="BS673" s="2632"/>
      <c r="BT673" s="2632"/>
      <c r="BU673" s="2728"/>
      <c r="BV673" s="2728"/>
      <c r="BW673" s="2632"/>
      <c r="BX673" s="2632"/>
      <c r="BY673" s="2632"/>
      <c r="BZ673" s="2632"/>
      <c r="CA673" s="2632"/>
      <c r="CB673" s="2728"/>
      <c r="CC673" s="2632"/>
      <c r="CD673" s="2632"/>
      <c r="CE673" s="2632"/>
      <c r="CF673" s="2632"/>
      <c r="CG673" s="2728"/>
      <c r="CH673" s="2728"/>
      <c r="CI673" s="2632"/>
      <c r="CJ673" s="2632"/>
      <c r="CK673" s="2632"/>
    </row>
    <row r="674" spans="1:89" x14ac:dyDescent="0.2">
      <c r="A674" s="2020" t="s">
        <v>4654</v>
      </c>
      <c r="B674" s="2020" t="s">
        <v>6322</v>
      </c>
      <c r="C674" s="2022">
        <v>0</v>
      </c>
      <c r="D674" s="2022">
        <f>2885047.73+AV674</f>
        <v>0</v>
      </c>
      <c r="E674" s="2022">
        <f>AZ674</f>
        <v>422.4</v>
      </c>
      <c r="F674" s="2022">
        <v>-422.4</v>
      </c>
      <c r="G674" s="2022">
        <v>2884625.33</v>
      </c>
      <c r="H674" s="2022">
        <v>0</v>
      </c>
      <c r="I674" s="2011">
        <f t="shared" si="19"/>
        <v>0</v>
      </c>
      <c r="J674" s="2022"/>
      <c r="K674" s="2463"/>
      <c r="AV674" s="2558">
        <v>-2885047.73</v>
      </c>
      <c r="AZ674" s="2022">
        <v>422.4</v>
      </c>
    </row>
    <row r="675" spans="1:89" x14ac:dyDescent="0.2">
      <c r="A675" s="2020" t="s">
        <v>4661</v>
      </c>
      <c r="B675" s="2020" t="s">
        <v>6323</v>
      </c>
      <c r="C675" s="2022">
        <v>0</v>
      </c>
      <c r="D675" s="2022">
        <f>41895492.96+AV675</f>
        <v>2193676</v>
      </c>
      <c r="E675" s="2022">
        <f>AZ675</f>
        <v>9684498.0099999998</v>
      </c>
      <c r="F675" s="2022">
        <v>0</v>
      </c>
      <c r="G675" s="2022">
        <v>41895492.960000001</v>
      </c>
      <c r="H675" s="2022">
        <v>0</v>
      </c>
      <c r="I675" s="2011">
        <f t="shared" si="19"/>
        <v>11878174.01</v>
      </c>
      <c r="J675" s="2022"/>
      <c r="K675" s="2463"/>
      <c r="AV675" s="2558">
        <f>-41895492.96+2193676</f>
        <v>-39701816.960000001</v>
      </c>
      <c r="AZ675" s="2022">
        <f>10899286.18-1214788.17</f>
        <v>9684498.0099999998</v>
      </c>
    </row>
    <row r="676" spans="1:89" x14ac:dyDescent="0.2">
      <c r="A676" s="2020" t="s">
        <v>4664</v>
      </c>
      <c r="B676" s="2020" t="s">
        <v>6324</v>
      </c>
      <c r="C676" s="2022">
        <v>0</v>
      </c>
      <c r="D676" s="2022">
        <f>4795214.75+AV676</f>
        <v>63615725</v>
      </c>
      <c r="E676" s="2022">
        <v>0</v>
      </c>
      <c r="F676" s="2022">
        <v>0</v>
      </c>
      <c r="G676" s="2022">
        <v>4795214.75</v>
      </c>
      <c r="H676" s="2022">
        <v>0</v>
      </c>
      <c r="I676" s="2011">
        <f t="shared" si="19"/>
        <v>63615725</v>
      </c>
      <c r="J676" s="2022"/>
      <c r="K676" s="2463"/>
      <c r="AV676" s="2558">
        <v>58820510.25</v>
      </c>
    </row>
    <row r="677" spans="1:89" x14ac:dyDescent="0.2">
      <c r="A677" s="2020" t="s">
        <v>4666</v>
      </c>
      <c r="B677" s="2020" t="s">
        <v>6325</v>
      </c>
      <c r="C677" s="2022">
        <v>0</v>
      </c>
      <c r="D677" s="2022">
        <f>3537909.67+AV677</f>
        <v>0</v>
      </c>
      <c r="E677" s="2022">
        <v>0</v>
      </c>
      <c r="F677" s="2022">
        <v>0</v>
      </c>
      <c r="G677" s="2022">
        <v>3537909.67</v>
      </c>
      <c r="H677" s="2022">
        <v>0</v>
      </c>
      <c r="I677" s="2011">
        <f t="shared" si="19"/>
        <v>0</v>
      </c>
      <c r="J677" s="2022"/>
      <c r="K677" s="2463"/>
      <c r="AV677" s="2558">
        <v>-3537909.67</v>
      </c>
    </row>
    <row r="678" spans="1:89" s="2100" customFormat="1" x14ac:dyDescent="0.2">
      <c r="A678" s="1127" t="s">
        <v>4668</v>
      </c>
      <c r="C678" s="2022">
        <v>0</v>
      </c>
      <c r="D678" s="2022">
        <f>AV678</f>
        <v>-25753061</v>
      </c>
      <c r="E678" s="2022">
        <v>0</v>
      </c>
      <c r="F678" s="2022">
        <f>AZ678</f>
        <v>-1707367.52</v>
      </c>
      <c r="G678" s="2022"/>
      <c r="H678" s="2022"/>
      <c r="I678" s="2011">
        <f t="shared" si="19"/>
        <v>-27460428.52</v>
      </c>
      <c r="J678" s="2022"/>
      <c r="K678" s="2463"/>
      <c r="L678" s="2022"/>
      <c r="M678" s="2022"/>
      <c r="N678" s="2022"/>
      <c r="O678" s="2022"/>
      <c r="P678" s="2022"/>
      <c r="Q678" s="2022"/>
      <c r="R678" s="2022"/>
      <c r="S678" s="2022"/>
      <c r="T678" s="2022"/>
      <c r="U678" s="2022"/>
      <c r="V678" s="2022"/>
      <c r="W678" s="2022"/>
      <c r="X678" s="2022"/>
      <c r="Y678" s="2022"/>
      <c r="Z678" s="2022"/>
      <c r="AA678" s="2022"/>
      <c r="AB678" s="2022"/>
      <c r="AC678" s="2022"/>
      <c r="AD678" s="2022"/>
      <c r="AE678" s="2022"/>
      <c r="AF678" s="2022"/>
      <c r="AG678" s="2022"/>
      <c r="AH678" s="2022"/>
      <c r="AI678" s="2022"/>
      <c r="AJ678" s="2022"/>
      <c r="AK678" s="2022"/>
      <c r="AL678" s="2022"/>
      <c r="AM678" s="2022"/>
      <c r="AN678" s="2022"/>
      <c r="AO678" s="2022"/>
      <c r="AP678" s="2022"/>
      <c r="AQ678" s="2022"/>
      <c r="AR678" s="2022"/>
      <c r="AS678" s="2022"/>
      <c r="AT678" s="2022"/>
      <c r="AU678" s="2022"/>
      <c r="AV678" s="2558">
        <v>-25753061</v>
      </c>
      <c r="AW678" s="2022"/>
      <c r="AX678" s="2022"/>
      <c r="AY678" s="2022"/>
      <c r="AZ678" s="2022">
        <v>-1707367.52</v>
      </c>
      <c r="BA678" s="2022"/>
      <c r="BB678" s="2022"/>
      <c r="BC678" s="2022"/>
      <c r="BD678" s="2022"/>
      <c r="BE678" s="2022"/>
      <c r="BF678" s="2022"/>
      <c r="BG678" s="2022"/>
      <c r="BH678" s="2022"/>
      <c r="BI678" s="2728"/>
      <c r="BJ678" s="2728"/>
      <c r="BK678" s="2728"/>
      <c r="BL678" s="2728"/>
      <c r="BM678" s="2728"/>
      <c r="BN678" s="2728"/>
      <c r="BO678" s="2728"/>
      <c r="BP678" s="2728"/>
      <c r="BQ678" s="2728"/>
      <c r="BR678" s="2728"/>
      <c r="BS678" s="2632"/>
      <c r="BT678" s="2632"/>
      <c r="BU678" s="2728"/>
      <c r="BV678" s="2728"/>
      <c r="BW678" s="2632"/>
      <c r="BX678" s="2632"/>
      <c r="BY678" s="2632"/>
      <c r="BZ678" s="2632"/>
      <c r="CA678" s="2632"/>
      <c r="CB678" s="2728"/>
      <c r="CC678" s="2632"/>
      <c r="CD678" s="2632"/>
      <c r="CE678" s="2632"/>
      <c r="CF678" s="2632"/>
      <c r="CG678" s="2728"/>
      <c r="CH678" s="2728"/>
      <c r="CI678" s="2632"/>
      <c r="CJ678" s="2632"/>
      <c r="CK678" s="2632"/>
    </row>
    <row r="679" spans="1:89" x14ac:dyDescent="0.2">
      <c r="A679" s="2020" t="s">
        <v>4669</v>
      </c>
      <c r="B679" s="2020" t="s">
        <v>6326</v>
      </c>
      <c r="C679" s="2022">
        <v>0</v>
      </c>
      <c r="D679" s="2022">
        <f>319.62+AV679</f>
        <v>605341.9</v>
      </c>
      <c r="E679" s="2022">
        <f>AZ679</f>
        <v>1214788.17</v>
      </c>
      <c r="F679" s="2022">
        <v>0</v>
      </c>
      <c r="G679" s="2022">
        <v>319.62</v>
      </c>
      <c r="H679" s="2022">
        <v>0</v>
      </c>
      <c r="I679" s="2011">
        <f t="shared" si="19"/>
        <v>1820130.0699999998</v>
      </c>
      <c r="J679" s="2022"/>
      <c r="K679" s="2463"/>
      <c r="AV679" s="2558">
        <f>-319.62+605341.9</f>
        <v>605022.28</v>
      </c>
      <c r="AZ679" s="2022">
        <v>1214788.17</v>
      </c>
    </row>
    <row r="680" spans="1:89" x14ac:dyDescent="0.2">
      <c r="A680" s="2020" t="s">
        <v>4671</v>
      </c>
      <c r="B680" s="2020" t="s">
        <v>6327</v>
      </c>
      <c r="C680" s="2022">
        <v>0</v>
      </c>
      <c r="D680" s="2022">
        <f>11342737.13+AV680</f>
        <v>24713953</v>
      </c>
      <c r="E680" s="2022">
        <v>0</v>
      </c>
      <c r="F680" s="2022">
        <f>BA680</f>
        <v>-230376</v>
      </c>
      <c r="G680" s="2022">
        <v>11342737.130000001</v>
      </c>
      <c r="H680" s="2022">
        <v>0</v>
      </c>
      <c r="I680" s="2011">
        <f t="shared" si="19"/>
        <v>24483577</v>
      </c>
      <c r="J680" s="2022"/>
      <c r="K680" s="2463"/>
      <c r="AV680" s="2558">
        <v>13371215.869999999</v>
      </c>
      <c r="BA680" s="2022">
        <v>-230376</v>
      </c>
    </row>
    <row r="681" spans="1:89" s="2100" customFormat="1" x14ac:dyDescent="0.2">
      <c r="A681" s="1127" t="s">
        <v>4673</v>
      </c>
      <c r="C681" s="2022">
        <v>0</v>
      </c>
      <c r="D681" s="2022">
        <f>AV681</f>
        <v>-16883743</v>
      </c>
      <c r="E681" s="2022">
        <f>BA681</f>
        <v>-37940</v>
      </c>
      <c r="F681" s="2022">
        <f>AZ681</f>
        <v>-721842.24</v>
      </c>
      <c r="G681" s="2022"/>
      <c r="H681" s="2022"/>
      <c r="I681" s="2011">
        <f t="shared" si="19"/>
        <v>-17643525.239999998</v>
      </c>
      <c r="J681" s="2022"/>
      <c r="K681" s="2463"/>
      <c r="L681" s="2022"/>
      <c r="M681" s="2022"/>
      <c r="N681" s="2022"/>
      <c r="O681" s="2022"/>
      <c r="P681" s="2022"/>
      <c r="Q681" s="2022"/>
      <c r="R681" s="2022"/>
      <c r="S681" s="2022"/>
      <c r="T681" s="2022"/>
      <c r="U681" s="2022"/>
      <c r="V681" s="2022"/>
      <c r="W681" s="2022"/>
      <c r="X681" s="2022"/>
      <c r="Y681" s="2022"/>
      <c r="Z681" s="2022"/>
      <c r="AA681" s="2022"/>
      <c r="AB681" s="2022"/>
      <c r="AC681" s="2022"/>
      <c r="AD681" s="2022"/>
      <c r="AE681" s="2022"/>
      <c r="AF681" s="2022"/>
      <c r="AG681" s="2022"/>
      <c r="AH681" s="2022"/>
      <c r="AI681" s="2022"/>
      <c r="AJ681" s="2022"/>
      <c r="AK681" s="2022"/>
      <c r="AL681" s="2022"/>
      <c r="AM681" s="2022"/>
      <c r="AN681" s="2022"/>
      <c r="AO681" s="2022"/>
      <c r="AP681" s="2022"/>
      <c r="AQ681" s="2022"/>
      <c r="AR681" s="2022"/>
      <c r="AS681" s="2022"/>
      <c r="AT681" s="2022"/>
      <c r="AU681" s="2022"/>
      <c r="AV681" s="2558">
        <v>-16883743</v>
      </c>
      <c r="AW681" s="2022"/>
      <c r="AX681" s="2022"/>
      <c r="AY681" s="2022"/>
      <c r="AZ681" s="2022">
        <v>-721842.24</v>
      </c>
      <c r="BA681" s="2022">
        <f>99274-137214</f>
        <v>-37940</v>
      </c>
      <c r="BB681" s="2022"/>
      <c r="BC681" s="2022"/>
      <c r="BD681" s="2022"/>
      <c r="BE681" s="2022"/>
      <c r="BF681" s="2022"/>
      <c r="BG681" s="2022"/>
      <c r="BH681" s="2022"/>
      <c r="BI681" s="2728"/>
      <c r="BJ681" s="2728"/>
      <c r="BK681" s="2728"/>
      <c r="BL681" s="2728"/>
      <c r="BM681" s="2728"/>
      <c r="BN681" s="2728"/>
      <c r="BO681" s="2728"/>
      <c r="BP681" s="2728"/>
      <c r="BQ681" s="2728"/>
      <c r="BR681" s="2728"/>
      <c r="BS681" s="2632"/>
      <c r="BT681" s="2632"/>
      <c r="BU681" s="2728"/>
      <c r="BV681" s="2728"/>
      <c r="BW681" s="2632"/>
      <c r="BX681" s="2632"/>
      <c r="BY681" s="2632"/>
      <c r="BZ681" s="2632"/>
      <c r="CA681" s="2632"/>
      <c r="CB681" s="2728"/>
      <c r="CC681" s="2632"/>
      <c r="CD681" s="2632"/>
      <c r="CE681" s="2632"/>
      <c r="CF681" s="2632"/>
      <c r="CG681" s="2728"/>
      <c r="CH681" s="2728"/>
      <c r="CI681" s="2632"/>
      <c r="CJ681" s="2632"/>
      <c r="CK681" s="2632"/>
    </row>
    <row r="682" spans="1:89" x14ac:dyDescent="0.2">
      <c r="A682" s="2020" t="s">
        <v>4674</v>
      </c>
      <c r="B682" s="2020" t="s">
        <v>4675</v>
      </c>
      <c r="C682" s="2022">
        <v>0</v>
      </c>
      <c r="D682" s="2022">
        <f>18498159.18+AV682</f>
        <v>70473013</v>
      </c>
      <c r="E682" s="2022">
        <v>0</v>
      </c>
      <c r="F682" s="2022">
        <v>0</v>
      </c>
      <c r="G682" s="2022">
        <v>18498159.18</v>
      </c>
      <c r="H682" s="2022">
        <v>0</v>
      </c>
      <c r="I682" s="2011">
        <f t="shared" si="19"/>
        <v>70473013</v>
      </c>
      <c r="J682" s="2022"/>
      <c r="K682" s="2463"/>
      <c r="AV682" s="2558">
        <v>51974853.82</v>
      </c>
    </row>
    <row r="683" spans="1:89" s="2100" customFormat="1" x14ac:dyDescent="0.2">
      <c r="A683" s="1127" t="s">
        <v>4676</v>
      </c>
      <c r="C683" s="2022">
        <v>0</v>
      </c>
      <c r="D683" s="2022">
        <f>AV683</f>
        <v>-34742245</v>
      </c>
      <c r="E683" s="2022">
        <v>0</v>
      </c>
      <c r="F683" s="2022">
        <f>AZ683</f>
        <v>-1897254.08</v>
      </c>
      <c r="G683" s="2022"/>
      <c r="H683" s="2022"/>
      <c r="I683" s="2011">
        <f t="shared" si="19"/>
        <v>-36639499.079999998</v>
      </c>
      <c r="J683" s="2022"/>
      <c r="K683" s="2463"/>
      <c r="L683" s="2022"/>
      <c r="M683" s="2022"/>
      <c r="N683" s="2022"/>
      <c r="O683" s="2022"/>
      <c r="P683" s="2022"/>
      <c r="Q683" s="2022"/>
      <c r="R683" s="2022"/>
      <c r="S683" s="2022"/>
      <c r="T683" s="2022"/>
      <c r="U683" s="2022"/>
      <c r="V683" s="2022"/>
      <c r="W683" s="2022"/>
      <c r="X683" s="2022"/>
      <c r="Y683" s="2022"/>
      <c r="Z683" s="2022"/>
      <c r="AA683" s="2022"/>
      <c r="AB683" s="2022"/>
      <c r="AC683" s="2022"/>
      <c r="AD683" s="2022"/>
      <c r="AE683" s="2022"/>
      <c r="AF683" s="2022"/>
      <c r="AG683" s="2022"/>
      <c r="AH683" s="2022"/>
      <c r="AI683" s="2022"/>
      <c r="AJ683" s="2022"/>
      <c r="AK683" s="2022"/>
      <c r="AL683" s="2022"/>
      <c r="AM683" s="2022"/>
      <c r="AN683" s="2022"/>
      <c r="AO683" s="2022"/>
      <c r="AP683" s="2022"/>
      <c r="AQ683" s="2022"/>
      <c r="AR683" s="2022"/>
      <c r="AS683" s="2022"/>
      <c r="AT683" s="2022"/>
      <c r="AU683" s="2022"/>
      <c r="AV683" s="2558">
        <v>-34742245</v>
      </c>
      <c r="AW683" s="2022"/>
      <c r="AX683" s="2022"/>
      <c r="AY683" s="2022"/>
      <c r="AZ683" s="2022">
        <v>-1897254.08</v>
      </c>
      <c r="BA683" s="2022"/>
      <c r="BB683" s="2022"/>
      <c r="BC683" s="2022"/>
      <c r="BD683" s="2022"/>
      <c r="BE683" s="2022"/>
      <c r="BF683" s="2022"/>
      <c r="BG683" s="2022"/>
      <c r="BH683" s="2022"/>
      <c r="BI683" s="2728"/>
      <c r="BJ683" s="2728"/>
      <c r="BK683" s="2728"/>
      <c r="BL683" s="2728"/>
      <c r="BM683" s="2728"/>
      <c r="BN683" s="2728"/>
      <c r="BO683" s="2728"/>
      <c r="BP683" s="2728"/>
      <c r="BQ683" s="2728"/>
      <c r="BR683" s="2728"/>
      <c r="BS683" s="2632"/>
      <c r="BT683" s="2632"/>
      <c r="BU683" s="2728"/>
      <c r="BV683" s="2728"/>
      <c r="BW683" s="2632"/>
      <c r="BX683" s="2632"/>
      <c r="BY683" s="2632"/>
      <c r="BZ683" s="2632"/>
      <c r="CA683" s="2632"/>
      <c r="CB683" s="2728"/>
      <c r="CC683" s="2632"/>
      <c r="CD683" s="2632"/>
      <c r="CE683" s="2632"/>
      <c r="CF683" s="2632"/>
      <c r="CG683" s="2728"/>
      <c r="CH683" s="2728"/>
      <c r="CI683" s="2632"/>
      <c r="CJ683" s="2632"/>
      <c r="CK683" s="2632"/>
    </row>
    <row r="684" spans="1:89" x14ac:dyDescent="0.2">
      <c r="A684" s="2020" t="s">
        <v>4677</v>
      </c>
      <c r="B684" s="2020" t="s">
        <v>6328</v>
      </c>
      <c r="C684" s="2022">
        <v>0</v>
      </c>
      <c r="D684" s="2022">
        <f>9612138.27+AV684</f>
        <v>0</v>
      </c>
      <c r="E684" s="2022">
        <v>0</v>
      </c>
      <c r="F684" s="2022">
        <v>0</v>
      </c>
      <c r="G684" s="2022">
        <v>9612138.2699999996</v>
      </c>
      <c r="H684" s="2022">
        <v>0</v>
      </c>
      <c r="I684" s="2011">
        <f t="shared" si="19"/>
        <v>0</v>
      </c>
      <c r="J684" s="2022"/>
      <c r="K684" s="2463"/>
      <c r="AV684" s="2558">
        <v>-9612138.2699999996</v>
      </c>
    </row>
    <row r="685" spans="1:89" x14ac:dyDescent="0.2">
      <c r="A685" s="2020" t="s">
        <v>4680</v>
      </c>
      <c r="B685" s="2020" t="s">
        <v>6329</v>
      </c>
      <c r="C685" s="2022">
        <v>0</v>
      </c>
      <c r="D685" s="2022">
        <f>29404500+AT685</f>
        <v>20519205</v>
      </c>
      <c r="E685" s="2022">
        <v>0</v>
      </c>
      <c r="F685" s="2022">
        <v>0</v>
      </c>
      <c r="G685" s="2022">
        <v>29404500</v>
      </c>
      <c r="H685" s="2022">
        <v>0</v>
      </c>
      <c r="I685" s="2011">
        <f t="shared" si="19"/>
        <v>20519205</v>
      </c>
      <c r="J685" s="2022"/>
      <c r="K685" s="2463"/>
      <c r="AT685" s="2022">
        <f>-10665500+1780205</f>
        <v>-8885295</v>
      </c>
    </row>
    <row r="686" spans="1:89" x14ac:dyDescent="0.2">
      <c r="A686" s="2020" t="s">
        <v>4683</v>
      </c>
      <c r="B686" s="2020" t="s">
        <v>6330</v>
      </c>
      <c r="C686" s="2022">
        <v>0</v>
      </c>
      <c r="D686" s="2022">
        <f>38996.29+AV686</f>
        <v>0</v>
      </c>
      <c r="E686" s="2022">
        <v>0</v>
      </c>
      <c r="F686" s="2022">
        <v>0</v>
      </c>
      <c r="G686" s="2022">
        <v>38996.29</v>
      </c>
      <c r="H686" s="2022">
        <v>0</v>
      </c>
      <c r="I686" s="2011">
        <f t="shared" si="19"/>
        <v>0</v>
      </c>
      <c r="J686" s="2022"/>
      <c r="K686" s="2463"/>
      <c r="AV686" s="2558">
        <v>-38996.29</v>
      </c>
    </row>
    <row r="687" spans="1:89" x14ac:dyDescent="0.2">
      <c r="A687" s="2020" t="s">
        <v>4686</v>
      </c>
      <c r="B687" s="2020" t="s">
        <v>6331</v>
      </c>
      <c r="C687" s="2022">
        <v>0</v>
      </c>
      <c r="D687" s="2022">
        <f>2690389.98+AV687</f>
        <v>121234548</v>
      </c>
      <c r="E687" s="2022">
        <v>0</v>
      </c>
      <c r="F687" s="2022">
        <v>0</v>
      </c>
      <c r="G687" s="2022">
        <v>2690389.98</v>
      </c>
      <c r="H687" s="2022">
        <v>0</v>
      </c>
      <c r="I687" s="2011">
        <f t="shared" si="19"/>
        <v>121234548</v>
      </c>
      <c r="J687" s="2022"/>
      <c r="K687" s="2463"/>
      <c r="AV687" s="2558">
        <v>118544158.02</v>
      </c>
    </row>
    <row r="688" spans="1:89" s="2100" customFormat="1" x14ac:dyDescent="0.2">
      <c r="A688" s="1127" t="s">
        <v>4688</v>
      </c>
      <c r="C688" s="2022">
        <v>0</v>
      </c>
      <c r="D688" s="2022">
        <f>AV688</f>
        <v>-74539435</v>
      </c>
      <c r="E688" s="2022">
        <v>0</v>
      </c>
      <c r="F688" s="2022">
        <f>AZ688</f>
        <v>-5747430.9900000002</v>
      </c>
      <c r="G688" s="2022">
        <v>2690389.98</v>
      </c>
      <c r="H688" s="2022">
        <v>0</v>
      </c>
      <c r="I688" s="2011">
        <f t="shared" ref="I688" si="20">SUM(D688:F688)</f>
        <v>-80286865.989999995</v>
      </c>
      <c r="J688" s="2022"/>
      <c r="K688" s="2463"/>
      <c r="L688" s="2022"/>
      <c r="M688" s="2022"/>
      <c r="N688" s="2022"/>
      <c r="O688" s="2022"/>
      <c r="P688" s="2022"/>
      <c r="Q688" s="2022"/>
      <c r="R688" s="2022"/>
      <c r="S688" s="2022"/>
      <c r="T688" s="2022"/>
      <c r="U688" s="2022"/>
      <c r="V688" s="2022"/>
      <c r="W688" s="2022"/>
      <c r="X688" s="2022"/>
      <c r="Y688" s="2022"/>
      <c r="Z688" s="2022"/>
      <c r="AA688" s="2022"/>
      <c r="AB688" s="2022"/>
      <c r="AC688" s="2022"/>
      <c r="AD688" s="2022"/>
      <c r="AE688" s="2022"/>
      <c r="AF688" s="2022"/>
      <c r="AG688" s="2022"/>
      <c r="AH688" s="2022"/>
      <c r="AI688" s="2022"/>
      <c r="AJ688" s="2022"/>
      <c r="AK688" s="2022"/>
      <c r="AL688" s="2022"/>
      <c r="AM688" s="2022"/>
      <c r="AN688" s="2022"/>
      <c r="AO688" s="2022"/>
      <c r="AP688" s="2022"/>
      <c r="AQ688" s="2022"/>
      <c r="AR688" s="2022"/>
      <c r="AS688" s="2022"/>
      <c r="AT688" s="2022"/>
      <c r="AU688" s="2022"/>
      <c r="AV688" s="2558">
        <v>-74539435</v>
      </c>
      <c r="AW688" s="2022"/>
      <c r="AX688" s="2022"/>
      <c r="AY688" s="2022"/>
      <c r="AZ688" s="2022">
        <v>-5747430.9900000002</v>
      </c>
      <c r="BA688" s="2022"/>
      <c r="BB688" s="2022"/>
      <c r="BC688" s="2022"/>
      <c r="BD688" s="2022"/>
      <c r="BE688" s="2022"/>
      <c r="BF688" s="2022"/>
      <c r="BG688" s="2022"/>
      <c r="BH688" s="2022"/>
      <c r="BI688" s="2728"/>
      <c r="BJ688" s="2728"/>
      <c r="BK688" s="2728"/>
      <c r="BL688" s="2728"/>
      <c r="BM688" s="2728"/>
      <c r="BN688" s="2728"/>
      <c r="BO688" s="2728"/>
      <c r="BP688" s="2728"/>
      <c r="BQ688" s="2728"/>
      <c r="BR688" s="2728"/>
      <c r="BS688" s="2632"/>
      <c r="BT688" s="2632"/>
      <c r="BU688" s="2728"/>
      <c r="BV688" s="2728"/>
      <c r="BW688" s="2632"/>
      <c r="BX688" s="2632"/>
      <c r="BY688" s="2632"/>
      <c r="BZ688" s="2632"/>
      <c r="CA688" s="2632"/>
      <c r="CB688" s="2728"/>
      <c r="CC688" s="2632"/>
      <c r="CD688" s="2632"/>
      <c r="CE688" s="2632"/>
      <c r="CF688" s="2632"/>
      <c r="CG688" s="2728"/>
      <c r="CH688" s="2728"/>
      <c r="CI688" s="2632"/>
      <c r="CJ688" s="2632"/>
      <c r="CK688" s="2632"/>
    </row>
    <row r="689" spans="1:89" x14ac:dyDescent="0.2">
      <c r="A689" s="2020" t="s">
        <v>4689</v>
      </c>
      <c r="B689" s="2020" t="s">
        <v>6332</v>
      </c>
      <c r="C689" s="2022">
        <v>0</v>
      </c>
      <c r="D689" s="2022">
        <f>8144.68+AV689</f>
        <v>135950096</v>
      </c>
      <c r="E689" s="2022">
        <v>0</v>
      </c>
      <c r="F689" s="2022">
        <v>0</v>
      </c>
      <c r="G689" s="2022">
        <v>8144.68</v>
      </c>
      <c r="H689" s="2022">
        <v>0</v>
      </c>
      <c r="I689" s="2011">
        <f t="shared" si="19"/>
        <v>135950096</v>
      </c>
      <c r="J689" s="2022"/>
      <c r="K689" s="2463"/>
      <c r="AV689" s="2558">
        <v>135941951.31999999</v>
      </c>
    </row>
    <row r="690" spans="1:89" s="2100" customFormat="1" x14ac:dyDescent="0.2">
      <c r="A690" s="1127" t="s">
        <v>4691</v>
      </c>
      <c r="C690" s="2022">
        <v>0</v>
      </c>
      <c r="D690" s="2022">
        <f>AV690</f>
        <v>-78103108</v>
      </c>
      <c r="E690" s="2022">
        <v>0</v>
      </c>
      <c r="F690" s="2022">
        <f>AZ690</f>
        <v>-4433078.53</v>
      </c>
      <c r="G690" s="2022">
        <v>8144.68</v>
      </c>
      <c r="H690" s="2022">
        <v>0</v>
      </c>
      <c r="I690" s="2011">
        <f t="shared" ref="I690" si="21">SUM(D690:F690)</f>
        <v>-82536186.530000001</v>
      </c>
      <c r="J690" s="2022"/>
      <c r="K690" s="2463"/>
      <c r="L690" s="2022"/>
      <c r="M690" s="2022"/>
      <c r="N690" s="2022"/>
      <c r="O690" s="2022"/>
      <c r="P690" s="2022"/>
      <c r="Q690" s="2022"/>
      <c r="R690" s="2022"/>
      <c r="S690" s="2022"/>
      <c r="T690" s="2022"/>
      <c r="U690" s="2022"/>
      <c r="V690" s="2022"/>
      <c r="W690" s="2022"/>
      <c r="X690" s="2022"/>
      <c r="Y690" s="2022"/>
      <c r="Z690" s="2022"/>
      <c r="AA690" s="2022"/>
      <c r="AB690" s="2022"/>
      <c r="AC690" s="2022"/>
      <c r="AD690" s="2022"/>
      <c r="AE690" s="2022"/>
      <c r="AF690" s="2022"/>
      <c r="AG690" s="2022"/>
      <c r="AH690" s="2022"/>
      <c r="AI690" s="2022"/>
      <c r="AJ690" s="2022"/>
      <c r="AK690" s="2022"/>
      <c r="AL690" s="2022"/>
      <c r="AM690" s="2022"/>
      <c r="AN690" s="2022"/>
      <c r="AO690" s="2022"/>
      <c r="AP690" s="2022"/>
      <c r="AQ690" s="2022"/>
      <c r="AR690" s="2022"/>
      <c r="AS690" s="2022"/>
      <c r="AT690" s="2022"/>
      <c r="AU690" s="2022"/>
      <c r="AV690" s="2558">
        <v>-78103108</v>
      </c>
      <c r="AW690" s="2022"/>
      <c r="AX690" s="2022"/>
      <c r="AY690" s="2022"/>
      <c r="AZ690" s="2022">
        <v>-4433078.53</v>
      </c>
      <c r="BA690" s="2022"/>
      <c r="BB690" s="2022"/>
      <c r="BC690" s="2022"/>
      <c r="BD690" s="2022"/>
      <c r="BE690" s="2022"/>
      <c r="BF690" s="2022"/>
      <c r="BG690" s="2022"/>
      <c r="BH690" s="2022"/>
      <c r="BI690" s="2728"/>
      <c r="BJ690" s="2728"/>
      <c r="BK690" s="2728"/>
      <c r="BL690" s="2728"/>
      <c r="BM690" s="2728"/>
      <c r="BN690" s="2728"/>
      <c r="BO690" s="2728"/>
      <c r="BP690" s="2728"/>
      <c r="BQ690" s="2728"/>
      <c r="BR690" s="2728"/>
      <c r="BS690" s="2632"/>
      <c r="BT690" s="2632"/>
      <c r="BU690" s="2728"/>
      <c r="BV690" s="2728"/>
      <c r="BW690" s="2632"/>
      <c r="BX690" s="2632"/>
      <c r="BY690" s="2632"/>
      <c r="BZ690" s="2632"/>
      <c r="CA690" s="2632"/>
      <c r="CB690" s="2728"/>
      <c r="CC690" s="2632"/>
      <c r="CD690" s="2632"/>
      <c r="CE690" s="2632"/>
      <c r="CF690" s="2632"/>
      <c r="CG690" s="2728"/>
      <c r="CH690" s="2728"/>
      <c r="CI690" s="2632"/>
      <c r="CJ690" s="2632"/>
      <c r="CK690" s="2632"/>
    </row>
    <row r="691" spans="1:89" x14ac:dyDescent="0.2">
      <c r="A691" s="2020" t="s">
        <v>4692</v>
      </c>
      <c r="B691" s="2020" t="s">
        <v>6333</v>
      </c>
      <c r="C691" s="2022">
        <v>0</v>
      </c>
      <c r="D691" s="2022">
        <f>1490059.17+AV691</f>
        <v>130873296</v>
      </c>
      <c r="E691" s="2022">
        <v>0</v>
      </c>
      <c r="F691" s="2022">
        <v>0</v>
      </c>
      <c r="G691" s="2022">
        <v>1490059.17</v>
      </c>
      <c r="H691" s="2022">
        <v>0</v>
      </c>
      <c r="I691" s="2011">
        <f t="shared" si="19"/>
        <v>130873296</v>
      </c>
      <c r="J691" s="2022"/>
      <c r="K691" s="2463"/>
      <c r="AV691" s="2558">
        <v>129383236.83</v>
      </c>
    </row>
    <row r="692" spans="1:89" s="2100" customFormat="1" x14ac:dyDescent="0.2">
      <c r="A692" s="1127" t="s">
        <v>4694</v>
      </c>
      <c r="C692" s="2022">
        <v>0</v>
      </c>
      <c r="D692" s="2022">
        <f>AV692</f>
        <v>-78695245</v>
      </c>
      <c r="E692" s="2022">
        <v>0</v>
      </c>
      <c r="F692" s="2022">
        <f>AZ692</f>
        <v>-3223854.72</v>
      </c>
      <c r="G692" s="2022">
        <v>1490059.17</v>
      </c>
      <c r="H692" s="2022">
        <v>0</v>
      </c>
      <c r="I692" s="2011">
        <f t="shared" ref="I692" si="22">SUM(D692:F692)</f>
        <v>-81919099.719999999</v>
      </c>
      <c r="J692" s="2022"/>
      <c r="K692" s="2463"/>
      <c r="L692" s="2022"/>
      <c r="M692" s="2022"/>
      <c r="N692" s="2022"/>
      <c r="O692" s="2022"/>
      <c r="P692" s="2022"/>
      <c r="Q692" s="2022"/>
      <c r="R692" s="2022"/>
      <c r="S692" s="2022"/>
      <c r="T692" s="2022"/>
      <c r="U692" s="2022"/>
      <c r="V692" s="2022"/>
      <c r="W692" s="2022"/>
      <c r="X692" s="2022"/>
      <c r="Y692" s="2022"/>
      <c r="Z692" s="2022"/>
      <c r="AA692" s="2022"/>
      <c r="AB692" s="2022"/>
      <c r="AC692" s="2022"/>
      <c r="AD692" s="2022"/>
      <c r="AE692" s="2022"/>
      <c r="AF692" s="2022"/>
      <c r="AG692" s="2022"/>
      <c r="AH692" s="2022"/>
      <c r="AI692" s="2022"/>
      <c r="AJ692" s="2022"/>
      <c r="AK692" s="2022"/>
      <c r="AL692" s="2022"/>
      <c r="AM692" s="2022"/>
      <c r="AN692" s="2022"/>
      <c r="AO692" s="2022"/>
      <c r="AP692" s="2022"/>
      <c r="AQ692" s="2022"/>
      <c r="AR692" s="2022"/>
      <c r="AS692" s="2022"/>
      <c r="AT692" s="2022"/>
      <c r="AU692" s="2022"/>
      <c r="AV692" s="2558">
        <v>-78695245</v>
      </c>
      <c r="AW692" s="2022"/>
      <c r="AX692" s="2022"/>
      <c r="AY692" s="2022"/>
      <c r="AZ692" s="2022">
        <v>-3223854.72</v>
      </c>
      <c r="BA692" s="2022"/>
      <c r="BB692" s="2022"/>
      <c r="BC692" s="2022"/>
      <c r="BD692" s="2022"/>
      <c r="BE692" s="2022"/>
      <c r="BF692" s="2022"/>
      <c r="BG692" s="2022"/>
      <c r="BH692" s="2022"/>
      <c r="BI692" s="2728"/>
      <c r="BJ692" s="2728"/>
      <c r="BK692" s="2728"/>
      <c r="BL692" s="2728"/>
      <c r="BM692" s="2728"/>
      <c r="BN692" s="2728"/>
      <c r="BO692" s="2728"/>
      <c r="BP692" s="2728"/>
      <c r="BQ692" s="2728"/>
      <c r="BR692" s="2728"/>
      <c r="BS692" s="2632"/>
      <c r="BT692" s="2632"/>
      <c r="BU692" s="2728"/>
      <c r="BV692" s="2728"/>
      <c r="BW692" s="2632"/>
      <c r="BX692" s="2632"/>
      <c r="BY692" s="2632"/>
      <c r="BZ692" s="2632"/>
      <c r="CA692" s="2632"/>
      <c r="CB692" s="2728"/>
      <c r="CC692" s="2632"/>
      <c r="CD692" s="2632"/>
      <c r="CE692" s="2632"/>
      <c r="CF692" s="2632"/>
      <c r="CG692" s="2728"/>
      <c r="CH692" s="2728"/>
      <c r="CI692" s="2632"/>
      <c r="CJ692" s="2632"/>
      <c r="CK692" s="2632"/>
    </row>
    <row r="693" spans="1:89" x14ac:dyDescent="0.2">
      <c r="A693" s="2020" t="s">
        <v>4695</v>
      </c>
      <c r="B693" s="2020" t="s">
        <v>6334</v>
      </c>
      <c r="C693" s="2022">
        <v>0</v>
      </c>
      <c r="D693" s="2022">
        <f>1231.58+AV693</f>
        <v>0</v>
      </c>
      <c r="E693" s="2022">
        <v>0</v>
      </c>
      <c r="F693" s="2022">
        <v>0</v>
      </c>
      <c r="G693" s="2022">
        <v>1231.58</v>
      </c>
      <c r="H693" s="2022">
        <v>0</v>
      </c>
      <c r="I693" s="2011">
        <f t="shared" si="19"/>
        <v>0</v>
      </c>
      <c r="J693" s="2022"/>
      <c r="K693" s="2463"/>
      <c r="AV693" s="2558">
        <v>-1231.58</v>
      </c>
    </row>
    <row r="694" spans="1:89" x14ac:dyDescent="0.2">
      <c r="A694" s="2020" t="s">
        <v>4698</v>
      </c>
      <c r="B694" s="2020" t="s">
        <v>6335</v>
      </c>
      <c r="C694" s="2022">
        <v>0</v>
      </c>
      <c r="D694" s="2022">
        <f>24517.68+AV694</f>
        <v>0</v>
      </c>
      <c r="E694" s="2022">
        <v>0</v>
      </c>
      <c r="F694" s="2022">
        <v>0</v>
      </c>
      <c r="G694" s="2022">
        <v>24517.68</v>
      </c>
      <c r="H694" s="2022">
        <v>0</v>
      </c>
      <c r="I694" s="2011">
        <f t="shared" si="19"/>
        <v>0</v>
      </c>
      <c r="J694" s="2022"/>
      <c r="K694" s="2463"/>
      <c r="AV694" s="2558">
        <v>-24517.68</v>
      </c>
    </row>
    <row r="695" spans="1:89" x14ac:dyDescent="0.2">
      <c r="A695" s="2020" t="s">
        <v>4701</v>
      </c>
      <c r="B695" s="2020" t="s">
        <v>6336</v>
      </c>
      <c r="C695" s="2022">
        <v>0</v>
      </c>
      <c r="D695" s="2022">
        <f>1002705.54+AV695</f>
        <v>0</v>
      </c>
      <c r="E695" s="2022">
        <v>0</v>
      </c>
      <c r="F695" s="2022">
        <v>0</v>
      </c>
      <c r="G695" s="2022">
        <v>1002705.54</v>
      </c>
      <c r="H695" s="2022">
        <v>0</v>
      </c>
      <c r="I695" s="2011">
        <f t="shared" si="19"/>
        <v>0</v>
      </c>
      <c r="J695" s="2022"/>
      <c r="K695" s="2463"/>
      <c r="AV695" s="2558">
        <v>-1002705.54</v>
      </c>
    </row>
    <row r="696" spans="1:89" x14ac:dyDescent="0.2">
      <c r="A696" s="2020" t="s">
        <v>4704</v>
      </c>
      <c r="B696" s="2020" t="s">
        <v>6337</v>
      </c>
      <c r="C696" s="2022">
        <v>0</v>
      </c>
      <c r="D696" s="2022">
        <f>19790250.27+AV696</f>
        <v>0</v>
      </c>
      <c r="E696" s="2022">
        <v>0</v>
      </c>
      <c r="F696" s="2022">
        <v>0</v>
      </c>
      <c r="G696" s="2022">
        <v>19790250.27</v>
      </c>
      <c r="H696" s="2022">
        <v>0</v>
      </c>
      <c r="I696" s="2011">
        <f t="shared" si="19"/>
        <v>0</v>
      </c>
      <c r="J696" s="2022"/>
      <c r="K696" s="2463"/>
      <c r="AV696" s="2558">
        <v>-19790250.27</v>
      </c>
    </row>
    <row r="697" spans="1:89" x14ac:dyDescent="0.2">
      <c r="A697" s="2020" t="s">
        <v>4707</v>
      </c>
      <c r="B697" s="2020" t="s">
        <v>6338</v>
      </c>
      <c r="C697" s="2022">
        <v>0</v>
      </c>
      <c r="D697" s="2022">
        <f>3009493.17+AV697</f>
        <v>0</v>
      </c>
      <c r="E697" s="2022">
        <v>0</v>
      </c>
      <c r="F697" s="2022">
        <v>0</v>
      </c>
      <c r="G697" s="2022">
        <v>3009493.17</v>
      </c>
      <c r="H697" s="2022">
        <v>0</v>
      </c>
      <c r="I697" s="2011">
        <f t="shared" si="19"/>
        <v>0</v>
      </c>
      <c r="J697" s="2022"/>
      <c r="K697" s="2463"/>
      <c r="AV697" s="2558">
        <v>-3009493.17</v>
      </c>
    </row>
    <row r="698" spans="1:89" x14ac:dyDescent="0.2">
      <c r="A698" s="2020" t="s">
        <v>4710</v>
      </c>
      <c r="B698" s="2020" t="s">
        <v>6339</v>
      </c>
      <c r="C698" s="2022">
        <v>0</v>
      </c>
      <c r="D698" s="2022">
        <f>2101559.01+AV698</f>
        <v>18341175</v>
      </c>
      <c r="E698" s="2022">
        <v>0</v>
      </c>
      <c r="F698" s="2022">
        <v>0</v>
      </c>
      <c r="G698" s="2022">
        <v>2101559.0099999998</v>
      </c>
      <c r="H698" s="2022">
        <v>0</v>
      </c>
      <c r="I698" s="2011">
        <f t="shared" si="19"/>
        <v>18341175</v>
      </c>
      <c r="J698" s="2022"/>
      <c r="K698" s="2463"/>
      <c r="AV698" s="2558">
        <v>16239615.99</v>
      </c>
    </row>
    <row r="699" spans="1:89" s="2100" customFormat="1" x14ac:dyDescent="0.2">
      <c r="A699" s="1127" t="s">
        <v>4712</v>
      </c>
      <c r="C699" s="2022">
        <v>0</v>
      </c>
      <c r="D699" s="2022">
        <f>AV699</f>
        <v>-6895363</v>
      </c>
      <c r="E699" s="2022">
        <v>0</v>
      </c>
      <c r="F699" s="2022">
        <f>AZ699</f>
        <v>-285501.53000000003</v>
      </c>
      <c r="G699" s="2022">
        <v>2101559.0099999998</v>
      </c>
      <c r="H699" s="2022">
        <v>0</v>
      </c>
      <c r="I699" s="2011">
        <f t="shared" ref="I699" si="23">SUM(D699:F699)</f>
        <v>-7180864.5300000003</v>
      </c>
      <c r="J699" s="2022"/>
      <c r="K699" s="2463"/>
      <c r="L699" s="2022"/>
      <c r="M699" s="2022"/>
      <c r="N699" s="2022"/>
      <c r="O699" s="2022"/>
      <c r="P699" s="2022"/>
      <c r="Q699" s="2022"/>
      <c r="R699" s="2022"/>
      <c r="S699" s="2022"/>
      <c r="T699" s="2022"/>
      <c r="U699" s="2022"/>
      <c r="V699" s="2022"/>
      <c r="W699" s="2022"/>
      <c r="X699" s="2022"/>
      <c r="Y699" s="2022"/>
      <c r="Z699" s="2022"/>
      <c r="AA699" s="2022"/>
      <c r="AB699" s="2022"/>
      <c r="AC699" s="2022"/>
      <c r="AD699" s="2022"/>
      <c r="AE699" s="2022"/>
      <c r="AF699" s="2022"/>
      <c r="AG699" s="2022"/>
      <c r="AH699" s="2022"/>
      <c r="AI699" s="2022"/>
      <c r="AJ699" s="2022"/>
      <c r="AK699" s="2022"/>
      <c r="AL699" s="2022"/>
      <c r="AM699" s="2022"/>
      <c r="AN699" s="2022"/>
      <c r="AO699" s="2022"/>
      <c r="AP699" s="2022"/>
      <c r="AQ699" s="2022"/>
      <c r="AR699" s="2022"/>
      <c r="AS699" s="2022"/>
      <c r="AT699" s="2022"/>
      <c r="AU699" s="2022"/>
      <c r="AV699" s="2558">
        <v>-6895363</v>
      </c>
      <c r="AW699" s="2022"/>
      <c r="AX699" s="2022"/>
      <c r="AY699" s="2022"/>
      <c r="AZ699" s="2022">
        <v>-285501.53000000003</v>
      </c>
      <c r="BA699" s="2022"/>
      <c r="BB699" s="2022"/>
      <c r="BC699" s="2022"/>
      <c r="BD699" s="2022"/>
      <c r="BE699" s="2022"/>
      <c r="BF699" s="2022"/>
      <c r="BG699" s="2022"/>
      <c r="BH699" s="2022"/>
      <c r="BI699" s="2728"/>
      <c r="BJ699" s="2728"/>
      <c r="BK699" s="2728"/>
      <c r="BL699" s="2728"/>
      <c r="BM699" s="2728"/>
      <c r="BN699" s="2728"/>
      <c r="BO699" s="2728"/>
      <c r="BP699" s="2728"/>
      <c r="BQ699" s="2728"/>
      <c r="BR699" s="2728"/>
      <c r="BS699" s="2632"/>
      <c r="BT699" s="2632"/>
      <c r="BU699" s="2728"/>
      <c r="BV699" s="2728"/>
      <c r="BW699" s="2632"/>
      <c r="BX699" s="2632"/>
      <c r="BY699" s="2632"/>
      <c r="BZ699" s="2632"/>
      <c r="CA699" s="2632"/>
      <c r="CB699" s="2728"/>
      <c r="CC699" s="2632"/>
      <c r="CD699" s="2632"/>
      <c r="CE699" s="2632"/>
      <c r="CF699" s="2632"/>
      <c r="CG699" s="2728"/>
      <c r="CH699" s="2728"/>
      <c r="CI699" s="2632"/>
      <c r="CJ699" s="2632"/>
      <c r="CK699" s="2632"/>
    </row>
    <row r="700" spans="1:89" s="2100" customFormat="1" x14ac:dyDescent="0.2">
      <c r="A700" s="1127" t="s">
        <v>4713</v>
      </c>
      <c r="C700" s="2022"/>
      <c r="D700" s="2022">
        <f>AV700</f>
        <v>534123.09</v>
      </c>
      <c r="E700" s="2022">
        <v>0</v>
      </c>
      <c r="F700" s="2022">
        <f>AZ700</f>
        <v>0</v>
      </c>
      <c r="G700" s="2022">
        <v>2101559.0099999998</v>
      </c>
      <c r="H700" s="2022">
        <v>0</v>
      </c>
      <c r="I700" s="2011">
        <f t="shared" ref="I700:I701" si="24">SUM(D700:F700)</f>
        <v>534123.09</v>
      </c>
      <c r="J700" s="2022"/>
      <c r="K700" s="2463"/>
      <c r="L700" s="2022"/>
      <c r="M700" s="2022"/>
      <c r="N700" s="2022"/>
      <c r="O700" s="2022"/>
      <c r="P700" s="2022"/>
      <c r="Q700" s="2022"/>
      <c r="R700" s="2022"/>
      <c r="S700" s="2022"/>
      <c r="T700" s="2022"/>
      <c r="U700" s="2022"/>
      <c r="V700" s="2022"/>
      <c r="W700" s="2022"/>
      <c r="X700" s="2022"/>
      <c r="Y700" s="2022"/>
      <c r="Z700" s="2022"/>
      <c r="AA700" s="2022"/>
      <c r="AB700" s="2022"/>
      <c r="AC700" s="2022"/>
      <c r="AD700" s="2022"/>
      <c r="AE700" s="2022"/>
      <c r="AF700" s="2022"/>
      <c r="AG700" s="2022"/>
      <c r="AH700" s="2022"/>
      <c r="AI700" s="2022"/>
      <c r="AJ700" s="2022"/>
      <c r="AK700" s="2022"/>
      <c r="AL700" s="2022"/>
      <c r="AM700" s="2022"/>
      <c r="AN700" s="2022"/>
      <c r="AO700" s="2022"/>
      <c r="AP700" s="2022"/>
      <c r="AQ700" s="2022"/>
      <c r="AR700" s="2022"/>
      <c r="AS700" s="2022"/>
      <c r="AT700" s="2022"/>
      <c r="AU700" s="2022"/>
      <c r="AV700" s="2558">
        <v>534123.09</v>
      </c>
      <c r="AW700" s="2022"/>
      <c r="AX700" s="2022"/>
      <c r="AY700" s="2022"/>
      <c r="AZ700" s="2022"/>
      <c r="BA700" s="2022"/>
      <c r="BB700" s="2022"/>
      <c r="BC700" s="2022"/>
      <c r="BD700" s="2022"/>
      <c r="BE700" s="2022"/>
      <c r="BF700" s="2022"/>
      <c r="BG700" s="2022"/>
      <c r="BH700" s="2022"/>
      <c r="BI700" s="2728"/>
      <c r="BJ700" s="2728"/>
      <c r="BK700" s="2728"/>
      <c r="BL700" s="2728"/>
      <c r="BM700" s="2728"/>
      <c r="BN700" s="2728"/>
      <c r="BO700" s="2728"/>
      <c r="BP700" s="2728"/>
      <c r="BQ700" s="2728"/>
      <c r="BR700" s="2728"/>
      <c r="BS700" s="2632"/>
      <c r="BT700" s="2632"/>
      <c r="BU700" s="2728"/>
      <c r="BV700" s="2728"/>
      <c r="BW700" s="2632"/>
      <c r="BX700" s="2632"/>
      <c r="BY700" s="2632"/>
      <c r="BZ700" s="2632"/>
      <c r="CA700" s="2632"/>
      <c r="CB700" s="2728"/>
      <c r="CC700" s="2632"/>
      <c r="CD700" s="2632"/>
      <c r="CE700" s="2632"/>
      <c r="CF700" s="2632"/>
      <c r="CG700" s="2728"/>
      <c r="CH700" s="2728"/>
      <c r="CI700" s="2632"/>
      <c r="CJ700" s="2632"/>
      <c r="CK700" s="2632"/>
    </row>
    <row r="701" spans="1:89" s="2100" customFormat="1" x14ac:dyDescent="0.2">
      <c r="A701" s="1127" t="s">
        <v>4715</v>
      </c>
      <c r="C701" s="2022"/>
      <c r="D701" s="2022">
        <f>BS701</f>
        <v>4215670</v>
      </c>
      <c r="E701" s="2022">
        <f>BE701+BJ701</f>
        <v>40592000</v>
      </c>
      <c r="F701" s="2022">
        <f>BL701+BT701</f>
        <v>-40592000</v>
      </c>
      <c r="G701" s="2022"/>
      <c r="H701" s="2022"/>
      <c r="I701" s="2011">
        <f t="shared" si="24"/>
        <v>4215670</v>
      </c>
      <c r="J701" s="2022"/>
      <c r="K701" s="2463"/>
      <c r="L701" s="2022"/>
      <c r="M701" s="2022"/>
      <c r="N701" s="2022"/>
      <c r="O701" s="2022"/>
      <c r="P701" s="2022"/>
      <c r="Q701" s="2022"/>
      <c r="R701" s="2022"/>
      <c r="S701" s="2022"/>
      <c r="T701" s="2022"/>
      <c r="U701" s="2022"/>
      <c r="V701" s="2022"/>
      <c r="W701" s="2022"/>
      <c r="X701" s="2022"/>
      <c r="Y701" s="2022"/>
      <c r="Z701" s="2022"/>
      <c r="AA701" s="2022"/>
      <c r="AB701" s="2022"/>
      <c r="AC701" s="2022"/>
      <c r="AD701" s="2022"/>
      <c r="AE701" s="2022"/>
      <c r="AF701" s="2022"/>
      <c r="AG701" s="2022"/>
      <c r="AH701" s="2022"/>
      <c r="AI701" s="2022"/>
      <c r="AJ701" s="2022"/>
      <c r="AK701" s="2022"/>
      <c r="AL701" s="2022"/>
      <c r="AM701" s="2022"/>
      <c r="AN701" s="2022"/>
      <c r="AO701" s="2022"/>
      <c r="AP701" s="2022"/>
      <c r="AQ701" s="2022"/>
      <c r="AR701" s="2022"/>
      <c r="AS701" s="2022"/>
      <c r="AT701" s="2022"/>
      <c r="AU701" s="2022"/>
      <c r="AV701" s="2558"/>
      <c r="AW701" s="2022"/>
      <c r="AX701" s="2022"/>
      <c r="AY701" s="2022"/>
      <c r="AZ701" s="2022"/>
      <c r="BA701" s="2022"/>
      <c r="BB701" s="2022"/>
      <c r="BC701" s="2022"/>
      <c r="BD701" s="2022"/>
      <c r="BE701" s="2022">
        <v>25132064</v>
      </c>
      <c r="BF701" s="2022"/>
      <c r="BG701" s="2022"/>
      <c r="BH701" s="2022"/>
      <c r="BI701" s="2632"/>
      <c r="BJ701" s="2728">
        <v>15459936</v>
      </c>
      <c r="BK701" s="2728"/>
      <c r="BL701" s="2728">
        <v>-36376330</v>
      </c>
      <c r="BM701" s="2728"/>
      <c r="BN701" s="2728"/>
      <c r="BO701" s="2728"/>
      <c r="BP701" s="2728"/>
      <c r="BQ701" s="2728"/>
      <c r="BR701" s="2728"/>
      <c r="BS701" s="2754">
        <v>4215670</v>
      </c>
      <c r="BT701" s="2754">
        <v>-4215670</v>
      </c>
      <c r="BU701" s="2728"/>
      <c r="BV701" s="2728"/>
      <c r="BW701" s="2632"/>
      <c r="BX701" s="2632"/>
      <c r="BY701" s="2632"/>
      <c r="BZ701" s="2632"/>
      <c r="CA701" s="2632"/>
      <c r="CB701" s="2728"/>
      <c r="CC701" s="2632"/>
      <c r="CD701" s="2632"/>
      <c r="CE701" s="2632"/>
      <c r="CF701" s="2632"/>
      <c r="CG701" s="2728"/>
      <c r="CH701" s="2728"/>
      <c r="CI701" s="2632"/>
      <c r="CJ701" s="2632"/>
      <c r="CK701" s="2632"/>
    </row>
    <row r="702" spans="1:89" x14ac:dyDescent="0.2">
      <c r="A702" s="2020" t="s">
        <v>4734</v>
      </c>
      <c r="B702" s="2020" t="s">
        <v>6340</v>
      </c>
      <c r="C702" s="2022">
        <v>0</v>
      </c>
      <c r="D702" s="2022">
        <v>88840.25</v>
      </c>
      <c r="E702" s="2022">
        <f>AF702</f>
        <v>1809699.59</v>
      </c>
      <c r="F702" s="2022">
        <v>-1807046.89</v>
      </c>
      <c r="G702" s="2022">
        <v>0</v>
      </c>
      <c r="H702" s="2022">
        <v>-1718206.64</v>
      </c>
      <c r="I702" s="2011">
        <f t="shared" si="19"/>
        <v>91492.950000000186</v>
      </c>
      <c r="J702" s="2022"/>
      <c r="K702" s="2463"/>
      <c r="AF702" s="2022">
        <v>1809699.59</v>
      </c>
    </row>
    <row r="703" spans="1:89" x14ac:dyDescent="0.2">
      <c r="A703" s="2020" t="s">
        <v>4736</v>
      </c>
      <c r="B703" s="2020" t="s">
        <v>6341</v>
      </c>
      <c r="C703" s="2022">
        <v>0</v>
      </c>
      <c r="D703" s="2022">
        <v>277.87</v>
      </c>
      <c r="E703" s="2022">
        <f>AF703</f>
        <v>3.73</v>
      </c>
      <c r="F703" s="2022">
        <v>0</v>
      </c>
      <c r="G703" s="2022">
        <v>277.87</v>
      </c>
      <c r="H703" s="2022">
        <v>0</v>
      </c>
      <c r="I703" s="2011">
        <f t="shared" si="19"/>
        <v>281.60000000000002</v>
      </c>
      <c r="J703" s="2022"/>
      <c r="K703" s="2463"/>
      <c r="AF703" s="2022">
        <v>3.73</v>
      </c>
    </row>
    <row r="704" spans="1:89" x14ac:dyDescent="0.2">
      <c r="A704" s="2020" t="s">
        <v>4738</v>
      </c>
      <c r="B704" s="2020" t="s">
        <v>6342</v>
      </c>
      <c r="C704" s="2022">
        <v>0</v>
      </c>
      <c r="D704" s="2022">
        <v>1628.34</v>
      </c>
      <c r="E704" s="2022">
        <v>0</v>
      </c>
      <c r="F704" s="2022">
        <f>AF704</f>
        <v>-69.41</v>
      </c>
      <c r="G704" s="2022">
        <v>1628.34</v>
      </c>
      <c r="H704" s="2022">
        <v>0</v>
      </c>
      <c r="I704" s="2011">
        <f t="shared" si="19"/>
        <v>1558.9299999999998</v>
      </c>
      <c r="J704" s="2022"/>
      <c r="K704" s="2463"/>
      <c r="AF704" s="2022">
        <v>-69.41</v>
      </c>
    </row>
    <row r="705" spans="1:80" x14ac:dyDescent="0.2">
      <c r="A705" s="2020" t="s">
        <v>4740</v>
      </c>
      <c r="B705" s="2020" t="s">
        <v>6343</v>
      </c>
      <c r="C705" s="2022">
        <v>0</v>
      </c>
      <c r="D705" s="2022">
        <v>31640.080000000002</v>
      </c>
      <c r="E705" s="2022">
        <f>18809000</f>
        <v>18809000</v>
      </c>
      <c r="F705" s="2022">
        <f>AF705</f>
        <v>-18839609.600000001</v>
      </c>
      <c r="G705" s="2022">
        <v>31640.080000000002</v>
      </c>
      <c r="H705" s="2022">
        <v>0</v>
      </c>
      <c r="I705" s="2011">
        <f t="shared" si="19"/>
        <v>1030.4799999967217</v>
      </c>
      <c r="J705" s="2022"/>
      <c r="K705" s="2463"/>
      <c r="AF705" s="2022">
        <v>-18839609.600000001</v>
      </c>
    </row>
    <row r="706" spans="1:80" x14ac:dyDescent="0.2">
      <c r="A706" s="2020" t="s">
        <v>4742</v>
      </c>
      <c r="B706" s="2020" t="s">
        <v>6344</v>
      </c>
      <c r="C706" s="2022">
        <v>0</v>
      </c>
      <c r="D706" s="2022">
        <v>56189.57</v>
      </c>
      <c r="E706" s="2022">
        <v>0</v>
      </c>
      <c r="F706" s="2022">
        <v>0</v>
      </c>
      <c r="G706" s="2022">
        <v>56189.57</v>
      </c>
      <c r="H706" s="2022">
        <v>0</v>
      </c>
      <c r="I706" s="2011">
        <f t="shared" si="19"/>
        <v>56189.57</v>
      </c>
      <c r="J706" s="2022"/>
      <c r="K706" s="2463"/>
    </row>
    <row r="707" spans="1:80" x14ac:dyDescent="0.2">
      <c r="A707" s="2020" t="s">
        <v>4744</v>
      </c>
      <c r="B707" s="2020" t="s">
        <v>6345</v>
      </c>
      <c r="C707" s="2022">
        <v>0</v>
      </c>
      <c r="D707" s="2022">
        <v>120653</v>
      </c>
      <c r="E707" s="2022">
        <v>0</v>
      </c>
      <c r="F707" s="2022">
        <v>0</v>
      </c>
      <c r="G707" s="2022">
        <v>120653</v>
      </c>
      <c r="H707" s="2022">
        <v>0</v>
      </c>
      <c r="I707" s="2011">
        <f t="shared" si="19"/>
        <v>120653</v>
      </c>
      <c r="J707" s="2022"/>
      <c r="K707" s="2463"/>
    </row>
    <row r="708" spans="1:80" x14ac:dyDescent="0.2">
      <c r="A708" s="2020" t="s">
        <v>4746</v>
      </c>
      <c r="B708" s="2020" t="s">
        <v>6346</v>
      </c>
      <c r="C708" s="2022">
        <v>0</v>
      </c>
      <c r="D708" s="2022">
        <v>33650.5</v>
      </c>
      <c r="E708" s="2022">
        <f>Y708</f>
        <v>6738.38</v>
      </c>
      <c r="F708" s="2022">
        <v>0</v>
      </c>
      <c r="G708" s="2022">
        <v>33650.5</v>
      </c>
      <c r="H708" s="2022">
        <v>0</v>
      </c>
      <c r="I708" s="2011">
        <f t="shared" si="19"/>
        <v>40388.879999999997</v>
      </c>
      <c r="J708" s="2022"/>
      <c r="K708" s="2463"/>
      <c r="Y708" s="2022">
        <v>6738.38</v>
      </c>
    </row>
    <row r="709" spans="1:80" x14ac:dyDescent="0.2">
      <c r="A709" s="2020" t="s">
        <v>4748</v>
      </c>
      <c r="B709" s="2020" t="s">
        <v>6347</v>
      </c>
      <c r="C709" s="2022">
        <v>0</v>
      </c>
      <c r="D709" s="2022">
        <v>62175</v>
      </c>
      <c r="E709" s="2022">
        <f>Y709</f>
        <v>10095.92</v>
      </c>
      <c r="F709" s="2022">
        <v>0</v>
      </c>
      <c r="G709" s="2022">
        <v>62175</v>
      </c>
      <c r="H709" s="2022">
        <v>0</v>
      </c>
      <c r="I709" s="2011">
        <f t="shared" si="19"/>
        <v>72270.92</v>
      </c>
      <c r="J709" s="2022"/>
      <c r="K709" s="2463"/>
      <c r="Y709" s="2022">
        <v>10095.92</v>
      </c>
    </row>
    <row r="710" spans="1:80" x14ac:dyDescent="0.2">
      <c r="A710" s="2020" t="s">
        <v>4750</v>
      </c>
      <c r="B710" s="2020" t="s">
        <v>6348</v>
      </c>
      <c r="C710" s="2022">
        <v>0</v>
      </c>
      <c r="D710" s="2022">
        <v>585000</v>
      </c>
      <c r="E710" s="2022">
        <v>0</v>
      </c>
      <c r="F710" s="2022">
        <f>T710</f>
        <v>-154320</v>
      </c>
      <c r="G710" s="2022">
        <v>585000</v>
      </c>
      <c r="H710" s="2022">
        <v>0</v>
      </c>
      <c r="I710" s="2011">
        <f t="shared" si="19"/>
        <v>430680</v>
      </c>
      <c r="J710" s="2022"/>
      <c r="K710" s="2463"/>
      <c r="T710" s="2022">
        <f>430680-585000</f>
        <v>-154320</v>
      </c>
    </row>
    <row r="711" spans="1:80" x14ac:dyDescent="0.2">
      <c r="A711" s="1127" t="s">
        <v>4755</v>
      </c>
      <c r="B711" s="2020" t="s">
        <v>6349</v>
      </c>
      <c r="C711" s="2022">
        <v>0</v>
      </c>
      <c r="D711" s="2022">
        <v>2510796.9300000002</v>
      </c>
      <c r="E711" s="2022">
        <v>164.43</v>
      </c>
      <c r="F711" s="2022">
        <f>-29642.65+N711</f>
        <v>-86937.599999999249</v>
      </c>
      <c r="G711" s="2022">
        <v>2481318.71</v>
      </c>
      <c r="H711" s="2022">
        <v>0</v>
      </c>
      <c r="I711" s="2011">
        <f t="shared" si="19"/>
        <v>2424023.7600000012</v>
      </c>
      <c r="J711" s="2022"/>
      <c r="K711" s="2463"/>
      <c r="N711" s="2022">
        <f>17858017.05-17915312</f>
        <v>-57294.949999999255</v>
      </c>
    </row>
    <row r="712" spans="1:80" x14ac:dyDescent="0.2">
      <c r="A712" s="2020" t="s">
        <v>4758</v>
      </c>
      <c r="B712" s="2020" t="s">
        <v>6350</v>
      </c>
      <c r="C712" s="2022">
        <v>0</v>
      </c>
      <c r="D712" s="2022">
        <f>-42166845.71+BU712</f>
        <v>-42303021.899999999</v>
      </c>
      <c r="E712" s="2022">
        <f>CB712</f>
        <v>16858903.460000001</v>
      </c>
      <c r="F712" s="2022">
        <f>M712+BV712</f>
        <v>-47832103.059999995</v>
      </c>
      <c r="G712" s="2022">
        <v>0</v>
      </c>
      <c r="H712" s="2022">
        <v>-42166845.710000001</v>
      </c>
      <c r="I712" s="2011">
        <f>SUM(D712:F712)</f>
        <v>-73276221.5</v>
      </c>
      <c r="J712" s="2022"/>
      <c r="K712" s="2463"/>
      <c r="M712" s="2022">
        <f>-(89793447.07+D712)</f>
        <v>-47490425.169999994</v>
      </c>
      <c r="BU712" s="2728">
        <v>-136176.19</v>
      </c>
      <c r="BV712" s="2728">
        <v>-341677.89</v>
      </c>
      <c r="CB712" s="2728">
        <v>16858903.460000001</v>
      </c>
    </row>
    <row r="713" spans="1:80" x14ac:dyDescent="0.2">
      <c r="A713" s="2020" t="s">
        <v>4760</v>
      </c>
      <c r="B713" s="2020" t="s">
        <v>6351</v>
      </c>
      <c r="C713" s="2022">
        <v>0</v>
      </c>
      <c r="D713" s="2022">
        <v>421097.62</v>
      </c>
      <c r="E713" s="2022">
        <v>0</v>
      </c>
      <c r="F713" s="2022">
        <v>0</v>
      </c>
      <c r="G713" s="2022">
        <v>421097.62</v>
      </c>
      <c r="H713" s="2022">
        <v>0</v>
      </c>
      <c r="I713" s="2011">
        <f t="shared" si="19"/>
        <v>421097.62</v>
      </c>
      <c r="J713" s="2022"/>
      <c r="K713" s="2463"/>
    </row>
    <row r="714" spans="1:80" x14ac:dyDescent="0.2">
      <c r="A714" s="2020" t="s">
        <v>4762</v>
      </c>
      <c r="B714" s="2020" t="s">
        <v>6352</v>
      </c>
      <c r="C714" s="2022">
        <v>0</v>
      </c>
      <c r="D714" s="2022">
        <f>170683.16+BU714</f>
        <v>540134.42000000004</v>
      </c>
      <c r="E714" s="2022">
        <f>L714+BV714</f>
        <v>243952.57</v>
      </c>
      <c r="F714" s="2022">
        <f>-2397.28+N714</f>
        <v>-4097.0800000000181</v>
      </c>
      <c r="G714" s="2022">
        <v>168285.88</v>
      </c>
      <c r="H714" s="2022">
        <v>0</v>
      </c>
      <c r="I714" s="2011">
        <f t="shared" si="19"/>
        <v>779989.90999999992</v>
      </c>
      <c r="J714" s="2022"/>
      <c r="K714" s="2463"/>
      <c r="L714" s="2022">
        <v>1329.5</v>
      </c>
      <c r="N714" s="2022">
        <f>167915.58-169615.38</f>
        <v>-1699.8000000000175</v>
      </c>
      <c r="BU714" s="2728">
        <v>369451.26</v>
      </c>
      <c r="BV714" s="2728">
        <v>242623.07</v>
      </c>
    </row>
    <row r="715" spans="1:80" x14ac:dyDescent="0.2">
      <c r="A715" s="2020" t="s">
        <v>4764</v>
      </c>
      <c r="B715" s="2020" t="s">
        <v>6353</v>
      </c>
      <c r="C715" s="2022">
        <v>0</v>
      </c>
      <c r="D715" s="2022">
        <v>4588917.53</v>
      </c>
      <c r="E715" s="2022">
        <f>1249770+BM715</f>
        <v>1249770</v>
      </c>
      <c r="F715" s="2022">
        <f>-214503.6+BN715</f>
        <v>-214503.6</v>
      </c>
      <c r="G715" s="2022">
        <v>5624183.9299999997</v>
      </c>
      <c r="H715" s="2022">
        <v>0</v>
      </c>
      <c r="I715" s="2011">
        <f t="shared" si="19"/>
        <v>5624183.9300000006</v>
      </c>
      <c r="J715" s="2022"/>
      <c r="K715" s="2463"/>
    </row>
    <row r="716" spans="1:80" x14ac:dyDescent="0.2">
      <c r="A716" s="2020" t="s">
        <v>4766</v>
      </c>
      <c r="B716" s="2020" t="s">
        <v>6354</v>
      </c>
      <c r="C716" s="2022">
        <v>0</v>
      </c>
      <c r="D716" s="2022">
        <v>1459.56</v>
      </c>
      <c r="E716" s="2022">
        <f>L716</f>
        <v>33376.94</v>
      </c>
      <c r="F716" s="2022">
        <v>0</v>
      </c>
      <c r="G716" s="2022">
        <v>1459.56</v>
      </c>
      <c r="H716" s="2022">
        <v>0</v>
      </c>
      <c r="I716" s="2011">
        <f t="shared" si="19"/>
        <v>34836.5</v>
      </c>
      <c r="J716" s="2022"/>
      <c r="K716" s="2463"/>
      <c r="L716" s="2022">
        <v>33376.94</v>
      </c>
    </row>
    <row r="717" spans="1:80" x14ac:dyDescent="0.2">
      <c r="A717" s="2020" t="s">
        <v>4768</v>
      </c>
      <c r="B717" s="2020" t="s">
        <v>6355</v>
      </c>
      <c r="C717" s="2022">
        <v>0</v>
      </c>
      <c r="D717" s="2022">
        <v>16826.5</v>
      </c>
      <c r="E717" s="2022">
        <v>28705.8</v>
      </c>
      <c r="F717" s="2022">
        <v>-17691.39</v>
      </c>
      <c r="G717" s="2022">
        <v>27840.91</v>
      </c>
      <c r="H717" s="2022">
        <v>0</v>
      </c>
      <c r="I717" s="2011">
        <f t="shared" si="19"/>
        <v>27840.910000000003</v>
      </c>
      <c r="J717" s="2022"/>
      <c r="K717" s="2463"/>
    </row>
    <row r="718" spans="1:80" x14ac:dyDescent="0.2">
      <c r="A718" s="2020" t="s">
        <v>4770</v>
      </c>
      <c r="B718" s="2020" t="s">
        <v>6356</v>
      </c>
      <c r="C718" s="2022">
        <v>0</v>
      </c>
      <c r="D718" s="2022">
        <v>4126580.5</v>
      </c>
      <c r="E718" s="2022">
        <f>9568046.65+L718+N718</f>
        <v>10159794.59</v>
      </c>
      <c r="F718" s="2022">
        <v>-7688907.6600000001</v>
      </c>
      <c r="G718" s="2022">
        <v>6005719.4900000002</v>
      </c>
      <c r="H718" s="2022">
        <v>0</v>
      </c>
      <c r="I718" s="2011">
        <f t="shared" si="19"/>
        <v>6597467.4299999997</v>
      </c>
      <c r="J718" s="2022"/>
      <c r="K718" s="2463"/>
      <c r="L718" s="2022">
        <v>222876</v>
      </c>
      <c r="N718" s="2022">
        <f>6597467.43-6228595.49</f>
        <v>368871.93999999948</v>
      </c>
    </row>
    <row r="719" spans="1:80" x14ac:dyDescent="0.2">
      <c r="A719" s="2020" t="s">
        <v>4772</v>
      </c>
      <c r="B719" s="2020" t="s">
        <v>6357</v>
      </c>
      <c r="C719" s="2022">
        <v>0</v>
      </c>
      <c r="D719" s="2022">
        <v>6526920.75</v>
      </c>
      <c r="E719" s="2022">
        <f>5138185.5+L719+N719+BM719</f>
        <v>5167782.8899999997</v>
      </c>
      <c r="F719" s="2022">
        <f>-1000490.07+BN719</f>
        <v>-1000490.07</v>
      </c>
      <c r="G719" s="2022">
        <v>10664616.18</v>
      </c>
      <c r="H719" s="2022">
        <v>0</v>
      </c>
      <c r="I719" s="2011">
        <f t="shared" si="19"/>
        <v>10694213.57</v>
      </c>
      <c r="J719" s="2022"/>
      <c r="K719" s="2463"/>
      <c r="L719" s="2022">
        <v>21026.21</v>
      </c>
      <c r="N719" s="2022">
        <f>10694213.57-10685642.39</f>
        <v>8571.179999999702</v>
      </c>
    </row>
    <row r="720" spans="1:80" x14ac:dyDescent="0.2">
      <c r="A720" s="2020" t="s">
        <v>4774</v>
      </c>
      <c r="B720" s="2020" t="s">
        <v>6358</v>
      </c>
      <c r="C720" s="2022">
        <v>0</v>
      </c>
      <c r="D720" s="2022">
        <v>544619.55000000005</v>
      </c>
      <c r="E720" s="2022">
        <f>327218.25+L720+N720+BM720</f>
        <v>377524.54999999993</v>
      </c>
      <c r="F720" s="2022">
        <f>-225040.65+BN720</f>
        <v>-225040.65</v>
      </c>
      <c r="G720" s="2022">
        <v>646797.15</v>
      </c>
      <c r="H720" s="2022">
        <v>0</v>
      </c>
      <c r="I720" s="2011">
        <f t="shared" si="19"/>
        <v>697103.45</v>
      </c>
      <c r="J720" s="2022"/>
      <c r="K720" s="2463"/>
      <c r="L720" s="2022">
        <v>13754.64</v>
      </c>
      <c r="N720" s="2022">
        <f>697103.45-660551.79</f>
        <v>36551.659999999916</v>
      </c>
    </row>
    <row r="721" spans="1:89" x14ac:dyDescent="0.2">
      <c r="A721" s="2020" t="s">
        <v>4776</v>
      </c>
      <c r="B721" s="2020" t="s">
        <v>6359</v>
      </c>
      <c r="C721" s="2022">
        <v>0</v>
      </c>
      <c r="D721" s="2022">
        <v>9386734.0399999991</v>
      </c>
      <c r="E721" s="2022">
        <v>357.2</v>
      </c>
      <c r="F721" s="2022">
        <v>-61057.279999999999</v>
      </c>
      <c r="G721" s="2022">
        <v>9326033.9600000009</v>
      </c>
      <c r="H721" s="2022">
        <v>0</v>
      </c>
      <c r="I721" s="2011">
        <f t="shared" si="19"/>
        <v>9326033.959999999</v>
      </c>
      <c r="J721" s="2022"/>
      <c r="K721" s="2463"/>
    </row>
    <row r="722" spans="1:89" x14ac:dyDescent="0.2">
      <c r="A722" s="2020" t="s">
        <v>4778</v>
      </c>
      <c r="B722" s="2020" t="s">
        <v>6337</v>
      </c>
      <c r="C722" s="2022">
        <v>0</v>
      </c>
      <c r="D722" s="2022">
        <v>8350622.5999999996</v>
      </c>
      <c r="E722" s="2022">
        <f>7681799.95+L722</f>
        <v>7754180.0700000003</v>
      </c>
      <c r="F722" s="2022">
        <f>-2193491.68+N722</f>
        <v>-2201861.4499999997</v>
      </c>
      <c r="G722" s="2022">
        <v>13838930.869999999</v>
      </c>
      <c r="H722" s="2022">
        <v>0</v>
      </c>
      <c r="I722" s="2011">
        <f t="shared" si="19"/>
        <v>13902941.220000001</v>
      </c>
      <c r="J722" s="2022"/>
      <c r="K722" s="2463"/>
      <c r="L722" s="2022">
        <v>72380.12</v>
      </c>
      <c r="N722" s="2022">
        <f>13902941.22-13911310.99</f>
        <v>-8369.769999999553</v>
      </c>
    </row>
    <row r="723" spans="1:89" x14ac:dyDescent="0.2">
      <c r="A723" s="2020" t="s">
        <v>4779</v>
      </c>
      <c r="B723" s="2020" t="s">
        <v>6360</v>
      </c>
      <c r="C723" s="2022">
        <v>0</v>
      </c>
      <c r="D723" s="2022">
        <v>15301840.9</v>
      </c>
      <c r="E723" s="2022">
        <f>170388016.4+L723</f>
        <v>170556805.42000002</v>
      </c>
      <c r="F723" s="2022">
        <f>-145383211.1+N723+CB723</f>
        <v>-162249328.71000001</v>
      </c>
      <c r="G723" s="2022">
        <v>40306646.159999996</v>
      </c>
      <c r="H723" s="2022">
        <v>0</v>
      </c>
      <c r="I723" s="2011">
        <f t="shared" si="19"/>
        <v>23609317.610000014</v>
      </c>
      <c r="J723" s="2022"/>
      <c r="K723" s="2463"/>
      <c r="L723" s="2022">
        <v>168789.02</v>
      </c>
      <c r="N723" s="2022">
        <f>40468221.07-40475435.22</f>
        <v>-7214.1499999985099</v>
      </c>
      <c r="CB723" s="2728">
        <f>-CB712</f>
        <v>-16858903.460000001</v>
      </c>
    </row>
    <row r="724" spans="1:89" x14ac:dyDescent="0.2">
      <c r="A724" s="2020" t="s">
        <v>4784</v>
      </c>
      <c r="B724" s="2020" t="s">
        <v>6361</v>
      </c>
      <c r="C724" s="2022">
        <v>0</v>
      </c>
      <c r="D724" s="2022">
        <v>-1483730.49</v>
      </c>
      <c r="E724" s="2022">
        <f>2717406.39+2828</f>
        <v>2720234.39</v>
      </c>
      <c r="F724" s="2022">
        <v>-2667402.7599999998</v>
      </c>
      <c r="G724" s="2022">
        <v>0</v>
      </c>
      <c r="H724" s="2022">
        <v>-1433726.86</v>
      </c>
      <c r="I724" s="2011">
        <f t="shared" si="19"/>
        <v>-1430898.8599999996</v>
      </c>
      <c r="J724" s="2022"/>
      <c r="K724" s="2463"/>
    </row>
    <row r="725" spans="1:89" x14ac:dyDescent="0.2">
      <c r="A725" s="2020" t="s">
        <v>4789</v>
      </c>
      <c r="B725" s="2020" t="s">
        <v>6362</v>
      </c>
      <c r="C725" s="2022">
        <v>0</v>
      </c>
      <c r="D725" s="2022">
        <v>12406.74</v>
      </c>
      <c r="E725" s="2022">
        <v>10427.9</v>
      </c>
      <c r="F725" s="2022">
        <v>0</v>
      </c>
      <c r="G725" s="2022">
        <v>22834.639999999999</v>
      </c>
      <c r="H725" s="2022">
        <v>0</v>
      </c>
      <c r="I725" s="2011">
        <f t="shared" si="19"/>
        <v>22834.639999999999</v>
      </c>
      <c r="J725" s="2022"/>
      <c r="K725" s="2463"/>
    </row>
    <row r="726" spans="1:89" x14ac:dyDescent="0.2">
      <c r="A726" s="2020" t="s">
        <v>4792</v>
      </c>
      <c r="B726" s="2020" t="s">
        <v>6363</v>
      </c>
      <c r="C726" s="2022">
        <v>0</v>
      </c>
      <c r="D726" s="2022">
        <v>4704</v>
      </c>
      <c r="E726" s="2022">
        <v>0</v>
      </c>
      <c r="F726" s="2022">
        <v>0</v>
      </c>
      <c r="G726" s="2022">
        <v>4704</v>
      </c>
      <c r="H726" s="2022">
        <v>0</v>
      </c>
      <c r="I726" s="2011">
        <f t="shared" si="19"/>
        <v>4704</v>
      </c>
      <c r="J726" s="2022"/>
      <c r="K726" s="2463"/>
    </row>
    <row r="727" spans="1:89" s="2100" customFormat="1" x14ac:dyDescent="0.2">
      <c r="A727" s="2106" t="s">
        <v>4794</v>
      </c>
      <c r="C727" s="2022">
        <v>0</v>
      </c>
      <c r="D727" s="2022">
        <f>BG727+BU727</f>
        <v>376166.96</v>
      </c>
      <c r="E727" s="2022">
        <f>BF727+BV727</f>
        <v>347825.70999999996</v>
      </c>
      <c r="F727" s="2022">
        <v>0</v>
      </c>
      <c r="G727" s="2022"/>
      <c r="H727" s="2022"/>
      <c r="I727" s="2011">
        <f t="shared" si="19"/>
        <v>723992.66999999993</v>
      </c>
      <c r="J727" s="2022"/>
      <c r="K727" s="2463"/>
      <c r="L727" s="2022"/>
      <c r="M727" s="2022"/>
      <c r="N727" s="2022"/>
      <c r="O727" s="2022"/>
      <c r="P727" s="2022"/>
      <c r="Q727" s="2022"/>
      <c r="R727" s="2022"/>
      <c r="S727" s="2022"/>
      <c r="T727" s="2022"/>
      <c r="U727" s="2022"/>
      <c r="V727" s="2022"/>
      <c r="W727" s="2022"/>
      <c r="X727" s="2022"/>
      <c r="Y727" s="2022"/>
      <c r="Z727" s="2022"/>
      <c r="AA727" s="2022"/>
      <c r="AB727" s="2022"/>
      <c r="AC727" s="2022"/>
      <c r="AD727" s="2022"/>
      <c r="AE727" s="2022"/>
      <c r="AF727" s="2022"/>
      <c r="AG727" s="2022"/>
      <c r="AH727" s="2022"/>
      <c r="AI727" s="2022"/>
      <c r="AJ727" s="2022"/>
      <c r="AK727" s="2022"/>
      <c r="AL727" s="2022"/>
      <c r="AM727" s="2022"/>
      <c r="AN727" s="2022"/>
      <c r="AO727" s="2022"/>
      <c r="AP727" s="2022"/>
      <c r="AQ727" s="2022"/>
      <c r="AR727" s="2022"/>
      <c r="AS727" s="2022"/>
      <c r="AT727" s="2022"/>
      <c r="AU727" s="2022"/>
      <c r="AV727" s="2558"/>
      <c r="AW727" s="2022"/>
      <c r="AX727" s="2022"/>
      <c r="AY727" s="2022"/>
      <c r="AZ727" s="2022"/>
      <c r="BA727" s="2022"/>
      <c r="BB727" s="2022"/>
      <c r="BC727" s="2022"/>
      <c r="BD727" s="2022"/>
      <c r="BE727" s="2022"/>
      <c r="BF727" s="2022">
        <v>117850</v>
      </c>
      <c r="BG727" s="2022">
        <v>150627.64000000001</v>
      </c>
      <c r="BH727" s="2022"/>
      <c r="BI727" s="2728"/>
      <c r="BJ727" s="2728"/>
      <c r="BK727" s="2728"/>
      <c r="BL727" s="2728"/>
      <c r="BM727" s="2728"/>
      <c r="BN727" s="2728"/>
      <c r="BO727" s="2728"/>
      <c r="BP727" s="2728"/>
      <c r="BQ727" s="2728"/>
      <c r="BR727" s="2728"/>
      <c r="BS727" s="2632"/>
      <c r="BT727" s="2632"/>
      <c r="BU727" s="2728">
        <v>225539.32</v>
      </c>
      <c r="BV727" s="2728">
        <v>229975.71</v>
      </c>
      <c r="BW727" s="2632"/>
      <c r="BX727" s="2632"/>
      <c r="BY727" s="2632"/>
      <c r="BZ727" s="2632"/>
      <c r="CA727" s="2632"/>
      <c r="CB727" s="2728"/>
      <c r="CC727" s="2632"/>
      <c r="CD727" s="2632"/>
      <c r="CE727" s="2632"/>
      <c r="CF727" s="2632"/>
      <c r="CG727" s="2728"/>
      <c r="CH727" s="2728"/>
      <c r="CI727" s="2632"/>
      <c r="CJ727" s="2632"/>
      <c r="CK727" s="2632"/>
    </row>
    <row r="728" spans="1:89" x14ac:dyDescent="0.2">
      <c r="A728" s="1127" t="s">
        <v>4795</v>
      </c>
      <c r="B728" s="2020" t="s">
        <v>6364</v>
      </c>
      <c r="C728" s="2022">
        <v>0</v>
      </c>
      <c r="D728" s="2022">
        <f>8846420.77+AL728+BG728+BY728+CE728+CA728+CK728</f>
        <v>17611755.57</v>
      </c>
      <c r="E728" s="2022">
        <f>2613644.69+16340.1+BF728+BX728+CB728</f>
        <v>6110643.1600000001</v>
      </c>
      <c r="F728" s="2022">
        <f>-1727422.64+CF728</f>
        <v>-4681316.92</v>
      </c>
      <c r="G728" s="2022">
        <v>9732642.8200000003</v>
      </c>
      <c r="H728" s="2022">
        <v>0</v>
      </c>
      <c r="I728" s="2011">
        <f t="shared" si="19"/>
        <v>19041081.810000002</v>
      </c>
      <c r="J728" s="2022"/>
      <c r="K728" s="2463"/>
      <c r="AL728" s="2022">
        <v>5782835.6500000004</v>
      </c>
      <c r="BF728" s="2022">
        <v>1398666.52</v>
      </c>
      <c r="BG728" s="2022">
        <v>2149658.0299999998</v>
      </c>
      <c r="BX728" s="2728">
        <v>49614.03</v>
      </c>
      <c r="BY728" s="2728">
        <v>503738.14</v>
      </c>
      <c r="CA728" s="2634">
        <f>-CB728</f>
        <v>-2032377.82</v>
      </c>
      <c r="CB728" s="2728">
        <v>2032377.82</v>
      </c>
      <c r="CE728" s="2728">
        <v>-2752135.1999999997</v>
      </c>
      <c r="CF728" s="2634">
        <v>-2953894.28</v>
      </c>
      <c r="CK728" s="2728">
        <v>5113616</v>
      </c>
    </row>
    <row r="729" spans="1:89" x14ac:dyDescent="0.2">
      <c r="A729" s="2020" t="s">
        <v>4797</v>
      </c>
      <c r="B729" s="2020" t="s">
        <v>6365</v>
      </c>
      <c r="C729" s="2022">
        <v>0</v>
      </c>
      <c r="D729" s="2022">
        <f>10215500+O729</f>
        <v>0</v>
      </c>
      <c r="E729" s="2022">
        <v>0</v>
      </c>
      <c r="F729" s="2022">
        <v>0</v>
      </c>
      <c r="G729" s="2022">
        <v>10215500</v>
      </c>
      <c r="H729" s="2022">
        <v>0</v>
      </c>
      <c r="I729" s="2011">
        <f t="shared" si="19"/>
        <v>0</v>
      </c>
      <c r="J729" s="2022"/>
      <c r="K729" s="2463"/>
      <c r="O729" s="2022">
        <f>-10215500</f>
        <v>-10215500</v>
      </c>
    </row>
    <row r="730" spans="1:89" x14ac:dyDescent="0.2">
      <c r="A730" s="2020" t="s">
        <v>4799</v>
      </c>
      <c r="B730" s="2020" t="s">
        <v>6366</v>
      </c>
      <c r="C730" s="2022">
        <v>0</v>
      </c>
      <c r="D730" s="2022">
        <v>18051.21</v>
      </c>
      <c r="E730" s="2022">
        <v>29349</v>
      </c>
      <c r="F730" s="2022">
        <f>-27014.54-19655.12</f>
        <v>-46669.66</v>
      </c>
      <c r="G730" s="2022">
        <v>20385.669999999998</v>
      </c>
      <c r="H730" s="2022">
        <v>0</v>
      </c>
      <c r="I730" s="2011">
        <f t="shared" si="19"/>
        <v>730.54999999999563</v>
      </c>
      <c r="J730" s="2022"/>
      <c r="K730" s="2463"/>
    </row>
    <row r="731" spans="1:89" x14ac:dyDescent="0.2">
      <c r="A731" s="2020" t="s">
        <v>4801</v>
      </c>
      <c r="B731" s="2020" t="s">
        <v>6367</v>
      </c>
      <c r="C731" s="2022">
        <v>0</v>
      </c>
      <c r="D731" s="2022">
        <v>87328.11</v>
      </c>
      <c r="E731" s="2022">
        <v>1623918.6</v>
      </c>
      <c r="F731" s="2022">
        <f>-864477.71-840000.9</f>
        <v>-1704478.6099999999</v>
      </c>
      <c r="G731" s="2022">
        <v>846769</v>
      </c>
      <c r="H731" s="2022">
        <v>0</v>
      </c>
      <c r="I731" s="2011">
        <f t="shared" si="19"/>
        <v>6768.100000000326</v>
      </c>
      <c r="J731" s="2022"/>
      <c r="K731" s="2463"/>
    </row>
    <row r="732" spans="1:89" x14ac:dyDescent="0.2">
      <c r="A732" s="2020" t="s">
        <v>4803</v>
      </c>
      <c r="B732" s="2020" t="s">
        <v>6368</v>
      </c>
      <c r="C732" s="2022">
        <v>0</v>
      </c>
      <c r="D732" s="2022">
        <v>1179.9000000000001</v>
      </c>
      <c r="E732" s="2022">
        <v>0</v>
      </c>
      <c r="F732" s="2022">
        <v>0</v>
      </c>
      <c r="G732" s="2022">
        <v>1179.9000000000001</v>
      </c>
      <c r="H732" s="2022">
        <v>0</v>
      </c>
      <c r="I732" s="2011">
        <f t="shared" si="19"/>
        <v>1179.9000000000001</v>
      </c>
      <c r="J732" s="2022"/>
      <c r="K732" s="2463"/>
    </row>
    <row r="733" spans="1:89" x14ac:dyDescent="0.2">
      <c r="A733" s="2020" t="s">
        <v>4805</v>
      </c>
      <c r="B733" s="2020" t="s">
        <v>6369</v>
      </c>
      <c r="C733" s="2022">
        <v>0</v>
      </c>
      <c r="D733" s="2022">
        <v>107085.45</v>
      </c>
      <c r="E733" s="2022">
        <v>2014183.54</v>
      </c>
      <c r="F733" s="2022">
        <f>-1061195.23-1051362.83</f>
        <v>-2112558.06</v>
      </c>
      <c r="G733" s="2022">
        <v>1060073.76</v>
      </c>
      <c r="H733" s="2022">
        <v>0</v>
      </c>
      <c r="I733" s="2011">
        <f t="shared" si="19"/>
        <v>8710.9300000001676</v>
      </c>
      <c r="J733" s="2022"/>
      <c r="K733" s="2463"/>
    </row>
    <row r="734" spans="1:89" ht="13.5" thickBot="1" x14ac:dyDescent="0.25">
      <c r="A734" s="2020" t="s">
        <v>6370</v>
      </c>
      <c r="B734" s="2020" t="s">
        <v>6371</v>
      </c>
      <c r="C734" s="2218">
        <f t="shared" ref="C734:I734" si="25">SUM(C3:C733)</f>
        <v>6921322.4800000088</v>
      </c>
      <c r="D734" s="2218">
        <f t="shared" si="25"/>
        <v>-1.8061837181448936E-7</v>
      </c>
      <c r="E734" s="2218">
        <f t="shared" si="25"/>
        <v>1026060545.7</v>
      </c>
      <c r="F734" s="2218">
        <f t="shared" si="25"/>
        <v>-1026060545.7699999</v>
      </c>
      <c r="G734" s="2218">
        <f t="shared" si="25"/>
        <v>427567953.0999999</v>
      </c>
      <c r="H734" s="2218">
        <f t="shared" si="25"/>
        <v>-395837806.19999993</v>
      </c>
      <c r="I734" s="2218">
        <f t="shared" si="25"/>
        <v>-7.0000130641346914E-2</v>
      </c>
      <c r="J734" s="2218"/>
      <c r="K734" s="2218"/>
      <c r="L734" s="2220">
        <f t="shared" ref="L734:AQ734" si="26">SUM(L3:L733)</f>
        <v>0</v>
      </c>
      <c r="M734" s="2220">
        <f t="shared" si="26"/>
        <v>0</v>
      </c>
      <c r="N734" s="2220">
        <f t="shared" si="26"/>
        <v>1.7462298274040222E-9</v>
      </c>
      <c r="O734" s="2220">
        <f t="shared" si="26"/>
        <v>0</v>
      </c>
      <c r="P734" s="2220">
        <f t="shared" si="26"/>
        <v>0</v>
      </c>
      <c r="Q734" s="2220">
        <f t="shared" si="26"/>
        <v>0</v>
      </c>
      <c r="R734" s="2220">
        <f t="shared" si="26"/>
        <v>-3.637978807091713E-11</v>
      </c>
      <c r="S734" s="2220">
        <f t="shared" si="26"/>
        <v>0</v>
      </c>
      <c r="T734" s="2220">
        <f t="shared" si="26"/>
        <v>0</v>
      </c>
      <c r="U734" s="2220">
        <f t="shared" si="26"/>
        <v>0</v>
      </c>
      <c r="V734" s="2220">
        <f t="shared" si="26"/>
        <v>0</v>
      </c>
      <c r="W734" s="2220">
        <f t="shared" si="26"/>
        <v>0</v>
      </c>
      <c r="X734" s="2220">
        <f t="shared" si="26"/>
        <v>1.0000000009313226E-2</v>
      </c>
      <c r="Y734" s="2220">
        <f t="shared" si="26"/>
        <v>0</v>
      </c>
      <c r="Z734" s="2220">
        <f t="shared" si="26"/>
        <v>0</v>
      </c>
      <c r="AA734" s="2220">
        <f t="shared" si="26"/>
        <v>0</v>
      </c>
      <c r="AB734" s="2220">
        <f t="shared" si="26"/>
        <v>0</v>
      </c>
      <c r="AC734" s="2220">
        <f t="shared" si="26"/>
        <v>0</v>
      </c>
      <c r="AD734" s="2220">
        <f t="shared" si="26"/>
        <v>0</v>
      </c>
      <c r="AE734" s="2220">
        <f t="shared" si="26"/>
        <v>-1.4551915228366852E-11</v>
      </c>
      <c r="AF734" s="2220">
        <f t="shared" si="26"/>
        <v>0</v>
      </c>
      <c r="AG734" s="2220">
        <f t="shared" si="26"/>
        <v>0</v>
      </c>
      <c r="AH734" s="2220">
        <f t="shared" si="26"/>
        <v>0</v>
      </c>
      <c r="AI734" s="2220">
        <f t="shared" si="26"/>
        <v>0</v>
      </c>
      <c r="AJ734" s="2220">
        <f t="shared" si="26"/>
        <v>0</v>
      </c>
      <c r="AK734" s="2220">
        <f t="shared" si="26"/>
        <v>0</v>
      </c>
      <c r="AL734" s="2220">
        <f t="shared" si="26"/>
        <v>0</v>
      </c>
      <c r="AM734" s="2220">
        <f t="shared" si="26"/>
        <v>0</v>
      </c>
      <c r="AN734" s="2220">
        <f t="shared" si="26"/>
        <v>0</v>
      </c>
      <c r="AO734" s="2220">
        <f t="shared" si="26"/>
        <v>-0.21000000019557774</v>
      </c>
      <c r="AP734" s="2220">
        <f t="shared" si="26"/>
        <v>0</v>
      </c>
      <c r="AQ734" s="2220">
        <f t="shared" si="26"/>
        <v>0</v>
      </c>
      <c r="AR734" s="2220">
        <f t="shared" ref="AR734:BK734" si="27">SUM(AR3:AR733)</f>
        <v>0</v>
      </c>
      <c r="AS734" s="2220">
        <f t="shared" si="27"/>
        <v>0</v>
      </c>
      <c r="AT734" s="2220">
        <f t="shared" si="27"/>
        <v>0</v>
      </c>
      <c r="AU734" s="2220">
        <f t="shared" si="27"/>
        <v>0</v>
      </c>
      <c r="AV734" s="2560">
        <f t="shared" si="27"/>
        <v>-3.3411197364330292E-8</v>
      </c>
      <c r="AW734" s="2561">
        <f t="shared" si="27"/>
        <v>0</v>
      </c>
      <c r="AX734" s="2561">
        <f t="shared" si="27"/>
        <v>0</v>
      </c>
      <c r="AY734" s="2561">
        <f t="shared" si="27"/>
        <v>0</v>
      </c>
      <c r="AZ734" s="2561">
        <f t="shared" si="27"/>
        <v>4.4237822294235229E-9</v>
      </c>
      <c r="BA734" s="2561">
        <f t="shared" si="27"/>
        <v>0</v>
      </c>
      <c r="BB734" s="2561">
        <f t="shared" si="27"/>
        <v>0</v>
      </c>
      <c r="BC734" s="2561">
        <f t="shared" si="27"/>
        <v>0</v>
      </c>
      <c r="BD734" s="2561">
        <f t="shared" si="27"/>
        <v>0</v>
      </c>
      <c r="BE734" s="2561">
        <f t="shared" si="27"/>
        <v>0</v>
      </c>
      <c r="BF734" s="2561">
        <f t="shared" si="27"/>
        <v>0</v>
      </c>
      <c r="BG734" s="2561">
        <f t="shared" si="27"/>
        <v>0</v>
      </c>
      <c r="BH734" s="2561">
        <f t="shared" si="27"/>
        <v>0</v>
      </c>
      <c r="BI734" s="2753">
        <f t="shared" si="27"/>
        <v>0</v>
      </c>
      <c r="BJ734" s="2753">
        <f t="shared" si="27"/>
        <v>0</v>
      </c>
      <c r="BK734" s="2753">
        <f t="shared" si="27"/>
        <v>0</v>
      </c>
      <c r="BL734" s="2753">
        <f t="shared" ref="BL734:CK734" si="28">SUM(BL3:BL733)</f>
        <v>0</v>
      </c>
      <c r="BM734" s="2753">
        <f t="shared" si="28"/>
        <v>0</v>
      </c>
      <c r="BN734" s="2753">
        <f t="shared" si="28"/>
        <v>0</v>
      </c>
      <c r="BO734" s="2753">
        <f t="shared" si="28"/>
        <v>0</v>
      </c>
      <c r="BP734" s="2753">
        <f t="shared" si="28"/>
        <v>0</v>
      </c>
      <c r="BQ734" s="2753">
        <f t="shared" si="28"/>
        <v>0</v>
      </c>
      <c r="BR734" s="2753">
        <f t="shared" si="28"/>
        <v>0</v>
      </c>
      <c r="BS734" s="2753">
        <f t="shared" si="28"/>
        <v>0</v>
      </c>
      <c r="BT734" s="2753">
        <f t="shared" si="28"/>
        <v>0</v>
      </c>
      <c r="BU734" s="2753">
        <f t="shared" si="28"/>
        <v>0</v>
      </c>
      <c r="BV734" s="2753">
        <f t="shared" si="28"/>
        <v>3.2014213502407074E-10</v>
      </c>
      <c r="BW734" s="2753">
        <f t="shared" si="28"/>
        <v>0</v>
      </c>
      <c r="BX734" s="2753">
        <f t="shared" si="28"/>
        <v>0</v>
      </c>
      <c r="BY734" s="2753">
        <f t="shared" si="28"/>
        <v>0</v>
      </c>
      <c r="BZ734" s="2753">
        <f t="shared" si="28"/>
        <v>-9.9999997764825821E-3</v>
      </c>
      <c r="CA734" s="2753">
        <f t="shared" si="28"/>
        <v>0</v>
      </c>
      <c r="CB734" s="2753">
        <f t="shared" si="28"/>
        <v>0</v>
      </c>
      <c r="CC734" s="2753">
        <f t="shared" si="28"/>
        <v>0</v>
      </c>
      <c r="CD734" s="2753">
        <f t="shared" si="28"/>
        <v>0</v>
      </c>
      <c r="CE734" s="2753">
        <f t="shared" si="28"/>
        <v>0</v>
      </c>
      <c r="CF734" s="2753">
        <f t="shared" si="28"/>
        <v>0</v>
      </c>
      <c r="CG734" s="2753">
        <f t="shared" si="28"/>
        <v>0</v>
      </c>
      <c r="CH734" s="2753">
        <f t="shared" si="28"/>
        <v>0</v>
      </c>
      <c r="CI734" s="2753">
        <f t="shared" si="28"/>
        <v>0</v>
      </c>
      <c r="CJ734" s="2753">
        <f t="shared" si="28"/>
        <v>0</v>
      </c>
      <c r="CK734" s="2753">
        <f t="shared" si="28"/>
        <v>0</v>
      </c>
    </row>
    <row r="735" spans="1:89" ht="13.5" customHeight="1" thickTop="1" x14ac:dyDescent="0.2">
      <c r="A735" s="2020" t="s">
        <v>6372</v>
      </c>
      <c r="B735" s="2020" t="s">
        <v>6373</v>
      </c>
      <c r="G735" s="2022">
        <v>395837807.19999999</v>
      </c>
      <c r="H735" s="2022">
        <v>-395837807.19999999</v>
      </c>
      <c r="L735" s="3046" t="s">
        <v>6531</v>
      </c>
      <c r="M735" s="3043" t="s">
        <v>6532</v>
      </c>
      <c r="N735" s="3043" t="s">
        <v>6533</v>
      </c>
      <c r="O735" s="3043" t="s">
        <v>6534</v>
      </c>
      <c r="P735" s="3043" t="s">
        <v>6535</v>
      </c>
      <c r="Q735" s="3043" t="s">
        <v>6536</v>
      </c>
      <c r="R735" s="3049" t="s">
        <v>6537</v>
      </c>
      <c r="S735" s="3050"/>
      <c r="T735" s="3043" t="s">
        <v>6552</v>
      </c>
      <c r="U735" s="3043" t="s">
        <v>6555</v>
      </c>
      <c r="V735" s="3043" t="s">
        <v>6557</v>
      </c>
      <c r="W735" s="3043" t="s">
        <v>6875</v>
      </c>
      <c r="X735" s="3043" t="s">
        <v>6878</v>
      </c>
      <c r="Y735" s="3043" t="s">
        <v>6888</v>
      </c>
      <c r="Z735" s="3043" t="s">
        <v>6890</v>
      </c>
      <c r="AA735" s="3043" t="s">
        <v>6903</v>
      </c>
      <c r="AB735" s="3043" t="s">
        <v>6906</v>
      </c>
      <c r="AC735" s="3043" t="s">
        <v>6908</v>
      </c>
      <c r="AD735" s="3043" t="s">
        <v>6909</v>
      </c>
      <c r="AE735" s="3043" t="s">
        <v>7300</v>
      </c>
      <c r="AF735" s="3043" t="s">
        <v>7307</v>
      </c>
      <c r="AG735" s="3043" t="s">
        <v>7311</v>
      </c>
      <c r="AH735" s="3043" t="s">
        <v>7316</v>
      </c>
      <c r="AI735" s="3043" t="s">
        <v>7323</v>
      </c>
      <c r="AJ735" s="3043" t="s">
        <v>7333</v>
      </c>
      <c r="AK735" s="3043" t="s">
        <v>7384</v>
      </c>
      <c r="AL735" s="3043" t="s">
        <v>7390</v>
      </c>
      <c r="AM735" s="3043" t="s">
        <v>7396</v>
      </c>
      <c r="AN735" s="3043" t="s">
        <v>7398</v>
      </c>
      <c r="AO735" s="3043" t="s">
        <v>7400</v>
      </c>
      <c r="AP735" s="3043" t="s">
        <v>7401</v>
      </c>
      <c r="AQ735" s="3043" t="s">
        <v>7417</v>
      </c>
      <c r="AR735" s="3043" t="s">
        <v>7419</v>
      </c>
      <c r="AS735" s="3043" t="s">
        <v>7426</v>
      </c>
      <c r="AT735" s="3043" t="s">
        <v>7428</v>
      </c>
      <c r="AU735" s="3043" t="s">
        <v>7442</v>
      </c>
      <c r="AV735" s="3044" t="s">
        <v>7466</v>
      </c>
      <c r="AW735" s="3043" t="s">
        <v>7468</v>
      </c>
      <c r="AX735" s="3043" t="s">
        <v>7478</v>
      </c>
      <c r="AY735" s="3043" t="s">
        <v>7482</v>
      </c>
      <c r="AZ735" s="3043" t="s">
        <v>7489</v>
      </c>
      <c r="BA735" s="3043" t="s">
        <v>7491</v>
      </c>
      <c r="BB735" s="3043" t="s">
        <v>7494</v>
      </c>
      <c r="BC735" s="3043" t="s">
        <v>7505</v>
      </c>
      <c r="BD735" s="3043" t="s">
        <v>7511</v>
      </c>
      <c r="BE735" s="3043" t="s">
        <v>7524</v>
      </c>
      <c r="BF735" s="3043" t="s">
        <v>7673</v>
      </c>
      <c r="BG735" s="3043" t="s">
        <v>7681</v>
      </c>
      <c r="BH735" s="3043" t="s">
        <v>8103</v>
      </c>
      <c r="BI735" s="3045" t="s">
        <v>8160</v>
      </c>
      <c r="BJ735" s="3045" t="s">
        <v>8161</v>
      </c>
      <c r="BK735" s="3045" t="s">
        <v>8162</v>
      </c>
      <c r="BL735" s="3045" t="s">
        <v>8163</v>
      </c>
      <c r="BM735" s="3045" t="s">
        <v>8164</v>
      </c>
      <c r="BN735" s="3045" t="s">
        <v>8164</v>
      </c>
      <c r="BO735" s="3045" t="s">
        <v>8165</v>
      </c>
      <c r="BP735" s="3045" t="s">
        <v>8166</v>
      </c>
      <c r="BQ735" s="3045" t="s">
        <v>8167</v>
      </c>
      <c r="BR735" s="3045" t="s">
        <v>8168</v>
      </c>
      <c r="BS735" s="3045" t="s">
        <v>8169</v>
      </c>
      <c r="BT735" s="3045" t="s">
        <v>8170</v>
      </c>
      <c r="BU735" s="3045" t="s">
        <v>8154</v>
      </c>
      <c r="BV735" s="3045" t="s">
        <v>8155</v>
      </c>
      <c r="BW735" s="3045" t="s">
        <v>8159</v>
      </c>
      <c r="BX735" s="3045" t="s">
        <v>8171</v>
      </c>
      <c r="BY735" s="3045" t="s">
        <v>8172</v>
      </c>
      <c r="BZ735" s="3045" t="s">
        <v>8173</v>
      </c>
      <c r="CA735" s="3045" t="s">
        <v>8174</v>
      </c>
      <c r="CB735" s="3045" t="s">
        <v>8174</v>
      </c>
      <c r="CC735" s="3045" t="s">
        <v>8178</v>
      </c>
      <c r="CD735" s="3045" t="s">
        <v>8179</v>
      </c>
      <c r="CE735" s="3040" t="s">
        <v>8181</v>
      </c>
      <c r="CF735" s="3040" t="s">
        <v>8182</v>
      </c>
      <c r="CG735" s="3040" t="s">
        <v>8187</v>
      </c>
      <c r="CH735" s="3040" t="s">
        <v>8199</v>
      </c>
      <c r="CI735" s="3040" t="s">
        <v>8200</v>
      </c>
      <c r="CJ735" s="3040" t="s">
        <v>8201</v>
      </c>
      <c r="CK735" s="3040" t="s">
        <v>8217</v>
      </c>
    </row>
    <row r="736" spans="1:89" x14ac:dyDescent="0.2">
      <c r="A736" s="2020" t="s">
        <v>6374</v>
      </c>
      <c r="B736" s="2020" t="s">
        <v>6375</v>
      </c>
      <c r="C736" s="2020" t="s">
        <v>6376</v>
      </c>
      <c r="D736" s="2020" t="s">
        <v>6376</v>
      </c>
      <c r="E736" s="2020" t="s">
        <v>6376</v>
      </c>
      <c r="F736" s="2020" t="s">
        <v>6376</v>
      </c>
      <c r="G736" s="2020" t="s">
        <v>6377</v>
      </c>
      <c r="H736" s="2020" t="s">
        <v>6377</v>
      </c>
      <c r="L736" s="3047"/>
      <c r="M736" s="3043"/>
      <c r="N736" s="3043"/>
      <c r="O736" s="3043"/>
      <c r="P736" s="3043"/>
      <c r="Q736" s="3043"/>
      <c r="R736" s="3050"/>
      <c r="S736" s="3050"/>
      <c r="T736" s="3043"/>
      <c r="U736" s="3043"/>
      <c r="V736" s="3043"/>
      <c r="W736" s="3043"/>
      <c r="X736" s="3043"/>
      <c r="Y736" s="3043"/>
      <c r="Z736" s="3043"/>
      <c r="AA736" s="3043"/>
      <c r="AB736" s="3043"/>
      <c r="AC736" s="3043"/>
      <c r="AD736" s="3043"/>
      <c r="AE736" s="3043"/>
      <c r="AF736" s="3043"/>
      <c r="AG736" s="3043"/>
      <c r="AH736" s="3043"/>
      <c r="AI736" s="3043"/>
      <c r="AJ736" s="3043"/>
      <c r="AK736" s="3043"/>
      <c r="AL736" s="3043"/>
      <c r="AM736" s="3043"/>
      <c r="AN736" s="3043"/>
      <c r="AO736" s="3043"/>
      <c r="AP736" s="3043"/>
      <c r="AQ736" s="3043"/>
      <c r="AR736" s="3043"/>
      <c r="AS736" s="3043"/>
      <c r="AT736" s="3043"/>
      <c r="AU736" s="3043"/>
      <c r="AV736" s="3044"/>
      <c r="AW736" s="3043"/>
      <c r="AX736" s="3043"/>
      <c r="AY736" s="3043"/>
      <c r="AZ736" s="3043"/>
      <c r="BA736" s="3043"/>
      <c r="BB736" s="3043"/>
      <c r="BC736" s="3043"/>
      <c r="BD736" s="3043"/>
      <c r="BE736" s="3043"/>
      <c r="BF736" s="3043"/>
      <c r="BG736" s="3043"/>
      <c r="BH736" s="3043"/>
      <c r="BI736" s="3045"/>
      <c r="BJ736" s="3045"/>
      <c r="BK736" s="3045"/>
      <c r="BL736" s="3045"/>
      <c r="BM736" s="3045"/>
      <c r="BN736" s="3045"/>
      <c r="BO736" s="3045"/>
      <c r="BP736" s="3045"/>
      <c r="BQ736" s="3045"/>
      <c r="BR736" s="3045"/>
      <c r="BS736" s="3045"/>
      <c r="BT736" s="3045"/>
      <c r="BU736" s="3045"/>
      <c r="BV736" s="3045"/>
      <c r="BW736" s="3045"/>
      <c r="BX736" s="3045"/>
      <c r="BY736" s="3045"/>
      <c r="BZ736" s="3045"/>
      <c r="CA736" s="3045"/>
      <c r="CB736" s="3045"/>
      <c r="CC736" s="3045"/>
      <c r="CD736" s="3045"/>
      <c r="CE736" s="3041"/>
      <c r="CF736" s="3041"/>
      <c r="CG736" s="3041"/>
      <c r="CH736" s="3041"/>
      <c r="CI736" s="3041"/>
      <c r="CJ736" s="3041"/>
      <c r="CK736" s="3041"/>
    </row>
    <row r="737" spans="12:89" x14ac:dyDescent="0.2">
      <c r="L737" s="3047"/>
      <c r="M737" s="3043"/>
      <c r="N737" s="3043"/>
      <c r="O737" s="3043"/>
      <c r="P737" s="3043"/>
      <c r="Q737" s="3043"/>
      <c r="R737" s="3050"/>
      <c r="S737" s="3050"/>
      <c r="T737" s="3043"/>
      <c r="U737" s="3043"/>
      <c r="V737" s="3043"/>
      <c r="W737" s="3043"/>
      <c r="X737" s="3043"/>
      <c r="Y737" s="3043"/>
      <c r="Z737" s="3043"/>
      <c r="AA737" s="3043"/>
      <c r="AB737" s="3043"/>
      <c r="AC737" s="3043"/>
      <c r="AD737" s="3043"/>
      <c r="AE737" s="3043"/>
      <c r="AF737" s="3043"/>
      <c r="AG737" s="3043"/>
      <c r="AH737" s="3043"/>
      <c r="AI737" s="3043"/>
      <c r="AJ737" s="3043"/>
      <c r="AK737" s="3043"/>
      <c r="AL737" s="3043"/>
      <c r="AM737" s="3043"/>
      <c r="AN737" s="3043"/>
      <c r="AO737" s="3043"/>
      <c r="AP737" s="3043"/>
      <c r="AQ737" s="3043"/>
      <c r="AR737" s="3043"/>
      <c r="AS737" s="3043"/>
      <c r="AT737" s="3043"/>
      <c r="AU737" s="3043"/>
      <c r="AV737" s="3044"/>
      <c r="AW737" s="3043"/>
      <c r="AX737" s="3043"/>
      <c r="AY737" s="3043"/>
      <c r="AZ737" s="3043"/>
      <c r="BA737" s="3043"/>
      <c r="BB737" s="3043"/>
      <c r="BC737" s="3043"/>
      <c r="BD737" s="3043"/>
      <c r="BE737" s="3043"/>
      <c r="BF737" s="3043"/>
      <c r="BG737" s="3043"/>
      <c r="BH737" s="3043"/>
      <c r="BI737" s="3045"/>
      <c r="BJ737" s="3045"/>
      <c r="BK737" s="3045"/>
      <c r="BL737" s="3045"/>
      <c r="BM737" s="3045"/>
      <c r="BN737" s="3045"/>
      <c r="BO737" s="3045"/>
      <c r="BP737" s="3045"/>
      <c r="BQ737" s="3045"/>
      <c r="BR737" s="3045"/>
      <c r="BS737" s="3045"/>
      <c r="BT737" s="3045"/>
      <c r="BU737" s="3045"/>
      <c r="BV737" s="3045"/>
      <c r="BW737" s="3045"/>
      <c r="BX737" s="3045"/>
      <c r="BY737" s="3045"/>
      <c r="BZ737" s="3045"/>
      <c r="CA737" s="3045"/>
      <c r="CB737" s="3045"/>
      <c r="CC737" s="3045"/>
      <c r="CD737" s="3045"/>
      <c r="CE737" s="3041"/>
      <c r="CF737" s="3041"/>
      <c r="CG737" s="3041"/>
      <c r="CH737" s="3041"/>
      <c r="CI737" s="3041"/>
      <c r="CJ737" s="3041"/>
      <c r="CK737" s="3041"/>
    </row>
    <row r="738" spans="12:89" x14ac:dyDescent="0.2">
      <c r="L738" s="3047"/>
      <c r="M738" s="3043"/>
      <c r="N738" s="3043"/>
      <c r="O738" s="3043"/>
      <c r="P738" s="3043"/>
      <c r="Q738" s="3043"/>
      <c r="R738" s="3050"/>
      <c r="S738" s="3050"/>
      <c r="T738" s="3043"/>
      <c r="U738" s="3043"/>
      <c r="V738" s="3043"/>
      <c r="W738" s="3043"/>
      <c r="X738" s="3043"/>
      <c r="Y738" s="3043"/>
      <c r="Z738" s="3043"/>
      <c r="AA738" s="3043"/>
      <c r="AB738" s="3043"/>
      <c r="AC738" s="3043"/>
      <c r="AD738" s="3043"/>
      <c r="AE738" s="3043"/>
      <c r="AF738" s="3043"/>
      <c r="AG738" s="3043"/>
      <c r="AH738" s="3043"/>
      <c r="AI738" s="3043"/>
      <c r="AJ738" s="3043"/>
      <c r="AK738" s="3043"/>
      <c r="AL738" s="3043"/>
      <c r="AM738" s="3043"/>
      <c r="AN738" s="3043"/>
      <c r="AO738" s="3043"/>
      <c r="AP738" s="3043"/>
      <c r="AQ738" s="3043"/>
      <c r="AR738" s="3043"/>
      <c r="AS738" s="3043"/>
      <c r="AT738" s="3043"/>
      <c r="AU738" s="3043"/>
      <c r="AV738" s="3044"/>
      <c r="AW738" s="3043"/>
      <c r="AX738" s="3043"/>
      <c r="AY738" s="3043"/>
      <c r="AZ738" s="3043"/>
      <c r="BA738" s="3043"/>
      <c r="BB738" s="3043"/>
      <c r="BC738" s="3043"/>
      <c r="BD738" s="3043"/>
      <c r="BE738" s="3043"/>
      <c r="BF738" s="3043"/>
      <c r="BG738" s="3043"/>
      <c r="BH738" s="3043"/>
      <c r="BI738" s="3045"/>
      <c r="BJ738" s="3045"/>
      <c r="BK738" s="3045"/>
      <c r="BL738" s="3045"/>
      <c r="BM738" s="3045"/>
      <c r="BN738" s="3045"/>
      <c r="BO738" s="3045"/>
      <c r="BP738" s="3045"/>
      <c r="BQ738" s="3045"/>
      <c r="BR738" s="3045"/>
      <c r="BS738" s="3045"/>
      <c r="BT738" s="3045"/>
      <c r="BU738" s="3045"/>
      <c r="BV738" s="3045"/>
      <c r="BW738" s="3045"/>
      <c r="BX738" s="3045"/>
      <c r="BY738" s="3045"/>
      <c r="BZ738" s="3045"/>
      <c r="CA738" s="3045"/>
      <c r="CB738" s="3045"/>
      <c r="CC738" s="3045"/>
      <c r="CD738" s="3045"/>
      <c r="CE738" s="3041"/>
      <c r="CF738" s="3041"/>
      <c r="CG738" s="3041"/>
      <c r="CH738" s="3041"/>
      <c r="CI738" s="3041"/>
      <c r="CJ738" s="3041"/>
      <c r="CK738" s="3041"/>
    </row>
    <row r="739" spans="12:89" x14ac:dyDescent="0.2">
      <c r="L739" s="3047"/>
      <c r="M739" s="3043"/>
      <c r="N739" s="3043"/>
      <c r="O739" s="3043"/>
      <c r="P739" s="3043"/>
      <c r="Q739" s="3043"/>
      <c r="R739" s="3050"/>
      <c r="S739" s="3050"/>
      <c r="T739" s="3043"/>
      <c r="U739" s="3043"/>
      <c r="V739" s="3043"/>
      <c r="W739" s="3043"/>
      <c r="X739" s="3043"/>
      <c r="Y739" s="3043"/>
      <c r="Z739" s="3043"/>
      <c r="AA739" s="3043"/>
      <c r="AB739" s="3043"/>
      <c r="AC739" s="3043"/>
      <c r="AD739" s="3043"/>
      <c r="AE739" s="3043"/>
      <c r="AF739" s="3043"/>
      <c r="AG739" s="3043"/>
      <c r="AH739" s="3043"/>
      <c r="AI739" s="3043"/>
      <c r="AJ739" s="3043"/>
      <c r="AK739" s="3043"/>
      <c r="AL739" s="3043"/>
      <c r="AM739" s="3043"/>
      <c r="AN739" s="3043"/>
      <c r="AO739" s="3043"/>
      <c r="AP739" s="3043"/>
      <c r="AQ739" s="3043"/>
      <c r="AR739" s="3043"/>
      <c r="AS739" s="3043"/>
      <c r="AT739" s="3043"/>
      <c r="AU739" s="3043"/>
      <c r="AV739" s="3044"/>
      <c r="AW739" s="3043"/>
      <c r="AX739" s="3043"/>
      <c r="AY739" s="3043"/>
      <c r="AZ739" s="3043"/>
      <c r="BA739" s="3043"/>
      <c r="BB739" s="3043"/>
      <c r="BC739" s="3043"/>
      <c r="BD739" s="3043"/>
      <c r="BE739" s="3043"/>
      <c r="BF739" s="3043"/>
      <c r="BG739" s="3043"/>
      <c r="BH739" s="3043"/>
      <c r="BI739" s="3045"/>
      <c r="BJ739" s="3045"/>
      <c r="BK739" s="3045"/>
      <c r="BL739" s="3045"/>
      <c r="BM739" s="3045"/>
      <c r="BN739" s="3045"/>
      <c r="BO739" s="3045"/>
      <c r="BP739" s="3045"/>
      <c r="BQ739" s="3045"/>
      <c r="BR739" s="3045"/>
      <c r="BS739" s="3045"/>
      <c r="BT739" s="3045"/>
      <c r="BU739" s="3045"/>
      <c r="BV739" s="3045"/>
      <c r="BW739" s="3045"/>
      <c r="BX739" s="3045"/>
      <c r="BY739" s="3045"/>
      <c r="BZ739" s="3045"/>
      <c r="CA739" s="3045"/>
      <c r="CB739" s="3045"/>
      <c r="CC739" s="3045"/>
      <c r="CD739" s="3045"/>
      <c r="CE739" s="3041"/>
      <c r="CF739" s="3041"/>
      <c r="CG739" s="3041"/>
      <c r="CH739" s="3041"/>
      <c r="CI739" s="3041"/>
      <c r="CJ739" s="3041"/>
      <c r="CK739" s="3041"/>
    </row>
    <row r="740" spans="12:89" x14ac:dyDescent="0.2">
      <c r="L740" s="3047"/>
      <c r="M740" s="3043"/>
      <c r="N740" s="3043"/>
      <c r="O740" s="3043"/>
      <c r="P740" s="3043"/>
      <c r="Q740" s="3043"/>
      <c r="R740" s="3050"/>
      <c r="S740" s="3050"/>
      <c r="T740" s="3043"/>
      <c r="U740" s="3043"/>
      <c r="V740" s="3043"/>
      <c r="W740" s="3043"/>
      <c r="X740" s="3043"/>
      <c r="Y740" s="3043"/>
      <c r="Z740" s="3043"/>
      <c r="AA740" s="3043"/>
      <c r="AB740" s="3043"/>
      <c r="AC740" s="3043"/>
      <c r="AD740" s="3043"/>
      <c r="AE740" s="3043"/>
      <c r="AF740" s="3043"/>
      <c r="AG740" s="3043"/>
      <c r="AH740" s="3043"/>
      <c r="AI740" s="3043"/>
      <c r="AJ740" s="3043"/>
      <c r="AK740" s="3043"/>
      <c r="AL740" s="3043"/>
      <c r="AM740" s="3043"/>
      <c r="AN740" s="3043"/>
      <c r="AO740" s="3043"/>
      <c r="AP740" s="3043"/>
      <c r="AQ740" s="3043"/>
      <c r="AR740" s="3043"/>
      <c r="AS740" s="3043"/>
      <c r="AT740" s="3043"/>
      <c r="AU740" s="3043"/>
      <c r="AV740" s="3044"/>
      <c r="AW740" s="3043"/>
      <c r="AX740" s="3043"/>
      <c r="AY740" s="3043"/>
      <c r="AZ740" s="3043"/>
      <c r="BA740" s="3043"/>
      <c r="BB740" s="3043"/>
      <c r="BC740" s="3043"/>
      <c r="BD740" s="3043"/>
      <c r="BE740" s="3043"/>
      <c r="BF740" s="3043"/>
      <c r="BG740" s="3043"/>
      <c r="BH740" s="3043"/>
      <c r="BI740" s="3045"/>
      <c r="BJ740" s="3045"/>
      <c r="BK740" s="3045"/>
      <c r="BL740" s="3045"/>
      <c r="BM740" s="3045"/>
      <c r="BN740" s="3045"/>
      <c r="BO740" s="3045"/>
      <c r="BP740" s="3045"/>
      <c r="BQ740" s="3045"/>
      <c r="BR740" s="3045"/>
      <c r="BS740" s="3045"/>
      <c r="BT740" s="3045"/>
      <c r="BU740" s="3045"/>
      <c r="BV740" s="3045"/>
      <c r="BW740" s="3045"/>
      <c r="BX740" s="3045"/>
      <c r="BY740" s="3045"/>
      <c r="BZ740" s="3045"/>
      <c r="CA740" s="3045"/>
      <c r="CB740" s="3045"/>
      <c r="CC740" s="3045"/>
      <c r="CD740" s="3045"/>
      <c r="CE740" s="3041"/>
      <c r="CF740" s="3041"/>
      <c r="CG740" s="3041"/>
      <c r="CH740" s="3041"/>
      <c r="CI740" s="3041"/>
      <c r="CJ740" s="3041"/>
      <c r="CK740" s="3041"/>
    </row>
    <row r="741" spans="12:89" x14ac:dyDescent="0.2">
      <c r="L741" s="3048"/>
      <c r="M741" s="3043"/>
      <c r="N741" s="3043"/>
      <c r="O741" s="3043"/>
      <c r="P741" s="3043"/>
      <c r="Q741" s="3043"/>
      <c r="R741" s="3050"/>
      <c r="S741" s="3050"/>
      <c r="T741" s="3043"/>
      <c r="U741" s="3043"/>
      <c r="V741" s="3043"/>
      <c r="W741" s="3043"/>
      <c r="X741" s="3043"/>
      <c r="Y741" s="3043"/>
      <c r="Z741" s="3043"/>
      <c r="AA741" s="3043"/>
      <c r="AB741" s="3043"/>
      <c r="AC741" s="3043"/>
      <c r="AD741" s="3043"/>
      <c r="AE741" s="3043"/>
      <c r="AF741" s="3043"/>
      <c r="AG741" s="3043"/>
      <c r="AH741" s="3043"/>
      <c r="AI741" s="3043"/>
      <c r="AJ741" s="3043"/>
      <c r="AK741" s="3043"/>
      <c r="AL741" s="3043"/>
      <c r="AM741" s="3043"/>
      <c r="AN741" s="3043"/>
      <c r="AO741" s="3043"/>
      <c r="AP741" s="3043"/>
      <c r="AQ741" s="3043"/>
      <c r="AR741" s="3043"/>
      <c r="AS741" s="3043"/>
      <c r="AT741" s="3043"/>
      <c r="AU741" s="3043"/>
      <c r="AV741" s="3044"/>
      <c r="AW741" s="3043"/>
      <c r="AX741" s="3043"/>
      <c r="AY741" s="3043"/>
      <c r="AZ741" s="3043"/>
      <c r="BA741" s="3043"/>
      <c r="BB741" s="3043"/>
      <c r="BC741" s="3043"/>
      <c r="BD741" s="3043"/>
      <c r="BE741" s="3043"/>
      <c r="BF741" s="3043"/>
      <c r="BG741" s="3043"/>
      <c r="BH741" s="3043"/>
      <c r="BI741" s="3045"/>
      <c r="BJ741" s="3045"/>
      <c r="BK741" s="3045"/>
      <c r="BL741" s="3045"/>
      <c r="BM741" s="3045"/>
      <c r="BN741" s="3045"/>
      <c r="BO741" s="3045"/>
      <c r="BP741" s="3045"/>
      <c r="BQ741" s="3045"/>
      <c r="BR741" s="3045"/>
      <c r="BS741" s="3045"/>
      <c r="BT741" s="3045"/>
      <c r="BU741" s="3045"/>
      <c r="BV741" s="3045"/>
      <c r="BW741" s="3045"/>
      <c r="BX741" s="3045"/>
      <c r="BY741" s="3045"/>
      <c r="BZ741" s="3045"/>
      <c r="CA741" s="3045"/>
      <c r="CB741" s="3045"/>
      <c r="CC741" s="3045"/>
      <c r="CD741" s="3045"/>
      <c r="CE741" s="3042"/>
      <c r="CF741" s="3042"/>
      <c r="CG741" s="3042"/>
      <c r="CH741" s="3042"/>
      <c r="CI741" s="3042"/>
      <c r="CJ741" s="3042"/>
      <c r="CK741" s="3042"/>
    </row>
  </sheetData>
  <mergeCells count="77">
    <mergeCell ref="BI735:BI741"/>
    <mergeCell ref="BJ735:BJ741"/>
    <mergeCell ref="BU735:BU741"/>
    <mergeCell ref="BV735:BV741"/>
    <mergeCell ref="BS735:BS741"/>
    <mergeCell ref="BT735:BT741"/>
    <mergeCell ref="BM735:BM741"/>
    <mergeCell ref="BN735:BN741"/>
    <mergeCell ref="BK735:BK741"/>
    <mergeCell ref="BL735:BL741"/>
    <mergeCell ref="BP735:BP741"/>
    <mergeCell ref="BQ735:BQ741"/>
    <mergeCell ref="BR735:BR741"/>
    <mergeCell ref="AA735:AA741"/>
    <mergeCell ref="AB735:AB741"/>
    <mergeCell ref="CI735:CI741"/>
    <mergeCell ref="BW735:BW741"/>
    <mergeCell ref="CJ735:CJ741"/>
    <mergeCell ref="CA735:CA741"/>
    <mergeCell ref="CH735:CH741"/>
    <mergeCell ref="CB735:CB741"/>
    <mergeCell ref="BX735:BX741"/>
    <mergeCell ref="BY735:BY741"/>
    <mergeCell ref="BZ735:BZ741"/>
    <mergeCell ref="CG735:CG741"/>
    <mergeCell ref="CE735:CE741"/>
    <mergeCell ref="CF735:CF741"/>
    <mergeCell ref="CC735:CC741"/>
    <mergeCell ref="CD735:CD741"/>
    <mergeCell ref="BH735:BH741"/>
    <mergeCell ref="AC735:AC741"/>
    <mergeCell ref="AD735:AD741"/>
    <mergeCell ref="AF735:AF741"/>
    <mergeCell ref="AU735:AU741"/>
    <mergeCell ref="AG735:AG741"/>
    <mergeCell ref="AM735:AM741"/>
    <mergeCell ref="AN735:AN741"/>
    <mergeCell ref="AQ735:AQ741"/>
    <mergeCell ref="AR735:AR741"/>
    <mergeCell ref="AO735:AO741"/>
    <mergeCell ref="AP735:AP741"/>
    <mergeCell ref="AK735:AK741"/>
    <mergeCell ref="AJ735:AJ741"/>
    <mergeCell ref="AH735:AH741"/>
    <mergeCell ref="AI735:AI741"/>
    <mergeCell ref="AL735:AL741"/>
    <mergeCell ref="L735:L741"/>
    <mergeCell ref="M735:M741"/>
    <mergeCell ref="N735:N741"/>
    <mergeCell ref="O735:O741"/>
    <mergeCell ref="P735:P741"/>
    <mergeCell ref="Q735:Q741"/>
    <mergeCell ref="AE735:AE741"/>
    <mergeCell ref="W735:W741"/>
    <mergeCell ref="X735:X741"/>
    <mergeCell ref="Y735:Y741"/>
    <mergeCell ref="T735:T741"/>
    <mergeCell ref="U735:U741"/>
    <mergeCell ref="V735:V741"/>
    <mergeCell ref="Z735:Z741"/>
    <mergeCell ref="R735:S741"/>
    <mergeCell ref="CK735:CK741"/>
    <mergeCell ref="BG735:BG741"/>
    <mergeCell ref="BA735:BA741"/>
    <mergeCell ref="BB735:BB741"/>
    <mergeCell ref="AS735:AS741"/>
    <mergeCell ref="AT735:AT741"/>
    <mergeCell ref="AX735:AX741"/>
    <mergeCell ref="AY735:AY741"/>
    <mergeCell ref="AZ735:AZ741"/>
    <mergeCell ref="BE735:BE741"/>
    <mergeCell ref="BF735:BF741"/>
    <mergeCell ref="AV735:AV741"/>
    <mergeCell ref="BC735:BC741"/>
    <mergeCell ref="BD735:BD741"/>
    <mergeCell ref="AW735:AW741"/>
    <mergeCell ref="BO735:BO74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73"/>
  <sheetViews>
    <sheetView topLeftCell="A2" workbookViewId="0">
      <selection activeCell="B32" sqref="B32"/>
    </sheetView>
  </sheetViews>
  <sheetFormatPr defaultRowHeight="12.75" x14ac:dyDescent="0.2"/>
  <cols>
    <col min="1" max="1" width="14.7109375" bestFit="1" customWidth="1"/>
    <col min="2" max="2" width="18.85546875" bestFit="1" customWidth="1"/>
    <col min="4" max="4" width="10.28515625" style="2022" bestFit="1" customWidth="1"/>
    <col min="5" max="5" width="11.85546875" bestFit="1" customWidth="1"/>
    <col min="6" max="6" width="11.7109375" customWidth="1"/>
  </cols>
  <sheetData>
    <row r="2" spans="1:2" x14ac:dyDescent="0.2">
      <c r="A2" s="1127" t="s">
        <v>174</v>
      </c>
      <c r="B2" s="1127" t="s">
        <v>261</v>
      </c>
    </row>
    <row r="3" spans="1:2" x14ac:dyDescent="0.2">
      <c r="A3" s="2029" t="s">
        <v>4807</v>
      </c>
      <c r="B3" s="2030">
        <v>582403.78</v>
      </c>
    </row>
    <row r="4" spans="1:2" x14ac:dyDescent="0.2">
      <c r="A4" s="2029" t="s">
        <v>4809</v>
      </c>
      <c r="B4" s="2030"/>
    </row>
    <row r="5" spans="1:2" x14ac:dyDescent="0.2">
      <c r="A5" s="2029" t="s">
        <v>4811</v>
      </c>
      <c r="B5" s="2030">
        <v>1368.71</v>
      </c>
    </row>
    <row r="6" spans="1:2" x14ac:dyDescent="0.2">
      <c r="A6" s="2029" t="s">
        <v>4813</v>
      </c>
      <c r="B6" s="2030">
        <v>4500</v>
      </c>
    </row>
    <row r="7" spans="1:2" x14ac:dyDescent="0.2">
      <c r="A7" s="2029" t="s">
        <v>4815</v>
      </c>
      <c r="B7" s="2030"/>
    </row>
    <row r="8" spans="1:2" x14ac:dyDescent="0.2">
      <c r="A8" s="2029" t="s">
        <v>4817</v>
      </c>
      <c r="B8" s="2030">
        <v>798.6</v>
      </c>
    </row>
    <row r="9" spans="1:2" x14ac:dyDescent="0.2">
      <c r="A9" s="2029" t="s">
        <v>4819</v>
      </c>
      <c r="B9" s="2030">
        <v>566.24</v>
      </c>
    </row>
    <row r="10" spans="1:2" x14ac:dyDescent="0.2">
      <c r="A10" s="2029" t="s">
        <v>4821</v>
      </c>
      <c r="B10" s="2030">
        <v>13141.04</v>
      </c>
    </row>
    <row r="11" spans="1:2" x14ac:dyDescent="0.2">
      <c r="A11" s="2029" t="s">
        <v>4823</v>
      </c>
      <c r="B11" s="2030">
        <v>360.8</v>
      </c>
    </row>
    <row r="12" spans="1:2" x14ac:dyDescent="0.2">
      <c r="A12" s="2029" t="s">
        <v>4825</v>
      </c>
      <c r="B12" s="2030">
        <v>6537.78</v>
      </c>
    </row>
    <row r="13" spans="1:2" x14ac:dyDescent="0.2">
      <c r="A13" s="2029" t="s">
        <v>4827</v>
      </c>
      <c r="B13" s="2030" t="s">
        <v>6399</v>
      </c>
    </row>
    <row r="14" spans="1:2" x14ac:dyDescent="0.2">
      <c r="A14" s="2029" t="s">
        <v>4828</v>
      </c>
      <c r="B14" s="2030">
        <v>31084.2</v>
      </c>
    </row>
    <row r="15" spans="1:2" x14ac:dyDescent="0.2">
      <c r="A15" s="2029" t="s">
        <v>4830</v>
      </c>
      <c r="B15" s="2030">
        <v>68181.72</v>
      </c>
    </row>
    <row r="16" spans="1:2" x14ac:dyDescent="0.2">
      <c r="A16" s="2029" t="s">
        <v>4832</v>
      </c>
      <c r="B16" s="2030">
        <v>6175.16</v>
      </c>
    </row>
    <row r="17" spans="1:2" x14ac:dyDescent="0.2">
      <c r="A17" s="2029" t="s">
        <v>4834</v>
      </c>
      <c r="B17" s="2030">
        <v>1496677.83</v>
      </c>
    </row>
    <row r="18" spans="1:2" x14ac:dyDescent="0.2">
      <c r="A18" s="2029" t="s">
        <v>4836</v>
      </c>
      <c r="B18" s="2030">
        <v>117106.71</v>
      </c>
    </row>
    <row r="19" spans="1:2" x14ac:dyDescent="0.2">
      <c r="A19" s="2029" t="s">
        <v>4838</v>
      </c>
      <c r="B19" s="2030">
        <v>557212.22</v>
      </c>
    </row>
    <row r="20" spans="1:2" x14ac:dyDescent="0.2">
      <c r="A20" s="2029" t="s">
        <v>4840</v>
      </c>
      <c r="B20" s="2030">
        <v>20476.2</v>
      </c>
    </row>
    <row r="21" spans="1:2" x14ac:dyDescent="0.2">
      <c r="A21" s="2029" t="s">
        <v>4842</v>
      </c>
      <c r="B21" s="2030">
        <v>17652.599999999999</v>
      </c>
    </row>
    <row r="22" spans="1:2" x14ac:dyDescent="0.2">
      <c r="A22" s="2029" t="s">
        <v>4844</v>
      </c>
      <c r="B22" s="2030" t="s">
        <v>6399</v>
      </c>
    </row>
    <row r="23" spans="1:2" x14ac:dyDescent="0.2">
      <c r="A23" s="2029" t="s">
        <v>4846</v>
      </c>
      <c r="B23" s="2030">
        <v>0</v>
      </c>
    </row>
    <row r="24" spans="1:2" x14ac:dyDescent="0.2">
      <c r="A24" s="2029" t="s">
        <v>4848</v>
      </c>
      <c r="B24" s="2030">
        <v>-20580</v>
      </c>
    </row>
    <row r="25" spans="1:2" x14ac:dyDescent="0.2">
      <c r="A25" s="2029" t="s">
        <v>4852</v>
      </c>
      <c r="B25" s="2030">
        <v>-219.3</v>
      </c>
    </row>
    <row r="26" spans="1:2" x14ac:dyDescent="0.2">
      <c r="A26" s="2029" t="s">
        <v>4854</v>
      </c>
      <c r="B26" s="2030">
        <v>880</v>
      </c>
    </row>
    <row r="27" spans="1:2" x14ac:dyDescent="0.2">
      <c r="A27" s="2029" t="s">
        <v>4856</v>
      </c>
      <c r="B27" s="2030">
        <v>479689.77</v>
      </c>
    </row>
    <row r="28" spans="1:2" x14ac:dyDescent="0.2">
      <c r="A28" s="2029" t="s">
        <v>4858</v>
      </c>
      <c r="B28" s="2030">
        <v>38314.15</v>
      </c>
    </row>
    <row r="29" spans="1:2" x14ac:dyDescent="0.2">
      <c r="A29" s="2029" t="s">
        <v>4860</v>
      </c>
      <c r="B29" s="2030">
        <v>6600</v>
      </c>
    </row>
    <row r="30" spans="1:2" x14ac:dyDescent="0.2">
      <c r="A30" s="2029" t="s">
        <v>4864</v>
      </c>
      <c r="B30" s="2030">
        <v>0</v>
      </c>
    </row>
    <row r="31" spans="1:2" x14ac:dyDescent="0.2">
      <c r="A31" s="2029" t="s">
        <v>4866</v>
      </c>
      <c r="B31" s="2566">
        <f>21078163+1014800</f>
        <v>22092963</v>
      </c>
    </row>
    <row r="32" spans="1:2" x14ac:dyDescent="0.2">
      <c r="A32" s="2029" t="s">
        <v>4868</v>
      </c>
      <c r="B32" s="2030">
        <v>0</v>
      </c>
    </row>
    <row r="33" spans="1:4" x14ac:dyDescent="0.2">
      <c r="A33" s="2029" t="s">
        <v>4870</v>
      </c>
      <c r="B33" s="2030">
        <v>74832.12</v>
      </c>
    </row>
    <row r="34" spans="1:4" x14ac:dyDescent="0.2">
      <c r="A34" s="2029" t="s">
        <v>4872</v>
      </c>
      <c r="B34" s="2030">
        <f>2016.39-D34</f>
        <v>0</v>
      </c>
      <c r="D34" s="2022">
        <v>2016.39</v>
      </c>
    </row>
    <row r="35" spans="1:4" x14ac:dyDescent="0.2">
      <c r="A35" s="2029" t="s">
        <v>4874</v>
      </c>
      <c r="B35" s="2030">
        <v>53670.27</v>
      </c>
    </row>
    <row r="36" spans="1:4" x14ac:dyDescent="0.2">
      <c r="A36" s="2029" t="s">
        <v>4876</v>
      </c>
      <c r="B36" s="2030">
        <v>0</v>
      </c>
    </row>
    <row r="37" spans="1:4" x14ac:dyDescent="0.2">
      <c r="A37" s="2029" t="s">
        <v>4878</v>
      </c>
      <c r="B37" s="2030">
        <v>580150.98</v>
      </c>
    </row>
    <row r="38" spans="1:4" x14ac:dyDescent="0.2">
      <c r="A38" s="2029" t="s">
        <v>4880</v>
      </c>
      <c r="B38" s="2030">
        <v>41259.68</v>
      </c>
    </row>
    <row r="39" spans="1:4" x14ac:dyDescent="0.2">
      <c r="A39" s="2029" t="s">
        <v>4882</v>
      </c>
      <c r="B39" s="2030">
        <v>0</v>
      </c>
    </row>
    <row r="40" spans="1:4" x14ac:dyDescent="0.2">
      <c r="A40" s="2029" t="s">
        <v>4886</v>
      </c>
      <c r="B40" s="2030">
        <v>1921.62</v>
      </c>
    </row>
    <row r="41" spans="1:4" x14ac:dyDescent="0.2">
      <c r="A41" s="2029" t="s">
        <v>4888</v>
      </c>
      <c r="B41" s="2030">
        <v>13435</v>
      </c>
    </row>
    <row r="42" spans="1:4" x14ac:dyDescent="0.2">
      <c r="A42" s="2029" t="s">
        <v>4890</v>
      </c>
      <c r="B42" s="2030">
        <f>906.08-D42</f>
        <v>0</v>
      </c>
      <c r="D42" s="2022">
        <v>906.08</v>
      </c>
    </row>
    <row r="43" spans="1:4" x14ac:dyDescent="0.2">
      <c r="A43" s="2029" t="s">
        <v>4892</v>
      </c>
      <c r="B43" s="2030" t="s">
        <v>6399</v>
      </c>
    </row>
    <row r="44" spans="1:4" x14ac:dyDescent="0.2">
      <c r="A44" s="2029" t="s">
        <v>4894</v>
      </c>
      <c r="B44" s="2030">
        <v>1415.05</v>
      </c>
    </row>
    <row r="45" spans="1:4" x14ac:dyDescent="0.2">
      <c r="A45" s="2029" t="s">
        <v>4896</v>
      </c>
      <c r="B45" s="2030">
        <v>54745.63</v>
      </c>
    </row>
    <row r="46" spans="1:4" x14ac:dyDescent="0.2">
      <c r="A46" s="2029" t="s">
        <v>4898</v>
      </c>
      <c r="B46" s="2030">
        <v>5974.53</v>
      </c>
    </row>
    <row r="47" spans="1:4" x14ac:dyDescent="0.2">
      <c r="A47" s="2029" t="s">
        <v>4902</v>
      </c>
      <c r="B47" s="2030">
        <v>0</v>
      </c>
    </row>
    <row r="48" spans="1:4" x14ac:dyDescent="0.2">
      <c r="A48" s="2029" t="s">
        <v>4904</v>
      </c>
      <c r="B48" s="2030">
        <v>477339.96</v>
      </c>
    </row>
    <row r="49" spans="1:2" x14ac:dyDescent="0.2">
      <c r="A49" s="2029" t="s">
        <v>4905</v>
      </c>
      <c r="B49" s="2030" t="s">
        <v>6399</v>
      </c>
    </row>
    <row r="50" spans="1:2" x14ac:dyDescent="0.2">
      <c r="A50" s="2029" t="s">
        <v>4906</v>
      </c>
      <c r="B50" s="2030">
        <v>551.87</v>
      </c>
    </row>
    <row r="51" spans="1:2" x14ac:dyDescent="0.2">
      <c r="A51" s="2029" t="s">
        <v>4907</v>
      </c>
      <c r="B51" s="2030">
        <v>19138.400000000001</v>
      </c>
    </row>
    <row r="52" spans="1:2" x14ac:dyDescent="0.2">
      <c r="A52" s="2029" t="s">
        <v>4908</v>
      </c>
      <c r="B52" s="2030">
        <v>23817.599999999999</v>
      </c>
    </row>
    <row r="53" spans="1:2" x14ac:dyDescent="0.2">
      <c r="A53" s="2029" t="s">
        <v>4909</v>
      </c>
      <c r="B53" s="2030"/>
    </row>
    <row r="54" spans="1:2" x14ac:dyDescent="0.2">
      <c r="A54" s="2029" t="s">
        <v>4910</v>
      </c>
      <c r="B54" s="2030">
        <v>73759.8</v>
      </c>
    </row>
    <row r="55" spans="1:2" x14ac:dyDescent="0.2">
      <c r="A55" s="2029" t="s">
        <v>4911</v>
      </c>
      <c r="B55" s="2030">
        <v>2049.1999999999998</v>
      </c>
    </row>
    <row r="56" spans="1:2" x14ac:dyDescent="0.2">
      <c r="A56" s="2029" t="s">
        <v>4912</v>
      </c>
      <c r="B56" s="2030">
        <v>6629.71</v>
      </c>
    </row>
    <row r="57" spans="1:2" x14ac:dyDescent="0.2">
      <c r="A57" s="2029" t="s">
        <v>4913</v>
      </c>
      <c r="B57" s="2030" t="s">
        <v>6399</v>
      </c>
    </row>
    <row r="58" spans="1:2" x14ac:dyDescent="0.2">
      <c r="A58" s="2029" t="s">
        <v>4914</v>
      </c>
      <c r="B58" s="2030">
        <v>7408.8</v>
      </c>
    </row>
    <row r="59" spans="1:2" x14ac:dyDescent="0.2">
      <c r="A59" s="2029" t="s">
        <v>4915</v>
      </c>
      <c r="B59" s="2030">
        <v>123443.12</v>
      </c>
    </row>
    <row r="60" spans="1:2" x14ac:dyDescent="0.2">
      <c r="A60" s="2029" t="s">
        <v>4916</v>
      </c>
      <c r="B60" s="2030">
        <v>2408.38</v>
      </c>
    </row>
    <row r="61" spans="1:2" x14ac:dyDescent="0.2">
      <c r="A61" s="2029" t="s">
        <v>4917</v>
      </c>
      <c r="B61" s="2030">
        <v>0</v>
      </c>
    </row>
    <row r="62" spans="1:2" x14ac:dyDescent="0.2">
      <c r="A62" s="2029" t="s">
        <v>4919</v>
      </c>
      <c r="B62" s="2030">
        <v>101.02</v>
      </c>
    </row>
    <row r="63" spans="1:2" x14ac:dyDescent="0.2">
      <c r="A63" s="2029" t="s">
        <v>4920</v>
      </c>
      <c r="B63" s="2030">
        <v>642.5</v>
      </c>
    </row>
    <row r="64" spans="1:2" x14ac:dyDescent="0.2">
      <c r="A64" s="2029" t="s">
        <v>4923</v>
      </c>
      <c r="B64" s="2030" t="s">
        <v>6399</v>
      </c>
    </row>
    <row r="65" spans="1:2" x14ac:dyDescent="0.2">
      <c r="A65" s="2029" t="s">
        <v>4925</v>
      </c>
      <c r="B65" s="2030">
        <v>6271.29</v>
      </c>
    </row>
    <row r="66" spans="1:2" x14ac:dyDescent="0.2">
      <c r="A66" s="2029" t="s">
        <v>4925</v>
      </c>
      <c r="B66" s="2030">
        <v>0</v>
      </c>
    </row>
    <row r="67" spans="1:2" x14ac:dyDescent="0.2">
      <c r="A67" s="2029" t="s">
        <v>4926</v>
      </c>
      <c r="B67" s="2030">
        <v>1695</v>
      </c>
    </row>
    <row r="68" spans="1:2" x14ac:dyDescent="0.2">
      <c r="A68" s="2029" t="s">
        <v>4927</v>
      </c>
      <c r="B68" s="2030">
        <v>187577.94</v>
      </c>
    </row>
    <row r="69" spans="1:2" x14ac:dyDescent="0.2">
      <c r="A69" s="2029" t="s">
        <v>4930</v>
      </c>
      <c r="B69" s="2030"/>
    </row>
    <row r="70" spans="1:2" x14ac:dyDescent="0.2">
      <c r="A70" s="2029" t="s">
        <v>4935</v>
      </c>
      <c r="B70" s="2030">
        <v>290500.90000000002</v>
      </c>
    </row>
    <row r="71" spans="1:2" x14ac:dyDescent="0.2">
      <c r="A71" s="2029" t="s">
        <v>4936</v>
      </c>
      <c r="B71" s="2030">
        <v>2057419.62</v>
      </c>
    </row>
    <row r="72" spans="1:2" x14ac:dyDescent="0.2">
      <c r="A72" s="2029" t="s">
        <v>4937</v>
      </c>
      <c r="B72" s="2030">
        <v>133177.72</v>
      </c>
    </row>
    <row r="73" spans="1:2" x14ac:dyDescent="0.2">
      <c r="A73" s="2029" t="s">
        <v>4938</v>
      </c>
      <c r="B73" s="2030"/>
    </row>
    <row r="74" spans="1:2" x14ac:dyDescent="0.2">
      <c r="A74" s="2029" t="s">
        <v>4939</v>
      </c>
      <c r="B74" s="2030">
        <v>5742.46</v>
      </c>
    </row>
    <row r="75" spans="1:2" x14ac:dyDescent="0.2">
      <c r="A75" s="2029" t="s">
        <v>4940</v>
      </c>
      <c r="B75" s="2030">
        <v>164134.84</v>
      </c>
    </row>
    <row r="76" spans="1:2" x14ac:dyDescent="0.2">
      <c r="A76" s="2029" t="s">
        <v>4941</v>
      </c>
      <c r="B76" s="2030">
        <v>4625.04</v>
      </c>
    </row>
    <row r="77" spans="1:2" x14ac:dyDescent="0.2">
      <c r="A77" s="2029" t="s">
        <v>4942</v>
      </c>
      <c r="B77" s="2030">
        <v>20965.38</v>
      </c>
    </row>
    <row r="78" spans="1:2" x14ac:dyDescent="0.2">
      <c r="A78" s="2029" t="s">
        <v>4943</v>
      </c>
      <c r="B78" s="2030">
        <v>2400</v>
      </c>
    </row>
    <row r="79" spans="1:2" x14ac:dyDescent="0.2">
      <c r="A79" s="2029" t="s">
        <v>4944</v>
      </c>
      <c r="B79" s="2030"/>
    </row>
    <row r="80" spans="1:2" x14ac:dyDescent="0.2">
      <c r="A80" s="2029" t="s">
        <v>4945</v>
      </c>
      <c r="B80" s="2030">
        <v>2122.16</v>
      </c>
    </row>
    <row r="81" spans="1:2" x14ac:dyDescent="0.2">
      <c r="A81" s="2029" t="s">
        <v>4946</v>
      </c>
      <c r="B81" s="2030">
        <v>17370</v>
      </c>
    </row>
    <row r="82" spans="1:2" x14ac:dyDescent="0.2">
      <c r="A82" s="2029" t="s">
        <v>4947</v>
      </c>
      <c r="B82" s="2030">
        <v>2008</v>
      </c>
    </row>
    <row r="83" spans="1:2" x14ac:dyDescent="0.2">
      <c r="A83" s="2029" t="s">
        <v>4948</v>
      </c>
      <c r="B83" s="2030">
        <v>21076.81</v>
      </c>
    </row>
    <row r="84" spans="1:2" x14ac:dyDescent="0.2">
      <c r="A84" s="2029" t="s">
        <v>4949</v>
      </c>
      <c r="B84" s="2030">
        <v>4011.28</v>
      </c>
    </row>
    <row r="85" spans="1:2" x14ac:dyDescent="0.2">
      <c r="A85" s="2029" t="s">
        <v>4950</v>
      </c>
      <c r="B85" s="2030"/>
    </row>
    <row r="86" spans="1:2" x14ac:dyDescent="0.2">
      <c r="A86" s="2029" t="s">
        <v>4951</v>
      </c>
      <c r="B86" s="2030">
        <v>7376.2</v>
      </c>
    </row>
    <row r="87" spans="1:2" x14ac:dyDescent="0.2">
      <c r="A87" s="2029" t="s">
        <v>4952</v>
      </c>
      <c r="B87" s="2030"/>
    </row>
    <row r="88" spans="1:2" x14ac:dyDescent="0.2">
      <c r="A88" s="2029" t="s">
        <v>4953</v>
      </c>
      <c r="B88" s="2030">
        <v>232.84</v>
      </c>
    </row>
    <row r="89" spans="1:2" x14ac:dyDescent="0.2">
      <c r="A89" s="2029" t="s">
        <v>4955</v>
      </c>
      <c r="B89" s="2030">
        <v>4223.29</v>
      </c>
    </row>
    <row r="90" spans="1:2" x14ac:dyDescent="0.2">
      <c r="A90" s="2029" t="s">
        <v>4956</v>
      </c>
      <c r="B90" s="2030">
        <v>30000</v>
      </c>
    </row>
    <row r="91" spans="1:2" x14ac:dyDescent="0.2">
      <c r="A91" s="2029" t="s">
        <v>4957</v>
      </c>
      <c r="B91" s="2030">
        <v>11200</v>
      </c>
    </row>
    <row r="92" spans="1:2" x14ac:dyDescent="0.2">
      <c r="A92" s="2029" t="s">
        <v>4958</v>
      </c>
      <c r="B92" s="2030">
        <v>-45.1</v>
      </c>
    </row>
    <row r="93" spans="1:2" x14ac:dyDescent="0.2">
      <c r="A93" s="2029" t="s">
        <v>4959</v>
      </c>
      <c r="B93" s="2030">
        <v>1201.3</v>
      </c>
    </row>
    <row r="94" spans="1:2" x14ac:dyDescent="0.2">
      <c r="A94" s="2029" t="s">
        <v>4960</v>
      </c>
      <c r="B94" s="2030">
        <v>82</v>
      </c>
    </row>
    <row r="95" spans="1:2" x14ac:dyDescent="0.2">
      <c r="A95" s="2029" t="s">
        <v>4961</v>
      </c>
      <c r="B95" s="2030">
        <v>2041.49</v>
      </c>
    </row>
    <row r="96" spans="1:2" x14ac:dyDescent="0.2">
      <c r="A96" s="2029" t="s">
        <v>4962</v>
      </c>
      <c r="B96" s="2030">
        <v>23997.06</v>
      </c>
    </row>
    <row r="97" spans="1:2" x14ac:dyDescent="0.2">
      <c r="A97" s="2029" t="s">
        <v>4963</v>
      </c>
      <c r="B97" s="2030">
        <v>1659.1</v>
      </c>
    </row>
    <row r="98" spans="1:2" x14ac:dyDescent="0.2">
      <c r="A98" s="2029" t="s">
        <v>4964</v>
      </c>
      <c r="B98" s="2030" t="s">
        <v>6399</v>
      </c>
    </row>
    <row r="99" spans="1:2" x14ac:dyDescent="0.2">
      <c r="A99" s="2029" t="s">
        <v>4965</v>
      </c>
      <c r="B99" s="2030" t="s">
        <v>6399</v>
      </c>
    </row>
    <row r="100" spans="1:2" x14ac:dyDescent="0.2">
      <c r="A100" s="2029" t="s">
        <v>4966</v>
      </c>
      <c r="B100" s="2030"/>
    </row>
    <row r="101" spans="1:2" x14ac:dyDescent="0.2">
      <c r="A101" s="2029" t="s">
        <v>4967</v>
      </c>
      <c r="B101" s="2030">
        <v>7367.33</v>
      </c>
    </row>
    <row r="102" spans="1:2" x14ac:dyDescent="0.2">
      <c r="A102" s="2029" t="s">
        <v>4968</v>
      </c>
      <c r="B102" s="2030">
        <v>138428.4</v>
      </c>
    </row>
    <row r="103" spans="1:2" x14ac:dyDescent="0.2">
      <c r="A103" s="2029" t="s">
        <v>4969</v>
      </c>
      <c r="B103" s="2030">
        <v>11968.8</v>
      </c>
    </row>
    <row r="104" spans="1:2" x14ac:dyDescent="0.2">
      <c r="A104" s="2029" t="s">
        <v>4970</v>
      </c>
      <c r="B104" s="2030">
        <v>15420.76</v>
      </c>
    </row>
    <row r="105" spans="1:2" x14ac:dyDescent="0.2">
      <c r="A105" s="2029" t="s">
        <v>4971</v>
      </c>
      <c r="B105" s="2030">
        <v>349296.07</v>
      </c>
    </row>
    <row r="106" spans="1:2" x14ac:dyDescent="0.2">
      <c r="A106" s="2029" t="s">
        <v>4972</v>
      </c>
      <c r="B106" s="2030">
        <v>22861.08</v>
      </c>
    </row>
    <row r="107" spans="1:2" x14ac:dyDescent="0.2">
      <c r="A107" s="2029" t="s">
        <v>4973</v>
      </c>
      <c r="B107" s="2030">
        <v>1035.74</v>
      </c>
    </row>
    <row r="108" spans="1:2" x14ac:dyDescent="0.2">
      <c r="A108" s="2029" t="s">
        <v>4974</v>
      </c>
      <c r="B108" s="2030">
        <v>22369.93</v>
      </c>
    </row>
    <row r="109" spans="1:2" x14ac:dyDescent="0.2">
      <c r="A109" s="2029" t="s">
        <v>4975</v>
      </c>
      <c r="B109" s="2030">
        <v>1668.63</v>
      </c>
    </row>
    <row r="110" spans="1:2" x14ac:dyDescent="0.2">
      <c r="A110" s="2029" t="s">
        <v>4979</v>
      </c>
      <c r="B110" s="2030">
        <v>-300</v>
      </c>
    </row>
    <row r="111" spans="1:2" x14ac:dyDescent="0.2">
      <c r="A111" s="2029" t="s">
        <v>4981</v>
      </c>
      <c r="B111" s="2030">
        <v>718679.96</v>
      </c>
    </row>
    <row r="112" spans="1:2" x14ac:dyDescent="0.2">
      <c r="A112" s="2029" t="s">
        <v>4983</v>
      </c>
      <c r="B112" s="2030">
        <v>8300</v>
      </c>
    </row>
    <row r="113" spans="1:5" x14ac:dyDescent="0.2">
      <c r="A113" s="2029" t="s">
        <v>4984</v>
      </c>
      <c r="B113" s="2030">
        <v>416768</v>
      </c>
    </row>
    <row r="114" spans="1:5" x14ac:dyDescent="0.2">
      <c r="A114" s="2029" t="s">
        <v>4994</v>
      </c>
      <c r="B114" s="2030">
        <v>13475</v>
      </c>
    </row>
    <row r="115" spans="1:5" x14ac:dyDescent="0.2">
      <c r="A115" s="2029" t="s">
        <v>4995</v>
      </c>
      <c r="B115" s="2030">
        <v>1047580.96</v>
      </c>
    </row>
    <row r="116" spans="1:5" x14ac:dyDescent="0.2">
      <c r="A116" s="2029" t="s">
        <v>4997</v>
      </c>
      <c r="B116" s="2030">
        <f>833142.26+E116</f>
        <v>19314.670000000042</v>
      </c>
      <c r="E116">
        <v>-813827.59</v>
      </c>
    </row>
    <row r="117" spans="1:5" x14ac:dyDescent="0.2">
      <c r="A117" s="2029" t="s">
        <v>4999</v>
      </c>
      <c r="B117" s="2030">
        <v>799.06</v>
      </c>
    </row>
    <row r="118" spans="1:5" x14ac:dyDescent="0.2">
      <c r="A118" s="2029" t="s">
        <v>5000</v>
      </c>
      <c r="B118" s="2030">
        <v>171206.48</v>
      </c>
    </row>
    <row r="119" spans="1:5" x14ac:dyDescent="0.2">
      <c r="A119" s="2029" t="s">
        <v>5001</v>
      </c>
      <c r="B119" s="2030"/>
    </row>
    <row r="120" spans="1:5" x14ac:dyDescent="0.2">
      <c r="A120" s="2029" t="s">
        <v>5002</v>
      </c>
      <c r="B120" s="2030">
        <v>45371.64</v>
      </c>
    </row>
    <row r="121" spans="1:5" x14ac:dyDescent="0.2">
      <c r="A121" s="2029" t="s">
        <v>5004</v>
      </c>
      <c r="B121" s="2030">
        <v>2051544.62</v>
      </c>
    </row>
    <row r="122" spans="1:5" x14ac:dyDescent="0.2">
      <c r="A122" s="2029" t="s">
        <v>5006</v>
      </c>
      <c r="B122" s="2030">
        <v>19166.47</v>
      </c>
    </row>
    <row r="123" spans="1:5" x14ac:dyDescent="0.2">
      <c r="A123" s="2029" t="s">
        <v>5007</v>
      </c>
      <c r="B123" s="2030"/>
    </row>
    <row r="124" spans="1:5" x14ac:dyDescent="0.2">
      <c r="A124" s="2029" t="s">
        <v>5008</v>
      </c>
      <c r="B124" s="2030"/>
    </row>
    <row r="125" spans="1:5" x14ac:dyDescent="0.2">
      <c r="A125" s="2029" t="s">
        <v>5009</v>
      </c>
      <c r="B125" s="2030">
        <v>296222.11</v>
      </c>
    </row>
    <row r="126" spans="1:5" x14ac:dyDescent="0.2">
      <c r="A126" s="2029" t="s">
        <v>5010</v>
      </c>
      <c r="B126" s="2030"/>
    </row>
    <row r="127" spans="1:5" x14ac:dyDescent="0.2">
      <c r="A127" s="2029" t="s">
        <v>5011</v>
      </c>
      <c r="B127" s="2030"/>
    </row>
    <row r="128" spans="1:5" x14ac:dyDescent="0.2">
      <c r="A128" s="2029" t="s">
        <v>5013</v>
      </c>
      <c r="B128" s="2030">
        <v>5856.06</v>
      </c>
    </row>
    <row r="129" spans="1:4" x14ac:dyDescent="0.2">
      <c r="A129" s="2029" t="s">
        <v>5015</v>
      </c>
      <c r="B129" s="2030">
        <v>-344</v>
      </c>
    </row>
    <row r="130" spans="1:4" x14ac:dyDescent="0.2">
      <c r="A130" s="2029" t="s">
        <v>5017</v>
      </c>
      <c r="B130" s="2030">
        <v>2389.42</v>
      </c>
    </row>
    <row r="131" spans="1:4" x14ac:dyDescent="0.2">
      <c r="A131" s="2029" t="s">
        <v>5018</v>
      </c>
      <c r="B131" s="2030">
        <v>4221.6899999999996</v>
      </c>
    </row>
    <row r="132" spans="1:4" x14ac:dyDescent="0.2">
      <c r="A132" s="2029" t="s">
        <v>5019</v>
      </c>
      <c r="B132" s="2030">
        <v>88542.8</v>
      </c>
    </row>
    <row r="133" spans="1:4" x14ac:dyDescent="0.2">
      <c r="A133" s="2029" t="s">
        <v>5020</v>
      </c>
      <c r="B133" s="2030">
        <v>2771.05</v>
      </c>
    </row>
    <row r="134" spans="1:4" x14ac:dyDescent="0.2">
      <c r="A134" s="2029" t="s">
        <v>5021</v>
      </c>
      <c r="B134" s="2030">
        <v>2860.51</v>
      </c>
    </row>
    <row r="135" spans="1:4" x14ac:dyDescent="0.2">
      <c r="A135" s="2029" t="s">
        <v>5022</v>
      </c>
      <c r="B135" s="2030">
        <f>549.74-D135</f>
        <v>0</v>
      </c>
      <c r="D135" s="2022">
        <v>549.74</v>
      </c>
    </row>
    <row r="136" spans="1:4" x14ac:dyDescent="0.2">
      <c r="A136" s="2029" t="s">
        <v>5023</v>
      </c>
      <c r="B136" s="2030">
        <f>22.46-D136</f>
        <v>0</v>
      </c>
      <c r="D136" s="2022">
        <v>22.46</v>
      </c>
    </row>
    <row r="137" spans="1:4" x14ac:dyDescent="0.2">
      <c r="A137" s="2029" t="s">
        <v>5024</v>
      </c>
      <c r="B137" s="2030">
        <v>0</v>
      </c>
    </row>
    <row r="138" spans="1:4" x14ac:dyDescent="0.2">
      <c r="A138" s="2029" t="s">
        <v>5026</v>
      </c>
      <c r="B138" s="2030">
        <v>6554.7</v>
      </c>
    </row>
    <row r="139" spans="1:4" x14ac:dyDescent="0.2">
      <c r="A139" s="2029" t="s">
        <v>5027</v>
      </c>
      <c r="B139" s="2030">
        <v>0</v>
      </c>
    </row>
    <row r="140" spans="1:4" x14ac:dyDescent="0.2">
      <c r="A140" s="2029" t="s">
        <v>5028</v>
      </c>
      <c r="B140" s="2030">
        <v>0</v>
      </c>
    </row>
    <row r="141" spans="1:4" x14ac:dyDescent="0.2">
      <c r="A141" s="2029" t="s">
        <v>5029</v>
      </c>
      <c r="B141" s="2030">
        <v>54884.3</v>
      </c>
    </row>
    <row r="142" spans="1:4" x14ac:dyDescent="0.2">
      <c r="A142" s="2029" t="s">
        <v>5030</v>
      </c>
      <c r="B142" s="2030">
        <v>148731.53</v>
      </c>
    </row>
    <row r="143" spans="1:4" x14ac:dyDescent="0.2">
      <c r="A143" s="2029" t="s">
        <v>5031</v>
      </c>
      <c r="B143" s="2030">
        <v>22237.45</v>
      </c>
    </row>
    <row r="144" spans="1:4" x14ac:dyDescent="0.2">
      <c r="A144" s="2029" t="s">
        <v>5032</v>
      </c>
      <c r="B144" s="2030">
        <v>-28947.7</v>
      </c>
    </row>
    <row r="145" spans="1:4" x14ac:dyDescent="0.2">
      <c r="A145" s="2029" t="s">
        <v>5034</v>
      </c>
      <c r="B145" s="2030">
        <v>111045.98</v>
      </c>
    </row>
    <row r="146" spans="1:4" x14ac:dyDescent="0.2">
      <c r="A146" s="2029" t="s">
        <v>5035</v>
      </c>
      <c r="B146" s="2030">
        <v>296138.93</v>
      </c>
    </row>
    <row r="147" spans="1:4" x14ac:dyDescent="0.2">
      <c r="A147" s="2029" t="s">
        <v>5036</v>
      </c>
      <c r="B147" s="2030">
        <v>1077</v>
      </c>
    </row>
    <row r="148" spans="1:4" x14ac:dyDescent="0.2">
      <c r="A148" s="2029" t="s">
        <v>5037</v>
      </c>
      <c r="B148" s="2030">
        <v>-70984.28</v>
      </c>
    </row>
    <row r="149" spans="1:4" x14ac:dyDescent="0.2">
      <c r="A149" s="2029" t="s">
        <v>5038</v>
      </c>
      <c r="B149" s="2030">
        <v>1512997.88</v>
      </c>
    </row>
    <row r="150" spans="1:4" x14ac:dyDescent="0.2">
      <c r="A150" s="2029" t="s">
        <v>5039</v>
      </c>
      <c r="B150" s="2030">
        <f>1707-D150</f>
        <v>0</v>
      </c>
      <c r="D150" s="2022">
        <v>1707</v>
      </c>
    </row>
    <row r="151" spans="1:4" x14ac:dyDescent="0.2">
      <c r="A151" s="2029" t="s">
        <v>5040</v>
      </c>
      <c r="B151" s="2030">
        <f>66-D151</f>
        <v>0</v>
      </c>
      <c r="D151" s="2022">
        <v>66</v>
      </c>
    </row>
    <row r="152" spans="1:4" x14ac:dyDescent="0.2">
      <c r="A152" s="2029" t="s">
        <v>5041</v>
      </c>
      <c r="B152" s="2030">
        <v>3090318.15</v>
      </c>
    </row>
    <row r="153" spans="1:4" x14ac:dyDescent="0.2">
      <c r="A153" s="2029" t="s">
        <v>5044</v>
      </c>
      <c r="B153" s="2030">
        <v>3258559.65</v>
      </c>
    </row>
    <row r="154" spans="1:4" x14ac:dyDescent="0.2">
      <c r="A154" s="2029" t="s">
        <v>5047</v>
      </c>
      <c r="B154" s="2030" t="s">
        <v>6399</v>
      </c>
    </row>
    <row r="155" spans="1:4" x14ac:dyDescent="0.2">
      <c r="A155" s="2029" t="s">
        <v>5049</v>
      </c>
      <c r="B155" s="2030">
        <v>12485.61</v>
      </c>
    </row>
    <row r="156" spans="1:4" x14ac:dyDescent="0.2">
      <c r="A156" s="2029" t="s">
        <v>5050</v>
      </c>
      <c r="B156" s="2030" t="s">
        <v>6399</v>
      </c>
    </row>
    <row r="157" spans="1:4" x14ac:dyDescent="0.2">
      <c r="A157" s="2029" t="s">
        <v>5051</v>
      </c>
      <c r="B157" s="2030">
        <v>67.5</v>
      </c>
    </row>
    <row r="158" spans="1:4" x14ac:dyDescent="0.2">
      <c r="A158" s="2029" t="s">
        <v>5052</v>
      </c>
      <c r="B158" s="2030">
        <v>6442.66</v>
      </c>
    </row>
    <row r="159" spans="1:4" x14ac:dyDescent="0.2">
      <c r="A159" s="2029" t="s">
        <v>5055</v>
      </c>
      <c r="B159" s="2030">
        <v>170633.95</v>
      </c>
    </row>
    <row r="160" spans="1:4" x14ac:dyDescent="0.2">
      <c r="A160" s="2029" t="s">
        <v>5057</v>
      </c>
      <c r="B160" s="2030">
        <v>200.54</v>
      </c>
    </row>
    <row r="161" spans="1:2" x14ac:dyDescent="0.2">
      <c r="A161" s="2029" t="s">
        <v>5058</v>
      </c>
      <c r="B161" s="2030">
        <v>16095.97</v>
      </c>
    </row>
    <row r="162" spans="1:2" x14ac:dyDescent="0.2">
      <c r="A162" s="2029" t="s">
        <v>5061</v>
      </c>
      <c r="B162" s="2030">
        <v>-2712827.7</v>
      </c>
    </row>
    <row r="163" spans="1:2" x14ac:dyDescent="0.2">
      <c r="A163" s="2029" t="s">
        <v>5063</v>
      </c>
      <c r="B163" s="2030">
        <v>-394657.35</v>
      </c>
    </row>
    <row r="164" spans="1:2" x14ac:dyDescent="0.2">
      <c r="A164" s="2029" t="s">
        <v>5065</v>
      </c>
      <c r="B164" s="2030">
        <v>2849677.71</v>
      </c>
    </row>
    <row r="165" spans="1:2" x14ac:dyDescent="0.2">
      <c r="A165" s="2029" t="s">
        <v>5067</v>
      </c>
      <c r="B165" s="2030">
        <v>-281963.5</v>
      </c>
    </row>
    <row r="166" spans="1:2" x14ac:dyDescent="0.2">
      <c r="A166" s="2029" t="s">
        <v>5069</v>
      </c>
      <c r="B166" s="2030">
        <v>-2673458.25</v>
      </c>
    </row>
    <row r="167" spans="1:2" x14ac:dyDescent="0.2">
      <c r="A167" s="2029" t="s">
        <v>5074</v>
      </c>
      <c r="B167" s="2038">
        <v>-30993.11</v>
      </c>
    </row>
    <row r="168" spans="1:2" x14ac:dyDescent="0.2">
      <c r="A168" s="2029" t="s">
        <v>5075</v>
      </c>
      <c r="B168" s="2038">
        <v>-342.93</v>
      </c>
    </row>
    <row r="169" spans="1:2" x14ac:dyDescent="0.2">
      <c r="A169" s="2029" t="s">
        <v>5077</v>
      </c>
      <c r="B169" s="2030">
        <v>-226492.75</v>
      </c>
    </row>
    <row r="170" spans="1:2" x14ac:dyDescent="0.2">
      <c r="A170" s="2029" t="s">
        <v>5079</v>
      </c>
      <c r="B170" s="2030" t="s">
        <v>6399</v>
      </c>
    </row>
    <row r="171" spans="1:2" x14ac:dyDescent="0.2">
      <c r="A171" s="2029" t="s">
        <v>5081</v>
      </c>
      <c r="B171" s="2030">
        <v>-1733.14</v>
      </c>
    </row>
    <row r="172" spans="1:2" x14ac:dyDescent="0.2">
      <c r="A172" s="2029" t="s">
        <v>5083</v>
      </c>
      <c r="B172" s="2030">
        <v>0</v>
      </c>
    </row>
    <row r="173" spans="1:2" x14ac:dyDescent="0.2">
      <c r="A173" s="2029" t="s">
        <v>5084</v>
      </c>
      <c r="B173" s="2030">
        <v>-43055675.950000003</v>
      </c>
    </row>
    <row r="174" spans="1:2" x14ac:dyDescent="0.2">
      <c r="A174" s="2029" t="s">
        <v>5085</v>
      </c>
      <c r="B174" s="2030">
        <v>-1250000</v>
      </c>
    </row>
    <row r="175" spans="1:2" x14ac:dyDescent="0.2">
      <c r="A175" s="2029" t="s">
        <v>5086</v>
      </c>
      <c r="B175" s="2030">
        <v>0</v>
      </c>
    </row>
    <row r="176" spans="1:2" x14ac:dyDescent="0.2">
      <c r="A176" s="2029" t="s">
        <v>6400</v>
      </c>
      <c r="B176" s="2030">
        <v>-10020209.82</v>
      </c>
    </row>
    <row r="177" spans="1:2" x14ac:dyDescent="0.2">
      <c r="A177" s="2029" t="s">
        <v>5087</v>
      </c>
      <c r="B177" s="2030">
        <v>-13870.58</v>
      </c>
    </row>
    <row r="178" spans="1:2" x14ac:dyDescent="0.2">
      <c r="A178" s="2029" t="s">
        <v>5089</v>
      </c>
      <c r="B178" s="2030">
        <v>-23583.48</v>
      </c>
    </row>
    <row r="179" spans="1:2" x14ac:dyDescent="0.2">
      <c r="A179" s="2029" t="s">
        <v>5092</v>
      </c>
      <c r="B179" s="2030">
        <v>-800979.1</v>
      </c>
    </row>
    <row r="180" spans="1:2" x14ac:dyDescent="0.2">
      <c r="A180" s="2029" t="s">
        <v>5094</v>
      </c>
      <c r="B180" s="2030">
        <v>-42.11</v>
      </c>
    </row>
    <row r="181" spans="1:2" x14ac:dyDescent="0.2">
      <c r="A181" s="2029" t="s">
        <v>5096</v>
      </c>
      <c r="B181" s="2030"/>
    </row>
    <row r="182" spans="1:2" x14ac:dyDescent="0.2">
      <c r="A182" s="2029" t="s">
        <v>5099</v>
      </c>
      <c r="B182" s="2030">
        <v>632572.31000000006</v>
      </c>
    </row>
    <row r="183" spans="1:2" x14ac:dyDescent="0.2">
      <c r="A183" s="2029" t="s">
        <v>5100</v>
      </c>
      <c r="B183" s="2030">
        <v>30666.15</v>
      </c>
    </row>
    <row r="184" spans="1:2" x14ac:dyDescent="0.2">
      <c r="A184" s="2029" t="s">
        <v>5101</v>
      </c>
      <c r="B184" s="2030">
        <v>4500</v>
      </c>
    </row>
    <row r="185" spans="1:2" x14ac:dyDescent="0.2">
      <c r="A185" s="2029" t="s">
        <v>5102</v>
      </c>
      <c r="B185" s="2030">
        <v>409.96</v>
      </c>
    </row>
    <row r="186" spans="1:2" x14ac:dyDescent="0.2">
      <c r="A186" s="2029" t="s">
        <v>5103</v>
      </c>
      <c r="B186" s="2030">
        <v>25000</v>
      </c>
    </row>
    <row r="187" spans="1:2" x14ac:dyDescent="0.2">
      <c r="A187" s="2029" t="s">
        <v>5104</v>
      </c>
      <c r="B187" s="2030">
        <v>250.1</v>
      </c>
    </row>
    <row r="188" spans="1:2" x14ac:dyDescent="0.2">
      <c r="A188" s="2029" t="s">
        <v>5105</v>
      </c>
      <c r="B188" s="2030">
        <v>6552.34</v>
      </c>
    </row>
    <row r="189" spans="1:2" x14ac:dyDescent="0.2">
      <c r="A189" s="2029" t="s">
        <v>5106</v>
      </c>
      <c r="B189" s="2030" t="s">
        <v>6399</v>
      </c>
    </row>
    <row r="190" spans="1:2" x14ac:dyDescent="0.2">
      <c r="A190" s="2029" t="s">
        <v>5107</v>
      </c>
      <c r="B190" s="2030">
        <v>42282</v>
      </c>
    </row>
    <row r="191" spans="1:2" x14ac:dyDescent="0.2">
      <c r="A191" s="2029" t="s">
        <v>5108</v>
      </c>
      <c r="B191" s="2030">
        <v>100381.28</v>
      </c>
    </row>
    <row r="192" spans="1:2" x14ac:dyDescent="0.2">
      <c r="A192" s="2029" t="s">
        <v>5109</v>
      </c>
      <c r="B192" s="2030">
        <v>5488.92</v>
      </c>
    </row>
    <row r="193" spans="1:4" x14ac:dyDescent="0.2">
      <c r="A193" s="2029" t="s">
        <v>5110</v>
      </c>
      <c r="B193" s="2030"/>
    </row>
    <row r="194" spans="1:4" x14ac:dyDescent="0.2">
      <c r="A194" s="2029" t="s">
        <v>5112</v>
      </c>
      <c r="B194" s="2030" t="s">
        <v>6399</v>
      </c>
    </row>
    <row r="195" spans="1:4" x14ac:dyDescent="0.2">
      <c r="A195" s="2029" t="s">
        <v>5114</v>
      </c>
      <c r="B195" s="2030" t="s">
        <v>6399</v>
      </c>
    </row>
    <row r="196" spans="1:4" x14ac:dyDescent="0.2">
      <c r="A196" s="2029" t="s">
        <v>5115</v>
      </c>
      <c r="B196" s="2030">
        <v>69.69</v>
      </c>
    </row>
    <row r="197" spans="1:4" x14ac:dyDescent="0.2">
      <c r="A197" s="2029" t="s">
        <v>5116</v>
      </c>
      <c r="B197" s="2030">
        <f>100.71-D197</f>
        <v>0</v>
      </c>
      <c r="D197" s="2022">
        <v>100.71</v>
      </c>
    </row>
    <row r="198" spans="1:4" x14ac:dyDescent="0.2">
      <c r="A198" s="2029" t="s">
        <v>5117</v>
      </c>
      <c r="B198" s="2030"/>
    </row>
    <row r="199" spans="1:4" x14ac:dyDescent="0.2">
      <c r="A199" s="2029" t="s">
        <v>5118</v>
      </c>
      <c r="B199" s="2030">
        <v>95260.22</v>
      </c>
    </row>
    <row r="200" spans="1:4" x14ac:dyDescent="0.2">
      <c r="A200" s="2029" t="s">
        <v>5119</v>
      </c>
      <c r="B200" s="2030">
        <v>34774</v>
      </c>
    </row>
    <row r="201" spans="1:4" x14ac:dyDescent="0.2">
      <c r="A201" s="2029" t="s">
        <v>5120</v>
      </c>
      <c r="B201" s="2030">
        <f>375-D201</f>
        <v>0</v>
      </c>
      <c r="D201" s="2022">
        <v>375</v>
      </c>
    </row>
    <row r="202" spans="1:4" x14ac:dyDescent="0.2">
      <c r="A202" s="2029" t="s">
        <v>5121</v>
      </c>
      <c r="B202" s="2030" t="s">
        <v>6399</v>
      </c>
    </row>
    <row r="203" spans="1:4" x14ac:dyDescent="0.2">
      <c r="A203" s="2029" t="s">
        <v>5122</v>
      </c>
      <c r="B203" s="2030">
        <v>26419</v>
      </c>
    </row>
    <row r="204" spans="1:4" x14ac:dyDescent="0.2">
      <c r="A204" s="2029" t="s">
        <v>5123</v>
      </c>
      <c r="B204" s="2030" t="s">
        <v>6399</v>
      </c>
    </row>
    <row r="205" spans="1:4" x14ac:dyDescent="0.2">
      <c r="A205" s="2029" t="s">
        <v>5125</v>
      </c>
      <c r="B205" s="2030">
        <v>244249.16</v>
      </c>
    </row>
    <row r="206" spans="1:4" x14ac:dyDescent="0.2">
      <c r="A206" s="2029" t="s">
        <v>5126</v>
      </c>
      <c r="B206" s="2030">
        <v>19827.349999999999</v>
      </c>
    </row>
    <row r="207" spans="1:4" x14ac:dyDescent="0.2">
      <c r="A207" s="2029" t="s">
        <v>5127</v>
      </c>
      <c r="B207" s="2030"/>
    </row>
    <row r="208" spans="1:4" x14ac:dyDescent="0.2">
      <c r="A208" s="2029" t="s">
        <v>5128</v>
      </c>
      <c r="B208" s="2030">
        <v>3782</v>
      </c>
    </row>
    <row r="209" spans="1:2" x14ac:dyDescent="0.2">
      <c r="A209" s="2029" t="s">
        <v>5129</v>
      </c>
      <c r="B209" s="2030">
        <v>5428.87</v>
      </c>
    </row>
    <row r="210" spans="1:2" x14ac:dyDescent="0.2">
      <c r="A210" s="2029" t="s">
        <v>5130</v>
      </c>
      <c r="B210" s="2030">
        <v>573.25</v>
      </c>
    </row>
    <row r="211" spans="1:2" x14ac:dyDescent="0.2">
      <c r="A211" s="2029" t="s">
        <v>5131</v>
      </c>
      <c r="B211" s="2030">
        <v>22400</v>
      </c>
    </row>
    <row r="212" spans="1:2" x14ac:dyDescent="0.2">
      <c r="A212" s="2029" t="s">
        <v>5132</v>
      </c>
      <c r="B212" s="2030">
        <v>147.6</v>
      </c>
    </row>
    <row r="213" spans="1:2" x14ac:dyDescent="0.2">
      <c r="A213" s="2029" t="s">
        <v>5133</v>
      </c>
      <c r="B213" s="2030">
        <v>3231</v>
      </c>
    </row>
    <row r="214" spans="1:2" x14ac:dyDescent="0.2">
      <c r="A214" s="2029" t="s">
        <v>5134</v>
      </c>
      <c r="B214" s="2030" t="s">
        <v>6399</v>
      </c>
    </row>
    <row r="215" spans="1:2" x14ac:dyDescent="0.2">
      <c r="A215" s="2029" t="s">
        <v>5135</v>
      </c>
      <c r="B215" s="2030">
        <v>21576</v>
      </c>
    </row>
    <row r="216" spans="1:2" x14ac:dyDescent="0.2">
      <c r="A216" s="2029" t="s">
        <v>5136</v>
      </c>
      <c r="B216" s="2030">
        <v>46192.69</v>
      </c>
    </row>
    <row r="217" spans="1:2" x14ac:dyDescent="0.2">
      <c r="A217" s="2029" t="s">
        <v>5137</v>
      </c>
      <c r="B217" s="2030">
        <v>3100.67</v>
      </c>
    </row>
    <row r="218" spans="1:2" x14ac:dyDescent="0.2">
      <c r="A218" s="2029" t="s">
        <v>5138</v>
      </c>
      <c r="B218" s="2030" t="s">
        <v>6399</v>
      </c>
    </row>
    <row r="219" spans="1:2" x14ac:dyDescent="0.2">
      <c r="A219" s="2029" t="s">
        <v>5139</v>
      </c>
      <c r="B219" s="2030" t="s">
        <v>6399</v>
      </c>
    </row>
    <row r="220" spans="1:2" x14ac:dyDescent="0.2">
      <c r="A220" s="2029" t="s">
        <v>5140</v>
      </c>
      <c r="B220" s="2030">
        <v>26873</v>
      </c>
    </row>
    <row r="221" spans="1:2" x14ac:dyDescent="0.2">
      <c r="A221" s="2029" t="s">
        <v>5141</v>
      </c>
      <c r="B221" s="2030"/>
    </row>
    <row r="222" spans="1:2" x14ac:dyDescent="0.2">
      <c r="A222" s="2029" t="s">
        <v>5142</v>
      </c>
      <c r="B222" s="2030" t="s">
        <v>6399</v>
      </c>
    </row>
    <row r="223" spans="1:2" x14ac:dyDescent="0.2">
      <c r="A223" s="2029" t="s">
        <v>5143</v>
      </c>
      <c r="B223" s="2030">
        <v>2477</v>
      </c>
    </row>
    <row r="224" spans="1:2" x14ac:dyDescent="0.2">
      <c r="A224" s="2029" t="s">
        <v>5144</v>
      </c>
      <c r="B224" s="2030">
        <v>96489.97</v>
      </c>
    </row>
    <row r="225" spans="1:4" x14ac:dyDescent="0.2">
      <c r="A225" s="2029" t="s">
        <v>5145</v>
      </c>
      <c r="B225" s="2030" t="s">
        <v>6399</v>
      </c>
    </row>
    <row r="226" spans="1:4" x14ac:dyDescent="0.2">
      <c r="A226" s="2029" t="s">
        <v>5146</v>
      </c>
      <c r="B226" s="2030">
        <v>33689.78</v>
      </c>
    </row>
    <row r="227" spans="1:4" x14ac:dyDescent="0.2">
      <c r="A227" s="2029" t="s">
        <v>5147</v>
      </c>
      <c r="B227" s="2030">
        <v>26015.66</v>
      </c>
    </row>
    <row r="228" spans="1:4" x14ac:dyDescent="0.2">
      <c r="A228" s="2029" t="s">
        <v>5148</v>
      </c>
      <c r="B228" s="2030" t="s">
        <v>6399</v>
      </c>
    </row>
    <row r="229" spans="1:4" x14ac:dyDescent="0.2">
      <c r="A229" s="2029" t="s">
        <v>5149</v>
      </c>
      <c r="B229" s="2030">
        <v>7130.32</v>
      </c>
    </row>
    <row r="230" spans="1:4" x14ac:dyDescent="0.2">
      <c r="A230" s="2029" t="s">
        <v>5150</v>
      </c>
      <c r="B230" s="2030">
        <f>183-D230</f>
        <v>0</v>
      </c>
      <c r="D230" s="2022">
        <v>183</v>
      </c>
    </row>
    <row r="231" spans="1:4" x14ac:dyDescent="0.2">
      <c r="A231" s="2029" t="s">
        <v>5151</v>
      </c>
      <c r="B231" s="2030" t="s">
        <v>6399</v>
      </c>
    </row>
    <row r="232" spans="1:4" x14ac:dyDescent="0.2">
      <c r="A232" s="2029" t="s">
        <v>5152</v>
      </c>
      <c r="B232" s="2030">
        <v>12907.4</v>
      </c>
    </row>
    <row r="233" spans="1:4" x14ac:dyDescent="0.2">
      <c r="A233" s="2029" t="s">
        <v>5153</v>
      </c>
      <c r="B233" s="2030">
        <v>30266.52</v>
      </c>
    </row>
    <row r="234" spans="1:4" x14ac:dyDescent="0.2">
      <c r="A234" s="2029" t="s">
        <v>5154</v>
      </c>
      <c r="B234" s="2030">
        <v>4414.2</v>
      </c>
    </row>
    <row r="235" spans="1:4" x14ac:dyDescent="0.2">
      <c r="A235" s="2029" t="s">
        <v>5156</v>
      </c>
      <c r="B235" s="2030"/>
    </row>
    <row r="236" spans="1:4" x14ac:dyDescent="0.2">
      <c r="A236" s="2029" t="s">
        <v>5157</v>
      </c>
      <c r="B236" s="2030"/>
    </row>
    <row r="237" spans="1:4" x14ac:dyDescent="0.2">
      <c r="A237" s="2029" t="s">
        <v>5158</v>
      </c>
      <c r="B237" s="2030"/>
    </row>
    <row r="238" spans="1:4" x14ac:dyDescent="0.2">
      <c r="A238" s="2029" t="s">
        <v>5159</v>
      </c>
      <c r="B238" s="2030"/>
    </row>
    <row r="239" spans="1:4" x14ac:dyDescent="0.2">
      <c r="A239" s="2029" t="s">
        <v>5160</v>
      </c>
      <c r="B239" s="2030"/>
    </row>
    <row r="240" spans="1:4" x14ac:dyDescent="0.2">
      <c r="A240" s="2029" t="s">
        <v>5161</v>
      </c>
      <c r="B240" s="2030">
        <v>36671.870000000003</v>
      </c>
    </row>
    <row r="241" spans="1:2" x14ac:dyDescent="0.2">
      <c r="A241" s="2029" t="s">
        <v>5162</v>
      </c>
      <c r="B241" s="2030"/>
    </row>
    <row r="242" spans="1:2" x14ac:dyDescent="0.2">
      <c r="A242" s="2029" t="s">
        <v>5163</v>
      </c>
      <c r="B242" s="2030">
        <v>532617.54</v>
      </c>
    </row>
    <row r="243" spans="1:2" x14ac:dyDescent="0.2">
      <c r="A243" s="2029" t="s">
        <v>5164</v>
      </c>
      <c r="B243" s="2030">
        <v>216554.6</v>
      </c>
    </row>
    <row r="244" spans="1:2" x14ac:dyDescent="0.2">
      <c r="A244" s="2029" t="s">
        <v>5166</v>
      </c>
      <c r="B244" s="2030" t="s">
        <v>6399</v>
      </c>
    </row>
    <row r="245" spans="1:2" x14ac:dyDescent="0.2">
      <c r="A245" s="2029" t="s">
        <v>5167</v>
      </c>
      <c r="B245" s="2030" t="s">
        <v>6399</v>
      </c>
    </row>
    <row r="246" spans="1:2" x14ac:dyDescent="0.2">
      <c r="A246" s="2029" t="s">
        <v>5168</v>
      </c>
      <c r="B246" s="2030" t="s">
        <v>6399</v>
      </c>
    </row>
    <row r="247" spans="1:2" x14ac:dyDescent="0.2">
      <c r="A247" s="2029" t="s">
        <v>5170</v>
      </c>
      <c r="B247" s="2030" t="s">
        <v>6399</v>
      </c>
    </row>
    <row r="248" spans="1:2" x14ac:dyDescent="0.2">
      <c r="A248" s="2029" t="s">
        <v>5172</v>
      </c>
      <c r="B248" s="2030" t="s">
        <v>6399</v>
      </c>
    </row>
    <row r="249" spans="1:2" x14ac:dyDescent="0.2">
      <c r="A249" s="2029" t="s">
        <v>5173</v>
      </c>
      <c r="B249" s="2030" t="s">
        <v>6399</v>
      </c>
    </row>
    <row r="250" spans="1:2" x14ac:dyDescent="0.2">
      <c r="A250" s="2029" t="s">
        <v>5175</v>
      </c>
      <c r="B250" s="2030" t="s">
        <v>6399</v>
      </c>
    </row>
    <row r="251" spans="1:2" x14ac:dyDescent="0.2">
      <c r="A251" s="2029" t="s">
        <v>5176</v>
      </c>
      <c r="B251" s="2030" t="s">
        <v>6399</v>
      </c>
    </row>
    <row r="252" spans="1:2" x14ac:dyDescent="0.2">
      <c r="A252" s="2029" t="s">
        <v>5178</v>
      </c>
      <c r="B252" s="2030" t="s">
        <v>6399</v>
      </c>
    </row>
    <row r="253" spans="1:2" x14ac:dyDescent="0.2">
      <c r="A253" s="2029" t="s">
        <v>5179</v>
      </c>
      <c r="B253" s="2030" t="s">
        <v>6399</v>
      </c>
    </row>
    <row r="254" spans="1:2" x14ac:dyDescent="0.2">
      <c r="A254" s="2029" t="s">
        <v>5181</v>
      </c>
      <c r="B254" s="2030" t="s">
        <v>6399</v>
      </c>
    </row>
    <row r="255" spans="1:2" x14ac:dyDescent="0.2">
      <c r="A255" s="2029" t="s">
        <v>5183</v>
      </c>
      <c r="B255" s="2030" t="s">
        <v>6399</v>
      </c>
    </row>
    <row r="256" spans="1:2" x14ac:dyDescent="0.2">
      <c r="A256" s="2029" t="s">
        <v>5184</v>
      </c>
      <c r="B256" s="2030" t="s">
        <v>6399</v>
      </c>
    </row>
    <row r="257" spans="1:2" x14ac:dyDescent="0.2">
      <c r="A257" s="2029" t="s">
        <v>5186</v>
      </c>
      <c r="B257" s="2030" t="s">
        <v>6399</v>
      </c>
    </row>
    <row r="258" spans="1:2" x14ac:dyDescent="0.2">
      <c r="A258" s="2029" t="s">
        <v>5188</v>
      </c>
      <c r="B258" s="2030" t="s">
        <v>6399</v>
      </c>
    </row>
    <row r="259" spans="1:2" x14ac:dyDescent="0.2">
      <c r="A259" s="2029" t="s">
        <v>5189</v>
      </c>
      <c r="B259" s="2030" t="s">
        <v>6399</v>
      </c>
    </row>
    <row r="260" spans="1:2" x14ac:dyDescent="0.2">
      <c r="A260" s="2029" t="s">
        <v>5190</v>
      </c>
      <c r="B260" s="2030">
        <v>-22492.04</v>
      </c>
    </row>
    <row r="261" spans="1:2" x14ac:dyDescent="0.2">
      <c r="A261" s="2029" t="s">
        <v>5192</v>
      </c>
      <c r="B261" s="2030">
        <v>-313.93</v>
      </c>
    </row>
    <row r="262" spans="1:2" x14ac:dyDescent="0.2">
      <c r="A262" s="2029" t="s">
        <v>5196</v>
      </c>
      <c r="B262" s="2030">
        <v>-175460.07</v>
      </c>
    </row>
    <row r="263" spans="1:2" x14ac:dyDescent="0.2">
      <c r="A263" s="2029" t="s">
        <v>5198</v>
      </c>
      <c r="B263" s="2030">
        <v>30987.4</v>
      </c>
    </row>
    <row r="264" spans="1:2" x14ac:dyDescent="0.2">
      <c r="A264" s="2029" t="s">
        <v>5199</v>
      </c>
      <c r="B264" s="2030">
        <v>152657.60000000001</v>
      </c>
    </row>
    <row r="265" spans="1:2" x14ac:dyDescent="0.2">
      <c r="A265" s="2029" t="s">
        <v>5200</v>
      </c>
      <c r="B265" s="2030">
        <v>210714.92</v>
      </c>
    </row>
    <row r="266" spans="1:2" x14ac:dyDescent="0.2">
      <c r="A266" s="2029" t="s">
        <v>5201</v>
      </c>
      <c r="B266" s="2030">
        <v>1003907.74</v>
      </c>
    </row>
    <row r="267" spans="1:2" x14ac:dyDescent="0.2">
      <c r="A267" s="2029" t="s">
        <v>5202</v>
      </c>
      <c r="B267" s="2030"/>
    </row>
    <row r="268" spans="1:2" x14ac:dyDescent="0.2">
      <c r="A268" s="2029" t="s">
        <v>5203</v>
      </c>
      <c r="B268" s="2030"/>
    </row>
    <row r="269" spans="1:2" x14ac:dyDescent="0.2">
      <c r="A269" s="2029" t="s">
        <v>5204</v>
      </c>
      <c r="B269" s="2030" t="s">
        <v>6399</v>
      </c>
    </row>
    <row r="270" spans="1:2" x14ac:dyDescent="0.2">
      <c r="A270" s="2029" t="s">
        <v>5205</v>
      </c>
      <c r="B270" s="2030" t="s">
        <v>6399</v>
      </c>
    </row>
    <row r="271" spans="1:2" x14ac:dyDescent="0.2">
      <c r="A271" s="2029" t="s">
        <v>5206</v>
      </c>
      <c r="B271" s="2030">
        <v>17475.91</v>
      </c>
    </row>
    <row r="272" spans="1:2" x14ac:dyDescent="0.2">
      <c r="A272" s="2029" t="s">
        <v>5207</v>
      </c>
      <c r="B272" s="2030">
        <v>67276.539999999994</v>
      </c>
    </row>
    <row r="273" spans="1:2" x14ac:dyDescent="0.2">
      <c r="A273" s="2029" t="s">
        <v>5208</v>
      </c>
      <c r="B273" s="2030" t="s">
        <v>6399</v>
      </c>
    </row>
    <row r="274" spans="1:2" x14ac:dyDescent="0.2">
      <c r="A274" s="2029" t="s">
        <v>5209</v>
      </c>
      <c r="B274" s="2030" t="s">
        <v>6399</v>
      </c>
    </row>
    <row r="275" spans="1:2" x14ac:dyDescent="0.2">
      <c r="A275" s="2029" t="s">
        <v>5210</v>
      </c>
      <c r="B275" s="2030">
        <v>4000</v>
      </c>
    </row>
    <row r="276" spans="1:2" x14ac:dyDescent="0.2">
      <c r="A276" s="2029" t="s">
        <v>5211</v>
      </c>
      <c r="B276" s="2030" t="s">
        <v>6399</v>
      </c>
    </row>
    <row r="277" spans="1:2" x14ac:dyDescent="0.2">
      <c r="A277" s="2029" t="s">
        <v>5212</v>
      </c>
      <c r="B277" s="2030" t="s">
        <v>6399</v>
      </c>
    </row>
    <row r="278" spans="1:2" x14ac:dyDescent="0.2">
      <c r="A278" s="2029" t="s">
        <v>5213</v>
      </c>
      <c r="B278" s="2030">
        <v>4786</v>
      </c>
    </row>
    <row r="279" spans="1:2" x14ac:dyDescent="0.2">
      <c r="A279" s="2029" t="s">
        <v>5214</v>
      </c>
      <c r="B279" s="2030">
        <v>1367.64</v>
      </c>
    </row>
    <row r="280" spans="1:2" x14ac:dyDescent="0.2">
      <c r="A280" s="2029" t="s">
        <v>5215</v>
      </c>
      <c r="B280" s="2030">
        <v>466.67</v>
      </c>
    </row>
    <row r="281" spans="1:2" x14ac:dyDescent="0.2">
      <c r="A281" s="2029" t="s">
        <v>5216</v>
      </c>
      <c r="B281" s="2030" t="s">
        <v>6399</v>
      </c>
    </row>
    <row r="282" spans="1:2" x14ac:dyDescent="0.2">
      <c r="A282" s="2029" t="s">
        <v>5217</v>
      </c>
      <c r="B282" s="2030" t="s">
        <v>6399</v>
      </c>
    </row>
    <row r="283" spans="1:2" x14ac:dyDescent="0.2">
      <c r="A283" s="2029" t="s">
        <v>5218</v>
      </c>
      <c r="B283" s="2030">
        <v>1560.5</v>
      </c>
    </row>
    <row r="284" spans="1:2" x14ac:dyDescent="0.2">
      <c r="A284" s="2029" t="s">
        <v>5219</v>
      </c>
      <c r="B284" s="2030">
        <v>30000</v>
      </c>
    </row>
    <row r="285" spans="1:2" x14ac:dyDescent="0.2">
      <c r="A285" s="2029" t="s">
        <v>5220</v>
      </c>
      <c r="B285" s="2030" t="s">
        <v>6399</v>
      </c>
    </row>
    <row r="286" spans="1:2" x14ac:dyDescent="0.2">
      <c r="A286" s="2029" t="s">
        <v>5221</v>
      </c>
      <c r="B286" s="2030">
        <v>24000</v>
      </c>
    </row>
    <row r="287" spans="1:2" x14ac:dyDescent="0.2">
      <c r="A287" s="2029" t="s">
        <v>5222</v>
      </c>
      <c r="B287" s="2030">
        <v>22862.080000000002</v>
      </c>
    </row>
    <row r="288" spans="1:2" x14ac:dyDescent="0.2">
      <c r="A288" s="2029" t="s">
        <v>5223</v>
      </c>
      <c r="B288" s="2030" t="s">
        <v>6399</v>
      </c>
    </row>
    <row r="289" spans="1:2" x14ac:dyDescent="0.2">
      <c r="A289" s="2029" t="s">
        <v>5224</v>
      </c>
      <c r="B289" s="2030" t="s">
        <v>6399</v>
      </c>
    </row>
    <row r="290" spans="1:2" x14ac:dyDescent="0.2">
      <c r="A290" s="2029" t="s">
        <v>5225</v>
      </c>
      <c r="B290" s="2030">
        <v>45.1</v>
      </c>
    </row>
    <row r="291" spans="1:2" x14ac:dyDescent="0.2">
      <c r="A291" s="2029" t="s">
        <v>5226</v>
      </c>
      <c r="B291" s="2030">
        <v>463.3</v>
      </c>
    </row>
    <row r="292" spans="1:2" x14ac:dyDescent="0.2">
      <c r="A292" s="2029" t="s">
        <v>5227</v>
      </c>
      <c r="B292" s="2030" t="s">
        <v>6399</v>
      </c>
    </row>
    <row r="293" spans="1:2" x14ac:dyDescent="0.2">
      <c r="A293" s="2029" t="s">
        <v>5228</v>
      </c>
      <c r="B293" s="2030" t="s">
        <v>6399</v>
      </c>
    </row>
    <row r="294" spans="1:2" x14ac:dyDescent="0.2">
      <c r="A294" s="2029" t="s">
        <v>5229</v>
      </c>
      <c r="B294" s="2030">
        <v>2407.6799999999998</v>
      </c>
    </row>
    <row r="295" spans="1:2" x14ac:dyDescent="0.2">
      <c r="A295" s="2029" t="s">
        <v>5230</v>
      </c>
      <c r="B295" s="2030">
        <v>11483.32</v>
      </c>
    </row>
    <row r="296" spans="1:2" x14ac:dyDescent="0.2">
      <c r="A296" s="2029" t="s">
        <v>5231</v>
      </c>
      <c r="B296" s="2030" t="s">
        <v>6399</v>
      </c>
    </row>
    <row r="297" spans="1:2" x14ac:dyDescent="0.2">
      <c r="A297" s="2029" t="s">
        <v>5232</v>
      </c>
      <c r="B297" s="2030" t="s">
        <v>6399</v>
      </c>
    </row>
    <row r="298" spans="1:2" x14ac:dyDescent="0.2">
      <c r="A298" s="2029" t="s">
        <v>5233</v>
      </c>
      <c r="B298" s="2030" t="s">
        <v>6399</v>
      </c>
    </row>
    <row r="299" spans="1:2" x14ac:dyDescent="0.2">
      <c r="A299" s="2029" t="s">
        <v>5234</v>
      </c>
      <c r="B299" s="2030" t="s">
        <v>6399</v>
      </c>
    </row>
    <row r="300" spans="1:2" x14ac:dyDescent="0.2">
      <c r="A300" s="2029" t="s">
        <v>5235</v>
      </c>
      <c r="B300" s="2030"/>
    </row>
    <row r="301" spans="1:2" x14ac:dyDescent="0.2">
      <c r="A301" s="2029" t="s">
        <v>5236</v>
      </c>
      <c r="B301" s="2030"/>
    </row>
    <row r="302" spans="1:2" x14ac:dyDescent="0.2">
      <c r="A302" s="2029" t="s">
        <v>5237</v>
      </c>
      <c r="B302" s="2030">
        <v>32079.599999999999</v>
      </c>
    </row>
    <row r="303" spans="1:2" x14ac:dyDescent="0.2">
      <c r="A303" s="2029" t="s">
        <v>5238</v>
      </c>
      <c r="B303" s="2030">
        <v>138535.20000000001</v>
      </c>
    </row>
    <row r="304" spans="1:2" x14ac:dyDescent="0.2">
      <c r="A304" s="2029" t="s">
        <v>5239</v>
      </c>
      <c r="B304" s="2030" t="s">
        <v>6399</v>
      </c>
    </row>
    <row r="305" spans="1:2" x14ac:dyDescent="0.2">
      <c r="A305" s="2029" t="s">
        <v>5240</v>
      </c>
      <c r="B305" s="2030">
        <v>-3631.49</v>
      </c>
    </row>
    <row r="306" spans="1:2" x14ac:dyDescent="0.2">
      <c r="A306" s="2029" t="s">
        <v>5241</v>
      </c>
      <c r="B306" s="2030">
        <v>47209.37</v>
      </c>
    </row>
    <row r="307" spans="1:2" x14ac:dyDescent="0.2">
      <c r="A307" s="2029" t="s">
        <v>5242</v>
      </c>
      <c r="B307" s="2030">
        <v>177986.2</v>
      </c>
    </row>
    <row r="308" spans="1:2" x14ac:dyDescent="0.2">
      <c r="A308" s="2029" t="s">
        <v>5243</v>
      </c>
      <c r="B308" s="2030" t="s">
        <v>6399</v>
      </c>
    </row>
    <row r="309" spans="1:2" x14ac:dyDescent="0.2">
      <c r="A309" s="2029" t="s">
        <v>5244</v>
      </c>
      <c r="B309" s="2030" t="s">
        <v>6399</v>
      </c>
    </row>
    <row r="310" spans="1:2" x14ac:dyDescent="0.2">
      <c r="A310" s="2029" t="s">
        <v>5245</v>
      </c>
      <c r="B310" s="2030">
        <v>1497.36</v>
      </c>
    </row>
    <row r="311" spans="1:2" x14ac:dyDescent="0.2">
      <c r="A311" s="2029" t="s">
        <v>5246</v>
      </c>
      <c r="B311" s="2030">
        <v>9326.73</v>
      </c>
    </row>
    <row r="312" spans="1:2" x14ac:dyDescent="0.2">
      <c r="A312" s="2029" t="s">
        <v>5247</v>
      </c>
      <c r="B312" s="2030" t="s">
        <v>6399</v>
      </c>
    </row>
    <row r="313" spans="1:2" x14ac:dyDescent="0.2">
      <c r="A313" s="2029" t="s">
        <v>5252</v>
      </c>
      <c r="B313" s="2030">
        <v>35789.480000000003</v>
      </c>
    </row>
    <row r="314" spans="1:2" x14ac:dyDescent="0.2">
      <c r="A314" s="2029" t="s">
        <v>5253</v>
      </c>
      <c r="B314" s="2030">
        <v>441774.15</v>
      </c>
    </row>
    <row r="315" spans="1:2" x14ac:dyDescent="0.2">
      <c r="A315" s="2029" t="s">
        <v>5254</v>
      </c>
      <c r="B315" s="2030">
        <v>-9.82</v>
      </c>
    </row>
    <row r="316" spans="1:2" x14ac:dyDescent="0.2">
      <c r="A316" s="2029" t="s">
        <v>5255</v>
      </c>
      <c r="B316" s="2030">
        <v>9678.25</v>
      </c>
    </row>
    <row r="317" spans="1:2" x14ac:dyDescent="0.2">
      <c r="A317" s="2029" t="s">
        <v>5256</v>
      </c>
      <c r="B317" s="2030"/>
    </row>
    <row r="318" spans="1:2" x14ac:dyDescent="0.2">
      <c r="A318" s="2029" t="s">
        <v>5257</v>
      </c>
      <c r="B318" s="2030">
        <v>262585.34000000003</v>
      </c>
    </row>
    <row r="319" spans="1:2" x14ac:dyDescent="0.2">
      <c r="A319" s="2029" t="s">
        <v>5258</v>
      </c>
      <c r="B319" s="2030">
        <v>123530.46</v>
      </c>
    </row>
    <row r="320" spans="1:2" x14ac:dyDescent="0.2">
      <c r="A320" s="2029" t="s">
        <v>5260</v>
      </c>
      <c r="B320" s="2030">
        <v>0</v>
      </c>
    </row>
    <row r="321" spans="1:7" x14ac:dyDescent="0.2">
      <c r="A321" s="2029" t="s">
        <v>5261</v>
      </c>
      <c r="B321" s="2030"/>
    </row>
    <row r="322" spans="1:7" x14ac:dyDescent="0.2">
      <c r="A322" s="2029" t="s">
        <v>5262</v>
      </c>
      <c r="B322" s="2030"/>
    </row>
    <row r="323" spans="1:7" x14ac:dyDescent="0.2">
      <c r="A323" s="2029" t="s">
        <v>5263</v>
      </c>
      <c r="B323" s="2030"/>
    </row>
    <row r="324" spans="1:7" x14ac:dyDescent="0.2">
      <c r="A324" s="2029" t="s">
        <v>5264</v>
      </c>
      <c r="B324" s="2030">
        <v>13209.89</v>
      </c>
    </row>
    <row r="325" spans="1:7" x14ac:dyDescent="0.2">
      <c r="A325" s="2029" t="s">
        <v>5265</v>
      </c>
      <c r="B325" s="2030" t="s">
        <v>6399</v>
      </c>
    </row>
    <row r="326" spans="1:7" x14ac:dyDescent="0.2">
      <c r="A326" s="2029" t="s">
        <v>5266</v>
      </c>
      <c r="B326" s="2030">
        <v>20427.53</v>
      </c>
    </row>
    <row r="327" spans="1:7" x14ac:dyDescent="0.2">
      <c r="A327" s="2029" t="s">
        <v>5267</v>
      </c>
      <c r="B327" s="2030">
        <v>497289.74</v>
      </c>
    </row>
    <row r="328" spans="1:7" x14ac:dyDescent="0.2">
      <c r="A328" s="2029" t="s">
        <v>5268</v>
      </c>
      <c r="B328" s="2030">
        <f>364819.91-G328</f>
        <v>394647.91</v>
      </c>
      <c r="G328">
        <v>-29828</v>
      </c>
    </row>
    <row r="329" spans="1:7" x14ac:dyDescent="0.2">
      <c r="A329" s="2029" t="s">
        <v>5270</v>
      </c>
      <c r="B329" s="2030" t="s">
        <v>6399</v>
      </c>
    </row>
    <row r="330" spans="1:7" x14ac:dyDescent="0.2">
      <c r="A330" s="2029" t="s">
        <v>5271</v>
      </c>
      <c r="B330" s="2030"/>
    </row>
    <row r="331" spans="1:7" x14ac:dyDescent="0.2">
      <c r="A331" s="2029" t="s">
        <v>5272</v>
      </c>
      <c r="B331" s="2030">
        <v>2663.16</v>
      </c>
    </row>
    <row r="332" spans="1:7" x14ac:dyDescent="0.2">
      <c r="A332" s="2029" t="s">
        <v>5273</v>
      </c>
      <c r="B332" s="2030">
        <v>0</v>
      </c>
    </row>
    <row r="333" spans="1:7" x14ac:dyDescent="0.2">
      <c r="A333" s="2029" t="s">
        <v>5274</v>
      </c>
      <c r="B333" s="2030">
        <f>2891.04-D333</f>
        <v>0</v>
      </c>
      <c r="D333" s="2022">
        <v>2891.04</v>
      </c>
    </row>
    <row r="334" spans="1:7" x14ac:dyDescent="0.2">
      <c r="A334" s="2029" t="s">
        <v>5275</v>
      </c>
      <c r="B334" s="2030">
        <v>31845.8</v>
      </c>
    </row>
    <row r="335" spans="1:7" x14ac:dyDescent="0.2">
      <c r="A335" s="2029" t="s">
        <v>5276</v>
      </c>
      <c r="B335" s="2030">
        <v>0</v>
      </c>
    </row>
    <row r="336" spans="1:7" x14ac:dyDescent="0.2">
      <c r="A336" s="2029" t="s">
        <v>5277</v>
      </c>
      <c r="B336" s="2030">
        <v>0</v>
      </c>
    </row>
    <row r="337" spans="1:4" x14ac:dyDescent="0.2">
      <c r="A337" s="2029" t="s">
        <v>5278</v>
      </c>
      <c r="B337" s="2030">
        <v>28072.400000000001</v>
      </c>
    </row>
    <row r="338" spans="1:4" x14ac:dyDescent="0.2">
      <c r="A338" s="2029" t="s">
        <v>5279</v>
      </c>
      <c r="B338" s="2030">
        <v>10566.4</v>
      </c>
    </row>
    <row r="339" spans="1:4" x14ac:dyDescent="0.2">
      <c r="A339" s="2029" t="s">
        <v>5280</v>
      </c>
      <c r="B339" s="2030">
        <v>44948.05</v>
      </c>
    </row>
    <row r="340" spans="1:4" x14ac:dyDescent="0.2">
      <c r="A340" s="2029" t="s">
        <v>5281</v>
      </c>
      <c r="B340" s="2030">
        <v>6700.1</v>
      </c>
    </row>
    <row r="341" spans="1:4" x14ac:dyDescent="0.2">
      <c r="A341" s="2029" t="s">
        <v>5282</v>
      </c>
      <c r="B341" s="2030">
        <v>32440.080000000002</v>
      </c>
    </row>
    <row r="342" spans="1:4" x14ac:dyDescent="0.2">
      <c r="A342" s="2029" t="s">
        <v>5283</v>
      </c>
      <c r="B342" s="2030"/>
    </row>
    <row r="343" spans="1:4" x14ac:dyDescent="0.2">
      <c r="A343" s="2029" t="s">
        <v>5284</v>
      </c>
      <c r="B343" s="2030"/>
    </row>
    <row r="344" spans="1:4" x14ac:dyDescent="0.2">
      <c r="A344" s="2029" t="s">
        <v>5286</v>
      </c>
      <c r="B344" s="2030">
        <v>101686.96</v>
      </c>
    </row>
    <row r="345" spans="1:4" x14ac:dyDescent="0.2">
      <c r="A345" s="2029" t="s">
        <v>5287</v>
      </c>
      <c r="B345" s="2030">
        <v>715880.45</v>
      </c>
    </row>
    <row r="346" spans="1:4" x14ac:dyDescent="0.2">
      <c r="A346" s="2029" t="s">
        <v>5288</v>
      </c>
      <c r="B346" s="2030">
        <v>6671.66</v>
      </c>
    </row>
    <row r="347" spans="1:4" x14ac:dyDescent="0.2">
      <c r="A347" s="2029" t="s">
        <v>5289</v>
      </c>
      <c r="B347" s="2030"/>
    </row>
    <row r="348" spans="1:4" x14ac:dyDescent="0.2">
      <c r="A348" s="2029" t="s">
        <v>5290</v>
      </c>
      <c r="B348" s="2030"/>
    </row>
    <row r="349" spans="1:4" x14ac:dyDescent="0.2">
      <c r="A349" s="2029" t="s">
        <v>5291</v>
      </c>
      <c r="B349" s="2030">
        <f>2045.45-D349</f>
        <v>0</v>
      </c>
      <c r="D349" s="2022">
        <v>2045.45</v>
      </c>
    </row>
    <row r="350" spans="1:4" x14ac:dyDescent="0.2">
      <c r="A350" s="2029" t="s">
        <v>5293</v>
      </c>
      <c r="B350" s="2035">
        <v>253355.72</v>
      </c>
    </row>
    <row r="351" spans="1:4" x14ac:dyDescent="0.2">
      <c r="A351" s="2029" t="s">
        <v>5294</v>
      </c>
      <c r="B351" s="2030">
        <v>936504.37</v>
      </c>
    </row>
    <row r="352" spans="1:4" x14ac:dyDescent="0.2">
      <c r="A352" s="2029" t="s">
        <v>5297</v>
      </c>
      <c r="B352" s="2030" t="s">
        <v>6399</v>
      </c>
    </row>
    <row r="353" spans="1:2" x14ac:dyDescent="0.2">
      <c r="A353" s="2029" t="s">
        <v>5298</v>
      </c>
      <c r="B353" s="2030" t="s">
        <v>6399</v>
      </c>
    </row>
    <row r="354" spans="1:2" x14ac:dyDescent="0.2">
      <c r="A354" s="2029" t="s">
        <v>5299</v>
      </c>
      <c r="B354" s="2030" t="s">
        <v>6399</v>
      </c>
    </row>
    <row r="355" spans="1:2" x14ac:dyDescent="0.2">
      <c r="A355" s="2029" t="s">
        <v>5300</v>
      </c>
      <c r="B355" s="2030" t="s">
        <v>6399</v>
      </c>
    </row>
    <row r="356" spans="1:2" x14ac:dyDescent="0.2">
      <c r="A356" s="2029" t="s">
        <v>5301</v>
      </c>
      <c r="B356" s="2030">
        <v>3407.17</v>
      </c>
    </row>
    <row r="357" spans="1:2" x14ac:dyDescent="0.2">
      <c r="A357" s="2029" t="s">
        <v>5302</v>
      </c>
      <c r="B357" s="2030">
        <v>121096.48</v>
      </c>
    </row>
    <row r="358" spans="1:2" x14ac:dyDescent="0.2">
      <c r="A358" s="2029" t="s">
        <v>5304</v>
      </c>
      <c r="B358" s="2030">
        <v>1649.15</v>
      </c>
    </row>
    <row r="359" spans="1:2" x14ac:dyDescent="0.2">
      <c r="A359" s="2029" t="s">
        <v>5309</v>
      </c>
      <c r="B359" s="2030">
        <v>-750000</v>
      </c>
    </row>
    <row r="360" spans="1:2" x14ac:dyDescent="0.2">
      <c r="A360" s="2029" t="s">
        <v>5310</v>
      </c>
      <c r="B360" s="2030">
        <v>0</v>
      </c>
    </row>
    <row r="361" spans="1:2" x14ac:dyDescent="0.2">
      <c r="A361" s="2029" t="s">
        <v>5311</v>
      </c>
      <c r="B361" s="2030">
        <v>0</v>
      </c>
    </row>
    <row r="362" spans="1:2" x14ac:dyDescent="0.2">
      <c r="A362" s="2029" t="s">
        <v>5314</v>
      </c>
      <c r="B362" s="2030">
        <v>0</v>
      </c>
    </row>
    <row r="363" spans="1:2" x14ac:dyDescent="0.2">
      <c r="A363" s="2029" t="s">
        <v>5315</v>
      </c>
      <c r="B363" s="2030">
        <v>-263.16000000000003</v>
      </c>
    </row>
    <row r="364" spans="1:2" x14ac:dyDescent="0.2">
      <c r="A364" s="2029" t="s">
        <v>5316</v>
      </c>
      <c r="B364" s="2030">
        <v>16000</v>
      </c>
    </row>
    <row r="365" spans="1:2" x14ac:dyDescent="0.2">
      <c r="A365" s="2029" t="s">
        <v>5317</v>
      </c>
      <c r="B365" s="2030">
        <v>345427.26</v>
      </c>
    </row>
    <row r="366" spans="1:2" x14ac:dyDescent="0.2">
      <c r="A366" s="2029" t="s">
        <v>5318</v>
      </c>
      <c r="B366" s="2030">
        <v>42708.66</v>
      </c>
    </row>
    <row r="367" spans="1:2" x14ac:dyDescent="0.2">
      <c r="A367" s="2029" t="s">
        <v>5319</v>
      </c>
      <c r="B367" s="2030">
        <v>9776</v>
      </c>
    </row>
    <row r="368" spans="1:2" x14ac:dyDescent="0.2">
      <c r="A368" s="2029" t="s">
        <v>5320</v>
      </c>
      <c r="B368" s="2030" t="s">
        <v>6399</v>
      </c>
    </row>
    <row r="369" spans="1:2" x14ac:dyDescent="0.2">
      <c r="A369" s="2029" t="s">
        <v>5321</v>
      </c>
      <c r="B369" s="2030"/>
    </row>
    <row r="370" spans="1:2" x14ac:dyDescent="0.2">
      <c r="A370" s="2029" t="s">
        <v>5322</v>
      </c>
      <c r="B370" s="2030">
        <v>287.52999999999997</v>
      </c>
    </row>
    <row r="371" spans="1:2" x14ac:dyDescent="0.2">
      <c r="A371" s="2029" t="s">
        <v>5323</v>
      </c>
      <c r="B371" s="2030">
        <v>43231.040000000001</v>
      </c>
    </row>
    <row r="372" spans="1:2" x14ac:dyDescent="0.2">
      <c r="A372" s="2029" t="s">
        <v>5324</v>
      </c>
      <c r="B372" s="2030">
        <v>77.900000000000006</v>
      </c>
    </row>
    <row r="373" spans="1:2" x14ac:dyDescent="0.2">
      <c r="A373" s="2029" t="s">
        <v>5325</v>
      </c>
      <c r="B373" s="2030">
        <v>3634.99</v>
      </c>
    </row>
    <row r="374" spans="1:2" x14ac:dyDescent="0.2">
      <c r="A374" s="2029" t="s">
        <v>5326</v>
      </c>
      <c r="B374" s="2030" t="s">
        <v>6399</v>
      </c>
    </row>
    <row r="375" spans="1:2" x14ac:dyDescent="0.2">
      <c r="A375" s="2029" t="s">
        <v>5327</v>
      </c>
      <c r="B375" s="2030">
        <v>30170.400000000001</v>
      </c>
    </row>
    <row r="376" spans="1:2" x14ac:dyDescent="0.2">
      <c r="A376" s="2029" t="s">
        <v>5328</v>
      </c>
      <c r="B376" s="2030">
        <v>59492.12</v>
      </c>
    </row>
    <row r="377" spans="1:2" x14ac:dyDescent="0.2">
      <c r="A377" s="2029" t="s">
        <v>5329</v>
      </c>
      <c r="B377" s="2030">
        <v>2370.8200000000002</v>
      </c>
    </row>
    <row r="378" spans="1:2" x14ac:dyDescent="0.2">
      <c r="A378" s="2029" t="s">
        <v>5330</v>
      </c>
      <c r="B378" s="2030">
        <v>1521.12</v>
      </c>
    </row>
    <row r="379" spans="1:2" x14ac:dyDescent="0.2">
      <c r="A379" s="2029" t="s">
        <v>5334</v>
      </c>
      <c r="B379" s="2030">
        <v>6170</v>
      </c>
    </row>
    <row r="380" spans="1:2" x14ac:dyDescent="0.2">
      <c r="A380" s="2029" t="s">
        <v>5337</v>
      </c>
      <c r="B380" s="2030">
        <v>2250</v>
      </c>
    </row>
    <row r="381" spans="1:2" x14ac:dyDescent="0.2">
      <c r="A381" s="2029" t="s">
        <v>5338</v>
      </c>
      <c r="B381" s="2030" t="s">
        <v>6399</v>
      </c>
    </row>
    <row r="382" spans="1:2" x14ac:dyDescent="0.2">
      <c r="A382" s="2029" t="s">
        <v>5339</v>
      </c>
      <c r="B382" s="2030">
        <v>50</v>
      </c>
    </row>
    <row r="383" spans="1:2" x14ac:dyDescent="0.2">
      <c r="A383" s="2029" t="s">
        <v>5340</v>
      </c>
      <c r="B383" s="2030" t="s">
        <v>6399</v>
      </c>
    </row>
    <row r="384" spans="1:2" x14ac:dyDescent="0.2">
      <c r="A384" s="2029" t="s">
        <v>5341</v>
      </c>
      <c r="B384" s="2030" t="s">
        <v>6399</v>
      </c>
    </row>
    <row r="385" spans="1:4" x14ac:dyDescent="0.2">
      <c r="A385" s="2029" t="s">
        <v>5343</v>
      </c>
      <c r="B385" s="2030"/>
    </row>
    <row r="386" spans="1:4" x14ac:dyDescent="0.2">
      <c r="A386" s="2029" t="s">
        <v>5344</v>
      </c>
      <c r="B386" s="2030">
        <v>174291.97</v>
      </c>
    </row>
    <row r="387" spans="1:4" x14ac:dyDescent="0.2">
      <c r="A387" s="2029" t="s">
        <v>5345</v>
      </c>
      <c r="B387" s="2030"/>
    </row>
    <row r="388" spans="1:4" x14ac:dyDescent="0.2">
      <c r="A388" s="2029" t="s">
        <v>5346</v>
      </c>
      <c r="B388" s="2030">
        <v>58862.64</v>
      </c>
    </row>
    <row r="389" spans="1:4" x14ac:dyDescent="0.2">
      <c r="A389" s="2029" t="s">
        <v>5348</v>
      </c>
      <c r="B389" s="2030"/>
    </row>
    <row r="390" spans="1:4" x14ac:dyDescent="0.2">
      <c r="A390" s="2029" t="s">
        <v>5349</v>
      </c>
      <c r="B390" s="2030"/>
    </row>
    <row r="391" spans="1:4" x14ac:dyDescent="0.2">
      <c r="A391" s="2029" t="s">
        <v>5350</v>
      </c>
      <c r="B391" s="2030"/>
    </row>
    <row r="392" spans="1:4" x14ac:dyDescent="0.2">
      <c r="A392" s="2029" t="s">
        <v>5351</v>
      </c>
      <c r="B392" s="2030">
        <f>375-D392</f>
        <v>0</v>
      </c>
      <c r="D392" s="2022">
        <v>375</v>
      </c>
    </row>
    <row r="393" spans="1:4" x14ac:dyDescent="0.2">
      <c r="A393" s="2029" t="s">
        <v>5353</v>
      </c>
      <c r="B393" s="2030" t="s">
        <v>6399</v>
      </c>
    </row>
    <row r="394" spans="1:4" x14ac:dyDescent="0.2">
      <c r="A394" s="2029" t="s">
        <v>5354</v>
      </c>
      <c r="B394" s="2030" t="s">
        <v>6399</v>
      </c>
    </row>
    <row r="395" spans="1:4" x14ac:dyDescent="0.2">
      <c r="A395" s="2029" t="s">
        <v>5355</v>
      </c>
      <c r="B395" s="2030" t="s">
        <v>6399</v>
      </c>
    </row>
    <row r="396" spans="1:4" x14ac:dyDescent="0.2">
      <c r="A396" s="2029" t="s">
        <v>5356</v>
      </c>
      <c r="B396" s="2030">
        <v>99345.43</v>
      </c>
    </row>
    <row r="397" spans="1:4" x14ac:dyDescent="0.2">
      <c r="A397" s="2029" t="s">
        <v>5357</v>
      </c>
      <c r="B397" s="2030">
        <v>4451.04</v>
      </c>
    </row>
    <row r="398" spans="1:4" x14ac:dyDescent="0.2">
      <c r="A398" s="2029" t="s">
        <v>5360</v>
      </c>
      <c r="B398" s="2030">
        <v>652595.80000000005</v>
      </c>
    </row>
    <row r="399" spans="1:4" x14ac:dyDescent="0.2">
      <c r="A399" s="2029" t="s">
        <v>5361</v>
      </c>
      <c r="B399" s="2030">
        <v>54326.07</v>
      </c>
    </row>
    <row r="400" spans="1:4" x14ac:dyDescent="0.2">
      <c r="A400" s="2029" t="s">
        <v>5362</v>
      </c>
      <c r="B400" s="2030">
        <v>1107.97</v>
      </c>
    </row>
    <row r="401" spans="1:4" x14ac:dyDescent="0.2">
      <c r="A401" s="2029" t="s">
        <v>5363</v>
      </c>
      <c r="B401" s="2030">
        <v>344.4</v>
      </c>
    </row>
    <row r="402" spans="1:4" x14ac:dyDescent="0.2">
      <c r="A402" s="2029" t="s">
        <v>5364</v>
      </c>
      <c r="B402" s="2030">
        <v>6714.84</v>
      </c>
    </row>
    <row r="403" spans="1:4" x14ac:dyDescent="0.2">
      <c r="A403" s="2029" t="s">
        <v>5365</v>
      </c>
      <c r="B403" s="2030" t="s">
        <v>6399</v>
      </c>
    </row>
    <row r="404" spans="1:4" x14ac:dyDescent="0.2">
      <c r="A404" s="2029" t="s">
        <v>5366</v>
      </c>
      <c r="B404" s="2030">
        <v>44154</v>
      </c>
    </row>
    <row r="405" spans="1:4" x14ac:dyDescent="0.2">
      <c r="A405" s="2029" t="s">
        <v>5367</v>
      </c>
      <c r="B405" s="2030">
        <v>124762.42</v>
      </c>
    </row>
    <row r="406" spans="1:4" x14ac:dyDescent="0.2">
      <c r="A406" s="2029" t="s">
        <v>5368</v>
      </c>
      <c r="B406" s="2030">
        <v>6851.15</v>
      </c>
    </row>
    <row r="407" spans="1:4" x14ac:dyDescent="0.2">
      <c r="A407" s="2029" t="s">
        <v>5369</v>
      </c>
      <c r="B407" s="2030">
        <v>-15.79</v>
      </c>
    </row>
    <row r="408" spans="1:4" x14ac:dyDescent="0.2">
      <c r="A408" s="2029" t="s">
        <v>5370</v>
      </c>
      <c r="B408" s="2030"/>
    </row>
    <row r="409" spans="1:4" x14ac:dyDescent="0.2">
      <c r="A409" s="2029" t="s">
        <v>5371</v>
      </c>
      <c r="B409" s="2030" t="s">
        <v>6399</v>
      </c>
    </row>
    <row r="410" spans="1:4" x14ac:dyDescent="0.2">
      <c r="A410" s="2029" t="s">
        <v>5372</v>
      </c>
      <c r="B410" s="2030"/>
    </row>
    <row r="411" spans="1:4" x14ac:dyDescent="0.2">
      <c r="A411" s="2029" t="s">
        <v>5373</v>
      </c>
      <c r="B411" s="2030" t="s">
        <v>6399</v>
      </c>
    </row>
    <row r="412" spans="1:4" x14ac:dyDescent="0.2">
      <c r="A412" s="2029" t="s">
        <v>5374</v>
      </c>
      <c r="B412" s="2030">
        <v>12911.93</v>
      </c>
    </row>
    <row r="413" spans="1:4" x14ac:dyDescent="0.2">
      <c r="A413" s="2029" t="s">
        <v>5376</v>
      </c>
      <c r="B413" s="2030"/>
    </row>
    <row r="414" spans="1:4" x14ac:dyDescent="0.2">
      <c r="A414" s="2029" t="s">
        <v>5377</v>
      </c>
      <c r="B414" s="2030">
        <f>140.1-D414</f>
        <v>0</v>
      </c>
      <c r="D414" s="2022">
        <v>140.1</v>
      </c>
    </row>
    <row r="415" spans="1:4" x14ac:dyDescent="0.2">
      <c r="A415" s="2029" t="s">
        <v>5378</v>
      </c>
      <c r="B415" s="2030" t="s">
        <v>6399</v>
      </c>
    </row>
    <row r="416" spans="1:4" x14ac:dyDescent="0.2">
      <c r="A416" s="2029" t="s">
        <v>5379</v>
      </c>
      <c r="B416" s="2030">
        <v>30883.05</v>
      </c>
    </row>
    <row r="417" spans="1:5" x14ac:dyDescent="0.2">
      <c r="A417" s="2029" t="s">
        <v>5380</v>
      </c>
      <c r="B417" s="2030">
        <v>1285.08</v>
      </c>
    </row>
    <row r="418" spans="1:5" x14ac:dyDescent="0.2">
      <c r="A418" s="2029" t="s">
        <v>5383</v>
      </c>
      <c r="B418" s="2030">
        <v>0</v>
      </c>
    </row>
    <row r="419" spans="1:5" x14ac:dyDescent="0.2">
      <c r="A419" s="2029" t="s">
        <v>5384</v>
      </c>
      <c r="B419" s="2030">
        <v>-67.040000000000006</v>
      </c>
    </row>
    <row r="420" spans="1:5" x14ac:dyDescent="0.2">
      <c r="A420" s="2029" t="s">
        <v>5387</v>
      </c>
      <c r="B420" s="2030">
        <v>167184.4</v>
      </c>
    </row>
    <row r="421" spans="1:5" x14ac:dyDescent="0.2">
      <c r="A421" s="2029" t="s">
        <v>5388</v>
      </c>
      <c r="B421" s="2030">
        <v>13875.12</v>
      </c>
    </row>
    <row r="422" spans="1:5" x14ac:dyDescent="0.2">
      <c r="A422" s="2029" t="s">
        <v>5389</v>
      </c>
      <c r="B422" s="2030"/>
    </row>
    <row r="423" spans="1:5" x14ac:dyDescent="0.2">
      <c r="A423" s="2029" t="s">
        <v>5390</v>
      </c>
      <c r="B423" s="2030">
        <v>282.99</v>
      </c>
    </row>
    <row r="424" spans="1:5" x14ac:dyDescent="0.2">
      <c r="A424" s="2029" t="s">
        <v>5391</v>
      </c>
      <c r="B424" s="2030">
        <v>147.6</v>
      </c>
    </row>
    <row r="425" spans="1:5" x14ac:dyDescent="0.2">
      <c r="A425" s="2029" t="s">
        <v>5392</v>
      </c>
      <c r="B425" s="2030">
        <v>1692.03</v>
      </c>
    </row>
    <row r="426" spans="1:5" x14ac:dyDescent="0.2">
      <c r="A426" s="2029" t="s">
        <v>5393</v>
      </c>
      <c r="B426" s="2030" t="s">
        <v>6399</v>
      </c>
    </row>
    <row r="427" spans="1:5" x14ac:dyDescent="0.2">
      <c r="A427" s="2029" t="s">
        <v>5394</v>
      </c>
      <c r="B427" s="2030">
        <v>9442.7999999999993</v>
      </c>
    </row>
    <row r="428" spans="1:5" x14ac:dyDescent="0.2">
      <c r="A428" s="2029" t="s">
        <v>5395</v>
      </c>
      <c r="B428" s="2030">
        <v>30156.76</v>
      </c>
    </row>
    <row r="429" spans="1:5" x14ac:dyDescent="0.2">
      <c r="A429" s="2029" t="s">
        <v>5396</v>
      </c>
      <c r="B429" s="2030">
        <v>1907.84</v>
      </c>
    </row>
    <row r="430" spans="1:5" s="2100" customFormat="1" x14ac:dyDescent="0.2">
      <c r="A430" s="2029" t="s">
        <v>5398</v>
      </c>
      <c r="B430" s="2030">
        <f>E430</f>
        <v>0</v>
      </c>
      <c r="D430" s="2022"/>
      <c r="E430" s="2100">
        <v>0</v>
      </c>
    </row>
    <row r="431" spans="1:5" x14ac:dyDescent="0.2">
      <c r="A431" s="2029" t="s">
        <v>5401</v>
      </c>
      <c r="B431" s="2030">
        <v>2428.96</v>
      </c>
    </row>
    <row r="432" spans="1:5" x14ac:dyDescent="0.2">
      <c r="A432" s="2029" t="s">
        <v>5402</v>
      </c>
      <c r="B432" s="2030">
        <f>1250.3-D432</f>
        <v>0</v>
      </c>
      <c r="D432" s="2022">
        <v>1250.3</v>
      </c>
    </row>
    <row r="433" spans="1:4" x14ac:dyDescent="0.2">
      <c r="A433" s="2029" t="s">
        <v>5403</v>
      </c>
      <c r="B433" s="2030">
        <v>109994.68</v>
      </c>
    </row>
    <row r="434" spans="1:4" x14ac:dyDescent="0.2">
      <c r="A434" s="2029" t="s">
        <v>5404</v>
      </c>
      <c r="B434" s="2030">
        <v>177</v>
      </c>
    </row>
    <row r="435" spans="1:4" x14ac:dyDescent="0.2">
      <c r="A435" s="2029" t="s">
        <v>5407</v>
      </c>
      <c r="B435" s="2030">
        <f>3474.24-D435</f>
        <v>0</v>
      </c>
      <c r="D435" s="2022">
        <v>3474.24</v>
      </c>
    </row>
    <row r="436" spans="1:4" x14ac:dyDescent="0.2">
      <c r="A436" s="2029" t="s">
        <v>5408</v>
      </c>
      <c r="B436" s="2030">
        <v>7901.79</v>
      </c>
    </row>
    <row r="437" spans="1:4" x14ac:dyDescent="0.2">
      <c r="A437" s="2029" t="s">
        <v>5415</v>
      </c>
      <c r="B437" s="2030">
        <v>8880.66</v>
      </c>
    </row>
    <row r="438" spans="1:4" x14ac:dyDescent="0.2">
      <c r="A438" s="2029" t="s">
        <v>5416</v>
      </c>
      <c r="B438" s="2030" t="s">
        <v>6399</v>
      </c>
    </row>
    <row r="439" spans="1:4" x14ac:dyDescent="0.2">
      <c r="A439" s="2029" t="s">
        <v>5417</v>
      </c>
      <c r="B439" s="2030" t="s">
        <v>6399</v>
      </c>
    </row>
    <row r="440" spans="1:4" x14ac:dyDescent="0.2">
      <c r="A440" s="2029" t="s">
        <v>5418</v>
      </c>
      <c r="B440" s="2030">
        <v>1229</v>
      </c>
    </row>
    <row r="441" spans="1:4" x14ac:dyDescent="0.2">
      <c r="A441" s="2029" t="s">
        <v>5419</v>
      </c>
      <c r="B441" s="2030">
        <v>34936.79</v>
      </c>
    </row>
    <row r="442" spans="1:4" x14ac:dyDescent="0.2">
      <c r="A442" s="2029" t="s">
        <v>5420</v>
      </c>
      <c r="B442" s="2030">
        <v>2613.2199999999998</v>
      </c>
    </row>
    <row r="443" spans="1:4" x14ac:dyDescent="0.2">
      <c r="A443" s="2029" t="s">
        <v>5421</v>
      </c>
      <c r="B443" s="2030">
        <v>-8505.7199999999993</v>
      </c>
    </row>
    <row r="444" spans="1:4" x14ac:dyDescent="0.2">
      <c r="A444" s="2029" t="s">
        <v>5422</v>
      </c>
      <c r="B444" s="2030">
        <v>-820.01</v>
      </c>
    </row>
    <row r="445" spans="1:4" x14ac:dyDescent="0.2">
      <c r="A445" s="2029" t="s">
        <v>5425</v>
      </c>
      <c r="B445" s="2030"/>
    </row>
    <row r="446" spans="1:4" x14ac:dyDescent="0.2">
      <c r="A446" s="2029" t="s">
        <v>5426</v>
      </c>
      <c r="B446" s="2030">
        <v>12226</v>
      </c>
    </row>
    <row r="447" spans="1:4" x14ac:dyDescent="0.2">
      <c r="A447" s="2029" t="s">
        <v>5427</v>
      </c>
      <c r="B447" s="2030"/>
    </row>
    <row r="448" spans="1:4" x14ac:dyDescent="0.2">
      <c r="A448" s="2029" t="s">
        <v>5428</v>
      </c>
      <c r="B448" s="2030" t="s">
        <v>6399</v>
      </c>
    </row>
    <row r="449" spans="1:2" x14ac:dyDescent="0.2">
      <c r="A449" s="2029" t="s">
        <v>5429</v>
      </c>
      <c r="B449" s="2030">
        <v>-2520.12</v>
      </c>
    </row>
    <row r="450" spans="1:2" x14ac:dyDescent="0.2">
      <c r="A450" s="2029" t="s">
        <v>5431</v>
      </c>
      <c r="B450" s="2030">
        <v>-45514.22</v>
      </c>
    </row>
    <row r="451" spans="1:2" x14ac:dyDescent="0.2">
      <c r="A451" s="2029" t="s">
        <v>5433</v>
      </c>
      <c r="B451" s="2030">
        <v>101715.25</v>
      </c>
    </row>
    <row r="452" spans="1:2" x14ac:dyDescent="0.2">
      <c r="A452" s="2029" t="s">
        <v>5434</v>
      </c>
      <c r="B452" s="2030">
        <v>636130.22</v>
      </c>
    </row>
    <row r="453" spans="1:2" x14ac:dyDescent="0.2">
      <c r="A453" s="2029" t="s">
        <v>5435</v>
      </c>
      <c r="B453" s="2030"/>
    </row>
    <row r="454" spans="1:2" x14ac:dyDescent="0.2">
      <c r="A454" s="2029" t="s">
        <v>5436</v>
      </c>
      <c r="B454" s="2030" t="s">
        <v>6399</v>
      </c>
    </row>
    <row r="455" spans="1:2" x14ac:dyDescent="0.2">
      <c r="A455" s="2029" t="s">
        <v>5437</v>
      </c>
      <c r="B455" s="2030">
        <v>37699.51</v>
      </c>
    </row>
    <row r="456" spans="1:2" x14ac:dyDescent="0.2">
      <c r="A456" s="2029" t="s">
        <v>5438</v>
      </c>
      <c r="B456" s="2030"/>
    </row>
    <row r="457" spans="1:2" x14ac:dyDescent="0.2">
      <c r="A457" s="2029" t="s">
        <v>5439</v>
      </c>
      <c r="B457" s="2030">
        <v>-500</v>
      </c>
    </row>
    <row r="458" spans="1:2" x14ac:dyDescent="0.2">
      <c r="A458" s="2029" t="s">
        <v>5440</v>
      </c>
      <c r="B458" s="2030">
        <v>6500</v>
      </c>
    </row>
    <row r="459" spans="1:2" x14ac:dyDescent="0.2">
      <c r="A459" s="2029" t="s">
        <v>5441</v>
      </c>
      <c r="B459" s="2030"/>
    </row>
    <row r="460" spans="1:2" x14ac:dyDescent="0.2">
      <c r="A460" s="2029" t="s">
        <v>5442</v>
      </c>
      <c r="B460" s="2030" t="s">
        <v>6399</v>
      </c>
    </row>
    <row r="461" spans="1:2" x14ac:dyDescent="0.2">
      <c r="A461" s="2029" t="s">
        <v>5443</v>
      </c>
      <c r="B461" s="2030"/>
    </row>
    <row r="462" spans="1:2" x14ac:dyDescent="0.2">
      <c r="A462" s="2029" t="s">
        <v>5444</v>
      </c>
      <c r="B462" s="2030"/>
    </row>
    <row r="463" spans="1:2" x14ac:dyDescent="0.2">
      <c r="A463" s="2029" t="s">
        <v>5445</v>
      </c>
      <c r="B463" s="2030">
        <v>363.1</v>
      </c>
    </row>
    <row r="464" spans="1:2" x14ac:dyDescent="0.2">
      <c r="A464" s="2029" t="s">
        <v>5446</v>
      </c>
      <c r="B464" s="2030"/>
    </row>
    <row r="465" spans="1:2" x14ac:dyDescent="0.2">
      <c r="A465" s="2029" t="s">
        <v>5447</v>
      </c>
      <c r="B465" s="2030" t="s">
        <v>6399</v>
      </c>
    </row>
    <row r="466" spans="1:2" x14ac:dyDescent="0.2">
      <c r="A466" s="2029" t="s">
        <v>5448</v>
      </c>
      <c r="B466" s="2030">
        <v>30000</v>
      </c>
    </row>
    <row r="467" spans="1:2" x14ac:dyDescent="0.2">
      <c r="A467" s="2029" t="s">
        <v>5449</v>
      </c>
      <c r="B467" s="2030"/>
    </row>
    <row r="468" spans="1:2" x14ac:dyDescent="0.2">
      <c r="A468" s="2029" t="s">
        <v>5450</v>
      </c>
      <c r="B468" s="2030">
        <v>217.3</v>
      </c>
    </row>
    <row r="469" spans="1:2" x14ac:dyDescent="0.2">
      <c r="A469" s="2029" t="s">
        <v>5451</v>
      </c>
      <c r="B469" s="2030"/>
    </row>
    <row r="470" spans="1:2" x14ac:dyDescent="0.2">
      <c r="A470" s="2029" t="s">
        <v>5452</v>
      </c>
      <c r="B470" s="2030" t="s">
        <v>6399</v>
      </c>
    </row>
    <row r="471" spans="1:2" x14ac:dyDescent="0.2">
      <c r="A471" s="2029" t="s">
        <v>5453</v>
      </c>
      <c r="B471" s="2030">
        <v>6869</v>
      </c>
    </row>
    <row r="472" spans="1:2" x14ac:dyDescent="0.2">
      <c r="A472" s="2029" t="s">
        <v>5454</v>
      </c>
      <c r="B472" s="2030" t="s">
        <v>6399</v>
      </c>
    </row>
    <row r="473" spans="1:2" x14ac:dyDescent="0.2">
      <c r="A473" s="2029" t="s">
        <v>5455</v>
      </c>
      <c r="B473" s="2030" t="s">
        <v>6399</v>
      </c>
    </row>
    <row r="474" spans="1:2" x14ac:dyDescent="0.2">
      <c r="A474" s="2029" t="s">
        <v>5456</v>
      </c>
      <c r="B474" s="2030"/>
    </row>
    <row r="475" spans="1:2" x14ac:dyDescent="0.2">
      <c r="A475" s="2029" t="s">
        <v>5457</v>
      </c>
      <c r="B475" s="2030">
        <v>54732.7</v>
      </c>
    </row>
    <row r="476" spans="1:2" x14ac:dyDescent="0.2">
      <c r="A476" s="2029" t="s">
        <v>5458</v>
      </c>
      <c r="B476" s="2030"/>
    </row>
    <row r="477" spans="1:2" x14ac:dyDescent="0.2">
      <c r="A477" s="2029" t="s">
        <v>5459</v>
      </c>
      <c r="B477" s="2030"/>
    </row>
    <row r="478" spans="1:2" x14ac:dyDescent="0.2">
      <c r="A478" s="2029" t="s">
        <v>5460</v>
      </c>
      <c r="B478" s="2030">
        <v>101365.19</v>
      </c>
    </row>
    <row r="479" spans="1:2" x14ac:dyDescent="0.2">
      <c r="A479" s="2029" t="s">
        <v>5461</v>
      </c>
      <c r="B479" s="2030"/>
    </row>
    <row r="480" spans="1:2" x14ac:dyDescent="0.2">
      <c r="A480" s="2029" t="s">
        <v>5462</v>
      </c>
      <c r="B480" s="2030" t="s">
        <v>6399</v>
      </c>
    </row>
    <row r="481" spans="1:4" x14ac:dyDescent="0.2">
      <c r="A481" s="2029" t="s">
        <v>5463</v>
      </c>
      <c r="B481" s="2030">
        <v>5525.23</v>
      </c>
    </row>
    <row r="482" spans="1:4" x14ac:dyDescent="0.2">
      <c r="A482" s="2029" t="s">
        <v>5464</v>
      </c>
      <c r="B482" s="2030"/>
    </row>
    <row r="483" spans="1:4" x14ac:dyDescent="0.2">
      <c r="A483" s="2029" t="s">
        <v>5465</v>
      </c>
      <c r="B483" s="2030">
        <v>11133.7</v>
      </c>
    </row>
    <row r="484" spans="1:4" x14ac:dyDescent="0.2">
      <c r="A484" s="2029" t="s">
        <v>5466</v>
      </c>
      <c r="B484" s="2030" t="s">
        <v>6399</v>
      </c>
    </row>
    <row r="485" spans="1:4" x14ac:dyDescent="0.2">
      <c r="A485" s="2029" t="s">
        <v>5469</v>
      </c>
      <c r="B485" s="2030">
        <v>3.07</v>
      </c>
    </row>
    <row r="486" spans="1:4" x14ac:dyDescent="0.2">
      <c r="A486" s="2029" t="s">
        <v>5470</v>
      </c>
      <c r="B486" s="2030" t="s">
        <v>6399</v>
      </c>
    </row>
    <row r="487" spans="1:4" x14ac:dyDescent="0.2">
      <c r="A487" s="2029" t="s">
        <v>5471</v>
      </c>
      <c r="B487" s="2030">
        <f>3440.58-D487</f>
        <v>0</v>
      </c>
      <c r="D487" s="2022">
        <v>3440.58</v>
      </c>
    </row>
    <row r="488" spans="1:4" x14ac:dyDescent="0.2">
      <c r="A488" s="2029" t="s">
        <v>5472</v>
      </c>
      <c r="B488" s="2030">
        <v>3684.21</v>
      </c>
    </row>
    <row r="489" spans="1:4" x14ac:dyDescent="0.2">
      <c r="A489" s="2029" t="s">
        <v>5474</v>
      </c>
      <c r="B489" s="2030">
        <v>81609.69</v>
      </c>
    </row>
    <row r="490" spans="1:4" x14ac:dyDescent="0.2">
      <c r="A490" s="2029" t="s">
        <v>5475</v>
      </c>
      <c r="B490" s="2030">
        <v>53802.68</v>
      </c>
    </row>
    <row r="491" spans="1:4" x14ac:dyDescent="0.2">
      <c r="A491" s="2029" t="s">
        <v>5476</v>
      </c>
      <c r="B491" s="2030" t="s">
        <v>6399</v>
      </c>
    </row>
    <row r="492" spans="1:4" x14ac:dyDescent="0.2">
      <c r="A492" s="2029" t="s">
        <v>5477</v>
      </c>
      <c r="B492" s="2030">
        <v>3167.78</v>
      </c>
    </row>
    <row r="493" spans="1:4" x14ac:dyDescent="0.2">
      <c r="A493" s="2029" t="s">
        <v>5479</v>
      </c>
      <c r="B493" s="2030">
        <f>344.28-D493</f>
        <v>0</v>
      </c>
      <c r="D493" s="2022">
        <v>344.28</v>
      </c>
    </row>
    <row r="494" spans="1:4" x14ac:dyDescent="0.2">
      <c r="A494" s="2029" t="s">
        <v>5480</v>
      </c>
      <c r="B494" s="2030" t="s">
        <v>6399</v>
      </c>
    </row>
    <row r="495" spans="1:4" x14ac:dyDescent="0.2">
      <c r="A495" s="2029" t="s">
        <v>5481</v>
      </c>
      <c r="B495" s="2030">
        <v>57.98</v>
      </c>
    </row>
    <row r="496" spans="1:4" x14ac:dyDescent="0.2">
      <c r="A496" s="2029" t="s">
        <v>5482</v>
      </c>
      <c r="B496" s="2030" t="s">
        <v>6399</v>
      </c>
    </row>
    <row r="497" spans="1:2" x14ac:dyDescent="0.2">
      <c r="A497" s="2029" t="s">
        <v>5483</v>
      </c>
      <c r="B497" s="2030">
        <v>100010.43</v>
      </c>
    </row>
    <row r="498" spans="1:2" x14ac:dyDescent="0.2">
      <c r="A498" s="2029" t="s">
        <v>5484</v>
      </c>
      <c r="B498" s="2030">
        <v>-100010.43</v>
      </c>
    </row>
    <row r="499" spans="1:2" x14ac:dyDescent="0.2">
      <c r="A499" s="2029" t="s">
        <v>5487</v>
      </c>
      <c r="B499" s="2030">
        <v>0</v>
      </c>
    </row>
    <row r="500" spans="1:2" x14ac:dyDescent="0.2">
      <c r="A500" s="2029" t="s">
        <v>5490</v>
      </c>
      <c r="B500" s="2030">
        <v>383154.4</v>
      </c>
    </row>
    <row r="501" spans="1:2" x14ac:dyDescent="0.2">
      <c r="A501" s="2029" t="s">
        <v>5491</v>
      </c>
      <c r="B501" s="2030">
        <v>28478</v>
      </c>
    </row>
    <row r="502" spans="1:2" x14ac:dyDescent="0.2">
      <c r="A502" s="2029" t="s">
        <v>5492</v>
      </c>
      <c r="B502" s="2030">
        <v>526.63</v>
      </c>
    </row>
    <row r="503" spans="1:2" x14ac:dyDescent="0.2">
      <c r="A503" s="2029" t="s">
        <v>5493</v>
      </c>
      <c r="B503" s="2030">
        <v>30000</v>
      </c>
    </row>
    <row r="504" spans="1:2" x14ac:dyDescent="0.2">
      <c r="A504" s="2029" t="s">
        <v>5494</v>
      </c>
      <c r="B504" s="2030">
        <v>196.8</v>
      </c>
    </row>
    <row r="505" spans="1:2" x14ac:dyDescent="0.2">
      <c r="A505" s="2029" t="s">
        <v>5495</v>
      </c>
      <c r="B505" s="2030">
        <v>5064.57</v>
      </c>
    </row>
    <row r="506" spans="1:2" x14ac:dyDescent="0.2">
      <c r="A506" s="2029" t="s">
        <v>5496</v>
      </c>
      <c r="B506" s="2030" t="s">
        <v>6399</v>
      </c>
    </row>
    <row r="507" spans="1:2" x14ac:dyDescent="0.2">
      <c r="A507" s="2029" t="s">
        <v>5497</v>
      </c>
      <c r="B507" s="2030">
        <v>24547.200000000001</v>
      </c>
    </row>
    <row r="508" spans="1:2" x14ac:dyDescent="0.2">
      <c r="A508" s="2029" t="s">
        <v>5498</v>
      </c>
      <c r="B508" s="2030">
        <v>62746.64</v>
      </c>
    </row>
    <row r="509" spans="1:2" x14ac:dyDescent="0.2">
      <c r="A509" s="2029" t="s">
        <v>5499</v>
      </c>
      <c r="B509" s="2030">
        <v>3848.31</v>
      </c>
    </row>
    <row r="510" spans="1:2" x14ac:dyDescent="0.2">
      <c r="A510" s="2029" t="s">
        <v>5500</v>
      </c>
      <c r="B510" s="2030">
        <v>171.05</v>
      </c>
    </row>
    <row r="511" spans="1:2" x14ac:dyDescent="0.2">
      <c r="A511" s="2029" t="s">
        <v>5502</v>
      </c>
      <c r="B511" s="2030" t="s">
        <v>6399</v>
      </c>
    </row>
    <row r="512" spans="1:2" x14ac:dyDescent="0.2">
      <c r="A512" s="2029" t="s">
        <v>5504</v>
      </c>
      <c r="B512" s="2030">
        <v>5280.2</v>
      </c>
    </row>
    <row r="513" spans="1:4" x14ac:dyDescent="0.2">
      <c r="A513" s="2029" t="s">
        <v>5505</v>
      </c>
      <c r="B513" s="2030">
        <v>58159.32</v>
      </c>
    </row>
    <row r="514" spans="1:4" x14ac:dyDescent="0.2">
      <c r="A514" s="2029" t="s">
        <v>5506</v>
      </c>
      <c r="B514" s="2030">
        <f>375-D514</f>
        <v>0</v>
      </c>
      <c r="D514" s="2022">
        <v>375</v>
      </c>
    </row>
    <row r="515" spans="1:4" x14ac:dyDescent="0.2">
      <c r="A515" s="2029" t="s">
        <v>5507</v>
      </c>
      <c r="B515" s="2030" t="s">
        <v>6399</v>
      </c>
    </row>
    <row r="516" spans="1:4" x14ac:dyDescent="0.2">
      <c r="A516" s="2029" t="s">
        <v>5508</v>
      </c>
      <c r="B516" s="2030">
        <v>79636.91</v>
      </c>
    </row>
    <row r="517" spans="1:4" x14ac:dyDescent="0.2">
      <c r="A517" s="2029" t="s">
        <v>5509</v>
      </c>
      <c r="B517" s="2030">
        <v>10661.5</v>
      </c>
    </row>
    <row r="518" spans="1:4" x14ac:dyDescent="0.2">
      <c r="A518" s="2029" t="s">
        <v>5510</v>
      </c>
      <c r="B518" s="2030">
        <v>-447060.25</v>
      </c>
    </row>
    <row r="519" spans="1:4" x14ac:dyDescent="0.2">
      <c r="A519" s="2029" t="s">
        <v>5512</v>
      </c>
      <c r="B519" s="2030">
        <v>-4152.66</v>
      </c>
    </row>
    <row r="520" spans="1:4" x14ac:dyDescent="0.2">
      <c r="A520" s="2029" t="s">
        <v>5515</v>
      </c>
      <c r="B520" s="2030">
        <v>-584.28</v>
      </c>
    </row>
    <row r="521" spans="1:4" x14ac:dyDescent="0.2">
      <c r="A521" s="2029" t="s">
        <v>5517</v>
      </c>
      <c r="B521" s="2030">
        <v>438970.21</v>
      </c>
    </row>
    <row r="522" spans="1:4" x14ac:dyDescent="0.2">
      <c r="A522" s="2029" t="s">
        <v>5518</v>
      </c>
      <c r="B522" s="2030">
        <v>35005.360000000001</v>
      </c>
    </row>
    <row r="523" spans="1:4" x14ac:dyDescent="0.2">
      <c r="A523" s="2029" t="s">
        <v>5519</v>
      </c>
      <c r="B523" s="2030">
        <v>2400</v>
      </c>
    </row>
    <row r="524" spans="1:4" x14ac:dyDescent="0.2">
      <c r="A524" s="2029" t="s">
        <v>5520</v>
      </c>
      <c r="B524" s="2030">
        <v>3725.5</v>
      </c>
    </row>
    <row r="525" spans="1:4" x14ac:dyDescent="0.2">
      <c r="A525" s="2029" t="s">
        <v>5521</v>
      </c>
      <c r="B525" s="2030">
        <v>51852.54</v>
      </c>
    </row>
    <row r="526" spans="1:4" x14ac:dyDescent="0.2">
      <c r="A526" s="2029" t="s">
        <v>5522</v>
      </c>
      <c r="B526" s="2030">
        <v>392.34</v>
      </c>
    </row>
    <row r="527" spans="1:4" x14ac:dyDescent="0.2">
      <c r="A527" s="2029" t="s">
        <v>5523</v>
      </c>
      <c r="B527" s="2030">
        <v>61400</v>
      </c>
    </row>
    <row r="528" spans="1:4" x14ac:dyDescent="0.2">
      <c r="A528" s="2029" t="s">
        <v>5524</v>
      </c>
      <c r="B528" s="2030">
        <v>246</v>
      </c>
    </row>
    <row r="529" spans="1:4" x14ac:dyDescent="0.2">
      <c r="A529" s="2029" t="s">
        <v>5525</v>
      </c>
      <c r="B529" s="2030">
        <v>5625.52</v>
      </c>
    </row>
    <row r="530" spans="1:4" x14ac:dyDescent="0.2">
      <c r="A530" s="2029" t="s">
        <v>5526</v>
      </c>
      <c r="B530" s="2030" t="s">
        <v>6399</v>
      </c>
    </row>
    <row r="531" spans="1:4" x14ac:dyDescent="0.2">
      <c r="A531" s="2029" t="s">
        <v>5527</v>
      </c>
      <c r="B531" s="2030">
        <v>63013.9</v>
      </c>
    </row>
    <row r="532" spans="1:4" x14ac:dyDescent="0.2">
      <c r="A532" s="2029" t="s">
        <v>5528</v>
      </c>
      <c r="B532" s="2030">
        <v>87733.6</v>
      </c>
    </row>
    <row r="533" spans="1:4" x14ac:dyDescent="0.2">
      <c r="A533" s="2029" t="s">
        <v>5529</v>
      </c>
      <c r="B533" s="2030">
        <v>5401.79</v>
      </c>
    </row>
    <row r="534" spans="1:4" x14ac:dyDescent="0.2">
      <c r="A534" s="2029" t="s">
        <v>5530</v>
      </c>
      <c r="B534" s="2030">
        <v>7609</v>
      </c>
    </row>
    <row r="535" spans="1:4" x14ac:dyDescent="0.2">
      <c r="A535" s="2029" t="s">
        <v>5538</v>
      </c>
      <c r="B535" s="2030">
        <v>48006.68</v>
      </c>
    </row>
    <row r="536" spans="1:4" x14ac:dyDescent="0.2">
      <c r="A536" s="2029" t="s">
        <v>5540</v>
      </c>
      <c r="B536" s="2030">
        <v>14291.94</v>
      </c>
    </row>
    <row r="537" spans="1:4" x14ac:dyDescent="0.2">
      <c r="A537" s="2029" t="s">
        <v>5541</v>
      </c>
      <c r="B537" s="2030" t="s">
        <v>6399</v>
      </c>
    </row>
    <row r="538" spans="1:4" x14ac:dyDescent="0.2">
      <c r="A538" s="2029" t="s">
        <v>5543</v>
      </c>
      <c r="B538" s="2030">
        <f>79.47-D538</f>
        <v>0</v>
      </c>
      <c r="D538" s="2022">
        <v>79.47</v>
      </c>
    </row>
    <row r="539" spans="1:4" x14ac:dyDescent="0.2">
      <c r="A539" s="2029" t="s">
        <v>5544</v>
      </c>
      <c r="B539" s="2030">
        <v>698245.42</v>
      </c>
    </row>
    <row r="540" spans="1:4" x14ac:dyDescent="0.2">
      <c r="A540" s="2029" t="s">
        <v>5545</v>
      </c>
      <c r="B540" s="2030" t="s">
        <v>6399</v>
      </c>
    </row>
    <row r="541" spans="1:4" x14ac:dyDescent="0.2">
      <c r="A541" s="2029" t="s">
        <v>5546</v>
      </c>
      <c r="B541" s="2030" t="s">
        <v>6399</v>
      </c>
    </row>
    <row r="542" spans="1:4" x14ac:dyDescent="0.2">
      <c r="A542" s="2029" t="s">
        <v>5547</v>
      </c>
      <c r="B542" s="2030">
        <v>37600.89</v>
      </c>
    </row>
    <row r="543" spans="1:4" x14ac:dyDescent="0.2">
      <c r="A543" s="2029" t="s">
        <v>5548</v>
      </c>
      <c r="B543" s="2030" t="s">
        <v>6399</v>
      </c>
    </row>
    <row r="544" spans="1:4" x14ac:dyDescent="0.2">
      <c r="A544" s="2029" t="s">
        <v>5549</v>
      </c>
      <c r="B544" s="2030">
        <v>-156055.32</v>
      </c>
    </row>
    <row r="545" spans="1:2" x14ac:dyDescent="0.2">
      <c r="A545" s="2029" t="s">
        <v>5552</v>
      </c>
      <c r="B545" s="2030" t="s">
        <v>6399</v>
      </c>
    </row>
    <row r="546" spans="1:2" x14ac:dyDescent="0.2">
      <c r="A546" s="2029" t="s">
        <v>5553</v>
      </c>
      <c r="B546" s="2030"/>
    </row>
    <row r="547" spans="1:2" x14ac:dyDescent="0.2">
      <c r="A547" s="2029" t="s">
        <v>5554</v>
      </c>
      <c r="B547" s="2030"/>
    </row>
    <row r="548" spans="1:2" x14ac:dyDescent="0.2">
      <c r="A548" s="2029" t="s">
        <v>5555</v>
      </c>
      <c r="B548" s="2030"/>
    </row>
    <row r="549" spans="1:2" x14ac:dyDescent="0.2">
      <c r="A549" s="2029" t="s">
        <v>5556</v>
      </c>
      <c r="B549" s="2030"/>
    </row>
    <row r="550" spans="1:2" x14ac:dyDescent="0.2">
      <c r="A550" s="2029" t="s">
        <v>5557</v>
      </c>
      <c r="B550" s="2030"/>
    </row>
    <row r="551" spans="1:2" x14ac:dyDescent="0.2">
      <c r="A551" s="2029" t="s">
        <v>5558</v>
      </c>
      <c r="B551" s="2030"/>
    </row>
    <row r="552" spans="1:2" x14ac:dyDescent="0.2">
      <c r="A552" s="2029" t="s">
        <v>5559</v>
      </c>
      <c r="B552" s="2030" t="s">
        <v>6399</v>
      </c>
    </row>
    <row r="553" spans="1:2" x14ac:dyDescent="0.2">
      <c r="A553" s="2029" t="s">
        <v>5560</v>
      </c>
      <c r="B553" s="2030">
        <v>8242</v>
      </c>
    </row>
    <row r="554" spans="1:2" x14ac:dyDescent="0.2">
      <c r="A554" s="2029" t="s">
        <v>5561</v>
      </c>
      <c r="B554" s="2030">
        <v>2470</v>
      </c>
    </row>
    <row r="555" spans="1:2" x14ac:dyDescent="0.2">
      <c r="A555" s="2029" t="s">
        <v>5562</v>
      </c>
      <c r="B555" s="2030" t="s">
        <v>6399</v>
      </c>
    </row>
    <row r="556" spans="1:2" x14ac:dyDescent="0.2">
      <c r="A556" s="2029" t="s">
        <v>5563</v>
      </c>
      <c r="B556" s="2030">
        <v>790</v>
      </c>
    </row>
    <row r="557" spans="1:2" x14ac:dyDescent="0.2">
      <c r="A557" s="2029" t="s">
        <v>5564</v>
      </c>
      <c r="B557" s="2030">
        <v>0</v>
      </c>
    </row>
    <row r="558" spans="1:2" x14ac:dyDescent="0.2">
      <c r="A558" s="2029" t="s">
        <v>5565</v>
      </c>
      <c r="B558" s="2030">
        <v>110274.2</v>
      </c>
    </row>
    <row r="559" spans="1:2" x14ac:dyDescent="0.2">
      <c r="A559" s="2029" t="s">
        <v>5566</v>
      </c>
      <c r="B559" s="2030">
        <v>9061.82</v>
      </c>
    </row>
    <row r="560" spans="1:2" x14ac:dyDescent="0.2">
      <c r="A560" s="2029" t="s">
        <v>5567</v>
      </c>
      <c r="B560" s="2030">
        <v>190</v>
      </c>
    </row>
    <row r="561" spans="1:4" x14ac:dyDescent="0.2">
      <c r="A561" s="2029" t="s">
        <v>5568</v>
      </c>
      <c r="B561" s="2030">
        <v>184.28</v>
      </c>
    </row>
    <row r="562" spans="1:4" x14ac:dyDescent="0.2">
      <c r="A562" s="2029" t="s">
        <v>5569</v>
      </c>
      <c r="B562" s="2030">
        <v>98.4</v>
      </c>
    </row>
    <row r="563" spans="1:4" x14ac:dyDescent="0.2">
      <c r="A563" s="2029" t="s">
        <v>5570</v>
      </c>
      <c r="B563" s="2030">
        <v>1154.21</v>
      </c>
    </row>
    <row r="564" spans="1:4" x14ac:dyDescent="0.2">
      <c r="A564" s="2029" t="s">
        <v>5571</v>
      </c>
      <c r="B564" s="2030" t="s">
        <v>6399</v>
      </c>
    </row>
    <row r="565" spans="1:4" x14ac:dyDescent="0.2">
      <c r="A565" s="2029" t="s">
        <v>5572</v>
      </c>
      <c r="B565" s="2030"/>
    </row>
    <row r="566" spans="1:4" x14ac:dyDescent="0.2">
      <c r="A566" s="2029" t="s">
        <v>5573</v>
      </c>
      <c r="B566" s="2030">
        <v>21282.880000000001</v>
      </c>
    </row>
    <row r="567" spans="1:4" x14ac:dyDescent="0.2">
      <c r="A567" s="2029" t="s">
        <v>5574</v>
      </c>
      <c r="B567" s="2030">
        <v>1196.18</v>
      </c>
    </row>
    <row r="568" spans="1:4" x14ac:dyDescent="0.2">
      <c r="A568" s="2029" t="s">
        <v>5576</v>
      </c>
      <c r="B568" s="2030" t="s">
        <v>6399</v>
      </c>
    </row>
    <row r="569" spans="1:4" x14ac:dyDescent="0.2">
      <c r="A569" s="2029" t="s">
        <v>5579</v>
      </c>
      <c r="B569" s="2030" t="s">
        <v>6399</v>
      </c>
    </row>
    <row r="570" spans="1:4" x14ac:dyDescent="0.2">
      <c r="A570" s="2029" t="s">
        <v>5580</v>
      </c>
      <c r="B570" s="2030">
        <f>1880-D570</f>
        <v>0</v>
      </c>
      <c r="D570" s="2022">
        <v>1880</v>
      </c>
    </row>
    <row r="571" spans="1:4" x14ac:dyDescent="0.2">
      <c r="A571" s="2029" t="s">
        <v>5581</v>
      </c>
      <c r="B571" s="2030" t="s">
        <v>6399</v>
      </c>
    </row>
    <row r="572" spans="1:4" x14ac:dyDescent="0.2">
      <c r="A572" s="2029" t="s">
        <v>5582</v>
      </c>
      <c r="B572" s="2030">
        <v>7945.94</v>
      </c>
    </row>
    <row r="573" spans="1:4" x14ac:dyDescent="0.2">
      <c r="A573" s="2029" t="s">
        <v>5583</v>
      </c>
      <c r="B573" s="2030">
        <v>3173.9</v>
      </c>
    </row>
    <row r="574" spans="1:4" x14ac:dyDescent="0.2">
      <c r="A574" s="2029" t="s">
        <v>5586</v>
      </c>
      <c r="B574" s="2030">
        <v>-638.55999999999995</v>
      </c>
    </row>
    <row r="575" spans="1:4" x14ac:dyDescent="0.2">
      <c r="A575" s="2029" t="s">
        <v>5587</v>
      </c>
      <c r="B575" s="2030">
        <v>734262.59</v>
      </c>
    </row>
    <row r="576" spans="1:4" x14ac:dyDescent="0.2">
      <c r="A576" s="2029" t="s">
        <v>5588</v>
      </c>
      <c r="B576" s="2030">
        <v>298051.44</v>
      </c>
    </row>
    <row r="577" spans="1:2" x14ac:dyDescent="0.2">
      <c r="A577" s="2029" t="s">
        <v>5589</v>
      </c>
      <c r="B577" s="2030">
        <v>56254.79</v>
      </c>
    </row>
    <row r="578" spans="1:2" x14ac:dyDescent="0.2">
      <c r="A578" s="2029" t="s">
        <v>5590</v>
      </c>
      <c r="B578" s="2030">
        <v>23222.16</v>
      </c>
    </row>
    <row r="579" spans="1:2" x14ac:dyDescent="0.2">
      <c r="A579" s="2029" t="s">
        <v>5591</v>
      </c>
      <c r="B579" s="2030"/>
    </row>
    <row r="580" spans="1:2" x14ac:dyDescent="0.2">
      <c r="A580" s="2029" t="s">
        <v>5592</v>
      </c>
      <c r="B580" s="2030">
        <v>5786.28</v>
      </c>
    </row>
    <row r="581" spans="1:2" x14ac:dyDescent="0.2">
      <c r="A581" s="2029" t="s">
        <v>5593</v>
      </c>
      <c r="B581" s="2030" t="s">
        <v>6399</v>
      </c>
    </row>
    <row r="582" spans="1:2" x14ac:dyDescent="0.2">
      <c r="A582" s="2029" t="s">
        <v>5594</v>
      </c>
      <c r="B582" s="2030">
        <v>77456.039999999994</v>
      </c>
    </row>
    <row r="583" spans="1:2" x14ac:dyDescent="0.2">
      <c r="A583" s="2029" t="s">
        <v>5595</v>
      </c>
      <c r="B583" s="2030">
        <v>3552</v>
      </c>
    </row>
    <row r="584" spans="1:2" x14ac:dyDescent="0.2">
      <c r="A584" s="2029" t="s">
        <v>5596</v>
      </c>
      <c r="B584" s="2030">
        <v>975.54</v>
      </c>
    </row>
    <row r="585" spans="1:2" x14ac:dyDescent="0.2">
      <c r="A585" s="2029" t="s">
        <v>5597</v>
      </c>
      <c r="B585" s="2030">
        <v>471.65</v>
      </c>
    </row>
    <row r="586" spans="1:2" x14ac:dyDescent="0.2">
      <c r="A586" s="2029" t="s">
        <v>5598</v>
      </c>
      <c r="B586" s="2030">
        <v>-304774.82</v>
      </c>
    </row>
    <row r="587" spans="1:2" x14ac:dyDescent="0.2">
      <c r="A587" s="2029" t="s">
        <v>5599</v>
      </c>
      <c r="B587" s="2030">
        <v>533</v>
      </c>
    </row>
    <row r="588" spans="1:2" x14ac:dyDescent="0.2">
      <c r="A588" s="2029" t="s">
        <v>5600</v>
      </c>
      <c r="B588" s="2030">
        <v>258.3</v>
      </c>
    </row>
    <row r="589" spans="1:2" x14ac:dyDescent="0.2">
      <c r="A589" s="2029" t="s">
        <v>5601</v>
      </c>
      <c r="B589" s="2030">
        <v>8498.0400000000009</v>
      </c>
    </row>
    <row r="590" spans="1:2" x14ac:dyDescent="0.2">
      <c r="A590" s="2029" t="s">
        <v>5602</v>
      </c>
      <c r="B590" s="2030">
        <v>3128.95</v>
      </c>
    </row>
    <row r="591" spans="1:2" x14ac:dyDescent="0.2">
      <c r="A591" s="2029" t="s">
        <v>5603</v>
      </c>
      <c r="B591" s="2030" t="s">
        <v>6399</v>
      </c>
    </row>
    <row r="592" spans="1:2" x14ac:dyDescent="0.2">
      <c r="A592" s="2029" t="s">
        <v>5604</v>
      </c>
      <c r="B592" s="2030" t="s">
        <v>6399</v>
      </c>
    </row>
    <row r="593" spans="1:4" x14ac:dyDescent="0.2">
      <c r="A593" s="2029" t="s">
        <v>5605</v>
      </c>
      <c r="B593" s="2030">
        <v>50259.199999999997</v>
      </c>
    </row>
    <row r="594" spans="1:4" x14ac:dyDescent="0.2">
      <c r="A594" s="2029" t="s">
        <v>5606</v>
      </c>
      <c r="B594" s="2030">
        <v>9770.4</v>
      </c>
    </row>
    <row r="595" spans="1:4" x14ac:dyDescent="0.2">
      <c r="A595" s="2029" t="s">
        <v>5607</v>
      </c>
      <c r="B595" s="2030">
        <v>125638.99</v>
      </c>
    </row>
    <row r="596" spans="1:4" x14ac:dyDescent="0.2">
      <c r="A596" s="2029" t="s">
        <v>5608</v>
      </c>
      <c r="B596" s="2030">
        <v>57405.66</v>
      </c>
    </row>
    <row r="597" spans="1:4" x14ac:dyDescent="0.2">
      <c r="A597" s="2029" t="s">
        <v>5609</v>
      </c>
      <c r="B597" s="2030">
        <v>8418.5499999999993</v>
      </c>
    </row>
    <row r="598" spans="1:4" x14ac:dyDescent="0.2">
      <c r="A598" s="2029" t="s">
        <v>5610</v>
      </c>
      <c r="B598" s="2030">
        <v>3411.43</v>
      </c>
    </row>
    <row r="599" spans="1:4" s="2100" customFormat="1" x14ac:dyDescent="0.2">
      <c r="A599" s="2029" t="s">
        <v>5611</v>
      </c>
      <c r="B599" s="2030">
        <v>1357259.82</v>
      </c>
      <c r="D599" s="2022"/>
    </row>
    <row r="600" spans="1:4" x14ac:dyDescent="0.2">
      <c r="A600" s="2029" t="s">
        <v>5617</v>
      </c>
      <c r="B600" s="2030" t="s">
        <v>6399</v>
      </c>
    </row>
    <row r="601" spans="1:4" x14ac:dyDescent="0.2">
      <c r="A601" s="2029" t="s">
        <v>5619</v>
      </c>
      <c r="B601" s="2030" t="s">
        <v>6399</v>
      </c>
    </row>
    <row r="602" spans="1:4" x14ac:dyDescent="0.2">
      <c r="A602" s="2029" t="s">
        <v>5620</v>
      </c>
      <c r="B602" s="2030">
        <v>7567.95</v>
      </c>
    </row>
    <row r="603" spans="1:4" x14ac:dyDescent="0.2">
      <c r="A603" s="2029" t="s">
        <v>5621</v>
      </c>
      <c r="B603" s="2030">
        <f>25-D603</f>
        <v>0</v>
      </c>
      <c r="D603" s="2022">
        <v>25</v>
      </c>
    </row>
    <row r="604" spans="1:4" x14ac:dyDescent="0.2">
      <c r="A604" s="2029" t="s">
        <v>5622</v>
      </c>
      <c r="B604" s="2030" t="s">
        <v>6399</v>
      </c>
    </row>
    <row r="605" spans="1:4" x14ac:dyDescent="0.2">
      <c r="A605" s="2029" t="s">
        <v>5625</v>
      </c>
      <c r="B605" s="2030" t="s">
        <v>6399</v>
      </c>
    </row>
    <row r="606" spans="1:4" x14ac:dyDescent="0.2">
      <c r="A606" s="2029" t="s">
        <v>5626</v>
      </c>
      <c r="B606" s="2030" t="s">
        <v>6399</v>
      </c>
    </row>
    <row r="607" spans="1:4" x14ac:dyDescent="0.2">
      <c r="A607" s="2029" t="s">
        <v>5627</v>
      </c>
      <c r="B607" s="2030">
        <v>7307.89</v>
      </c>
    </row>
    <row r="608" spans="1:4" x14ac:dyDescent="0.2">
      <c r="A608" s="2029" t="s">
        <v>5628</v>
      </c>
      <c r="B608" s="2030">
        <v>6.14</v>
      </c>
    </row>
    <row r="609" spans="1:2" x14ac:dyDescent="0.2">
      <c r="A609" s="2029" t="s">
        <v>5629</v>
      </c>
      <c r="B609" s="2030" t="s">
        <v>6399</v>
      </c>
    </row>
    <row r="610" spans="1:2" x14ac:dyDescent="0.2">
      <c r="A610" s="2029" t="s">
        <v>5630</v>
      </c>
      <c r="B610" s="2030">
        <v>174.79</v>
      </c>
    </row>
    <row r="611" spans="1:2" x14ac:dyDescent="0.2">
      <c r="A611" s="2029" t="s">
        <v>5631</v>
      </c>
      <c r="B611" s="2030">
        <v>1820</v>
      </c>
    </row>
    <row r="612" spans="1:2" x14ac:dyDescent="0.2">
      <c r="A612" s="2029" t="s">
        <v>5632</v>
      </c>
      <c r="B612" s="2030" t="s">
        <v>6399</v>
      </c>
    </row>
    <row r="613" spans="1:2" x14ac:dyDescent="0.2">
      <c r="A613" s="2029" t="s">
        <v>5633</v>
      </c>
      <c r="B613" s="2030">
        <v>115293.37</v>
      </c>
    </row>
    <row r="614" spans="1:2" x14ac:dyDescent="0.2">
      <c r="A614" s="2029" t="s">
        <v>5634</v>
      </c>
      <c r="B614" s="2030" t="s">
        <v>6399</v>
      </c>
    </row>
    <row r="615" spans="1:2" x14ac:dyDescent="0.2">
      <c r="A615" s="2029" t="s">
        <v>5635</v>
      </c>
      <c r="B615" s="2030">
        <v>1838.1</v>
      </c>
    </row>
    <row r="616" spans="1:2" x14ac:dyDescent="0.2">
      <c r="A616" s="2029" t="s">
        <v>5636</v>
      </c>
      <c r="B616" s="2030">
        <v>13187.24</v>
      </c>
    </row>
    <row r="617" spans="1:2" x14ac:dyDescent="0.2">
      <c r="A617" s="2029" t="s">
        <v>5638</v>
      </c>
      <c r="B617" s="2030">
        <v>-400.88</v>
      </c>
    </row>
    <row r="618" spans="1:2" x14ac:dyDescent="0.2">
      <c r="A618" s="2029" t="s">
        <v>5640</v>
      </c>
      <c r="B618" s="2030">
        <v>-227.64</v>
      </c>
    </row>
    <row r="619" spans="1:2" x14ac:dyDescent="0.2">
      <c r="A619" s="2029" t="s">
        <v>5644</v>
      </c>
      <c r="B619" s="2030">
        <v>-135173.82999999999</v>
      </c>
    </row>
    <row r="620" spans="1:2" x14ac:dyDescent="0.2">
      <c r="A620" s="2029" t="s">
        <v>5645</v>
      </c>
      <c r="B620" s="2030">
        <v>8578.98</v>
      </c>
    </row>
    <row r="621" spans="1:2" x14ac:dyDescent="0.2">
      <c r="A621" s="2029" t="s">
        <v>5646</v>
      </c>
      <c r="B621" s="2030"/>
    </row>
    <row r="622" spans="1:2" x14ac:dyDescent="0.2">
      <c r="A622" s="2029" t="s">
        <v>5647</v>
      </c>
      <c r="B622" s="2030">
        <v>8.1999999999999993</v>
      </c>
    </row>
    <row r="623" spans="1:2" x14ac:dyDescent="0.2">
      <c r="A623" s="2029" t="s">
        <v>5648</v>
      </c>
      <c r="B623" s="2030">
        <v>379.93</v>
      </c>
    </row>
    <row r="624" spans="1:2" x14ac:dyDescent="0.2">
      <c r="A624" s="2029" t="s">
        <v>5649</v>
      </c>
      <c r="B624" s="2030" t="s">
        <v>6399</v>
      </c>
    </row>
    <row r="625" spans="1:2" x14ac:dyDescent="0.2">
      <c r="A625" s="2029" t="s">
        <v>5650</v>
      </c>
      <c r="B625" s="2030"/>
    </row>
    <row r="626" spans="1:2" x14ac:dyDescent="0.2">
      <c r="A626" s="2029" t="s">
        <v>5651</v>
      </c>
      <c r="B626" s="2030"/>
    </row>
    <row r="627" spans="1:2" x14ac:dyDescent="0.2">
      <c r="A627" s="2029" t="s">
        <v>5652</v>
      </c>
      <c r="B627" s="2030">
        <v>249.56</v>
      </c>
    </row>
    <row r="628" spans="1:2" x14ac:dyDescent="0.2">
      <c r="A628" s="2029" t="s">
        <v>5656</v>
      </c>
      <c r="B628" s="2030">
        <v>12342.93</v>
      </c>
    </row>
    <row r="629" spans="1:2" x14ac:dyDescent="0.2">
      <c r="A629" s="2029" t="s">
        <v>5660</v>
      </c>
      <c r="B629" s="2030" t="s">
        <v>6399</v>
      </c>
    </row>
    <row r="630" spans="1:2" x14ac:dyDescent="0.2">
      <c r="A630" s="2029" t="s">
        <v>5662</v>
      </c>
      <c r="B630" s="2030">
        <v>3944861.38</v>
      </c>
    </row>
    <row r="631" spans="1:2" x14ac:dyDescent="0.2">
      <c r="A631" s="2029" t="s">
        <v>5663</v>
      </c>
      <c r="B631" s="2030">
        <v>292565.01</v>
      </c>
    </row>
    <row r="632" spans="1:2" x14ac:dyDescent="0.2">
      <c r="A632" s="2029" t="s">
        <v>5664</v>
      </c>
      <c r="B632" s="2030">
        <v>2400</v>
      </c>
    </row>
    <row r="633" spans="1:2" x14ac:dyDescent="0.2">
      <c r="A633" s="2029" t="s">
        <v>5665</v>
      </c>
      <c r="B633" s="2030"/>
    </row>
    <row r="634" spans="1:2" x14ac:dyDescent="0.2">
      <c r="A634" s="2029" t="s">
        <v>5667</v>
      </c>
      <c r="B634" s="2030">
        <v>619245.18000000005</v>
      </c>
    </row>
    <row r="635" spans="1:2" x14ac:dyDescent="0.2">
      <c r="A635" s="2029" t="s">
        <v>5668</v>
      </c>
      <c r="B635" s="2030">
        <v>10310.719999999999</v>
      </c>
    </row>
    <row r="636" spans="1:2" x14ac:dyDescent="0.2">
      <c r="A636" s="2029" t="s">
        <v>5669</v>
      </c>
      <c r="B636" s="2030">
        <v>-187220.93</v>
      </c>
    </row>
    <row r="637" spans="1:2" x14ac:dyDescent="0.2">
      <c r="A637" s="2029" t="s">
        <v>5670</v>
      </c>
      <c r="B637" s="2030">
        <v>2484.6</v>
      </c>
    </row>
    <row r="638" spans="1:2" x14ac:dyDescent="0.2">
      <c r="A638" s="2029" t="s">
        <v>5671</v>
      </c>
      <c r="B638" s="2030">
        <v>46640.56</v>
      </c>
    </row>
    <row r="639" spans="1:2" x14ac:dyDescent="0.2">
      <c r="A639" s="2029" t="s">
        <v>5672</v>
      </c>
      <c r="B639" s="2030">
        <v>-14154.6</v>
      </c>
    </row>
    <row r="640" spans="1:2" x14ac:dyDescent="0.2">
      <c r="A640" s="2029" t="s">
        <v>5673</v>
      </c>
      <c r="B640" s="2030">
        <v>182283</v>
      </c>
    </row>
    <row r="641" spans="1:4" x14ac:dyDescent="0.2">
      <c r="A641" s="2029" t="s">
        <v>5674</v>
      </c>
      <c r="B641" s="2030">
        <v>658983.28</v>
      </c>
    </row>
    <row r="642" spans="1:4" x14ac:dyDescent="0.2">
      <c r="A642" s="2029" t="s">
        <v>5675</v>
      </c>
      <c r="B642" s="2030">
        <v>45507.44</v>
      </c>
    </row>
    <row r="643" spans="1:4" x14ac:dyDescent="0.2">
      <c r="A643" s="2029" t="s">
        <v>5678</v>
      </c>
      <c r="B643" s="2030">
        <v>167857.19</v>
      </c>
    </row>
    <row r="644" spans="1:4" x14ac:dyDescent="0.2">
      <c r="A644" s="2029" t="s">
        <v>5681</v>
      </c>
      <c r="B644" s="2030">
        <v>1848158.53</v>
      </c>
    </row>
    <row r="645" spans="1:4" x14ac:dyDescent="0.2">
      <c r="A645" s="2029" t="s">
        <v>5686</v>
      </c>
      <c r="B645" s="2030" t="s">
        <v>6399</v>
      </c>
    </row>
    <row r="646" spans="1:4" x14ac:dyDescent="0.2">
      <c r="A646" s="2029" t="s">
        <v>5687</v>
      </c>
      <c r="B646" s="2030" t="s">
        <v>6399</v>
      </c>
    </row>
    <row r="647" spans="1:4" x14ac:dyDescent="0.2">
      <c r="A647" s="2029" t="s">
        <v>5688</v>
      </c>
      <c r="B647" s="2030">
        <v>13244</v>
      </c>
    </row>
    <row r="648" spans="1:4" x14ac:dyDescent="0.2">
      <c r="A648" s="2029" t="s">
        <v>5689</v>
      </c>
      <c r="B648" s="2030" t="s">
        <v>6399</v>
      </c>
    </row>
    <row r="649" spans="1:4" x14ac:dyDescent="0.2">
      <c r="A649" s="2029" t="s">
        <v>5690</v>
      </c>
      <c r="B649" s="2030">
        <v>593</v>
      </c>
    </row>
    <row r="650" spans="1:4" x14ac:dyDescent="0.2">
      <c r="A650" s="2029" t="s">
        <v>5692</v>
      </c>
      <c r="B650" s="2030">
        <f>4911.63-D650</f>
        <v>0</v>
      </c>
      <c r="D650" s="2022">
        <v>4911.63</v>
      </c>
    </row>
    <row r="651" spans="1:4" x14ac:dyDescent="0.2">
      <c r="A651" s="2029" t="s">
        <v>5694</v>
      </c>
      <c r="B651" s="2030">
        <v>33639.919999999998</v>
      </c>
    </row>
    <row r="652" spans="1:4" x14ac:dyDescent="0.2">
      <c r="A652" s="2029" t="s">
        <v>5695</v>
      </c>
      <c r="B652" s="2030">
        <v>502.98</v>
      </c>
    </row>
    <row r="653" spans="1:4" x14ac:dyDescent="0.2">
      <c r="A653" s="2029" t="s">
        <v>5696</v>
      </c>
      <c r="B653" s="2030">
        <v>6892.04</v>
      </c>
    </row>
    <row r="654" spans="1:4" x14ac:dyDescent="0.2">
      <c r="A654" s="2029" t="s">
        <v>5697</v>
      </c>
      <c r="B654" s="2030">
        <v>13498.27</v>
      </c>
    </row>
    <row r="655" spans="1:4" x14ac:dyDescent="0.2">
      <c r="A655" s="2029" t="s">
        <v>5698</v>
      </c>
      <c r="B655" s="2030" t="s">
        <v>6399</v>
      </c>
    </row>
    <row r="656" spans="1:4" x14ac:dyDescent="0.2">
      <c r="A656" s="2029" t="s">
        <v>5699</v>
      </c>
      <c r="B656" s="2030">
        <v>53576.69</v>
      </c>
    </row>
    <row r="657" spans="1:4" x14ac:dyDescent="0.2">
      <c r="A657" s="2029" t="s">
        <v>5700</v>
      </c>
      <c r="B657" s="2030">
        <f>57-D657</f>
        <v>0</v>
      </c>
      <c r="D657" s="2022">
        <v>57</v>
      </c>
    </row>
    <row r="658" spans="1:4" x14ac:dyDescent="0.2">
      <c r="A658" s="2029" t="s">
        <v>5701</v>
      </c>
      <c r="B658" s="2030" t="s">
        <v>6399</v>
      </c>
    </row>
    <row r="659" spans="1:4" x14ac:dyDescent="0.2">
      <c r="A659" s="2029" t="s">
        <v>5706</v>
      </c>
      <c r="B659" s="2030" t="s">
        <v>6399</v>
      </c>
    </row>
    <row r="660" spans="1:4" x14ac:dyDescent="0.2">
      <c r="A660" s="2029" t="s">
        <v>5707</v>
      </c>
      <c r="B660" s="2030">
        <v>9252.6299999999992</v>
      </c>
    </row>
    <row r="661" spans="1:4" x14ac:dyDescent="0.2">
      <c r="A661" s="2029" t="s">
        <v>5708</v>
      </c>
      <c r="B661" s="2030">
        <v>14990.13</v>
      </c>
    </row>
    <row r="662" spans="1:4" x14ac:dyDescent="0.2">
      <c r="A662" s="2029" t="s">
        <v>5709</v>
      </c>
      <c r="B662" s="2030" t="s">
        <v>6399</v>
      </c>
    </row>
    <row r="663" spans="1:4" x14ac:dyDescent="0.2">
      <c r="A663" s="2029" t="s">
        <v>5710</v>
      </c>
      <c r="B663" s="2030">
        <v>54163</v>
      </c>
    </row>
    <row r="664" spans="1:4" x14ac:dyDescent="0.2">
      <c r="A664" s="2029" t="s">
        <v>5711</v>
      </c>
      <c r="B664" s="2030">
        <v>7969.36</v>
      </c>
    </row>
    <row r="665" spans="1:4" x14ac:dyDescent="0.2">
      <c r="A665" s="2029" t="s">
        <v>5713</v>
      </c>
      <c r="B665" s="2030" t="s">
        <v>6399</v>
      </c>
    </row>
    <row r="666" spans="1:4" x14ac:dyDescent="0.2">
      <c r="A666" s="2029" t="s">
        <v>5714</v>
      </c>
      <c r="B666" s="2030">
        <v>4625.04</v>
      </c>
    </row>
    <row r="667" spans="1:4" x14ac:dyDescent="0.2">
      <c r="A667" s="2029" t="s">
        <v>5715</v>
      </c>
      <c r="B667" s="2030">
        <v>-5720801.6100000003</v>
      </c>
    </row>
    <row r="668" spans="1:4" x14ac:dyDescent="0.2">
      <c r="A668" s="2029" t="s">
        <v>5717</v>
      </c>
      <c r="B668" s="2030">
        <v>0</v>
      </c>
    </row>
    <row r="669" spans="1:4" x14ac:dyDescent="0.2">
      <c r="A669" s="2029" t="s">
        <v>5721</v>
      </c>
      <c r="B669" s="2030">
        <v>-7155.43</v>
      </c>
    </row>
    <row r="670" spans="1:4" x14ac:dyDescent="0.2">
      <c r="A670" s="2029" t="s">
        <v>5723</v>
      </c>
      <c r="B670" s="2030">
        <v>-6909.84</v>
      </c>
    </row>
    <row r="671" spans="1:4" x14ac:dyDescent="0.2">
      <c r="A671" s="2029" t="s">
        <v>5725</v>
      </c>
      <c r="B671" s="2030">
        <v>63347.68</v>
      </c>
    </row>
    <row r="672" spans="1:4" x14ac:dyDescent="0.2">
      <c r="A672" s="2029" t="s">
        <v>5726</v>
      </c>
      <c r="B672" s="2030">
        <v>2165312.7400000002</v>
      </c>
    </row>
    <row r="673" spans="1:5" x14ac:dyDescent="0.2">
      <c r="A673" s="2029" t="s">
        <v>5727</v>
      </c>
      <c r="B673" s="2030">
        <v>124701.19</v>
      </c>
    </row>
    <row r="674" spans="1:5" x14ac:dyDescent="0.2">
      <c r="A674" s="2029" t="s">
        <v>5728</v>
      </c>
      <c r="B674" s="2030"/>
    </row>
    <row r="675" spans="1:5" x14ac:dyDescent="0.2">
      <c r="A675" s="2029" t="s">
        <v>5729</v>
      </c>
      <c r="B675" s="2030"/>
    </row>
    <row r="676" spans="1:5" x14ac:dyDescent="0.2">
      <c r="A676" s="2029" t="s">
        <v>5730</v>
      </c>
      <c r="B676" s="2030">
        <v>2367.12</v>
      </c>
    </row>
    <row r="677" spans="1:5" x14ac:dyDescent="0.2">
      <c r="A677" s="2029" t="s">
        <v>5731</v>
      </c>
      <c r="B677" s="2030">
        <v>149902.82999999999</v>
      </c>
    </row>
    <row r="678" spans="1:5" x14ac:dyDescent="0.2">
      <c r="A678" s="2029" t="s">
        <v>5732</v>
      </c>
      <c r="B678" s="2030">
        <v>2105.0700000000002</v>
      </c>
    </row>
    <row r="679" spans="1:5" x14ac:dyDescent="0.2">
      <c r="A679" s="2029" t="s">
        <v>5733</v>
      </c>
      <c r="B679" s="2030"/>
    </row>
    <row r="680" spans="1:5" x14ac:dyDescent="0.2">
      <c r="A680" s="2029" t="s">
        <v>5734</v>
      </c>
      <c r="B680" s="2030">
        <v>1631.8</v>
      </c>
    </row>
    <row r="681" spans="1:5" x14ac:dyDescent="0.2">
      <c r="A681" s="2029" t="s">
        <v>5735</v>
      </c>
      <c r="B681" s="2030">
        <v>22058.720000000001</v>
      </c>
    </row>
    <row r="682" spans="1:5" x14ac:dyDescent="0.2">
      <c r="A682" s="2029" t="s">
        <v>5736</v>
      </c>
      <c r="B682" s="2030" t="s">
        <v>6399</v>
      </c>
    </row>
    <row r="683" spans="1:5" x14ac:dyDescent="0.2">
      <c r="A683" s="2029" t="s">
        <v>5737</v>
      </c>
      <c r="B683" s="2030">
        <v>85645.8</v>
      </c>
    </row>
    <row r="684" spans="1:5" x14ac:dyDescent="0.2">
      <c r="A684" s="2029" t="s">
        <v>5738</v>
      </c>
      <c r="B684" s="2030">
        <v>297598.28000000003</v>
      </c>
    </row>
    <row r="685" spans="1:5" x14ac:dyDescent="0.2">
      <c r="A685" s="2029" t="s">
        <v>5739</v>
      </c>
      <c r="B685" s="2030">
        <v>22999.599999999999</v>
      </c>
    </row>
    <row r="686" spans="1:5" s="2100" customFormat="1" x14ac:dyDescent="0.2">
      <c r="A686" s="2029" t="s">
        <v>5743</v>
      </c>
      <c r="B686" s="2030">
        <f>E686</f>
        <v>813827.59</v>
      </c>
      <c r="D686" s="2022"/>
      <c r="E686" s="2100">
        <v>813827.59</v>
      </c>
    </row>
    <row r="687" spans="1:5" x14ac:dyDescent="0.2">
      <c r="A687" s="2029" t="s">
        <v>5744</v>
      </c>
      <c r="B687" s="2030">
        <v>1390060.57</v>
      </c>
    </row>
    <row r="688" spans="1:5" x14ac:dyDescent="0.2">
      <c r="A688" s="2029" t="s">
        <v>5747</v>
      </c>
      <c r="B688" s="2030" t="s">
        <v>6399</v>
      </c>
    </row>
    <row r="689" spans="1:4" x14ac:dyDescent="0.2">
      <c r="A689" s="2029" t="s">
        <v>5748</v>
      </c>
      <c r="B689" s="2030">
        <v>866.4</v>
      </c>
    </row>
    <row r="690" spans="1:4" x14ac:dyDescent="0.2">
      <c r="A690" s="2029" t="s">
        <v>5750</v>
      </c>
      <c r="B690" s="2030">
        <f>3935-D690</f>
        <v>0</v>
      </c>
      <c r="D690" s="2022">
        <v>3935</v>
      </c>
    </row>
    <row r="691" spans="1:4" x14ac:dyDescent="0.2">
      <c r="A691" s="2029" t="s">
        <v>5752</v>
      </c>
      <c r="B691" s="2030">
        <v>478.67</v>
      </c>
    </row>
    <row r="692" spans="1:4" x14ac:dyDescent="0.2">
      <c r="A692" s="2029" t="s">
        <v>5753</v>
      </c>
      <c r="B692" s="2030">
        <v>1551.13</v>
      </c>
    </row>
    <row r="693" spans="1:4" x14ac:dyDescent="0.2">
      <c r="A693" s="2029" t="s">
        <v>5754</v>
      </c>
      <c r="B693" s="2030" t="s">
        <v>6399</v>
      </c>
    </row>
    <row r="694" spans="1:4" x14ac:dyDescent="0.2">
      <c r="A694" s="2029" t="s">
        <v>5755</v>
      </c>
      <c r="B694" s="2030">
        <v>19003.02</v>
      </c>
    </row>
    <row r="695" spans="1:4" x14ac:dyDescent="0.2">
      <c r="A695" s="2029" t="s">
        <v>5756</v>
      </c>
      <c r="B695" s="2030" t="s">
        <v>6399</v>
      </c>
    </row>
    <row r="696" spans="1:4" x14ac:dyDescent="0.2">
      <c r="A696" s="2029" t="s">
        <v>5757</v>
      </c>
      <c r="B696" s="2030">
        <v>11791.35</v>
      </c>
    </row>
    <row r="697" spans="1:4" x14ac:dyDescent="0.2">
      <c r="A697" s="2029" t="s">
        <v>5760</v>
      </c>
      <c r="B697" s="2030">
        <v>209.9</v>
      </c>
    </row>
    <row r="698" spans="1:4" x14ac:dyDescent="0.2">
      <c r="A698" s="2029" t="s">
        <v>5761</v>
      </c>
      <c r="B698" s="2030">
        <v>141325.46</v>
      </c>
    </row>
    <row r="699" spans="1:4" x14ac:dyDescent="0.2">
      <c r="A699" s="2029" t="s">
        <v>5762</v>
      </c>
      <c r="B699" s="2030">
        <v>148706.35999999999</v>
      </c>
    </row>
    <row r="700" spans="1:4" x14ac:dyDescent="0.2">
      <c r="A700" s="2029" t="s">
        <v>5763</v>
      </c>
      <c r="B700" s="2030" t="s">
        <v>6399</v>
      </c>
    </row>
    <row r="701" spans="1:4" x14ac:dyDescent="0.2">
      <c r="A701" s="2029" t="s">
        <v>5764</v>
      </c>
      <c r="B701" s="2030">
        <v>22574</v>
      </c>
    </row>
    <row r="702" spans="1:4" x14ac:dyDescent="0.2">
      <c r="A702" s="2029" t="s">
        <v>5766</v>
      </c>
      <c r="B702" s="2030">
        <v>152565.95000000001</v>
      </c>
    </row>
    <row r="703" spans="1:4" x14ac:dyDescent="0.2">
      <c r="A703" s="2029" t="s">
        <v>5767</v>
      </c>
      <c r="B703" s="2030">
        <v>22835.57</v>
      </c>
    </row>
    <row r="704" spans="1:4" x14ac:dyDescent="0.2">
      <c r="A704" s="2029" t="s">
        <v>5768</v>
      </c>
      <c r="B704" s="2030">
        <v>-3786978.14</v>
      </c>
    </row>
    <row r="705" spans="1:5" x14ac:dyDescent="0.2">
      <c r="A705" s="2029" t="s">
        <v>5770</v>
      </c>
      <c r="B705" s="2030">
        <v>0</v>
      </c>
    </row>
    <row r="706" spans="1:5" x14ac:dyDescent="0.2">
      <c r="A706" s="2029" t="s">
        <v>5771</v>
      </c>
      <c r="B706" s="2030">
        <v>1592697.67</v>
      </c>
    </row>
    <row r="707" spans="1:5" x14ac:dyDescent="0.2">
      <c r="A707" s="2029" t="s">
        <v>5772</v>
      </c>
      <c r="B707" s="2030">
        <v>94712.49</v>
      </c>
    </row>
    <row r="708" spans="1:5" x14ac:dyDescent="0.2">
      <c r="A708" s="2029" t="s">
        <v>5773</v>
      </c>
      <c r="B708" s="2030"/>
    </row>
    <row r="709" spans="1:5" x14ac:dyDescent="0.2">
      <c r="A709" s="2029" t="s">
        <v>5774</v>
      </c>
      <c r="B709" s="2030"/>
    </row>
    <row r="710" spans="1:5" x14ac:dyDescent="0.2">
      <c r="A710" s="2029" t="s">
        <v>5775</v>
      </c>
      <c r="B710" s="2030">
        <v>5790</v>
      </c>
    </row>
    <row r="711" spans="1:5" x14ac:dyDescent="0.2">
      <c r="A711" s="2029" t="s">
        <v>5776</v>
      </c>
      <c r="B711" s="2030">
        <v>67420.350000000006</v>
      </c>
    </row>
    <row r="712" spans="1:5" x14ac:dyDescent="0.2">
      <c r="A712" s="2029" t="s">
        <v>5777</v>
      </c>
      <c r="B712" s="2030">
        <v>17959.07</v>
      </c>
    </row>
    <row r="713" spans="1:5" x14ac:dyDescent="0.2">
      <c r="A713" s="2029" t="s">
        <v>5778</v>
      </c>
      <c r="B713" s="2030"/>
    </row>
    <row r="714" spans="1:5" x14ac:dyDescent="0.2">
      <c r="A714" s="2029" t="s">
        <v>5779</v>
      </c>
      <c r="B714" s="2030">
        <v>1037.3</v>
      </c>
    </row>
    <row r="715" spans="1:5" x14ac:dyDescent="0.2">
      <c r="A715" s="2029" t="s">
        <v>5780</v>
      </c>
      <c r="B715" s="2030">
        <v>15515.48</v>
      </c>
    </row>
    <row r="716" spans="1:5" x14ac:dyDescent="0.2">
      <c r="A716" s="2029" t="s">
        <v>5781</v>
      </c>
      <c r="B716" s="2030" t="s">
        <v>6399</v>
      </c>
    </row>
    <row r="717" spans="1:5" x14ac:dyDescent="0.2">
      <c r="A717" s="2029" t="s">
        <v>5782</v>
      </c>
      <c r="B717" s="2030">
        <v>106253.8</v>
      </c>
    </row>
    <row r="718" spans="1:5" x14ac:dyDescent="0.2">
      <c r="A718" s="2029" t="s">
        <v>5783</v>
      </c>
      <c r="B718" s="2030">
        <v>229484.42</v>
      </c>
    </row>
    <row r="719" spans="1:5" x14ac:dyDescent="0.2">
      <c r="A719" s="2029" t="s">
        <v>5784</v>
      </c>
      <c r="B719" s="2030">
        <v>16222.5</v>
      </c>
    </row>
    <row r="720" spans="1:5" x14ac:dyDescent="0.2">
      <c r="A720" s="2029" t="s">
        <v>5786</v>
      </c>
      <c r="B720" s="2030">
        <f>6335453.58+E720</f>
        <v>5973834.5800000001</v>
      </c>
      <c r="E720">
        <v>-361619</v>
      </c>
    </row>
    <row r="721" spans="1:4" x14ac:dyDescent="0.2">
      <c r="A721" s="2029" t="s">
        <v>5793</v>
      </c>
      <c r="B721" s="2030" t="s">
        <v>6399</v>
      </c>
    </row>
    <row r="722" spans="1:4" x14ac:dyDescent="0.2">
      <c r="A722" s="2029" t="s">
        <v>5794</v>
      </c>
      <c r="B722" s="2030">
        <v>221.49</v>
      </c>
    </row>
    <row r="723" spans="1:4" x14ac:dyDescent="0.2">
      <c r="A723" s="2029" t="s">
        <v>5797</v>
      </c>
      <c r="B723" s="2030">
        <v>250</v>
      </c>
    </row>
    <row r="724" spans="1:4" x14ac:dyDescent="0.2">
      <c r="A724" s="2029" t="s">
        <v>5798</v>
      </c>
      <c r="B724" s="2030">
        <v>456</v>
      </c>
    </row>
    <row r="725" spans="1:4" x14ac:dyDescent="0.2">
      <c r="A725" s="2029" t="s">
        <v>5799</v>
      </c>
      <c r="B725" s="2030">
        <v>24760</v>
      </c>
    </row>
    <row r="726" spans="1:4" x14ac:dyDescent="0.2">
      <c r="A726" s="2029" t="s">
        <v>5801</v>
      </c>
      <c r="B726" s="2030">
        <f>12153.27-D726</f>
        <v>0</v>
      </c>
      <c r="D726" s="2022">
        <v>12153.27</v>
      </c>
    </row>
    <row r="727" spans="1:4" x14ac:dyDescent="0.2">
      <c r="A727" s="2029" t="s">
        <v>5803</v>
      </c>
      <c r="B727" s="2030">
        <v>14586.05</v>
      </c>
    </row>
    <row r="728" spans="1:4" x14ac:dyDescent="0.2">
      <c r="A728" s="2029" t="s">
        <v>5805</v>
      </c>
      <c r="B728" s="2030">
        <v>89227.74</v>
      </c>
    </row>
    <row r="729" spans="1:4" x14ac:dyDescent="0.2">
      <c r="A729" s="2029" t="s">
        <v>5806</v>
      </c>
      <c r="B729" s="2030">
        <v>25190.3</v>
      </c>
    </row>
    <row r="730" spans="1:4" x14ac:dyDescent="0.2">
      <c r="A730" s="2029" t="s">
        <v>5808</v>
      </c>
      <c r="B730" s="2030">
        <v>30668.09</v>
      </c>
    </row>
    <row r="731" spans="1:4" x14ac:dyDescent="0.2">
      <c r="A731" s="2029" t="s">
        <v>5809</v>
      </c>
      <c r="B731" s="2030">
        <f>70.18-D731</f>
        <v>0</v>
      </c>
      <c r="D731" s="2022">
        <v>70.180000000000007</v>
      </c>
    </row>
    <row r="732" spans="1:4" x14ac:dyDescent="0.2">
      <c r="A732" s="2029" t="s">
        <v>5811</v>
      </c>
      <c r="B732" s="2035">
        <v>428337.82</v>
      </c>
    </row>
    <row r="733" spans="1:4" x14ac:dyDescent="0.2">
      <c r="A733" s="2029" t="s">
        <v>5812</v>
      </c>
      <c r="B733" s="2030" t="s">
        <v>6399</v>
      </c>
    </row>
    <row r="734" spans="1:4" x14ac:dyDescent="0.2">
      <c r="A734" s="2029" t="s">
        <v>5813</v>
      </c>
      <c r="B734" s="2030" t="s">
        <v>6399</v>
      </c>
    </row>
    <row r="735" spans="1:4" x14ac:dyDescent="0.2">
      <c r="A735" s="2029" t="s">
        <v>5814</v>
      </c>
      <c r="B735" s="2030">
        <v>16135.41</v>
      </c>
    </row>
    <row r="736" spans="1:4" x14ac:dyDescent="0.2">
      <c r="A736" s="2029" t="s">
        <v>5815</v>
      </c>
      <c r="B736" s="2030">
        <v>6963.44</v>
      </c>
    </row>
    <row r="737" spans="1:2" x14ac:dyDescent="0.2">
      <c r="A737" s="2029" t="s">
        <v>5816</v>
      </c>
      <c r="B737" s="2030" t="s">
        <v>6399</v>
      </c>
    </row>
    <row r="738" spans="1:2" x14ac:dyDescent="0.2">
      <c r="A738" s="2029" t="s">
        <v>5817</v>
      </c>
      <c r="B738" s="2030">
        <v>52861.61</v>
      </c>
    </row>
    <row r="739" spans="1:2" x14ac:dyDescent="0.2">
      <c r="A739" s="2029" t="s">
        <v>5818</v>
      </c>
      <c r="B739" s="2030">
        <v>15918.35</v>
      </c>
    </row>
    <row r="740" spans="1:2" x14ac:dyDescent="0.2">
      <c r="A740" s="2029" t="s">
        <v>5819</v>
      </c>
      <c r="B740" s="2030">
        <v>-1152.78</v>
      </c>
    </row>
    <row r="741" spans="1:2" x14ac:dyDescent="0.2">
      <c r="A741" s="2029" t="s">
        <v>5826</v>
      </c>
      <c r="B741" s="2030">
        <v>-1411.7</v>
      </c>
    </row>
    <row r="742" spans="1:2" x14ac:dyDescent="0.2">
      <c r="A742" s="2029" t="s">
        <v>5828</v>
      </c>
      <c r="B742" s="2030">
        <v>2508840.42</v>
      </c>
    </row>
    <row r="743" spans="1:2" x14ac:dyDescent="0.2">
      <c r="A743" s="2029" t="s">
        <v>5829</v>
      </c>
      <c r="B743" s="2030">
        <v>166294.71</v>
      </c>
    </row>
    <row r="744" spans="1:2" x14ac:dyDescent="0.2">
      <c r="A744" s="2029" t="s">
        <v>5830</v>
      </c>
      <c r="B744" s="2030"/>
    </row>
    <row r="745" spans="1:2" x14ac:dyDescent="0.2">
      <c r="A745" s="2029" t="s">
        <v>5831</v>
      </c>
      <c r="B745" s="2030"/>
    </row>
    <row r="746" spans="1:2" x14ac:dyDescent="0.2">
      <c r="A746" s="2029" t="s">
        <v>5832</v>
      </c>
      <c r="B746" s="2030"/>
    </row>
    <row r="747" spans="1:2" x14ac:dyDescent="0.2">
      <c r="A747" s="2029" t="s">
        <v>5833</v>
      </c>
      <c r="B747" s="2030">
        <v>566779.37</v>
      </c>
    </row>
    <row r="748" spans="1:2" x14ac:dyDescent="0.2">
      <c r="A748" s="2029" t="s">
        <v>5834</v>
      </c>
      <c r="B748" s="2030">
        <v>3622.41</v>
      </c>
    </row>
    <row r="749" spans="1:2" x14ac:dyDescent="0.2">
      <c r="A749" s="2029" t="s">
        <v>5835</v>
      </c>
      <c r="B749" s="2030">
        <v>1594.9</v>
      </c>
    </row>
    <row r="750" spans="1:2" x14ac:dyDescent="0.2">
      <c r="A750" s="2029" t="s">
        <v>5836</v>
      </c>
      <c r="B750" s="2030">
        <v>29686.7</v>
      </c>
    </row>
    <row r="751" spans="1:2" x14ac:dyDescent="0.2">
      <c r="A751" s="2029" t="s">
        <v>5837</v>
      </c>
      <c r="B751" s="2030" t="s">
        <v>6399</v>
      </c>
    </row>
    <row r="752" spans="1:2" x14ac:dyDescent="0.2">
      <c r="A752" s="2029" t="s">
        <v>5838</v>
      </c>
      <c r="B752" s="2030">
        <v>109434</v>
      </c>
    </row>
    <row r="753" spans="1:4" x14ac:dyDescent="0.2">
      <c r="A753" s="2029" t="s">
        <v>5839</v>
      </c>
      <c r="B753" s="2030">
        <v>399287.67</v>
      </c>
    </row>
    <row r="754" spans="1:4" x14ac:dyDescent="0.2">
      <c r="A754" s="2029" t="s">
        <v>5840</v>
      </c>
      <c r="B754" s="2030">
        <v>29843.08</v>
      </c>
    </row>
    <row r="755" spans="1:4" x14ac:dyDescent="0.2">
      <c r="A755" s="2029" t="s">
        <v>5845</v>
      </c>
      <c r="B755" s="2030"/>
    </row>
    <row r="756" spans="1:4" x14ac:dyDescent="0.2">
      <c r="A756" s="2029" t="s">
        <v>5847</v>
      </c>
      <c r="B756" s="2030">
        <v>429656.62</v>
      </c>
    </row>
    <row r="757" spans="1:4" x14ac:dyDescent="0.2">
      <c r="A757" s="2029" t="s">
        <v>5850</v>
      </c>
      <c r="B757" s="2030">
        <v>80</v>
      </c>
    </row>
    <row r="758" spans="1:4" x14ac:dyDescent="0.2">
      <c r="A758" s="2029" t="s">
        <v>5851</v>
      </c>
      <c r="B758" s="2030"/>
    </row>
    <row r="759" spans="1:4" x14ac:dyDescent="0.2">
      <c r="A759" s="2029" t="s">
        <v>5853</v>
      </c>
      <c r="B759" s="2030">
        <v>15000</v>
      </c>
    </row>
    <row r="760" spans="1:4" x14ac:dyDescent="0.2">
      <c r="A760" s="2029" t="s">
        <v>5856</v>
      </c>
      <c r="B760" s="2030">
        <f>11652.13-D760</f>
        <v>0</v>
      </c>
      <c r="D760" s="2022">
        <v>11652.13</v>
      </c>
    </row>
    <row r="761" spans="1:4" x14ac:dyDescent="0.2">
      <c r="A761" s="2029" t="s">
        <v>5857</v>
      </c>
      <c r="B761" s="2030">
        <v>20.309999999999999</v>
      </c>
    </row>
    <row r="762" spans="1:4" x14ac:dyDescent="0.2">
      <c r="A762" s="2029" t="s">
        <v>5859</v>
      </c>
      <c r="B762" s="2030">
        <v>961831.89</v>
      </c>
    </row>
    <row r="763" spans="1:4" x14ac:dyDescent="0.2">
      <c r="A763" s="2029" t="s">
        <v>5861</v>
      </c>
      <c r="B763" s="2030">
        <v>4647.25</v>
      </c>
    </row>
    <row r="764" spans="1:4" x14ac:dyDescent="0.2">
      <c r="A764" s="2029" t="s">
        <v>5863</v>
      </c>
      <c r="B764" s="2030">
        <v>8362.24</v>
      </c>
    </row>
    <row r="765" spans="1:4" x14ac:dyDescent="0.2">
      <c r="A765" s="2029" t="s">
        <v>5864</v>
      </c>
      <c r="B765" s="2030">
        <v>17754.060000000001</v>
      </c>
    </row>
    <row r="766" spans="1:4" x14ac:dyDescent="0.2">
      <c r="A766" s="2029" t="s">
        <v>5866</v>
      </c>
      <c r="B766" s="2030">
        <v>14788.37</v>
      </c>
    </row>
    <row r="767" spans="1:4" x14ac:dyDescent="0.2">
      <c r="A767" s="2029" t="s">
        <v>5868</v>
      </c>
      <c r="B767" s="2030">
        <v>41984.62</v>
      </c>
    </row>
    <row r="768" spans="1:4" x14ac:dyDescent="0.2">
      <c r="A768" s="2029" t="s">
        <v>5869</v>
      </c>
      <c r="B768" s="2030">
        <f>18157.22-D768</f>
        <v>0</v>
      </c>
      <c r="D768" s="2022">
        <v>18157.22</v>
      </c>
    </row>
    <row r="769" spans="1:2" x14ac:dyDescent="0.2">
      <c r="A769" s="2029" t="s">
        <v>5870</v>
      </c>
      <c r="B769" s="2030">
        <v>119363.76</v>
      </c>
    </row>
    <row r="770" spans="1:2" x14ac:dyDescent="0.2">
      <c r="A770" s="2039" t="s">
        <v>5872</v>
      </c>
      <c r="B770" s="2040" t="s">
        <v>6399</v>
      </c>
    </row>
    <row r="771" spans="1:2" x14ac:dyDescent="0.2">
      <c r="A771" s="2029" t="s">
        <v>5873</v>
      </c>
      <c r="B771" s="2030" t="s">
        <v>6399</v>
      </c>
    </row>
    <row r="772" spans="1:2" x14ac:dyDescent="0.2">
      <c r="A772" s="2029" t="s">
        <v>5874</v>
      </c>
      <c r="B772" s="2030">
        <v>60.53</v>
      </c>
    </row>
    <row r="773" spans="1:2" x14ac:dyDescent="0.2">
      <c r="A773" s="2029" t="s">
        <v>5875</v>
      </c>
      <c r="B773" s="2030">
        <v>39.82</v>
      </c>
    </row>
    <row r="774" spans="1:2" x14ac:dyDescent="0.2">
      <c r="A774" s="2029" t="s">
        <v>5876</v>
      </c>
      <c r="B774" s="2030" t="s">
        <v>6399</v>
      </c>
    </row>
    <row r="775" spans="1:2" x14ac:dyDescent="0.2">
      <c r="A775" s="2029" t="s">
        <v>5877</v>
      </c>
      <c r="B775" s="2030">
        <v>9920.2000000000007</v>
      </c>
    </row>
    <row r="776" spans="1:2" x14ac:dyDescent="0.2">
      <c r="A776" s="2029" t="s">
        <v>5878</v>
      </c>
      <c r="B776" s="2030">
        <v>282169.65999999997</v>
      </c>
    </row>
    <row r="777" spans="1:2" x14ac:dyDescent="0.2">
      <c r="A777" s="2029" t="s">
        <v>5879</v>
      </c>
      <c r="B777" s="2030">
        <v>24266.66</v>
      </c>
    </row>
    <row r="778" spans="1:2" x14ac:dyDescent="0.2">
      <c r="A778" s="2029" t="s">
        <v>5880</v>
      </c>
      <c r="B778" s="2030">
        <v>12421478.710000001</v>
      </c>
    </row>
    <row r="779" spans="1:2" x14ac:dyDescent="0.2">
      <c r="A779" s="2029" t="s">
        <v>5881</v>
      </c>
      <c r="B779" s="2030">
        <v>536888.97</v>
      </c>
    </row>
    <row r="780" spans="1:2" x14ac:dyDescent="0.2">
      <c r="A780" s="2029" t="s">
        <v>5882</v>
      </c>
      <c r="B780" s="2030">
        <v>11265.56</v>
      </c>
    </row>
    <row r="781" spans="1:2" x14ac:dyDescent="0.2">
      <c r="A781" s="2029" t="s">
        <v>5884</v>
      </c>
      <c r="B781" s="2030">
        <v>-6711790.1299999999</v>
      </c>
    </row>
    <row r="782" spans="1:2" x14ac:dyDescent="0.2">
      <c r="A782" s="2029" t="s">
        <v>5886</v>
      </c>
      <c r="B782" s="2030">
        <v>-13113878.1</v>
      </c>
    </row>
    <row r="783" spans="1:2" x14ac:dyDescent="0.2">
      <c r="A783" s="2029" t="s">
        <v>5888</v>
      </c>
      <c r="B783" s="2030">
        <v>-807.12</v>
      </c>
    </row>
    <row r="784" spans="1:2" x14ac:dyDescent="0.2">
      <c r="A784" s="2029" t="s">
        <v>5892</v>
      </c>
      <c r="B784" s="2030">
        <v>489779.02</v>
      </c>
    </row>
    <row r="785" spans="1:7" x14ac:dyDescent="0.2">
      <c r="A785" s="2029" t="s">
        <v>5893</v>
      </c>
      <c r="B785" s="2030">
        <v>19185.62</v>
      </c>
    </row>
    <row r="786" spans="1:7" x14ac:dyDescent="0.2">
      <c r="A786" s="2029" t="s">
        <v>5894</v>
      </c>
      <c r="B786" s="2030">
        <v>7600</v>
      </c>
    </row>
    <row r="787" spans="1:7" x14ac:dyDescent="0.2">
      <c r="A787" s="2029" t="s">
        <v>5895</v>
      </c>
      <c r="B787" s="2030">
        <v>7136.27</v>
      </c>
    </row>
    <row r="788" spans="1:7" x14ac:dyDescent="0.2">
      <c r="A788" s="2029" t="s">
        <v>5896</v>
      </c>
      <c r="B788" s="2030">
        <v>135.30000000000001</v>
      </c>
    </row>
    <row r="789" spans="1:7" x14ac:dyDescent="0.2">
      <c r="A789" s="2029" t="s">
        <v>5897</v>
      </c>
      <c r="B789" s="2030">
        <v>4606.08</v>
      </c>
    </row>
    <row r="790" spans="1:7" x14ac:dyDescent="0.2">
      <c r="A790" s="2029" t="s">
        <v>5898</v>
      </c>
      <c r="B790" s="2030" t="s">
        <v>6399</v>
      </c>
    </row>
    <row r="791" spans="1:7" x14ac:dyDescent="0.2">
      <c r="A791" s="2029" t="s">
        <v>5899</v>
      </c>
      <c r="B791" s="2030">
        <v>29593.200000000001</v>
      </c>
    </row>
    <row r="792" spans="1:7" x14ac:dyDescent="0.2">
      <c r="A792" s="2029" t="s">
        <v>5900</v>
      </c>
      <c r="B792" s="2030">
        <v>72945.84</v>
      </c>
    </row>
    <row r="793" spans="1:7" x14ac:dyDescent="0.2">
      <c r="A793" s="2029" t="s">
        <v>5901</v>
      </c>
      <c r="B793" s="2030">
        <v>3490.96</v>
      </c>
    </row>
    <row r="794" spans="1:7" x14ac:dyDescent="0.2">
      <c r="A794" s="2029" t="s">
        <v>5903</v>
      </c>
      <c r="B794" s="2030">
        <f>127674.77-G794</f>
        <v>97846.77</v>
      </c>
      <c r="G794">
        <v>29828</v>
      </c>
    </row>
    <row r="795" spans="1:7" x14ac:dyDescent="0.2">
      <c r="A795" s="2029" t="s">
        <v>5905</v>
      </c>
      <c r="B795" s="2030">
        <v>16009593.859999999</v>
      </c>
    </row>
    <row r="796" spans="1:7" x14ac:dyDescent="0.2">
      <c r="A796" s="2029" t="s">
        <v>5907</v>
      </c>
      <c r="B796" s="2030" t="s">
        <v>6399</v>
      </c>
    </row>
    <row r="797" spans="1:7" x14ac:dyDescent="0.2">
      <c r="A797" s="2029" t="s">
        <v>5913</v>
      </c>
      <c r="B797" s="2030">
        <f>10032.34-D797</f>
        <v>0</v>
      </c>
      <c r="D797" s="2022">
        <v>10032.34</v>
      </c>
    </row>
    <row r="798" spans="1:7" x14ac:dyDescent="0.2">
      <c r="A798" s="2029" t="s">
        <v>5914</v>
      </c>
      <c r="B798" s="2030">
        <v>29843.34</v>
      </c>
    </row>
    <row r="799" spans="1:7" x14ac:dyDescent="0.2">
      <c r="A799" s="2029" t="s">
        <v>5917</v>
      </c>
      <c r="B799" s="2030">
        <v>28534.75</v>
      </c>
    </row>
    <row r="800" spans="1:7" x14ac:dyDescent="0.2">
      <c r="A800" s="2029" t="s">
        <v>5918</v>
      </c>
      <c r="B800" s="2030">
        <f>350.01-D800</f>
        <v>0</v>
      </c>
      <c r="D800" s="2022">
        <v>350.01</v>
      </c>
    </row>
    <row r="801" spans="1:2" x14ac:dyDescent="0.2">
      <c r="A801" s="2029" t="s">
        <v>5920</v>
      </c>
      <c r="B801" s="2030" t="s">
        <v>6399</v>
      </c>
    </row>
    <row r="802" spans="1:2" x14ac:dyDescent="0.2">
      <c r="A802" s="2029" t="s">
        <v>5921</v>
      </c>
      <c r="B802" s="2030">
        <v>513</v>
      </c>
    </row>
    <row r="803" spans="1:2" x14ac:dyDescent="0.2">
      <c r="A803" s="2029" t="s">
        <v>5922</v>
      </c>
      <c r="B803" s="2030">
        <v>12380</v>
      </c>
    </row>
    <row r="804" spans="1:2" x14ac:dyDescent="0.2">
      <c r="A804" s="2029" t="s">
        <v>5923</v>
      </c>
      <c r="B804" s="2030" t="s">
        <v>6399</v>
      </c>
    </row>
    <row r="805" spans="1:2" x14ac:dyDescent="0.2">
      <c r="A805" s="2029" t="s">
        <v>5924</v>
      </c>
      <c r="B805" s="2030">
        <v>-12040737.66</v>
      </c>
    </row>
    <row r="806" spans="1:2" x14ac:dyDescent="0.2">
      <c r="A806" s="2029" t="s">
        <v>5925</v>
      </c>
      <c r="B806" s="2030" t="s">
        <v>6399</v>
      </c>
    </row>
    <row r="807" spans="1:2" x14ac:dyDescent="0.2">
      <c r="A807" s="2029" t="s">
        <v>5931</v>
      </c>
      <c r="B807" s="2030">
        <v>71262.259999999995</v>
      </c>
    </row>
    <row r="808" spans="1:2" x14ac:dyDescent="0.2">
      <c r="A808" s="2029" t="s">
        <v>4514</v>
      </c>
      <c r="B808" s="2030"/>
    </row>
    <row r="809" spans="1:2" x14ac:dyDescent="0.2">
      <c r="A809" s="2029" t="s">
        <v>4518</v>
      </c>
      <c r="B809" s="2030">
        <v>1501779.84</v>
      </c>
    </row>
    <row r="810" spans="1:2" x14ac:dyDescent="0.2">
      <c r="A810" s="2029" t="s">
        <v>4520</v>
      </c>
      <c r="B810" s="2030">
        <v>-166324402.84</v>
      </c>
    </row>
    <row r="811" spans="1:2" x14ac:dyDescent="0.2">
      <c r="A811" s="2029" t="s">
        <v>4522</v>
      </c>
      <c r="B811" s="2030">
        <v>7653712</v>
      </c>
    </row>
    <row r="812" spans="1:2" x14ac:dyDescent="0.2">
      <c r="A812" s="2029" t="s">
        <v>4524</v>
      </c>
      <c r="B812" s="2030">
        <v>-513729.96</v>
      </c>
    </row>
    <row r="813" spans="1:2" x14ac:dyDescent="0.2">
      <c r="A813" s="2029" t="s">
        <v>4526</v>
      </c>
      <c r="B813" s="2030">
        <v>-1720880.76</v>
      </c>
    </row>
    <row r="814" spans="1:2" x14ac:dyDescent="0.2">
      <c r="A814" s="2029" t="s">
        <v>4528</v>
      </c>
      <c r="B814" s="2030">
        <v>-53804.39</v>
      </c>
    </row>
    <row r="815" spans="1:2" x14ac:dyDescent="0.2">
      <c r="A815" s="2029" t="s">
        <v>4530</v>
      </c>
      <c r="B815" s="2030">
        <v>-213213.04</v>
      </c>
    </row>
    <row r="816" spans="1:2" x14ac:dyDescent="0.2">
      <c r="A816" s="2029" t="s">
        <v>4532</v>
      </c>
      <c r="B816" s="2030">
        <v>-267194.32</v>
      </c>
    </row>
    <row r="817" spans="1:2" x14ac:dyDescent="0.2">
      <c r="A817" s="2029" t="s">
        <v>4534</v>
      </c>
      <c r="B817" s="2030">
        <v>-23201.65</v>
      </c>
    </row>
    <row r="818" spans="1:2" x14ac:dyDescent="0.2">
      <c r="A818" s="2029" t="s">
        <v>4536</v>
      </c>
      <c r="B818" s="2030">
        <v>-88134.56</v>
      </c>
    </row>
    <row r="819" spans="1:2" x14ac:dyDescent="0.2">
      <c r="A819" s="2029" t="s">
        <v>4538</v>
      </c>
      <c r="B819" s="2030">
        <v>-178476.72</v>
      </c>
    </row>
    <row r="820" spans="1:2" x14ac:dyDescent="0.2">
      <c r="A820" s="2037" t="s">
        <v>4540</v>
      </c>
      <c r="B820" s="2030">
        <v>-1636557.01</v>
      </c>
    </row>
    <row r="821" spans="1:2" x14ac:dyDescent="0.2">
      <c r="A821" s="2029" t="s">
        <v>4543</v>
      </c>
      <c r="B821" s="2030">
        <v>46.25</v>
      </c>
    </row>
    <row r="822" spans="1:2" x14ac:dyDescent="0.2">
      <c r="A822" s="2029" t="s">
        <v>4545</v>
      </c>
      <c r="B822" s="2030">
        <v>630.5</v>
      </c>
    </row>
    <row r="823" spans="1:2" x14ac:dyDescent="0.2">
      <c r="A823" s="2029" t="s">
        <v>4547</v>
      </c>
      <c r="B823" s="2030">
        <v>-1643</v>
      </c>
    </row>
    <row r="824" spans="1:2" x14ac:dyDescent="0.2">
      <c r="A824" s="2029" t="s">
        <v>4548</v>
      </c>
      <c r="B824" s="2030">
        <v>-800</v>
      </c>
    </row>
    <row r="825" spans="1:2" x14ac:dyDescent="0.2">
      <c r="A825" s="2029" t="s">
        <v>4549</v>
      </c>
      <c r="B825" s="2030">
        <v>-66120</v>
      </c>
    </row>
    <row r="826" spans="1:2" x14ac:dyDescent="0.2">
      <c r="A826" s="2029" t="s">
        <v>4551</v>
      </c>
      <c r="B826" s="2030">
        <v>-3023636.66</v>
      </c>
    </row>
    <row r="827" spans="1:2" x14ac:dyDescent="0.2">
      <c r="A827" s="2029" t="s">
        <v>4553</v>
      </c>
      <c r="B827" s="2030">
        <v>-689433.13</v>
      </c>
    </row>
    <row r="828" spans="1:2" x14ac:dyDescent="0.2">
      <c r="A828" s="2029" t="s">
        <v>4556</v>
      </c>
      <c r="B828" s="2030">
        <v>-34472.54</v>
      </c>
    </row>
    <row r="829" spans="1:2" x14ac:dyDescent="0.2">
      <c r="A829" s="2029" t="s">
        <v>4558</v>
      </c>
      <c r="B829" s="2030">
        <v>-12099045.41</v>
      </c>
    </row>
    <row r="830" spans="1:2" x14ac:dyDescent="0.2">
      <c r="A830" s="2029" t="s">
        <v>4560</v>
      </c>
      <c r="B830" s="2030">
        <v>-250</v>
      </c>
    </row>
    <row r="831" spans="1:2" x14ac:dyDescent="0.2">
      <c r="A831" s="2029" t="s">
        <v>4562</v>
      </c>
      <c r="B831" s="2030">
        <v>198547.47</v>
      </c>
    </row>
    <row r="832" spans="1:2" x14ac:dyDescent="0.2">
      <c r="A832" s="2029" t="s">
        <v>4565</v>
      </c>
      <c r="B832" s="2030">
        <v>20565.13</v>
      </c>
    </row>
    <row r="833" spans="1:2" x14ac:dyDescent="0.2">
      <c r="A833" s="2029" t="s">
        <v>4571</v>
      </c>
      <c r="B833" s="2030">
        <v>-5030</v>
      </c>
    </row>
    <row r="834" spans="1:2" x14ac:dyDescent="0.2">
      <c r="A834" s="2029" t="s">
        <v>4573</v>
      </c>
      <c r="B834" s="2030">
        <v>-31284</v>
      </c>
    </row>
    <row r="835" spans="1:2" x14ac:dyDescent="0.2">
      <c r="A835" s="2029" t="s">
        <v>4575</v>
      </c>
      <c r="B835" s="2030">
        <v>-834358.78</v>
      </c>
    </row>
    <row r="836" spans="1:2" x14ac:dyDescent="0.2">
      <c r="A836" s="2029" t="s">
        <v>4577</v>
      </c>
      <c r="B836" s="2030">
        <v>511704.77</v>
      </c>
    </row>
    <row r="837" spans="1:2" x14ac:dyDescent="0.2">
      <c r="A837" s="2029" t="s">
        <v>4579</v>
      </c>
      <c r="B837" s="2030">
        <v>0</v>
      </c>
    </row>
    <row r="838" spans="1:2" x14ac:dyDescent="0.2">
      <c r="A838" s="2029" t="s">
        <v>4581</v>
      </c>
      <c r="B838" s="2030">
        <v>9339.31</v>
      </c>
    </row>
    <row r="839" spans="1:2" x14ac:dyDescent="0.2">
      <c r="A839" s="2029" t="s">
        <v>4584</v>
      </c>
      <c r="B839" s="2030">
        <v>-28.03</v>
      </c>
    </row>
    <row r="840" spans="1:2" x14ac:dyDescent="0.2">
      <c r="A840" s="2029" t="s">
        <v>4586</v>
      </c>
      <c r="B840" s="2030">
        <v>22734</v>
      </c>
    </row>
    <row r="841" spans="1:2" x14ac:dyDescent="0.2">
      <c r="A841" s="2029" t="s">
        <v>4589</v>
      </c>
      <c r="B841" s="2030">
        <v>-236574.36</v>
      </c>
    </row>
    <row r="842" spans="1:2" x14ac:dyDescent="0.2">
      <c r="A842" s="2029" t="s">
        <v>4591</v>
      </c>
      <c r="B842" s="2030">
        <v>-5135150</v>
      </c>
    </row>
    <row r="843" spans="1:2" x14ac:dyDescent="0.2">
      <c r="A843" s="2029" t="s">
        <v>4592</v>
      </c>
      <c r="B843" s="2030">
        <v>-39526</v>
      </c>
    </row>
    <row r="844" spans="1:2" x14ac:dyDescent="0.2">
      <c r="A844" s="2029" t="s">
        <v>4594</v>
      </c>
      <c r="B844" s="2030">
        <v>0</v>
      </c>
    </row>
    <row r="845" spans="1:2" x14ac:dyDescent="0.2">
      <c r="A845" s="2029" t="s">
        <v>4596</v>
      </c>
      <c r="B845" s="2030">
        <v>26063.87</v>
      </c>
    </row>
    <row r="846" spans="1:2" x14ac:dyDescent="0.2">
      <c r="A846" s="2029" t="s">
        <v>4596</v>
      </c>
      <c r="B846" s="2030">
        <v>0</v>
      </c>
    </row>
    <row r="847" spans="1:2" x14ac:dyDescent="0.2">
      <c r="A847" s="2029" t="s">
        <v>4598</v>
      </c>
      <c r="B847" s="2030">
        <v>-780</v>
      </c>
    </row>
    <row r="848" spans="1:2" x14ac:dyDescent="0.2">
      <c r="A848" s="2029" t="s">
        <v>4600</v>
      </c>
      <c r="B848" s="2030">
        <v>-1352069</v>
      </c>
    </row>
    <row r="849" spans="1:2" x14ac:dyDescent="0.2">
      <c r="A849" s="2029" t="s">
        <v>4602</v>
      </c>
      <c r="B849" s="2030">
        <v>-343835.01</v>
      </c>
    </row>
    <row r="850" spans="1:2" x14ac:dyDescent="0.2">
      <c r="A850" s="2029" t="s">
        <v>4604</v>
      </c>
      <c r="B850" s="2030">
        <v>0</v>
      </c>
    </row>
    <row r="851" spans="1:2" x14ac:dyDescent="0.2">
      <c r="A851" s="2029" t="s">
        <v>4606</v>
      </c>
      <c r="B851" s="2035">
        <v>605341.9</v>
      </c>
    </row>
    <row r="852" spans="1:2" x14ac:dyDescent="0.2">
      <c r="A852" s="2029" t="s">
        <v>4608</v>
      </c>
      <c r="B852" s="2030">
        <v>-12487502.699999999</v>
      </c>
    </row>
    <row r="853" spans="1:2" x14ac:dyDescent="0.2">
      <c r="A853" s="2029" t="s">
        <v>4610</v>
      </c>
      <c r="B853" s="2030">
        <v>-31183.05</v>
      </c>
    </row>
    <row r="854" spans="1:2" x14ac:dyDescent="0.2">
      <c r="A854" s="2029" t="s">
        <v>4612</v>
      </c>
      <c r="B854" s="2030">
        <v>-1846795</v>
      </c>
    </row>
    <row r="855" spans="1:2" x14ac:dyDescent="0.2">
      <c r="A855" s="2029" t="s">
        <v>4614</v>
      </c>
      <c r="B855" s="2030">
        <v>-527275</v>
      </c>
    </row>
    <row r="856" spans="1:2" x14ac:dyDescent="0.2">
      <c r="A856" s="2029" t="s">
        <v>4616</v>
      </c>
      <c r="B856" s="2030">
        <v>-2208424</v>
      </c>
    </row>
    <row r="857" spans="1:2" x14ac:dyDescent="0.2">
      <c r="A857" s="2029" t="s">
        <v>4618</v>
      </c>
      <c r="B857" s="2030">
        <v>-92818</v>
      </c>
    </row>
    <row r="858" spans="1:2" x14ac:dyDescent="0.2">
      <c r="A858" s="2029" t="s">
        <v>4620</v>
      </c>
      <c r="B858" s="2030">
        <v>-176085</v>
      </c>
    </row>
    <row r="859" spans="1:2" x14ac:dyDescent="0.2">
      <c r="A859" s="2029" t="s">
        <v>4622</v>
      </c>
      <c r="B859" s="2030">
        <v>-909915</v>
      </c>
    </row>
    <row r="860" spans="1:2" x14ac:dyDescent="0.2">
      <c r="A860" s="2029" t="s">
        <v>4624</v>
      </c>
      <c r="B860" s="2030">
        <v>-2220000</v>
      </c>
    </row>
    <row r="861" spans="1:2" x14ac:dyDescent="0.2">
      <c r="A861" s="2029" t="s">
        <v>4626</v>
      </c>
      <c r="B861" s="2035">
        <v>2138316.88</v>
      </c>
    </row>
    <row r="862" spans="1:2" x14ac:dyDescent="0.2">
      <c r="A862" s="2029" t="s">
        <v>4628</v>
      </c>
      <c r="B862" s="2035">
        <v>3204500.2</v>
      </c>
    </row>
    <row r="863" spans="1:2" x14ac:dyDescent="0.2">
      <c r="A863" s="2029" t="s">
        <v>4630</v>
      </c>
      <c r="B863" s="2035">
        <v>3118613.4</v>
      </c>
    </row>
    <row r="864" spans="1:2" x14ac:dyDescent="0.2">
      <c r="A864" s="2029" t="s">
        <v>4632</v>
      </c>
      <c r="B864" s="2035">
        <v>3760897.78</v>
      </c>
    </row>
    <row r="865" spans="1:2" x14ac:dyDescent="0.2">
      <c r="A865" s="2033" t="s">
        <v>4634</v>
      </c>
      <c r="B865" s="2034">
        <v>-2091729.91</v>
      </c>
    </row>
    <row r="866" spans="1:2" x14ac:dyDescent="0.2">
      <c r="A866" s="2029" t="s">
        <v>4636</v>
      </c>
      <c r="B866" s="2035">
        <v>196206.46</v>
      </c>
    </row>
    <row r="867" spans="1:2" x14ac:dyDescent="0.2">
      <c r="A867" s="2029" t="s">
        <v>4638</v>
      </c>
      <c r="B867" s="2035" t="s">
        <v>6398</v>
      </c>
    </row>
    <row r="868" spans="1:2" x14ac:dyDescent="0.2">
      <c r="A868" s="2029" t="s">
        <v>4639</v>
      </c>
      <c r="B868" s="2035">
        <v>931819.03</v>
      </c>
    </row>
    <row r="869" spans="1:2" x14ac:dyDescent="0.2">
      <c r="A869" s="2029" t="s">
        <v>4641</v>
      </c>
      <c r="B869" s="2035" t="s">
        <v>6398</v>
      </c>
    </row>
    <row r="870" spans="1:2" x14ac:dyDescent="0.2">
      <c r="A870" s="2029" t="s">
        <v>4642</v>
      </c>
      <c r="B870" s="2035">
        <v>26289.83</v>
      </c>
    </row>
    <row r="871" spans="1:2" x14ac:dyDescent="0.2">
      <c r="A871" s="2029" t="s">
        <v>4644</v>
      </c>
      <c r="B871" s="2035" t="s">
        <v>6398</v>
      </c>
    </row>
    <row r="872" spans="1:2" x14ac:dyDescent="0.2">
      <c r="A872" s="2029" t="s">
        <v>4645</v>
      </c>
      <c r="B872" s="2035">
        <v>345558.03</v>
      </c>
    </row>
    <row r="873" spans="1:2" x14ac:dyDescent="0.2">
      <c r="A873" s="2029" t="s">
        <v>4647</v>
      </c>
      <c r="B873" s="2035" t="s">
        <v>6398</v>
      </c>
    </row>
    <row r="874" spans="1:2" x14ac:dyDescent="0.2">
      <c r="A874" s="2029" t="s">
        <v>4648</v>
      </c>
      <c r="B874" s="2035">
        <v>27903.51</v>
      </c>
    </row>
    <row r="875" spans="1:2" x14ac:dyDescent="0.2">
      <c r="A875" s="2029" t="s">
        <v>4650</v>
      </c>
      <c r="B875" s="2035" t="s">
        <v>6398</v>
      </c>
    </row>
    <row r="876" spans="1:2" x14ac:dyDescent="0.2">
      <c r="A876" s="2029" t="s">
        <v>4651</v>
      </c>
      <c r="B876" s="2035">
        <v>18214120.309999999</v>
      </c>
    </row>
    <row r="877" spans="1:2" x14ac:dyDescent="0.2">
      <c r="A877" s="2029" t="s">
        <v>4653</v>
      </c>
      <c r="B877" s="2035"/>
    </row>
    <row r="878" spans="1:2" x14ac:dyDescent="0.2">
      <c r="A878" s="2029" t="s">
        <v>4654</v>
      </c>
      <c r="B878" s="2035">
        <v>2885047.73</v>
      </c>
    </row>
    <row r="879" spans="1:2" x14ac:dyDescent="0.2">
      <c r="A879" s="2029" t="s">
        <v>4656</v>
      </c>
      <c r="B879" s="2035" t="s">
        <v>6398</v>
      </c>
    </row>
    <row r="880" spans="1:2" x14ac:dyDescent="0.2">
      <c r="A880" s="2029" t="s">
        <v>4657</v>
      </c>
      <c r="B880" s="2035" t="s">
        <v>6398</v>
      </c>
    </row>
    <row r="881" spans="1:2" x14ac:dyDescent="0.2">
      <c r="A881" s="2029" t="s">
        <v>4658</v>
      </c>
      <c r="B881" s="2035" t="s">
        <v>6398</v>
      </c>
    </row>
    <row r="882" spans="1:2" x14ac:dyDescent="0.2">
      <c r="A882" s="2029" t="s">
        <v>4659</v>
      </c>
      <c r="B882" s="2035" t="s">
        <v>6398</v>
      </c>
    </row>
    <row r="883" spans="1:2" x14ac:dyDescent="0.2">
      <c r="A883" s="2029" t="s">
        <v>4660</v>
      </c>
      <c r="B883" s="2035" t="s">
        <v>6398</v>
      </c>
    </row>
    <row r="884" spans="1:2" x14ac:dyDescent="0.2">
      <c r="A884" s="2029" t="s">
        <v>4661</v>
      </c>
      <c r="B884" s="2035">
        <v>41895492.960000001</v>
      </c>
    </row>
    <row r="885" spans="1:2" x14ac:dyDescent="0.2">
      <c r="A885" s="2029" t="s">
        <v>4663</v>
      </c>
      <c r="B885" s="2035" t="s">
        <v>6398</v>
      </c>
    </row>
    <row r="886" spans="1:2" x14ac:dyDescent="0.2">
      <c r="A886" s="2029" t="s">
        <v>4664</v>
      </c>
      <c r="B886" s="2035">
        <v>4795214.75</v>
      </c>
    </row>
    <row r="887" spans="1:2" x14ac:dyDescent="0.2">
      <c r="A887" s="2029" t="s">
        <v>4666</v>
      </c>
      <c r="B887" s="2035">
        <v>3537909.67</v>
      </c>
    </row>
    <row r="888" spans="1:2" x14ac:dyDescent="0.2">
      <c r="A888" s="2029" t="s">
        <v>4668</v>
      </c>
      <c r="B888" s="2035" t="s">
        <v>6398</v>
      </c>
    </row>
    <row r="889" spans="1:2" x14ac:dyDescent="0.2">
      <c r="A889" s="2029" t="s">
        <v>4669</v>
      </c>
      <c r="B889" s="2035">
        <v>319.62</v>
      </c>
    </row>
    <row r="890" spans="1:2" x14ac:dyDescent="0.2">
      <c r="A890" s="2029" t="s">
        <v>4670</v>
      </c>
      <c r="B890" s="2035" t="s">
        <v>6398</v>
      </c>
    </row>
    <row r="891" spans="1:2" x14ac:dyDescent="0.2">
      <c r="A891" s="2029" t="s">
        <v>4671</v>
      </c>
      <c r="B891" s="2035">
        <v>11342737.130000001</v>
      </c>
    </row>
    <row r="892" spans="1:2" x14ac:dyDescent="0.2">
      <c r="A892" s="2029" t="s">
        <v>4673</v>
      </c>
      <c r="B892" s="2035" t="s">
        <v>6398</v>
      </c>
    </row>
    <row r="893" spans="1:2" x14ac:dyDescent="0.2">
      <c r="A893" s="2029" t="s">
        <v>4674</v>
      </c>
      <c r="B893" s="2035">
        <v>18498159.18</v>
      </c>
    </row>
    <row r="894" spans="1:2" x14ac:dyDescent="0.2">
      <c r="A894" s="2029" t="s">
        <v>4676</v>
      </c>
      <c r="B894" s="2035" t="s">
        <v>6398</v>
      </c>
    </row>
    <row r="895" spans="1:2" x14ac:dyDescent="0.2">
      <c r="A895" s="2029" t="s">
        <v>4677</v>
      </c>
      <c r="B895" s="2035">
        <v>9612138.2699999996</v>
      </c>
    </row>
    <row r="896" spans="1:2" x14ac:dyDescent="0.2">
      <c r="A896" s="2029" t="s">
        <v>4679</v>
      </c>
      <c r="B896" s="2035" t="s">
        <v>6398</v>
      </c>
    </row>
    <row r="897" spans="1:2" x14ac:dyDescent="0.2">
      <c r="A897" s="2036" t="s">
        <v>4680</v>
      </c>
      <c r="B897" s="2035">
        <v>29404500</v>
      </c>
    </row>
    <row r="898" spans="1:2" x14ac:dyDescent="0.2">
      <c r="A898" s="2036" t="s">
        <v>4682</v>
      </c>
      <c r="B898" s="2035">
        <v>0</v>
      </c>
    </row>
    <row r="899" spans="1:2" x14ac:dyDescent="0.2">
      <c r="A899" s="2029" t="s">
        <v>4683</v>
      </c>
      <c r="B899" s="2035">
        <v>38996.29</v>
      </c>
    </row>
    <row r="900" spans="1:2" x14ac:dyDescent="0.2">
      <c r="A900" s="2029" t="s">
        <v>4685</v>
      </c>
      <c r="B900" s="2035" t="s">
        <v>6398</v>
      </c>
    </row>
    <row r="901" spans="1:2" x14ac:dyDescent="0.2">
      <c r="A901" s="2029" t="s">
        <v>4686</v>
      </c>
      <c r="B901" s="2035">
        <v>2690389.98</v>
      </c>
    </row>
    <row r="902" spans="1:2" x14ac:dyDescent="0.2">
      <c r="A902" s="2029" t="s">
        <v>4688</v>
      </c>
      <c r="B902" s="2035" t="s">
        <v>6398</v>
      </c>
    </row>
    <row r="903" spans="1:2" x14ac:dyDescent="0.2">
      <c r="A903" s="2029" t="s">
        <v>4689</v>
      </c>
      <c r="B903" s="2035">
        <v>8144.68</v>
      </c>
    </row>
    <row r="904" spans="1:2" x14ac:dyDescent="0.2">
      <c r="A904" s="2029" t="s">
        <v>4691</v>
      </c>
      <c r="B904" s="2035" t="s">
        <v>6398</v>
      </c>
    </row>
    <row r="905" spans="1:2" x14ac:dyDescent="0.2">
      <c r="A905" s="2029" t="s">
        <v>4692</v>
      </c>
      <c r="B905" s="2035">
        <v>1490059.17</v>
      </c>
    </row>
    <row r="906" spans="1:2" x14ac:dyDescent="0.2">
      <c r="A906" s="2029" t="s">
        <v>4694</v>
      </c>
      <c r="B906" s="2035" t="s">
        <v>6398</v>
      </c>
    </row>
    <row r="907" spans="1:2" x14ac:dyDescent="0.2">
      <c r="A907" s="2029" t="s">
        <v>4695</v>
      </c>
      <c r="B907" s="2035">
        <v>1231.58</v>
      </c>
    </row>
    <row r="908" spans="1:2" x14ac:dyDescent="0.2">
      <c r="A908" s="2029" t="s">
        <v>4697</v>
      </c>
      <c r="B908" s="2035" t="s">
        <v>6398</v>
      </c>
    </row>
    <row r="909" spans="1:2" x14ac:dyDescent="0.2">
      <c r="A909" s="2029" t="s">
        <v>4698</v>
      </c>
      <c r="B909" s="2035">
        <v>24517.68</v>
      </c>
    </row>
    <row r="910" spans="1:2" x14ac:dyDescent="0.2">
      <c r="A910" s="2029" t="s">
        <v>4700</v>
      </c>
      <c r="B910" s="2035" t="s">
        <v>6398</v>
      </c>
    </row>
    <row r="911" spans="1:2" x14ac:dyDescent="0.2">
      <c r="A911" s="2029" t="s">
        <v>4701</v>
      </c>
      <c r="B911" s="2035">
        <v>1002705.54</v>
      </c>
    </row>
    <row r="912" spans="1:2" x14ac:dyDescent="0.2">
      <c r="A912" s="2029" t="s">
        <v>4703</v>
      </c>
      <c r="B912" s="2035" t="s">
        <v>6398</v>
      </c>
    </row>
    <row r="913" spans="1:2" x14ac:dyDescent="0.2">
      <c r="A913" s="2029" t="s">
        <v>4704</v>
      </c>
      <c r="B913" s="2035">
        <v>19790250.27</v>
      </c>
    </row>
    <row r="914" spans="1:2" x14ac:dyDescent="0.2">
      <c r="A914" s="2029" t="s">
        <v>4706</v>
      </c>
      <c r="B914" s="2035" t="s">
        <v>6398</v>
      </c>
    </row>
    <row r="915" spans="1:2" x14ac:dyDescent="0.2">
      <c r="A915" s="2029" t="s">
        <v>4707</v>
      </c>
      <c r="B915" s="2035">
        <v>3009493.17</v>
      </c>
    </row>
    <row r="916" spans="1:2" x14ac:dyDescent="0.2">
      <c r="A916" s="2029" t="s">
        <v>4709</v>
      </c>
      <c r="B916" s="2035" t="s">
        <v>6398</v>
      </c>
    </row>
    <row r="917" spans="1:2" x14ac:dyDescent="0.2">
      <c r="A917" s="2029" t="s">
        <v>4710</v>
      </c>
      <c r="B917" s="2035">
        <v>2101559.0099999998</v>
      </c>
    </row>
    <row r="918" spans="1:2" x14ac:dyDescent="0.2">
      <c r="A918" s="2029" t="s">
        <v>4712</v>
      </c>
      <c r="B918" s="2035" t="s">
        <v>6398</v>
      </c>
    </row>
    <row r="919" spans="1:2" x14ac:dyDescent="0.2">
      <c r="A919" s="2029" t="s">
        <v>4713</v>
      </c>
      <c r="B919" s="2035" t="s">
        <v>6398</v>
      </c>
    </row>
    <row r="920" spans="1:2" x14ac:dyDescent="0.2">
      <c r="A920" s="2029" t="s">
        <v>4714</v>
      </c>
      <c r="B920" s="2035" t="s">
        <v>6398</v>
      </c>
    </row>
    <row r="921" spans="1:2" x14ac:dyDescent="0.2">
      <c r="A921" s="2029" t="s">
        <v>4715</v>
      </c>
      <c r="B921" s="2035" t="s">
        <v>6398</v>
      </c>
    </row>
    <row r="922" spans="1:2" x14ac:dyDescent="0.2">
      <c r="A922" s="2029" t="s">
        <v>4716</v>
      </c>
      <c r="B922" s="2035" t="s">
        <v>6398</v>
      </c>
    </row>
    <row r="923" spans="1:2" x14ac:dyDescent="0.2">
      <c r="A923" s="2029" t="s">
        <v>4717</v>
      </c>
      <c r="B923" s="2035" t="s">
        <v>6398</v>
      </c>
    </row>
    <row r="924" spans="1:2" x14ac:dyDescent="0.2">
      <c r="A924" s="2029" t="s">
        <v>4718</v>
      </c>
      <c r="B924" s="2035" t="s">
        <v>6398</v>
      </c>
    </row>
    <row r="925" spans="1:2" x14ac:dyDescent="0.2">
      <c r="A925" s="2029" t="s">
        <v>4719</v>
      </c>
      <c r="B925" s="2035" t="s">
        <v>6398</v>
      </c>
    </row>
    <row r="926" spans="1:2" x14ac:dyDescent="0.2">
      <c r="A926" s="2029" t="s">
        <v>4720</v>
      </c>
      <c r="B926" s="2035" t="s">
        <v>6398</v>
      </c>
    </row>
    <row r="927" spans="1:2" x14ac:dyDescent="0.2">
      <c r="A927" s="2029" t="s">
        <v>4721</v>
      </c>
      <c r="B927" s="2035" t="s">
        <v>6398</v>
      </c>
    </row>
    <row r="928" spans="1:2" x14ac:dyDescent="0.2">
      <c r="A928" s="2029" t="s">
        <v>4722</v>
      </c>
      <c r="B928" s="2035" t="s">
        <v>6398</v>
      </c>
    </row>
    <row r="929" spans="1:2" x14ac:dyDescent="0.2">
      <c r="A929" s="2029" t="s">
        <v>4723</v>
      </c>
      <c r="B929" s="2035" t="s">
        <v>6398</v>
      </c>
    </row>
    <row r="930" spans="1:2" x14ac:dyDescent="0.2">
      <c r="A930" s="2029" t="s">
        <v>4724</v>
      </c>
      <c r="B930" s="2035" t="s">
        <v>6398</v>
      </c>
    </row>
    <row r="931" spans="1:2" x14ac:dyDescent="0.2">
      <c r="A931" s="2029" t="s">
        <v>4725</v>
      </c>
      <c r="B931" s="2035" t="s">
        <v>6398</v>
      </c>
    </row>
    <row r="932" spans="1:2" x14ac:dyDescent="0.2">
      <c r="A932" s="2029" t="s">
        <v>4726</v>
      </c>
      <c r="B932" s="2035" t="s">
        <v>6398</v>
      </c>
    </row>
    <row r="933" spans="1:2" x14ac:dyDescent="0.2">
      <c r="A933" s="2029" t="s">
        <v>4727</v>
      </c>
      <c r="B933" s="2035" t="s">
        <v>6398</v>
      </c>
    </row>
    <row r="934" spans="1:2" x14ac:dyDescent="0.2">
      <c r="A934" s="2029" t="s">
        <v>4728</v>
      </c>
      <c r="B934" s="2035" t="s">
        <v>6398</v>
      </c>
    </row>
    <row r="935" spans="1:2" x14ac:dyDescent="0.2">
      <c r="A935" s="2029" t="s">
        <v>4729</v>
      </c>
      <c r="B935" s="2035" t="s">
        <v>6398</v>
      </c>
    </row>
    <row r="936" spans="1:2" x14ac:dyDescent="0.2">
      <c r="A936" s="2029" t="s">
        <v>4730</v>
      </c>
      <c r="B936" s="2035" t="s">
        <v>6398</v>
      </c>
    </row>
    <row r="937" spans="1:2" x14ac:dyDescent="0.2">
      <c r="A937" s="2029" t="s">
        <v>4731</v>
      </c>
      <c r="B937" s="2035" t="s">
        <v>6398</v>
      </c>
    </row>
    <row r="938" spans="1:2" x14ac:dyDescent="0.2">
      <c r="A938" s="2029" t="s">
        <v>4732</v>
      </c>
      <c r="B938" s="2035" t="s">
        <v>6398</v>
      </c>
    </row>
    <row r="939" spans="1:2" x14ac:dyDescent="0.2">
      <c r="A939" s="2029" t="s">
        <v>4733</v>
      </c>
      <c r="B939" s="2035" t="s">
        <v>6398</v>
      </c>
    </row>
    <row r="940" spans="1:2" x14ac:dyDescent="0.2">
      <c r="A940" s="2029" t="s">
        <v>4734</v>
      </c>
      <c r="B940" s="2030">
        <v>88840.25</v>
      </c>
    </row>
    <row r="941" spans="1:2" x14ac:dyDescent="0.2">
      <c r="A941" s="2029" t="s">
        <v>4734</v>
      </c>
      <c r="B941" s="2030">
        <v>0</v>
      </c>
    </row>
    <row r="942" spans="1:2" x14ac:dyDescent="0.2">
      <c r="A942" s="2029" t="s">
        <v>4736</v>
      </c>
      <c r="B942" s="2030">
        <v>277.87</v>
      </c>
    </row>
    <row r="943" spans="1:2" x14ac:dyDescent="0.2">
      <c r="A943" s="2029" t="s">
        <v>4738</v>
      </c>
      <c r="B943" s="2030">
        <v>1628.34</v>
      </c>
    </row>
    <row r="944" spans="1:2" x14ac:dyDescent="0.2">
      <c r="A944" s="2029" t="s">
        <v>4740</v>
      </c>
      <c r="B944" s="2030">
        <v>31640.080000000002</v>
      </c>
    </row>
    <row r="945" spans="1:2" x14ac:dyDescent="0.2">
      <c r="A945" s="2029" t="s">
        <v>4742</v>
      </c>
      <c r="B945" s="2030">
        <v>56189.57</v>
      </c>
    </row>
    <row r="946" spans="1:2" x14ac:dyDescent="0.2">
      <c r="A946" s="2029" t="s">
        <v>4744</v>
      </c>
      <c r="B946" s="2030">
        <v>120653</v>
      </c>
    </row>
    <row r="947" spans="1:2" x14ac:dyDescent="0.2">
      <c r="A947" s="2029" t="s">
        <v>4746</v>
      </c>
      <c r="B947" s="2030">
        <v>33650.5</v>
      </c>
    </row>
    <row r="948" spans="1:2" x14ac:dyDescent="0.2">
      <c r="A948" s="2029" t="s">
        <v>4748</v>
      </c>
      <c r="B948" s="2030">
        <v>62175</v>
      </c>
    </row>
    <row r="949" spans="1:2" x14ac:dyDescent="0.2">
      <c r="A949" s="2029" t="s">
        <v>4750</v>
      </c>
      <c r="B949" s="2030">
        <v>585000</v>
      </c>
    </row>
    <row r="950" spans="1:2" x14ac:dyDescent="0.2">
      <c r="A950" s="2032" t="s">
        <v>4755</v>
      </c>
      <c r="B950" s="2031">
        <v>2510796.9300000002</v>
      </c>
    </row>
    <row r="951" spans="1:2" x14ac:dyDescent="0.2">
      <c r="A951" s="2032" t="s">
        <v>4758</v>
      </c>
      <c r="B951" s="2031">
        <v>-42166845.710000001</v>
      </c>
    </row>
    <row r="952" spans="1:2" x14ac:dyDescent="0.2">
      <c r="A952" s="2032" t="s">
        <v>4760</v>
      </c>
      <c r="B952" s="2031">
        <v>421097.62</v>
      </c>
    </row>
    <row r="953" spans="1:2" x14ac:dyDescent="0.2">
      <c r="A953" s="2032" t="s">
        <v>4762</v>
      </c>
      <c r="B953" s="2031">
        <v>170683.16</v>
      </c>
    </row>
    <row r="954" spans="1:2" x14ac:dyDescent="0.2">
      <c r="A954" s="2032" t="s">
        <v>4764</v>
      </c>
      <c r="B954" s="2031">
        <v>4588917.53</v>
      </c>
    </row>
    <row r="955" spans="1:2" x14ac:dyDescent="0.2">
      <c r="A955" s="2032" t="s">
        <v>4766</v>
      </c>
      <c r="B955" s="2031">
        <v>1459.56</v>
      </c>
    </row>
    <row r="956" spans="1:2" x14ac:dyDescent="0.2">
      <c r="A956" s="2032" t="s">
        <v>4768</v>
      </c>
      <c r="B956" s="2031">
        <v>16826.5</v>
      </c>
    </row>
    <row r="957" spans="1:2" x14ac:dyDescent="0.2">
      <c r="A957" s="2032" t="s">
        <v>4770</v>
      </c>
      <c r="B957" s="2031">
        <v>4126580.5</v>
      </c>
    </row>
    <row r="958" spans="1:2" x14ac:dyDescent="0.2">
      <c r="A958" s="2032" t="s">
        <v>4772</v>
      </c>
      <c r="B958" s="2031">
        <v>6526920.75</v>
      </c>
    </row>
    <row r="959" spans="1:2" x14ac:dyDescent="0.2">
      <c r="A959" s="2032" t="s">
        <v>4774</v>
      </c>
      <c r="B959" s="2031">
        <v>544619.55000000005</v>
      </c>
    </row>
    <row r="960" spans="1:2" x14ac:dyDescent="0.2">
      <c r="A960" s="2032" t="s">
        <v>4776</v>
      </c>
      <c r="B960" s="2031">
        <v>9386734.0399999991</v>
      </c>
    </row>
    <row r="961" spans="1:6" x14ac:dyDescent="0.2">
      <c r="A961" s="2032" t="s">
        <v>4778</v>
      </c>
      <c r="B961" s="2031">
        <v>8350622.5999999996</v>
      </c>
    </row>
    <row r="962" spans="1:6" x14ac:dyDescent="0.2">
      <c r="A962" s="2032" t="s">
        <v>4779</v>
      </c>
      <c r="B962" s="2031">
        <v>15301840.9</v>
      </c>
    </row>
    <row r="963" spans="1:6" x14ac:dyDescent="0.2">
      <c r="A963" s="2029" t="s">
        <v>4784</v>
      </c>
      <c r="B963" s="2030">
        <v>-1483730.49</v>
      </c>
    </row>
    <row r="964" spans="1:6" x14ac:dyDescent="0.2">
      <c r="A964" s="2029" t="s">
        <v>4789</v>
      </c>
      <c r="B964" s="2030">
        <v>12406.74</v>
      </c>
    </row>
    <row r="965" spans="1:6" x14ac:dyDescent="0.2">
      <c r="A965" s="2029" t="s">
        <v>4792</v>
      </c>
      <c r="B965" s="2030">
        <v>4704</v>
      </c>
    </row>
    <row r="966" spans="1:6" x14ac:dyDescent="0.2">
      <c r="A966" s="2029" t="s">
        <v>4795</v>
      </c>
      <c r="B966" s="2030">
        <v>8846420.7699999996</v>
      </c>
    </row>
    <row r="967" spans="1:6" x14ac:dyDescent="0.2">
      <c r="A967" s="2029" t="s">
        <v>4797</v>
      </c>
      <c r="B967" s="2031">
        <v>10215500</v>
      </c>
    </row>
    <row r="968" spans="1:6" x14ac:dyDescent="0.2">
      <c r="A968" s="2029" t="s">
        <v>4799</v>
      </c>
      <c r="B968" s="2030">
        <v>18051.21</v>
      </c>
    </row>
    <row r="969" spans="1:6" x14ac:dyDescent="0.2">
      <c r="A969" s="2029" t="s">
        <v>4801</v>
      </c>
      <c r="B969" s="2030">
        <v>87328.11</v>
      </c>
    </row>
    <row r="970" spans="1:6" x14ac:dyDescent="0.2">
      <c r="A970" s="2029" t="s">
        <v>4803</v>
      </c>
      <c r="B970" s="2030">
        <v>1179.9000000000001</v>
      </c>
    </row>
    <row r="971" spans="1:6" x14ac:dyDescent="0.2">
      <c r="A971" s="2029" t="s">
        <v>4805</v>
      </c>
      <c r="B971" s="2030">
        <v>107085.45</v>
      </c>
    </row>
    <row r="972" spans="1:6" ht="13.5" thickBot="1" x14ac:dyDescent="0.25">
      <c r="D972" s="2217">
        <f>SUM(D3:D971)</f>
        <v>83565.62</v>
      </c>
      <c r="E972" s="2217">
        <f>SUM(E3:E971)</f>
        <v>-361619</v>
      </c>
      <c r="F972" s="2217">
        <f>SUM(F3:F971)</f>
        <v>0</v>
      </c>
    </row>
    <row r="973" spans="1:6" ht="13.5" thickTop="1" x14ac:dyDescent="0.2"/>
  </sheetData>
  <sortState ref="A3:B972">
    <sortCondition ref="A3:A972"/>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2178"/>
  <sheetViews>
    <sheetView workbookViewId="0">
      <selection activeCell="J1941" sqref="J1941"/>
    </sheetView>
  </sheetViews>
  <sheetFormatPr defaultRowHeight="12.75" x14ac:dyDescent="0.2"/>
  <cols>
    <col min="1" max="1" width="12.42578125" style="2227" customWidth="1"/>
    <col min="2" max="2" width="38.140625" style="2228" customWidth="1"/>
    <col min="3" max="3" width="19.42578125" style="2022" hidden="1" customWidth="1"/>
    <col min="4" max="4" width="15.7109375" style="2229" hidden="1" customWidth="1"/>
    <col min="5" max="5" width="17.7109375" style="2022" hidden="1" customWidth="1"/>
    <col min="6" max="6" width="17.7109375" style="2230" hidden="1" customWidth="1"/>
    <col min="7" max="7" width="17.140625" style="2022" hidden="1" customWidth="1"/>
    <col min="8" max="8" width="19.42578125" style="2022" hidden="1" customWidth="1"/>
    <col min="9" max="9" width="19.28515625" style="2022" customWidth="1"/>
    <col min="10" max="10" width="16.85546875" bestFit="1" customWidth="1"/>
    <col min="12" max="12" width="12" bestFit="1" customWidth="1"/>
  </cols>
  <sheetData>
    <row r="6" spans="1:10" x14ac:dyDescent="0.2">
      <c r="A6" s="3051" t="s">
        <v>6563</v>
      </c>
      <c r="B6" s="3054" t="s">
        <v>6564</v>
      </c>
      <c r="C6" s="3057" t="s">
        <v>6565</v>
      </c>
      <c r="D6" s="3060" t="s">
        <v>6566</v>
      </c>
      <c r="E6" s="3061"/>
      <c r="F6" s="3061"/>
      <c r="G6" s="3062"/>
    </row>
    <row r="7" spans="1:10" x14ac:dyDescent="0.2">
      <c r="A7" s="3052"/>
      <c r="B7" s="3055"/>
      <c r="C7" s="3058"/>
      <c r="D7" s="3063"/>
      <c r="E7" s="3064"/>
      <c r="F7" s="3064"/>
      <c r="G7" s="3065"/>
    </row>
    <row r="8" spans="1:10" x14ac:dyDescent="0.2">
      <c r="A8" s="3052"/>
      <c r="B8" s="3055"/>
      <c r="C8" s="3059"/>
      <c r="D8" s="3066"/>
      <c r="E8" s="3067"/>
      <c r="F8" s="3067"/>
      <c r="G8" s="3068"/>
    </row>
    <row r="9" spans="1:10" x14ac:dyDescent="0.2">
      <c r="A9" s="3052"/>
      <c r="B9" s="3055"/>
      <c r="C9" s="3057" t="s">
        <v>6567</v>
      </c>
      <c r="D9" s="3069" t="s">
        <v>260</v>
      </c>
      <c r="E9" s="3057" t="s">
        <v>6568</v>
      </c>
      <c r="F9" s="3071" t="s">
        <v>6569</v>
      </c>
      <c r="G9" s="3057" t="s">
        <v>6570</v>
      </c>
    </row>
    <row r="10" spans="1:10" x14ac:dyDescent="0.2">
      <c r="A10" s="3053"/>
      <c r="B10" s="3056"/>
      <c r="C10" s="3059"/>
      <c r="D10" s="3070"/>
      <c r="E10" s="3059"/>
      <c r="F10" s="3072"/>
      <c r="G10" s="3059"/>
    </row>
    <row r="11" spans="1:10" ht="15" x14ac:dyDescent="0.2">
      <c r="A11" s="2231"/>
      <c r="B11" s="2232"/>
      <c r="C11" s="2233"/>
      <c r="D11" s="2234"/>
      <c r="E11" s="2233"/>
      <c r="F11" s="2235"/>
      <c r="G11" s="2233"/>
    </row>
    <row r="12" spans="1:10" ht="15" x14ac:dyDescent="0.2">
      <c r="A12" s="2231"/>
      <c r="B12" s="2232"/>
      <c r="C12" s="2233"/>
      <c r="D12" s="2234"/>
      <c r="E12" s="2233"/>
      <c r="F12" s="2235"/>
      <c r="G12" s="2233"/>
    </row>
    <row r="13" spans="1:10" ht="15" x14ac:dyDescent="0.25">
      <c r="A13" s="2236"/>
      <c r="B13" s="2237" t="s">
        <v>6571</v>
      </c>
      <c r="C13" s="2238"/>
      <c r="D13" s="2239"/>
      <c r="E13" s="2238"/>
      <c r="F13" s="2240"/>
      <c r="G13" s="2238"/>
      <c r="H13" s="2238" t="s">
        <v>6572</v>
      </c>
      <c r="I13" s="2238" t="s">
        <v>7690</v>
      </c>
      <c r="J13" s="1127" t="s">
        <v>7698</v>
      </c>
    </row>
    <row r="14" spans="1:10" ht="15" x14ac:dyDescent="0.25">
      <c r="A14" s="2241" t="s">
        <v>6573</v>
      </c>
      <c r="B14" s="2237" t="s">
        <v>6574</v>
      </c>
      <c r="C14" s="2238"/>
      <c r="D14" s="2239"/>
      <c r="E14" s="2238"/>
      <c r="F14" s="2240"/>
      <c r="G14" s="2238"/>
      <c r="H14" s="2238"/>
      <c r="I14" s="2238"/>
    </row>
    <row r="15" spans="1:10" ht="14.25" x14ac:dyDescent="0.2">
      <c r="A15" s="2236"/>
      <c r="B15" s="2242"/>
      <c r="C15" s="2238"/>
      <c r="D15" s="2239"/>
      <c r="E15" s="2238"/>
      <c r="F15" s="2240"/>
      <c r="G15" s="2238"/>
      <c r="H15" s="2238"/>
      <c r="I15" s="2238"/>
    </row>
    <row r="16" spans="1:10" ht="14.25" x14ac:dyDescent="0.2">
      <c r="A16" s="2236"/>
      <c r="B16" s="2242" t="s">
        <v>247</v>
      </c>
      <c r="C16" s="2238"/>
      <c r="D16" s="2239"/>
      <c r="E16" s="2238"/>
      <c r="F16" s="2240"/>
      <c r="G16" s="2238"/>
      <c r="H16" s="2238"/>
      <c r="I16" s="2238"/>
    </row>
    <row r="17" spans="1:10" ht="14.25" hidden="1" x14ac:dyDescent="0.2">
      <c r="A17" s="2236"/>
      <c r="B17" s="2242" t="s">
        <v>6575</v>
      </c>
      <c r="C17" s="2238"/>
      <c r="D17" s="2239"/>
      <c r="E17" s="2238"/>
      <c r="F17" s="2240"/>
      <c r="G17" s="2238"/>
      <c r="H17" s="2238"/>
      <c r="I17" s="2238"/>
    </row>
    <row r="18" spans="1:10" ht="14.25" hidden="1" x14ac:dyDescent="0.2">
      <c r="A18" s="2236" t="s">
        <v>4900</v>
      </c>
      <c r="B18" s="2243" t="s">
        <v>6576</v>
      </c>
      <c r="C18" s="2244">
        <v>0</v>
      </c>
      <c r="D18" s="2245">
        <v>3533243.37</v>
      </c>
      <c r="E18" s="2244">
        <v>0</v>
      </c>
      <c r="F18" s="2246">
        <v>2810723.2</v>
      </c>
      <c r="G18" s="2244">
        <v>1773689.37</v>
      </c>
      <c r="H18" s="2244"/>
      <c r="I18" s="2238">
        <f>VLOOKUP(A18,'Trial Balance - FPer'!$A$7:$I$1107,7,FALSE)</f>
        <v>0</v>
      </c>
      <c r="J18">
        <f>VLOOKUP(A18,'Trial Balance - FPer'!$A$7:$I$1126,3,FALSE)</f>
        <v>0</v>
      </c>
    </row>
    <row r="19" spans="1:10" ht="14.25" hidden="1" x14ac:dyDescent="0.2">
      <c r="A19" s="2236" t="s">
        <v>4902</v>
      </c>
      <c r="B19" s="2247" t="s">
        <v>6577</v>
      </c>
      <c r="C19" s="2248">
        <v>0</v>
      </c>
      <c r="D19" s="2249">
        <v>774000</v>
      </c>
      <c r="E19" s="2248">
        <v>0</v>
      </c>
      <c r="F19" s="2250">
        <v>2601388.5499999998</v>
      </c>
      <c r="G19" s="2248">
        <v>388548</v>
      </c>
      <c r="H19" s="2244"/>
      <c r="I19" s="2238">
        <f>VLOOKUP(A19,'Trial Balance - FPer'!$A$7:$I$1107,7,FALSE)</f>
        <v>0</v>
      </c>
      <c r="J19" s="2100">
        <f>VLOOKUP(A19,'Trial Balance - FPer'!$A$7:$I$1126,3,FALSE)</f>
        <v>0</v>
      </c>
    </row>
    <row r="20" spans="1:10" s="2615" customFormat="1" hidden="1" x14ac:dyDescent="0.2">
      <c r="A20" s="2612"/>
      <c r="B20" s="2613" t="s">
        <v>6578</v>
      </c>
      <c r="C20" s="2614">
        <f>SUM(C18:C19)</f>
        <v>0</v>
      </c>
      <c r="D20" s="2614">
        <f>SUM(D18:D19)</f>
        <v>4307243.37</v>
      </c>
      <c r="E20" s="2614">
        <f>SUM(E18:E19)</f>
        <v>0</v>
      </c>
      <c r="F20" s="2614">
        <f>SUM(F18:F19)</f>
        <v>5412111.75</v>
      </c>
      <c r="G20" s="2614">
        <f>SUM(G18:G19)</f>
        <v>2162237.37</v>
      </c>
      <c r="H20" s="2614">
        <f t="shared" ref="H20" si="0">SUM(H18:H19)</f>
        <v>0</v>
      </c>
      <c r="I20" s="2614">
        <f>SUM(I18:I19)</f>
        <v>0</v>
      </c>
      <c r="J20" s="2614">
        <f>SUM(J18:J19)</f>
        <v>0</v>
      </c>
    </row>
    <row r="21" spans="1:10" ht="14.25" hidden="1" x14ac:dyDescent="0.2">
      <c r="A21" s="2251"/>
      <c r="B21" s="2252"/>
      <c r="C21" s="2253"/>
      <c r="D21" s="2254"/>
      <c r="E21" s="2253"/>
      <c r="F21" s="2255"/>
      <c r="G21" s="2253"/>
      <c r="H21" s="2253"/>
      <c r="I21" s="2238" t="e">
        <f>VLOOKUP(A21,'Trial Balance - FPer'!$A$7:$I$1107,7,FALSE)</f>
        <v>#N/A</v>
      </c>
      <c r="J21" s="2100" t="e">
        <f>VLOOKUP(A21,'Trial Balance - FPer'!$A$7:$I$1126,3,FALSE)</f>
        <v>#N/A</v>
      </c>
    </row>
    <row r="22" spans="1:10" s="2615" customFormat="1" ht="13.5" thickBot="1" x14ac:dyDescent="0.25">
      <c r="A22" s="2612"/>
      <c r="B22" s="2616" t="s">
        <v>6579</v>
      </c>
      <c r="C22" s="2617">
        <f>C20</f>
        <v>0</v>
      </c>
      <c r="D22" s="2617">
        <f>D20</f>
        <v>4307243.37</v>
      </c>
      <c r="E22" s="2617">
        <f>E20</f>
        <v>0</v>
      </c>
      <c r="F22" s="2617">
        <f>F20</f>
        <v>5412111.75</v>
      </c>
      <c r="G22" s="2617">
        <f>G20</f>
        <v>2162237.37</v>
      </c>
      <c r="H22" s="2617">
        <f t="shared" ref="H22" si="1">H20</f>
        <v>0</v>
      </c>
      <c r="I22" s="2617">
        <f>I20</f>
        <v>0</v>
      </c>
      <c r="J22" s="2617">
        <f>J20</f>
        <v>0</v>
      </c>
    </row>
    <row r="23" spans="1:10" ht="15" thickTop="1" x14ac:dyDescent="0.2">
      <c r="A23" s="2236"/>
      <c r="B23" s="2242"/>
      <c r="C23" s="2244"/>
      <c r="D23" s="2245"/>
      <c r="E23" s="2244"/>
      <c r="F23" s="2246"/>
      <c r="G23" s="2244"/>
      <c r="H23" s="2244"/>
      <c r="I23" s="2238" t="e">
        <f>VLOOKUP(A23,'Trial Balance - FPer'!$A$7:$I$1107,7,FALSE)</f>
        <v>#N/A</v>
      </c>
      <c r="J23" s="2100" t="e">
        <f>VLOOKUP(A23,'Trial Balance - FPer'!$A$7:$I$1126,3,FALSE)</f>
        <v>#N/A</v>
      </c>
    </row>
    <row r="24" spans="1:10" ht="14.25" x14ac:dyDescent="0.2">
      <c r="A24" s="2236"/>
      <c r="B24" s="2242" t="s">
        <v>235</v>
      </c>
      <c r="C24" s="2244"/>
      <c r="D24" s="2245"/>
      <c r="E24" s="2244"/>
      <c r="F24" s="2246"/>
      <c r="G24" s="2244"/>
      <c r="H24" s="2244"/>
      <c r="I24" s="2238" t="e">
        <f>VLOOKUP(A24,'Trial Balance - FPer'!$A$7:$I$1107,7,FALSE)</f>
        <v>#N/A</v>
      </c>
      <c r="J24" s="2100" t="e">
        <f>VLOOKUP(A24,'Trial Balance - FPer'!$A$7:$I$1126,3,FALSE)</f>
        <v>#N/A</v>
      </c>
    </row>
    <row r="25" spans="1:10" ht="14.25" hidden="1" x14ac:dyDescent="0.2">
      <c r="A25" s="2236"/>
      <c r="B25" s="2242" t="s">
        <v>387</v>
      </c>
      <c r="C25" s="2244"/>
      <c r="D25" s="2245"/>
      <c r="E25" s="2244"/>
      <c r="F25" s="2246"/>
      <c r="G25" s="2244"/>
      <c r="H25" s="2244"/>
      <c r="I25" s="2238" t="e">
        <f>VLOOKUP(A25,'Trial Balance - FPer'!$A$7:$I$1107,7,FALSE)</f>
        <v>#N/A</v>
      </c>
      <c r="J25" s="2100" t="e">
        <f>VLOOKUP(A25,'Trial Balance - FPer'!$A$7:$I$1126,3,FALSE)</f>
        <v>#N/A</v>
      </c>
    </row>
    <row r="26" spans="1:10" ht="14.25" hidden="1" x14ac:dyDescent="0.2">
      <c r="A26" s="2236" t="s">
        <v>4807</v>
      </c>
      <c r="B26" s="2243" t="s">
        <v>6003</v>
      </c>
      <c r="C26" s="2244">
        <f>'[2]Data File'!$C$40</f>
        <v>582403.78</v>
      </c>
      <c r="D26" s="2245">
        <v>301020.56</v>
      </c>
      <c r="E26" s="2244">
        <v>442404.81</v>
      </c>
      <c r="F26" s="2246">
        <v>1143565.23</v>
      </c>
      <c r="G26" s="2244">
        <v>740938.83</v>
      </c>
      <c r="H26" s="2256">
        <f>[3]Sheet3!D16</f>
        <v>559264.88</v>
      </c>
      <c r="I26" s="2238">
        <f>VLOOKUP(A26,'Trial Balance - FPer'!$A$7:$I$1107,7,FALSE)</f>
        <v>1286872.74</v>
      </c>
      <c r="J26" s="2100">
        <f>VLOOKUP(A26,'Trial Balance - FPer'!$A$7:$I$1126,3,FALSE)</f>
        <v>582403.78</v>
      </c>
    </row>
    <row r="27" spans="1:10" ht="14.25" hidden="1" x14ac:dyDescent="0.2">
      <c r="A27" s="2236" t="s">
        <v>4809</v>
      </c>
      <c r="B27" s="2243" t="s">
        <v>6580</v>
      </c>
      <c r="C27" s="2244">
        <f>'[2]Data File'!$C$41</f>
        <v>0</v>
      </c>
      <c r="D27" s="2245">
        <v>592800.26</v>
      </c>
      <c r="E27" s="2244">
        <v>0</v>
      </c>
      <c r="F27" s="2246">
        <f>E27/6*12</f>
        <v>0</v>
      </c>
      <c r="G27" s="2244">
        <v>148794.13</v>
      </c>
      <c r="H27" s="2256">
        <f>[3]Sheet3!D17</f>
        <v>0</v>
      </c>
      <c r="I27" s="2238">
        <f>VLOOKUP(A27,'Trial Balance - FPer'!$A$7:$I$1107,7,FALSE)</f>
        <v>0</v>
      </c>
      <c r="J27" s="2100">
        <f>VLOOKUP(A27,'Trial Balance - FPer'!$A$7:$I$1126,3,FALSE)</f>
        <v>0</v>
      </c>
    </row>
    <row r="28" spans="1:10" ht="14.25" hidden="1" x14ac:dyDescent="0.2">
      <c r="A28" s="2236" t="s">
        <v>4811</v>
      </c>
      <c r="B28" s="2243" t="s">
        <v>6004</v>
      </c>
      <c r="C28" s="2244">
        <f>'[2]Data File'!$C$46</f>
        <v>1368.71</v>
      </c>
      <c r="D28" s="2245">
        <v>28790.27</v>
      </c>
      <c r="E28" s="2244">
        <v>48207.55</v>
      </c>
      <c r="F28" s="2246">
        <v>116860.07</v>
      </c>
      <c r="G28" s="2244">
        <v>79722.14</v>
      </c>
      <c r="H28" s="2256">
        <f>[3]Sheet3!D18</f>
        <v>48207.55</v>
      </c>
      <c r="I28" s="2238">
        <f>VLOOKUP(A28,'Trial Balance - FPer'!$A$7:$I$1107,7,FALSE)</f>
        <v>231161.61</v>
      </c>
      <c r="J28" s="2100">
        <f>VLOOKUP(A28,'Trial Balance - FPer'!$A$7:$I$1126,3,FALSE)</f>
        <v>1368.71</v>
      </c>
    </row>
    <row r="29" spans="1:10" ht="14.25" hidden="1" x14ac:dyDescent="0.2">
      <c r="A29" s="2236" t="s">
        <v>4813</v>
      </c>
      <c r="B29" s="2243" t="s">
        <v>6581</v>
      </c>
      <c r="C29" s="2244">
        <f>'[2]Data File'!$C$47</f>
        <v>4500</v>
      </c>
      <c r="D29" s="2245">
        <v>4326</v>
      </c>
      <c r="E29" s="2244">
        <v>6100</v>
      </c>
      <c r="F29" s="2246">
        <v>6100</v>
      </c>
      <c r="G29" s="2244">
        <v>10261.549999999999</v>
      </c>
      <c r="H29" s="2256">
        <f>[3]Sheet3!D19</f>
        <v>6100</v>
      </c>
      <c r="I29" s="2238">
        <f>VLOOKUP(A29,'Trial Balance - FPer'!$A$7:$I$1107,7,FALSE)</f>
        <v>6100</v>
      </c>
      <c r="J29" s="2100">
        <f>VLOOKUP(A29,'Trial Balance - FPer'!$A$7:$I$1126,3,FALSE)</f>
        <v>4500</v>
      </c>
    </row>
    <row r="30" spans="1:10" ht="14.25" hidden="1" x14ac:dyDescent="0.2">
      <c r="A30" s="2236" t="s">
        <v>4817</v>
      </c>
      <c r="B30" s="2243" t="s">
        <v>6007</v>
      </c>
      <c r="C30" s="2244">
        <f>'[2]Data File'!$C$49</f>
        <v>798.6</v>
      </c>
      <c r="D30" s="2245">
        <v>0</v>
      </c>
      <c r="E30" s="2244">
        <v>0</v>
      </c>
      <c r="F30" s="2246">
        <f>E30/6*12</f>
        <v>0</v>
      </c>
      <c r="G30" s="2244">
        <v>0</v>
      </c>
      <c r="H30" s="2256">
        <f>[3]Sheet3!D20</f>
        <v>0</v>
      </c>
      <c r="I30" s="2238">
        <f>VLOOKUP(A30,'Trial Balance - FPer'!$A$7:$I$1107,7,FALSE)</f>
        <v>18340.07</v>
      </c>
      <c r="J30" s="2100">
        <f>VLOOKUP(A30,'Trial Balance - FPer'!$A$7:$I$1126,3,FALSE)</f>
        <v>798.6</v>
      </c>
    </row>
    <row r="31" spans="1:10" ht="14.25" hidden="1" x14ac:dyDescent="0.2">
      <c r="A31" s="2236" t="s">
        <v>4819</v>
      </c>
      <c r="B31" s="2243" t="s">
        <v>6582</v>
      </c>
      <c r="C31" s="2244">
        <f>'[2]Data File'!$C$50</f>
        <v>566.24</v>
      </c>
      <c r="D31" s="2245">
        <v>0</v>
      </c>
      <c r="E31" s="2244">
        <v>1760</v>
      </c>
      <c r="F31" s="2246">
        <v>4832</v>
      </c>
      <c r="G31" s="2244">
        <v>1760</v>
      </c>
      <c r="H31" s="2256">
        <f>[3]Sheet3!D21</f>
        <v>2272</v>
      </c>
      <c r="I31" s="2238">
        <f>VLOOKUP(A31,'Trial Balance - FPer'!$A$7:$I$1107,7,FALSE)</f>
        <v>2784</v>
      </c>
      <c r="J31" s="2100">
        <f>VLOOKUP(A31,'Trial Balance - FPer'!$A$7:$I$1126,3,FALSE)</f>
        <v>566.24</v>
      </c>
    </row>
    <row r="32" spans="1:10" ht="14.25" hidden="1" x14ac:dyDescent="0.2">
      <c r="A32" s="2236" t="s">
        <v>4821</v>
      </c>
      <c r="B32" s="2243" t="s">
        <v>6583</v>
      </c>
      <c r="C32" s="2244">
        <f>'[2]Data File'!$C$52</f>
        <v>13141.04</v>
      </c>
      <c r="D32" s="2245">
        <v>0</v>
      </c>
      <c r="E32" s="2244">
        <v>95907.34</v>
      </c>
      <c r="F32" s="2246">
        <v>200907.34</v>
      </c>
      <c r="G32" s="2244">
        <v>95907.34</v>
      </c>
      <c r="H32" s="2256">
        <f>[3]Sheet3!D22</f>
        <v>113407.34</v>
      </c>
      <c r="I32" s="2238">
        <f>VLOOKUP(A32,'Trial Balance - FPer'!$A$7:$I$1107,7,FALSE)</f>
        <v>183407.34</v>
      </c>
      <c r="J32" s="2100">
        <f>VLOOKUP(A32,'Trial Balance - FPer'!$A$7:$I$1126,3,FALSE)</f>
        <v>13141.04</v>
      </c>
    </row>
    <row r="33" spans="1:10" ht="14.25" hidden="1" x14ac:dyDescent="0.2">
      <c r="A33" s="2236" t="s">
        <v>4823</v>
      </c>
      <c r="B33" s="2243" t="s">
        <v>6584</v>
      </c>
      <c r="C33" s="2244">
        <f>'[2]Data File'!$C$45</f>
        <v>360.8</v>
      </c>
      <c r="D33" s="2245">
        <v>505.49</v>
      </c>
      <c r="E33" s="2244">
        <v>344.4</v>
      </c>
      <c r="F33" s="2246">
        <v>516.6</v>
      </c>
      <c r="G33" s="2244">
        <v>644.38</v>
      </c>
      <c r="H33" s="2256">
        <f>[3]Sheet3!D23</f>
        <v>373.1</v>
      </c>
      <c r="I33" s="2238">
        <f>VLOOKUP(A33,'Trial Balance - FPer'!$A$7:$I$1107,7,FALSE)</f>
        <v>840.50000000000011</v>
      </c>
      <c r="J33" s="2100">
        <f>VLOOKUP(A33,'Trial Balance - FPer'!$A$7:$I$1126,3,FALSE)</f>
        <v>360.8</v>
      </c>
    </row>
    <row r="34" spans="1:10" ht="14.25" hidden="1" x14ac:dyDescent="0.2">
      <c r="A34" s="2236" t="s">
        <v>4825</v>
      </c>
      <c r="B34" s="2243" t="s">
        <v>6585</v>
      </c>
      <c r="C34" s="2244">
        <f>'[2]Data File'!$C$51</f>
        <v>6537.78</v>
      </c>
      <c r="D34" s="2245">
        <v>9322.52</v>
      </c>
      <c r="E34" s="2244">
        <v>7775.65</v>
      </c>
      <c r="F34" s="2246">
        <v>13137.49</v>
      </c>
      <c r="G34" s="2244">
        <v>14023.74</v>
      </c>
      <c r="H34" s="2256">
        <f>[3]Sheet3!D24</f>
        <v>8669.2900000000009</v>
      </c>
      <c r="I34" s="2238">
        <f>VLOOKUP(A34,'Trial Balance - FPer'!$A$7:$I$1107,7,FALSE)</f>
        <v>18722.09</v>
      </c>
      <c r="J34" s="2100">
        <f>VLOOKUP(A34,'Trial Balance - FPer'!$A$7:$I$1126,3,FALSE)</f>
        <v>6537.78</v>
      </c>
    </row>
    <row r="35" spans="1:10" ht="14.25" hidden="1" x14ac:dyDescent="0.2">
      <c r="A35" s="2236" t="s">
        <v>4827</v>
      </c>
      <c r="B35" s="2243" t="s">
        <v>6586</v>
      </c>
      <c r="C35" s="2244">
        <f>'[2]Data File'!$C$53</f>
        <v>0</v>
      </c>
      <c r="D35" s="2245">
        <v>3977.76</v>
      </c>
      <c r="E35" s="2244">
        <v>0</v>
      </c>
      <c r="F35" s="2246">
        <f>E35/6*12</f>
        <v>0</v>
      </c>
      <c r="G35" s="2244">
        <v>998.88</v>
      </c>
      <c r="H35" s="2256">
        <f>[3]Sheet3!D25</f>
        <v>0</v>
      </c>
      <c r="I35" s="2238">
        <f>VLOOKUP(A35,'Trial Balance - FPer'!$A$7:$I$1107,7,FALSE)</f>
        <v>0</v>
      </c>
      <c r="J35" s="2100" t="str">
        <f>VLOOKUP(A35,'Trial Balance - FPer'!$A$7:$I$1126,3,FALSE)</f>
        <v xml:space="preserve">                               -  </v>
      </c>
    </row>
    <row r="36" spans="1:10" ht="14.25" hidden="1" x14ac:dyDescent="0.2">
      <c r="A36" s="2236" t="s">
        <v>4828</v>
      </c>
      <c r="B36" s="2243" t="s">
        <v>6587</v>
      </c>
      <c r="C36" s="2244">
        <f>'[2]Data File'!$C$42</f>
        <v>31084.2</v>
      </c>
      <c r="D36" s="2245">
        <v>48820.639999999999</v>
      </c>
      <c r="E36" s="2244">
        <v>23436.5</v>
      </c>
      <c r="F36" s="2246">
        <v>44543.3</v>
      </c>
      <c r="G36" s="2244">
        <v>47503.98</v>
      </c>
      <c r="H36" s="2256">
        <f>[3]Sheet3!D26</f>
        <v>26954.3</v>
      </c>
      <c r="I36" s="2238">
        <f>VLOOKUP(A36,'Trial Balance - FPer'!$A$7:$I$1107,7,FALSE)</f>
        <v>51328.1</v>
      </c>
      <c r="J36" s="2100">
        <f>VLOOKUP(A36,'Trial Balance - FPer'!$A$7:$I$1126,3,FALSE)</f>
        <v>31084.2</v>
      </c>
    </row>
    <row r="37" spans="1:10" ht="14.25" hidden="1" x14ac:dyDescent="0.2">
      <c r="A37" s="2236" t="s">
        <v>4830</v>
      </c>
      <c r="B37" s="2243" t="s">
        <v>6013</v>
      </c>
      <c r="C37" s="2244">
        <f>'[2]Data File'!$C$43</f>
        <v>68181.72</v>
      </c>
      <c r="D37" s="2245">
        <v>64212.53</v>
      </c>
      <c r="E37" s="2244">
        <v>73926.759999999995</v>
      </c>
      <c r="F37" s="2246">
        <v>153431.67999999999</v>
      </c>
      <c r="G37" s="2244">
        <v>127232.81</v>
      </c>
      <c r="H37" s="2256">
        <f>[3]Sheet3!D27</f>
        <v>87177.58</v>
      </c>
      <c r="I37" s="2238">
        <f>VLOOKUP(A37,'Trial Balance - FPer'!$A$7:$I$1107,7,FALSE)</f>
        <v>153431.67999999999</v>
      </c>
      <c r="J37" s="2100">
        <f>VLOOKUP(A37,'Trial Balance - FPer'!$A$7:$I$1126,3,FALSE)</f>
        <v>68181.72</v>
      </c>
    </row>
    <row r="38" spans="1:10" ht="14.25" hidden="1" x14ac:dyDescent="0.2">
      <c r="A38" s="2236" t="s">
        <v>4832</v>
      </c>
      <c r="B38" s="2247" t="s">
        <v>6014</v>
      </c>
      <c r="C38" s="2248">
        <f>'[2]Data File'!$C$44</f>
        <v>6175.16</v>
      </c>
      <c r="D38" s="2249">
        <v>9095.42</v>
      </c>
      <c r="E38" s="2248">
        <v>14639.95</v>
      </c>
      <c r="F38" s="2250">
        <v>27437.11</v>
      </c>
      <c r="G38" s="2248">
        <v>24287.23</v>
      </c>
      <c r="H38" s="2256">
        <f>[3]Sheet3!D28</f>
        <v>16772.810000000001</v>
      </c>
      <c r="I38" s="2238">
        <f>VLOOKUP(A38,'Trial Balance - FPer'!$A$7:$I$1107,7,FALSE)</f>
        <v>27188.050000000003</v>
      </c>
      <c r="J38" s="2100">
        <f>VLOOKUP(A38,'Trial Balance - FPer'!$A$7:$I$1126,3,FALSE)</f>
        <v>6175.16</v>
      </c>
    </row>
    <row r="39" spans="1:10" s="2615" customFormat="1" hidden="1" x14ac:dyDescent="0.2">
      <c r="A39" s="2612"/>
      <c r="B39" s="2613" t="s">
        <v>6588</v>
      </c>
      <c r="C39" s="2614">
        <f>SUM(C26:C38)</f>
        <v>715118.03</v>
      </c>
      <c r="D39" s="2614">
        <f>SUM(D26:D38)</f>
        <v>1062871.45</v>
      </c>
      <c r="E39" s="2614">
        <f>SUM(E26:E38)</f>
        <v>714502.96</v>
      </c>
      <c r="F39" s="2614">
        <f>SUM(F26:F38)</f>
        <v>1711330.8200000003</v>
      </c>
      <c r="G39" s="2614">
        <f>SUM(G26:G38)</f>
        <v>1292075.0099999998</v>
      </c>
      <c r="H39" s="2614">
        <f t="shared" ref="H39" si="2">SUM(H26:H38)</f>
        <v>869198.85000000009</v>
      </c>
      <c r="I39" s="2614">
        <f>SUM(I26:I38)</f>
        <v>1980176.1800000004</v>
      </c>
      <c r="J39" s="2614">
        <f>SUM(J26:J38)</f>
        <v>715118.03</v>
      </c>
    </row>
    <row r="40" spans="1:10" ht="14.25" hidden="1" x14ac:dyDescent="0.2">
      <c r="A40" s="2236"/>
      <c r="B40" s="2243"/>
      <c r="C40" s="2244"/>
      <c r="D40" s="2245"/>
      <c r="E40" s="2244"/>
      <c r="F40" s="2246"/>
      <c r="G40" s="2244"/>
      <c r="H40" s="2244"/>
      <c r="I40" s="2238" t="e">
        <f>VLOOKUP(A40,'Trial Balance - FPer'!$A$7:$I$1107,7,FALSE)</f>
        <v>#N/A</v>
      </c>
      <c r="J40" s="2100" t="e">
        <f>VLOOKUP(A40,'Trial Balance - FPer'!$A$7:$I$1126,3,FALSE)</f>
        <v>#N/A</v>
      </c>
    </row>
    <row r="41" spans="1:10" ht="14.25" hidden="1" x14ac:dyDescent="0.2">
      <c r="A41" s="2236"/>
      <c r="B41" s="2242" t="s">
        <v>125</v>
      </c>
      <c r="C41" s="2244"/>
      <c r="D41" s="2245"/>
      <c r="E41" s="2244"/>
      <c r="F41" s="2246"/>
      <c r="G41" s="2244"/>
      <c r="H41" s="2244"/>
      <c r="I41" s="2238" t="e">
        <f>VLOOKUP(A41,'Trial Balance - FPer'!$A$7:$I$1107,7,FALSE)</f>
        <v>#N/A</v>
      </c>
      <c r="J41" s="2100" t="e">
        <f>VLOOKUP(A41,'Trial Balance - FPer'!$A$7:$I$1126,3,FALSE)</f>
        <v>#N/A</v>
      </c>
    </row>
    <row r="42" spans="1:10" ht="14.25" hidden="1" x14ac:dyDescent="0.2">
      <c r="A42" s="2236" t="s">
        <v>4834</v>
      </c>
      <c r="B42" s="2243" t="s">
        <v>6589</v>
      </c>
      <c r="C42" s="2244">
        <f>'[2]Data File'!$C$32</f>
        <v>1496677.83</v>
      </c>
      <c r="D42" s="2245">
        <v>1760519.78</v>
      </c>
      <c r="E42" s="2244">
        <v>818494.68</v>
      </c>
      <c r="F42" s="2246">
        <v>1718838.6</v>
      </c>
      <c r="G42" s="2253">
        <v>1672934.9</v>
      </c>
      <c r="H42" s="2100">
        <v>1002655.85</v>
      </c>
      <c r="I42" s="2238">
        <f>VLOOKUP(A42,'Trial Balance - FPer'!$A$7:$I$1107,7,FALSE)</f>
        <v>1731227.52</v>
      </c>
      <c r="J42" s="2100">
        <f>VLOOKUP(A42,'Trial Balance - FPer'!$A$7:$I$1126,3,FALSE)</f>
        <v>1496677.83</v>
      </c>
    </row>
    <row r="43" spans="1:10" ht="14.25" hidden="1" x14ac:dyDescent="0.2">
      <c r="A43" s="2236" t="s">
        <v>4836</v>
      </c>
      <c r="B43" s="2243" t="s">
        <v>6590</v>
      </c>
      <c r="C43" s="2244">
        <f>'[2]Data File'!$C$33</f>
        <v>117106.71</v>
      </c>
      <c r="D43" s="2245">
        <v>140796.16</v>
      </c>
      <c r="E43" s="2244">
        <v>64956</v>
      </c>
      <c r="F43" s="2246">
        <v>174768</v>
      </c>
      <c r="G43" s="2253">
        <v>133035.13</v>
      </c>
      <c r="H43" s="2100">
        <v>79520</v>
      </c>
      <c r="I43" s="2238">
        <f>VLOOKUP(A43,'Trial Balance - FPer'!$A$7:$I$1107,7,FALSE)</f>
        <v>136320</v>
      </c>
      <c r="J43" s="2100">
        <f>VLOOKUP(A43,'Trial Balance - FPer'!$A$7:$I$1126,3,FALSE)</f>
        <v>117106.71</v>
      </c>
    </row>
    <row r="44" spans="1:10" ht="14.25" hidden="1" x14ac:dyDescent="0.2">
      <c r="A44" s="2236" t="s">
        <v>4838</v>
      </c>
      <c r="B44" s="2243" t="s">
        <v>6591</v>
      </c>
      <c r="C44" s="2244">
        <f>'[2]Data File'!$C$34</f>
        <v>557212.22</v>
      </c>
      <c r="D44" s="2245">
        <v>566717.49</v>
      </c>
      <c r="E44" s="2244">
        <v>306438.46999999997</v>
      </c>
      <c r="F44" s="2246">
        <v>572949.6</v>
      </c>
      <c r="G44" s="2253">
        <v>600975.84</v>
      </c>
      <c r="H44" s="2100">
        <v>367825.87</v>
      </c>
      <c r="I44" s="2238">
        <f>VLOOKUP(A44,'Trial Balance - FPer'!$A$7:$I$1107,7,FALSE)</f>
        <v>530161.11</v>
      </c>
      <c r="J44" s="2100">
        <f>VLOOKUP(A44,'Trial Balance - FPer'!$A$7:$I$1126,3,FALSE)</f>
        <v>557212.22</v>
      </c>
    </row>
    <row r="45" spans="1:10" ht="14.25" hidden="1" x14ac:dyDescent="0.2">
      <c r="A45" s="2236" t="s">
        <v>4840</v>
      </c>
      <c r="B45" s="2243" t="s">
        <v>6592</v>
      </c>
      <c r="C45" s="2244">
        <f>'[2]Data File'!$C$31</f>
        <v>20476.2</v>
      </c>
      <c r="D45" s="2245">
        <v>21398.71</v>
      </c>
      <c r="E45" s="2244">
        <v>10429.52</v>
      </c>
      <c r="F45" s="2246">
        <v>24665.56</v>
      </c>
      <c r="G45" s="2253">
        <v>21058.36</v>
      </c>
      <c r="H45" s="2100">
        <v>12712.09</v>
      </c>
      <c r="I45" s="2238">
        <f>VLOOKUP(A45,'Trial Balance - FPer'!$A$7:$I$1107,7,FALSE)</f>
        <v>22477.58</v>
      </c>
      <c r="J45" s="2100">
        <f>VLOOKUP(A45,'Trial Balance - FPer'!$A$7:$I$1126,3,FALSE)</f>
        <v>20476.2</v>
      </c>
    </row>
    <row r="46" spans="1:10" ht="14.25" hidden="1" x14ac:dyDescent="0.2">
      <c r="A46" s="2236" t="s">
        <v>4842</v>
      </c>
      <c r="B46" s="2243" t="s">
        <v>6593</v>
      </c>
      <c r="C46" s="2244">
        <f>'[2]Data File'!$C$36</f>
        <v>17652.599999999999</v>
      </c>
      <c r="D46" s="2245">
        <v>21803.040000000001</v>
      </c>
      <c r="E46" s="2244">
        <v>33962</v>
      </c>
      <c r="F46" s="2246">
        <v>34370.6</v>
      </c>
      <c r="G46" s="2253">
        <v>56544.06</v>
      </c>
      <c r="H46" s="2100">
        <v>34370.6</v>
      </c>
      <c r="I46" s="2238">
        <f>VLOOKUP(A46,'Trial Balance - FPer'!$A$7:$I$1107,7,FALSE)</f>
        <v>49965.279999999999</v>
      </c>
      <c r="J46" s="2100">
        <f>VLOOKUP(A46,'Trial Balance - FPer'!$A$7:$I$1126,3,FALSE)</f>
        <v>17652.599999999999</v>
      </c>
    </row>
    <row r="47" spans="1:10" ht="14.25" hidden="1" x14ac:dyDescent="0.2">
      <c r="A47" s="2236" t="s">
        <v>4844</v>
      </c>
      <c r="B47" s="2247" t="s">
        <v>6594</v>
      </c>
      <c r="C47" s="2248">
        <v>0</v>
      </c>
      <c r="D47" s="2249">
        <v>0</v>
      </c>
      <c r="E47" s="2248">
        <v>62367.75</v>
      </c>
      <c r="F47" s="2250">
        <v>75796.19</v>
      </c>
      <c r="G47" s="2248">
        <v>62367.75</v>
      </c>
      <c r="H47" s="2100">
        <v>75796.19</v>
      </c>
      <c r="I47" s="2238">
        <f>VLOOKUP(A47,'Trial Balance - FPer'!$A$7:$I$1107,7,FALSE)</f>
        <v>129577.82</v>
      </c>
      <c r="J47" s="2100" t="str">
        <f>VLOOKUP(A47,'Trial Balance - FPer'!$A$7:$I$1126,3,FALSE)</f>
        <v xml:space="preserve">                               -  </v>
      </c>
    </row>
    <row r="48" spans="1:10" s="2615" customFormat="1" hidden="1" x14ac:dyDescent="0.2">
      <c r="A48" s="2612"/>
      <c r="B48" s="2613" t="s">
        <v>6595</v>
      </c>
      <c r="C48" s="2614">
        <f>SUM(C42:C47)</f>
        <v>2209125.56</v>
      </c>
      <c r="D48" s="2614">
        <f>SUM(D42:D47)</f>
        <v>2511235.1799999997</v>
      </c>
      <c r="E48" s="2614">
        <f>SUM(E42:E47)</f>
        <v>1296648.42</v>
      </c>
      <c r="F48" s="2614">
        <f>SUM(F42:F47)</f>
        <v>2601388.5500000003</v>
      </c>
      <c r="G48" s="2614">
        <f>SUM(G42:G47)</f>
        <v>2546916.0399999996</v>
      </c>
      <c r="H48" s="2614">
        <f t="shared" ref="H48" si="3">SUM(H42:H47)</f>
        <v>1572880.6000000003</v>
      </c>
      <c r="I48" s="2614">
        <f>SUM(I42:I47)</f>
        <v>2599729.3099999996</v>
      </c>
      <c r="J48" s="2614">
        <f>SUM(J42:J47)</f>
        <v>2209125.56</v>
      </c>
    </row>
    <row r="49" spans="1:10" ht="14.25" hidden="1" x14ac:dyDescent="0.2">
      <c r="A49" s="2236"/>
      <c r="B49" s="2243"/>
      <c r="C49" s="2244"/>
      <c r="D49" s="2245"/>
      <c r="E49" s="2244"/>
      <c r="F49" s="2246"/>
      <c r="G49" s="2244"/>
      <c r="H49" s="2244"/>
      <c r="I49" s="2238" t="e">
        <f>VLOOKUP(A49,'Trial Balance - FPer'!$A$7:$I$1107,7,FALSE)</f>
        <v>#N/A</v>
      </c>
      <c r="J49" s="2100" t="e">
        <f>VLOOKUP(A49,'Trial Balance - FPer'!$A$7:$I$1126,3,FALSE)</f>
        <v>#N/A</v>
      </c>
    </row>
    <row r="50" spans="1:10" ht="14.25" hidden="1" x14ac:dyDescent="0.2">
      <c r="A50" s="2236"/>
      <c r="B50" s="2242" t="s">
        <v>6596</v>
      </c>
      <c r="C50" s="2244"/>
      <c r="D50" s="2245"/>
      <c r="E50" s="2244"/>
      <c r="F50" s="2246"/>
      <c r="G50" s="2244"/>
      <c r="H50" s="2244"/>
      <c r="I50" s="2238" t="e">
        <f>VLOOKUP(A50,'Trial Balance - FPer'!$A$7:$I$1107,7,FALSE)</f>
        <v>#N/A</v>
      </c>
      <c r="J50" s="2100" t="e">
        <f>VLOOKUP(A50,'Trial Balance - FPer'!$A$7:$I$1126,3,FALSE)</f>
        <v>#N/A</v>
      </c>
    </row>
    <row r="51" spans="1:10" ht="14.25" hidden="1" x14ac:dyDescent="0.2">
      <c r="A51" s="2236" t="s">
        <v>4848</v>
      </c>
      <c r="B51" s="2247" t="s">
        <v>6597</v>
      </c>
      <c r="C51" s="2248">
        <f>'[2]Data File'!$C$65</f>
        <v>-20580</v>
      </c>
      <c r="D51" s="2249">
        <v>28051.51</v>
      </c>
      <c r="E51" s="2248">
        <v>0</v>
      </c>
      <c r="F51" s="2250">
        <f>D51</f>
        <v>28051.51</v>
      </c>
      <c r="G51" s="2248">
        <v>7041.76</v>
      </c>
      <c r="H51" s="2256"/>
      <c r="I51" s="2238">
        <f>VLOOKUP(A51,'Trial Balance - FPer'!$A$7:$I$1107,7,FALSE)</f>
        <v>0</v>
      </c>
      <c r="J51" s="2100">
        <f>VLOOKUP(A51,'Trial Balance - FPer'!$A$7:$I$1126,3,FALSE)</f>
        <v>-20580</v>
      </c>
    </row>
    <row r="52" spans="1:10" s="2615" customFormat="1" hidden="1" x14ac:dyDescent="0.2">
      <c r="A52" s="2612"/>
      <c r="B52" s="2613" t="s">
        <v>6598</v>
      </c>
      <c r="C52" s="2614">
        <f>SUM(C51)</f>
        <v>-20580</v>
      </c>
      <c r="D52" s="2614">
        <f>SUM(D51)</f>
        <v>28051.51</v>
      </c>
      <c r="E52" s="2614">
        <f>SUM(E51)</f>
        <v>0</v>
      </c>
      <c r="F52" s="2614">
        <f>SUM(F51)</f>
        <v>28051.51</v>
      </c>
      <c r="G52" s="2614">
        <f>SUM(G51)</f>
        <v>7041.76</v>
      </c>
      <c r="H52" s="2614">
        <f t="shared" ref="H52" si="4">SUM(H51)</f>
        <v>0</v>
      </c>
      <c r="I52" s="2614">
        <f>SUM(I51)</f>
        <v>0</v>
      </c>
      <c r="J52" s="2614">
        <f>SUM(J51)</f>
        <v>-20580</v>
      </c>
    </row>
    <row r="53" spans="1:10" ht="14.25" hidden="1" x14ac:dyDescent="0.2">
      <c r="A53" s="2236"/>
      <c r="B53" s="2243"/>
      <c r="C53" s="2244"/>
      <c r="D53" s="2245"/>
      <c r="E53" s="2244"/>
      <c r="F53" s="2246"/>
      <c r="G53" s="2244"/>
      <c r="H53" s="2244"/>
      <c r="I53" s="2238" t="e">
        <f>VLOOKUP(A53,'Trial Balance - FPer'!$A$7:$I$1107,7,FALSE)</f>
        <v>#N/A</v>
      </c>
      <c r="J53" s="2100" t="e">
        <f>VLOOKUP(A53,'Trial Balance - FPer'!$A$7:$I$1126,3,FALSE)</f>
        <v>#N/A</v>
      </c>
    </row>
    <row r="54" spans="1:10" ht="14.25" hidden="1" x14ac:dyDescent="0.2">
      <c r="A54" s="2236"/>
      <c r="B54" s="2242" t="s">
        <v>6599</v>
      </c>
      <c r="C54" s="2244"/>
      <c r="D54" s="2245"/>
      <c r="E54" s="2244"/>
      <c r="F54" s="2246"/>
      <c r="G54" s="2244"/>
      <c r="H54" s="2244"/>
      <c r="I54" s="2238" t="e">
        <f>VLOOKUP(A54,'Trial Balance - FPer'!$A$7:$I$1107,7,FALSE)</f>
        <v>#N/A</v>
      </c>
      <c r="J54" s="2100" t="e">
        <f>VLOOKUP(A54,'Trial Balance - FPer'!$A$7:$I$1126,3,FALSE)</f>
        <v>#N/A</v>
      </c>
    </row>
    <row r="55" spans="1:10" ht="14.25" hidden="1" x14ac:dyDescent="0.2">
      <c r="A55" s="2236" t="s">
        <v>4846</v>
      </c>
      <c r="B55" s="2243" t="s">
        <v>6019</v>
      </c>
      <c r="C55" s="2244">
        <v>0</v>
      </c>
      <c r="D55" s="2245">
        <v>0</v>
      </c>
      <c r="E55" s="2244">
        <v>28716.87</v>
      </c>
      <c r="F55" s="2246">
        <f>E55</f>
        <v>28716.87</v>
      </c>
      <c r="G55" s="2253">
        <v>28716.87</v>
      </c>
      <c r="H55" s="2100">
        <v>28716.87</v>
      </c>
      <c r="I55" s="2238">
        <f>VLOOKUP(A55,'Trial Balance - FPer'!$A$7:$I$1107,7,FALSE)</f>
        <v>497682.20999999996</v>
      </c>
      <c r="J55" s="2100">
        <f>VLOOKUP(A55,'Trial Balance - FPer'!$A$7:$I$1126,3,FALSE)</f>
        <v>0</v>
      </c>
    </row>
    <row r="56" spans="1:10" ht="14.25" hidden="1" x14ac:dyDescent="0.2">
      <c r="A56" s="2236" t="s">
        <v>4850</v>
      </c>
      <c r="B56" s="2243" t="s">
        <v>6600</v>
      </c>
      <c r="C56" s="2244">
        <f>'[2]Data File'!$C$58</f>
        <v>0</v>
      </c>
      <c r="D56" s="2245">
        <v>0</v>
      </c>
      <c r="E56" s="2244">
        <v>0</v>
      </c>
      <c r="F56" s="2246">
        <f>E56</f>
        <v>0</v>
      </c>
      <c r="G56" s="2253">
        <v>0</v>
      </c>
      <c r="H56" s="2100">
        <v>0</v>
      </c>
      <c r="I56" s="2238">
        <f>VLOOKUP(A56,'Trial Balance - FPer'!$A$7:$I$1107,7,FALSE)</f>
        <v>0</v>
      </c>
      <c r="J56" s="2100">
        <f>VLOOKUP(A56,'Trial Balance - FPer'!$A$7:$I$1126,3,FALSE)</f>
        <v>0</v>
      </c>
    </row>
    <row r="57" spans="1:10" ht="14.25" hidden="1" x14ac:dyDescent="0.2">
      <c r="A57" s="2236" t="s">
        <v>4852</v>
      </c>
      <c r="B57" s="2243" t="s">
        <v>6601</v>
      </c>
      <c r="C57" s="2244">
        <f>'[2]Data File'!$C$59</f>
        <v>-219.3</v>
      </c>
      <c r="D57" s="2245">
        <v>30.87</v>
      </c>
      <c r="E57" s="2244">
        <v>0</v>
      </c>
      <c r="F57" s="2246">
        <v>631.6</v>
      </c>
      <c r="G57" s="2253">
        <v>6.44</v>
      </c>
      <c r="H57" s="2100">
        <v>126.32</v>
      </c>
      <c r="I57" s="2238">
        <f>VLOOKUP(A57,'Trial Balance - FPer'!$A$7:$I$1107,7,FALSE)</f>
        <v>534.69000000000005</v>
      </c>
      <c r="J57" s="2100">
        <f>VLOOKUP(A57,'Trial Balance - FPer'!$A$7:$I$1126,3,FALSE)</f>
        <v>-219.3</v>
      </c>
    </row>
    <row r="58" spans="1:10" ht="14.25" hidden="1" x14ac:dyDescent="0.2">
      <c r="A58" s="2236" t="s">
        <v>4854</v>
      </c>
      <c r="B58" s="2243" t="s">
        <v>6022</v>
      </c>
      <c r="C58" s="2244">
        <f>'[2]Data File'!$C$60</f>
        <v>880</v>
      </c>
      <c r="D58" s="2245">
        <v>7450.29</v>
      </c>
      <c r="E58" s="2244">
        <v>0</v>
      </c>
      <c r="F58" s="2246">
        <f>D58</f>
        <v>7450.29</v>
      </c>
      <c r="G58" s="2253">
        <v>1854.65</v>
      </c>
      <c r="H58" s="2100">
        <v>0</v>
      </c>
      <c r="I58" s="2238">
        <f>VLOOKUP(A58,'Trial Balance - FPer'!$A$7:$I$1107,7,FALSE)</f>
        <v>0</v>
      </c>
      <c r="J58" s="2100">
        <f>VLOOKUP(A58,'Trial Balance - FPer'!$A$7:$I$1126,3,FALSE)</f>
        <v>880</v>
      </c>
    </row>
    <row r="59" spans="1:10" ht="14.25" hidden="1" x14ac:dyDescent="0.2">
      <c r="A59" s="2236" t="s">
        <v>4856</v>
      </c>
      <c r="B59" s="2243" t="s">
        <v>6602</v>
      </c>
      <c r="C59" s="2244">
        <f>'[2]Data File'!$C$61</f>
        <v>479689.77</v>
      </c>
      <c r="D59" s="2245">
        <v>400000</v>
      </c>
      <c r="E59" s="2244">
        <v>146206.39000000001</v>
      </c>
      <c r="F59" s="2246">
        <v>400000</v>
      </c>
      <c r="G59" s="2253">
        <v>320071.96999999997</v>
      </c>
      <c r="H59" s="2100">
        <v>148906.39000000001</v>
      </c>
      <c r="I59" s="2238">
        <f>VLOOKUP(A59,'Trial Balance - FPer'!$A$7:$I$1107,7,FALSE)</f>
        <v>283384.40000000002</v>
      </c>
      <c r="J59" s="2100">
        <f>VLOOKUP(A59,'Trial Balance - FPer'!$A$7:$I$1126,3,FALSE)</f>
        <v>479689.77</v>
      </c>
    </row>
    <row r="60" spans="1:10" ht="14.25" hidden="1" x14ac:dyDescent="0.2">
      <c r="A60" s="2236" t="s">
        <v>4858</v>
      </c>
      <c r="B60" s="2243" t="s">
        <v>6603</v>
      </c>
      <c r="C60" s="2244">
        <f>'[2]Data File'!$C$62</f>
        <v>38314.15</v>
      </c>
      <c r="D60" s="2245">
        <v>27954.080000000002</v>
      </c>
      <c r="E60" s="2244">
        <v>12115</v>
      </c>
      <c r="F60" s="2246">
        <f>E60/6*12</f>
        <v>24230</v>
      </c>
      <c r="G60" s="2253">
        <v>25239.67</v>
      </c>
      <c r="H60" s="2100">
        <v>12115</v>
      </c>
      <c r="I60" s="2238">
        <f>VLOOKUP(A60,'Trial Balance - FPer'!$A$7:$I$1107,7,FALSE)</f>
        <v>21751.54</v>
      </c>
      <c r="J60" s="2100">
        <f>VLOOKUP(A60,'Trial Balance - FPer'!$A$7:$I$1126,3,FALSE)</f>
        <v>38314.15</v>
      </c>
    </row>
    <row r="61" spans="1:10" ht="14.25" hidden="1" x14ac:dyDescent="0.2">
      <c r="A61" s="2236" t="s">
        <v>4860</v>
      </c>
      <c r="B61" s="2243" t="s">
        <v>6025</v>
      </c>
      <c r="C61" s="2244">
        <f>'[2]Data File'!$C$63</f>
        <v>6600</v>
      </c>
      <c r="D61" s="2245">
        <v>0</v>
      </c>
      <c r="E61" s="2244">
        <v>0</v>
      </c>
      <c r="F61" s="2246">
        <v>2120</v>
      </c>
      <c r="G61" s="2253">
        <v>0</v>
      </c>
      <c r="H61" s="2100">
        <v>2120</v>
      </c>
      <c r="I61" s="2238">
        <f>VLOOKUP(A61,'Trial Balance - FPer'!$A$7:$I$1107,7,FALSE)</f>
        <v>2120</v>
      </c>
      <c r="J61" s="2100">
        <f>VLOOKUP(A61,'Trial Balance - FPer'!$A$7:$I$1126,3,FALSE)</f>
        <v>6600</v>
      </c>
    </row>
    <row r="62" spans="1:10" ht="14.25" hidden="1" x14ac:dyDescent="0.2">
      <c r="A62" s="2236" t="s">
        <v>4862</v>
      </c>
      <c r="B62" s="2243" t="s">
        <v>6604</v>
      </c>
      <c r="C62" s="2244">
        <f>'[2]Data File'!$C$64</f>
        <v>0</v>
      </c>
      <c r="D62" s="2245">
        <v>0</v>
      </c>
      <c r="E62" s="2244">
        <v>0</v>
      </c>
      <c r="F62" s="2246">
        <f t="shared" ref="F62:F67" si="5">E62/6*12</f>
        <v>0</v>
      </c>
      <c r="G62" s="2253">
        <v>0</v>
      </c>
      <c r="H62" s="2100">
        <v>0</v>
      </c>
      <c r="I62" s="2238">
        <f>VLOOKUP(A62,'Trial Balance - FPer'!$A$7:$I$1107,7,FALSE)</f>
        <v>0</v>
      </c>
      <c r="J62" s="2100">
        <f>VLOOKUP(A62,'Trial Balance - FPer'!$A$7:$I$1126,3,FALSE)</f>
        <v>0</v>
      </c>
    </row>
    <row r="63" spans="1:10" ht="14.25" hidden="1" x14ac:dyDescent="0.2">
      <c r="A63" s="2236" t="s">
        <v>4864</v>
      </c>
      <c r="B63" s="2243" t="s">
        <v>6105</v>
      </c>
      <c r="C63" s="2244">
        <f>'[2]Data File'!$C$66</f>
        <v>0</v>
      </c>
      <c r="D63" s="2245">
        <v>0</v>
      </c>
      <c r="E63" s="2244">
        <v>0</v>
      </c>
      <c r="F63" s="2246">
        <f t="shared" si="5"/>
        <v>0</v>
      </c>
      <c r="G63" s="2253">
        <v>0</v>
      </c>
      <c r="H63" s="2100">
        <v>0</v>
      </c>
      <c r="I63" s="2238">
        <f>VLOOKUP(A63,'Trial Balance - FPer'!$A$7:$I$1107,7,FALSE)</f>
        <v>0</v>
      </c>
      <c r="J63" s="2100">
        <f>VLOOKUP(A63,'Trial Balance - FPer'!$A$7:$I$1126,3,FALSE)</f>
        <v>0</v>
      </c>
    </row>
    <row r="64" spans="1:10" ht="14.25" hidden="1" x14ac:dyDescent="0.2">
      <c r="A64" s="2236" t="s">
        <v>4866</v>
      </c>
      <c r="B64" s="2243" t="s">
        <v>6605</v>
      </c>
      <c r="C64" s="2244">
        <f>'[2]Data File'!$C$67</f>
        <v>0</v>
      </c>
      <c r="D64" s="2245">
        <v>0</v>
      </c>
      <c r="E64" s="2244">
        <v>0</v>
      </c>
      <c r="F64" s="2246">
        <f t="shared" si="5"/>
        <v>0</v>
      </c>
      <c r="G64" s="2253">
        <v>0</v>
      </c>
      <c r="H64" s="2100">
        <v>0</v>
      </c>
      <c r="I64" s="2238">
        <f>VLOOKUP(A64,'Trial Balance - FPer'!$A$7:$I$1107,7,FALSE)</f>
        <v>21369430.350000001</v>
      </c>
      <c r="J64" s="2100">
        <f>VLOOKUP(A64,'Trial Balance - FPer'!$A$7:$I$1126,3,FALSE)</f>
        <v>22092963</v>
      </c>
    </row>
    <row r="65" spans="1:10" ht="14.25" hidden="1" x14ac:dyDescent="0.2">
      <c r="A65" s="2236" t="s">
        <v>4868</v>
      </c>
      <c r="B65" s="2243" t="s">
        <v>6606</v>
      </c>
      <c r="C65" s="2244">
        <f>'[2]Data File'!$C$68</f>
        <v>0</v>
      </c>
      <c r="D65" s="2245">
        <v>0</v>
      </c>
      <c r="E65" s="2244">
        <v>0</v>
      </c>
      <c r="F65" s="2246">
        <f t="shared" si="5"/>
        <v>0</v>
      </c>
      <c r="G65" s="2253">
        <v>0</v>
      </c>
      <c r="H65" s="2100">
        <v>0</v>
      </c>
      <c r="I65" s="2238">
        <f>VLOOKUP(A65,'Trial Balance - FPer'!$A$7:$I$1107,7,FALSE)</f>
        <v>0</v>
      </c>
      <c r="J65" s="2100">
        <f>VLOOKUP(A65,'Trial Balance - FPer'!$A$7:$I$1126,3,FALSE)</f>
        <v>0</v>
      </c>
    </row>
    <row r="66" spans="1:10" ht="14.25" hidden="1" x14ac:dyDescent="0.2">
      <c r="A66" s="2236" t="s">
        <v>4870</v>
      </c>
      <c r="B66" s="2243" t="s">
        <v>6607</v>
      </c>
      <c r="C66" s="2244">
        <f>'[2]Data File'!$C$69</f>
        <v>74832.12</v>
      </c>
      <c r="D66" s="2245">
        <v>11550</v>
      </c>
      <c r="E66" s="2244">
        <v>15900</v>
      </c>
      <c r="F66" s="2246">
        <f t="shared" si="5"/>
        <v>31800</v>
      </c>
      <c r="G66" s="2253">
        <v>26805.75</v>
      </c>
      <c r="H66" s="2100">
        <v>15900</v>
      </c>
      <c r="I66" s="2238">
        <f>VLOOKUP(A66,'Trial Balance - FPer'!$A$7:$I$1107,7,FALSE)</f>
        <v>91736.66</v>
      </c>
      <c r="J66" s="2100">
        <f>VLOOKUP(A66,'Trial Balance - FPer'!$A$7:$I$1126,3,FALSE)</f>
        <v>74832.12</v>
      </c>
    </row>
    <row r="67" spans="1:10" ht="14.25" hidden="1" x14ac:dyDescent="0.2">
      <c r="A67" s="2236" t="s">
        <v>4872</v>
      </c>
      <c r="B67" s="2243" t="s">
        <v>6608</v>
      </c>
      <c r="C67" s="2244">
        <f>'[2]Data File'!$C$70</f>
        <v>2016.39</v>
      </c>
      <c r="D67" s="2245">
        <v>4364.43</v>
      </c>
      <c r="E67" s="2244">
        <v>1331.85</v>
      </c>
      <c r="F67" s="2246">
        <f t="shared" si="5"/>
        <v>2663.7</v>
      </c>
      <c r="G67" s="2253">
        <v>3094.62</v>
      </c>
      <c r="H67" s="2100">
        <v>1331.85</v>
      </c>
      <c r="I67" s="2238">
        <f>VLOOKUP(A67,'Trial Balance - FPer'!$A$7:$I$1107,7,FALSE)</f>
        <v>0</v>
      </c>
      <c r="J67" s="2100">
        <f>VLOOKUP(A67,'Trial Balance - FPer'!$A$7:$I$1126,3,FALSE)</f>
        <v>0</v>
      </c>
    </row>
    <row r="68" spans="1:10" ht="14.25" hidden="1" x14ac:dyDescent="0.2">
      <c r="A68" s="2236" t="s">
        <v>4874</v>
      </c>
      <c r="B68" s="2243" t="s">
        <v>6027</v>
      </c>
      <c r="C68" s="2244">
        <f>'[2]Data File'!$C$71</f>
        <v>53670.27</v>
      </c>
      <c r="D68" s="2245">
        <v>20000</v>
      </c>
      <c r="E68" s="2244">
        <v>8552.07</v>
      </c>
      <c r="F68" s="2246">
        <v>19902</v>
      </c>
      <c r="G68" s="2253">
        <v>17882.240000000002</v>
      </c>
      <c r="H68" s="2100">
        <v>11609.5</v>
      </c>
      <c r="I68" s="2238">
        <f>VLOOKUP(A68,'Trial Balance - FPer'!$A$7:$I$1107,7,FALSE)</f>
        <v>61068.37</v>
      </c>
      <c r="J68" s="2100">
        <f>VLOOKUP(A68,'Trial Balance - FPer'!$A$7:$I$1126,3,FALSE)</f>
        <v>53670.27</v>
      </c>
    </row>
    <row r="69" spans="1:10" ht="14.25" hidden="1" x14ac:dyDescent="0.2">
      <c r="A69" s="2236" t="s">
        <v>4876</v>
      </c>
      <c r="B69" s="2243" t="s">
        <v>6028</v>
      </c>
      <c r="C69" s="2244">
        <f>'[2]Data File'!$C$72</f>
        <v>0</v>
      </c>
      <c r="D69" s="2245">
        <v>0</v>
      </c>
      <c r="E69" s="2244">
        <v>4800</v>
      </c>
      <c r="F69" s="2246">
        <f>E69/6*12</f>
        <v>9600</v>
      </c>
      <c r="G69" s="2253">
        <v>4800</v>
      </c>
      <c r="H69" s="2100">
        <v>4800</v>
      </c>
      <c r="I69" s="2238">
        <f>VLOOKUP(A69,'Trial Balance - FPer'!$A$7:$I$1107,7,FALSE)</f>
        <v>100560</v>
      </c>
      <c r="J69" s="2100">
        <f>VLOOKUP(A69,'Trial Balance - FPer'!$A$7:$I$1126,3,FALSE)</f>
        <v>0</v>
      </c>
    </row>
    <row r="70" spans="1:10" ht="14.25" hidden="1" x14ac:dyDescent="0.2">
      <c r="A70" s="2236" t="s">
        <v>4878</v>
      </c>
      <c r="B70" s="2243" t="s">
        <v>6609</v>
      </c>
      <c r="C70" s="2244">
        <f>'[2]Data File'!$C$73</f>
        <v>580150.98</v>
      </c>
      <c r="D70" s="2245">
        <v>200000</v>
      </c>
      <c r="E70" s="2244">
        <v>235171.38</v>
      </c>
      <c r="F70" s="2246">
        <v>400000</v>
      </c>
      <c r="G70" s="2253">
        <v>403673.38</v>
      </c>
      <c r="H70" s="2100">
        <v>265877.78000000003</v>
      </c>
      <c r="I70" s="2238">
        <f>VLOOKUP(A70,'Trial Balance - FPer'!$A$7:$I$1107,7,FALSE)</f>
        <v>463631.94</v>
      </c>
      <c r="J70" s="2100">
        <f>VLOOKUP(A70,'Trial Balance - FPer'!$A$7:$I$1126,3,FALSE)</f>
        <v>580150.98</v>
      </c>
    </row>
    <row r="71" spans="1:10" ht="14.25" hidden="1" x14ac:dyDescent="0.2">
      <c r="A71" s="2236" t="s">
        <v>4880</v>
      </c>
      <c r="B71" s="2243" t="s">
        <v>6610</v>
      </c>
      <c r="C71" s="2244">
        <f>'[2]Data File'!$C$74</f>
        <v>41259.68</v>
      </c>
      <c r="D71" s="2245">
        <v>29188.43</v>
      </c>
      <c r="E71" s="2244">
        <v>3501.66</v>
      </c>
      <c r="F71" s="2246">
        <v>10985.94</v>
      </c>
      <c r="G71" s="2253">
        <v>12590.79</v>
      </c>
      <c r="H71" s="2100">
        <v>4749.04</v>
      </c>
      <c r="I71" s="2238">
        <f>VLOOKUP(A71,'Trial Balance - FPer'!$A$7:$I$1107,7,FALSE)</f>
        <v>7941.83</v>
      </c>
      <c r="J71" s="2100">
        <f>VLOOKUP(A71,'Trial Balance - FPer'!$A$7:$I$1126,3,FALSE)</f>
        <v>41259.68</v>
      </c>
    </row>
    <row r="72" spans="1:10" ht="14.25" hidden="1" x14ac:dyDescent="0.2">
      <c r="A72" s="2236" t="s">
        <v>4882</v>
      </c>
      <c r="B72" s="2243" t="s">
        <v>6611</v>
      </c>
      <c r="C72" s="2244">
        <v>0</v>
      </c>
      <c r="D72" s="2245">
        <v>0</v>
      </c>
      <c r="E72" s="2244">
        <v>0</v>
      </c>
      <c r="F72" s="2246">
        <f>E72/6*12</f>
        <v>0</v>
      </c>
      <c r="G72" s="2253">
        <v>0</v>
      </c>
      <c r="H72" s="2100">
        <v>0</v>
      </c>
      <c r="I72" s="2238">
        <f>VLOOKUP(A72,'Trial Balance - FPer'!$A$7:$I$1107,7,FALSE)</f>
        <v>0</v>
      </c>
      <c r="J72" s="2100">
        <f>VLOOKUP(A72,'Trial Balance - FPer'!$A$7:$I$1126,3,FALSE)</f>
        <v>0</v>
      </c>
    </row>
    <row r="73" spans="1:10" ht="14.25" hidden="1" x14ac:dyDescent="0.2">
      <c r="A73" s="2236" t="s">
        <v>4884</v>
      </c>
      <c r="B73" s="2243" t="s">
        <v>6612</v>
      </c>
      <c r="C73" s="2244">
        <v>0</v>
      </c>
      <c r="D73" s="2245">
        <v>0</v>
      </c>
      <c r="E73" s="2244">
        <v>0</v>
      </c>
      <c r="F73" s="2246">
        <f>E73/6*12</f>
        <v>0</v>
      </c>
      <c r="G73" s="2253">
        <v>0</v>
      </c>
      <c r="H73" s="2100">
        <v>0</v>
      </c>
      <c r="I73" s="2238">
        <f>VLOOKUP(A73,'Trial Balance - FPer'!$A$7:$I$1107,7,FALSE)</f>
        <v>0</v>
      </c>
      <c r="J73" s="2100">
        <f>VLOOKUP(A73,'Trial Balance - FPer'!$A$7:$I$1126,3,FALSE)</f>
        <v>0</v>
      </c>
    </row>
    <row r="74" spans="1:10" ht="14.25" hidden="1" x14ac:dyDescent="0.2">
      <c r="A74" s="2236" t="s">
        <v>4886</v>
      </c>
      <c r="B74" s="2243" t="s">
        <v>6031</v>
      </c>
      <c r="C74" s="2244">
        <f>'[2]Data File'!$C$75</f>
        <v>1921.62</v>
      </c>
      <c r="D74" s="2245">
        <v>1017.96</v>
      </c>
      <c r="E74" s="2244">
        <v>0</v>
      </c>
      <c r="F74" s="2246">
        <v>1017.96</v>
      </c>
      <c r="G74" s="2253">
        <v>256.98</v>
      </c>
      <c r="H74" s="2100">
        <v>328.95</v>
      </c>
      <c r="I74" s="2238">
        <f>VLOOKUP(A74,'Trial Balance - FPer'!$A$7:$I$1107,7,FALSE)</f>
        <v>7528.25</v>
      </c>
      <c r="J74" s="2100">
        <f>VLOOKUP(A74,'Trial Balance - FPer'!$A$7:$I$1126,3,FALSE)</f>
        <v>1921.62</v>
      </c>
    </row>
    <row r="75" spans="1:10" ht="14.25" hidden="1" x14ac:dyDescent="0.2">
      <c r="A75" s="2236" t="s">
        <v>4888</v>
      </c>
      <c r="B75" s="2243" t="s">
        <v>6613</v>
      </c>
      <c r="C75" s="2244">
        <f>'[2]Data File'!$C$77</f>
        <v>13435</v>
      </c>
      <c r="D75" s="2245">
        <v>2018.91</v>
      </c>
      <c r="E75" s="2244">
        <v>0</v>
      </c>
      <c r="F75" s="2246">
        <v>2018.91</v>
      </c>
      <c r="G75" s="2253">
        <v>505.46</v>
      </c>
      <c r="H75" s="2100">
        <v>0</v>
      </c>
      <c r="I75" s="2238">
        <f>VLOOKUP(A75,'Trial Balance - FPer'!$A$7:$I$1107,7,FALSE)</f>
        <v>5000</v>
      </c>
      <c r="J75" s="2100">
        <f>VLOOKUP(A75,'Trial Balance - FPer'!$A$7:$I$1126,3,FALSE)</f>
        <v>13435</v>
      </c>
    </row>
    <row r="76" spans="1:10" ht="14.25" hidden="1" x14ac:dyDescent="0.2">
      <c r="A76" s="2236" t="s">
        <v>4890</v>
      </c>
      <c r="B76" s="2247" t="s">
        <v>6033</v>
      </c>
      <c r="C76" s="2248">
        <f>'[2]Data File'!$C$76</f>
        <v>906.08</v>
      </c>
      <c r="D76" s="2249">
        <v>1639.88</v>
      </c>
      <c r="E76" s="2248">
        <v>-1382.02</v>
      </c>
      <c r="F76" s="2250">
        <v>1639.88</v>
      </c>
      <c r="G76" s="2248">
        <v>-1667.74</v>
      </c>
      <c r="H76" s="2100">
        <v>-1346.93</v>
      </c>
      <c r="I76" s="2238">
        <f>VLOOKUP(A76,'Trial Balance - FPer'!$A$7:$I$1107,7,FALSE)</f>
        <v>0</v>
      </c>
      <c r="J76" s="2100">
        <f>VLOOKUP(A76,'Trial Balance - FPer'!$A$7:$I$1126,3,FALSE)</f>
        <v>0</v>
      </c>
    </row>
    <row r="77" spans="1:10" s="2615" customFormat="1" hidden="1" x14ac:dyDescent="0.2">
      <c r="A77" s="2612"/>
      <c r="B77" s="2613" t="s">
        <v>6614</v>
      </c>
      <c r="C77" s="2614">
        <f>SUM(C55:C76)</f>
        <v>1293456.7600000002</v>
      </c>
      <c r="D77" s="2614">
        <f>SUM(D55:D76)</f>
        <v>705214.85</v>
      </c>
      <c r="E77" s="2614">
        <f>SUM(E55:E76)</f>
        <v>454913.2</v>
      </c>
      <c r="F77" s="2614">
        <f>SUM(F55:F76)</f>
        <v>942777.14999999991</v>
      </c>
      <c r="G77" s="2614">
        <f>SUM(G55:G76)</f>
        <v>843831.08</v>
      </c>
      <c r="H77" s="2614">
        <f t="shared" ref="H77" si="6">SUM(H55:H76)</f>
        <v>495234.77000000008</v>
      </c>
      <c r="I77" s="2614">
        <f>SUM(I55:I76)</f>
        <v>22912370.240000002</v>
      </c>
      <c r="J77" s="2614">
        <f>SUM(J55:J76)</f>
        <v>23383497.290000003</v>
      </c>
    </row>
    <row r="78" spans="1:10" ht="14.25" hidden="1" x14ac:dyDescent="0.2">
      <c r="A78" s="2236"/>
      <c r="B78" s="2243"/>
      <c r="C78" s="2244"/>
      <c r="D78" s="2245"/>
      <c r="E78" s="2244"/>
      <c r="F78" s="2246"/>
      <c r="G78" s="2244"/>
      <c r="H78" s="2244"/>
      <c r="I78" s="2238" t="e">
        <f>VLOOKUP(A78,'Trial Balance - FPer'!$A$7:$I$1107,7,FALSE)</f>
        <v>#N/A</v>
      </c>
      <c r="J78" s="2100" t="e">
        <f>VLOOKUP(A78,'Trial Balance - FPer'!$A$7:$I$1126,3,FALSE)</f>
        <v>#N/A</v>
      </c>
    </row>
    <row r="79" spans="1:10" ht="14.25" hidden="1" x14ac:dyDescent="0.2">
      <c r="A79" s="2236"/>
      <c r="B79" s="2242" t="s">
        <v>6615</v>
      </c>
      <c r="C79" s="2244"/>
      <c r="D79" s="2245"/>
      <c r="E79" s="2244"/>
      <c r="F79" s="2246"/>
      <c r="G79" s="2244"/>
      <c r="H79" s="2244"/>
      <c r="I79" s="2238" t="e">
        <f>VLOOKUP(A79,'Trial Balance - FPer'!$A$7:$I$1107,7,FALSE)</f>
        <v>#N/A</v>
      </c>
      <c r="J79" s="2100" t="e">
        <f>VLOOKUP(A79,'Trial Balance - FPer'!$A$7:$I$1126,3,FALSE)</f>
        <v>#N/A</v>
      </c>
    </row>
    <row r="80" spans="1:10" ht="14.25" hidden="1" x14ac:dyDescent="0.2">
      <c r="A80" s="2236" t="s">
        <v>4892</v>
      </c>
      <c r="B80" s="2243" t="s">
        <v>6616</v>
      </c>
      <c r="C80" s="2244">
        <f>'[2]Data File'!$C$88</f>
        <v>0</v>
      </c>
      <c r="D80" s="2245">
        <v>1688.6</v>
      </c>
      <c r="E80" s="2244">
        <v>0</v>
      </c>
      <c r="F80" s="2246">
        <f>D80</f>
        <v>1688.6</v>
      </c>
      <c r="G80" s="2253">
        <v>424.3</v>
      </c>
      <c r="H80" s="2100">
        <v>0</v>
      </c>
      <c r="I80" s="2238">
        <f>VLOOKUP(A80,'Trial Balance - FPer'!$A$7:$I$1107,7,FALSE)</f>
        <v>0</v>
      </c>
      <c r="J80" s="2100" t="str">
        <f>VLOOKUP(A80,'Trial Balance - FPer'!$A$7:$I$1126,3,FALSE)</f>
        <v xml:space="preserve">                               -  </v>
      </c>
    </row>
    <row r="81" spans="1:10" ht="14.25" hidden="1" x14ac:dyDescent="0.2">
      <c r="A81" s="2236" t="s">
        <v>4894</v>
      </c>
      <c r="B81" s="2247" t="s">
        <v>6617</v>
      </c>
      <c r="C81" s="2248">
        <f>'[2]Data File'!$C$89</f>
        <v>1415.05</v>
      </c>
      <c r="D81" s="2249">
        <v>552.86</v>
      </c>
      <c r="E81" s="2248">
        <v>43629.87</v>
      </c>
      <c r="F81" s="2250">
        <f>E81/6*12</f>
        <v>87259.74</v>
      </c>
      <c r="G81" s="2248">
        <v>65651.199999999997</v>
      </c>
      <c r="H81" s="2100">
        <v>46129.87</v>
      </c>
      <c r="I81" s="2238">
        <f>VLOOKUP(A81,'Trial Balance - FPer'!$A$7:$I$1107,7,FALSE)</f>
        <v>46569.87</v>
      </c>
      <c r="J81" s="2100">
        <f>VLOOKUP(A81,'Trial Balance - FPer'!$A$7:$I$1126,3,FALSE)</f>
        <v>1415.05</v>
      </c>
    </row>
    <row r="82" spans="1:10" s="2615" customFormat="1" hidden="1" x14ac:dyDescent="0.2">
      <c r="A82" s="2612"/>
      <c r="B82" s="2613" t="s">
        <v>6618</v>
      </c>
      <c r="C82" s="2614">
        <f>SUM(C80:C81)</f>
        <v>1415.05</v>
      </c>
      <c r="D82" s="2614">
        <f>SUM(D80:D81)</f>
        <v>2241.46</v>
      </c>
      <c r="E82" s="2614">
        <f>SUM(E80:E81)</f>
        <v>43629.87</v>
      </c>
      <c r="F82" s="2614">
        <f>SUM(F80:F81)</f>
        <v>88948.340000000011</v>
      </c>
      <c r="G82" s="2614">
        <f>SUM(G80:G81)</f>
        <v>66075.5</v>
      </c>
      <c r="H82" s="2614">
        <f t="shared" ref="H82" si="7">SUM(H80:H81)</f>
        <v>46129.87</v>
      </c>
      <c r="I82" s="2614">
        <f>SUM(I80:I81)</f>
        <v>46569.87</v>
      </c>
      <c r="J82" s="2614">
        <f>SUM(J80:J81)</f>
        <v>1415.05</v>
      </c>
    </row>
    <row r="83" spans="1:10" ht="14.25" hidden="1" x14ac:dyDescent="0.2">
      <c r="A83" s="2236"/>
      <c r="B83" s="2243"/>
      <c r="C83" s="2244"/>
      <c r="D83" s="2245"/>
      <c r="E83" s="2244"/>
      <c r="F83" s="2246"/>
      <c r="G83" s="2244"/>
      <c r="H83" s="2244"/>
      <c r="I83" s="2238" t="e">
        <f>VLOOKUP(A83,'Trial Balance - FPer'!$A$7:$I$1107,7,FALSE)</f>
        <v>#N/A</v>
      </c>
      <c r="J83" s="2100" t="e">
        <f>VLOOKUP(A83,'Trial Balance - FPer'!$A$7:$I$1126,3,FALSE)</f>
        <v>#N/A</v>
      </c>
    </row>
    <row r="84" spans="1:10" ht="14.25" hidden="1" x14ac:dyDescent="0.2">
      <c r="A84" s="2236"/>
      <c r="B84" s="2242" t="s">
        <v>6619</v>
      </c>
      <c r="C84" s="2244"/>
      <c r="D84" s="2245"/>
      <c r="E84" s="2244"/>
      <c r="F84" s="2246"/>
      <c r="G84" s="2244"/>
      <c r="H84" s="2244"/>
      <c r="I84" s="2238" t="e">
        <f>VLOOKUP(A84,'Trial Balance - FPer'!$A$7:$I$1107,7,FALSE)</f>
        <v>#N/A</v>
      </c>
      <c r="J84" s="2100" t="e">
        <f>VLOOKUP(A84,'Trial Balance - FPer'!$A$7:$I$1126,3,FALSE)</f>
        <v>#N/A</v>
      </c>
    </row>
    <row r="85" spans="1:10" ht="14.25" hidden="1" x14ac:dyDescent="0.2">
      <c r="A85" s="2236" t="s">
        <v>4896</v>
      </c>
      <c r="B85" s="2243" t="s">
        <v>6620</v>
      </c>
      <c r="C85" s="2244">
        <f>'[2]Data File'!$C$94</f>
        <v>54745.63</v>
      </c>
      <c r="D85" s="2245">
        <v>36928.29</v>
      </c>
      <c r="E85" s="2244">
        <v>0</v>
      </c>
      <c r="F85" s="2246">
        <f>D85</f>
        <v>36928.29</v>
      </c>
      <c r="G85" s="2253">
        <v>9269.15</v>
      </c>
      <c r="H85" s="2100">
        <v>0</v>
      </c>
      <c r="I85" s="2238">
        <f>VLOOKUP(A85,'Trial Balance - FPer'!$A$7:$I$1107,7,FALSE)</f>
        <v>0</v>
      </c>
      <c r="J85" s="2100">
        <f>VLOOKUP(A85,'Trial Balance - FPer'!$A$7:$I$1126,3,FALSE)</f>
        <v>54745.63</v>
      </c>
    </row>
    <row r="86" spans="1:10" ht="14.25" hidden="1" x14ac:dyDescent="0.2">
      <c r="A86" s="2236" t="s">
        <v>4898</v>
      </c>
      <c r="B86" s="2247" t="s">
        <v>6621</v>
      </c>
      <c r="C86" s="2248">
        <f>'[2]Data File'!$C$95</f>
        <v>5974.53</v>
      </c>
      <c r="D86" s="2249">
        <v>2687.09</v>
      </c>
      <c r="E86" s="2248">
        <v>0</v>
      </c>
      <c r="F86" s="2250">
        <f>D86</f>
        <v>2687.09</v>
      </c>
      <c r="G86" s="2248">
        <v>674.55</v>
      </c>
      <c r="H86" s="2100">
        <v>0</v>
      </c>
      <c r="I86" s="2238">
        <f>VLOOKUP(A86,'Trial Balance - FPer'!$A$7:$I$1107,7,FALSE)</f>
        <v>0</v>
      </c>
      <c r="J86" s="2100">
        <f>VLOOKUP(A86,'Trial Balance - FPer'!$A$7:$I$1126,3,FALSE)</f>
        <v>5974.53</v>
      </c>
    </row>
    <row r="87" spans="1:10" s="2615" customFormat="1" hidden="1" x14ac:dyDescent="0.2">
      <c r="A87" s="2612"/>
      <c r="B87" s="2613" t="s">
        <v>6622</v>
      </c>
      <c r="C87" s="2614">
        <f>SUM(C85:C86)</f>
        <v>60720.159999999996</v>
      </c>
      <c r="D87" s="2614">
        <f>SUM(D85:D86)</f>
        <v>39615.380000000005</v>
      </c>
      <c r="E87" s="2614">
        <f>SUM(E85:E86)</f>
        <v>0</v>
      </c>
      <c r="F87" s="2614">
        <f>SUM(F85:F86)</f>
        <v>39615.380000000005</v>
      </c>
      <c r="G87" s="2614">
        <f>SUM(G85:G86)</f>
        <v>9943.6999999999989</v>
      </c>
      <c r="H87" s="2614">
        <f t="shared" ref="H87" si="8">SUM(H85:H86)</f>
        <v>0</v>
      </c>
      <c r="I87" s="2614">
        <f>SUM(I85:I86)</f>
        <v>0</v>
      </c>
      <c r="J87" s="2614">
        <f>SUM(J85:J86)</f>
        <v>60720.159999999996</v>
      </c>
    </row>
    <row r="88" spans="1:10" ht="14.25" hidden="1" x14ac:dyDescent="0.2">
      <c r="A88" s="2251"/>
      <c r="B88" s="2257"/>
      <c r="C88" s="2253"/>
      <c r="D88" s="2254"/>
      <c r="E88" s="2253"/>
      <c r="F88" s="2255"/>
      <c r="G88" s="2253"/>
      <c r="H88" s="2253"/>
      <c r="I88" s="2238" t="e">
        <f>VLOOKUP(A88,'Trial Balance - FPer'!$A$7:$I$1107,7,FALSE)</f>
        <v>#N/A</v>
      </c>
      <c r="J88" s="2100" t="e">
        <f>VLOOKUP(A88,'Trial Balance - FPer'!$A$7:$I$1126,3,FALSE)</f>
        <v>#N/A</v>
      </c>
    </row>
    <row r="89" spans="1:10" s="2615" customFormat="1" ht="13.5" thickBot="1" x14ac:dyDescent="0.25">
      <c r="A89" s="2612"/>
      <c r="B89" s="2616" t="s">
        <v>6623</v>
      </c>
      <c r="C89" s="2617">
        <f>C87+C82+C77+C52+C48+C39</f>
        <v>4259255.5600000005</v>
      </c>
      <c r="D89" s="2617">
        <f>D87+D82+D77+D52+D48+D39</f>
        <v>4349229.83</v>
      </c>
      <c r="E89" s="2617">
        <f>E87+E82+E77+E52+E48+E39</f>
        <v>2509694.4500000002</v>
      </c>
      <c r="F89" s="2617">
        <f>F87+F82+F77+F52+F48+F39</f>
        <v>5412111.75</v>
      </c>
      <c r="G89" s="2617">
        <f>G87+G82+G77+G52+G48+G39</f>
        <v>4765883.09</v>
      </c>
      <c r="H89" s="2617">
        <f t="shared" ref="H89" si="9">H87+H82+H77+H52+H48+H39</f>
        <v>2983444.0900000003</v>
      </c>
      <c r="I89" s="2617">
        <f>I87+I82+I77+I52+I48+I39</f>
        <v>27538845.600000001</v>
      </c>
      <c r="J89" s="2617">
        <f>J87+J82+J77+J52+J48+J39</f>
        <v>26349296.090000004</v>
      </c>
    </row>
    <row r="90" spans="1:10" ht="15" thickTop="1" x14ac:dyDescent="0.2">
      <c r="A90" s="2236"/>
      <c r="B90" s="2243"/>
      <c r="C90" s="2244"/>
      <c r="D90" s="2245"/>
      <c r="E90" s="2244"/>
      <c r="F90" s="2246"/>
      <c r="G90" s="2244"/>
      <c r="H90" s="2244"/>
      <c r="I90" s="2238" t="e">
        <f>VLOOKUP(A90,'Trial Balance - FPer'!$A$7:$I$1107,7,FALSE)</f>
        <v>#N/A</v>
      </c>
      <c r="J90" s="2100" t="e">
        <f>VLOOKUP(A90,'Trial Balance - FPer'!$A$7:$I$1126,3,FALSE)</f>
        <v>#N/A</v>
      </c>
    </row>
    <row r="91" spans="1:10" s="2615" customFormat="1" ht="13.5" thickBot="1" x14ac:dyDescent="0.25">
      <c r="A91" s="2612"/>
      <c r="B91" s="2616" t="s">
        <v>6624</v>
      </c>
      <c r="C91" s="2617">
        <f>C22-C89</f>
        <v>-4259255.5600000005</v>
      </c>
      <c r="D91" s="2617">
        <f>D22-D89</f>
        <v>-41986.459999999963</v>
      </c>
      <c r="E91" s="2617">
        <f>E22-E89</f>
        <v>-2509694.4500000002</v>
      </c>
      <c r="F91" s="2617">
        <f>F22-F89</f>
        <v>0</v>
      </c>
      <c r="G91" s="2617">
        <f>G22-G89</f>
        <v>-2603645.7199999997</v>
      </c>
      <c r="H91" s="2617">
        <f t="shared" ref="H91:J91" si="10">H22-H89</f>
        <v>-2983444.0900000003</v>
      </c>
      <c r="I91" s="2617">
        <f t="shared" si="10"/>
        <v>-27538845.600000001</v>
      </c>
      <c r="J91" s="2617">
        <f t="shared" si="10"/>
        <v>-26349296.090000004</v>
      </c>
    </row>
    <row r="92" spans="1:10" ht="15" thickTop="1" x14ac:dyDescent="0.2">
      <c r="A92" s="2236"/>
      <c r="B92" s="2243"/>
      <c r="C92" s="2244"/>
      <c r="D92" s="2245"/>
      <c r="E92" s="2244"/>
      <c r="F92" s="2246"/>
      <c r="G92" s="2244"/>
      <c r="H92" s="2244"/>
      <c r="I92" s="2238" t="e">
        <f>VLOOKUP(A92,'Trial Balance - FPer'!$A$7:$I$1107,7,FALSE)</f>
        <v>#N/A</v>
      </c>
      <c r="J92" s="2100" t="e">
        <f>VLOOKUP(A92,'Trial Balance - FPer'!$A$7:$I$1126,3,FALSE)</f>
        <v>#N/A</v>
      </c>
    </row>
    <row r="93" spans="1:10" ht="15" x14ac:dyDescent="0.25">
      <c r="A93" s="2236"/>
      <c r="B93" s="2237" t="s">
        <v>6625</v>
      </c>
      <c r="C93" s="2244"/>
      <c r="D93" s="2245"/>
      <c r="E93" s="2244"/>
      <c r="F93" s="2246"/>
      <c r="G93" s="2244"/>
      <c r="H93" s="2244"/>
      <c r="I93" s="2238" t="e">
        <f>VLOOKUP(A93,'Trial Balance - FPer'!$A$7:$I$1107,7,FALSE)</f>
        <v>#N/A</v>
      </c>
      <c r="J93" s="2100" t="e">
        <f>VLOOKUP(A93,'Trial Balance - FPer'!$A$7:$I$1126,3,FALSE)</f>
        <v>#N/A</v>
      </c>
    </row>
    <row r="94" spans="1:10" ht="15" x14ac:dyDescent="0.25">
      <c r="A94" s="2241" t="s">
        <v>6626</v>
      </c>
      <c r="B94" s="2237" t="s">
        <v>6627</v>
      </c>
      <c r="C94" s="2244"/>
      <c r="D94" s="2245"/>
      <c r="E94" s="2244"/>
      <c r="F94" s="2246"/>
      <c r="G94" s="2244"/>
      <c r="H94" s="2244"/>
      <c r="I94" s="2238" t="e">
        <f>VLOOKUP(A94,'Trial Balance - FPer'!$A$7:$I$1107,7,FALSE)</f>
        <v>#N/A</v>
      </c>
      <c r="J94" s="2100" t="e">
        <f>VLOOKUP(A94,'Trial Balance - FPer'!$A$7:$I$1126,3,FALSE)</f>
        <v>#N/A</v>
      </c>
    </row>
    <row r="95" spans="1:10" ht="14.25" x14ac:dyDescent="0.2">
      <c r="A95" s="2236"/>
      <c r="B95" s="2243"/>
      <c r="C95" s="2244"/>
      <c r="D95" s="2245"/>
      <c r="E95" s="2244"/>
      <c r="F95" s="2246"/>
      <c r="G95" s="2244"/>
      <c r="H95" s="2244"/>
      <c r="I95" s="2238" t="e">
        <f>VLOOKUP(A95,'Trial Balance - FPer'!$A$7:$I$1107,7,FALSE)</f>
        <v>#N/A</v>
      </c>
      <c r="J95" s="2100" t="e">
        <f>VLOOKUP(A95,'Trial Balance - FPer'!$A$7:$I$1126,3,FALSE)</f>
        <v>#N/A</v>
      </c>
    </row>
    <row r="96" spans="1:10" ht="14.25" x14ac:dyDescent="0.2">
      <c r="A96" s="2236"/>
      <c r="B96" s="2242" t="s">
        <v>247</v>
      </c>
      <c r="C96" s="2244"/>
      <c r="D96" s="2245"/>
      <c r="E96" s="2244"/>
      <c r="F96" s="2246"/>
      <c r="G96" s="2244"/>
      <c r="H96" s="2244"/>
      <c r="I96" s="2238" t="e">
        <f>VLOOKUP(A96,'Trial Balance - FPer'!$A$7:$I$1107,7,FALSE)</f>
        <v>#N/A</v>
      </c>
      <c r="J96" s="2100" t="e">
        <f>VLOOKUP(A96,'Trial Balance - FPer'!$A$7:$I$1126,3,FALSE)</f>
        <v>#N/A</v>
      </c>
    </row>
    <row r="97" spans="1:10" ht="14.25" hidden="1" x14ac:dyDescent="0.2">
      <c r="A97" s="2236"/>
      <c r="B97" s="2242" t="s">
        <v>6628</v>
      </c>
      <c r="C97" s="2244"/>
      <c r="D97" s="2245"/>
      <c r="E97" s="2244"/>
      <c r="F97" s="2246"/>
      <c r="G97" s="2244"/>
      <c r="H97" s="2244"/>
      <c r="I97" s="2238" t="e">
        <f>VLOOKUP(A97,'Trial Balance - FPer'!$A$7:$I$1107,7,FALSE)</f>
        <v>#N/A</v>
      </c>
      <c r="J97" s="2100" t="e">
        <f>VLOOKUP(A97,'Trial Balance - FPer'!$A$7:$I$1126,3,FALSE)</f>
        <v>#N/A</v>
      </c>
    </row>
    <row r="98" spans="1:10" ht="14.25" hidden="1" x14ac:dyDescent="0.2">
      <c r="A98" s="2236" t="s">
        <v>4932</v>
      </c>
      <c r="B98" s="2243" t="s">
        <v>6629</v>
      </c>
      <c r="C98" s="2244">
        <v>0</v>
      </c>
      <c r="D98" s="2245">
        <v>185190.92</v>
      </c>
      <c r="E98" s="2244">
        <v>0</v>
      </c>
      <c r="F98" s="2246">
        <v>1328952.07</v>
      </c>
      <c r="G98" s="2244">
        <v>92964.92</v>
      </c>
      <c r="H98" s="2256"/>
      <c r="I98" s="2238">
        <f>VLOOKUP(A98,'Trial Balance - FPer'!$A$7:$I$1107,7,FALSE)</f>
        <v>0</v>
      </c>
      <c r="J98" s="2100">
        <f>VLOOKUP(A98,'Trial Balance - FPer'!$A$7:$I$1126,3,FALSE)</f>
        <v>0</v>
      </c>
    </row>
    <row r="99" spans="1:10" ht="14.25" hidden="1" x14ac:dyDescent="0.2">
      <c r="A99" s="2236" t="s">
        <v>4933</v>
      </c>
      <c r="B99" s="2247" t="s">
        <v>6630</v>
      </c>
      <c r="C99" s="2248">
        <v>0</v>
      </c>
      <c r="D99" s="2249">
        <v>939177.49</v>
      </c>
      <c r="E99" s="2248">
        <v>0</v>
      </c>
      <c r="F99" s="2250"/>
      <c r="G99" s="2248">
        <v>471465.49</v>
      </c>
      <c r="H99" s="2256"/>
      <c r="I99" s="2238">
        <f>VLOOKUP(A99,'Trial Balance - FPer'!$A$7:$I$1107,7,FALSE)</f>
        <v>0</v>
      </c>
      <c r="J99" s="2100">
        <f>VLOOKUP(A99,'Trial Balance - FPer'!$A$7:$I$1126,3,FALSE)</f>
        <v>0</v>
      </c>
    </row>
    <row r="100" spans="1:10" s="2615" customFormat="1" hidden="1" x14ac:dyDescent="0.2">
      <c r="A100" s="2612"/>
      <c r="B100" s="2613" t="s">
        <v>6631</v>
      </c>
      <c r="C100" s="2614">
        <f>SUM(C98:C99)</f>
        <v>0</v>
      </c>
      <c r="D100" s="2614">
        <f>SUM(D98:D99)</f>
        <v>1124368.4099999999</v>
      </c>
      <c r="E100" s="2614">
        <f>SUM(E98:E99)</f>
        <v>0</v>
      </c>
      <c r="F100" s="2614">
        <f>SUM(F98:F99)</f>
        <v>1328952.07</v>
      </c>
      <c r="G100" s="2614">
        <f>SUM(G98:G99)</f>
        <v>564430.41</v>
      </c>
      <c r="H100" s="2614">
        <f t="shared" ref="H100:J100" si="11">SUM(H98:H99)</f>
        <v>0</v>
      </c>
      <c r="I100" s="2614">
        <f t="shared" si="11"/>
        <v>0</v>
      </c>
      <c r="J100" s="2614">
        <f t="shared" si="11"/>
        <v>0</v>
      </c>
    </row>
    <row r="101" spans="1:10" ht="14.25" hidden="1" x14ac:dyDescent="0.2">
      <c r="A101" s="2236"/>
      <c r="B101" s="2243"/>
      <c r="C101" s="2244"/>
      <c r="D101" s="2245"/>
      <c r="E101" s="2244"/>
      <c r="F101" s="2246"/>
      <c r="G101" s="2244"/>
      <c r="H101" s="2244"/>
      <c r="I101" s="2238" t="e">
        <f>VLOOKUP(A101,'Trial Balance - FPer'!$A$7:$I$1107,7,FALSE)</f>
        <v>#N/A</v>
      </c>
      <c r="J101" s="2100" t="e">
        <f>VLOOKUP(A101,'Trial Balance - FPer'!$A$7:$I$1126,3,FALSE)</f>
        <v>#N/A</v>
      </c>
    </row>
    <row r="102" spans="1:10" s="2615" customFormat="1" ht="13.5" thickBot="1" x14ac:dyDescent="0.25">
      <c r="A102" s="2612"/>
      <c r="B102" s="2616" t="s">
        <v>6579</v>
      </c>
      <c r="C102" s="2617">
        <f>C100</f>
        <v>0</v>
      </c>
      <c r="D102" s="2617">
        <f>D100</f>
        <v>1124368.4099999999</v>
      </c>
      <c r="E102" s="2617">
        <f>E100</f>
        <v>0</v>
      </c>
      <c r="F102" s="2617">
        <f>F100</f>
        <v>1328952.07</v>
      </c>
      <c r="G102" s="2617">
        <f>G100</f>
        <v>564430.41</v>
      </c>
      <c r="H102" s="2617">
        <f t="shared" ref="H102:J102" si="12">H100</f>
        <v>0</v>
      </c>
      <c r="I102" s="2617">
        <f t="shared" si="12"/>
        <v>0</v>
      </c>
      <c r="J102" s="2617">
        <f t="shared" si="12"/>
        <v>0</v>
      </c>
    </row>
    <row r="103" spans="1:10" ht="15" thickTop="1" x14ac:dyDescent="0.2">
      <c r="A103" s="2236"/>
      <c r="B103" s="2243"/>
      <c r="C103" s="2244"/>
      <c r="D103" s="2245"/>
      <c r="E103" s="2244"/>
      <c r="F103" s="2246"/>
      <c r="G103" s="2244"/>
      <c r="H103" s="2244"/>
      <c r="I103" s="2238" t="e">
        <f>VLOOKUP(A103,'Trial Balance - FPer'!$A$7:$I$1107,7,FALSE)</f>
        <v>#N/A</v>
      </c>
      <c r="J103" s="2100" t="e">
        <f>VLOOKUP(A103,'Trial Balance - FPer'!$A$7:$I$1126,3,FALSE)</f>
        <v>#N/A</v>
      </c>
    </row>
    <row r="104" spans="1:10" ht="14.25" x14ac:dyDescent="0.2">
      <c r="A104" s="2236"/>
      <c r="B104" s="2242" t="s">
        <v>235</v>
      </c>
      <c r="C104" s="2244"/>
      <c r="D104" s="2245"/>
      <c r="E104" s="2244"/>
      <c r="F104" s="2246"/>
      <c r="G104" s="2244"/>
      <c r="H104" s="2244"/>
      <c r="I104" s="2238" t="e">
        <f>VLOOKUP(A104,'Trial Balance - FPer'!$A$7:$I$1107,7,FALSE)</f>
        <v>#N/A</v>
      </c>
      <c r="J104" s="2100" t="e">
        <f>VLOOKUP(A104,'Trial Balance - FPer'!$A$7:$I$1126,3,FALSE)</f>
        <v>#N/A</v>
      </c>
    </row>
    <row r="105" spans="1:10" ht="14.25" hidden="1" x14ac:dyDescent="0.2">
      <c r="A105" s="2236"/>
      <c r="B105" s="2242" t="s">
        <v>387</v>
      </c>
      <c r="C105" s="2244"/>
      <c r="D105" s="2245"/>
      <c r="E105" s="2244"/>
      <c r="F105" s="2246"/>
      <c r="G105" s="2244"/>
      <c r="H105" s="2244"/>
      <c r="I105" s="2238" t="e">
        <f>VLOOKUP(A105,'Trial Balance - FPer'!$A$7:$I$1107,7,FALSE)</f>
        <v>#N/A</v>
      </c>
      <c r="J105" s="2100" t="e">
        <f>VLOOKUP(A105,'Trial Balance - FPer'!$A$7:$I$1126,3,FALSE)</f>
        <v>#N/A</v>
      </c>
    </row>
    <row r="106" spans="1:10" ht="14.25" hidden="1" x14ac:dyDescent="0.2">
      <c r="A106" s="2236" t="s">
        <v>4904</v>
      </c>
      <c r="B106" s="2243" t="s">
        <v>6003</v>
      </c>
      <c r="C106" s="2244">
        <f>'[2]Data File'!$C$118</f>
        <v>477339.96</v>
      </c>
      <c r="D106" s="2245">
        <v>594855.52</v>
      </c>
      <c r="E106" s="2244">
        <v>266899.53999999998</v>
      </c>
      <c r="F106" s="2246">
        <v>632000.04</v>
      </c>
      <c r="G106" s="2253">
        <v>550735.49</v>
      </c>
      <c r="H106" s="2100">
        <v>339352.09</v>
      </c>
      <c r="I106" s="2238">
        <f>VLOOKUP(A106,'Trial Balance - FPer'!$A$7:$I$1107,7,FALSE)</f>
        <v>649031.04</v>
      </c>
      <c r="J106" s="2100">
        <f>VLOOKUP(A106,'Trial Balance - FPer'!$A$7:$I$1126,3,FALSE)</f>
        <v>477339.96</v>
      </c>
    </row>
    <row r="107" spans="1:10" ht="14.25" hidden="1" x14ac:dyDescent="0.2">
      <c r="A107" s="2236" t="s">
        <v>4905</v>
      </c>
      <c r="B107" s="2243" t="s">
        <v>6580</v>
      </c>
      <c r="C107" s="2244">
        <f>'[2]Data File'!$C$119</f>
        <v>0</v>
      </c>
      <c r="D107" s="2245">
        <v>13157.41</v>
      </c>
      <c r="E107" s="2244">
        <v>0</v>
      </c>
      <c r="F107" s="2246">
        <v>89000</v>
      </c>
      <c r="G107" s="2253">
        <v>3302.71</v>
      </c>
      <c r="H107" s="2100">
        <v>0</v>
      </c>
      <c r="I107" s="2238">
        <f>VLOOKUP(A107,'Trial Balance - FPer'!$A$7:$I$1107,7,FALSE)</f>
        <v>0</v>
      </c>
      <c r="J107" s="2100" t="str">
        <f>VLOOKUP(A107,'Trial Balance - FPer'!$A$7:$I$1126,3,FALSE)</f>
        <v xml:space="preserve">                               -  </v>
      </c>
    </row>
    <row r="108" spans="1:10" ht="14.25" hidden="1" x14ac:dyDescent="0.2">
      <c r="A108" s="2236" t="s">
        <v>4906</v>
      </c>
      <c r="B108" s="2243" t="s">
        <v>6004</v>
      </c>
      <c r="C108" s="2244">
        <f>'[2]Data File'!$C$124</f>
        <v>551.87</v>
      </c>
      <c r="D108" s="2245">
        <v>17464.78</v>
      </c>
      <c r="E108" s="2244">
        <v>6902</v>
      </c>
      <c r="F108" s="2246">
        <v>6902</v>
      </c>
      <c r="G108" s="2253">
        <v>14760.5</v>
      </c>
      <c r="H108" s="2100">
        <v>6902</v>
      </c>
      <c r="I108" s="2238">
        <f>VLOOKUP(A108,'Trial Balance - FPer'!$A$7:$I$1107,7,FALSE)</f>
        <v>8596.6200000000008</v>
      </c>
      <c r="J108" s="2100">
        <f>VLOOKUP(A108,'Trial Balance - FPer'!$A$7:$I$1126,3,FALSE)</f>
        <v>551.87</v>
      </c>
    </row>
    <row r="109" spans="1:10" ht="14.25" hidden="1" x14ac:dyDescent="0.2">
      <c r="A109" s="2236" t="s">
        <v>4907</v>
      </c>
      <c r="B109" s="2243" t="s">
        <v>6581</v>
      </c>
      <c r="C109" s="2244">
        <f>'[2]Data File'!$C$125</f>
        <v>19138.400000000001</v>
      </c>
      <c r="D109" s="2245">
        <v>23787.38</v>
      </c>
      <c r="E109" s="2244">
        <v>3656.4</v>
      </c>
      <c r="F109" s="2246">
        <v>3656.4</v>
      </c>
      <c r="G109" s="2253">
        <v>11472.15</v>
      </c>
      <c r="H109" s="2100">
        <v>3656.4</v>
      </c>
      <c r="I109" s="2238">
        <f>VLOOKUP(A109,'Trial Balance - FPer'!$A$7:$I$1107,7,FALSE)</f>
        <v>3656.4</v>
      </c>
      <c r="J109" s="2100">
        <f>VLOOKUP(A109,'Trial Balance - FPer'!$A$7:$I$1126,3,FALSE)</f>
        <v>19138.400000000001</v>
      </c>
    </row>
    <row r="110" spans="1:10" ht="14.25" hidden="1" x14ac:dyDescent="0.2">
      <c r="A110" s="2236" t="s">
        <v>4908</v>
      </c>
      <c r="B110" s="2243" t="s">
        <v>6632</v>
      </c>
      <c r="C110" s="2244">
        <f>'[2]Data File'!$C$126</f>
        <v>23817.599999999999</v>
      </c>
      <c r="D110" s="2245">
        <v>30051.86</v>
      </c>
      <c r="E110" s="2244">
        <v>3969.6</v>
      </c>
      <c r="F110" s="2246">
        <v>3969.6</v>
      </c>
      <c r="G110" s="2253">
        <v>13514.18</v>
      </c>
      <c r="H110" s="2100">
        <v>3969.6</v>
      </c>
      <c r="I110" s="2238">
        <f>VLOOKUP(A110,'Trial Balance - FPer'!$A$7:$I$1107,7,FALSE)</f>
        <v>3969.6</v>
      </c>
      <c r="J110" s="2100">
        <f>VLOOKUP(A110,'Trial Balance - FPer'!$A$7:$I$1126,3,FALSE)</f>
        <v>23817.599999999999</v>
      </c>
    </row>
    <row r="111" spans="1:10" ht="14.25" hidden="1" x14ac:dyDescent="0.2">
      <c r="A111" s="2236" t="s">
        <v>4909</v>
      </c>
      <c r="B111" s="2243" t="s">
        <v>6582</v>
      </c>
      <c r="C111" s="2244">
        <f>'[2]Data File'!$C$127</f>
        <v>0</v>
      </c>
      <c r="D111" s="2245">
        <v>0</v>
      </c>
      <c r="E111" s="2244">
        <v>0</v>
      </c>
      <c r="F111" s="2246">
        <f>E111/6*12</f>
        <v>0</v>
      </c>
      <c r="G111" s="2253">
        <v>0</v>
      </c>
      <c r="H111" s="2100">
        <v>0</v>
      </c>
      <c r="I111" s="2238">
        <f>VLOOKUP(A111,'Trial Balance - FPer'!$A$7:$I$1107,7,FALSE)</f>
        <v>135460.98000000001</v>
      </c>
      <c r="J111" s="2100">
        <f>VLOOKUP(A111,'Trial Balance - FPer'!$A$7:$I$1126,3,FALSE)</f>
        <v>0</v>
      </c>
    </row>
    <row r="112" spans="1:10" ht="14.25" hidden="1" x14ac:dyDescent="0.2">
      <c r="A112" s="2236" t="s">
        <v>4910</v>
      </c>
      <c r="B112" s="2243" t="s">
        <v>6583</v>
      </c>
      <c r="C112" s="2244">
        <f>'[2]Data File'!$C$129</f>
        <v>73759.8</v>
      </c>
      <c r="D112" s="2245">
        <v>93066.43</v>
      </c>
      <c r="E112" s="2244">
        <v>34543.300000000003</v>
      </c>
      <c r="F112" s="2246">
        <v>267000</v>
      </c>
      <c r="G112" s="2253">
        <v>75308.06</v>
      </c>
      <c r="H112" s="2100">
        <v>56793.3</v>
      </c>
      <c r="I112" s="2238">
        <f>VLOOKUP(A112,'Trial Balance - FPer'!$A$7:$I$1107,7,FALSE)</f>
        <v>168043.3</v>
      </c>
      <c r="J112" s="2100">
        <f>VLOOKUP(A112,'Trial Balance - FPer'!$A$7:$I$1126,3,FALSE)</f>
        <v>73759.8</v>
      </c>
    </row>
    <row r="113" spans="1:10" ht="14.25" hidden="1" x14ac:dyDescent="0.2">
      <c r="A113" s="2236" t="s">
        <v>4911</v>
      </c>
      <c r="B113" s="2243" t="s">
        <v>6584</v>
      </c>
      <c r="C113" s="2244">
        <f>'[2]Data File'!$C$123</f>
        <v>2049.1999999999998</v>
      </c>
      <c r="D113" s="2245">
        <v>4388.08</v>
      </c>
      <c r="E113" s="2244">
        <v>22282.799999999999</v>
      </c>
      <c r="F113" s="2246">
        <v>22356.6</v>
      </c>
      <c r="G113" s="2253">
        <v>34628.730000000003</v>
      </c>
      <c r="H113" s="2100">
        <v>22295.1</v>
      </c>
      <c r="I113" s="2238">
        <f>VLOOKUP(A113,'Trial Balance - FPer'!$A$7:$I$1107,7,FALSE)</f>
        <v>22340.2</v>
      </c>
      <c r="J113" s="2100">
        <f>VLOOKUP(A113,'Trial Balance - FPer'!$A$7:$I$1126,3,FALSE)</f>
        <v>2049.1999999999998</v>
      </c>
    </row>
    <row r="114" spans="1:10" ht="14.25" hidden="1" x14ac:dyDescent="0.2">
      <c r="A114" s="2236" t="s">
        <v>4912</v>
      </c>
      <c r="B114" s="2243" t="s">
        <v>6585</v>
      </c>
      <c r="C114" s="2244">
        <f>'[2]Data File'!$C$128</f>
        <v>6629.71</v>
      </c>
      <c r="D114" s="2245">
        <v>8337.18</v>
      </c>
      <c r="E114" s="2244">
        <v>3438.91</v>
      </c>
      <c r="F114" s="2246">
        <v>8799.85</v>
      </c>
      <c r="G114" s="2253">
        <v>7265</v>
      </c>
      <c r="H114" s="2100">
        <v>4332.3999999999996</v>
      </c>
      <c r="I114" s="2238">
        <f>VLOOKUP(A114,'Trial Balance - FPer'!$A$7:$I$1107,7,FALSE)</f>
        <v>8263.9699999999993</v>
      </c>
      <c r="J114" s="2100">
        <f>VLOOKUP(A114,'Trial Balance - FPer'!$A$7:$I$1126,3,FALSE)</f>
        <v>6629.71</v>
      </c>
    </row>
    <row r="115" spans="1:10" ht="14.25" hidden="1" x14ac:dyDescent="0.2">
      <c r="A115" s="2236" t="s">
        <v>4913</v>
      </c>
      <c r="B115" s="2243" t="s">
        <v>6586</v>
      </c>
      <c r="C115" s="2244">
        <f>'[2]Data File'!$C$130</f>
        <v>0</v>
      </c>
      <c r="D115" s="2245">
        <v>4325.03</v>
      </c>
      <c r="E115" s="2244">
        <v>0</v>
      </c>
      <c r="F115" s="2246">
        <f>E115/6*12</f>
        <v>0</v>
      </c>
      <c r="G115" s="2253">
        <v>1085.52</v>
      </c>
      <c r="H115" s="2100">
        <v>0</v>
      </c>
      <c r="I115" s="2238">
        <f>VLOOKUP(A115,'Trial Balance - FPer'!$A$7:$I$1107,7,FALSE)</f>
        <v>0</v>
      </c>
      <c r="J115" s="2100" t="str">
        <f>VLOOKUP(A115,'Trial Balance - FPer'!$A$7:$I$1126,3,FALSE)</f>
        <v xml:space="preserve">                               -  </v>
      </c>
    </row>
    <row r="116" spans="1:10" ht="14.25" hidden="1" x14ac:dyDescent="0.2">
      <c r="A116" s="2236" t="s">
        <v>4914</v>
      </c>
      <c r="B116" s="2243" t="s">
        <v>6587</v>
      </c>
      <c r="C116" s="2244">
        <f>'[2]Data File'!$C$120</f>
        <v>7408.8</v>
      </c>
      <c r="D116" s="2245">
        <v>0</v>
      </c>
      <c r="E116" s="2244">
        <v>6227.04</v>
      </c>
      <c r="F116" s="2246">
        <v>14147.04</v>
      </c>
      <c r="G116" s="2253">
        <v>6227.04</v>
      </c>
      <c r="H116" s="2100">
        <v>7547.04</v>
      </c>
      <c r="I116" s="2238">
        <f>VLOOKUP(A116,'Trial Balance - FPer'!$A$7:$I$1107,7,FALSE)</f>
        <v>10229.040000000001</v>
      </c>
      <c r="J116" s="2100">
        <f>VLOOKUP(A116,'Trial Balance - FPer'!$A$7:$I$1126,3,FALSE)</f>
        <v>7408.8</v>
      </c>
    </row>
    <row r="117" spans="1:10" ht="14.25" hidden="1" x14ac:dyDescent="0.2">
      <c r="A117" s="2236" t="s">
        <v>4915</v>
      </c>
      <c r="B117" s="2243" t="s">
        <v>6013</v>
      </c>
      <c r="C117" s="2244">
        <f>'[2]Data File'!$C$121</f>
        <v>123443.12</v>
      </c>
      <c r="D117" s="2245">
        <v>146871.49</v>
      </c>
      <c r="E117" s="2244">
        <v>30442.18</v>
      </c>
      <c r="F117" s="2246">
        <v>43469.86</v>
      </c>
      <c r="G117" s="2253">
        <v>82651.45</v>
      </c>
      <c r="H117" s="2100">
        <v>32613.46</v>
      </c>
      <c r="I117" s="2238">
        <f>VLOOKUP(A117,'Trial Balance - FPer'!$A$7:$I$1107,7,FALSE)</f>
        <v>56053.42</v>
      </c>
      <c r="J117" s="2100">
        <f>VLOOKUP(A117,'Trial Balance - FPer'!$A$7:$I$1126,3,FALSE)</f>
        <v>123443.12</v>
      </c>
    </row>
    <row r="118" spans="1:10" ht="14.25" hidden="1" x14ac:dyDescent="0.2">
      <c r="A118" s="2236" t="s">
        <v>4916</v>
      </c>
      <c r="B118" s="2247" t="s">
        <v>6014</v>
      </c>
      <c r="C118" s="2248">
        <f>'[2]Data File'!$C$122</f>
        <v>2408.38</v>
      </c>
      <c r="D118" s="2249">
        <v>2872.36</v>
      </c>
      <c r="E118" s="2248">
        <v>1319.18</v>
      </c>
      <c r="F118" s="2250">
        <v>3379.22</v>
      </c>
      <c r="G118" s="2248">
        <v>2708.51</v>
      </c>
      <c r="H118" s="2100">
        <v>1662.52</v>
      </c>
      <c r="I118" s="2238">
        <f>VLOOKUP(A118,'Trial Balance - FPer'!$A$7:$I$1107,7,FALSE)</f>
        <v>2939.03</v>
      </c>
      <c r="J118" s="2100">
        <f>VLOOKUP(A118,'Trial Balance - FPer'!$A$7:$I$1126,3,FALSE)</f>
        <v>2408.38</v>
      </c>
    </row>
    <row r="119" spans="1:10" s="2615" customFormat="1" hidden="1" x14ac:dyDescent="0.2">
      <c r="A119" s="2612"/>
      <c r="B119" s="2613" t="s">
        <v>6588</v>
      </c>
      <c r="C119" s="2614">
        <f>SUM(C106:C118)</f>
        <v>736546.84</v>
      </c>
      <c r="D119" s="2614">
        <f>SUM(D106:D118)</f>
        <v>939177.52000000014</v>
      </c>
      <c r="E119" s="2614">
        <f>SUM(E106:E118)</f>
        <v>379680.9499999999</v>
      </c>
      <c r="F119" s="2614">
        <f>SUM(F106:F118)</f>
        <v>1094680.6100000001</v>
      </c>
      <c r="G119" s="2614">
        <f>SUM(G106:G118)</f>
        <v>803659.34000000008</v>
      </c>
      <c r="H119" s="2614">
        <f t="shared" ref="H119" si="13">SUM(H106:H118)</f>
        <v>479123.91000000003</v>
      </c>
      <c r="I119" s="2614">
        <f>SUM(I106:I118)</f>
        <v>1068583.5999999999</v>
      </c>
      <c r="J119" s="2614">
        <f>SUM(J106:J118)</f>
        <v>736546.84</v>
      </c>
    </row>
    <row r="120" spans="1:10" ht="14.25" hidden="1" x14ac:dyDescent="0.2">
      <c r="A120" s="2236"/>
      <c r="B120" s="2243"/>
      <c r="C120" s="2244"/>
      <c r="D120" s="2245"/>
      <c r="E120" s="2244"/>
      <c r="F120" s="2246"/>
      <c r="G120" s="2244"/>
      <c r="H120" s="2100"/>
      <c r="I120" s="2238" t="e">
        <f>VLOOKUP(A120,'Trial Balance - FPer'!$A$7:$I$1107,7,FALSE)</f>
        <v>#N/A</v>
      </c>
      <c r="J120" s="2100" t="e">
        <f>VLOOKUP(A120,'Trial Balance - FPer'!$A$7:$I$1126,3,FALSE)</f>
        <v>#N/A</v>
      </c>
    </row>
    <row r="121" spans="1:10" ht="14.25" hidden="1" x14ac:dyDescent="0.2">
      <c r="A121" s="2236"/>
      <c r="B121" s="2242" t="s">
        <v>6599</v>
      </c>
      <c r="C121" s="2244"/>
      <c r="D121" s="2245"/>
      <c r="E121" s="2244"/>
      <c r="F121" s="2246"/>
      <c r="G121" s="2244"/>
      <c r="H121" s="2100"/>
      <c r="I121" s="2238" t="e">
        <f>VLOOKUP(A121,'Trial Balance - FPer'!$A$7:$I$1107,7,FALSE)</f>
        <v>#N/A</v>
      </c>
      <c r="J121" s="2100" t="e">
        <f>VLOOKUP(A121,'Trial Balance - FPer'!$A$7:$I$1126,3,FALSE)</f>
        <v>#N/A</v>
      </c>
    </row>
    <row r="122" spans="1:10" ht="14.25" hidden="1" x14ac:dyDescent="0.2">
      <c r="A122" s="2236" t="s">
        <v>4917</v>
      </c>
      <c r="B122" s="2243" t="s">
        <v>6633</v>
      </c>
      <c r="C122" s="2244">
        <f>'[2]Data File'!$C$134</f>
        <v>0</v>
      </c>
      <c r="D122" s="2245">
        <v>0</v>
      </c>
      <c r="E122" s="2244">
        <v>0</v>
      </c>
      <c r="F122" s="2246">
        <v>0</v>
      </c>
      <c r="G122" s="2253">
        <v>0</v>
      </c>
      <c r="H122" s="2100">
        <v>0</v>
      </c>
      <c r="I122" s="2238">
        <f>VLOOKUP(A122,'Trial Balance - FPer'!$A$7:$I$1107,7,FALSE)</f>
        <v>1000</v>
      </c>
      <c r="J122" s="2100">
        <f>VLOOKUP(A122,'Trial Balance - FPer'!$A$7:$I$1126,3,FALSE)</f>
        <v>0</v>
      </c>
    </row>
    <row r="123" spans="1:10" ht="14.25" hidden="1" x14ac:dyDescent="0.2">
      <c r="A123" s="2236" t="s">
        <v>4919</v>
      </c>
      <c r="B123" s="2243" t="s">
        <v>6601</v>
      </c>
      <c r="C123" s="2244">
        <f>'[2]Data File'!$C$135</f>
        <v>101.02</v>
      </c>
      <c r="D123" s="2245">
        <v>204.06</v>
      </c>
      <c r="E123" s="2244">
        <v>17.54</v>
      </c>
      <c r="F123" s="2246">
        <f t="shared" ref="F123:F129" si="14">E123/6*12</f>
        <v>35.08</v>
      </c>
      <c r="G123" s="2253">
        <v>77.349999999999994</v>
      </c>
      <c r="H123" s="2100">
        <v>17.54</v>
      </c>
      <c r="I123" s="2238">
        <f>VLOOKUP(A123,'Trial Balance - FPer'!$A$7:$I$1107,7,FALSE)</f>
        <v>17.54</v>
      </c>
      <c r="J123" s="2100">
        <f>VLOOKUP(A123,'Trial Balance - FPer'!$A$7:$I$1126,3,FALSE)</f>
        <v>101.02</v>
      </c>
    </row>
    <row r="124" spans="1:10" ht="14.25" hidden="1" x14ac:dyDescent="0.2">
      <c r="A124" s="2236" t="s">
        <v>4920</v>
      </c>
      <c r="B124" s="2243" t="s">
        <v>6634</v>
      </c>
      <c r="C124" s="2244">
        <f>'[2]Data File'!$C$136</f>
        <v>642.5</v>
      </c>
      <c r="D124" s="2245">
        <v>0</v>
      </c>
      <c r="E124" s="2244">
        <v>0</v>
      </c>
      <c r="F124" s="2246">
        <f t="shared" si="14"/>
        <v>0</v>
      </c>
      <c r="G124" s="2253">
        <v>0</v>
      </c>
      <c r="H124" s="2100">
        <v>0</v>
      </c>
      <c r="I124" s="2238">
        <f>VLOOKUP(A124,'Trial Balance - FPer'!$A$7:$I$1107,7,FALSE)</f>
        <v>0</v>
      </c>
      <c r="J124" s="2100">
        <f>VLOOKUP(A124,'Trial Balance - FPer'!$A$7:$I$1126,3,FALSE)</f>
        <v>642.5</v>
      </c>
    </row>
    <row r="125" spans="1:10" ht="14.25" hidden="1" x14ac:dyDescent="0.2">
      <c r="A125" s="2236" t="s">
        <v>4922</v>
      </c>
      <c r="B125" s="2243" t="s">
        <v>6605</v>
      </c>
      <c r="C125" s="2244">
        <v>0</v>
      </c>
      <c r="D125" s="2245">
        <v>0</v>
      </c>
      <c r="E125" s="2244">
        <v>0</v>
      </c>
      <c r="F125" s="2246">
        <f t="shared" si="14"/>
        <v>0</v>
      </c>
      <c r="G125" s="2253">
        <v>0</v>
      </c>
      <c r="H125" s="2100">
        <v>0</v>
      </c>
      <c r="I125" s="2238">
        <f>VLOOKUP(A125,'Trial Balance - FPer'!$A$7:$I$1107,7,FALSE)</f>
        <v>131102</v>
      </c>
      <c r="J125" s="2100">
        <f>VLOOKUP(A125,'Trial Balance - FPer'!$A$7:$I$1126,3,FALSE)</f>
        <v>0</v>
      </c>
    </row>
    <row r="126" spans="1:10" ht="14.25" hidden="1" x14ac:dyDescent="0.2">
      <c r="A126" s="2236" t="s">
        <v>4923</v>
      </c>
      <c r="B126" s="2243" t="s">
        <v>6607</v>
      </c>
      <c r="C126" s="2244">
        <f>'[2]Data File'!$C$137</f>
        <v>0</v>
      </c>
      <c r="D126" s="2245">
        <v>1898.78</v>
      </c>
      <c r="E126" s="2244">
        <v>0</v>
      </c>
      <c r="F126" s="2246">
        <f t="shared" si="14"/>
        <v>0</v>
      </c>
      <c r="G126" s="2253">
        <v>475.39</v>
      </c>
      <c r="H126" s="2100">
        <v>0</v>
      </c>
      <c r="I126" s="2238">
        <f>VLOOKUP(A126,'Trial Balance - FPer'!$A$7:$I$1107,7,FALSE)</f>
        <v>0</v>
      </c>
      <c r="J126" s="2100" t="str">
        <f>VLOOKUP(A126,'Trial Balance - FPer'!$A$7:$I$1126,3,FALSE)</f>
        <v xml:space="preserve">                               -  </v>
      </c>
    </row>
    <row r="127" spans="1:10" ht="14.25" hidden="1" x14ac:dyDescent="0.2">
      <c r="A127" s="2236" t="s">
        <v>4924</v>
      </c>
      <c r="B127" s="2243" t="s">
        <v>6608</v>
      </c>
      <c r="C127" s="2244">
        <f>'[2]Data File'!$C$138</f>
        <v>0</v>
      </c>
      <c r="D127" s="2245">
        <v>0</v>
      </c>
      <c r="E127" s="2244">
        <v>0</v>
      </c>
      <c r="F127" s="2246">
        <f t="shared" si="14"/>
        <v>0</v>
      </c>
      <c r="G127" s="2253">
        <v>0</v>
      </c>
      <c r="H127" s="2100">
        <v>0</v>
      </c>
      <c r="I127" s="2238">
        <f>VLOOKUP(A127,'Trial Balance - FPer'!$A$7:$I$1107,7,FALSE)</f>
        <v>0</v>
      </c>
      <c r="J127" s="2100">
        <f>VLOOKUP(A127,'Trial Balance - FPer'!$A$7:$I$1126,3,FALSE)</f>
        <v>0</v>
      </c>
    </row>
    <row r="128" spans="1:10" ht="14.25" hidden="1" x14ac:dyDescent="0.2">
      <c r="A128" s="2236" t="s">
        <v>4925</v>
      </c>
      <c r="B128" s="2243" t="s">
        <v>6027</v>
      </c>
      <c r="C128" s="2244">
        <f>'[2]Data File'!$C$139</f>
        <v>6271.29</v>
      </c>
      <c r="D128" s="2245">
        <v>3088.08</v>
      </c>
      <c r="E128" s="2244">
        <v>6173.19</v>
      </c>
      <c r="F128" s="2246">
        <f t="shared" si="14"/>
        <v>12346.380000000001</v>
      </c>
      <c r="G128" s="2253">
        <v>10068.129999999999</v>
      </c>
      <c r="H128" s="2100">
        <v>6173.19</v>
      </c>
      <c r="I128" s="2238">
        <f>VLOOKUP(A128,'Trial Balance - FPer'!$A$7:$I$1107,7,FALSE)</f>
        <v>87322.66</v>
      </c>
      <c r="J128" s="2100">
        <f>VLOOKUP(A128,'Trial Balance - FPer'!$A$7:$I$1126,3,FALSE)</f>
        <v>6271.29</v>
      </c>
    </row>
    <row r="129" spans="1:10" ht="14.25" hidden="1" x14ac:dyDescent="0.2">
      <c r="A129" s="2236" t="s">
        <v>4926</v>
      </c>
      <c r="B129" s="2243" t="s">
        <v>6028</v>
      </c>
      <c r="C129" s="2244">
        <f>'[2]Data File'!$C$140</f>
        <v>1695</v>
      </c>
      <c r="D129" s="2245">
        <v>0</v>
      </c>
      <c r="E129" s="2244">
        <v>0</v>
      </c>
      <c r="F129" s="2246">
        <f t="shared" si="14"/>
        <v>0</v>
      </c>
      <c r="G129" s="2253">
        <v>0</v>
      </c>
      <c r="H129" s="2100">
        <v>0</v>
      </c>
      <c r="I129" s="2238">
        <f>VLOOKUP(A129,'Trial Balance - FPer'!$A$7:$I$1107,7,FALSE)</f>
        <v>56400</v>
      </c>
      <c r="J129" s="2100">
        <f>VLOOKUP(A129,'Trial Balance - FPer'!$A$7:$I$1126,3,FALSE)</f>
        <v>1695</v>
      </c>
    </row>
    <row r="130" spans="1:10" ht="14.25" hidden="1" x14ac:dyDescent="0.2">
      <c r="A130" s="2236" t="s">
        <v>4927</v>
      </c>
      <c r="B130" s="2243" t="s">
        <v>6609</v>
      </c>
      <c r="C130" s="2244">
        <f>'[2]Data File'!$C$141</f>
        <v>187577.94</v>
      </c>
      <c r="D130" s="2245">
        <v>180000</v>
      </c>
      <c r="E130" s="2244">
        <v>91550.77</v>
      </c>
      <c r="F130" s="2246">
        <v>180000</v>
      </c>
      <c r="G130" s="2253">
        <v>182868.59</v>
      </c>
      <c r="H130" s="2100">
        <v>113045.77</v>
      </c>
      <c r="I130" s="2238">
        <f>VLOOKUP(A130,'Trial Balance - FPer'!$A$7:$I$1107,7,FALSE)</f>
        <v>325624.55</v>
      </c>
      <c r="J130" s="2100">
        <f>VLOOKUP(A130,'Trial Balance - FPer'!$A$7:$I$1126,3,FALSE)</f>
        <v>187577.94</v>
      </c>
    </row>
    <row r="131" spans="1:10" ht="14.25" hidden="1" x14ac:dyDescent="0.2">
      <c r="A131" s="2236" t="s">
        <v>4928</v>
      </c>
      <c r="B131" s="2243" t="s">
        <v>6635</v>
      </c>
      <c r="C131" s="2244">
        <v>0</v>
      </c>
      <c r="D131" s="2245">
        <v>0</v>
      </c>
      <c r="E131" s="2244">
        <v>0</v>
      </c>
      <c r="F131" s="2246">
        <f>E131/6*12</f>
        <v>0</v>
      </c>
      <c r="G131" s="2253">
        <v>0</v>
      </c>
      <c r="H131" s="2100">
        <v>0</v>
      </c>
      <c r="I131" s="2238">
        <v>0</v>
      </c>
      <c r="J131" s="2100"/>
    </row>
    <row r="132" spans="1:10" ht="14.25" hidden="1" x14ac:dyDescent="0.2">
      <c r="A132" s="2236" t="s">
        <v>4930</v>
      </c>
      <c r="B132" s="2247" t="s">
        <v>6636</v>
      </c>
      <c r="C132" s="2248">
        <v>0</v>
      </c>
      <c r="D132" s="2249">
        <v>0</v>
      </c>
      <c r="E132" s="2248">
        <v>20945</v>
      </c>
      <c r="F132" s="2250">
        <f>E132/6*12</f>
        <v>41890</v>
      </c>
      <c r="G132" s="2248">
        <v>20945</v>
      </c>
      <c r="H132" s="2100">
        <v>20945</v>
      </c>
      <c r="I132" s="2238">
        <f>VLOOKUP(A132,'Trial Balance - FPer'!$A$7:$I$1107,7,FALSE)</f>
        <v>1527636.57</v>
      </c>
      <c r="J132" s="2100">
        <f>VLOOKUP(A132,'Trial Balance - FPer'!$A$7:$I$1126,3,FALSE)</f>
        <v>0</v>
      </c>
    </row>
    <row r="133" spans="1:10" s="2615" customFormat="1" hidden="1" x14ac:dyDescent="0.2">
      <c r="A133" s="2612"/>
      <c r="B133" s="2613" t="s">
        <v>6614</v>
      </c>
      <c r="C133" s="2614">
        <f>SUM(C122:C132)</f>
        <v>196287.75</v>
      </c>
      <c r="D133" s="2614">
        <f>SUM(D122:D132)</f>
        <v>185190.92</v>
      </c>
      <c r="E133" s="2614">
        <f>SUM(E122:E132)</f>
        <v>118686.5</v>
      </c>
      <c r="F133" s="2614">
        <f>SUM(F122:F132)</f>
        <v>234271.46</v>
      </c>
      <c r="G133" s="2614">
        <f>SUM(G122:G132)</f>
        <v>214434.46</v>
      </c>
      <c r="H133" s="2614">
        <f t="shared" ref="H133" si="15">SUM(H122:H132)</f>
        <v>140181.5</v>
      </c>
      <c r="I133" s="2614">
        <f>SUM(I122:I132)</f>
        <v>2129103.3200000003</v>
      </c>
      <c r="J133" s="2614">
        <f>SUM(J122:J132)</f>
        <v>196287.75</v>
      </c>
    </row>
    <row r="134" spans="1:10" ht="14.25" hidden="1" x14ac:dyDescent="0.2">
      <c r="A134" s="2236"/>
      <c r="B134" s="2243"/>
      <c r="C134" s="2244"/>
      <c r="D134" s="2245"/>
      <c r="E134" s="2244"/>
      <c r="F134" s="2246"/>
      <c r="G134" s="2244"/>
      <c r="H134" s="2244"/>
      <c r="I134" s="2238" t="e">
        <f>VLOOKUP(A134,'Trial Balance - FPer'!$A$7:$I$1107,7,FALSE)</f>
        <v>#N/A</v>
      </c>
      <c r="J134" s="2100"/>
    </row>
    <row r="135" spans="1:10" s="2615" customFormat="1" ht="13.5" thickBot="1" x14ac:dyDescent="0.25">
      <c r="A135" s="2612"/>
      <c r="B135" s="2616" t="s">
        <v>6623</v>
      </c>
      <c r="C135" s="2617">
        <f>C133+C119</f>
        <v>932834.59</v>
      </c>
      <c r="D135" s="2617">
        <f>D133+D119</f>
        <v>1124368.4400000002</v>
      </c>
      <c r="E135" s="2617">
        <f>E133+E119</f>
        <v>498367.4499999999</v>
      </c>
      <c r="F135" s="2617">
        <f>F133+F119</f>
        <v>1328952.07</v>
      </c>
      <c r="G135" s="2617">
        <f>G133+G119</f>
        <v>1018093.8</v>
      </c>
      <c r="H135" s="2617">
        <f t="shared" ref="H135" si="16">H133+H119</f>
        <v>619305.41</v>
      </c>
      <c r="I135" s="2617">
        <f>I133+I119</f>
        <v>3197686.92</v>
      </c>
      <c r="J135" s="2617">
        <f>J133+J119</f>
        <v>932834.59</v>
      </c>
    </row>
    <row r="136" spans="1:10" ht="15" thickTop="1" x14ac:dyDescent="0.2">
      <c r="A136" s="2236"/>
      <c r="B136" s="2243"/>
      <c r="C136" s="2244"/>
      <c r="D136" s="2245"/>
      <c r="E136" s="2244"/>
      <c r="F136" s="2246"/>
      <c r="G136" s="2244"/>
      <c r="H136" s="2244"/>
      <c r="I136" s="2238" t="e">
        <f>VLOOKUP(A136,'Trial Balance - FPer'!$A$7:$I$1107,7,FALSE)</f>
        <v>#N/A</v>
      </c>
      <c r="J136" s="2100"/>
    </row>
    <row r="137" spans="1:10" s="2615" customFormat="1" ht="13.5" thickBot="1" x14ac:dyDescent="0.25">
      <c r="A137" s="2612"/>
      <c r="B137" s="2616" t="s">
        <v>6637</v>
      </c>
      <c r="C137" s="2617">
        <f>C102-C135</f>
        <v>-932834.59</v>
      </c>
      <c r="D137" s="2617">
        <f>D102-D135</f>
        <v>-3.0000000260770321E-2</v>
      </c>
      <c r="E137" s="2617">
        <f>E102-E135</f>
        <v>-498367.4499999999</v>
      </c>
      <c r="F137" s="2617">
        <f>F102-F135</f>
        <v>0</v>
      </c>
      <c r="G137" s="2617">
        <f>G102-G135</f>
        <v>-453663.39</v>
      </c>
      <c r="H137" s="2617">
        <f t="shared" ref="H137:J137" si="17">H102-H135</f>
        <v>-619305.41</v>
      </c>
      <c r="I137" s="2617">
        <f t="shared" si="17"/>
        <v>-3197686.92</v>
      </c>
      <c r="J137" s="2617">
        <f t="shared" si="17"/>
        <v>-932834.59</v>
      </c>
    </row>
    <row r="138" spans="1:10" ht="15" thickTop="1" x14ac:dyDescent="0.2">
      <c r="A138" s="2236"/>
      <c r="B138" s="2243"/>
      <c r="C138" s="2244"/>
      <c r="D138" s="2245"/>
      <c r="E138" s="2244"/>
      <c r="F138" s="2246"/>
      <c r="G138" s="2244"/>
      <c r="H138" s="2244"/>
      <c r="I138" s="2238" t="e">
        <f>VLOOKUP(A138,'Trial Balance - FPer'!$A$7:$I$1107,7,FALSE)</f>
        <v>#N/A</v>
      </c>
      <c r="J138" s="2100" t="e">
        <f>VLOOKUP(A138,'Trial Balance - FPer'!$A$7:$I$1126,3,FALSE)</f>
        <v>#N/A</v>
      </c>
    </row>
    <row r="139" spans="1:10" ht="15" x14ac:dyDescent="0.25">
      <c r="A139" s="2241" t="s">
        <v>6638</v>
      </c>
      <c r="B139" s="2237" t="s">
        <v>6639</v>
      </c>
      <c r="C139" s="2244"/>
      <c r="D139" s="2245"/>
      <c r="E139" s="2244"/>
      <c r="F139" s="2246"/>
      <c r="G139" s="2244"/>
      <c r="H139" s="2244"/>
      <c r="I139" s="2238" t="e">
        <f>VLOOKUP(A139,'Trial Balance - FPer'!$A$7:$I$1107,7,FALSE)</f>
        <v>#N/A</v>
      </c>
      <c r="J139" s="2100" t="e">
        <f>VLOOKUP(A139,'Trial Balance - FPer'!$A$7:$I$1126,3,FALSE)</f>
        <v>#N/A</v>
      </c>
    </row>
    <row r="140" spans="1:10" ht="14.25" x14ac:dyDescent="0.2">
      <c r="A140" s="2236"/>
      <c r="B140" s="2243"/>
      <c r="C140" s="2244"/>
      <c r="D140" s="2245"/>
      <c r="E140" s="2244"/>
      <c r="F140" s="2246"/>
      <c r="G140" s="2244"/>
      <c r="H140" s="2244"/>
      <c r="I140" s="2238" t="e">
        <f>VLOOKUP(A140,'Trial Balance - FPer'!$A$7:$I$1107,7,FALSE)</f>
        <v>#N/A</v>
      </c>
      <c r="J140" s="2100" t="e">
        <f>VLOOKUP(A140,'Trial Balance - FPer'!$A$7:$I$1126,3,FALSE)</f>
        <v>#N/A</v>
      </c>
    </row>
    <row r="141" spans="1:10" ht="14.25" x14ac:dyDescent="0.2">
      <c r="A141" s="2236"/>
      <c r="B141" s="2242" t="s">
        <v>247</v>
      </c>
      <c r="C141" s="2244"/>
      <c r="D141" s="2245"/>
      <c r="E141" s="2244"/>
      <c r="F141" s="2246"/>
      <c r="G141" s="2244"/>
      <c r="H141" s="2244"/>
      <c r="I141" s="2238"/>
      <c r="J141" s="2100" t="e">
        <f>VLOOKUP(A141,'Trial Balance - FPer'!$A$7:$I$1126,3,FALSE)</f>
        <v>#N/A</v>
      </c>
    </row>
    <row r="142" spans="1:10" ht="14.25" hidden="1" x14ac:dyDescent="0.2">
      <c r="A142" s="2236"/>
      <c r="B142" s="2242" t="s">
        <v>117</v>
      </c>
      <c r="C142" s="2244"/>
      <c r="D142" s="2245"/>
      <c r="E142" s="2244"/>
      <c r="F142" s="2246"/>
      <c r="G142" s="2244"/>
      <c r="H142" s="2244"/>
      <c r="I142" s="2238"/>
      <c r="J142" s="2100"/>
    </row>
    <row r="143" spans="1:10" ht="14.25" hidden="1" x14ac:dyDescent="0.2">
      <c r="A143" s="2236" t="s">
        <v>5061</v>
      </c>
      <c r="B143" s="2243" t="s">
        <v>404</v>
      </c>
      <c r="C143" s="2244">
        <f>'[2]Data File'!$C$520</f>
        <v>2712827.7</v>
      </c>
      <c r="D143" s="2245">
        <v>5968220.9400000004</v>
      </c>
      <c r="E143" s="2244">
        <v>2978960.8</v>
      </c>
      <c r="F143" s="2246">
        <v>5968220.9400000004</v>
      </c>
      <c r="G143" s="2253">
        <v>5975009.7400000002</v>
      </c>
      <c r="H143" s="2256"/>
      <c r="I143" s="2238">
        <f>VLOOKUP(A143,'Trial Balance - FPer'!$A$7:$I$1107,7,FALSE)</f>
        <v>-2978960.8000000003</v>
      </c>
      <c r="J143" s="2100">
        <f>VLOOKUP(A143,'Trial Balance - FPer'!$A$7:$I$1126,3,FALSE)</f>
        <v>-2712827.7</v>
      </c>
    </row>
    <row r="144" spans="1:10" ht="14.25" hidden="1" x14ac:dyDescent="0.2">
      <c r="A144" s="2236"/>
      <c r="B144" s="2243" t="s">
        <v>6640</v>
      </c>
      <c r="C144" s="2244"/>
      <c r="D144" s="2245"/>
      <c r="E144" s="2244"/>
      <c r="F144" s="2246"/>
      <c r="G144" s="2253"/>
      <c r="H144" s="2256"/>
      <c r="I144" s="2238"/>
      <c r="J144" s="2100"/>
    </row>
    <row r="145" spans="1:10" ht="14.25" hidden="1" x14ac:dyDescent="0.2">
      <c r="A145" s="2236" t="s">
        <v>5063</v>
      </c>
      <c r="B145" s="2243" t="s">
        <v>404</v>
      </c>
      <c r="C145" s="2244">
        <f>'[2]Data File'!$C$521</f>
        <v>394657.35</v>
      </c>
      <c r="D145" s="2245">
        <v>6035446.3600000003</v>
      </c>
      <c r="E145" s="2244">
        <v>411281.35</v>
      </c>
      <c r="F145" s="2246">
        <v>6035446.3600000003</v>
      </c>
      <c r="G145" s="2253">
        <v>3441075.71</v>
      </c>
      <c r="H145" s="2256"/>
      <c r="I145" s="2238">
        <f>VLOOKUP(A145,'Trial Balance - FPer'!$A$7:$I$1107,7,FALSE)</f>
        <v>-411281.35</v>
      </c>
      <c r="J145" s="2100">
        <f>VLOOKUP(A145,'Trial Balance - FPer'!$A$7:$I$1126,3,FALSE)</f>
        <v>-394657.35</v>
      </c>
    </row>
    <row r="146" spans="1:10" ht="14.25" hidden="1" x14ac:dyDescent="0.2">
      <c r="A146" s="2236"/>
      <c r="B146" s="2243" t="s">
        <v>6640</v>
      </c>
      <c r="C146" s="2244"/>
      <c r="D146" s="2245"/>
      <c r="E146" s="2244"/>
      <c r="F146" s="2246"/>
      <c r="G146" s="2253"/>
      <c r="H146" s="2256"/>
      <c r="I146" s="2238"/>
      <c r="J146" s="2100"/>
    </row>
    <row r="147" spans="1:10" ht="14.25" hidden="1" x14ac:dyDescent="0.2">
      <c r="A147" s="2236" t="s">
        <v>5065</v>
      </c>
      <c r="B147" s="2243" t="s">
        <v>6641</v>
      </c>
      <c r="C147" s="2244">
        <f>'[2]Data File'!$C$534</f>
        <v>-2849677.71</v>
      </c>
      <c r="D147" s="2245">
        <v>-6646089.25</v>
      </c>
      <c r="E147" s="2244">
        <v>-1091323.3999999999</v>
      </c>
      <c r="F147" s="2246">
        <v>-6646089.25</v>
      </c>
      <c r="G147" s="2253">
        <v>-3309321.73</v>
      </c>
      <c r="H147" s="2256"/>
      <c r="I147" s="2238">
        <f>VLOOKUP(A147,'Trial Balance - FPer'!$A$7:$I$1107,7,FALSE)</f>
        <v>1818375.95</v>
      </c>
      <c r="J147" s="2100">
        <f>VLOOKUP(A147,'Trial Balance - FPer'!$A$7:$I$1126,3,FALSE)</f>
        <v>2849677.71</v>
      </c>
    </row>
    <row r="148" spans="1:10" ht="14.25" hidden="1" x14ac:dyDescent="0.2">
      <c r="A148" s="2236"/>
      <c r="B148" s="2243" t="s">
        <v>6640</v>
      </c>
      <c r="C148" s="2244"/>
      <c r="D148" s="2245"/>
      <c r="E148" s="2244"/>
      <c r="F148" s="2246"/>
      <c r="G148" s="2253"/>
      <c r="H148" s="2256"/>
      <c r="I148" s="2238"/>
      <c r="J148" s="2100"/>
    </row>
    <row r="149" spans="1:10" ht="14.25" hidden="1" x14ac:dyDescent="0.2">
      <c r="A149" s="2236" t="s">
        <v>5067</v>
      </c>
      <c r="B149" s="2243" t="s">
        <v>404</v>
      </c>
      <c r="C149" s="2244">
        <f>'[2]Data File'!$C$522</f>
        <v>281963.5</v>
      </c>
      <c r="D149" s="2245">
        <v>620319.69999999995</v>
      </c>
      <c r="E149" s="2244">
        <v>74352.350000000006</v>
      </c>
      <c r="F149" s="2246">
        <v>620319.69999999995</v>
      </c>
      <c r="G149" s="2253">
        <v>385750.05</v>
      </c>
      <c r="H149" s="2256"/>
      <c r="I149" s="2238">
        <f>VLOOKUP(A149,'Trial Balance - FPer'!$A$7:$I$1107,7,FALSE)</f>
        <v>-74352.350000000006</v>
      </c>
      <c r="J149" s="2100">
        <f>VLOOKUP(A149,'Trial Balance - FPer'!$A$7:$I$1126,3,FALSE)</f>
        <v>-281963.5</v>
      </c>
    </row>
    <row r="150" spans="1:10" ht="14.25" hidden="1" x14ac:dyDescent="0.2">
      <c r="A150" s="2236"/>
      <c r="B150" s="2243" t="s">
        <v>6640</v>
      </c>
      <c r="C150" s="2244"/>
      <c r="D150" s="2245"/>
      <c r="E150" s="2244"/>
      <c r="F150" s="2246"/>
      <c r="G150" s="2253"/>
      <c r="H150" s="2256"/>
      <c r="I150" s="2238"/>
      <c r="J150" s="2100"/>
    </row>
    <row r="151" spans="1:10" ht="14.25" hidden="1" x14ac:dyDescent="0.2">
      <c r="A151" s="2236" t="s">
        <v>5069</v>
      </c>
      <c r="B151" s="2243" t="s">
        <v>404</v>
      </c>
      <c r="C151" s="2244">
        <f>'[2]Data File'!$C$523</f>
        <v>2673458.25</v>
      </c>
      <c r="D151" s="2245">
        <v>868246.17</v>
      </c>
      <c r="E151" s="2244">
        <v>2785860.5</v>
      </c>
      <c r="F151" s="2246">
        <v>868246.17</v>
      </c>
      <c r="G151" s="2253">
        <v>3221722.67</v>
      </c>
      <c r="H151" s="2256"/>
      <c r="I151" s="2238">
        <f>VLOOKUP(A151,'Trial Balance - FPer'!$A$7:$I$1107,7,FALSE)</f>
        <v>-3766620.54</v>
      </c>
      <c r="J151" s="2100">
        <f>VLOOKUP(A151,'Trial Balance - FPer'!$A$7:$I$1126,3,FALSE)</f>
        <v>-2673458.25</v>
      </c>
    </row>
    <row r="152" spans="1:10" ht="14.25" hidden="1" x14ac:dyDescent="0.2">
      <c r="A152" s="2236"/>
      <c r="B152" s="2243" t="s">
        <v>6640</v>
      </c>
      <c r="C152" s="2244"/>
      <c r="D152" s="2245"/>
      <c r="E152" s="2244"/>
      <c r="F152" s="2246"/>
      <c r="G152" s="2253"/>
      <c r="H152" s="2256"/>
      <c r="I152" s="2238"/>
      <c r="J152" s="2100"/>
    </row>
    <row r="153" spans="1:10" ht="14.25" hidden="1" x14ac:dyDescent="0.2">
      <c r="A153" s="2236" t="s">
        <v>5071</v>
      </c>
      <c r="B153" s="2243" t="s">
        <v>6642</v>
      </c>
      <c r="C153" s="2244">
        <v>0</v>
      </c>
      <c r="D153" s="2245">
        <v>0</v>
      </c>
      <c r="E153" s="2244">
        <v>0</v>
      </c>
      <c r="F153" s="2246">
        <v>0</v>
      </c>
      <c r="G153" s="2253">
        <v>0</v>
      </c>
      <c r="H153" s="2256"/>
      <c r="I153" s="2238">
        <f>VLOOKUP(A153,'Trial Balance - FPer'!$A$7:$I$1107,7,FALSE)</f>
        <v>0</v>
      </c>
      <c r="J153" s="2100">
        <f>VLOOKUP(A153,'Trial Balance - FPer'!$A$7:$I$1126,3,FALSE)</f>
        <v>0</v>
      </c>
    </row>
    <row r="154" spans="1:10" ht="14.25" hidden="1" x14ac:dyDescent="0.2">
      <c r="A154" s="2236"/>
      <c r="B154" s="2247" t="s">
        <v>6640</v>
      </c>
      <c r="C154" s="2248"/>
      <c r="D154" s="2249"/>
      <c r="E154" s="2248"/>
      <c r="F154" s="2250"/>
      <c r="G154" s="2248"/>
      <c r="H154" s="2256"/>
      <c r="I154" s="2238"/>
      <c r="J154" s="2100"/>
    </row>
    <row r="155" spans="1:10" s="2615" customFormat="1" hidden="1" x14ac:dyDescent="0.2">
      <c r="A155" s="2612"/>
      <c r="B155" s="2613" t="s">
        <v>6643</v>
      </c>
      <c r="C155" s="2614">
        <f>SUM(C143:C154)</f>
        <v>3213229.0900000003</v>
      </c>
      <c r="D155" s="2614">
        <f>SUM(D143:D154)</f>
        <v>6846143.9200000009</v>
      </c>
      <c r="E155" s="2614">
        <f>SUM(E143:E154)</f>
        <v>5159131.5999999996</v>
      </c>
      <c r="F155" s="2614">
        <f>SUM(F143:F154)</f>
        <v>6846143.9200000009</v>
      </c>
      <c r="G155" s="2614">
        <f>SUM(G143:G154)</f>
        <v>9714236.4399999976</v>
      </c>
      <c r="H155" s="2614">
        <f t="shared" ref="H155" si="18">SUM(H143:H154)</f>
        <v>0</v>
      </c>
      <c r="I155" s="2614">
        <f>SUM(I143:I154)</f>
        <v>-5412839.0900000008</v>
      </c>
      <c r="J155" s="2614">
        <f>SUM(J143:J154)</f>
        <v>-3213229.0900000003</v>
      </c>
    </row>
    <row r="156" spans="1:10" ht="14.25" hidden="1" x14ac:dyDescent="0.2">
      <c r="A156" s="2236"/>
      <c r="B156" s="2243"/>
      <c r="C156" s="2244"/>
      <c r="D156" s="2245"/>
      <c r="E156" s="2244"/>
      <c r="F156" s="2246"/>
      <c r="G156" s="2244"/>
      <c r="H156" s="2244"/>
      <c r="I156" s="2238" t="e">
        <f>VLOOKUP(A156,'Trial Balance - FPer'!$A$7:$I$1107,7,FALSE)</f>
        <v>#N/A</v>
      </c>
      <c r="J156" s="2100" t="e">
        <f>VLOOKUP(A156,'Trial Balance - FPer'!$A$7:$I$1126,3,FALSE)</f>
        <v>#N/A</v>
      </c>
    </row>
    <row r="157" spans="1:10" ht="14.25" hidden="1" x14ac:dyDescent="0.2">
      <c r="A157" s="2236"/>
      <c r="B157" s="2242" t="s">
        <v>6644</v>
      </c>
      <c r="C157" s="2244"/>
      <c r="D157" s="2245"/>
      <c r="E157" s="2244"/>
      <c r="F157" s="2246"/>
      <c r="G157" s="2244"/>
      <c r="H157" s="2244"/>
      <c r="I157" s="2238" t="e">
        <f>VLOOKUP(A157,'Trial Balance - FPer'!$A$7:$I$1107,7,FALSE)</f>
        <v>#N/A</v>
      </c>
      <c r="J157" s="2100" t="e">
        <f>VLOOKUP(A157,'Trial Balance - FPer'!$A$7:$I$1126,3,FALSE)</f>
        <v>#N/A</v>
      </c>
    </row>
    <row r="158" spans="1:10" ht="14.25" hidden="1" x14ac:dyDescent="0.2">
      <c r="A158" s="2236" t="s">
        <v>5072</v>
      </c>
      <c r="B158" s="2243" t="s">
        <v>6645</v>
      </c>
      <c r="C158" s="2244">
        <v>0</v>
      </c>
      <c r="D158" s="2245">
        <v>0</v>
      </c>
      <c r="E158" s="2244">
        <v>0</v>
      </c>
      <c r="F158" s="2246">
        <v>0</v>
      </c>
      <c r="G158" s="2244">
        <v>0</v>
      </c>
      <c r="H158" s="2244"/>
      <c r="I158" s="2238">
        <f>VLOOKUP(A158,'Trial Balance - FPer'!$A$7:$I$1107,7,FALSE)</f>
        <v>0</v>
      </c>
      <c r="J158" s="2100">
        <f>VLOOKUP(A158,'Trial Balance - FPer'!$A$7:$I$1126,3,FALSE)</f>
        <v>0</v>
      </c>
    </row>
    <row r="159" spans="1:10" ht="14.25" hidden="1" x14ac:dyDescent="0.2">
      <c r="A159" s="2236"/>
      <c r="B159" s="2247" t="s">
        <v>6505</v>
      </c>
      <c r="C159" s="2248"/>
      <c r="D159" s="2249"/>
      <c r="E159" s="2248"/>
      <c r="F159" s="2250"/>
      <c r="G159" s="2248"/>
      <c r="H159" s="2244"/>
      <c r="I159" s="2238" t="e">
        <f>VLOOKUP(A159,'Trial Balance - FPer'!$A$7:$I$1107,7,FALSE)</f>
        <v>#N/A</v>
      </c>
      <c r="J159" s="2100" t="e">
        <f>VLOOKUP(A159,'Trial Balance - FPer'!$A$7:$I$1126,3,FALSE)</f>
        <v>#N/A</v>
      </c>
    </row>
    <row r="160" spans="1:10" s="2615" customFormat="1" hidden="1" x14ac:dyDescent="0.2">
      <c r="A160" s="2612"/>
      <c r="B160" s="2613" t="s">
        <v>6646</v>
      </c>
      <c r="C160" s="2614">
        <f>SUM(C158:C159)</f>
        <v>0</v>
      </c>
      <c r="D160" s="2614">
        <v>0</v>
      </c>
      <c r="E160" s="2614">
        <v>0</v>
      </c>
      <c r="F160" s="2614">
        <v>0</v>
      </c>
      <c r="G160" s="2614">
        <v>0</v>
      </c>
      <c r="H160" s="2614">
        <v>0</v>
      </c>
      <c r="I160" s="2614">
        <v>0</v>
      </c>
      <c r="J160" s="2614">
        <v>0</v>
      </c>
    </row>
    <row r="161" spans="1:10" ht="14.25" hidden="1" x14ac:dyDescent="0.2">
      <c r="A161" s="2236"/>
      <c r="B161" s="2243"/>
      <c r="C161" s="2244"/>
      <c r="D161" s="2245"/>
      <c r="E161" s="2244"/>
      <c r="F161" s="2246"/>
      <c r="G161" s="2244"/>
      <c r="H161" s="2244"/>
      <c r="I161" s="2238" t="e">
        <f>VLOOKUP(A161,'Trial Balance - FPer'!$A$7:$I$1107,7,FALSE)</f>
        <v>#N/A</v>
      </c>
      <c r="J161" s="2100" t="e">
        <f>VLOOKUP(A161,'Trial Balance - FPer'!$A$7:$I$1126,3,FALSE)</f>
        <v>#N/A</v>
      </c>
    </row>
    <row r="162" spans="1:10" ht="14.25" hidden="1" x14ac:dyDescent="0.2">
      <c r="A162" s="2236"/>
      <c r="B162" s="2242" t="s">
        <v>6647</v>
      </c>
      <c r="C162" s="2244"/>
      <c r="D162" s="2245"/>
      <c r="E162" s="2244"/>
      <c r="F162" s="2246"/>
      <c r="G162" s="2244"/>
      <c r="H162" s="2244"/>
      <c r="I162" s="2238" t="e">
        <f>VLOOKUP(A162,'Trial Balance - FPer'!$A$7:$I$1107,7,FALSE)</f>
        <v>#N/A</v>
      </c>
      <c r="J162" s="2100" t="e">
        <f>VLOOKUP(A162,'Trial Balance - FPer'!$A$7:$I$1126,3,FALSE)</f>
        <v>#N/A</v>
      </c>
    </row>
    <row r="163" spans="1:10" ht="14.25" hidden="1" x14ac:dyDescent="0.2">
      <c r="A163" s="2236" t="s">
        <v>5074</v>
      </c>
      <c r="B163" s="2243" t="s">
        <v>6648</v>
      </c>
      <c r="C163" s="2244">
        <f>'[2]Data File'!$C$351</f>
        <v>30993.11</v>
      </c>
      <c r="D163" s="2245">
        <v>0</v>
      </c>
      <c r="E163" s="2244">
        <v>0</v>
      </c>
      <c r="F163" s="2246">
        <v>0</v>
      </c>
      <c r="G163" s="2244">
        <v>0</v>
      </c>
      <c r="H163" s="2244"/>
      <c r="I163" s="2238">
        <f>VLOOKUP(A163,'Trial Balance - FPer'!$A$7:$I$1107,7,FALSE)</f>
        <v>0</v>
      </c>
      <c r="J163" s="2100">
        <f>VLOOKUP(A163,'Trial Balance - FPer'!$A$7:$I$1126,3,FALSE)</f>
        <v>-30993.11</v>
      </c>
    </row>
    <row r="164" spans="1:10" ht="14.25" hidden="1" x14ac:dyDescent="0.2">
      <c r="A164" s="2236"/>
      <c r="B164" s="2243" t="s">
        <v>6505</v>
      </c>
      <c r="C164" s="2244"/>
      <c r="D164" s="2245"/>
      <c r="E164" s="2244"/>
      <c r="F164" s="2246"/>
      <c r="G164" s="2244"/>
      <c r="H164" s="2244"/>
      <c r="I164" s="2238"/>
      <c r="J164" s="2100"/>
    </row>
    <row r="165" spans="1:10" ht="14.25" hidden="1" x14ac:dyDescent="0.2">
      <c r="A165" s="2236" t="s">
        <v>5075</v>
      </c>
      <c r="B165" s="2243" t="s">
        <v>6649</v>
      </c>
      <c r="C165" s="2244">
        <f>'[2]Data File'!$C$353</f>
        <v>342.93</v>
      </c>
      <c r="D165" s="2245">
        <v>477.95</v>
      </c>
      <c r="E165" s="2244">
        <v>436.32</v>
      </c>
      <c r="F165" s="2246">
        <v>15000</v>
      </c>
      <c r="G165" s="2244">
        <v>674.27</v>
      </c>
      <c r="H165" s="2244"/>
      <c r="I165" s="2238">
        <f>VLOOKUP(A165,'Trial Balance - FPer'!$A$7:$I$1107,7,FALSE)</f>
        <v>-75633.490000000005</v>
      </c>
      <c r="J165" s="2100">
        <f>VLOOKUP(A165,'Trial Balance - FPer'!$A$7:$I$1126,3,FALSE)</f>
        <v>-342.93</v>
      </c>
    </row>
    <row r="166" spans="1:10" ht="14.25" hidden="1" x14ac:dyDescent="0.2">
      <c r="A166" s="2236"/>
      <c r="B166" s="2247" t="s">
        <v>6505</v>
      </c>
      <c r="C166" s="2248"/>
      <c r="D166" s="2249"/>
      <c r="E166" s="2248"/>
      <c r="F166" s="2250"/>
      <c r="G166" s="2248"/>
      <c r="H166" s="2244"/>
      <c r="I166" s="2238"/>
      <c r="J166" s="2100"/>
    </row>
    <row r="167" spans="1:10" s="2615" customFormat="1" hidden="1" x14ac:dyDescent="0.2">
      <c r="A167" s="2612"/>
      <c r="B167" s="2613" t="s">
        <v>6650</v>
      </c>
      <c r="C167" s="2614">
        <f>SUM(C163:C166)</f>
        <v>31336.04</v>
      </c>
      <c r="D167" s="2614">
        <f>SUM(D163:D166)</f>
        <v>477.95</v>
      </c>
      <c r="E167" s="2614">
        <f>SUM(E163:E166)</f>
        <v>436.32</v>
      </c>
      <c r="F167" s="2614">
        <f>SUM(F163:F166)</f>
        <v>15000</v>
      </c>
      <c r="G167" s="2614">
        <f>SUM(G163:G166)</f>
        <v>674.27</v>
      </c>
      <c r="H167" s="2614">
        <f t="shared" ref="H167" si="19">SUM(H163:H166)</f>
        <v>0</v>
      </c>
      <c r="I167" s="2614">
        <f>SUM(I163:I166)</f>
        <v>-75633.490000000005</v>
      </c>
      <c r="J167" s="2614">
        <f>SUM(J163:J166)</f>
        <v>-31336.04</v>
      </c>
    </row>
    <row r="168" spans="1:10" ht="14.25" hidden="1" x14ac:dyDescent="0.2">
      <c r="A168" s="2236"/>
      <c r="B168" s="2243"/>
      <c r="C168" s="2244"/>
      <c r="D168" s="2245"/>
      <c r="E168" s="2244"/>
      <c r="F168" s="2246"/>
      <c r="G168" s="2244"/>
      <c r="H168" s="2244"/>
      <c r="I168" s="2238" t="e">
        <f>VLOOKUP(A168,'Trial Balance - FPer'!$A$7:$I$1107,7,FALSE)</f>
        <v>#N/A</v>
      </c>
      <c r="J168" s="2100" t="e">
        <f>VLOOKUP(A168,'Trial Balance - FPer'!$A$7:$I$1126,3,FALSE)</f>
        <v>#N/A</v>
      </c>
    </row>
    <row r="169" spans="1:10" ht="14.25" hidden="1" x14ac:dyDescent="0.2">
      <c r="A169" s="2236"/>
      <c r="B169" s="2242" t="s">
        <v>6651</v>
      </c>
      <c r="C169" s="2244"/>
      <c r="D169" s="2245"/>
      <c r="E169" s="2244"/>
      <c r="F169" s="2246"/>
      <c r="G169" s="2244"/>
      <c r="H169" s="2244"/>
      <c r="I169" s="2238" t="e">
        <f>VLOOKUP(A169,'Trial Balance - FPer'!$A$7:$I$1107,7,FALSE)</f>
        <v>#N/A</v>
      </c>
      <c r="J169" s="2100" t="e">
        <f>VLOOKUP(A169,'Trial Balance - FPer'!$A$7:$I$1126,3,FALSE)</f>
        <v>#N/A</v>
      </c>
    </row>
    <row r="170" spans="1:10" ht="14.25" hidden="1" x14ac:dyDescent="0.2">
      <c r="A170" s="2236" t="s">
        <v>5077</v>
      </c>
      <c r="B170" s="2243" t="s">
        <v>6652</v>
      </c>
      <c r="C170" s="2244">
        <f>'[2]Data File'!$C$529</f>
        <v>226492.75</v>
      </c>
      <c r="D170" s="2245">
        <v>242201.05</v>
      </c>
      <c r="E170" s="2244">
        <v>134601.4</v>
      </c>
      <c r="F170" s="2246">
        <v>242201.05</v>
      </c>
      <c r="G170" s="2244">
        <v>256184.45</v>
      </c>
      <c r="H170" s="2244"/>
      <c r="I170" s="2238">
        <f>VLOOKUP(A170,'Trial Balance - FPer'!$A$7:$I$1107,7,FALSE)</f>
        <v>-273209.25</v>
      </c>
      <c r="J170" s="2100">
        <f>VLOOKUP(A170,'Trial Balance - FPer'!$A$7:$I$1126,3,FALSE)</f>
        <v>-226492.75</v>
      </c>
    </row>
    <row r="171" spans="1:10" ht="14.25" hidden="1" x14ac:dyDescent="0.2">
      <c r="A171" s="2236"/>
      <c r="B171" s="2247" t="s">
        <v>6640</v>
      </c>
      <c r="C171" s="2248"/>
      <c r="D171" s="2249"/>
      <c r="E171" s="2248"/>
      <c r="F171" s="2250"/>
      <c r="G171" s="2248"/>
      <c r="H171" s="2244"/>
      <c r="I171" s="2238"/>
      <c r="J171" s="2100"/>
    </row>
    <row r="172" spans="1:10" s="2615" customFormat="1" hidden="1" x14ac:dyDescent="0.2">
      <c r="A172" s="2612"/>
      <c r="B172" s="2613" t="s">
        <v>6653</v>
      </c>
      <c r="C172" s="2614">
        <f>SUM(C170:C171)</f>
        <v>226492.75</v>
      </c>
      <c r="D172" s="2614">
        <f>SUM(D170:D171)</f>
        <v>242201.05</v>
      </c>
      <c r="E172" s="2614">
        <f>SUM(E170:E171)</f>
        <v>134601.4</v>
      </c>
      <c r="F172" s="2614">
        <f>SUM(F170:F171)</f>
        <v>242201.05</v>
      </c>
      <c r="G172" s="2614">
        <f>SUM(G170:G171)</f>
        <v>256184.45</v>
      </c>
      <c r="H172" s="2614">
        <f t="shared" ref="H172" si="20">SUM(H170:H171)</f>
        <v>0</v>
      </c>
      <c r="I172" s="2614">
        <f>SUM(I170:I171)</f>
        <v>-273209.25</v>
      </c>
      <c r="J172" s="2614">
        <f>SUM(J170:J171)</f>
        <v>-226492.75</v>
      </c>
    </row>
    <row r="173" spans="1:10" ht="14.25" hidden="1" x14ac:dyDescent="0.2">
      <c r="A173" s="2236"/>
      <c r="B173" s="2243"/>
      <c r="C173" s="2244"/>
      <c r="D173" s="2245"/>
      <c r="E173" s="2244"/>
      <c r="F173" s="2246"/>
      <c r="G173" s="2244"/>
      <c r="H173" s="2244"/>
      <c r="I173" s="2238" t="e">
        <f>VLOOKUP(A173,'Trial Balance - FPer'!$A$7:$I$1107,7,FALSE)</f>
        <v>#N/A</v>
      </c>
      <c r="J173" s="2100" t="e">
        <f>VLOOKUP(A173,'Trial Balance - FPer'!$A$7:$I$1126,3,FALSE)</f>
        <v>#N/A</v>
      </c>
    </row>
    <row r="174" spans="1:10" ht="14.25" hidden="1" x14ac:dyDescent="0.2">
      <c r="A174" s="2236"/>
      <c r="B174" s="2242" t="s">
        <v>6654</v>
      </c>
      <c r="C174" s="2244"/>
      <c r="D174" s="2245"/>
      <c r="E174" s="2244"/>
      <c r="F174" s="2246"/>
      <c r="G174" s="2244"/>
      <c r="H174" s="2244"/>
      <c r="I174" s="2238" t="e">
        <f>VLOOKUP(A174,'Trial Balance - FPer'!$A$7:$I$1107,7,FALSE)</f>
        <v>#N/A</v>
      </c>
      <c r="J174" s="2100" t="e">
        <f>VLOOKUP(A174,'Trial Balance - FPer'!$A$7:$I$1126,3,FALSE)</f>
        <v>#N/A</v>
      </c>
    </row>
    <row r="175" spans="1:10" ht="14.25" hidden="1" x14ac:dyDescent="0.2">
      <c r="A175" s="2236" t="s">
        <v>5079</v>
      </c>
      <c r="B175" s="2243" t="s">
        <v>6655</v>
      </c>
      <c r="C175" s="2244">
        <v>0</v>
      </c>
      <c r="D175" s="2245">
        <v>7625.82</v>
      </c>
      <c r="E175" s="2244">
        <v>0</v>
      </c>
      <c r="F175" s="2246">
        <v>7625.82</v>
      </c>
      <c r="G175" s="2244">
        <v>3827.82</v>
      </c>
      <c r="H175" s="2244"/>
      <c r="I175" s="2238">
        <f>VLOOKUP(A175,'Trial Balance - FPer'!$A$7:$I$1107,7,FALSE)</f>
        <v>0</v>
      </c>
      <c r="J175" s="2100" t="str">
        <f>VLOOKUP(A175,'Trial Balance - FPer'!$A$7:$I$1126,3,FALSE)</f>
        <v xml:space="preserve">                               -  </v>
      </c>
    </row>
    <row r="176" spans="1:10" ht="14.25" hidden="1" x14ac:dyDescent="0.2">
      <c r="A176" s="2236"/>
      <c r="B176" s="2243" t="s">
        <v>6505</v>
      </c>
      <c r="C176" s="2244"/>
      <c r="D176" s="2245"/>
      <c r="E176" s="2244"/>
      <c r="F176" s="2246"/>
      <c r="G176" s="2244"/>
      <c r="H176" s="2244"/>
      <c r="I176" s="2238"/>
      <c r="J176" s="2100"/>
    </row>
    <row r="177" spans="1:10" ht="14.25" hidden="1" x14ac:dyDescent="0.2">
      <c r="A177" s="2236" t="s">
        <v>5081</v>
      </c>
      <c r="B177" s="2243" t="s">
        <v>6656</v>
      </c>
      <c r="C177" s="2244">
        <f>'[2]Data File'!$C$357</f>
        <v>1733.14</v>
      </c>
      <c r="D177" s="2245">
        <v>0</v>
      </c>
      <c r="E177" s="2244">
        <v>2961.77</v>
      </c>
      <c r="F177" s="2246">
        <v>0</v>
      </c>
      <c r="G177" s="2244">
        <v>2961.77</v>
      </c>
      <c r="H177" s="2244"/>
      <c r="I177" s="2238">
        <f>VLOOKUP(A177,'Trial Balance - FPer'!$A$7:$I$1107,7,FALSE)</f>
        <v>-2961.77</v>
      </c>
      <c r="J177" s="2100">
        <f>VLOOKUP(A177,'Trial Balance - FPer'!$A$7:$I$1126,3,FALSE)</f>
        <v>-1733.14</v>
      </c>
    </row>
    <row r="178" spans="1:10" ht="14.25" hidden="1" x14ac:dyDescent="0.2">
      <c r="A178" s="2236"/>
      <c r="B178" s="2247" t="s">
        <v>6505</v>
      </c>
      <c r="C178" s="2248"/>
      <c r="D178" s="2249"/>
      <c r="E178" s="2248"/>
      <c r="F178" s="2250"/>
      <c r="G178" s="2248"/>
      <c r="H178" s="2244"/>
      <c r="I178" s="2238"/>
      <c r="J178" s="2100"/>
    </row>
    <row r="179" spans="1:10" s="2615" customFormat="1" hidden="1" x14ac:dyDescent="0.2">
      <c r="A179" s="2612"/>
      <c r="B179" s="2613" t="s">
        <v>6657</v>
      </c>
      <c r="C179" s="2614">
        <f>SUM(C175:C178)</f>
        <v>1733.14</v>
      </c>
      <c r="D179" s="2614">
        <f>SUM(D175:D178)</f>
        <v>7625.82</v>
      </c>
      <c r="E179" s="2614">
        <f>SUM(E175:E178)</f>
        <v>2961.77</v>
      </c>
      <c r="F179" s="2614">
        <f>SUM(F175:F178)</f>
        <v>7625.82</v>
      </c>
      <c r="G179" s="2614">
        <f>SUM(G175:G178)</f>
        <v>6789.59</v>
      </c>
      <c r="H179" s="2614">
        <f t="shared" ref="H179" si="21">SUM(H175:H178)</f>
        <v>0</v>
      </c>
      <c r="I179" s="2614">
        <f>SUM(I175:I178)</f>
        <v>-2961.77</v>
      </c>
      <c r="J179" s="2614">
        <f>SUM(J175:J178)</f>
        <v>-1733.14</v>
      </c>
    </row>
    <row r="180" spans="1:10" ht="14.25" hidden="1" x14ac:dyDescent="0.2">
      <c r="A180" s="2236"/>
      <c r="B180" s="2243"/>
      <c r="C180" s="2244"/>
      <c r="D180" s="2245"/>
      <c r="E180" s="2244"/>
      <c r="F180" s="2246"/>
      <c r="G180" s="2244"/>
      <c r="H180" s="2244"/>
      <c r="I180" s="2238" t="e">
        <f>VLOOKUP(A180,'Trial Balance - FPer'!$A$7:$I$1107,7,FALSE)</f>
        <v>#N/A</v>
      </c>
      <c r="J180" s="2100" t="e">
        <f>VLOOKUP(A180,'Trial Balance - FPer'!$A$7:$I$1126,3,FALSE)</f>
        <v>#N/A</v>
      </c>
    </row>
    <row r="181" spans="1:10" ht="14.25" hidden="1" x14ac:dyDescent="0.2">
      <c r="A181" s="2236"/>
      <c r="B181" s="2242" t="s">
        <v>6658</v>
      </c>
      <c r="C181" s="2244"/>
      <c r="D181" s="2245"/>
      <c r="E181" s="2244"/>
      <c r="F181" s="2246"/>
      <c r="G181" s="2244"/>
      <c r="H181" s="2244"/>
      <c r="I181" s="2238"/>
      <c r="J181" s="2100" t="e">
        <f>VLOOKUP(A181,'Trial Balance - FPer'!$A$7:$I$1126,3,FALSE)</f>
        <v>#N/A</v>
      </c>
    </row>
    <row r="182" spans="1:10" ht="14.25" hidden="1" x14ac:dyDescent="0.2">
      <c r="A182" s="2236" t="s">
        <v>5083</v>
      </c>
      <c r="B182" s="2243" t="s">
        <v>6659</v>
      </c>
      <c r="C182" s="2244">
        <v>0</v>
      </c>
      <c r="D182" s="2245">
        <v>159503.56</v>
      </c>
      <c r="E182" s="2244">
        <v>19013000</v>
      </c>
      <c r="F182" s="2246">
        <v>997346.51</v>
      </c>
      <c r="G182" s="2244">
        <v>19093069.559999999</v>
      </c>
      <c r="H182" s="2244"/>
      <c r="I182" s="2238">
        <f>VLOOKUP(A182,'Trial Balance - FPer'!$A$7:$I$1107,7,FALSE)</f>
        <v>-33396000</v>
      </c>
      <c r="J182" s="2100">
        <f>VLOOKUP(A182,'Trial Balance - FPer'!$A$7:$I$1126,3,FALSE)</f>
        <v>0</v>
      </c>
    </row>
    <row r="183" spans="1:10" ht="14.25" hidden="1" x14ac:dyDescent="0.2">
      <c r="A183" s="2236"/>
      <c r="B183" s="2243" t="s">
        <v>6660</v>
      </c>
      <c r="C183" s="2244"/>
      <c r="D183" s="2245"/>
      <c r="E183" s="2244"/>
      <c r="F183" s="2246"/>
      <c r="G183" s="2244"/>
      <c r="H183" s="2244"/>
      <c r="I183" s="2238"/>
      <c r="J183" s="2100"/>
    </row>
    <row r="184" spans="1:10" ht="14.25" hidden="1" x14ac:dyDescent="0.2">
      <c r="A184" s="2236" t="s">
        <v>5084</v>
      </c>
      <c r="B184" s="2243" t="s">
        <v>6659</v>
      </c>
      <c r="C184" s="2244">
        <f>'[2]Data File'!$C$361</f>
        <v>52269931.950000003</v>
      </c>
      <c r="D184" s="2245">
        <v>5735953.6699999999</v>
      </c>
      <c r="E184" s="2244">
        <v>11926754.449999999</v>
      </c>
      <c r="F184" s="2246">
        <v>3126185.31</v>
      </c>
      <c r="G184" s="2244">
        <v>14806204.119999999</v>
      </c>
      <c r="H184" s="2244"/>
      <c r="I184" s="2238">
        <f>VLOOKUP(A184,'Trial Balance - FPer'!$A$7:$I$1107,7,FALSE)</f>
        <v>-12236000</v>
      </c>
      <c r="J184" s="2100">
        <f>VLOOKUP(A184,'Trial Balance - FPer'!$A$7:$I$1126,3,FALSE)</f>
        <v>-43055675.950000003</v>
      </c>
    </row>
    <row r="185" spans="1:10" ht="14.25" hidden="1" x14ac:dyDescent="0.2">
      <c r="A185" s="2236"/>
      <c r="B185" s="2243" t="s">
        <v>6505</v>
      </c>
      <c r="C185" s="2244"/>
      <c r="D185" s="2245"/>
      <c r="E185" s="2244"/>
      <c r="F185" s="2246"/>
      <c r="G185" s="2244"/>
      <c r="H185" s="2244"/>
      <c r="I185" s="2238"/>
      <c r="J185" s="2100"/>
    </row>
    <row r="186" spans="1:10" ht="14.25" hidden="1" x14ac:dyDescent="0.2">
      <c r="A186" s="2236" t="s">
        <v>5085</v>
      </c>
      <c r="B186" s="2243" t="s">
        <v>6661</v>
      </c>
      <c r="C186" s="2244">
        <f>'[2]Data File'!$C$363</f>
        <v>1250000</v>
      </c>
      <c r="D186" s="2245">
        <v>1500000</v>
      </c>
      <c r="E186" s="2244">
        <v>0</v>
      </c>
      <c r="F186" s="2246">
        <v>1500000</v>
      </c>
      <c r="G186" s="2244">
        <v>753000</v>
      </c>
      <c r="H186" s="2244"/>
      <c r="I186" s="2238">
        <f>VLOOKUP(A186,'Trial Balance - FPer'!$A$7:$I$1107,7,FALSE)</f>
        <v>-1500000</v>
      </c>
      <c r="J186" s="2100">
        <f>VLOOKUP(A186,'Trial Balance - FPer'!$A$7:$I$1126,3,FALSE)</f>
        <v>-1250000</v>
      </c>
    </row>
    <row r="187" spans="1:10" ht="14.25" hidden="1" x14ac:dyDescent="0.2">
      <c r="A187" s="2236"/>
      <c r="B187" s="2243" t="s">
        <v>6505</v>
      </c>
      <c r="C187" s="2244"/>
      <c r="D187" s="2245"/>
      <c r="E187" s="2244"/>
      <c r="F187" s="2246"/>
      <c r="G187" s="2244"/>
      <c r="H187" s="2244"/>
      <c r="I187" s="2238"/>
      <c r="J187" s="2100"/>
    </row>
    <row r="188" spans="1:10" ht="14.25" hidden="1" x14ac:dyDescent="0.2">
      <c r="A188" s="2236" t="s">
        <v>5086</v>
      </c>
      <c r="B188" s="2243" t="s">
        <v>6630</v>
      </c>
      <c r="C188" s="2244">
        <v>0</v>
      </c>
      <c r="D188" s="2245">
        <v>562035.11</v>
      </c>
      <c r="E188" s="2244">
        <v>0</v>
      </c>
      <c r="F188" s="2246">
        <v>0</v>
      </c>
      <c r="G188" s="2244">
        <v>282141.11</v>
      </c>
      <c r="H188" s="2244"/>
      <c r="I188" s="2238">
        <f>VLOOKUP(A188,'Trial Balance - FPer'!$A$7:$I$1107,7,FALSE)</f>
        <v>0</v>
      </c>
      <c r="J188" s="2100">
        <f>VLOOKUP(A188,'Trial Balance - FPer'!$A$7:$I$1126,3,FALSE)</f>
        <v>0</v>
      </c>
    </row>
    <row r="189" spans="1:10" ht="14.25" hidden="1" x14ac:dyDescent="0.2">
      <c r="A189" s="2251"/>
      <c r="B189" s="2257" t="s">
        <v>6660</v>
      </c>
      <c r="C189" s="2253"/>
      <c r="D189" s="2254"/>
      <c r="E189" s="2253"/>
      <c r="F189" s="2255"/>
      <c r="G189" s="2253"/>
      <c r="H189" s="2253"/>
      <c r="I189" s="2238"/>
      <c r="J189" s="2100"/>
    </row>
    <row r="190" spans="1:10" ht="14.25" hidden="1" x14ac:dyDescent="0.2">
      <c r="A190" s="2236" t="s">
        <v>6400</v>
      </c>
      <c r="B190" s="2258" t="s">
        <v>6662</v>
      </c>
      <c r="C190" s="2253">
        <f>'[2]Data File'!$C$364</f>
        <v>10020209.82</v>
      </c>
      <c r="D190" s="2254"/>
      <c r="E190" s="2253"/>
      <c r="F190" s="2255">
        <v>0</v>
      </c>
      <c r="G190" s="2253"/>
      <c r="H190" s="2244"/>
      <c r="I190" s="2238">
        <f>VLOOKUP(A190,'Trial Balance - FPer'!$A$7:$I$1107,7,FALSE)</f>
        <v>0</v>
      </c>
      <c r="J190" s="2100">
        <f>VLOOKUP(A190,'Trial Balance - FPer'!$A$7:$I$1126,3,FALSE)</f>
        <v>-10020209.82</v>
      </c>
    </row>
    <row r="191" spans="1:10" ht="14.25" hidden="1" x14ac:dyDescent="0.2">
      <c r="A191" s="2236"/>
      <c r="B191" s="2247" t="s">
        <v>6505</v>
      </c>
      <c r="C191" s="2248"/>
      <c r="D191" s="2249"/>
      <c r="E191" s="2248"/>
      <c r="F191" s="2250"/>
      <c r="G191" s="2248"/>
      <c r="H191" s="2244"/>
      <c r="I191" s="2238"/>
      <c r="J191" s="2100"/>
    </row>
    <row r="192" spans="1:10" s="2615" customFormat="1" hidden="1" x14ac:dyDescent="0.2">
      <c r="A192" s="2612"/>
      <c r="B192" s="2613" t="s">
        <v>6663</v>
      </c>
      <c r="C192" s="2614">
        <f>SUM(C182:C191)</f>
        <v>63540141.770000003</v>
      </c>
      <c r="D192" s="2614">
        <f>SUM(D182:D189)</f>
        <v>7957492.3399999999</v>
      </c>
      <c r="E192" s="2614">
        <f>SUM(E182:E189)</f>
        <v>30939754.449999999</v>
      </c>
      <c r="F192" s="2614">
        <f>SUM(F182:F189)</f>
        <v>5623531.8200000003</v>
      </c>
      <c r="G192" s="2614">
        <f>SUM(G182:G189)</f>
        <v>34934414.789999999</v>
      </c>
      <c r="H192" s="2614">
        <f t="shared" ref="H192" si="22">SUM(H182:H189)</f>
        <v>0</v>
      </c>
      <c r="I192" s="2614">
        <f>SUM(I182:I190)</f>
        <v>-47132000</v>
      </c>
      <c r="J192" s="2614">
        <f>SUM(J182:J190)</f>
        <v>-54325885.770000003</v>
      </c>
    </row>
    <row r="193" spans="1:10" ht="14.25" hidden="1" x14ac:dyDescent="0.2">
      <c r="A193" s="2236"/>
      <c r="B193" s="2243"/>
      <c r="C193" s="2244"/>
      <c r="D193" s="2245"/>
      <c r="E193" s="2244"/>
      <c r="F193" s="2246"/>
      <c r="G193" s="2244"/>
      <c r="H193" s="2244"/>
      <c r="I193" s="2238"/>
      <c r="J193" s="2100" t="e">
        <f>VLOOKUP(A193,'Trial Balance - FPer'!$A$7:$I$1126,3,FALSE)</f>
        <v>#N/A</v>
      </c>
    </row>
    <row r="194" spans="1:10" ht="14.25" hidden="1" x14ac:dyDescent="0.2">
      <c r="A194" s="2236"/>
      <c r="B194" s="2242" t="s">
        <v>1637</v>
      </c>
      <c r="C194" s="2244"/>
      <c r="D194" s="2245"/>
      <c r="E194" s="2244"/>
      <c r="F194" s="2246"/>
      <c r="G194" s="2244"/>
      <c r="H194" s="2244"/>
      <c r="I194" s="2238"/>
      <c r="J194" s="2100" t="e">
        <f>VLOOKUP(A194,'Trial Balance - FPer'!$A$7:$I$1126,3,FALSE)</f>
        <v>#N/A</v>
      </c>
    </row>
    <row r="195" spans="1:10" ht="14.25" hidden="1" x14ac:dyDescent="0.2">
      <c r="A195" s="2236" t="s">
        <v>5087</v>
      </c>
      <c r="B195" s="2243" t="s">
        <v>6664</v>
      </c>
      <c r="C195" s="2244">
        <f>'[2]Data File'!$C$368</f>
        <v>13870.58</v>
      </c>
      <c r="D195" s="2245">
        <v>37405.769999999997</v>
      </c>
      <c r="E195" s="2244">
        <v>4174.5</v>
      </c>
      <c r="F195" s="2246">
        <v>15000</v>
      </c>
      <c r="G195" s="2244">
        <v>22950.27</v>
      </c>
      <c r="H195" s="2244"/>
      <c r="I195" s="2238">
        <f>VLOOKUP(A195,'Trial Balance - FPer'!$A$7:$I$1107,7,FALSE)</f>
        <v>-10943.94</v>
      </c>
      <c r="J195" s="2100">
        <f>VLOOKUP(A195,'Trial Balance - FPer'!$A$7:$I$1126,3,FALSE)</f>
        <v>-13870.58</v>
      </c>
    </row>
    <row r="196" spans="1:10" ht="14.25" hidden="1" x14ac:dyDescent="0.2">
      <c r="A196" s="2236"/>
      <c r="B196" s="2243" t="s">
        <v>6505</v>
      </c>
      <c r="C196" s="2244"/>
      <c r="D196" s="2245"/>
      <c r="E196" s="2244"/>
      <c r="F196" s="2246"/>
      <c r="G196" s="2244"/>
      <c r="H196" s="2244"/>
      <c r="I196" s="2238"/>
      <c r="J196" s="2100"/>
    </row>
    <row r="197" spans="1:10" ht="14.25" hidden="1" x14ac:dyDescent="0.2">
      <c r="A197" s="2236" t="s">
        <v>5089</v>
      </c>
      <c r="B197" s="2243" t="s">
        <v>6665</v>
      </c>
      <c r="C197" s="2244">
        <f>'[2]Data File'!$C$352</f>
        <v>23583.48</v>
      </c>
      <c r="D197" s="2245">
        <v>0</v>
      </c>
      <c r="E197" s="2244">
        <v>0</v>
      </c>
      <c r="F197" s="2246">
        <v>0</v>
      </c>
      <c r="G197" s="2244">
        <v>0</v>
      </c>
      <c r="H197" s="2244"/>
      <c r="I197" s="2238">
        <f>VLOOKUP(A197,'Trial Balance - FPer'!$A$7:$I$1107,7,FALSE)</f>
        <v>0</v>
      </c>
      <c r="J197" s="2100">
        <f>VLOOKUP(A197,'Trial Balance - FPer'!$A$7:$I$1126,3,FALSE)</f>
        <v>-23583.48</v>
      </c>
    </row>
    <row r="198" spans="1:10" ht="14.25" hidden="1" x14ac:dyDescent="0.2">
      <c r="A198" s="2236"/>
      <c r="B198" s="2243" t="s">
        <v>6505</v>
      </c>
      <c r="C198" s="2244"/>
      <c r="D198" s="2245"/>
      <c r="E198" s="2244"/>
      <c r="F198" s="2246"/>
      <c r="G198" s="2244"/>
      <c r="H198" s="2244"/>
      <c r="I198" s="2238"/>
      <c r="J198" s="2100"/>
    </row>
    <row r="199" spans="1:10" ht="14.25" hidden="1" x14ac:dyDescent="0.2">
      <c r="A199" s="2236" t="s">
        <v>5090</v>
      </c>
      <c r="B199" s="2243" t="s">
        <v>6169</v>
      </c>
      <c r="C199" s="2244">
        <v>0</v>
      </c>
      <c r="D199" s="2245">
        <v>0</v>
      </c>
      <c r="E199" s="2244">
        <v>0</v>
      </c>
      <c r="F199" s="2246">
        <v>0</v>
      </c>
      <c r="G199" s="2244">
        <v>0</v>
      </c>
      <c r="H199" s="2244"/>
      <c r="I199" s="2238">
        <f>VLOOKUP(A199,'Trial Balance - FPer'!$A$7:$I$1107,7,FALSE)</f>
        <v>0</v>
      </c>
      <c r="J199" s="2100">
        <f>VLOOKUP(A199,'Trial Balance - FPer'!$A$7:$I$1126,3,FALSE)</f>
        <v>0</v>
      </c>
    </row>
    <row r="200" spans="1:10" ht="14.25" hidden="1" x14ac:dyDescent="0.2">
      <c r="A200" s="2236"/>
      <c r="B200" s="2243" t="s">
        <v>6505</v>
      </c>
      <c r="C200" s="2244"/>
      <c r="D200" s="2245"/>
      <c r="E200" s="2244"/>
      <c r="F200" s="2246"/>
      <c r="G200" s="2244"/>
      <c r="H200" s="2244"/>
      <c r="I200" s="2238"/>
      <c r="J200" s="2100"/>
    </row>
    <row r="201" spans="1:10" ht="14.25" hidden="1" x14ac:dyDescent="0.2">
      <c r="A201" s="2236" t="s">
        <v>5092</v>
      </c>
      <c r="B201" s="2243" t="s">
        <v>6666</v>
      </c>
      <c r="C201" s="2244">
        <f>'[2]Data File'!$C$372</f>
        <v>800979.1</v>
      </c>
      <c r="D201" s="2245">
        <v>83301.58</v>
      </c>
      <c r="E201" s="2244">
        <v>509279.23</v>
      </c>
      <c r="F201" s="2246">
        <v>600000</v>
      </c>
      <c r="G201" s="2244">
        <v>551096.81000000006</v>
      </c>
      <c r="H201" s="2244"/>
      <c r="I201" s="2238">
        <f>VLOOKUP(A201,'Trial Balance - FPer'!$A$7:$I$1107,7,FALSE)</f>
        <v>-295364.11000000034</v>
      </c>
      <c r="J201" s="2100">
        <f>VLOOKUP(A201,'Trial Balance - FPer'!$A$7:$I$1126,3,FALSE)</f>
        <v>-800979.1</v>
      </c>
    </row>
    <row r="202" spans="1:10" ht="14.25" hidden="1" x14ac:dyDescent="0.2">
      <c r="A202" s="2236"/>
      <c r="B202" s="2243" t="s">
        <v>6505</v>
      </c>
      <c r="C202" s="2244"/>
      <c r="D202" s="2245"/>
      <c r="E202" s="2244"/>
      <c r="F202" s="2246"/>
      <c r="G202" s="2244"/>
      <c r="H202" s="2244"/>
      <c r="I202" s="2238"/>
      <c r="J202" s="2100"/>
    </row>
    <row r="203" spans="1:10" ht="14.25" hidden="1" x14ac:dyDescent="0.2">
      <c r="A203" s="2236" t="s">
        <v>5094</v>
      </c>
      <c r="B203" s="2243" t="s">
        <v>6667</v>
      </c>
      <c r="C203" s="2244"/>
      <c r="D203" s="2245">
        <v>3000</v>
      </c>
      <c r="E203" s="2244">
        <v>0</v>
      </c>
      <c r="F203" s="2246">
        <v>0</v>
      </c>
      <c r="G203" s="2244">
        <v>1506</v>
      </c>
      <c r="H203" s="2244"/>
      <c r="I203" s="2238">
        <f>VLOOKUP(A203,'Trial Balance - FPer'!$A$7:$I$1107,7,FALSE)</f>
        <v>0</v>
      </c>
      <c r="J203" s="2100">
        <f>VLOOKUP(A203,'Trial Balance - FPer'!$A$7:$I$1126,3,FALSE)</f>
        <v>-42.11</v>
      </c>
    </row>
    <row r="204" spans="1:10" ht="14.25" hidden="1" x14ac:dyDescent="0.2">
      <c r="A204" s="2236"/>
      <c r="B204" s="2243" t="s">
        <v>6505</v>
      </c>
      <c r="C204" s="2244">
        <f>'[2]Data File'!$C$370</f>
        <v>42.11</v>
      </c>
      <c r="D204" s="2245"/>
      <c r="E204" s="2244"/>
      <c r="F204" s="2246"/>
      <c r="G204" s="2244"/>
      <c r="H204" s="2244"/>
      <c r="I204" s="2238"/>
      <c r="J204" s="2100"/>
    </row>
    <row r="205" spans="1:10" ht="14.25" hidden="1" x14ac:dyDescent="0.2">
      <c r="A205" s="2236" t="s">
        <v>5096</v>
      </c>
      <c r="B205" s="2243" t="s">
        <v>6668</v>
      </c>
      <c r="C205" s="2244">
        <f>'[2]Data File'!$C$371</f>
        <v>0</v>
      </c>
      <c r="D205" s="2245">
        <v>500</v>
      </c>
      <c r="E205" s="2244">
        <v>0</v>
      </c>
      <c r="F205" s="2246">
        <v>0</v>
      </c>
      <c r="G205" s="2244">
        <v>248</v>
      </c>
      <c r="H205" s="2244"/>
      <c r="I205" s="2238">
        <f>VLOOKUP(A205,'Trial Balance - FPer'!$A$7:$I$1107,7,FALSE)</f>
        <v>42401.38</v>
      </c>
      <c r="J205" s="2100">
        <f>VLOOKUP(A205,'Trial Balance - FPer'!$A$7:$I$1126,3,FALSE)</f>
        <v>0</v>
      </c>
    </row>
    <row r="206" spans="1:10" ht="14.25" hidden="1" x14ac:dyDescent="0.2">
      <c r="A206" s="2236"/>
      <c r="B206" s="2243" t="s">
        <v>6505</v>
      </c>
      <c r="C206" s="2244"/>
      <c r="D206" s="2245"/>
      <c r="E206" s="2244"/>
      <c r="F206" s="2246"/>
      <c r="G206" s="2244"/>
      <c r="H206" s="2244"/>
      <c r="I206" s="2238"/>
      <c r="J206" s="2100"/>
    </row>
    <row r="207" spans="1:10" ht="14.25" hidden="1" x14ac:dyDescent="0.2">
      <c r="A207" s="2236" t="s">
        <v>5097</v>
      </c>
      <c r="B207" s="2243" t="s">
        <v>6669</v>
      </c>
      <c r="C207" s="2244">
        <v>0</v>
      </c>
      <c r="D207" s="2245">
        <v>0</v>
      </c>
      <c r="E207" s="2244">
        <v>0</v>
      </c>
      <c r="F207" s="2246">
        <v>0</v>
      </c>
      <c r="G207" s="2244">
        <v>0</v>
      </c>
      <c r="H207" s="2244"/>
      <c r="I207" s="2238">
        <f>VLOOKUP(A207,'Trial Balance - FPer'!$A$7:$I$1107,7,FALSE)</f>
        <v>0</v>
      </c>
      <c r="J207" s="2100">
        <f>VLOOKUP(A207,'Trial Balance - FPer'!$A$7:$I$1126,3,FALSE)</f>
        <v>0</v>
      </c>
    </row>
    <row r="208" spans="1:10" ht="14.25" hidden="1" x14ac:dyDescent="0.2">
      <c r="A208" s="2236"/>
      <c r="B208" s="2247" t="s">
        <v>6505</v>
      </c>
      <c r="C208" s="2248"/>
      <c r="D208" s="2249"/>
      <c r="E208" s="2248"/>
      <c r="F208" s="2250"/>
      <c r="G208" s="2248"/>
      <c r="H208" s="2244"/>
      <c r="I208" s="2238"/>
      <c r="J208" s="2100"/>
    </row>
    <row r="209" spans="1:10" s="2615" customFormat="1" hidden="1" x14ac:dyDescent="0.2">
      <c r="A209" s="2612"/>
      <c r="B209" s="2613" t="s">
        <v>6670</v>
      </c>
      <c r="C209" s="2614">
        <f>SUM(C195:C208)</f>
        <v>838475.2699999999</v>
      </c>
      <c r="D209" s="2614">
        <f>SUM(D195:D208)</f>
        <v>124207.35</v>
      </c>
      <c r="E209" s="2614">
        <f>SUM(E195:E208)</f>
        <v>513453.73</v>
      </c>
      <c r="F209" s="2614">
        <f>SUM(F195:F208)</f>
        <v>615000</v>
      </c>
      <c r="G209" s="2614">
        <f>SUM(G195:G208)</f>
        <v>575801.08000000007</v>
      </c>
      <c r="H209" s="2614">
        <f t="shared" ref="H209" si="23">SUM(H195:H208)</f>
        <v>0</v>
      </c>
      <c r="I209" s="2614">
        <f>SUM(I195:I208)</f>
        <v>-263906.67000000033</v>
      </c>
      <c r="J209" s="2614">
        <f>SUM(J195:J208)</f>
        <v>-838475.2699999999</v>
      </c>
    </row>
    <row r="210" spans="1:10" ht="14.25" hidden="1" x14ac:dyDescent="0.2">
      <c r="A210" s="2236"/>
      <c r="B210" s="2243"/>
      <c r="C210" s="2244"/>
      <c r="D210" s="2245"/>
      <c r="E210" s="2244"/>
      <c r="F210" s="2246"/>
      <c r="G210" s="2244"/>
      <c r="H210" s="2244"/>
      <c r="I210" s="2238"/>
      <c r="J210" s="2238"/>
    </row>
    <row r="211" spans="1:10" s="2615" customFormat="1" ht="13.5" thickBot="1" x14ac:dyDescent="0.25">
      <c r="A211" s="2612"/>
      <c r="B211" s="2616" t="s">
        <v>6671</v>
      </c>
      <c r="C211" s="2617">
        <f>C209+C192+C179+C172+C167+C160+C155</f>
        <v>67851408.060000002</v>
      </c>
      <c r="D211" s="2617">
        <f>D209+D192+D179+D172+D167+D160+D155</f>
        <v>15178148.43</v>
      </c>
      <c r="E211" s="2617">
        <f>E209+E192+E179+E172+E167+E160+E155</f>
        <v>36750339.269999996</v>
      </c>
      <c r="F211" s="2617">
        <f>F209+F192+F179+F172+F167+F160+F155</f>
        <v>13349502.610000001</v>
      </c>
      <c r="G211" s="2617">
        <f>G209+G192+G179+G172+G167+G160+G155</f>
        <v>45488100.620000005</v>
      </c>
      <c r="H211" s="2617">
        <f t="shared" ref="H211" si="24">H209+H192+H179+H172+H167+H160+H155</f>
        <v>0</v>
      </c>
      <c r="I211" s="2617">
        <f>I209+I192+I179+I172+I167+I160+I155</f>
        <v>-53160550.270000011</v>
      </c>
      <c r="J211" s="2617">
        <f>J209+J192+J179+J172+J167+J160+J155</f>
        <v>-58637152.06000001</v>
      </c>
    </row>
    <row r="212" spans="1:10" ht="15" thickTop="1" x14ac:dyDescent="0.2">
      <c r="A212" s="2236"/>
      <c r="B212" s="2243"/>
      <c r="C212" s="2244"/>
      <c r="D212" s="2245"/>
      <c r="E212" s="2244"/>
      <c r="F212" s="2246"/>
      <c r="G212" s="2244"/>
      <c r="H212" s="2244"/>
      <c r="I212" s="2238"/>
      <c r="J212" s="2100" t="e">
        <f>VLOOKUP(A212,'Trial Balance - FPer'!$A$7:$I$1126,3,FALSE)</f>
        <v>#N/A</v>
      </c>
    </row>
    <row r="213" spans="1:10" ht="14.25" x14ac:dyDescent="0.2">
      <c r="A213" s="2236"/>
      <c r="B213" s="2242" t="s">
        <v>235</v>
      </c>
      <c r="C213" s="2244"/>
      <c r="D213" s="2245"/>
      <c r="E213" s="2244"/>
      <c r="F213" s="2246"/>
      <c r="G213" s="2244"/>
      <c r="H213" s="2244"/>
      <c r="I213" s="2238"/>
      <c r="J213" s="2100" t="e">
        <f>VLOOKUP(A213,'Trial Balance - FPer'!$A$7:$I$1126,3,FALSE)</f>
        <v>#N/A</v>
      </c>
    </row>
    <row r="214" spans="1:10" ht="14.25" hidden="1" x14ac:dyDescent="0.2">
      <c r="A214" s="2236"/>
      <c r="B214" s="2242" t="s">
        <v>387</v>
      </c>
      <c r="C214" s="2244"/>
      <c r="D214" s="2245"/>
      <c r="E214" s="2244"/>
      <c r="F214" s="2246"/>
      <c r="G214" s="2244"/>
      <c r="H214" s="2244"/>
      <c r="I214" s="2238"/>
      <c r="J214" s="2100"/>
    </row>
    <row r="215" spans="1:10" ht="14.25" hidden="1" x14ac:dyDescent="0.2">
      <c r="A215" s="2236" t="s">
        <v>4935</v>
      </c>
      <c r="B215" s="2243" t="s">
        <v>6003</v>
      </c>
      <c r="C215" s="2244">
        <f>'[2]Data File'!$C$215</f>
        <v>290500.90000000002</v>
      </c>
      <c r="D215" s="2245">
        <v>493324.69</v>
      </c>
      <c r="E215" s="2244">
        <v>187201.11</v>
      </c>
      <c r="F215" s="2255">
        <v>489595.47</v>
      </c>
      <c r="G215" s="2253">
        <v>405379.61</v>
      </c>
      <c r="H215" s="2100">
        <v>237600.71</v>
      </c>
      <c r="I215" s="2238">
        <f>VLOOKUP(A215,'Trial Balance - FPer'!$A$7:$I$1107,7,FALSE)</f>
        <v>449115.83999999997</v>
      </c>
      <c r="J215" s="2100">
        <f>VLOOKUP(A215,'Trial Balance - FPer'!$A$7:$I$1126,3,FALSE)</f>
        <v>290500.90000000002</v>
      </c>
    </row>
    <row r="216" spans="1:10" ht="14.25" hidden="1" x14ac:dyDescent="0.2">
      <c r="A216" s="2236"/>
      <c r="B216" s="2243" t="s">
        <v>6660</v>
      </c>
      <c r="C216" s="2244"/>
      <c r="D216" s="2245"/>
      <c r="E216" s="2244"/>
      <c r="F216" s="2255"/>
      <c r="G216" s="2253"/>
      <c r="H216" s="2100"/>
      <c r="I216" s="2238"/>
      <c r="J216" s="2100"/>
    </row>
    <row r="217" spans="1:10" ht="14.25" hidden="1" x14ac:dyDescent="0.2">
      <c r="A217" s="2236" t="s">
        <v>4936</v>
      </c>
      <c r="B217" s="2243" t="s">
        <v>6003</v>
      </c>
      <c r="C217" s="2244">
        <f>'[2]Data File'!$C$381</f>
        <v>2057419.62</v>
      </c>
      <c r="D217" s="2245">
        <v>2604977.1800000002</v>
      </c>
      <c r="E217" s="2244">
        <v>1393086.74</v>
      </c>
      <c r="F217" s="2255">
        <f>E217/6*12</f>
        <v>2786173.48</v>
      </c>
      <c r="G217" s="2253">
        <v>2749170.79</v>
      </c>
      <c r="H217" s="2100">
        <v>1624203.93</v>
      </c>
      <c r="I217" s="2238">
        <f>VLOOKUP(A217,'Trial Balance - FPer'!$A$7:$I$1107,7,FALSE)</f>
        <v>2702817.56</v>
      </c>
      <c r="J217" s="2100">
        <f>VLOOKUP(A217,'Trial Balance - FPer'!$A$7:$I$1126,3,FALSE)</f>
        <v>2057419.62</v>
      </c>
    </row>
    <row r="218" spans="1:10" ht="14.25" hidden="1" x14ac:dyDescent="0.2">
      <c r="A218" s="2236"/>
      <c r="B218" s="2243" t="s">
        <v>6505</v>
      </c>
      <c r="C218" s="2244"/>
      <c r="D218" s="2245"/>
      <c r="E218" s="2244"/>
      <c r="F218" s="2255"/>
      <c r="G218" s="2253"/>
      <c r="H218" s="2100"/>
      <c r="I218" s="2238"/>
      <c r="J218" s="2100"/>
    </row>
    <row r="219" spans="1:10" ht="14.25" hidden="1" x14ac:dyDescent="0.2">
      <c r="A219" s="2236" t="s">
        <v>4937</v>
      </c>
      <c r="B219" s="2243" t="s">
        <v>6003</v>
      </c>
      <c r="C219" s="2244">
        <f>'[2]Data File'!$C$548</f>
        <v>133177.72</v>
      </c>
      <c r="D219" s="2245">
        <v>360118.11</v>
      </c>
      <c r="E219" s="2244">
        <v>0</v>
      </c>
      <c r="F219" s="2255">
        <f>E219/6*12</f>
        <v>0</v>
      </c>
      <c r="G219" s="2253">
        <v>90389.05</v>
      </c>
      <c r="H219" s="2100">
        <v>0</v>
      </c>
      <c r="I219" s="2238">
        <f>VLOOKUP(A219,'Trial Balance - FPer'!$A$7:$I$1107,7,FALSE)</f>
        <v>0</v>
      </c>
      <c r="J219" s="2100">
        <f>VLOOKUP(A219,'Trial Balance - FPer'!$A$7:$I$1126,3,FALSE)</f>
        <v>133177.72</v>
      </c>
    </row>
    <row r="220" spans="1:10" ht="14.25" hidden="1" x14ac:dyDescent="0.2">
      <c r="A220" s="2236"/>
      <c r="B220" s="2243" t="s">
        <v>6640</v>
      </c>
      <c r="C220" s="2244"/>
      <c r="D220" s="2245"/>
      <c r="E220" s="2244"/>
      <c r="F220" s="2255"/>
      <c r="G220" s="2253"/>
      <c r="H220" s="2100"/>
      <c r="I220" s="2238"/>
      <c r="J220" s="2100"/>
    </row>
    <row r="221" spans="1:10" ht="14.25" hidden="1" x14ac:dyDescent="0.2">
      <c r="A221" s="2236" t="s">
        <v>4938</v>
      </c>
      <c r="B221" s="2243" t="s">
        <v>6580</v>
      </c>
      <c r="C221" s="2244">
        <f>'[2]Data File'!$C$216</f>
        <v>0</v>
      </c>
      <c r="D221" s="2245">
        <v>0</v>
      </c>
      <c r="E221" s="2244">
        <v>0</v>
      </c>
      <c r="F221" s="2255">
        <v>66858.960000000006</v>
      </c>
      <c r="G221" s="2253">
        <v>0</v>
      </c>
      <c r="H221" s="2100">
        <v>0</v>
      </c>
      <c r="I221" s="2238">
        <f>VLOOKUP(A221,'Trial Balance - FPer'!$A$7:$I$1107,7,FALSE)</f>
        <v>0</v>
      </c>
      <c r="J221" s="2100">
        <f>VLOOKUP(A221,'Trial Balance - FPer'!$A$7:$I$1126,3,FALSE)</f>
        <v>0</v>
      </c>
    </row>
    <row r="222" spans="1:10" ht="14.25" hidden="1" x14ac:dyDescent="0.2">
      <c r="A222" s="2236"/>
      <c r="B222" s="2243" t="s">
        <v>6660</v>
      </c>
      <c r="C222" s="2244"/>
      <c r="D222" s="2245"/>
      <c r="E222" s="2244"/>
      <c r="F222" s="2255"/>
      <c r="G222" s="2253"/>
      <c r="H222" s="2100"/>
      <c r="I222" s="2238"/>
      <c r="J222" s="2100"/>
    </row>
    <row r="223" spans="1:10" ht="14.25" hidden="1" x14ac:dyDescent="0.2">
      <c r="A223" s="2236" t="s">
        <v>4939</v>
      </c>
      <c r="B223" s="2243" t="s">
        <v>6004</v>
      </c>
      <c r="C223" s="2244">
        <f>'[2]Data File'!$C$221</f>
        <v>5742.46</v>
      </c>
      <c r="D223" s="2245">
        <v>0</v>
      </c>
      <c r="E223" s="2244">
        <v>0</v>
      </c>
      <c r="F223" s="2255">
        <v>9850</v>
      </c>
      <c r="G223" s="2253">
        <v>0</v>
      </c>
      <c r="H223" s="2100">
        <v>0</v>
      </c>
      <c r="I223" s="2238">
        <f>VLOOKUP(A223,'Trial Balance - FPer'!$A$7:$I$1107,7,FALSE)</f>
        <v>0</v>
      </c>
      <c r="J223" s="2100">
        <f>VLOOKUP(A223,'Trial Balance - FPer'!$A$7:$I$1126,3,FALSE)</f>
        <v>5742.46</v>
      </c>
    </row>
    <row r="224" spans="1:10" ht="14.25" hidden="1" x14ac:dyDescent="0.2">
      <c r="A224" s="2236"/>
      <c r="B224" s="2243" t="s">
        <v>6660</v>
      </c>
      <c r="C224" s="2244"/>
      <c r="D224" s="2245"/>
      <c r="E224" s="2244"/>
      <c r="F224" s="2255"/>
      <c r="G224" s="2253"/>
      <c r="H224" s="2100"/>
      <c r="I224" s="2238"/>
      <c r="J224" s="2100"/>
    </row>
    <row r="225" spans="1:10" ht="14.25" hidden="1" x14ac:dyDescent="0.2">
      <c r="A225" s="2236" t="s">
        <v>4940</v>
      </c>
      <c r="B225" s="2243" t="s">
        <v>6004</v>
      </c>
      <c r="C225" s="2244">
        <f>'[2]Data File'!$C$386</f>
        <v>164134.84</v>
      </c>
      <c r="D225" s="2245">
        <v>208942.92</v>
      </c>
      <c r="E225" s="2244">
        <v>98543.65</v>
      </c>
      <c r="F225" s="2255">
        <v>311303.28999999998</v>
      </c>
      <c r="G225" s="2253">
        <v>200665.45</v>
      </c>
      <c r="H225" s="2100">
        <v>134003.59</v>
      </c>
      <c r="I225" s="2238">
        <f>VLOOKUP(A225,'Trial Balance - FPer'!$A$7:$I$1107,7,FALSE)</f>
        <v>241190.21</v>
      </c>
      <c r="J225" s="2100">
        <f>VLOOKUP(A225,'Trial Balance - FPer'!$A$7:$I$1126,3,FALSE)</f>
        <v>164134.84</v>
      </c>
    </row>
    <row r="226" spans="1:10" ht="14.25" hidden="1" x14ac:dyDescent="0.2">
      <c r="A226" s="2236"/>
      <c r="B226" s="2243" t="s">
        <v>6505</v>
      </c>
      <c r="C226" s="2244"/>
      <c r="D226" s="2245"/>
      <c r="E226" s="2244"/>
      <c r="F226" s="2255"/>
      <c r="G226" s="2253"/>
      <c r="H226" s="2100"/>
      <c r="I226" s="2238"/>
      <c r="J226" s="2100"/>
    </row>
    <row r="227" spans="1:10" ht="14.25" hidden="1" x14ac:dyDescent="0.2">
      <c r="A227" s="2236" t="s">
        <v>4941</v>
      </c>
      <c r="B227" s="2243" t="s">
        <v>6004</v>
      </c>
      <c r="C227" s="2244">
        <f>'[2]Data File'!$C$553</f>
        <v>4625.04</v>
      </c>
      <c r="D227" s="2245">
        <v>5001.9799999999996</v>
      </c>
      <c r="E227" s="2244">
        <v>0</v>
      </c>
      <c r="F227" s="2255">
        <f>E227/6*12</f>
        <v>0</v>
      </c>
      <c r="G227" s="2253">
        <v>1255.99</v>
      </c>
      <c r="H227" s="2100">
        <v>0</v>
      </c>
      <c r="I227" s="2238">
        <f>VLOOKUP(A227,'Trial Balance - FPer'!$A$7:$I$1107,7,FALSE)</f>
        <v>0</v>
      </c>
      <c r="J227" s="2100">
        <f>VLOOKUP(A227,'Trial Balance - FPer'!$A$7:$I$1126,3,FALSE)</f>
        <v>4625.04</v>
      </c>
    </row>
    <row r="228" spans="1:10" ht="14.25" hidden="1" x14ac:dyDescent="0.2">
      <c r="A228" s="2236"/>
      <c r="B228" s="2243" t="s">
        <v>6640</v>
      </c>
      <c r="C228" s="2244"/>
      <c r="D228" s="2245"/>
      <c r="E228" s="2244"/>
      <c r="F228" s="2255"/>
      <c r="G228" s="2253"/>
      <c r="H228" s="2100"/>
      <c r="I228" s="2238"/>
      <c r="J228" s="2100"/>
    </row>
    <row r="229" spans="1:10" ht="14.25" hidden="1" x14ac:dyDescent="0.2">
      <c r="A229" s="2236" t="s">
        <v>4942</v>
      </c>
      <c r="B229" s="2243" t="s">
        <v>6581</v>
      </c>
      <c r="C229" s="2244">
        <f>'[2]Data File'!$C$222</f>
        <v>20965.38</v>
      </c>
      <c r="D229" s="2245">
        <v>26540.83</v>
      </c>
      <c r="E229" s="2244">
        <v>5217</v>
      </c>
      <c r="F229" s="2255">
        <v>7017</v>
      </c>
      <c r="G229" s="2253">
        <v>14508.34</v>
      </c>
      <c r="H229" s="2100">
        <v>5517</v>
      </c>
      <c r="I229" s="2238">
        <f>VLOOKUP(A229,'Trial Balance - FPer'!$A$7:$I$1107,7,FALSE)</f>
        <v>5817</v>
      </c>
      <c r="J229" s="2100">
        <f>VLOOKUP(A229,'Trial Balance - FPer'!$A$7:$I$1126,3,FALSE)</f>
        <v>20965.38</v>
      </c>
    </row>
    <row r="230" spans="1:10" ht="14.25" hidden="1" x14ac:dyDescent="0.2">
      <c r="A230" s="2236"/>
      <c r="B230" s="2243" t="s">
        <v>6660</v>
      </c>
      <c r="C230" s="2244"/>
      <c r="D230" s="2245"/>
      <c r="E230" s="2244"/>
      <c r="F230" s="2255"/>
      <c r="G230" s="2253"/>
      <c r="H230" s="2100"/>
      <c r="I230" s="2238"/>
      <c r="J230" s="2100"/>
    </row>
    <row r="231" spans="1:10" ht="14.25" hidden="1" x14ac:dyDescent="0.2">
      <c r="A231" s="2236" t="s">
        <v>4943</v>
      </c>
      <c r="B231" s="2243" t="s">
        <v>6581</v>
      </c>
      <c r="C231" s="2244">
        <f>'[2]Data File'!$C$387</f>
        <v>2400</v>
      </c>
      <c r="D231" s="2245">
        <v>3028.2</v>
      </c>
      <c r="E231" s="2244">
        <v>3100</v>
      </c>
      <c r="F231" s="2255">
        <f>E231/6*12</f>
        <v>6200</v>
      </c>
      <c r="G231" s="2253">
        <v>5427.75</v>
      </c>
      <c r="H231" s="2100">
        <v>3600</v>
      </c>
      <c r="I231" s="2238">
        <f>VLOOKUP(A231,'Trial Balance - FPer'!$A$7:$I$1107,7,FALSE)</f>
        <v>7300</v>
      </c>
      <c r="J231" s="2100">
        <f>VLOOKUP(A231,'Trial Balance - FPer'!$A$7:$I$1126,3,FALSE)</f>
        <v>2400</v>
      </c>
    </row>
    <row r="232" spans="1:10" ht="14.25" hidden="1" x14ac:dyDescent="0.2">
      <c r="A232" s="2236"/>
      <c r="B232" s="2243" t="s">
        <v>6505</v>
      </c>
      <c r="C232" s="2244"/>
      <c r="D232" s="2245"/>
      <c r="E232" s="2244"/>
      <c r="F232" s="2255"/>
      <c r="G232" s="2253"/>
      <c r="H232" s="2100"/>
      <c r="I232" s="2238"/>
      <c r="J232" s="2100"/>
    </row>
    <row r="233" spans="1:10" ht="14.25" hidden="1" x14ac:dyDescent="0.2">
      <c r="A233" s="2236" t="s">
        <v>4944</v>
      </c>
      <c r="B233" s="2243" t="s">
        <v>6581</v>
      </c>
      <c r="C233" s="2244">
        <f>'[2]Data File'!$C$554</f>
        <v>0</v>
      </c>
      <c r="D233" s="2245">
        <v>0</v>
      </c>
      <c r="E233" s="2244">
        <v>0</v>
      </c>
      <c r="F233" s="2255">
        <f>E233/6*12</f>
        <v>0</v>
      </c>
      <c r="G233" s="2253">
        <v>0</v>
      </c>
      <c r="H233" s="2100">
        <v>0</v>
      </c>
      <c r="I233" s="2238">
        <f>VLOOKUP(A233,'Trial Balance - FPer'!$A$7:$I$1107,7,FALSE)</f>
        <v>0</v>
      </c>
      <c r="J233" s="2100">
        <f>VLOOKUP(A233,'Trial Balance - FPer'!$A$7:$I$1126,3,FALSE)</f>
        <v>0</v>
      </c>
    </row>
    <row r="234" spans="1:10" ht="14.25" hidden="1" x14ac:dyDescent="0.2">
      <c r="A234" s="2236"/>
      <c r="B234" s="2243" t="s">
        <v>6640</v>
      </c>
      <c r="C234" s="2244"/>
      <c r="D234" s="2245"/>
      <c r="E234" s="2244"/>
      <c r="F234" s="2255"/>
      <c r="G234" s="2253"/>
      <c r="H234" s="2100"/>
      <c r="I234" s="2238"/>
      <c r="J234" s="2100"/>
    </row>
    <row r="235" spans="1:10" ht="14.25" hidden="1" x14ac:dyDescent="0.2">
      <c r="A235" s="2236" t="s">
        <v>4945</v>
      </c>
      <c r="B235" s="2243" t="s">
        <v>6632</v>
      </c>
      <c r="C235" s="2244">
        <f>'[2]Data File'!$C$223</f>
        <v>2122.16</v>
      </c>
      <c r="D235" s="2245">
        <v>4590.2299999999996</v>
      </c>
      <c r="E235" s="2244">
        <v>0</v>
      </c>
      <c r="F235" s="2255">
        <f>E235/6*12</f>
        <v>0</v>
      </c>
      <c r="G235" s="2253">
        <v>1152.1199999999999</v>
      </c>
      <c r="H235" s="2100">
        <v>0</v>
      </c>
      <c r="I235" s="2238">
        <f>VLOOKUP(A235,'Trial Balance - FPer'!$A$7:$I$1107,7,FALSE)</f>
        <v>0</v>
      </c>
      <c r="J235" s="2100">
        <f>VLOOKUP(A235,'Trial Balance - FPer'!$A$7:$I$1126,3,FALSE)</f>
        <v>2122.16</v>
      </c>
    </row>
    <row r="236" spans="1:10" ht="14.25" hidden="1" x14ac:dyDescent="0.2">
      <c r="A236" s="2236"/>
      <c r="B236" s="2243" t="s">
        <v>6660</v>
      </c>
      <c r="C236" s="2244"/>
      <c r="D236" s="2245"/>
      <c r="E236" s="2244"/>
      <c r="F236" s="2255"/>
      <c r="G236" s="2253"/>
      <c r="H236" s="2100"/>
      <c r="I236" s="2238"/>
      <c r="J236" s="2100"/>
    </row>
    <row r="237" spans="1:10" ht="14.25" hidden="1" x14ac:dyDescent="0.2">
      <c r="A237" s="2236" t="s">
        <v>4946</v>
      </c>
      <c r="B237" s="2243" t="s">
        <v>6632</v>
      </c>
      <c r="C237" s="2244">
        <f>'[2]Data File'!$C$388</f>
        <v>17370</v>
      </c>
      <c r="D237" s="2245">
        <v>22802.35</v>
      </c>
      <c r="E237" s="2244">
        <v>9396</v>
      </c>
      <c r="F237" s="2255">
        <v>18792</v>
      </c>
      <c r="G237" s="2253">
        <v>19851.560000000001</v>
      </c>
      <c r="H237" s="2100">
        <v>10962</v>
      </c>
      <c r="I237" s="2238">
        <f>VLOOKUP(A237,'Trial Balance - FPer'!$A$7:$I$1107,7,FALSE)</f>
        <v>14616</v>
      </c>
      <c r="J237" s="2100">
        <f>VLOOKUP(A237,'Trial Balance - FPer'!$A$7:$I$1126,3,FALSE)</f>
        <v>17370</v>
      </c>
    </row>
    <row r="238" spans="1:10" ht="14.25" hidden="1" x14ac:dyDescent="0.2">
      <c r="A238" s="2236"/>
      <c r="B238" s="2243" t="s">
        <v>6505</v>
      </c>
      <c r="C238" s="2244"/>
      <c r="D238" s="2245"/>
      <c r="E238" s="2244"/>
      <c r="F238" s="2255"/>
      <c r="G238" s="2253"/>
      <c r="H238" s="2100"/>
      <c r="I238" s="2238"/>
      <c r="J238" s="2100"/>
    </row>
    <row r="239" spans="1:10" ht="14.25" hidden="1" x14ac:dyDescent="0.2">
      <c r="A239" s="2236" t="s">
        <v>4947</v>
      </c>
      <c r="B239" s="2243" t="s">
        <v>6632</v>
      </c>
      <c r="C239" s="2244">
        <f>'[2]Data File'!$C$555</f>
        <v>2008</v>
      </c>
      <c r="D239" s="2245">
        <v>5429.13</v>
      </c>
      <c r="E239" s="2244">
        <v>0</v>
      </c>
      <c r="F239" s="2255">
        <f>E239/6*12</f>
        <v>0</v>
      </c>
      <c r="G239" s="2253">
        <v>1361.57</v>
      </c>
      <c r="H239" s="2100">
        <v>0</v>
      </c>
      <c r="I239" s="2238">
        <f>VLOOKUP(A239,'Trial Balance - FPer'!$A$7:$I$1107,7,FALSE)</f>
        <v>0</v>
      </c>
      <c r="J239" s="2100">
        <f>VLOOKUP(A239,'Trial Balance - FPer'!$A$7:$I$1126,3,FALSE)</f>
        <v>2008</v>
      </c>
    </row>
    <row r="240" spans="1:10" ht="14.25" hidden="1" x14ac:dyDescent="0.2">
      <c r="A240" s="2236"/>
      <c r="B240" s="2243" t="s">
        <v>6640</v>
      </c>
      <c r="C240" s="2244"/>
      <c r="D240" s="2245"/>
      <c r="E240" s="2244"/>
      <c r="F240" s="2255"/>
      <c r="G240" s="2253"/>
      <c r="H240" s="2100"/>
      <c r="I240" s="2238"/>
      <c r="J240" s="2100"/>
    </row>
    <row r="241" spans="1:10" ht="14.25" hidden="1" x14ac:dyDescent="0.2">
      <c r="A241" s="2236" t="s">
        <v>4948</v>
      </c>
      <c r="B241" s="2243" t="s">
        <v>6007</v>
      </c>
      <c r="C241" s="2244">
        <f>'[2]Data File'!$C$389</f>
        <v>21076.81</v>
      </c>
      <c r="D241" s="2245">
        <v>23463.99</v>
      </c>
      <c r="E241" s="2244">
        <v>8773.6</v>
      </c>
      <c r="F241" s="2255">
        <f>E241/6*12</f>
        <v>17547.2</v>
      </c>
      <c r="G241" s="2253">
        <v>19082.3</v>
      </c>
      <c r="H241" s="2100">
        <v>8773.6</v>
      </c>
      <c r="I241" s="2238">
        <f>VLOOKUP(A241,'Trial Balance - FPer'!$A$7:$I$1107,7,FALSE)</f>
        <v>15089.25</v>
      </c>
      <c r="J241" s="2100">
        <f>VLOOKUP(A241,'Trial Balance - FPer'!$A$7:$I$1126,3,FALSE)</f>
        <v>21076.81</v>
      </c>
    </row>
    <row r="242" spans="1:10" ht="14.25" hidden="1" x14ac:dyDescent="0.2">
      <c r="A242" s="2236"/>
      <c r="B242" s="2243" t="s">
        <v>6505</v>
      </c>
      <c r="C242" s="2244"/>
      <c r="D242" s="2245"/>
      <c r="E242" s="2244"/>
      <c r="F242" s="2255"/>
      <c r="G242" s="2253"/>
      <c r="H242" s="2100"/>
      <c r="I242" s="2238"/>
      <c r="J242" s="2100"/>
    </row>
    <row r="243" spans="1:10" ht="14.25" hidden="1" x14ac:dyDescent="0.2">
      <c r="A243" s="2236" t="s">
        <v>4949</v>
      </c>
      <c r="B243" s="2243" t="s">
        <v>6007</v>
      </c>
      <c r="C243" s="2244">
        <f>'[2]Data File'!$C$556</f>
        <v>4011.28</v>
      </c>
      <c r="D243" s="2245">
        <v>7863.61</v>
      </c>
      <c r="E243" s="2244">
        <v>0</v>
      </c>
      <c r="F243" s="2255">
        <f>E243/6*12</f>
        <v>0</v>
      </c>
      <c r="G243" s="2253">
        <v>1972.81</v>
      </c>
      <c r="H243" s="2100">
        <v>0</v>
      </c>
      <c r="I243" s="2238">
        <f>VLOOKUP(A243,'Trial Balance - FPer'!$A$7:$I$1107,7,FALSE)</f>
        <v>0</v>
      </c>
      <c r="J243" s="2100">
        <f>VLOOKUP(A243,'Trial Balance - FPer'!$A$7:$I$1126,3,FALSE)</f>
        <v>4011.28</v>
      </c>
    </row>
    <row r="244" spans="1:10" ht="14.25" hidden="1" x14ac:dyDescent="0.2">
      <c r="A244" s="2236"/>
      <c r="B244" s="2243" t="s">
        <v>6640</v>
      </c>
      <c r="C244" s="2244"/>
      <c r="D244" s="2245"/>
      <c r="E244" s="2244"/>
      <c r="F244" s="2255"/>
      <c r="G244" s="2253"/>
      <c r="H244" s="2100"/>
      <c r="I244" s="2238"/>
      <c r="J244" s="2100"/>
    </row>
    <row r="245" spans="1:10" ht="14.25" hidden="1" x14ac:dyDescent="0.2">
      <c r="A245" s="2236" t="s">
        <v>4950</v>
      </c>
      <c r="B245" s="2243" t="s">
        <v>6582</v>
      </c>
      <c r="C245" s="2244">
        <f>'[2]Data File'!$C$224</f>
        <v>0</v>
      </c>
      <c r="D245" s="2245">
        <v>0</v>
      </c>
      <c r="E245" s="2244">
        <v>0</v>
      </c>
      <c r="F245" s="2255">
        <f>E245/6*12</f>
        <v>0</v>
      </c>
      <c r="G245" s="2253">
        <v>0</v>
      </c>
      <c r="H245" s="2100">
        <v>0</v>
      </c>
      <c r="I245" s="2238">
        <f>VLOOKUP(A245,'Trial Balance - FPer'!$A$7:$I$1107,7,FALSE)</f>
        <v>0</v>
      </c>
      <c r="J245" s="2100">
        <f>VLOOKUP(A245,'Trial Balance - FPer'!$A$7:$I$1126,3,FALSE)</f>
        <v>0</v>
      </c>
    </row>
    <row r="246" spans="1:10" ht="14.25" hidden="1" x14ac:dyDescent="0.2">
      <c r="A246" s="2236"/>
      <c r="B246" s="2243" t="s">
        <v>6660</v>
      </c>
      <c r="C246" s="2244"/>
      <c r="D246" s="2245"/>
      <c r="E246" s="2244"/>
      <c r="F246" s="2255"/>
      <c r="G246" s="2253"/>
      <c r="H246" s="2100"/>
      <c r="I246" s="2238"/>
      <c r="J246" s="2100"/>
    </row>
    <row r="247" spans="1:10" ht="14.25" hidden="1" x14ac:dyDescent="0.2">
      <c r="A247" s="2236" t="s">
        <v>4951</v>
      </c>
      <c r="B247" s="2243" t="s">
        <v>6582</v>
      </c>
      <c r="C247" s="2244">
        <f>'[2]Data File'!$C$390</f>
        <v>7376.2</v>
      </c>
      <c r="D247" s="2245">
        <v>10846.02</v>
      </c>
      <c r="E247" s="2244">
        <v>0</v>
      </c>
      <c r="F247" s="2255">
        <f>E247/6*12</f>
        <v>0</v>
      </c>
      <c r="G247" s="2253">
        <v>2723.01</v>
      </c>
      <c r="H247" s="2100">
        <v>0</v>
      </c>
      <c r="I247" s="2238">
        <f>VLOOKUP(A247,'Trial Balance - FPer'!$A$7:$I$1107,7,FALSE)</f>
        <v>0</v>
      </c>
      <c r="J247" s="2100">
        <f>VLOOKUP(A247,'Trial Balance - FPer'!$A$7:$I$1126,3,FALSE)</f>
        <v>7376.2</v>
      </c>
    </row>
    <row r="248" spans="1:10" ht="14.25" hidden="1" x14ac:dyDescent="0.2">
      <c r="A248" s="2236"/>
      <c r="B248" s="2243" t="s">
        <v>6505</v>
      </c>
      <c r="C248" s="2244"/>
      <c r="D248" s="2245"/>
      <c r="E248" s="2244"/>
      <c r="F248" s="2255"/>
      <c r="G248" s="2253"/>
      <c r="H248" s="2100"/>
      <c r="I248" s="2238"/>
      <c r="J248" s="2100"/>
    </row>
    <row r="249" spans="1:10" ht="14.25" hidden="1" x14ac:dyDescent="0.2">
      <c r="A249" s="2236" t="s">
        <v>4952</v>
      </c>
      <c r="B249" s="2243" t="s">
        <v>6582</v>
      </c>
      <c r="C249" s="2244">
        <f>'[2]Data File'!$C$557</f>
        <v>0</v>
      </c>
      <c r="D249" s="2245">
        <v>0</v>
      </c>
      <c r="E249" s="2244">
        <v>0</v>
      </c>
      <c r="F249" s="2255">
        <f>E249/6*12</f>
        <v>0</v>
      </c>
      <c r="G249" s="2253">
        <v>0</v>
      </c>
      <c r="H249" s="2100">
        <v>0</v>
      </c>
      <c r="I249" s="2238">
        <f>VLOOKUP(A249,'Trial Balance - FPer'!$A$7:$I$1107,7,FALSE)</f>
        <v>0</v>
      </c>
      <c r="J249" s="2100">
        <f>VLOOKUP(A249,'Trial Balance - FPer'!$A$7:$I$1126,3,FALSE)</f>
        <v>0</v>
      </c>
    </row>
    <row r="250" spans="1:10" ht="14.25" hidden="1" x14ac:dyDescent="0.2">
      <c r="A250" s="2236"/>
      <c r="B250" s="2243" t="s">
        <v>6640</v>
      </c>
      <c r="C250" s="2244"/>
      <c r="D250" s="2245"/>
      <c r="E250" s="2244"/>
      <c r="F250" s="2255"/>
      <c r="G250" s="2253"/>
      <c r="H250" s="2100"/>
      <c r="I250" s="2238"/>
      <c r="J250" s="2100"/>
    </row>
    <row r="251" spans="1:10" ht="14.25" hidden="1" x14ac:dyDescent="0.2">
      <c r="A251" s="2236" t="s">
        <v>4953</v>
      </c>
      <c r="B251" s="2243" t="s">
        <v>6672</v>
      </c>
      <c r="C251" s="2244">
        <f>'[2]Data File'!$C$392</f>
        <v>232.84</v>
      </c>
      <c r="D251" s="2245">
        <v>294187.38</v>
      </c>
      <c r="E251" s="2244">
        <v>90014.45</v>
      </c>
      <c r="F251" s="2255">
        <v>90014.45</v>
      </c>
      <c r="G251" s="2253">
        <v>209221.25</v>
      </c>
      <c r="H251" s="2100">
        <v>90014.45</v>
      </c>
      <c r="I251" s="2238">
        <f>VLOOKUP(A251,'Trial Balance - FPer'!$A$7:$I$1107,7,FALSE)</f>
        <v>199510.83000000002</v>
      </c>
      <c r="J251" s="2100">
        <f>VLOOKUP(A251,'Trial Balance - FPer'!$A$7:$I$1126,3,FALSE)</f>
        <v>232.84</v>
      </c>
    </row>
    <row r="252" spans="1:10" ht="14.25" hidden="1" x14ac:dyDescent="0.2">
      <c r="A252" s="2236"/>
      <c r="B252" s="2243" t="s">
        <v>6505</v>
      </c>
      <c r="C252" s="2244"/>
      <c r="D252" s="2245"/>
      <c r="E252" s="2244"/>
      <c r="F252" s="2255"/>
      <c r="G252" s="2253"/>
      <c r="H252" s="2100"/>
      <c r="I252" s="2238"/>
      <c r="J252" s="2100"/>
    </row>
    <row r="253" spans="1:10" ht="14.25" hidden="1" x14ac:dyDescent="0.2">
      <c r="A253" s="2236" t="s">
        <v>4955</v>
      </c>
      <c r="B253" s="2243" t="s">
        <v>6583</v>
      </c>
      <c r="C253" s="2244">
        <f>'[2]Data File'!$C$226</f>
        <v>4223.29</v>
      </c>
      <c r="D253" s="2245">
        <v>9134.98</v>
      </c>
      <c r="E253" s="2244">
        <v>55543.17</v>
      </c>
      <c r="F253" s="2255">
        <v>145543.17000000001</v>
      </c>
      <c r="G253" s="2253">
        <v>85846.59</v>
      </c>
      <c r="H253" s="2100">
        <v>70543.17</v>
      </c>
      <c r="I253" s="2238">
        <f>VLOOKUP(A253,'Trial Balance - FPer'!$A$7:$I$1107,7,FALSE)</f>
        <v>145543.17000000001</v>
      </c>
      <c r="J253" s="2100">
        <f>VLOOKUP(A253,'Trial Balance - FPer'!$A$7:$I$1126,3,FALSE)</f>
        <v>4223.29</v>
      </c>
    </row>
    <row r="254" spans="1:10" ht="14.25" hidden="1" x14ac:dyDescent="0.2">
      <c r="A254" s="2236"/>
      <c r="B254" s="2243" t="s">
        <v>6660</v>
      </c>
      <c r="C254" s="2244"/>
      <c r="D254" s="2245"/>
      <c r="E254" s="2244"/>
      <c r="F254" s="2255"/>
      <c r="G254" s="2253"/>
      <c r="H254" s="2100"/>
      <c r="I254" s="2238"/>
      <c r="J254" s="2100"/>
    </row>
    <row r="255" spans="1:10" ht="14.25" hidden="1" x14ac:dyDescent="0.2">
      <c r="A255" s="2236" t="s">
        <v>4956</v>
      </c>
      <c r="B255" s="2243" t="s">
        <v>6583</v>
      </c>
      <c r="C255" s="2244">
        <f>'[2]Data File'!$C$393</f>
        <v>30000</v>
      </c>
      <c r="D255" s="2245">
        <v>37852.5</v>
      </c>
      <c r="E255" s="2244">
        <v>50975.3</v>
      </c>
      <c r="F255" s="2255">
        <v>152975.29999999999</v>
      </c>
      <c r="G255" s="2253">
        <v>86164.23</v>
      </c>
      <c r="H255" s="2100">
        <v>67975.3</v>
      </c>
      <c r="I255" s="2238">
        <f>VLOOKUP(A255,'Trial Balance - FPer'!$A$7:$I$1107,7,FALSE)</f>
        <v>138975.29999999999</v>
      </c>
      <c r="J255" s="2100">
        <f>VLOOKUP(A255,'Trial Balance - FPer'!$A$7:$I$1126,3,FALSE)</f>
        <v>30000</v>
      </c>
    </row>
    <row r="256" spans="1:10" ht="14.25" hidden="1" x14ac:dyDescent="0.2">
      <c r="A256" s="2236"/>
      <c r="B256" s="2243" t="s">
        <v>6505</v>
      </c>
      <c r="C256" s="2244"/>
      <c r="D256" s="2245"/>
      <c r="E256" s="2244"/>
      <c r="F256" s="2255"/>
      <c r="G256" s="2253"/>
      <c r="H256" s="2100"/>
      <c r="I256" s="2238"/>
      <c r="J256" s="2100"/>
    </row>
    <row r="257" spans="1:10" ht="14.25" hidden="1" x14ac:dyDescent="0.2">
      <c r="A257" s="2236" t="s">
        <v>4957</v>
      </c>
      <c r="B257" s="2243" t="s">
        <v>6583</v>
      </c>
      <c r="C257" s="2244">
        <f>'[2]Data File'!$C$559</f>
        <v>11200</v>
      </c>
      <c r="D257" s="2245">
        <v>30282</v>
      </c>
      <c r="E257" s="2244">
        <v>0</v>
      </c>
      <c r="F257" s="2255">
        <f>E257/6*12</f>
        <v>0</v>
      </c>
      <c r="G257" s="2253">
        <v>7602</v>
      </c>
      <c r="H257" s="2100">
        <v>0</v>
      </c>
      <c r="I257" s="2238">
        <f>VLOOKUP(A257,'Trial Balance - FPer'!$A$7:$I$1107,7,FALSE)</f>
        <v>0</v>
      </c>
      <c r="J257" s="2100">
        <f>VLOOKUP(A257,'Trial Balance - FPer'!$A$7:$I$1126,3,FALSE)</f>
        <v>11200</v>
      </c>
    </row>
    <row r="258" spans="1:10" ht="14.25" hidden="1" x14ac:dyDescent="0.2">
      <c r="A258" s="2236"/>
      <c r="B258" s="2243" t="s">
        <v>6640</v>
      </c>
      <c r="C258" s="2244"/>
      <c r="D258" s="2245"/>
      <c r="E258" s="2244"/>
      <c r="F258" s="2255"/>
      <c r="G258" s="2253"/>
      <c r="H258" s="2100"/>
      <c r="I258" s="2238"/>
      <c r="J258" s="2100"/>
    </row>
    <row r="259" spans="1:10" ht="14.25" hidden="1" x14ac:dyDescent="0.2">
      <c r="A259" s="2236" t="s">
        <v>4958</v>
      </c>
      <c r="B259" s="2243" t="s">
        <v>6584</v>
      </c>
      <c r="C259" s="2244">
        <f>'[2]Data File'!$C$220</f>
        <v>-45.1</v>
      </c>
      <c r="D259" s="2245">
        <v>62.08</v>
      </c>
      <c r="E259" s="2244">
        <v>32.799999999999997</v>
      </c>
      <c r="F259" s="2255">
        <v>82</v>
      </c>
      <c r="G259" s="2253">
        <v>66.37</v>
      </c>
      <c r="H259" s="2100">
        <v>41</v>
      </c>
      <c r="I259" s="2238">
        <f>VLOOKUP(A259,'Trial Balance - FPer'!$A$7:$I$1107,7,FALSE)</f>
        <v>65.599999999999994</v>
      </c>
      <c r="J259" s="2100">
        <f>VLOOKUP(A259,'Trial Balance - FPer'!$A$7:$I$1126,3,FALSE)</f>
        <v>-45.1</v>
      </c>
    </row>
    <row r="260" spans="1:10" ht="14.25" hidden="1" x14ac:dyDescent="0.2">
      <c r="A260" s="2236"/>
      <c r="B260" s="2243" t="s">
        <v>6660</v>
      </c>
      <c r="C260" s="2244"/>
      <c r="D260" s="2245"/>
      <c r="E260" s="2244"/>
      <c r="F260" s="2255"/>
      <c r="G260" s="2253"/>
      <c r="H260" s="2100"/>
      <c r="I260" s="2238"/>
      <c r="J260" s="2100"/>
    </row>
    <row r="261" spans="1:10" ht="14.25" hidden="1" x14ac:dyDescent="0.2">
      <c r="A261" s="2236" t="s">
        <v>4959</v>
      </c>
      <c r="B261" s="2243" t="s">
        <v>6584</v>
      </c>
      <c r="C261" s="2244">
        <f>'[2]Data File'!$C$385</f>
        <v>1201.3</v>
      </c>
      <c r="D261" s="2245">
        <v>1445.53</v>
      </c>
      <c r="E261" s="2244">
        <v>615</v>
      </c>
      <c r="F261" s="2255">
        <f>E261/6*12</f>
        <v>1230</v>
      </c>
      <c r="G261" s="2253">
        <v>1287.6400000000001</v>
      </c>
      <c r="H261" s="2100">
        <v>717.5</v>
      </c>
      <c r="I261" s="2238">
        <f>VLOOKUP(A261,'Trial Balance - FPer'!$A$7:$I$1107,7,FALSE)</f>
        <v>1201.3</v>
      </c>
      <c r="J261" s="2100">
        <f>VLOOKUP(A261,'Trial Balance - FPer'!$A$7:$I$1126,3,FALSE)</f>
        <v>1201.3</v>
      </c>
    </row>
    <row r="262" spans="1:10" ht="14.25" hidden="1" x14ac:dyDescent="0.2">
      <c r="A262" s="2236"/>
      <c r="B262" s="2243" t="s">
        <v>6505</v>
      </c>
      <c r="C262" s="2244"/>
      <c r="D262" s="2245"/>
      <c r="E262" s="2244"/>
      <c r="F262" s="2255"/>
      <c r="G262" s="2253"/>
      <c r="H262" s="2100"/>
      <c r="I262" s="2238"/>
      <c r="J262" s="2100"/>
    </row>
    <row r="263" spans="1:10" ht="14.25" hidden="1" x14ac:dyDescent="0.2">
      <c r="A263" s="2236" t="s">
        <v>4960</v>
      </c>
      <c r="B263" s="2243" t="s">
        <v>6584</v>
      </c>
      <c r="C263" s="2244">
        <f>'[2]Data File'!$C$552</f>
        <v>82</v>
      </c>
      <c r="D263" s="2245">
        <v>221.71</v>
      </c>
      <c r="E263" s="2244">
        <v>0</v>
      </c>
      <c r="F263" s="2255">
        <f>E263/6*12</f>
        <v>0</v>
      </c>
      <c r="G263" s="2253">
        <v>56.85</v>
      </c>
      <c r="H263" s="2100">
        <v>0</v>
      </c>
      <c r="I263" s="2238">
        <f>VLOOKUP(A263,'Trial Balance - FPer'!$A$7:$I$1107,7,FALSE)</f>
        <v>0</v>
      </c>
      <c r="J263" s="2100">
        <f>VLOOKUP(A263,'Trial Balance - FPer'!$A$7:$I$1126,3,FALSE)</f>
        <v>82</v>
      </c>
    </row>
    <row r="264" spans="1:10" ht="14.25" hidden="1" x14ac:dyDescent="0.2">
      <c r="A264" s="2236"/>
      <c r="B264" s="2243" t="s">
        <v>6640</v>
      </c>
      <c r="C264" s="2244"/>
      <c r="D264" s="2245"/>
      <c r="E264" s="2244"/>
      <c r="F264" s="2255"/>
      <c r="G264" s="2253"/>
      <c r="H264" s="2100"/>
      <c r="I264" s="2238"/>
      <c r="J264" s="2100"/>
    </row>
    <row r="265" spans="1:10" ht="14.25" hidden="1" x14ac:dyDescent="0.2">
      <c r="A265" s="2236" t="s">
        <v>4961</v>
      </c>
      <c r="B265" s="2243" t="s">
        <v>6585</v>
      </c>
      <c r="C265" s="2244">
        <f>'[2]Data File'!$C$225</f>
        <v>2041.49</v>
      </c>
      <c r="D265" s="2245">
        <v>3408.26</v>
      </c>
      <c r="E265" s="2244">
        <v>1711.33</v>
      </c>
      <c r="F265" s="2255">
        <v>4988.3500000000004</v>
      </c>
      <c r="G265" s="2253">
        <v>3428.43</v>
      </c>
      <c r="H265" s="2100">
        <v>2257.5</v>
      </c>
      <c r="I265" s="2238">
        <f>VLOOKUP(A265,'Trial Balance - FPer'!$A$7:$I$1107,7,FALSE)</f>
        <v>4265.0600000000004</v>
      </c>
      <c r="J265" s="2100">
        <f>VLOOKUP(A265,'Trial Balance - FPer'!$A$7:$I$1126,3,FALSE)</f>
        <v>2041.49</v>
      </c>
    </row>
    <row r="266" spans="1:10" ht="14.25" hidden="1" x14ac:dyDescent="0.2">
      <c r="A266" s="2236"/>
      <c r="B266" s="2243" t="s">
        <v>6660</v>
      </c>
      <c r="C266" s="2244"/>
      <c r="D266" s="2245"/>
      <c r="E266" s="2244"/>
      <c r="F266" s="2255"/>
      <c r="G266" s="2253"/>
      <c r="H266" s="2100"/>
      <c r="I266" s="2238"/>
      <c r="J266" s="2100"/>
    </row>
    <row r="267" spans="1:10" ht="14.25" hidden="1" x14ac:dyDescent="0.2">
      <c r="A267" s="2236" t="s">
        <v>4962</v>
      </c>
      <c r="B267" s="2243" t="s">
        <v>6585</v>
      </c>
      <c r="C267" s="2244">
        <f>'[2]Data File'!$C$391</f>
        <v>23997.06</v>
      </c>
      <c r="D267" s="2245">
        <v>30071.89</v>
      </c>
      <c r="E267" s="2244">
        <v>14890.54</v>
      </c>
      <c r="F267" s="2255">
        <v>30731.8</v>
      </c>
      <c r="G267" s="2253">
        <v>29944.16</v>
      </c>
      <c r="H267" s="2100">
        <v>17530.75</v>
      </c>
      <c r="I267" s="2238">
        <f>VLOOKUP(A267,'Trial Balance - FPer'!$A$7:$I$1107,7,FALSE)</f>
        <v>30757.26</v>
      </c>
      <c r="J267" s="2100">
        <f>VLOOKUP(A267,'Trial Balance - FPer'!$A$7:$I$1126,3,FALSE)</f>
        <v>23997.06</v>
      </c>
    </row>
    <row r="268" spans="1:10" ht="14.25" hidden="1" x14ac:dyDescent="0.2">
      <c r="A268" s="2236"/>
      <c r="B268" s="2243" t="s">
        <v>6505</v>
      </c>
      <c r="C268" s="2244"/>
      <c r="D268" s="2245"/>
      <c r="E268" s="2244"/>
      <c r="F268" s="2255"/>
      <c r="G268" s="2253"/>
      <c r="H268" s="2100"/>
      <c r="I268" s="2238"/>
      <c r="J268" s="2100"/>
    </row>
    <row r="269" spans="1:10" ht="14.25" hidden="1" x14ac:dyDescent="0.2">
      <c r="A269" s="2236" t="s">
        <v>4963</v>
      </c>
      <c r="B269" s="2243" t="s">
        <v>6585</v>
      </c>
      <c r="C269" s="2244">
        <f>'[2]Data File'!$C$558</f>
        <v>1659.1</v>
      </c>
      <c r="D269" s="2245">
        <v>4461.1899999999996</v>
      </c>
      <c r="E269" s="2244">
        <v>0</v>
      </c>
      <c r="F269" s="2255">
        <f>E269/6*12</f>
        <v>0</v>
      </c>
      <c r="G269" s="2253">
        <v>1120.5999999999999</v>
      </c>
      <c r="H269" s="2100">
        <v>0</v>
      </c>
      <c r="I269" s="2238">
        <f>VLOOKUP(A269,'Trial Balance - FPer'!$A$7:$I$1107,7,FALSE)</f>
        <v>0</v>
      </c>
      <c r="J269" s="2100">
        <f>VLOOKUP(A269,'Trial Balance - FPer'!$A$7:$I$1126,3,FALSE)</f>
        <v>1659.1</v>
      </c>
    </row>
    <row r="270" spans="1:10" ht="14.25" hidden="1" x14ac:dyDescent="0.2">
      <c r="A270" s="2236"/>
      <c r="B270" s="2243" t="s">
        <v>6640</v>
      </c>
      <c r="C270" s="2244"/>
      <c r="D270" s="2245"/>
      <c r="E270" s="2244"/>
      <c r="F270" s="2255"/>
      <c r="G270" s="2253"/>
      <c r="H270" s="2100"/>
      <c r="I270" s="2238"/>
      <c r="J270" s="2100"/>
    </row>
    <row r="271" spans="1:10" ht="14.25" hidden="1" x14ac:dyDescent="0.2">
      <c r="A271" s="2236" t="s">
        <v>4964</v>
      </c>
      <c r="B271" s="2243" t="s">
        <v>6586</v>
      </c>
      <c r="C271" s="2244">
        <f>'[2]Data File'!$C$227</f>
        <v>0</v>
      </c>
      <c r="D271" s="2245">
        <v>3505.57</v>
      </c>
      <c r="E271" s="2244">
        <v>0</v>
      </c>
      <c r="F271" s="2255">
        <f>E271/6*12</f>
        <v>0</v>
      </c>
      <c r="G271" s="2253">
        <v>879.79</v>
      </c>
      <c r="H271" s="2100">
        <v>0</v>
      </c>
      <c r="I271" s="2238">
        <f>VLOOKUP(A271,'Trial Balance - FPer'!$A$7:$I$1107,7,FALSE)</f>
        <v>0</v>
      </c>
      <c r="J271" s="2100" t="str">
        <f>VLOOKUP(A271,'Trial Balance - FPer'!$A$7:$I$1126,3,FALSE)</f>
        <v xml:space="preserve">                               -  </v>
      </c>
    </row>
    <row r="272" spans="1:10" ht="14.25" hidden="1" x14ac:dyDescent="0.2">
      <c r="A272" s="2236"/>
      <c r="B272" s="2243" t="s">
        <v>6660</v>
      </c>
      <c r="C272" s="2244"/>
      <c r="D272" s="2245"/>
      <c r="E272" s="2244"/>
      <c r="F272" s="2255"/>
      <c r="G272" s="2253"/>
      <c r="H272" s="2100"/>
      <c r="I272" s="2238"/>
      <c r="J272" s="2100"/>
    </row>
    <row r="273" spans="1:10" ht="14.25" hidden="1" x14ac:dyDescent="0.2">
      <c r="A273" s="2236" t="s">
        <v>4965</v>
      </c>
      <c r="B273" s="2243" t="s">
        <v>6586</v>
      </c>
      <c r="C273" s="2244">
        <f>'[2]Data File'!$C$394</f>
        <v>0</v>
      </c>
      <c r="D273" s="2245">
        <v>430197.35</v>
      </c>
      <c r="E273" s="2244">
        <v>0</v>
      </c>
      <c r="F273" s="2255">
        <f>E273/6*12</f>
        <v>0</v>
      </c>
      <c r="G273" s="2253">
        <v>107980.68</v>
      </c>
      <c r="H273" s="2100">
        <v>0</v>
      </c>
      <c r="I273" s="2238">
        <f>VLOOKUP(A273,'Trial Balance - FPer'!$A$7:$I$1107,7,FALSE)</f>
        <v>0</v>
      </c>
      <c r="J273" s="2100" t="str">
        <f>VLOOKUP(A273,'Trial Balance - FPer'!$A$7:$I$1126,3,FALSE)</f>
        <v xml:space="preserve">                               -  </v>
      </c>
    </row>
    <row r="274" spans="1:10" ht="14.25" hidden="1" x14ac:dyDescent="0.2">
      <c r="A274" s="2236"/>
      <c r="B274" s="2243" t="s">
        <v>6505</v>
      </c>
      <c r="C274" s="2244"/>
      <c r="D274" s="2245"/>
      <c r="E274" s="2244"/>
      <c r="F274" s="2255"/>
      <c r="G274" s="2253"/>
      <c r="H274" s="2100"/>
      <c r="I274" s="2238"/>
      <c r="J274" s="2100"/>
    </row>
    <row r="275" spans="1:10" ht="14.25" hidden="1" x14ac:dyDescent="0.2">
      <c r="A275" s="2236" t="s">
        <v>4966</v>
      </c>
      <c r="B275" s="2243" t="s">
        <v>6586</v>
      </c>
      <c r="C275" s="2244">
        <f>'[2]Data File'!$C$560</f>
        <v>0</v>
      </c>
      <c r="D275" s="2245">
        <v>0</v>
      </c>
      <c r="E275" s="2244">
        <v>0</v>
      </c>
      <c r="F275" s="2255">
        <f>E275/6*12</f>
        <v>0</v>
      </c>
      <c r="G275" s="2253">
        <v>0</v>
      </c>
      <c r="H275" s="2100">
        <v>0</v>
      </c>
      <c r="I275" s="2238">
        <f>VLOOKUP(A275,'Trial Balance - FPer'!$A$7:$I$1107,7,FALSE)</f>
        <v>0</v>
      </c>
      <c r="J275" s="2100">
        <f>VLOOKUP(A275,'Trial Balance - FPer'!$A$7:$I$1126,3,FALSE)</f>
        <v>0</v>
      </c>
    </row>
    <row r="276" spans="1:10" ht="14.25" hidden="1" x14ac:dyDescent="0.2">
      <c r="A276" s="2236"/>
      <c r="B276" s="2243" t="s">
        <v>6640</v>
      </c>
      <c r="C276" s="2244"/>
      <c r="D276" s="2245"/>
      <c r="E276" s="2244"/>
      <c r="F276" s="2255"/>
      <c r="G276" s="2253"/>
      <c r="H276" s="2100"/>
      <c r="I276" s="2238"/>
      <c r="J276" s="2100"/>
    </row>
    <row r="277" spans="1:10" ht="14.25" hidden="1" x14ac:dyDescent="0.2">
      <c r="A277" s="2236" t="s">
        <v>4967</v>
      </c>
      <c r="B277" s="2243" t="s">
        <v>6587</v>
      </c>
      <c r="C277" s="2244">
        <f>'[2]Data File'!$C$217</f>
        <v>7367.33</v>
      </c>
      <c r="D277" s="2245">
        <v>2121.75</v>
      </c>
      <c r="E277" s="2244">
        <v>9222.6</v>
      </c>
      <c r="F277" s="2255">
        <v>25185</v>
      </c>
      <c r="G277" s="2253">
        <v>14409.39</v>
      </c>
      <c r="H277" s="2100">
        <v>11883</v>
      </c>
      <c r="I277" s="2238">
        <f>VLOOKUP(A277,'Trial Balance - FPer'!$A$7:$I$1107,7,FALSE)</f>
        <v>20745</v>
      </c>
      <c r="J277" s="2100">
        <f>VLOOKUP(A277,'Trial Balance - FPer'!$A$7:$I$1126,3,FALSE)</f>
        <v>7367.33</v>
      </c>
    </row>
    <row r="278" spans="1:10" ht="14.25" hidden="1" x14ac:dyDescent="0.2">
      <c r="A278" s="2236"/>
      <c r="B278" s="2243" t="s">
        <v>6660</v>
      </c>
      <c r="C278" s="2244"/>
      <c r="D278" s="2245"/>
      <c r="E278" s="2244"/>
      <c r="F278" s="2255"/>
      <c r="G278" s="2253"/>
      <c r="H278" s="2100"/>
      <c r="I278" s="2238"/>
      <c r="J278" s="2100"/>
    </row>
    <row r="279" spans="1:10" ht="14.25" hidden="1" x14ac:dyDescent="0.2">
      <c r="A279" s="2236" t="s">
        <v>4968</v>
      </c>
      <c r="B279" s="2243" t="s">
        <v>6587</v>
      </c>
      <c r="C279" s="2244">
        <f>'[2]Data File'!$C$382</f>
        <v>138428.4</v>
      </c>
      <c r="D279" s="2245">
        <v>177867.38</v>
      </c>
      <c r="E279" s="2244">
        <v>73261.2</v>
      </c>
      <c r="F279" s="2255">
        <v>158970</v>
      </c>
      <c r="G279" s="2253">
        <v>154835.98000000001</v>
      </c>
      <c r="H279" s="2100">
        <v>87546</v>
      </c>
      <c r="I279" s="2238">
        <f>VLOOKUP(A279,'Trial Balance - FPer'!$A$7:$I$1107,7,FALSE)</f>
        <v>178702.8</v>
      </c>
      <c r="J279" s="2100">
        <f>VLOOKUP(A279,'Trial Balance - FPer'!$A$7:$I$1126,3,FALSE)</f>
        <v>138428.4</v>
      </c>
    </row>
    <row r="280" spans="1:10" ht="14.25" hidden="1" x14ac:dyDescent="0.2">
      <c r="A280" s="2236"/>
      <c r="B280" s="2243" t="s">
        <v>6505</v>
      </c>
      <c r="C280" s="2244"/>
      <c r="D280" s="2245"/>
      <c r="E280" s="2244"/>
      <c r="F280" s="2255"/>
      <c r="G280" s="2253"/>
      <c r="H280" s="2100"/>
      <c r="I280" s="2238"/>
      <c r="J280" s="2100"/>
    </row>
    <row r="281" spans="1:10" ht="14.25" hidden="1" x14ac:dyDescent="0.2">
      <c r="A281" s="2236" t="s">
        <v>4969</v>
      </c>
      <c r="B281" s="2243" t="s">
        <v>6587</v>
      </c>
      <c r="C281" s="2244">
        <f>'[2]Data File'!$C$549</f>
        <v>11968.8</v>
      </c>
      <c r="D281" s="2245">
        <v>32360.639999999999</v>
      </c>
      <c r="E281" s="2244">
        <v>0</v>
      </c>
      <c r="F281" s="2255">
        <f>E281/6*12</f>
        <v>0</v>
      </c>
      <c r="G281" s="2253">
        <v>8122.32</v>
      </c>
      <c r="H281" s="2100">
        <v>0</v>
      </c>
      <c r="I281" s="2238">
        <f>VLOOKUP(A281,'Trial Balance - FPer'!$A$7:$I$1107,7,FALSE)</f>
        <v>0</v>
      </c>
      <c r="J281" s="2100">
        <f>VLOOKUP(A281,'Trial Balance - FPer'!$A$7:$I$1126,3,FALSE)</f>
        <v>11968.8</v>
      </c>
    </row>
    <row r="282" spans="1:10" ht="14.25" hidden="1" x14ac:dyDescent="0.2">
      <c r="A282" s="2236"/>
      <c r="B282" s="2243" t="s">
        <v>6640</v>
      </c>
      <c r="C282" s="2244"/>
      <c r="D282" s="2245"/>
      <c r="E282" s="2244"/>
      <c r="F282" s="2255"/>
      <c r="G282" s="2253"/>
      <c r="H282" s="2100"/>
      <c r="I282" s="2238"/>
      <c r="J282" s="2100"/>
    </row>
    <row r="283" spans="1:10" ht="14.25" hidden="1" x14ac:dyDescent="0.2">
      <c r="A283" s="2236" t="s">
        <v>4970</v>
      </c>
      <c r="B283" s="2243" t="s">
        <v>6013</v>
      </c>
      <c r="C283" s="2244">
        <f>'[2]Data File'!$C$218</f>
        <v>15420.76</v>
      </c>
      <c r="D283" s="2245">
        <v>18127.32</v>
      </c>
      <c r="E283" s="2244">
        <v>7345.6</v>
      </c>
      <c r="F283" s="2255">
        <v>19626.580000000002</v>
      </c>
      <c r="G283" s="2253">
        <v>15595.05</v>
      </c>
      <c r="H283" s="2100">
        <v>9392.43</v>
      </c>
      <c r="I283" s="2238">
        <f>VLOOKUP(A283,'Trial Balance - FPer'!$A$7:$I$1107,7,FALSE)</f>
        <v>11439.26</v>
      </c>
      <c r="J283" s="2100">
        <f>VLOOKUP(A283,'Trial Balance - FPer'!$A$7:$I$1126,3,FALSE)</f>
        <v>15420.76</v>
      </c>
    </row>
    <row r="284" spans="1:10" ht="14.25" hidden="1" x14ac:dyDescent="0.2">
      <c r="A284" s="2236"/>
      <c r="B284" s="2243" t="s">
        <v>6660</v>
      </c>
      <c r="C284" s="2244"/>
      <c r="D284" s="2245"/>
      <c r="E284" s="2244"/>
      <c r="F284" s="2255"/>
      <c r="G284" s="2253"/>
      <c r="H284" s="2100"/>
      <c r="I284" s="2238"/>
      <c r="J284" s="2100"/>
    </row>
    <row r="285" spans="1:10" ht="14.25" hidden="1" x14ac:dyDescent="0.2">
      <c r="A285" s="2236" t="s">
        <v>4971</v>
      </c>
      <c r="B285" s="2243" t="s">
        <v>6013</v>
      </c>
      <c r="C285" s="2244">
        <f>'[2]Data File'!$C$383</f>
        <v>349296.07</v>
      </c>
      <c r="D285" s="2245">
        <v>1861446.18</v>
      </c>
      <c r="E285" s="2244">
        <v>259373.83</v>
      </c>
      <c r="F285" s="2255">
        <v>539590.03</v>
      </c>
      <c r="G285" s="2253">
        <v>857325.94</v>
      </c>
      <c r="H285" s="2100">
        <v>306076.53000000003</v>
      </c>
      <c r="I285" s="2238">
        <f>VLOOKUP(A285,'Trial Balance - FPer'!$A$7:$I$1107,7,FALSE)</f>
        <v>520630.68</v>
      </c>
      <c r="J285" s="2100">
        <f>VLOOKUP(A285,'Trial Balance - FPer'!$A$7:$I$1126,3,FALSE)</f>
        <v>349296.07</v>
      </c>
    </row>
    <row r="286" spans="1:10" ht="14.25" hidden="1" x14ac:dyDescent="0.2">
      <c r="A286" s="2236"/>
      <c r="B286" s="2243" t="s">
        <v>6505</v>
      </c>
      <c r="C286" s="2244"/>
      <c r="D286" s="2245"/>
      <c r="E286" s="2244"/>
      <c r="F286" s="2255"/>
      <c r="G286" s="2253"/>
      <c r="H286" s="2100"/>
      <c r="I286" s="2238"/>
      <c r="J286" s="2100"/>
    </row>
    <row r="287" spans="1:10" ht="14.25" hidden="1" x14ac:dyDescent="0.2">
      <c r="A287" s="2236" t="s">
        <v>4972</v>
      </c>
      <c r="B287" s="2243" t="s">
        <v>6013</v>
      </c>
      <c r="C287" s="2244">
        <f>'[2]Data File'!$C$550</f>
        <v>22861.08</v>
      </c>
      <c r="D287" s="2245">
        <v>61810.65</v>
      </c>
      <c r="E287" s="2244">
        <v>0</v>
      </c>
      <c r="F287" s="2255">
        <f>E287/6*12</f>
        <v>0</v>
      </c>
      <c r="G287" s="2253">
        <v>15515.33</v>
      </c>
      <c r="H287" s="2100">
        <v>0</v>
      </c>
      <c r="I287" s="2238">
        <f>VLOOKUP(A287,'Trial Balance - FPer'!$A$7:$I$1107,7,FALSE)</f>
        <v>0</v>
      </c>
      <c r="J287" s="2100">
        <f>VLOOKUP(A287,'Trial Balance - FPer'!$A$7:$I$1126,3,FALSE)</f>
        <v>22861.08</v>
      </c>
    </row>
    <row r="288" spans="1:10" ht="14.25" hidden="1" x14ac:dyDescent="0.2">
      <c r="A288" s="2236"/>
      <c r="B288" s="2243" t="s">
        <v>6640</v>
      </c>
      <c r="C288" s="2244"/>
      <c r="D288" s="2245"/>
      <c r="E288" s="2244"/>
      <c r="F288" s="2255"/>
      <c r="G288" s="2253"/>
      <c r="H288" s="2100"/>
      <c r="I288" s="2238"/>
      <c r="J288" s="2100"/>
    </row>
    <row r="289" spans="1:10" ht="14.25" hidden="1" x14ac:dyDescent="0.2">
      <c r="A289" s="2236" t="s">
        <v>4973</v>
      </c>
      <c r="B289" s="2243" t="s">
        <v>6014</v>
      </c>
      <c r="C289" s="2244">
        <f>'[2]Data File'!$C$219</f>
        <v>1035.74</v>
      </c>
      <c r="D289" s="2245">
        <v>1219.3900000000001</v>
      </c>
      <c r="E289" s="2244">
        <v>803.73</v>
      </c>
      <c r="F289" s="2255">
        <v>2228.0100000000002</v>
      </c>
      <c r="G289" s="2253">
        <v>1517.23</v>
      </c>
      <c r="H289" s="2100">
        <v>1041.1099999999999</v>
      </c>
      <c r="I289" s="2238">
        <f>VLOOKUP(A289,'Trial Balance - FPer'!$A$7:$I$1107,7,FALSE)</f>
        <v>1777.61</v>
      </c>
      <c r="J289" s="2100">
        <f>VLOOKUP(A289,'Trial Balance - FPer'!$A$7:$I$1126,3,FALSE)</f>
        <v>1035.74</v>
      </c>
    </row>
    <row r="290" spans="1:10" ht="14.25" hidden="1" x14ac:dyDescent="0.2">
      <c r="A290" s="2236"/>
      <c r="B290" s="2243" t="s">
        <v>6660</v>
      </c>
      <c r="C290" s="2244"/>
      <c r="D290" s="2245"/>
      <c r="E290" s="2244"/>
      <c r="F290" s="2255"/>
      <c r="G290" s="2253"/>
      <c r="H290" s="2100"/>
      <c r="I290" s="2238"/>
      <c r="J290" s="2100"/>
    </row>
    <row r="291" spans="1:10" ht="14.25" hidden="1" x14ac:dyDescent="0.2">
      <c r="A291" s="2236" t="s">
        <v>4974</v>
      </c>
      <c r="B291" s="2243" t="s">
        <v>6014</v>
      </c>
      <c r="C291" s="2244">
        <f>'[2]Data File'!$C$384</f>
        <v>22369.93</v>
      </c>
      <c r="D291" s="2245">
        <v>28824.81</v>
      </c>
      <c r="E291" s="2244">
        <v>13510.17</v>
      </c>
      <c r="F291" s="2255">
        <v>27485.97</v>
      </c>
      <c r="G291" s="2253">
        <v>27557.48</v>
      </c>
      <c r="H291" s="2100">
        <v>15839.47</v>
      </c>
      <c r="I291" s="2238">
        <f>VLOOKUP(A291,'Trial Balance - FPer'!$A$7:$I$1107,7,FALSE)</f>
        <v>26508.32</v>
      </c>
      <c r="J291" s="2100">
        <f>VLOOKUP(A291,'Trial Balance - FPer'!$A$7:$I$1126,3,FALSE)</f>
        <v>22369.93</v>
      </c>
    </row>
    <row r="292" spans="1:10" ht="14.25" hidden="1" x14ac:dyDescent="0.2">
      <c r="A292" s="2236"/>
      <c r="B292" s="2243" t="s">
        <v>6505</v>
      </c>
      <c r="C292" s="2244"/>
      <c r="D292" s="2245"/>
      <c r="E292" s="2244"/>
      <c r="F292" s="2255"/>
      <c r="G292" s="2253"/>
      <c r="H292" s="2100"/>
      <c r="I292" s="2238"/>
      <c r="J292" s="2100"/>
    </row>
    <row r="293" spans="1:10" ht="14.25" hidden="1" x14ac:dyDescent="0.2">
      <c r="A293" s="2236" t="s">
        <v>4975</v>
      </c>
      <c r="B293" s="2243" t="s">
        <v>6014</v>
      </c>
      <c r="C293" s="2244">
        <f>'[2]Data File'!$C$551</f>
        <v>1668.63</v>
      </c>
      <c r="D293" s="2245">
        <v>4500.01</v>
      </c>
      <c r="E293" s="2244">
        <v>0</v>
      </c>
      <c r="F293" s="2255">
        <f>E293/6*12</f>
        <v>0</v>
      </c>
      <c r="G293" s="2253">
        <v>1128.01</v>
      </c>
      <c r="H293" s="2100">
        <v>0</v>
      </c>
      <c r="I293" s="2238">
        <f>VLOOKUP(A293,'Trial Balance - FPer'!$A$7:$I$1107,7,FALSE)</f>
        <v>0</v>
      </c>
      <c r="J293" s="2100">
        <f>VLOOKUP(A293,'Trial Balance - FPer'!$A$7:$I$1126,3,FALSE)</f>
        <v>1668.63</v>
      </c>
    </row>
    <row r="294" spans="1:10" ht="14.25" hidden="1" x14ac:dyDescent="0.2">
      <c r="A294" s="2236"/>
      <c r="B294" s="2247" t="s">
        <v>6640</v>
      </c>
      <c r="C294" s="2248"/>
      <c r="D294" s="2249"/>
      <c r="E294" s="2248"/>
      <c r="F294" s="2250"/>
      <c r="G294" s="2248"/>
      <c r="H294" s="2100"/>
      <c r="I294" s="2238"/>
      <c r="J294" s="2100"/>
    </row>
    <row r="295" spans="1:10" s="2615" customFormat="1" hidden="1" x14ac:dyDescent="0.2">
      <c r="A295" s="2612"/>
      <c r="B295" s="2613" t="s">
        <v>6588</v>
      </c>
      <c r="C295" s="2614">
        <f>SUM(C215:C294)</f>
        <v>3377939.13</v>
      </c>
      <c r="D295" s="2614">
        <f>SUM(D215:D294)</f>
        <v>6810037.8099999987</v>
      </c>
      <c r="E295" s="2614">
        <f>SUM(E215:E294)</f>
        <v>2282617.8200000003</v>
      </c>
      <c r="F295" s="2614">
        <f>SUM(F215:F294)</f>
        <v>4911988.0600000005</v>
      </c>
      <c r="G295" s="2614">
        <f>SUM(G215:G294)</f>
        <v>5142545.6700000018</v>
      </c>
      <c r="H295" s="2614">
        <f t="shared" ref="H295" si="25">SUM(H215:H294)</f>
        <v>2705519.04</v>
      </c>
      <c r="I295" s="2614">
        <f>SUM(I215:I294)</f>
        <v>4716068.05</v>
      </c>
      <c r="J295" s="2614">
        <f>SUM(J215:J294)</f>
        <v>3377939.13</v>
      </c>
    </row>
    <row r="296" spans="1:10" ht="14.25" hidden="1" x14ac:dyDescent="0.2">
      <c r="A296" s="2236"/>
      <c r="B296" s="2243"/>
      <c r="C296" s="2244"/>
      <c r="D296" s="2245"/>
      <c r="E296" s="2244"/>
      <c r="F296" s="2246"/>
      <c r="G296" s="2244"/>
      <c r="H296" s="2244"/>
      <c r="I296" s="2238" t="e">
        <f>VLOOKUP(A296,'Trial Balance - FPer'!$A$7:$I$1107,7,FALSE)</f>
        <v>#N/A</v>
      </c>
      <c r="J296" s="2100" t="e">
        <f>VLOOKUP(A296,'Trial Balance - FPer'!$A$7:$I$1126,3,FALSE)</f>
        <v>#N/A</v>
      </c>
    </row>
    <row r="297" spans="1:10" ht="14.25" hidden="1" x14ac:dyDescent="0.2">
      <c r="A297" s="2236"/>
      <c r="B297" s="2242" t="s">
        <v>6673</v>
      </c>
      <c r="C297" s="2244"/>
      <c r="D297" s="2245"/>
      <c r="E297" s="2244"/>
      <c r="F297" s="2246"/>
      <c r="G297" s="2244"/>
      <c r="H297" s="2244"/>
      <c r="I297" s="2238" t="e">
        <f>VLOOKUP(A297,'Trial Balance - FPer'!$A$7:$I$1107,7,FALSE)</f>
        <v>#N/A</v>
      </c>
      <c r="J297" s="2100" t="e">
        <f>VLOOKUP(A297,'Trial Balance - FPer'!$A$7:$I$1126,3,FALSE)</f>
        <v>#N/A</v>
      </c>
    </row>
    <row r="298" spans="1:10" ht="14.25" hidden="1" x14ac:dyDescent="0.2">
      <c r="A298" s="2236" t="s">
        <v>4976</v>
      </c>
      <c r="B298" s="2243" t="s">
        <v>6237</v>
      </c>
      <c r="C298" s="2244">
        <f>'[2]Data File'!$C$564</f>
        <v>0</v>
      </c>
      <c r="D298" s="2245">
        <v>371153.55</v>
      </c>
      <c r="E298" s="2244">
        <v>0</v>
      </c>
      <c r="F298" s="2246">
        <f>D298</f>
        <v>371153.55</v>
      </c>
      <c r="G298" s="2244">
        <v>93158.77</v>
      </c>
      <c r="H298" s="2244"/>
      <c r="I298" s="2238">
        <f>VLOOKUP(A298,'Trial Balance - FPer'!$A$7:$I$1107,7,FALSE)</f>
        <v>0</v>
      </c>
      <c r="J298" s="2100">
        <f>VLOOKUP(A298,'Trial Balance - FPer'!$A$7:$I$1126,3,FALSE)</f>
        <v>0</v>
      </c>
    </row>
    <row r="299" spans="1:10" ht="14.25" hidden="1" x14ac:dyDescent="0.2">
      <c r="A299" s="2236"/>
      <c r="B299" s="2247" t="s">
        <v>6640</v>
      </c>
      <c r="C299" s="2248"/>
      <c r="D299" s="2249"/>
      <c r="E299" s="2248"/>
      <c r="F299" s="2250"/>
      <c r="G299" s="2248"/>
      <c r="H299" s="2244"/>
      <c r="I299" s="2238"/>
      <c r="J299" s="2100"/>
    </row>
    <row r="300" spans="1:10" s="2615" customFormat="1" hidden="1" x14ac:dyDescent="0.2">
      <c r="A300" s="2612"/>
      <c r="B300" s="2613" t="s">
        <v>6674</v>
      </c>
      <c r="C300" s="2614">
        <f>SUM(C298:C299)</f>
        <v>0</v>
      </c>
      <c r="D300" s="2614">
        <f>SUM(D298:D299)</f>
        <v>371153.55</v>
      </c>
      <c r="E300" s="2614">
        <f>SUM(E298:E299)</f>
        <v>0</v>
      </c>
      <c r="F300" s="2614">
        <f>SUM(F298:F299)</f>
        <v>371153.55</v>
      </c>
      <c r="G300" s="2614">
        <f>SUM(G298:G299)</f>
        <v>93158.77</v>
      </c>
      <c r="H300" s="2614">
        <f t="shared" ref="H300:J300" si="26">SUM(H298:H299)</f>
        <v>0</v>
      </c>
      <c r="I300" s="2614">
        <f t="shared" si="26"/>
        <v>0</v>
      </c>
      <c r="J300" s="2614">
        <f t="shared" si="26"/>
        <v>0</v>
      </c>
    </row>
    <row r="301" spans="1:10" ht="14.25" hidden="1" x14ac:dyDescent="0.2">
      <c r="A301" s="2236"/>
      <c r="B301" s="2243"/>
      <c r="C301" s="2244"/>
      <c r="D301" s="2245"/>
      <c r="E301" s="2244"/>
      <c r="F301" s="2246"/>
      <c r="G301" s="2244"/>
      <c r="H301" s="2244"/>
      <c r="I301" s="2238" t="e">
        <f>VLOOKUP(A301,'Trial Balance - FPer'!$A$7:$I$1107,7,FALSE)</f>
        <v>#N/A</v>
      </c>
      <c r="J301" s="2100" t="e">
        <f>VLOOKUP(A301,'Trial Balance - FPer'!$A$7:$I$1126,3,FALSE)</f>
        <v>#N/A</v>
      </c>
    </row>
    <row r="302" spans="1:10" ht="14.25" hidden="1" x14ac:dyDescent="0.2">
      <c r="A302" s="2236"/>
      <c r="B302" s="2242" t="s">
        <v>6675</v>
      </c>
      <c r="C302" s="2244"/>
      <c r="D302" s="2245"/>
      <c r="E302" s="2244"/>
      <c r="F302" s="2246"/>
      <c r="G302" s="2244"/>
      <c r="H302" s="2244"/>
      <c r="I302" s="2238" t="e">
        <f>VLOOKUP(A302,'Trial Balance - FPer'!$A$7:$I$1107,7,FALSE)</f>
        <v>#N/A</v>
      </c>
      <c r="J302" s="2100" t="e">
        <f>VLOOKUP(A302,'Trial Balance - FPer'!$A$7:$I$1126,3,FALSE)</f>
        <v>#N/A</v>
      </c>
    </row>
    <row r="303" spans="1:10" ht="14.25" hidden="1" x14ac:dyDescent="0.2">
      <c r="A303" s="2236" t="s">
        <v>4978</v>
      </c>
      <c r="B303" s="2243" t="s">
        <v>6676</v>
      </c>
      <c r="C303" s="2244">
        <v>0</v>
      </c>
      <c r="D303" s="2245">
        <v>0</v>
      </c>
      <c r="E303" s="2244">
        <v>0</v>
      </c>
      <c r="F303" s="2246"/>
      <c r="G303" s="2244">
        <v>0</v>
      </c>
      <c r="H303" s="2244"/>
      <c r="I303" s="2238">
        <f>VLOOKUP(A303,'Trial Balance - FPer'!$A$7:$I$1107,7,FALSE)</f>
        <v>0</v>
      </c>
      <c r="J303" s="2100">
        <f>VLOOKUP(A303,'Trial Balance - FPer'!$A$7:$I$1126,3,FALSE)</f>
        <v>0</v>
      </c>
    </row>
    <row r="304" spans="1:10" ht="14.25" hidden="1" x14ac:dyDescent="0.2">
      <c r="A304" s="2236"/>
      <c r="B304" s="2247" t="s">
        <v>6640</v>
      </c>
      <c r="C304" s="2248"/>
      <c r="D304" s="2249"/>
      <c r="E304" s="2248"/>
      <c r="F304" s="2250"/>
      <c r="G304" s="2248"/>
      <c r="H304" s="2244"/>
      <c r="I304" s="2238"/>
      <c r="J304" s="2100"/>
    </row>
    <row r="305" spans="1:10" s="2615" customFormat="1" hidden="1" x14ac:dyDescent="0.2">
      <c r="A305" s="2612"/>
      <c r="B305" s="2613" t="s">
        <v>6677</v>
      </c>
      <c r="C305" s="2614">
        <f>SUM(C303:C304)</f>
        <v>0</v>
      </c>
      <c r="D305" s="2614">
        <f>SUM(D303:D304)</f>
        <v>0</v>
      </c>
      <c r="E305" s="2614">
        <f>SUM(E303:E304)</f>
        <v>0</v>
      </c>
      <c r="F305" s="2614">
        <f>SUM(F303:F304)</f>
        <v>0</v>
      </c>
      <c r="G305" s="2614">
        <f>SUM(G303:G304)</f>
        <v>0</v>
      </c>
      <c r="H305" s="2614">
        <f t="shared" ref="H305:J305" si="27">SUM(H303:H304)</f>
        <v>0</v>
      </c>
      <c r="I305" s="2614">
        <f t="shared" si="27"/>
        <v>0</v>
      </c>
      <c r="J305" s="2614">
        <f t="shared" si="27"/>
        <v>0</v>
      </c>
    </row>
    <row r="306" spans="1:10" ht="14.25" hidden="1" x14ac:dyDescent="0.2">
      <c r="A306" s="2236"/>
      <c r="B306" s="2243"/>
      <c r="C306" s="2244"/>
      <c r="D306" s="2245"/>
      <c r="E306" s="2244"/>
      <c r="F306" s="2246"/>
      <c r="G306" s="2244"/>
      <c r="H306" s="2244"/>
      <c r="I306" s="2238" t="e">
        <f>VLOOKUP(A306,'Trial Balance - FPer'!$A$7:$I$1107,7,FALSE)</f>
        <v>#N/A</v>
      </c>
      <c r="J306" s="2100" t="e">
        <f>VLOOKUP(A306,'Trial Balance - FPer'!$A$7:$I$1126,3,FALSE)</f>
        <v>#N/A</v>
      </c>
    </row>
    <row r="307" spans="1:10" ht="14.25" hidden="1" x14ac:dyDescent="0.2">
      <c r="A307" s="2236"/>
      <c r="B307" s="2242" t="s">
        <v>6678</v>
      </c>
      <c r="C307" s="2244"/>
      <c r="D307" s="2245"/>
      <c r="E307" s="2244"/>
      <c r="F307" s="2246"/>
      <c r="G307" s="2244"/>
      <c r="H307" s="2244"/>
      <c r="I307" s="2238" t="e">
        <f>VLOOKUP(A307,'Trial Balance - FPer'!$A$7:$I$1107,7,FALSE)</f>
        <v>#N/A</v>
      </c>
      <c r="J307" s="2100" t="e">
        <f>VLOOKUP(A307,'Trial Balance - FPer'!$A$7:$I$1126,3,FALSE)</f>
        <v>#N/A</v>
      </c>
    </row>
    <row r="308" spans="1:10" ht="14.25" hidden="1" x14ac:dyDescent="0.2">
      <c r="A308" s="2236" t="s">
        <v>4979</v>
      </c>
      <c r="B308" s="2243" t="s">
        <v>6679</v>
      </c>
      <c r="C308" s="2244">
        <v>-300</v>
      </c>
      <c r="D308" s="2245">
        <v>0</v>
      </c>
      <c r="E308" s="2244">
        <v>0</v>
      </c>
      <c r="F308" s="2246"/>
      <c r="G308" s="2244">
        <v>0</v>
      </c>
      <c r="H308" s="2244"/>
      <c r="I308" s="2238">
        <f>VLOOKUP(A308,'Trial Balance - FPer'!$A$7:$I$1107,7,FALSE)</f>
        <v>0</v>
      </c>
      <c r="J308" s="2100">
        <f>VLOOKUP(A308,'Trial Balance - FPer'!$A$7:$I$1126,3,FALSE)</f>
        <v>-300</v>
      </c>
    </row>
    <row r="309" spans="1:10" ht="14.25" hidden="1" x14ac:dyDescent="0.2">
      <c r="A309" s="2236"/>
      <c r="B309" s="2247" t="s">
        <v>6640</v>
      </c>
      <c r="C309" s="2248"/>
      <c r="D309" s="2249"/>
      <c r="E309" s="2248"/>
      <c r="F309" s="2250"/>
      <c r="G309" s="2248"/>
      <c r="H309" s="2244"/>
      <c r="I309" s="2238"/>
      <c r="J309" s="2100"/>
    </row>
    <row r="310" spans="1:10" s="2615" customFormat="1" hidden="1" x14ac:dyDescent="0.2">
      <c r="A310" s="2612"/>
      <c r="B310" s="2613" t="s">
        <v>6680</v>
      </c>
      <c r="C310" s="2614">
        <f>SUM(C308:C309)</f>
        <v>-300</v>
      </c>
      <c r="D310" s="2614">
        <f>SUM(D308:D309)</f>
        <v>0</v>
      </c>
      <c r="E310" s="2614">
        <f>SUM(E308:E309)</f>
        <v>0</v>
      </c>
      <c r="F310" s="2614">
        <f>SUM(F308:F309)</f>
        <v>0</v>
      </c>
      <c r="G310" s="2614">
        <f>SUM(G308:G309)</f>
        <v>0</v>
      </c>
      <c r="H310" s="2614">
        <f t="shared" ref="H310:J310" si="28">SUM(H308:H309)</f>
        <v>0</v>
      </c>
      <c r="I310" s="2614">
        <f t="shared" si="28"/>
        <v>0</v>
      </c>
      <c r="J310" s="2614">
        <f t="shared" si="28"/>
        <v>-300</v>
      </c>
    </row>
    <row r="311" spans="1:10" ht="14.25" hidden="1" x14ac:dyDescent="0.2">
      <c r="A311" s="2236"/>
      <c r="B311" s="2243"/>
      <c r="C311" s="2244"/>
      <c r="D311" s="2245"/>
      <c r="E311" s="2244"/>
      <c r="F311" s="2246"/>
      <c r="G311" s="2244"/>
      <c r="H311" s="2244"/>
      <c r="I311" s="2238" t="e">
        <f>VLOOKUP(A311,'Trial Balance - FPer'!$A$7:$I$1107,7,FALSE)</f>
        <v>#N/A</v>
      </c>
      <c r="J311" s="2100" t="e">
        <f>VLOOKUP(A311,'Trial Balance - FPer'!$A$7:$I$1126,3,FALSE)</f>
        <v>#N/A</v>
      </c>
    </row>
    <row r="312" spans="1:10" ht="14.25" hidden="1" x14ac:dyDescent="0.2">
      <c r="A312" s="2236"/>
      <c r="B312" s="2242" t="s">
        <v>6681</v>
      </c>
      <c r="C312" s="2244"/>
      <c r="D312" s="2245"/>
      <c r="E312" s="2244"/>
      <c r="F312" s="2246"/>
      <c r="G312" s="2244"/>
      <c r="H312" s="2244"/>
      <c r="I312" s="2238" t="e">
        <f>VLOOKUP(A312,'Trial Balance - FPer'!$A$7:$I$1107,7,FALSE)</f>
        <v>#N/A</v>
      </c>
      <c r="J312" s="2100" t="e">
        <f>VLOOKUP(A312,'Trial Balance - FPer'!$A$7:$I$1126,3,FALSE)</f>
        <v>#N/A</v>
      </c>
    </row>
    <row r="313" spans="1:10" ht="14.25" hidden="1" x14ac:dyDescent="0.2">
      <c r="A313" s="2236" t="s">
        <v>4984</v>
      </c>
      <c r="B313" s="2243" t="s">
        <v>595</v>
      </c>
      <c r="C313" s="2244">
        <f>'[2]Data File'!$C$568</f>
        <v>416768</v>
      </c>
      <c r="D313" s="2245">
        <v>0</v>
      </c>
      <c r="E313" s="2244">
        <v>0</v>
      </c>
      <c r="F313" s="2246"/>
      <c r="G313" s="2244">
        <v>0</v>
      </c>
      <c r="H313" s="2244"/>
      <c r="I313" s="2238">
        <f>VLOOKUP(A313,'Trial Balance - FPer'!$A$7:$I$1107,7,FALSE)</f>
        <v>0</v>
      </c>
      <c r="J313" s="2100">
        <f>VLOOKUP(A313,'Trial Balance - FPer'!$A$7:$I$1126,3,FALSE)</f>
        <v>416768</v>
      </c>
    </row>
    <row r="314" spans="1:10" ht="14.25" hidden="1" x14ac:dyDescent="0.2">
      <c r="A314" s="2236"/>
      <c r="B314" s="2243" t="s">
        <v>6640</v>
      </c>
      <c r="C314" s="2244"/>
      <c r="D314" s="2245"/>
      <c r="E314" s="2244"/>
      <c r="F314" s="2246"/>
      <c r="G314" s="2244"/>
      <c r="H314" s="2244"/>
      <c r="I314" s="2238"/>
      <c r="J314" s="2100"/>
    </row>
    <row r="315" spans="1:10" ht="14.25" hidden="1" x14ac:dyDescent="0.2">
      <c r="A315" s="2236" t="s">
        <v>4985</v>
      </c>
      <c r="B315" s="2243" t="s">
        <v>6682</v>
      </c>
      <c r="C315" s="2244">
        <v>0</v>
      </c>
      <c r="D315" s="2245">
        <v>0</v>
      </c>
      <c r="E315" s="2244">
        <v>0</v>
      </c>
      <c r="F315" s="2246"/>
      <c r="G315" s="2244">
        <v>0</v>
      </c>
      <c r="H315" s="2244"/>
      <c r="I315" s="2238">
        <f>VLOOKUP(A315,'Trial Balance - FPer'!$A$7:$I$1107,7,FALSE)</f>
        <v>0</v>
      </c>
      <c r="J315" s="2100">
        <f>VLOOKUP(A315,'Trial Balance - FPer'!$A$7:$I$1126,3,FALSE)</f>
        <v>0</v>
      </c>
    </row>
    <row r="316" spans="1:10" ht="14.25" hidden="1" x14ac:dyDescent="0.2">
      <c r="A316" s="2236"/>
      <c r="B316" s="2243" t="s">
        <v>6505</v>
      </c>
      <c r="C316" s="2244"/>
      <c r="D316" s="2245"/>
      <c r="E316" s="2244"/>
      <c r="F316" s="2246"/>
      <c r="G316" s="2244"/>
      <c r="H316" s="2244"/>
      <c r="I316" s="2238"/>
      <c r="J316" s="2100"/>
    </row>
    <row r="317" spans="1:10" ht="14.25" hidden="1" x14ac:dyDescent="0.2">
      <c r="A317" s="2236" t="s">
        <v>4986</v>
      </c>
      <c r="B317" s="2243" t="s">
        <v>6682</v>
      </c>
      <c r="C317" s="2244">
        <v>0</v>
      </c>
      <c r="D317" s="2245">
        <v>0</v>
      </c>
      <c r="E317" s="2244">
        <v>0</v>
      </c>
      <c r="F317" s="2246"/>
      <c r="G317" s="2244">
        <v>0</v>
      </c>
      <c r="H317" s="2244"/>
      <c r="I317" s="2238">
        <f>VLOOKUP(A317,'Trial Balance - FPer'!$A$7:$I$1107,7,FALSE)</f>
        <v>0</v>
      </c>
      <c r="J317" s="2100">
        <f>VLOOKUP(A317,'Trial Balance - FPer'!$A$7:$I$1126,3,FALSE)</f>
        <v>0</v>
      </c>
    </row>
    <row r="318" spans="1:10" ht="14.25" hidden="1" x14ac:dyDescent="0.2">
      <c r="A318" s="2236"/>
      <c r="B318" s="2243" t="s">
        <v>6505</v>
      </c>
      <c r="C318" s="2244"/>
      <c r="D318" s="2245"/>
      <c r="E318" s="2244"/>
      <c r="F318" s="2246"/>
      <c r="G318" s="2244"/>
      <c r="H318" s="2244"/>
      <c r="I318" s="2238"/>
      <c r="J318" s="2100"/>
    </row>
    <row r="319" spans="1:10" ht="14.25" hidden="1" x14ac:dyDescent="0.2">
      <c r="A319" s="2236" t="s">
        <v>4987</v>
      </c>
      <c r="B319" s="2243" t="s">
        <v>6682</v>
      </c>
      <c r="C319" s="2244">
        <v>0</v>
      </c>
      <c r="D319" s="2245">
        <v>0</v>
      </c>
      <c r="E319" s="2244">
        <v>0</v>
      </c>
      <c r="F319" s="2246"/>
      <c r="G319" s="2244">
        <v>0</v>
      </c>
      <c r="H319" s="2244"/>
      <c r="I319" s="2238">
        <f>VLOOKUP(A319,'Trial Balance - FPer'!$A$7:$I$1107,7,FALSE)</f>
        <v>0</v>
      </c>
      <c r="J319" s="2100">
        <f>VLOOKUP(A319,'Trial Balance - FPer'!$A$7:$I$1126,3,FALSE)</f>
        <v>0</v>
      </c>
    </row>
    <row r="320" spans="1:10" ht="14.25" hidden="1" x14ac:dyDescent="0.2">
      <c r="A320" s="2236"/>
      <c r="B320" s="2243" t="s">
        <v>6505</v>
      </c>
      <c r="C320" s="2244"/>
      <c r="D320" s="2245"/>
      <c r="E320" s="2244"/>
      <c r="F320" s="2246"/>
      <c r="G320" s="2244"/>
      <c r="H320" s="2244"/>
      <c r="I320" s="2238"/>
      <c r="J320" s="2100"/>
    </row>
    <row r="321" spans="1:10" ht="14.25" hidden="1" x14ac:dyDescent="0.2">
      <c r="A321" s="2236" t="s">
        <v>4988</v>
      </c>
      <c r="B321" s="2243" t="s">
        <v>6682</v>
      </c>
      <c r="C321" s="2244">
        <v>0</v>
      </c>
      <c r="D321" s="2245">
        <v>0</v>
      </c>
      <c r="E321" s="2244">
        <v>0</v>
      </c>
      <c r="F321" s="2246"/>
      <c r="G321" s="2244">
        <v>0</v>
      </c>
      <c r="H321" s="2244"/>
      <c r="I321" s="2238">
        <f>VLOOKUP(A321,'Trial Balance - FPer'!$A$7:$I$1107,7,FALSE)</f>
        <v>0</v>
      </c>
      <c r="J321" s="2100">
        <f>VLOOKUP(A321,'Trial Balance - FPer'!$A$7:$I$1126,3,FALSE)</f>
        <v>0</v>
      </c>
    </row>
    <row r="322" spans="1:10" ht="14.25" hidden="1" x14ac:dyDescent="0.2">
      <c r="A322" s="2236"/>
      <c r="B322" s="2243" t="s">
        <v>6505</v>
      </c>
      <c r="C322" s="2244"/>
      <c r="D322" s="2245"/>
      <c r="E322" s="2244"/>
      <c r="F322" s="2246"/>
      <c r="G322" s="2244"/>
      <c r="H322" s="2244"/>
      <c r="I322" s="2238"/>
      <c r="J322" s="2100"/>
    </row>
    <row r="323" spans="1:10" ht="14.25" hidden="1" x14ac:dyDescent="0.2">
      <c r="A323" s="2236" t="s">
        <v>4989</v>
      </c>
      <c r="B323" s="2243" t="s">
        <v>6682</v>
      </c>
      <c r="C323" s="2244">
        <v>0</v>
      </c>
      <c r="D323" s="2245">
        <v>0</v>
      </c>
      <c r="E323" s="2244">
        <v>0</v>
      </c>
      <c r="F323" s="2246"/>
      <c r="G323" s="2244">
        <v>0</v>
      </c>
      <c r="H323" s="2244"/>
      <c r="I323" s="2238">
        <f>VLOOKUP(A323,'Trial Balance - FPer'!$A$7:$I$1107,7,FALSE)</f>
        <v>0</v>
      </c>
      <c r="J323" s="2100">
        <f>VLOOKUP(A323,'Trial Balance - FPer'!$A$7:$I$1126,3,FALSE)</f>
        <v>0</v>
      </c>
    </row>
    <row r="324" spans="1:10" ht="14.25" hidden="1" x14ac:dyDescent="0.2">
      <c r="A324" s="2251"/>
      <c r="B324" s="2257" t="s">
        <v>6505</v>
      </c>
      <c r="C324" s="2253"/>
      <c r="D324" s="2254"/>
      <c r="E324" s="2253"/>
      <c r="F324" s="2255"/>
      <c r="G324" s="2253"/>
      <c r="H324" s="2253"/>
      <c r="I324" s="2238"/>
      <c r="J324" s="2100"/>
    </row>
    <row r="325" spans="1:10" ht="14.25" hidden="1" x14ac:dyDescent="0.2">
      <c r="A325" s="2236"/>
      <c r="B325" s="2257" t="s">
        <v>6683</v>
      </c>
      <c r="C325" s="2253"/>
      <c r="D325" s="2254"/>
      <c r="E325" s="2253"/>
      <c r="F325" s="2255">
        <v>1500000</v>
      </c>
      <c r="G325" s="2253"/>
      <c r="H325" s="2244"/>
      <c r="I325" s="2238"/>
      <c r="J325" s="2100"/>
    </row>
    <row r="326" spans="1:10" ht="14.25" hidden="1" x14ac:dyDescent="0.2">
      <c r="A326" s="2236"/>
      <c r="B326" s="2247"/>
      <c r="C326" s="2248"/>
      <c r="D326" s="2249"/>
      <c r="E326" s="2248"/>
      <c r="F326" s="2250"/>
      <c r="G326" s="2248"/>
      <c r="H326" s="2244"/>
      <c r="I326" s="2238"/>
      <c r="J326" s="2100"/>
    </row>
    <row r="327" spans="1:10" s="2615" customFormat="1" hidden="1" x14ac:dyDescent="0.2">
      <c r="A327" s="2612"/>
      <c r="B327" s="2613" t="s">
        <v>6684</v>
      </c>
      <c r="C327" s="2614">
        <f>SUM(C313:C324)</f>
        <v>416768</v>
      </c>
      <c r="D327" s="2614">
        <f>SUM(D313:D324)</f>
        <v>0</v>
      </c>
      <c r="E327" s="2614">
        <f>SUM(E313:E324)</f>
        <v>0</v>
      </c>
      <c r="F327" s="2614">
        <f>SUM(F313:F326)</f>
        <v>1500000</v>
      </c>
      <c r="G327" s="2614">
        <f>SUM(G313:G324)</f>
        <v>0</v>
      </c>
      <c r="H327" s="2614">
        <f t="shared" ref="H327:J327" si="29">SUM(H313:H324)</f>
        <v>0</v>
      </c>
      <c r="I327" s="2614">
        <f t="shared" si="29"/>
        <v>0</v>
      </c>
      <c r="J327" s="2614">
        <f t="shared" si="29"/>
        <v>416768</v>
      </c>
    </row>
    <row r="328" spans="1:10" ht="14.25" hidden="1" x14ac:dyDescent="0.2">
      <c r="A328" s="2236"/>
      <c r="B328" s="2243"/>
      <c r="C328" s="2244"/>
      <c r="D328" s="2245"/>
      <c r="E328" s="2244"/>
      <c r="F328" s="2246"/>
      <c r="G328" s="2244"/>
      <c r="H328" s="2244"/>
      <c r="I328" s="2238"/>
      <c r="J328" s="2100" t="e">
        <f>VLOOKUP(A328,'Trial Balance - FPer'!$A$7:$I$1126,3,FALSE)</f>
        <v>#N/A</v>
      </c>
    </row>
    <row r="329" spans="1:10" ht="14.25" hidden="1" x14ac:dyDescent="0.2">
      <c r="A329" s="2236"/>
      <c r="B329" s="2242" t="s">
        <v>6599</v>
      </c>
      <c r="C329" s="2244"/>
      <c r="D329" s="2245"/>
      <c r="E329" s="2244"/>
      <c r="F329" s="2246"/>
      <c r="G329" s="2244"/>
      <c r="H329" s="2244"/>
      <c r="I329" s="2238"/>
      <c r="J329" s="2100"/>
    </row>
    <row r="330" spans="1:10" ht="14.25" hidden="1" x14ac:dyDescent="0.2">
      <c r="A330" s="2236" t="s">
        <v>4981</v>
      </c>
      <c r="B330" s="2243" t="s">
        <v>6685</v>
      </c>
      <c r="C330" s="2244">
        <f>'[2]Data File'!$C$405</f>
        <v>718679.96</v>
      </c>
      <c r="D330" s="2245">
        <v>0</v>
      </c>
      <c r="E330" s="2244">
        <v>141655.92000000001</v>
      </c>
      <c r="F330" s="2246">
        <f>E330</f>
        <v>141655.92000000001</v>
      </c>
      <c r="G330" s="2244">
        <v>141655.92000000001</v>
      </c>
      <c r="H330" s="2100">
        <v>141655.92000000001</v>
      </c>
      <c r="I330" s="2238">
        <f>VLOOKUP(A330,'Trial Balance - FPer'!$A$7:$I$1107,7,FALSE)</f>
        <v>-411758.8</v>
      </c>
      <c r="J330" s="2100">
        <f>VLOOKUP(A330,'Trial Balance - FPer'!$A$7:$I$1126,3,FALSE)</f>
        <v>718679.96</v>
      </c>
    </row>
    <row r="331" spans="1:10" ht="14.25" hidden="1" x14ac:dyDescent="0.2">
      <c r="A331" s="2236"/>
      <c r="B331" s="2243" t="s">
        <v>6505</v>
      </c>
      <c r="C331" s="2244"/>
      <c r="D331" s="2245"/>
      <c r="E331" s="2244"/>
      <c r="F331" s="2246"/>
      <c r="G331" s="2244"/>
      <c r="H331" s="2100"/>
      <c r="I331" s="2238"/>
      <c r="J331" s="2100"/>
    </row>
    <row r="332" spans="1:10" ht="14.25" hidden="1" x14ac:dyDescent="0.2">
      <c r="A332" s="2236" t="s">
        <v>4983</v>
      </c>
      <c r="B332" s="2243" t="s">
        <v>6019</v>
      </c>
      <c r="C332" s="2244">
        <f>'[2]Data File'!$C$406</f>
        <v>8300</v>
      </c>
      <c r="D332" s="2245">
        <v>0</v>
      </c>
      <c r="E332" s="2244">
        <v>0</v>
      </c>
      <c r="F332" s="2246">
        <v>0</v>
      </c>
      <c r="G332" s="2244">
        <v>0</v>
      </c>
      <c r="H332" s="2100">
        <v>0</v>
      </c>
      <c r="I332" s="2238">
        <f>VLOOKUP(A332,'Trial Balance - FPer'!$A$7:$I$1107,7,FALSE)</f>
        <v>0</v>
      </c>
      <c r="J332" s="2100">
        <f>VLOOKUP(A332,'Trial Balance - FPer'!$A$7:$I$1126,3,FALSE)</f>
        <v>8300</v>
      </c>
    </row>
    <row r="333" spans="1:10" ht="14.25" hidden="1" x14ac:dyDescent="0.2">
      <c r="A333" s="2236"/>
      <c r="B333" s="2243" t="s">
        <v>6505</v>
      </c>
      <c r="C333" s="2244"/>
      <c r="D333" s="2245"/>
      <c r="E333" s="2244"/>
      <c r="F333" s="2246"/>
      <c r="G333" s="2244"/>
      <c r="H333" s="2100"/>
      <c r="I333" s="2238"/>
      <c r="J333" s="2100"/>
    </row>
    <row r="334" spans="1:10" ht="14.25" hidden="1" x14ac:dyDescent="0.2">
      <c r="A334" s="2236" t="s">
        <v>4992</v>
      </c>
      <c r="B334" s="2243" t="s">
        <v>6686</v>
      </c>
      <c r="C334" s="2244">
        <v>0</v>
      </c>
      <c r="D334" s="2245">
        <v>0</v>
      </c>
      <c r="E334" s="2244">
        <v>0</v>
      </c>
      <c r="F334" s="2246">
        <v>0</v>
      </c>
      <c r="G334" s="2244">
        <v>0</v>
      </c>
      <c r="H334" s="2100">
        <v>0</v>
      </c>
      <c r="I334" s="2238">
        <f>VLOOKUP(A334,'Trial Balance - FPer'!$A$7:$I$1107,7,FALSE)</f>
        <v>0</v>
      </c>
      <c r="J334" s="2100">
        <f>VLOOKUP(A334,'Trial Balance - FPer'!$A$7:$I$1126,3,FALSE)</f>
        <v>0</v>
      </c>
    </row>
    <row r="335" spans="1:10" ht="14.25" hidden="1" x14ac:dyDescent="0.2">
      <c r="A335" s="2236"/>
      <c r="B335" s="2243" t="s">
        <v>6640</v>
      </c>
      <c r="C335" s="2244"/>
      <c r="D335" s="2245"/>
      <c r="E335" s="2244"/>
      <c r="F335" s="2246"/>
      <c r="G335" s="2244"/>
      <c r="H335" s="2100"/>
      <c r="I335" s="2238"/>
      <c r="J335" s="2100"/>
    </row>
    <row r="336" spans="1:10" ht="14.25" hidden="1" x14ac:dyDescent="0.2">
      <c r="A336" s="2236" t="s">
        <v>4994</v>
      </c>
      <c r="B336" s="2243" t="s">
        <v>6687</v>
      </c>
      <c r="C336" s="2244">
        <f>'[2]Data File'!$C$407</f>
        <v>13475</v>
      </c>
      <c r="D336" s="2245">
        <v>1500000</v>
      </c>
      <c r="E336" s="2244">
        <v>0</v>
      </c>
      <c r="F336" s="2246">
        <v>0</v>
      </c>
      <c r="G336" s="2244">
        <v>376500</v>
      </c>
      <c r="H336" s="2100">
        <v>0</v>
      </c>
      <c r="I336" s="2238">
        <f>VLOOKUP(A336,'Trial Balance - FPer'!$A$7:$I$1107,7,FALSE)</f>
        <v>0</v>
      </c>
      <c r="J336" s="2100">
        <f>VLOOKUP(A336,'Trial Balance - FPer'!$A$7:$I$1126,3,FALSE)</f>
        <v>13475</v>
      </c>
    </row>
    <row r="337" spans="1:10" ht="14.25" hidden="1" x14ac:dyDescent="0.2">
      <c r="A337" s="2236"/>
      <c r="B337" s="2243" t="s">
        <v>6505</v>
      </c>
      <c r="C337" s="2244"/>
      <c r="D337" s="2245"/>
      <c r="E337" s="2244"/>
      <c r="F337" s="2246"/>
      <c r="G337" s="2244"/>
      <c r="H337" s="2100"/>
      <c r="I337" s="2238"/>
      <c r="J337" s="2100"/>
    </row>
    <row r="338" spans="1:10" ht="14.25" hidden="1" x14ac:dyDescent="0.2">
      <c r="A338" s="2236" t="s">
        <v>4995</v>
      </c>
      <c r="B338" s="2243" t="s">
        <v>6688</v>
      </c>
      <c r="C338" s="2244">
        <f>'[2]Data File'!$C$408</f>
        <v>1047580.96</v>
      </c>
      <c r="D338" s="2245">
        <v>185996.24</v>
      </c>
      <c r="E338" s="2244">
        <v>40858.31</v>
      </c>
      <c r="F338" s="2246">
        <v>83080.42</v>
      </c>
      <c r="G338" s="2253">
        <v>108139.46</v>
      </c>
      <c r="H338" s="2100">
        <v>48463.58</v>
      </c>
      <c r="I338" s="2238">
        <f>VLOOKUP(A338,'Trial Balance - FPer'!$A$7:$I$1107,7,FALSE)</f>
        <v>77876.05</v>
      </c>
      <c r="J338" s="2100">
        <f>VLOOKUP(A338,'Trial Balance - FPer'!$A$7:$I$1126,3,FALSE)</f>
        <v>1047580.96</v>
      </c>
    </row>
    <row r="339" spans="1:10" ht="14.25" hidden="1" x14ac:dyDescent="0.2">
      <c r="A339" s="2236"/>
      <c r="B339" s="2243" t="s">
        <v>6505</v>
      </c>
      <c r="C339" s="2244"/>
      <c r="D339" s="2245"/>
      <c r="E339" s="2244"/>
      <c r="F339" s="2246"/>
      <c r="G339" s="2253"/>
      <c r="H339" s="2100"/>
      <c r="I339" s="2238"/>
      <c r="J339" s="2100"/>
    </row>
    <row r="340" spans="1:10" ht="14.25" hidden="1" x14ac:dyDescent="0.2">
      <c r="A340" s="2236" t="s">
        <v>4997</v>
      </c>
      <c r="B340" s="2243" t="s">
        <v>6689</v>
      </c>
      <c r="C340" s="2244">
        <f>'[2]Data File'!$C$409</f>
        <v>833142.26</v>
      </c>
      <c r="D340" s="2245">
        <v>3753.64</v>
      </c>
      <c r="E340" s="2244">
        <v>165763.68</v>
      </c>
      <c r="F340" s="2246">
        <f>E340/6*12</f>
        <v>331527.36</v>
      </c>
      <c r="G340" s="2253">
        <v>250013.17</v>
      </c>
      <c r="H340" s="2100">
        <v>177417.84</v>
      </c>
      <c r="I340" s="2238">
        <f>VLOOKUP(A340,'Trial Balance - FPer'!$A$7:$I$1107,7,FALSE)</f>
        <v>94807.950000000012</v>
      </c>
      <c r="J340" s="2100">
        <f>VLOOKUP(A340,'Trial Balance - FPer'!$A$7:$I$1126,3,FALSE)</f>
        <v>19314.670000000042</v>
      </c>
    </row>
    <row r="341" spans="1:10" ht="14.25" hidden="1" x14ac:dyDescent="0.2">
      <c r="A341" s="2236"/>
      <c r="B341" s="2243" t="s">
        <v>6505</v>
      </c>
      <c r="C341" s="2244"/>
      <c r="D341" s="2245"/>
      <c r="E341" s="2244"/>
      <c r="F341" s="2246"/>
      <c r="G341" s="2253"/>
      <c r="H341" s="2100"/>
      <c r="I341" s="2238"/>
      <c r="J341" s="2100"/>
    </row>
    <row r="342" spans="1:10" ht="14.25" hidden="1" x14ac:dyDescent="0.2">
      <c r="A342" s="2236" t="s">
        <v>4999</v>
      </c>
      <c r="B342" s="2243" t="s">
        <v>6601</v>
      </c>
      <c r="C342" s="2244">
        <f>'[2]Data File'!$C$231</f>
        <v>799.06</v>
      </c>
      <c r="D342" s="2245">
        <v>926.33</v>
      </c>
      <c r="E342" s="2244">
        <v>225.87</v>
      </c>
      <c r="F342" s="2246">
        <v>687.96</v>
      </c>
      <c r="G342" s="2253">
        <v>571.52</v>
      </c>
      <c r="H342" s="2100">
        <v>401.31</v>
      </c>
      <c r="I342" s="2238">
        <f>VLOOKUP(A342,'Trial Balance - FPer'!$A$7:$I$1107,7,FALSE)</f>
        <v>56968.83</v>
      </c>
      <c r="J342" s="2100">
        <f>VLOOKUP(A342,'Trial Balance - FPer'!$A$7:$I$1126,3,FALSE)</f>
        <v>799.06</v>
      </c>
    </row>
    <row r="343" spans="1:10" ht="14.25" hidden="1" x14ac:dyDescent="0.2">
      <c r="A343" s="2236"/>
      <c r="B343" s="2243" t="s">
        <v>6660</v>
      </c>
      <c r="C343" s="2244"/>
      <c r="D343" s="2245"/>
      <c r="E343" s="2244"/>
      <c r="F343" s="2246"/>
      <c r="G343" s="2253"/>
      <c r="H343" s="2100"/>
      <c r="I343" s="2238"/>
      <c r="J343" s="2100"/>
    </row>
    <row r="344" spans="1:10" ht="14.25" hidden="1" x14ac:dyDescent="0.2">
      <c r="A344" s="2236" t="s">
        <v>5000</v>
      </c>
      <c r="B344" s="2243" t="s">
        <v>6601</v>
      </c>
      <c r="C344" s="2244">
        <f>'[2]Data File'!$C$411</f>
        <v>171206.48</v>
      </c>
      <c r="D344" s="2245">
        <v>81721.3</v>
      </c>
      <c r="E344" s="2244">
        <v>105858.95</v>
      </c>
      <c r="F344" s="2246">
        <v>453944.19</v>
      </c>
      <c r="G344" s="2253">
        <v>179725.5</v>
      </c>
      <c r="H344" s="2100">
        <v>264800.78000000003</v>
      </c>
      <c r="I344" s="2238">
        <f>VLOOKUP(A344,'Trial Balance - FPer'!$A$7:$I$1107,7,FALSE)</f>
        <v>362979.56</v>
      </c>
      <c r="J344" s="2100">
        <f>VLOOKUP(A344,'Trial Balance - FPer'!$A$7:$I$1126,3,FALSE)</f>
        <v>171206.48</v>
      </c>
    </row>
    <row r="345" spans="1:10" ht="14.25" hidden="1" x14ac:dyDescent="0.2">
      <c r="A345" s="2236"/>
      <c r="B345" s="2243" t="s">
        <v>6505</v>
      </c>
      <c r="C345" s="2244"/>
      <c r="D345" s="2245"/>
      <c r="E345" s="2244"/>
      <c r="F345" s="2246"/>
      <c r="G345" s="2253"/>
      <c r="H345" s="2100"/>
      <c r="I345" s="2238"/>
      <c r="J345" s="2100"/>
    </row>
    <row r="346" spans="1:10" ht="14.25" hidden="1" x14ac:dyDescent="0.2">
      <c r="A346" s="2236" t="s">
        <v>5001</v>
      </c>
      <c r="B346" s="2243" t="s">
        <v>6601</v>
      </c>
      <c r="C346" s="2244">
        <v>0</v>
      </c>
      <c r="D346" s="2245">
        <v>0</v>
      </c>
      <c r="E346" s="2244">
        <v>0</v>
      </c>
      <c r="F346" s="2246">
        <v>0</v>
      </c>
      <c r="G346" s="2253">
        <v>0</v>
      </c>
      <c r="H346" s="2100">
        <v>0</v>
      </c>
      <c r="I346" s="2238">
        <f>VLOOKUP(A346,'Trial Balance - FPer'!$A$7:$I$1107,7,FALSE)</f>
        <v>0</v>
      </c>
      <c r="J346" s="2100">
        <f>VLOOKUP(A346,'Trial Balance - FPer'!$A$7:$I$1126,3,FALSE)</f>
        <v>0</v>
      </c>
    </row>
    <row r="347" spans="1:10" ht="14.25" hidden="1" x14ac:dyDescent="0.2">
      <c r="A347" s="2236"/>
      <c r="B347" s="2243" t="s">
        <v>6640</v>
      </c>
      <c r="C347" s="2244"/>
      <c r="D347" s="2245"/>
      <c r="E347" s="2244"/>
      <c r="F347" s="2246"/>
      <c r="G347" s="2253"/>
      <c r="H347" s="2100"/>
      <c r="I347" s="2238"/>
      <c r="J347" s="2100"/>
    </row>
    <row r="348" spans="1:10" ht="14.25" hidden="1" x14ac:dyDescent="0.2">
      <c r="A348" s="2236" t="s">
        <v>5002</v>
      </c>
      <c r="B348" s="2243" t="s">
        <v>6690</v>
      </c>
      <c r="C348" s="2244">
        <f>'[2]Data File'!$C$569</f>
        <v>45371.64</v>
      </c>
      <c r="D348" s="2245">
        <v>42288.05</v>
      </c>
      <c r="E348" s="2244">
        <v>45903.6</v>
      </c>
      <c r="F348" s="2246">
        <v>79651.95</v>
      </c>
      <c r="G348" s="2253">
        <v>79651.95</v>
      </c>
      <c r="H348" s="2100">
        <v>45903.6</v>
      </c>
      <c r="I348" s="2238">
        <f>VLOOKUP(A348,'Trial Balance - FPer'!$A$7:$I$1107,7,FALSE)</f>
        <v>79255.8</v>
      </c>
      <c r="J348" s="2100">
        <f>VLOOKUP(A348,'Trial Balance - FPer'!$A$7:$I$1126,3,FALSE)</f>
        <v>45371.64</v>
      </c>
    </row>
    <row r="349" spans="1:10" ht="14.25" hidden="1" x14ac:dyDescent="0.2">
      <c r="A349" s="2236"/>
      <c r="B349" s="2243" t="s">
        <v>6640</v>
      </c>
      <c r="C349" s="2244"/>
      <c r="D349" s="2245"/>
      <c r="E349" s="2244"/>
      <c r="F349" s="2246"/>
      <c r="G349" s="2253"/>
      <c r="H349" s="2100"/>
      <c r="I349" s="2238"/>
      <c r="J349" s="2100"/>
    </row>
    <row r="350" spans="1:10" ht="14.25" hidden="1" x14ac:dyDescent="0.2">
      <c r="A350" s="2236" t="s">
        <v>5004</v>
      </c>
      <c r="B350" s="2243" t="s">
        <v>6691</v>
      </c>
      <c r="C350" s="2244">
        <f>'[2]Data File'!$C$412</f>
        <v>2051544.62</v>
      </c>
      <c r="D350" s="2245">
        <v>3813504.31</v>
      </c>
      <c r="E350" s="2244">
        <v>1519163.26</v>
      </c>
      <c r="F350" s="2246">
        <v>2666692.73</v>
      </c>
      <c r="G350" s="2253">
        <v>3242103.74</v>
      </c>
      <c r="H350" s="2100">
        <v>1555570.76</v>
      </c>
      <c r="I350" s="2238">
        <f>VLOOKUP(A350,'Trial Balance - FPer'!$A$7:$I$1107,7,FALSE)</f>
        <v>1609161.6200000003</v>
      </c>
      <c r="J350" s="2100">
        <f>VLOOKUP(A350,'Trial Balance - FPer'!$A$7:$I$1126,3,FALSE)</f>
        <v>2051544.62</v>
      </c>
    </row>
    <row r="351" spans="1:10" ht="14.25" hidden="1" x14ac:dyDescent="0.2">
      <c r="A351" s="2236"/>
      <c r="B351" s="2243" t="s">
        <v>6505</v>
      </c>
      <c r="C351" s="2244"/>
      <c r="D351" s="2245"/>
      <c r="E351" s="2244"/>
      <c r="F351" s="2246"/>
      <c r="G351" s="2253"/>
      <c r="H351" s="2100"/>
      <c r="I351" s="2238"/>
      <c r="J351" s="2100"/>
    </row>
    <row r="352" spans="1:10" ht="14.25" hidden="1" x14ac:dyDescent="0.2">
      <c r="A352" s="2236" t="s">
        <v>5006</v>
      </c>
      <c r="B352" s="2243" t="s">
        <v>6634</v>
      </c>
      <c r="C352" s="2244">
        <f>'[2]Data File'!$C$232</f>
        <v>19166.47</v>
      </c>
      <c r="D352" s="2245">
        <v>18997.21</v>
      </c>
      <c r="E352" s="2244">
        <v>12905.78</v>
      </c>
      <c r="F352" s="2246">
        <v>25986.87</v>
      </c>
      <c r="G352" s="2253">
        <v>24176.400000000001</v>
      </c>
      <c r="H352" s="2100">
        <v>15159.01</v>
      </c>
      <c r="I352" s="2238">
        <f>VLOOKUP(A352,'Trial Balance - FPer'!$A$7:$I$1107,7,FALSE)</f>
        <v>36272.07</v>
      </c>
      <c r="J352" s="2100">
        <f>VLOOKUP(A352,'Trial Balance - FPer'!$A$7:$I$1126,3,FALSE)</f>
        <v>19166.47</v>
      </c>
    </row>
    <row r="353" spans="1:10" ht="14.25" hidden="1" x14ac:dyDescent="0.2">
      <c r="A353" s="2236"/>
      <c r="B353" s="2243" t="s">
        <v>6660</v>
      </c>
      <c r="C353" s="2244"/>
      <c r="D353" s="2245"/>
      <c r="E353" s="2244"/>
      <c r="F353" s="2246"/>
      <c r="G353" s="2253"/>
      <c r="H353" s="2100"/>
      <c r="I353" s="2238"/>
      <c r="J353" s="2100"/>
    </row>
    <row r="354" spans="1:10" ht="14.25" hidden="1" x14ac:dyDescent="0.2">
      <c r="A354" s="2236" t="s">
        <v>5007</v>
      </c>
      <c r="B354" s="2243" t="s">
        <v>6634</v>
      </c>
      <c r="C354" s="2244">
        <v>0</v>
      </c>
      <c r="D354" s="2245">
        <v>0</v>
      </c>
      <c r="E354" s="2244">
        <v>0</v>
      </c>
      <c r="F354" s="2246">
        <v>0</v>
      </c>
      <c r="G354" s="2253">
        <v>0</v>
      </c>
      <c r="H354" s="2100">
        <v>0</v>
      </c>
      <c r="I354" s="2238">
        <f>VLOOKUP(A354,'Trial Balance - FPer'!$A$7:$I$1107,7,FALSE)</f>
        <v>12577</v>
      </c>
      <c r="J354" s="2100">
        <f>VLOOKUP(A354,'Trial Balance - FPer'!$A$7:$I$1126,3,FALSE)</f>
        <v>0</v>
      </c>
    </row>
    <row r="355" spans="1:10" ht="14.25" hidden="1" x14ac:dyDescent="0.2">
      <c r="A355" s="2236"/>
      <c r="B355" s="2243" t="s">
        <v>6640</v>
      </c>
      <c r="C355" s="2244"/>
      <c r="D355" s="2245"/>
      <c r="E355" s="2244"/>
      <c r="F355" s="2246"/>
      <c r="G355" s="2253"/>
      <c r="H355" s="2100"/>
      <c r="I355" s="2238"/>
      <c r="J355" s="2100"/>
    </row>
    <row r="356" spans="1:10" ht="14.25" hidden="1" x14ac:dyDescent="0.2">
      <c r="A356" s="2236" t="s">
        <v>5008</v>
      </c>
      <c r="B356" s="2243" t="s">
        <v>6692</v>
      </c>
      <c r="C356" s="2244">
        <f>'[2]Data File'!$C$413</f>
        <v>0</v>
      </c>
      <c r="D356" s="2245">
        <v>0</v>
      </c>
      <c r="E356" s="2244">
        <v>0</v>
      </c>
      <c r="F356" s="2246">
        <v>0</v>
      </c>
      <c r="G356" s="2253">
        <v>0</v>
      </c>
      <c r="H356" s="2100">
        <v>0</v>
      </c>
      <c r="I356" s="2238">
        <f>VLOOKUP(A356,'Trial Balance - FPer'!$A$7:$I$1107,7,FALSE)</f>
        <v>0</v>
      </c>
      <c r="J356" s="2100">
        <f>VLOOKUP(A356,'Trial Balance - FPer'!$A$7:$I$1126,3,FALSE)</f>
        <v>0</v>
      </c>
    </row>
    <row r="357" spans="1:10" ht="14.25" hidden="1" x14ac:dyDescent="0.2">
      <c r="A357" s="2236"/>
      <c r="B357" s="2243" t="s">
        <v>6505</v>
      </c>
      <c r="C357" s="2244"/>
      <c r="D357" s="2245"/>
      <c r="E357" s="2244"/>
      <c r="F357" s="2246"/>
      <c r="G357" s="2253"/>
      <c r="H357" s="2100"/>
      <c r="I357" s="2238"/>
      <c r="J357" s="2100"/>
    </row>
    <row r="358" spans="1:10" ht="14.25" hidden="1" x14ac:dyDescent="0.2">
      <c r="A358" s="2236" t="s">
        <v>5009</v>
      </c>
      <c r="B358" s="2243" t="s">
        <v>6105</v>
      </c>
      <c r="C358" s="2244">
        <f>'[2]Data File'!$C$414</f>
        <v>296222.11</v>
      </c>
      <c r="D358" s="2245">
        <v>272573.51</v>
      </c>
      <c r="E358" s="2244">
        <v>84809.01</v>
      </c>
      <c r="F358" s="2246">
        <v>174508.68</v>
      </c>
      <c r="G358" s="2253">
        <v>195969.3</v>
      </c>
      <c r="H358" s="2100">
        <v>101796.73</v>
      </c>
      <c r="I358" s="2238">
        <f>VLOOKUP(A358,'Trial Balance - FPer'!$A$7:$I$1107,7,FALSE)</f>
        <v>602521.92999999993</v>
      </c>
      <c r="J358" s="2100">
        <f>VLOOKUP(A358,'Trial Balance - FPer'!$A$7:$I$1126,3,FALSE)</f>
        <v>296222.11</v>
      </c>
    </row>
    <row r="359" spans="1:10" ht="14.25" hidden="1" x14ac:dyDescent="0.2">
      <c r="A359" s="2236"/>
      <c r="B359" s="2243" t="s">
        <v>6505</v>
      </c>
      <c r="C359" s="2244"/>
      <c r="D359" s="2245"/>
      <c r="E359" s="2244"/>
      <c r="F359" s="2246"/>
      <c r="G359" s="2253"/>
      <c r="H359" s="2100"/>
      <c r="I359" s="2238"/>
      <c r="J359" s="2100"/>
    </row>
    <row r="360" spans="1:10" ht="14.25" hidden="1" x14ac:dyDescent="0.2">
      <c r="A360" s="2236" t="s">
        <v>5010</v>
      </c>
      <c r="B360" s="2243" t="s">
        <v>6105</v>
      </c>
      <c r="C360" s="2244">
        <v>0</v>
      </c>
      <c r="D360" s="2245">
        <v>0</v>
      </c>
      <c r="E360" s="2244">
        <v>0</v>
      </c>
      <c r="F360" s="2246">
        <v>0</v>
      </c>
      <c r="G360" s="2253">
        <v>0</v>
      </c>
      <c r="H360" s="2100">
        <v>0</v>
      </c>
      <c r="I360" s="2238">
        <f>VLOOKUP(A360,'Trial Balance - FPer'!$A$7:$I$1107,7,FALSE)</f>
        <v>0</v>
      </c>
      <c r="J360" s="2100">
        <f>VLOOKUP(A360,'Trial Balance - FPer'!$A$7:$I$1126,3,FALSE)</f>
        <v>0</v>
      </c>
    </row>
    <row r="361" spans="1:10" ht="14.25" hidden="1" x14ac:dyDescent="0.2">
      <c r="A361" s="2236"/>
      <c r="B361" s="2243" t="s">
        <v>6640</v>
      </c>
      <c r="C361" s="2244"/>
      <c r="D361" s="2245"/>
      <c r="E361" s="2244"/>
      <c r="F361" s="2246"/>
      <c r="G361" s="2253"/>
      <c r="H361" s="2100"/>
      <c r="I361" s="2238"/>
      <c r="J361" s="2100"/>
    </row>
    <row r="362" spans="1:10" ht="14.25" hidden="1" x14ac:dyDescent="0.2">
      <c r="A362" s="2236" t="s">
        <v>5011</v>
      </c>
      <c r="B362" s="2243" t="s">
        <v>1101</v>
      </c>
      <c r="C362" s="2244">
        <f>'[2]Data File'!$C$415</f>
        <v>0</v>
      </c>
      <c r="D362" s="2245">
        <v>0</v>
      </c>
      <c r="E362" s="2244">
        <v>0</v>
      </c>
      <c r="F362" s="2246">
        <v>0</v>
      </c>
      <c r="G362" s="2253">
        <v>0</v>
      </c>
      <c r="H362" s="2100">
        <v>0</v>
      </c>
      <c r="I362" s="2238">
        <f>VLOOKUP(A362,'Trial Balance - FPer'!$A$7:$I$1107,7,FALSE)</f>
        <v>0</v>
      </c>
      <c r="J362" s="2100">
        <f>VLOOKUP(A362,'Trial Balance - FPer'!$A$7:$I$1126,3,FALSE)</f>
        <v>0</v>
      </c>
    </row>
    <row r="363" spans="1:10" ht="14.25" hidden="1" x14ac:dyDescent="0.2">
      <c r="A363" s="2236"/>
      <c r="B363" s="2243" t="s">
        <v>6505</v>
      </c>
      <c r="C363" s="2244"/>
      <c r="D363" s="2245"/>
      <c r="E363" s="2244"/>
      <c r="F363" s="2246"/>
      <c r="G363" s="2253"/>
      <c r="H363" s="2100"/>
      <c r="I363" s="2238"/>
      <c r="J363" s="2100"/>
    </row>
    <row r="364" spans="1:10" ht="14.25" hidden="1" x14ac:dyDescent="0.2">
      <c r="A364" s="2236" t="s">
        <v>5013</v>
      </c>
      <c r="B364" s="2243" t="s">
        <v>6693</v>
      </c>
      <c r="C364" s="2244">
        <f>'[2]Data File'!$C$416</f>
        <v>5856.06</v>
      </c>
      <c r="D364" s="2245">
        <v>1540</v>
      </c>
      <c r="E364" s="2244">
        <v>44033.99</v>
      </c>
      <c r="F364" s="2246">
        <v>66551.69</v>
      </c>
      <c r="G364" s="2253">
        <v>66551.69</v>
      </c>
      <c r="H364" s="2100">
        <v>44033.99</v>
      </c>
      <c r="I364" s="2238">
        <f>VLOOKUP(A364,'Trial Balance - FPer'!$A$7:$I$1107,7,FALSE)</f>
        <v>113162.8</v>
      </c>
      <c r="J364" s="2100">
        <f>VLOOKUP(A364,'Trial Balance - FPer'!$A$7:$I$1126,3,FALSE)</f>
        <v>5856.06</v>
      </c>
    </row>
    <row r="365" spans="1:10" ht="14.25" hidden="1" x14ac:dyDescent="0.2">
      <c r="A365" s="2236"/>
      <c r="B365" s="2243" t="s">
        <v>6505</v>
      </c>
      <c r="C365" s="2244"/>
      <c r="D365" s="2245"/>
      <c r="E365" s="2244"/>
      <c r="F365" s="2246"/>
      <c r="G365" s="2253"/>
      <c r="H365" s="2100"/>
      <c r="I365" s="2238"/>
      <c r="J365" s="2100"/>
    </row>
    <row r="366" spans="1:10" ht="14.25" hidden="1" x14ac:dyDescent="0.2">
      <c r="A366" s="2236" t="s">
        <v>5015</v>
      </c>
      <c r="B366" s="2243" t="s">
        <v>6694</v>
      </c>
      <c r="C366" s="2244">
        <f>'[2]Data File'!$C$417</f>
        <v>-344</v>
      </c>
      <c r="D366" s="2245">
        <v>0</v>
      </c>
      <c r="E366" s="2244">
        <v>-378.4</v>
      </c>
      <c r="F366" s="2246">
        <v>0</v>
      </c>
      <c r="G366" s="2253">
        <v>-378.4</v>
      </c>
      <c r="H366" s="2100">
        <v>-378.4</v>
      </c>
      <c r="I366" s="2238">
        <f>VLOOKUP(A366,'Trial Balance - FPer'!$A$7:$I$1107,7,FALSE)</f>
        <v>-378.4</v>
      </c>
      <c r="J366" s="2100">
        <f>VLOOKUP(A366,'Trial Balance - FPer'!$A$7:$I$1126,3,FALSE)</f>
        <v>-344</v>
      </c>
    </row>
    <row r="367" spans="1:10" ht="14.25" hidden="1" x14ac:dyDescent="0.2">
      <c r="A367" s="2236"/>
      <c r="B367" s="2243" t="s">
        <v>6505</v>
      </c>
      <c r="C367" s="2244"/>
      <c r="D367" s="2245"/>
      <c r="E367" s="2244"/>
      <c r="F367" s="2246"/>
      <c r="G367" s="2253"/>
      <c r="H367" s="2100"/>
      <c r="I367" s="2238"/>
      <c r="J367" s="2100"/>
    </row>
    <row r="368" spans="1:10" ht="14.25" hidden="1" x14ac:dyDescent="0.2">
      <c r="A368" s="2236" t="s">
        <v>5017</v>
      </c>
      <c r="B368" s="2243" t="s">
        <v>6605</v>
      </c>
      <c r="C368" s="2244">
        <f>'[2]Data File'!$C$570</f>
        <v>2389.42</v>
      </c>
      <c r="D368" s="2245">
        <v>2689.5</v>
      </c>
      <c r="E368" s="2244">
        <v>0</v>
      </c>
      <c r="F368" s="2246">
        <v>2689.5</v>
      </c>
      <c r="G368" s="2253">
        <v>675.75</v>
      </c>
      <c r="H368" s="2100">
        <v>0</v>
      </c>
      <c r="I368" s="2238">
        <f>VLOOKUP(A368,'Trial Balance - FPer'!$A$7:$I$1107,7,FALSE)</f>
        <v>1287.94</v>
      </c>
      <c r="J368" s="2100">
        <f>VLOOKUP(A368,'Trial Balance - FPer'!$A$7:$I$1126,3,FALSE)</f>
        <v>2389.42</v>
      </c>
    </row>
    <row r="369" spans="1:10" ht="14.25" hidden="1" x14ac:dyDescent="0.2">
      <c r="A369" s="2236"/>
      <c r="B369" s="2243" t="s">
        <v>6640</v>
      </c>
      <c r="C369" s="2244"/>
      <c r="D369" s="2245"/>
      <c r="E369" s="2244"/>
      <c r="F369" s="2246"/>
      <c r="G369" s="2253"/>
      <c r="H369" s="2100"/>
      <c r="I369" s="2238"/>
      <c r="J369" s="2100"/>
    </row>
    <row r="370" spans="1:10" ht="14.25" hidden="1" x14ac:dyDescent="0.2">
      <c r="A370" s="2236" t="s">
        <v>5018</v>
      </c>
      <c r="B370" s="2243" t="s">
        <v>6606</v>
      </c>
      <c r="C370" s="2244">
        <f>'[2]Data File'!$C$418</f>
        <v>4221.6899999999996</v>
      </c>
      <c r="D370" s="2245">
        <v>6625.43</v>
      </c>
      <c r="E370" s="2244">
        <v>20263.060000000001</v>
      </c>
      <c r="F370" s="2246">
        <v>194794.16</v>
      </c>
      <c r="G370" s="2253">
        <v>32135.51</v>
      </c>
      <c r="H370" s="2100">
        <v>88923.9</v>
      </c>
      <c r="I370" s="2238">
        <f>VLOOKUP(A370,'Trial Balance - FPer'!$A$7:$I$1107,7,FALSE)</f>
        <v>91493.95</v>
      </c>
      <c r="J370" s="2100">
        <f>VLOOKUP(A370,'Trial Balance - FPer'!$A$7:$I$1126,3,FALSE)</f>
        <v>4221.6899999999996</v>
      </c>
    </row>
    <row r="371" spans="1:10" ht="14.25" hidden="1" x14ac:dyDescent="0.2">
      <c r="A371" s="2236"/>
      <c r="B371" s="2243" t="s">
        <v>6505</v>
      </c>
      <c r="C371" s="2244"/>
      <c r="D371" s="2245"/>
      <c r="E371" s="2244"/>
      <c r="F371" s="2246"/>
      <c r="G371" s="2253"/>
      <c r="H371" s="2100"/>
      <c r="I371" s="2238"/>
      <c r="J371" s="2100"/>
    </row>
    <row r="372" spans="1:10" ht="14.25" hidden="1" x14ac:dyDescent="0.2">
      <c r="A372" s="2236" t="s">
        <v>5019</v>
      </c>
      <c r="B372" s="2243" t="s">
        <v>6606</v>
      </c>
      <c r="C372" s="2244">
        <f>'[2]Data File'!$C$571</f>
        <v>88542.8</v>
      </c>
      <c r="D372" s="2245">
        <v>194794.16</v>
      </c>
      <c r="E372" s="2244">
        <v>2749.92</v>
      </c>
      <c r="F372" s="2246">
        <v>6625.43</v>
      </c>
      <c r="G372" s="2253">
        <v>53031.56</v>
      </c>
      <c r="H372" s="2100">
        <v>2749.92</v>
      </c>
      <c r="I372" s="2238">
        <f>VLOOKUP(A372,'Trial Balance - FPer'!$A$7:$I$1107,7,FALSE)</f>
        <v>1968.63</v>
      </c>
      <c r="J372" s="2100">
        <f>VLOOKUP(A372,'Trial Balance - FPer'!$A$7:$I$1126,3,FALSE)</f>
        <v>88542.8</v>
      </c>
    </row>
    <row r="373" spans="1:10" ht="14.25" hidden="1" x14ac:dyDescent="0.2">
      <c r="A373" s="2236"/>
      <c r="B373" s="2243" t="s">
        <v>6640</v>
      </c>
      <c r="C373" s="2244"/>
      <c r="D373" s="2245"/>
      <c r="E373" s="2244"/>
      <c r="F373" s="2246"/>
      <c r="G373" s="2253"/>
      <c r="H373" s="2100"/>
      <c r="I373" s="2238"/>
      <c r="J373" s="2100"/>
    </row>
    <row r="374" spans="1:10" ht="14.25" hidden="1" x14ac:dyDescent="0.2">
      <c r="A374" s="2236" t="s">
        <v>5020</v>
      </c>
      <c r="B374" s="2243" t="s">
        <v>6607</v>
      </c>
      <c r="C374" s="2244">
        <f>'[2]Data File'!$C$233</f>
        <v>2771.05</v>
      </c>
      <c r="D374" s="2245">
        <v>2067.98</v>
      </c>
      <c r="E374" s="2244">
        <v>15632.14</v>
      </c>
      <c r="F374" s="2246">
        <v>15632.14</v>
      </c>
      <c r="G374" s="2253">
        <v>23996.33</v>
      </c>
      <c r="H374" s="2100">
        <v>15632.14</v>
      </c>
      <c r="I374" s="2238">
        <f>VLOOKUP(A374,'Trial Balance - FPer'!$A$7:$I$1107,7,FALSE)</f>
        <v>18000.560000000001</v>
      </c>
      <c r="J374" s="2100">
        <f>VLOOKUP(A374,'Trial Balance - FPer'!$A$7:$I$1126,3,FALSE)</f>
        <v>2771.05</v>
      </c>
    </row>
    <row r="375" spans="1:10" ht="14.25" hidden="1" x14ac:dyDescent="0.2">
      <c r="A375" s="2236"/>
      <c r="B375" s="2243" t="s">
        <v>6660</v>
      </c>
      <c r="C375" s="2244"/>
      <c r="D375" s="2245"/>
      <c r="E375" s="2244"/>
      <c r="F375" s="2246"/>
      <c r="G375" s="2253"/>
      <c r="H375" s="2100"/>
      <c r="I375" s="2238"/>
      <c r="J375" s="2100"/>
    </row>
    <row r="376" spans="1:10" ht="14.25" hidden="1" x14ac:dyDescent="0.2">
      <c r="A376" s="2236" t="s">
        <v>5021</v>
      </c>
      <c r="B376" s="2243" t="s">
        <v>6607</v>
      </c>
      <c r="C376" s="2244">
        <f>'[2]Data File'!$C$419</f>
        <v>2860.51</v>
      </c>
      <c r="D376" s="2245">
        <v>21300.39</v>
      </c>
      <c r="E376" s="2244">
        <v>302445.98</v>
      </c>
      <c r="F376" s="2246">
        <v>302445.98</v>
      </c>
      <c r="G376" s="2253">
        <v>460218.61</v>
      </c>
      <c r="H376" s="2100">
        <v>302445.98</v>
      </c>
      <c r="I376" s="2238">
        <f>VLOOKUP(A376,'Trial Balance - FPer'!$A$7:$I$1107,7,FALSE)</f>
        <v>302445.98</v>
      </c>
      <c r="J376" s="2100">
        <f>VLOOKUP(A376,'Trial Balance - FPer'!$A$7:$I$1126,3,FALSE)</f>
        <v>2860.51</v>
      </c>
    </row>
    <row r="377" spans="1:10" ht="14.25" hidden="1" x14ac:dyDescent="0.2">
      <c r="A377" s="2236"/>
      <c r="B377" s="2243" t="s">
        <v>6505</v>
      </c>
      <c r="C377" s="2244"/>
      <c r="D377" s="2245"/>
      <c r="E377" s="2244"/>
      <c r="F377" s="2246"/>
      <c r="G377" s="2253"/>
      <c r="H377" s="2100"/>
      <c r="I377" s="2238"/>
      <c r="J377" s="2100"/>
    </row>
    <row r="378" spans="1:10" ht="14.25" hidden="1" x14ac:dyDescent="0.2">
      <c r="A378" s="2236" t="s">
        <v>5022</v>
      </c>
      <c r="B378" s="2243" t="s">
        <v>6608</v>
      </c>
      <c r="C378" s="2244">
        <f>'[2]Data File'!$C$420</f>
        <v>549.74</v>
      </c>
      <c r="D378" s="2245">
        <v>78253.67</v>
      </c>
      <c r="E378" s="2244">
        <v>463.77</v>
      </c>
      <c r="F378" s="2246">
        <v>12855.15</v>
      </c>
      <c r="G378" s="2253">
        <v>20341.310000000001</v>
      </c>
      <c r="H378" s="2100">
        <v>7498.84</v>
      </c>
      <c r="I378" s="2238">
        <f>VLOOKUP(A378,'Trial Balance - FPer'!$A$7:$I$1107,7,FALSE)</f>
        <v>0</v>
      </c>
      <c r="J378" s="2100">
        <f>VLOOKUP(A378,'Trial Balance - FPer'!$A$7:$I$1126,3,FALSE)</f>
        <v>0</v>
      </c>
    </row>
    <row r="379" spans="1:10" ht="14.25" hidden="1" x14ac:dyDescent="0.2">
      <c r="A379" s="2236"/>
      <c r="B379" s="2243" t="s">
        <v>6505</v>
      </c>
      <c r="C379" s="2244"/>
      <c r="D379" s="2245"/>
      <c r="E379" s="2244"/>
      <c r="F379" s="2246"/>
      <c r="G379" s="2253"/>
      <c r="H379" s="2100"/>
      <c r="I379" s="2238"/>
      <c r="J379" s="2100"/>
    </row>
    <row r="380" spans="1:10" ht="14.25" hidden="1" x14ac:dyDescent="0.2">
      <c r="A380" s="2236" t="s">
        <v>5023</v>
      </c>
      <c r="B380" s="2243" t="s">
        <v>6608</v>
      </c>
      <c r="C380" s="2244">
        <f>'[2]Data File'!$C$572</f>
        <v>22.46</v>
      </c>
      <c r="D380" s="2245">
        <v>49.41</v>
      </c>
      <c r="E380" s="2244">
        <v>0</v>
      </c>
      <c r="F380" s="2246">
        <v>0</v>
      </c>
      <c r="G380" s="2253">
        <v>12.71</v>
      </c>
      <c r="H380" s="2100">
        <v>0</v>
      </c>
      <c r="I380" s="2238">
        <f>VLOOKUP(A380,'Trial Balance - FPer'!$A$7:$I$1107,7,FALSE)</f>
        <v>0</v>
      </c>
      <c r="J380" s="2100">
        <f>VLOOKUP(A380,'Trial Balance - FPer'!$A$7:$I$1126,3,FALSE)</f>
        <v>0</v>
      </c>
    </row>
    <row r="381" spans="1:10" ht="14.25" hidden="1" x14ac:dyDescent="0.2">
      <c r="A381" s="2236"/>
      <c r="B381" s="2243" t="s">
        <v>6640</v>
      </c>
      <c r="C381" s="2244"/>
      <c r="D381" s="2245"/>
      <c r="E381" s="2244"/>
      <c r="F381" s="2246"/>
      <c r="G381" s="2253"/>
      <c r="H381" s="2100"/>
      <c r="I381" s="2238"/>
      <c r="J381" s="2100"/>
    </row>
    <row r="382" spans="1:10" ht="14.25" hidden="1" x14ac:dyDescent="0.2">
      <c r="A382" s="2236" t="s">
        <v>5024</v>
      </c>
      <c r="B382" s="2243" t="s">
        <v>6695</v>
      </c>
      <c r="C382" s="2244"/>
      <c r="D382" s="2245">
        <v>0</v>
      </c>
      <c r="E382" s="2244">
        <v>0</v>
      </c>
      <c r="F382" s="2246">
        <v>0</v>
      </c>
      <c r="G382" s="2253">
        <v>0</v>
      </c>
      <c r="H382" s="2100">
        <v>0</v>
      </c>
      <c r="I382" s="2238">
        <f>VLOOKUP(A382,'Trial Balance - FPer'!$A$7:$I$1107,7,FALSE)</f>
        <v>570</v>
      </c>
      <c r="J382" s="2100">
        <f>VLOOKUP(A382,'Trial Balance - FPer'!$A$7:$I$1126,3,FALSE)</f>
        <v>0</v>
      </c>
    </row>
    <row r="383" spans="1:10" ht="14.25" hidden="1" x14ac:dyDescent="0.2">
      <c r="A383" s="2236"/>
      <c r="B383" s="2243" t="s">
        <v>6505</v>
      </c>
      <c r="C383" s="2244"/>
      <c r="D383" s="2245"/>
      <c r="E383" s="2244"/>
      <c r="F383" s="2246"/>
      <c r="G383" s="2253"/>
      <c r="H383" s="2100"/>
      <c r="I383" s="2238"/>
      <c r="J383" s="2100"/>
    </row>
    <row r="384" spans="1:10" ht="14.25" hidden="1" x14ac:dyDescent="0.2">
      <c r="A384" s="2236" t="s">
        <v>5026</v>
      </c>
      <c r="B384" s="2243" t="s">
        <v>6027</v>
      </c>
      <c r="C384" s="2244">
        <f>'[2]Data File'!$C$234</f>
        <v>6554.7</v>
      </c>
      <c r="D384" s="2245">
        <v>191.53</v>
      </c>
      <c r="E384" s="2244">
        <v>2130.6999999999998</v>
      </c>
      <c r="F384" s="2246">
        <v>3915</v>
      </c>
      <c r="G384" s="2253">
        <v>3238.6</v>
      </c>
      <c r="H384" s="2100">
        <v>2284.21</v>
      </c>
      <c r="I384" s="2238">
        <f>VLOOKUP(A384,'Trial Balance - FPer'!$A$7:$I$1107,7,FALSE)</f>
        <v>2521.34</v>
      </c>
      <c r="J384" s="2100">
        <f>VLOOKUP(A384,'Trial Balance - FPer'!$A$7:$I$1126,3,FALSE)</f>
        <v>6554.7</v>
      </c>
    </row>
    <row r="385" spans="1:10" ht="14.25" hidden="1" x14ac:dyDescent="0.2">
      <c r="A385" s="2236"/>
      <c r="B385" s="2243" t="s">
        <v>6660</v>
      </c>
      <c r="C385" s="2244"/>
      <c r="D385" s="2245"/>
      <c r="E385" s="2244"/>
      <c r="F385" s="2246"/>
      <c r="G385" s="2253"/>
      <c r="H385" s="2100"/>
      <c r="I385" s="2238"/>
      <c r="J385" s="2100"/>
    </row>
    <row r="386" spans="1:10" ht="14.25" hidden="1" x14ac:dyDescent="0.2">
      <c r="A386" s="2236" t="s">
        <v>5027</v>
      </c>
      <c r="B386" s="2243" t="s">
        <v>6028</v>
      </c>
      <c r="C386" s="2244">
        <f>'[2]Data File'!$C$421</f>
        <v>0</v>
      </c>
      <c r="D386" s="2245">
        <v>8798.9</v>
      </c>
      <c r="E386" s="2244">
        <v>0</v>
      </c>
      <c r="F386" s="2246">
        <v>0</v>
      </c>
      <c r="G386" s="2253">
        <v>2209.4499999999998</v>
      </c>
      <c r="H386" s="2100">
        <v>0</v>
      </c>
      <c r="I386" s="2238">
        <f>VLOOKUP(A386,'Trial Balance - FPer'!$A$7:$I$1107,7,FALSE)</f>
        <v>73668.92</v>
      </c>
      <c r="J386" s="2100">
        <f>VLOOKUP(A386,'Trial Balance - FPer'!$A$7:$I$1126,3,FALSE)</f>
        <v>0</v>
      </c>
    </row>
    <row r="387" spans="1:10" ht="14.25" hidden="1" x14ac:dyDescent="0.2">
      <c r="A387" s="2236"/>
      <c r="B387" s="2243" t="s">
        <v>6505</v>
      </c>
      <c r="C387" s="2244"/>
      <c r="D387" s="2245"/>
      <c r="E387" s="2244"/>
      <c r="F387" s="2246"/>
      <c r="G387" s="2253"/>
      <c r="H387" s="2100"/>
      <c r="I387" s="2238"/>
      <c r="J387" s="2100"/>
    </row>
    <row r="388" spans="1:10" ht="14.25" hidden="1" x14ac:dyDescent="0.2">
      <c r="A388" s="2236" t="s">
        <v>5028</v>
      </c>
      <c r="B388" s="2243" t="s">
        <v>6028</v>
      </c>
      <c r="C388" s="2244">
        <v>0</v>
      </c>
      <c r="D388" s="2245">
        <v>0</v>
      </c>
      <c r="E388" s="2244">
        <v>0</v>
      </c>
      <c r="F388" s="2246">
        <v>0</v>
      </c>
      <c r="G388" s="2253">
        <v>0</v>
      </c>
      <c r="H388" s="2100">
        <v>0</v>
      </c>
      <c r="I388" s="2238">
        <f>VLOOKUP(A388,'Trial Balance - FPer'!$A$7:$I$1107,7,FALSE)</f>
        <v>0</v>
      </c>
      <c r="J388" s="2100">
        <f>VLOOKUP(A388,'Trial Balance - FPer'!$A$7:$I$1126,3,FALSE)</f>
        <v>0</v>
      </c>
    </row>
    <row r="389" spans="1:10" ht="14.25" hidden="1" x14ac:dyDescent="0.2">
      <c r="A389" s="2236"/>
      <c r="B389" s="2243" t="s">
        <v>6640</v>
      </c>
      <c r="C389" s="2244"/>
      <c r="D389" s="2245"/>
      <c r="E389" s="2244"/>
      <c r="F389" s="2246"/>
      <c r="G389" s="2253"/>
      <c r="H389" s="2100"/>
      <c r="I389" s="2238"/>
      <c r="J389" s="2100"/>
    </row>
    <row r="390" spans="1:10" ht="14.25" hidden="1" x14ac:dyDescent="0.2">
      <c r="A390" s="2236" t="s">
        <v>5029</v>
      </c>
      <c r="B390" s="2243" t="s">
        <v>6609</v>
      </c>
      <c r="C390" s="2244">
        <f>'[2]Data File'!$C$235</f>
        <v>54884.3</v>
      </c>
      <c r="D390" s="2245">
        <v>100000</v>
      </c>
      <c r="E390" s="2244">
        <v>98396.96</v>
      </c>
      <c r="F390" s="2246">
        <v>190000</v>
      </c>
      <c r="G390" s="2253">
        <v>173089.54</v>
      </c>
      <c r="H390" s="2100">
        <v>112116.96</v>
      </c>
      <c r="I390" s="2238">
        <f>VLOOKUP(A390,'Trial Balance - FPer'!$A$7:$I$1107,7,FALSE)</f>
        <v>207736.54</v>
      </c>
      <c r="J390" s="2100">
        <f>VLOOKUP(A390,'Trial Balance - FPer'!$A$7:$I$1126,3,FALSE)</f>
        <v>54884.3</v>
      </c>
    </row>
    <row r="391" spans="1:10" ht="14.25" hidden="1" x14ac:dyDescent="0.2">
      <c r="A391" s="2236"/>
      <c r="B391" s="2243" t="s">
        <v>6660</v>
      </c>
      <c r="C391" s="2244"/>
      <c r="D391" s="2245"/>
      <c r="E391" s="2244"/>
      <c r="F391" s="2246"/>
      <c r="G391" s="2253"/>
      <c r="H391" s="2100"/>
      <c r="I391" s="2238"/>
      <c r="J391" s="2100"/>
    </row>
    <row r="392" spans="1:10" ht="14.25" hidden="1" x14ac:dyDescent="0.2">
      <c r="A392" s="2236" t="s">
        <v>5030</v>
      </c>
      <c r="B392" s="2243" t="s">
        <v>6609</v>
      </c>
      <c r="C392" s="2244">
        <f>'[2]Data File'!$C$422</f>
        <v>148731.53</v>
      </c>
      <c r="D392" s="2245">
        <v>102467.02</v>
      </c>
      <c r="E392" s="2244">
        <v>106621.77</v>
      </c>
      <c r="F392" s="2246">
        <v>190000</v>
      </c>
      <c r="G392" s="2253">
        <v>186076.53</v>
      </c>
      <c r="H392" s="2100">
        <v>135284.64000000001</v>
      </c>
      <c r="I392" s="2238">
        <f>VLOOKUP(A392,'Trial Balance - FPer'!$A$7:$I$1107,7,FALSE)</f>
        <v>290005.23</v>
      </c>
      <c r="J392" s="2100">
        <f>VLOOKUP(A392,'Trial Balance - FPer'!$A$7:$I$1126,3,FALSE)</f>
        <v>148731.53</v>
      </c>
    </row>
    <row r="393" spans="1:10" ht="14.25" hidden="1" x14ac:dyDescent="0.2">
      <c r="A393" s="2236"/>
      <c r="B393" s="2243" t="s">
        <v>6505</v>
      </c>
      <c r="C393" s="2244"/>
      <c r="D393" s="2245"/>
      <c r="E393" s="2244"/>
      <c r="F393" s="2246"/>
      <c r="G393" s="2253"/>
      <c r="H393" s="2100"/>
      <c r="I393" s="2238"/>
      <c r="J393" s="2100"/>
    </row>
    <row r="394" spans="1:10" ht="14.25" hidden="1" x14ac:dyDescent="0.2">
      <c r="A394" s="2236" t="s">
        <v>5031</v>
      </c>
      <c r="B394" s="2243" t="s">
        <v>6609</v>
      </c>
      <c r="C394" s="2244">
        <f>'[2]Data File'!$C$573</f>
        <v>22237.45</v>
      </c>
      <c r="D394" s="2245">
        <v>48922.39</v>
      </c>
      <c r="E394" s="2244">
        <v>0</v>
      </c>
      <c r="F394" s="2246">
        <v>0</v>
      </c>
      <c r="G394" s="2253">
        <v>12278.2</v>
      </c>
      <c r="H394" s="2100">
        <v>0</v>
      </c>
      <c r="I394" s="2238">
        <f>VLOOKUP(A394,'Trial Balance - FPer'!$A$7:$I$1107,7,FALSE)</f>
        <v>0</v>
      </c>
      <c r="J394" s="2100">
        <f>VLOOKUP(A394,'Trial Balance - FPer'!$A$7:$I$1126,3,FALSE)</f>
        <v>22237.45</v>
      </c>
    </row>
    <row r="395" spans="1:10" ht="14.25" hidden="1" x14ac:dyDescent="0.2">
      <c r="A395" s="2236"/>
      <c r="B395" s="2243" t="s">
        <v>6640</v>
      </c>
      <c r="C395" s="2244"/>
      <c r="D395" s="2245"/>
      <c r="E395" s="2244"/>
      <c r="F395" s="2246"/>
      <c r="G395" s="2253"/>
      <c r="H395" s="2100"/>
      <c r="I395" s="2238"/>
      <c r="J395" s="2100"/>
    </row>
    <row r="396" spans="1:10" ht="14.25" hidden="1" x14ac:dyDescent="0.2">
      <c r="A396" s="2236" t="s">
        <v>5032</v>
      </c>
      <c r="B396" s="2243" t="s">
        <v>6110</v>
      </c>
      <c r="C396" s="2244">
        <f>'[2]Data File'!$C$423</f>
        <v>-28947.7</v>
      </c>
      <c r="D396" s="2245">
        <v>0</v>
      </c>
      <c r="E396" s="2244">
        <v>0</v>
      </c>
      <c r="F396" s="2246">
        <v>0</v>
      </c>
      <c r="G396" s="2253">
        <v>0</v>
      </c>
      <c r="H396" s="2100">
        <v>0</v>
      </c>
      <c r="I396" s="2238">
        <f>VLOOKUP(A396,'Trial Balance - FPer'!$A$7:$I$1107,7,FALSE)</f>
        <v>0</v>
      </c>
      <c r="J396" s="2100">
        <f>VLOOKUP(A396,'Trial Balance - FPer'!$A$7:$I$1126,3,FALSE)</f>
        <v>-28947.7</v>
      </c>
    </row>
    <row r="397" spans="1:10" ht="14.25" hidden="1" x14ac:dyDescent="0.2">
      <c r="A397" s="2236"/>
      <c r="B397" s="2243" t="s">
        <v>6505</v>
      </c>
      <c r="C397" s="2244"/>
      <c r="D397" s="2245"/>
      <c r="E397" s="2244"/>
      <c r="F397" s="2246"/>
      <c r="G397" s="2253"/>
      <c r="H397" s="2100"/>
      <c r="I397" s="2238"/>
      <c r="J397" s="2100"/>
    </row>
    <row r="398" spans="1:10" ht="14.25" hidden="1" x14ac:dyDescent="0.2">
      <c r="A398" s="2236" t="s">
        <v>5034</v>
      </c>
      <c r="B398" s="2243" t="s">
        <v>6110</v>
      </c>
      <c r="C398" s="2244">
        <f>'[2]Data File'!$C$574</f>
        <v>111045.98</v>
      </c>
      <c r="D398" s="2245">
        <v>238889.16</v>
      </c>
      <c r="E398" s="2244">
        <v>21058</v>
      </c>
      <c r="F398" s="2246">
        <v>90000</v>
      </c>
      <c r="G398" s="2253">
        <v>91631.6</v>
      </c>
      <c r="H398" s="2100">
        <v>32201</v>
      </c>
      <c r="I398" s="2238">
        <f>VLOOKUP(A398,'Trial Balance - FPer'!$A$7:$I$1107,7,FALSE)</f>
        <v>32201</v>
      </c>
      <c r="J398" s="2100">
        <f>VLOOKUP(A398,'Trial Balance - FPer'!$A$7:$I$1126,3,FALSE)</f>
        <v>111045.98</v>
      </c>
    </row>
    <row r="399" spans="1:10" ht="14.25" hidden="1" x14ac:dyDescent="0.2">
      <c r="A399" s="2236"/>
      <c r="B399" s="2243" t="s">
        <v>6640</v>
      </c>
      <c r="C399" s="2244"/>
      <c r="D399" s="2245"/>
      <c r="E399" s="2244"/>
      <c r="F399" s="2246"/>
      <c r="G399" s="2253"/>
      <c r="H399" s="2100"/>
      <c r="I399" s="2238"/>
      <c r="J399" s="2100"/>
    </row>
    <row r="400" spans="1:10" ht="14.25" hidden="1" x14ac:dyDescent="0.2">
      <c r="A400" s="2236" t="s">
        <v>5035</v>
      </c>
      <c r="B400" s="2243" t="s">
        <v>6610</v>
      </c>
      <c r="C400" s="2244">
        <f>'[2]Data File'!$C$424</f>
        <v>296138.93</v>
      </c>
      <c r="D400" s="2245">
        <v>189544.54</v>
      </c>
      <c r="E400" s="2244">
        <v>258086.99</v>
      </c>
      <c r="F400" s="2246">
        <v>567596.88</v>
      </c>
      <c r="G400" s="2253">
        <v>435746.3</v>
      </c>
      <c r="H400" s="2100">
        <v>331098.18</v>
      </c>
      <c r="I400" s="2238">
        <f>VLOOKUP(A400,'Trial Balance - FPer'!$A$7:$I$1107,7,FALSE)</f>
        <v>751860.4800000001</v>
      </c>
      <c r="J400" s="2100">
        <f>VLOOKUP(A400,'Trial Balance - FPer'!$A$7:$I$1126,3,FALSE)</f>
        <v>296138.93</v>
      </c>
    </row>
    <row r="401" spans="1:10" ht="14.25" hidden="1" x14ac:dyDescent="0.2">
      <c r="A401" s="2236"/>
      <c r="B401" s="2243" t="s">
        <v>6505</v>
      </c>
      <c r="C401" s="2244"/>
      <c r="D401" s="2245"/>
      <c r="E401" s="2244"/>
      <c r="F401" s="2246"/>
      <c r="G401" s="2253"/>
      <c r="H401" s="2100"/>
      <c r="I401" s="2238"/>
      <c r="J401" s="2100"/>
    </row>
    <row r="402" spans="1:10" ht="14.25" hidden="1" x14ac:dyDescent="0.2">
      <c r="A402" s="2236" t="s">
        <v>5036</v>
      </c>
      <c r="B402" s="2243" t="s">
        <v>6610</v>
      </c>
      <c r="C402" s="2244">
        <f>'[2]Data File'!$C$575</f>
        <v>1077</v>
      </c>
      <c r="D402" s="2245">
        <v>2369.4</v>
      </c>
      <c r="E402" s="2244">
        <v>0</v>
      </c>
      <c r="F402" s="2246">
        <v>0</v>
      </c>
      <c r="G402" s="2253">
        <v>593.70000000000005</v>
      </c>
      <c r="H402" s="2100">
        <v>0</v>
      </c>
      <c r="I402" s="2238">
        <f>VLOOKUP(A402,'Trial Balance - FPer'!$A$7:$I$1107,7,FALSE)</f>
        <v>0</v>
      </c>
      <c r="J402" s="2100">
        <f>VLOOKUP(A402,'Trial Balance - FPer'!$A$7:$I$1126,3,FALSE)</f>
        <v>1077</v>
      </c>
    </row>
    <row r="403" spans="1:10" ht="14.25" hidden="1" x14ac:dyDescent="0.2">
      <c r="A403" s="2236"/>
      <c r="B403" s="2243" t="s">
        <v>6640</v>
      </c>
      <c r="C403" s="2244"/>
      <c r="D403" s="2245"/>
      <c r="E403" s="2244"/>
      <c r="F403" s="2246"/>
      <c r="G403" s="2253"/>
      <c r="H403" s="2100"/>
      <c r="I403" s="2238"/>
      <c r="J403" s="2100"/>
    </row>
    <row r="404" spans="1:10" ht="14.25" hidden="1" x14ac:dyDescent="0.2">
      <c r="A404" s="2236" t="s">
        <v>5037</v>
      </c>
      <c r="B404" s="2243" t="s">
        <v>6612</v>
      </c>
      <c r="C404" s="2244">
        <f>'[2]Data File'!$C$426</f>
        <v>-70984.28</v>
      </c>
      <c r="D404" s="2245">
        <v>57552.2</v>
      </c>
      <c r="E404" s="2244">
        <v>451427.62</v>
      </c>
      <c r="F404" s="2246">
        <v>500000</v>
      </c>
      <c r="G404" s="2253">
        <v>693383.05</v>
      </c>
      <c r="H404" s="2100">
        <v>431746.44</v>
      </c>
      <c r="I404" s="2238">
        <f>VLOOKUP(A404,'Trial Balance - FPer'!$A$7:$I$1107,7,FALSE)</f>
        <v>432313.64999999997</v>
      </c>
      <c r="J404" s="2100">
        <f>VLOOKUP(A404,'Trial Balance - FPer'!$A$7:$I$1126,3,FALSE)</f>
        <v>-70984.28</v>
      </c>
    </row>
    <row r="405" spans="1:10" ht="14.25" hidden="1" x14ac:dyDescent="0.2">
      <c r="A405" s="2236"/>
      <c r="B405" s="2243" t="s">
        <v>6505</v>
      </c>
      <c r="C405" s="2244"/>
      <c r="D405" s="2245"/>
      <c r="E405" s="2244"/>
      <c r="F405" s="2246"/>
      <c r="G405" s="2253"/>
      <c r="H405" s="2100"/>
      <c r="I405" s="2238"/>
      <c r="J405" s="2100"/>
    </row>
    <row r="406" spans="1:10" ht="14.25" hidden="1" x14ac:dyDescent="0.2">
      <c r="A406" s="2236" t="s">
        <v>5038</v>
      </c>
      <c r="B406" s="2243" t="s">
        <v>6613</v>
      </c>
      <c r="C406" s="2244">
        <f>'[2]Data File'!$C$576</f>
        <v>1512997.88</v>
      </c>
      <c r="D406" s="2245">
        <v>800000</v>
      </c>
      <c r="E406" s="2244">
        <v>661576.62</v>
      </c>
      <c r="F406" s="2246">
        <v>1200000</v>
      </c>
      <c r="G406" s="2253">
        <v>1195825.1000000001</v>
      </c>
      <c r="H406" s="2100">
        <v>746593.85</v>
      </c>
      <c r="I406" s="2238">
        <f>VLOOKUP(A406,'Trial Balance - FPer'!$A$7:$I$1107,7,FALSE)</f>
        <v>1305581.22</v>
      </c>
      <c r="J406" s="2100">
        <f>VLOOKUP(A406,'Trial Balance - FPer'!$A$7:$I$1126,3,FALSE)</f>
        <v>1512997.88</v>
      </c>
    </row>
    <row r="407" spans="1:10" ht="14.25" hidden="1" x14ac:dyDescent="0.2">
      <c r="A407" s="2236"/>
      <c r="B407" s="2243" t="s">
        <v>6640</v>
      </c>
      <c r="C407" s="2244"/>
      <c r="D407" s="2245"/>
      <c r="E407" s="2244"/>
      <c r="F407" s="2246"/>
      <c r="G407" s="2253"/>
      <c r="H407" s="2100"/>
      <c r="I407" s="2238"/>
      <c r="J407" s="2100"/>
    </row>
    <row r="408" spans="1:10" ht="14.25" hidden="1" x14ac:dyDescent="0.2">
      <c r="A408" s="2236" t="s">
        <v>5039</v>
      </c>
      <c r="B408" s="2243" t="s">
        <v>6033</v>
      </c>
      <c r="C408" s="2244">
        <f>'[2]Data File'!$C$425</f>
        <v>1707</v>
      </c>
      <c r="D408" s="2245">
        <v>179.71</v>
      </c>
      <c r="E408" s="2244">
        <v>88.51</v>
      </c>
      <c r="F408" s="2246">
        <v>179.71</v>
      </c>
      <c r="G408" s="2253">
        <v>177.48</v>
      </c>
      <c r="H408" s="2100">
        <v>88.51</v>
      </c>
      <c r="I408" s="2238">
        <f>VLOOKUP(A408,'Trial Balance - FPer'!$A$7:$I$1107,7,FALSE)</f>
        <v>0</v>
      </c>
      <c r="J408" s="2100">
        <f>VLOOKUP(A408,'Trial Balance - FPer'!$A$7:$I$1126,3,FALSE)</f>
        <v>0</v>
      </c>
    </row>
    <row r="409" spans="1:10" ht="14.25" hidden="1" x14ac:dyDescent="0.2">
      <c r="A409" s="2236"/>
      <c r="B409" s="2243" t="s">
        <v>6505</v>
      </c>
      <c r="C409" s="2244"/>
      <c r="D409" s="2245"/>
      <c r="E409" s="2244"/>
      <c r="F409" s="2246"/>
      <c r="G409" s="2253"/>
      <c r="H409" s="2100"/>
      <c r="I409" s="2238"/>
      <c r="J409" s="2100"/>
    </row>
    <row r="410" spans="1:10" ht="14.25" hidden="1" x14ac:dyDescent="0.2">
      <c r="A410" s="2236" t="s">
        <v>5040</v>
      </c>
      <c r="B410" s="2243" t="s">
        <v>6033</v>
      </c>
      <c r="C410" s="2244">
        <f>'[2]Data File'!$C$577</f>
        <v>66</v>
      </c>
      <c r="D410" s="2245">
        <v>72.75</v>
      </c>
      <c r="E410" s="2244">
        <v>0</v>
      </c>
      <c r="F410" s="2246">
        <v>72.75</v>
      </c>
      <c r="G410" s="2253">
        <v>18.38</v>
      </c>
      <c r="H410" s="2100">
        <v>0</v>
      </c>
      <c r="I410" s="2238">
        <f>VLOOKUP(A410,'Trial Balance - FPer'!$A$7:$I$1107,7,FALSE)</f>
        <v>0</v>
      </c>
      <c r="J410" s="2100">
        <f>VLOOKUP(A410,'Trial Balance - FPer'!$A$7:$I$1126,3,FALSE)</f>
        <v>0</v>
      </c>
    </row>
    <row r="411" spans="1:10" ht="14.25" hidden="1" x14ac:dyDescent="0.2">
      <c r="A411" s="2236"/>
      <c r="B411" s="2243" t="s">
        <v>6640</v>
      </c>
      <c r="C411" s="2244"/>
      <c r="D411" s="2245"/>
      <c r="E411" s="2244"/>
      <c r="F411" s="2246"/>
      <c r="G411" s="2253"/>
      <c r="H411" s="2100"/>
      <c r="I411" s="2238"/>
      <c r="J411" s="2100"/>
    </row>
    <row r="412" spans="1:10" ht="14.25" hidden="1" x14ac:dyDescent="0.2">
      <c r="A412" s="2236" t="s">
        <v>5041</v>
      </c>
      <c r="B412" s="2243" t="s">
        <v>6696</v>
      </c>
      <c r="C412" s="2244">
        <f>'[2]Data File'!$C$578</f>
        <v>3090318.15</v>
      </c>
      <c r="D412" s="2245">
        <v>400000</v>
      </c>
      <c r="E412" s="2244">
        <v>59538.59</v>
      </c>
      <c r="F412" s="2246">
        <v>200000</v>
      </c>
      <c r="G412" s="2253">
        <v>189938.11</v>
      </c>
      <c r="H412" s="2100">
        <v>59538.59</v>
      </c>
      <c r="I412" s="2238">
        <f>VLOOKUP(A412,'Trial Balance - FPer'!$A$7:$I$1107,7,FALSE)</f>
        <v>59538.59</v>
      </c>
      <c r="J412" s="2100">
        <f>VLOOKUP(A412,'Trial Balance - FPer'!$A$7:$I$1126,3,FALSE)</f>
        <v>3090318.15</v>
      </c>
    </row>
    <row r="413" spans="1:10" ht="14.25" hidden="1" x14ac:dyDescent="0.2">
      <c r="A413" s="2236"/>
      <c r="B413" s="2243" t="s">
        <v>6640</v>
      </c>
      <c r="C413" s="2244"/>
      <c r="D413" s="2245"/>
      <c r="E413" s="2244"/>
      <c r="F413" s="2246"/>
      <c r="G413" s="2253"/>
      <c r="H413" s="2100"/>
      <c r="I413" s="2238"/>
      <c r="J413" s="2100"/>
    </row>
    <row r="414" spans="1:10" ht="14.25" hidden="1" x14ac:dyDescent="0.2">
      <c r="A414" s="2236" t="s">
        <v>5043</v>
      </c>
      <c r="B414" s="2243" t="s">
        <v>6697</v>
      </c>
      <c r="C414" s="2244">
        <v>0</v>
      </c>
      <c r="D414" s="2245">
        <v>0</v>
      </c>
      <c r="E414" s="2244">
        <v>0</v>
      </c>
      <c r="F414" s="2246">
        <v>0</v>
      </c>
      <c r="G414" s="2253">
        <v>0</v>
      </c>
      <c r="H414" s="2100">
        <v>0</v>
      </c>
      <c r="I414" s="2238"/>
      <c r="J414" s="2100"/>
    </row>
    <row r="415" spans="1:10" ht="14.25" hidden="1" x14ac:dyDescent="0.2">
      <c r="A415" s="2236"/>
      <c r="B415" s="2243" t="s">
        <v>6505</v>
      </c>
      <c r="C415" s="2244"/>
      <c r="D415" s="2245"/>
      <c r="E415" s="2244"/>
      <c r="F415" s="2246"/>
      <c r="G415" s="2253"/>
      <c r="H415" s="2100"/>
      <c r="I415" s="2238"/>
      <c r="J415" s="2100"/>
    </row>
    <row r="416" spans="1:10" ht="14.25" hidden="1" x14ac:dyDescent="0.2">
      <c r="A416" s="2236" t="s">
        <v>5044</v>
      </c>
      <c r="B416" s="2243" t="s">
        <v>6636</v>
      </c>
      <c r="C416" s="2244">
        <f>'[2]Data File'!$C$410</f>
        <v>3258559.65</v>
      </c>
      <c r="D416" s="2245">
        <v>1928510</v>
      </c>
      <c r="E416" s="2244">
        <v>1916726.54</v>
      </c>
      <c r="F416" s="2246">
        <v>4000000</v>
      </c>
      <c r="G416" s="2253">
        <v>3366864.5</v>
      </c>
      <c r="H416" s="2100">
        <v>2174666.1</v>
      </c>
      <c r="I416" s="2238">
        <f>VLOOKUP(A416,'Trial Balance - FPer'!$A$7:$I$1107,7,FALSE)</f>
        <v>1720919.9599999997</v>
      </c>
      <c r="J416" s="2100">
        <f>VLOOKUP(A416,'Trial Balance - FPer'!$A$7:$I$1126,3,FALSE)</f>
        <v>3258559.65</v>
      </c>
    </row>
    <row r="417" spans="1:10" ht="14.25" hidden="1" x14ac:dyDescent="0.2">
      <c r="A417" s="2236"/>
      <c r="B417" s="2243" t="s">
        <v>6505</v>
      </c>
      <c r="C417" s="2244"/>
      <c r="D417" s="2245"/>
      <c r="E417" s="2244"/>
      <c r="F417" s="2246"/>
      <c r="G417" s="2253"/>
      <c r="H417" s="2100"/>
      <c r="I417" s="2238"/>
      <c r="J417" s="2100"/>
    </row>
    <row r="418" spans="1:10" ht="14.25" hidden="1" x14ac:dyDescent="0.2">
      <c r="A418" s="2599" t="s">
        <v>5045</v>
      </c>
      <c r="B418" s="2600" t="s">
        <v>6698</v>
      </c>
      <c r="C418" s="2601">
        <f>'[2]Data File'!$C$427</f>
        <v>0</v>
      </c>
      <c r="D418" s="2601">
        <v>4008.93</v>
      </c>
      <c r="E418" s="2601">
        <v>0</v>
      </c>
      <c r="F418" s="2601">
        <v>4008.93</v>
      </c>
      <c r="G418" s="2602">
        <v>1005.47</v>
      </c>
      <c r="H418" s="2598">
        <v>0</v>
      </c>
      <c r="I418" s="2238"/>
      <c r="J418" s="2100">
        <f>VLOOKUP(A418,'Trial Balance - FPer'!$A$7:$I$1126,3,FALSE)</f>
        <v>0</v>
      </c>
    </row>
    <row r="419" spans="1:10" ht="14.25" hidden="1" x14ac:dyDescent="0.2">
      <c r="A419" s="2236"/>
      <c r="B419" s="2247" t="s">
        <v>6505</v>
      </c>
      <c r="C419" s="2248"/>
      <c r="D419" s="2249"/>
      <c r="E419" s="2248"/>
      <c r="F419" s="2250"/>
      <c r="G419" s="2248"/>
      <c r="H419" s="2256"/>
      <c r="I419" s="2238"/>
      <c r="J419" s="2100"/>
    </row>
    <row r="420" spans="1:10" s="2615" customFormat="1" hidden="1" x14ac:dyDescent="0.2">
      <c r="A420" s="2612"/>
      <c r="B420" s="2613" t="s">
        <v>6614</v>
      </c>
      <c r="C420" s="2614">
        <f>SUM(C330:C419)</f>
        <v>13716744.880000001</v>
      </c>
      <c r="D420" s="2614">
        <f>SUM(D330:D419)</f>
        <v>10108587.66</v>
      </c>
      <c r="E420" s="2614">
        <f>SUM(E330:E419)</f>
        <v>6078007.1400000006</v>
      </c>
      <c r="F420" s="2614">
        <f>SUM(F330:F419)</f>
        <v>11505103.399999999</v>
      </c>
      <c r="G420" s="2614">
        <f>SUM(G330:G419)</f>
        <v>11607168.040000001</v>
      </c>
      <c r="H420" s="2614">
        <f t="shared" ref="H420" si="30">SUM(H330:H419)</f>
        <v>6837694.379999999</v>
      </c>
      <c r="I420" s="2614">
        <f>SUM(I330:I419)</f>
        <v>7925560.4000000004</v>
      </c>
      <c r="J420" s="2614">
        <f>SUM(J330:J419)</f>
        <v>12900572.09</v>
      </c>
    </row>
    <row r="421" spans="1:10" ht="14.25" hidden="1" x14ac:dyDescent="0.2">
      <c r="A421" s="2236"/>
      <c r="B421" s="2243"/>
      <c r="C421" s="2244"/>
      <c r="D421" s="2245"/>
      <c r="E421" s="2244"/>
      <c r="F421" s="2246"/>
      <c r="G421" s="2244"/>
      <c r="H421" s="2244"/>
      <c r="I421" s="2238"/>
      <c r="J421" s="2100" t="e">
        <f>VLOOKUP(A421,'Trial Balance - FPer'!$A$7:$I$1126,3,FALSE)</f>
        <v>#N/A</v>
      </c>
    </row>
    <row r="422" spans="1:10" ht="14.25" hidden="1" x14ac:dyDescent="0.2">
      <c r="A422" s="2236"/>
      <c r="B422" s="2242" t="s">
        <v>6699</v>
      </c>
      <c r="C422" s="2244"/>
      <c r="D422" s="2245"/>
      <c r="E422" s="2244"/>
      <c r="F422" s="2246"/>
      <c r="G422" s="2244"/>
      <c r="H422" s="2244"/>
      <c r="I422" s="2238"/>
      <c r="J422" s="2100" t="e">
        <f>VLOOKUP(A422,'Trial Balance - FPer'!$A$7:$I$1126,3,FALSE)</f>
        <v>#N/A</v>
      </c>
    </row>
    <row r="423" spans="1:10" ht="14.25" hidden="1" x14ac:dyDescent="0.2">
      <c r="A423" s="2236" t="s">
        <v>5047</v>
      </c>
      <c r="B423" s="2243" t="s">
        <v>6700</v>
      </c>
      <c r="C423" s="2244">
        <v>0</v>
      </c>
      <c r="D423" s="2245">
        <v>0</v>
      </c>
      <c r="E423" s="2244">
        <v>0</v>
      </c>
      <c r="F423" s="2246">
        <v>0</v>
      </c>
      <c r="G423" s="2244">
        <v>0</v>
      </c>
      <c r="H423" s="2100">
        <v>0</v>
      </c>
      <c r="I423" s="2238">
        <f>VLOOKUP(A423,'Trial Balance - FPer'!$A$7:$I$1107,7,FALSE)</f>
        <v>1661644.33</v>
      </c>
      <c r="J423" s="2100" t="str">
        <f>VLOOKUP(A423,'Trial Balance - FPer'!$A$7:$I$1126,3,FALSE)</f>
        <v xml:space="preserve">                               -  </v>
      </c>
    </row>
    <row r="424" spans="1:10" ht="14.25" hidden="1" x14ac:dyDescent="0.2">
      <c r="A424" s="2236"/>
      <c r="B424" s="2243" t="s">
        <v>6640</v>
      </c>
      <c r="C424" s="2244"/>
      <c r="D424" s="2245"/>
      <c r="E424" s="2244"/>
      <c r="F424" s="2246"/>
      <c r="G424" s="2244"/>
      <c r="H424" s="2100"/>
      <c r="I424" s="2238"/>
      <c r="J424" s="2100"/>
    </row>
    <row r="425" spans="1:10" ht="14.25" hidden="1" x14ac:dyDescent="0.2">
      <c r="A425" s="2236" t="s">
        <v>5049</v>
      </c>
      <c r="B425" s="2243" t="s">
        <v>6616</v>
      </c>
      <c r="C425" s="2244">
        <f>'[2]Data File'!$C$434</f>
        <v>12485.61</v>
      </c>
      <c r="D425" s="2245">
        <v>25635.02</v>
      </c>
      <c r="E425" s="2244">
        <v>0</v>
      </c>
      <c r="F425" s="2246">
        <v>2535.02</v>
      </c>
      <c r="G425" s="2244">
        <v>6433.51</v>
      </c>
      <c r="H425" s="2100">
        <v>363.99</v>
      </c>
      <c r="I425" s="2238">
        <f>VLOOKUP(A425,'Trial Balance - FPer'!$A$7:$I$1107,7,FALSE)</f>
        <v>2460.62</v>
      </c>
      <c r="J425" s="2100">
        <f>VLOOKUP(A425,'Trial Balance - FPer'!$A$7:$I$1126,3,FALSE)</f>
        <v>12485.61</v>
      </c>
    </row>
    <row r="426" spans="1:10" ht="14.25" hidden="1" x14ac:dyDescent="0.2">
      <c r="A426" s="2236"/>
      <c r="B426" s="2243" t="s">
        <v>6505</v>
      </c>
      <c r="C426" s="2244"/>
      <c r="D426" s="2245"/>
      <c r="E426" s="2244"/>
      <c r="F426" s="2246"/>
      <c r="G426" s="2244"/>
      <c r="H426" s="2100"/>
      <c r="I426" s="2238"/>
      <c r="J426" s="2100"/>
    </row>
    <row r="427" spans="1:10" ht="14.25" hidden="1" x14ac:dyDescent="0.2">
      <c r="A427" s="2236" t="s">
        <v>5050</v>
      </c>
      <c r="B427" s="2243" t="s">
        <v>6616</v>
      </c>
      <c r="C427" s="2244">
        <f>'[2]Data File'!$C$584</f>
        <v>0</v>
      </c>
      <c r="D427" s="2245">
        <v>0</v>
      </c>
      <c r="E427" s="2244">
        <v>0</v>
      </c>
      <c r="F427" s="2246">
        <v>0</v>
      </c>
      <c r="G427" s="2244">
        <v>0</v>
      </c>
      <c r="H427" s="2100">
        <v>0</v>
      </c>
      <c r="I427" s="2238">
        <f>VLOOKUP(A427,'Trial Balance - FPer'!$A$7:$I$1107,7,FALSE)</f>
        <v>0</v>
      </c>
      <c r="J427" s="2100" t="str">
        <f>VLOOKUP(A427,'Trial Balance - FPer'!$A$7:$I$1126,3,FALSE)</f>
        <v xml:space="preserve">                               -  </v>
      </c>
    </row>
    <row r="428" spans="1:10" ht="14.25" hidden="1" x14ac:dyDescent="0.2">
      <c r="A428" s="2236"/>
      <c r="B428" s="2243" t="s">
        <v>6640</v>
      </c>
      <c r="C428" s="2244"/>
      <c r="D428" s="2245"/>
      <c r="E428" s="2244"/>
      <c r="F428" s="2246"/>
      <c r="G428" s="2244"/>
      <c r="H428" s="2100"/>
      <c r="I428" s="2238"/>
      <c r="J428" s="2100"/>
    </row>
    <row r="429" spans="1:10" ht="14.25" hidden="1" x14ac:dyDescent="0.2">
      <c r="A429" s="2236" t="s">
        <v>5051</v>
      </c>
      <c r="B429" s="2243" t="s">
        <v>6617</v>
      </c>
      <c r="C429" s="2244">
        <f>'[2]Data File'!$C$435</f>
        <v>67.5</v>
      </c>
      <c r="D429" s="2245">
        <v>0</v>
      </c>
      <c r="E429" s="2244">
        <v>0</v>
      </c>
      <c r="F429" s="2246">
        <v>0</v>
      </c>
      <c r="G429" s="2244">
        <v>0</v>
      </c>
      <c r="H429" s="2100">
        <v>0</v>
      </c>
      <c r="I429" s="2238">
        <f>VLOOKUP(A429,'Trial Balance - FPer'!$A$7:$I$1107,7,FALSE)</f>
        <v>0</v>
      </c>
      <c r="J429" s="2100">
        <f>VLOOKUP(A429,'Trial Balance - FPer'!$A$7:$I$1126,3,FALSE)</f>
        <v>67.5</v>
      </c>
    </row>
    <row r="430" spans="1:10" ht="14.25" hidden="1" x14ac:dyDescent="0.2">
      <c r="A430" s="2236"/>
      <c r="B430" s="2243" t="s">
        <v>6505</v>
      </c>
      <c r="C430" s="2244"/>
      <c r="D430" s="2245"/>
      <c r="E430" s="2244"/>
      <c r="F430" s="2246"/>
      <c r="G430" s="2244"/>
      <c r="H430" s="2100"/>
      <c r="I430" s="2238"/>
      <c r="J430" s="2100"/>
    </row>
    <row r="431" spans="1:10" ht="14.25" hidden="1" x14ac:dyDescent="0.2">
      <c r="A431" s="2236" t="s">
        <v>5052</v>
      </c>
      <c r="B431" s="2243" t="s">
        <v>6617</v>
      </c>
      <c r="C431" s="2244">
        <f>'[2]Data File'!$C$585</f>
        <v>6442.66</v>
      </c>
      <c r="D431" s="2245">
        <v>14173.85</v>
      </c>
      <c r="E431" s="2244">
        <v>0</v>
      </c>
      <c r="F431" s="2246">
        <v>14173.85</v>
      </c>
      <c r="G431" s="2244">
        <v>3558.93</v>
      </c>
      <c r="H431" s="2100">
        <v>0</v>
      </c>
      <c r="I431" s="2238">
        <f>VLOOKUP(A431,'Trial Balance - FPer'!$A$7:$I$1107,7,FALSE)</f>
        <v>0</v>
      </c>
      <c r="J431" s="2100">
        <f>VLOOKUP(A431,'Trial Balance - FPer'!$A$7:$I$1126,3,FALSE)</f>
        <v>6442.66</v>
      </c>
    </row>
    <row r="432" spans="1:10" ht="14.25" hidden="1" x14ac:dyDescent="0.2">
      <c r="A432" s="2236"/>
      <c r="B432" s="2247" t="s">
        <v>6640</v>
      </c>
      <c r="C432" s="2248"/>
      <c r="D432" s="2249"/>
      <c r="E432" s="2248"/>
      <c r="F432" s="2250"/>
      <c r="G432" s="2248"/>
      <c r="H432" s="2100"/>
      <c r="I432" s="2238"/>
      <c r="J432" s="2100"/>
    </row>
    <row r="433" spans="1:10" s="2615" customFormat="1" hidden="1" x14ac:dyDescent="0.2">
      <c r="A433" s="2612"/>
      <c r="B433" s="2613" t="s">
        <v>6618</v>
      </c>
      <c r="C433" s="2614">
        <f>SUM(C423:C432)</f>
        <v>18995.77</v>
      </c>
      <c r="D433" s="2614">
        <f>SUM(D423:D432)</f>
        <v>39808.870000000003</v>
      </c>
      <c r="E433" s="2614">
        <f>SUM(E423:E432)</f>
        <v>0</v>
      </c>
      <c r="F433" s="2614">
        <f>SUM(F423:F432)</f>
        <v>16708.87</v>
      </c>
      <c r="G433" s="2614">
        <f>SUM(G423:G432)</f>
        <v>9992.44</v>
      </c>
      <c r="H433" s="2614">
        <f t="shared" ref="H433" si="31">SUM(H423:H432)</f>
        <v>363.99</v>
      </c>
      <c r="I433" s="2614">
        <f>SUM(I423:I432)</f>
        <v>1664104.9500000002</v>
      </c>
      <c r="J433" s="2614">
        <f>SUM(J423:J432)</f>
        <v>18995.77</v>
      </c>
    </row>
    <row r="434" spans="1:10" ht="14.25" hidden="1" x14ac:dyDescent="0.2">
      <c r="A434" s="2236"/>
      <c r="B434" s="2243"/>
      <c r="C434" s="2244"/>
      <c r="D434" s="2245"/>
      <c r="E434" s="2244"/>
      <c r="F434" s="2246"/>
      <c r="G434" s="2244"/>
      <c r="H434" s="2244"/>
      <c r="I434" s="2238"/>
      <c r="J434" s="2100" t="e">
        <f>VLOOKUP(A434,'Trial Balance - FPer'!$A$7:$I$1126,3,FALSE)</f>
        <v>#N/A</v>
      </c>
    </row>
    <row r="435" spans="1:10" ht="14.25" hidden="1" x14ac:dyDescent="0.2">
      <c r="A435" s="2236"/>
      <c r="B435" s="2242" t="s">
        <v>6619</v>
      </c>
      <c r="C435" s="2244"/>
      <c r="D435" s="2245"/>
      <c r="E435" s="2244"/>
      <c r="F435" s="2246"/>
      <c r="G435" s="2244"/>
      <c r="H435" s="2244"/>
      <c r="I435" s="2238"/>
      <c r="J435" s="2100" t="e">
        <f>VLOOKUP(A435,'Trial Balance - FPer'!$A$7:$I$1126,3,FALSE)</f>
        <v>#N/A</v>
      </c>
    </row>
    <row r="436" spans="1:10" ht="14.25" hidden="1" x14ac:dyDescent="0.2">
      <c r="A436" s="2236" t="s">
        <v>5053</v>
      </c>
      <c r="B436" s="2243" t="s">
        <v>6701</v>
      </c>
      <c r="C436" s="2244">
        <v>0</v>
      </c>
      <c r="D436" s="2245">
        <v>0</v>
      </c>
      <c r="E436" s="2244">
        <v>0</v>
      </c>
      <c r="F436" s="2246">
        <v>0</v>
      </c>
      <c r="G436" s="2244">
        <v>0</v>
      </c>
      <c r="H436" s="2100">
        <v>0</v>
      </c>
      <c r="I436" s="2238">
        <f>VLOOKUP(A436,'Trial Balance - FPer'!$A$7:$I$1107,7,FALSE)</f>
        <v>0</v>
      </c>
      <c r="J436" s="2100">
        <f>VLOOKUP(A436,'Trial Balance - FPer'!$A$7:$I$1126,3,FALSE)</f>
        <v>0</v>
      </c>
    </row>
    <row r="437" spans="1:10" ht="14.25" hidden="1" x14ac:dyDescent="0.2">
      <c r="A437" s="2236"/>
      <c r="B437" s="2243" t="s">
        <v>6505</v>
      </c>
      <c r="C437" s="2244"/>
      <c r="D437" s="2245"/>
      <c r="E437" s="2244"/>
      <c r="F437" s="2246"/>
      <c r="G437" s="2244"/>
      <c r="H437" s="2100"/>
      <c r="I437" s="2238"/>
      <c r="J437" s="2100"/>
    </row>
    <row r="438" spans="1:10" ht="14.25" hidden="1" x14ac:dyDescent="0.2">
      <c r="A438" s="2236" t="s">
        <v>5055</v>
      </c>
      <c r="B438" s="2243" t="s">
        <v>6620</v>
      </c>
      <c r="C438" s="2244"/>
      <c r="D438" s="2245">
        <v>86834.26</v>
      </c>
      <c r="E438" s="2244">
        <v>3120</v>
      </c>
      <c r="F438" s="2246">
        <v>86834.26</v>
      </c>
      <c r="G438" s="2244">
        <v>26489.81</v>
      </c>
      <c r="H438" s="2100">
        <v>14524.89</v>
      </c>
      <c r="I438" s="2238">
        <f>VLOOKUP(A438,'Trial Balance - FPer'!$A$7:$I$1107,7,FALSE)</f>
        <v>65087.72</v>
      </c>
      <c r="J438" s="2100">
        <f>VLOOKUP(A438,'Trial Balance - FPer'!$A$7:$I$1126,3,FALSE)</f>
        <v>170633.95</v>
      </c>
    </row>
    <row r="439" spans="1:10" ht="14.25" hidden="1" x14ac:dyDescent="0.2">
      <c r="A439" s="2236"/>
      <c r="B439" s="2243" t="s">
        <v>6505</v>
      </c>
      <c r="C439" s="2244">
        <f>'[2]Data File'!$C$439</f>
        <v>170633.95</v>
      </c>
      <c r="D439" s="2245"/>
      <c r="E439" s="2244"/>
      <c r="F439" s="2246"/>
      <c r="G439" s="2244"/>
      <c r="H439" s="2100"/>
      <c r="I439" s="2238"/>
      <c r="J439" s="2100"/>
    </row>
    <row r="440" spans="1:10" ht="14.25" hidden="1" x14ac:dyDescent="0.2">
      <c r="A440" s="2236" t="s">
        <v>5056</v>
      </c>
      <c r="B440" s="2243" t="s">
        <v>6620</v>
      </c>
      <c r="C440" s="2244">
        <f>'[2]Data File'!$C$589</f>
        <v>0</v>
      </c>
      <c r="D440" s="2245">
        <v>0</v>
      </c>
      <c r="E440" s="2244">
        <v>0</v>
      </c>
      <c r="F440" s="2246">
        <v>0</v>
      </c>
      <c r="G440" s="2244">
        <v>0</v>
      </c>
      <c r="H440" s="2100">
        <v>0</v>
      </c>
      <c r="I440" s="2238">
        <f>VLOOKUP(A440,'Trial Balance - FPer'!$A$7:$I$1107,7,FALSE)</f>
        <v>0</v>
      </c>
      <c r="J440" s="2100">
        <f>VLOOKUP(A440,'Trial Balance - FPer'!$A$7:$I$1126,3,FALSE)</f>
        <v>0</v>
      </c>
    </row>
    <row r="441" spans="1:10" ht="14.25" hidden="1" x14ac:dyDescent="0.2">
      <c r="A441" s="2236"/>
      <c r="B441" s="2243" t="s">
        <v>6640</v>
      </c>
      <c r="C441" s="2244"/>
      <c r="D441" s="2245"/>
      <c r="E441" s="2244"/>
      <c r="F441" s="2246"/>
      <c r="G441" s="2244"/>
      <c r="H441" s="2100"/>
      <c r="I441" s="2238"/>
      <c r="J441" s="2100"/>
    </row>
    <row r="442" spans="1:10" ht="14.25" hidden="1" x14ac:dyDescent="0.2">
      <c r="A442" s="2236" t="s">
        <v>5057</v>
      </c>
      <c r="B442" s="2243" t="s">
        <v>6621</v>
      </c>
      <c r="C442" s="2244">
        <f>'[2]Data File'!$C$241</f>
        <v>200.54</v>
      </c>
      <c r="D442" s="2245">
        <v>37060.6</v>
      </c>
      <c r="E442" s="2244">
        <v>0</v>
      </c>
      <c r="F442" s="2246">
        <v>37060.6</v>
      </c>
      <c r="G442" s="2244">
        <v>9302.2999999999993</v>
      </c>
      <c r="H442" s="2100">
        <v>0</v>
      </c>
      <c r="I442" s="2238">
        <f>VLOOKUP(A442,'Trial Balance - FPer'!$A$7:$I$1107,7,FALSE)</f>
        <v>0</v>
      </c>
      <c r="J442" s="2100">
        <f>VLOOKUP(A442,'Trial Balance - FPer'!$A$7:$I$1126,3,FALSE)</f>
        <v>200.54</v>
      </c>
    </row>
    <row r="443" spans="1:10" ht="14.25" hidden="1" x14ac:dyDescent="0.2">
      <c r="A443" s="2236"/>
      <c r="B443" s="2243" t="s">
        <v>6660</v>
      </c>
      <c r="C443" s="2244"/>
      <c r="D443" s="2245"/>
      <c r="E443" s="2244"/>
      <c r="F443" s="2246"/>
      <c r="G443" s="2244"/>
      <c r="H443" s="2100"/>
      <c r="I443" s="2238"/>
      <c r="J443" s="2100"/>
    </row>
    <row r="444" spans="1:10" ht="14.25" hidden="1" x14ac:dyDescent="0.2">
      <c r="A444" s="2236" t="s">
        <v>5058</v>
      </c>
      <c r="B444" s="2243" t="s">
        <v>6621</v>
      </c>
      <c r="C444" s="2244">
        <f>'[2]Data File'!$C$440</f>
        <v>16095.97</v>
      </c>
      <c r="D444" s="2245">
        <v>29893.57</v>
      </c>
      <c r="E444" s="2244">
        <v>0</v>
      </c>
      <c r="F444" s="2246">
        <v>29893.57</v>
      </c>
      <c r="G444" s="2244">
        <v>7503.79</v>
      </c>
      <c r="H444" s="2100">
        <v>0</v>
      </c>
      <c r="I444" s="2238">
        <f>VLOOKUP(A444,'Trial Balance - FPer'!$A$7:$I$1107,7,FALSE)</f>
        <v>9955.9</v>
      </c>
      <c r="J444" s="2100">
        <f>VLOOKUP(A444,'Trial Balance - FPer'!$A$7:$I$1126,3,FALSE)</f>
        <v>16095.97</v>
      </c>
    </row>
    <row r="445" spans="1:10" ht="14.25" hidden="1" x14ac:dyDescent="0.2">
      <c r="A445" s="2236"/>
      <c r="B445" s="2243" t="s">
        <v>6505</v>
      </c>
      <c r="C445" s="2244"/>
      <c r="D445" s="2245"/>
      <c r="E445" s="2244"/>
      <c r="F445" s="2246"/>
      <c r="G445" s="2244"/>
      <c r="H445" s="2100"/>
      <c r="I445" s="2238"/>
      <c r="J445" s="2100"/>
    </row>
    <row r="446" spans="1:10" ht="14.25" hidden="1" x14ac:dyDescent="0.2">
      <c r="A446" s="2236" t="s">
        <v>5059</v>
      </c>
      <c r="B446" s="2243" t="s">
        <v>6621</v>
      </c>
      <c r="C446" s="2244">
        <f>'[2]Data File'!$C$590</f>
        <v>0</v>
      </c>
      <c r="D446" s="2245">
        <v>0</v>
      </c>
      <c r="E446" s="2244">
        <v>0</v>
      </c>
      <c r="F446" s="2246">
        <v>0</v>
      </c>
      <c r="G446" s="2244">
        <v>0</v>
      </c>
      <c r="H446" s="2100">
        <v>0</v>
      </c>
      <c r="I446" s="2238">
        <f>VLOOKUP(A446,'Trial Balance - FPer'!$A$7:$I$1107,7,FALSE)</f>
        <v>0</v>
      </c>
      <c r="J446" s="2100">
        <f>VLOOKUP(A446,'Trial Balance - FPer'!$A$7:$I$1126,3,FALSE)</f>
        <v>0</v>
      </c>
    </row>
    <row r="447" spans="1:10" ht="14.25" hidden="1" x14ac:dyDescent="0.2">
      <c r="A447" s="2236"/>
      <c r="B447" s="2243" t="s">
        <v>6640</v>
      </c>
      <c r="C447" s="2244"/>
      <c r="D447" s="2245"/>
      <c r="E447" s="2244"/>
      <c r="F447" s="2246"/>
      <c r="G447" s="2244"/>
      <c r="H447" s="2100"/>
      <c r="I447" s="2238"/>
      <c r="J447" s="2100"/>
    </row>
    <row r="448" spans="1:10" ht="14.25" hidden="1" x14ac:dyDescent="0.2">
      <c r="A448" s="2251" t="s">
        <v>5060</v>
      </c>
      <c r="B448" s="2257" t="s">
        <v>6702</v>
      </c>
      <c r="C448" s="2253">
        <f>'[2]Data File'!$C$242</f>
        <v>0</v>
      </c>
      <c r="D448" s="2254">
        <v>259.91000000000003</v>
      </c>
      <c r="E448" s="2253">
        <v>0</v>
      </c>
      <c r="F448" s="2255">
        <v>0</v>
      </c>
      <c r="G448" s="2253">
        <v>63.96</v>
      </c>
      <c r="H448" s="2100">
        <v>0</v>
      </c>
      <c r="I448" s="2238">
        <f>VLOOKUP(A448,'Trial Balance - FPer'!$A$7:$I$1107,7,FALSE)</f>
        <v>0</v>
      </c>
      <c r="J448" s="2100">
        <f>VLOOKUP(A448,'Trial Balance - FPer'!$A$7:$I$1126,3,FALSE)</f>
        <v>0</v>
      </c>
    </row>
    <row r="449" spans="1:10" ht="14.25" hidden="1" x14ac:dyDescent="0.2">
      <c r="A449" s="2236"/>
      <c r="B449" s="2247" t="s">
        <v>6660</v>
      </c>
      <c r="C449" s="2248"/>
      <c r="D449" s="2249"/>
      <c r="E449" s="2248"/>
      <c r="F449" s="2250"/>
      <c r="G449" s="2248"/>
      <c r="H449" s="2100"/>
      <c r="I449" s="2238"/>
      <c r="J449" s="2100"/>
    </row>
    <row r="450" spans="1:10" s="2615" customFormat="1" hidden="1" x14ac:dyDescent="0.2">
      <c r="A450" s="2612"/>
      <c r="B450" s="2613" t="s">
        <v>6703</v>
      </c>
      <c r="C450" s="2614">
        <f>SUM(C436:C449)</f>
        <v>186930.46000000002</v>
      </c>
      <c r="D450" s="2614">
        <f>SUM(D436:D449)</f>
        <v>154048.34</v>
      </c>
      <c r="E450" s="2614">
        <f>SUM(E436:E449)</f>
        <v>3120</v>
      </c>
      <c r="F450" s="2614">
        <f>SUM(F436:F449)</f>
        <v>153788.43</v>
      </c>
      <c r="G450" s="2614">
        <f>SUM(G436:G449)</f>
        <v>43359.86</v>
      </c>
      <c r="H450" s="2614">
        <f t="shared" ref="H450" si="32">SUM(H436:H449)</f>
        <v>14524.89</v>
      </c>
      <c r="I450" s="2614">
        <f>SUM(I436:I449)</f>
        <v>75043.62</v>
      </c>
      <c r="J450" s="2614">
        <f>SUM(J436:J449)</f>
        <v>186930.46000000002</v>
      </c>
    </row>
    <row r="451" spans="1:10" ht="14.25" hidden="1" x14ac:dyDescent="0.2">
      <c r="A451" s="2236"/>
      <c r="B451" s="2243"/>
      <c r="C451" s="2244"/>
      <c r="D451" s="2245"/>
      <c r="E451" s="2244"/>
      <c r="F451" s="2246"/>
      <c r="G451" s="2244"/>
      <c r="H451" s="2244"/>
      <c r="I451" s="2238"/>
      <c r="J451" s="2100" t="e">
        <f>VLOOKUP(A451,'Trial Balance - FPer'!$A$7:$I$1126,3,FALSE)</f>
        <v>#N/A</v>
      </c>
    </row>
    <row r="452" spans="1:10" s="2615" customFormat="1" ht="13.5" thickBot="1" x14ac:dyDescent="0.25">
      <c r="A452" s="2612"/>
      <c r="B452" s="2616" t="s">
        <v>6623</v>
      </c>
      <c r="C452" s="2617">
        <f>C450+C433+C420+C327+C310+C305+C300+C295</f>
        <v>17717078.240000002</v>
      </c>
      <c r="D452" s="2617">
        <f>D450+D433+D420+D327+D310+D305+D300+D295</f>
        <v>17483636.23</v>
      </c>
      <c r="E452" s="2617">
        <f>E450+E433+E420+E327+E310+E305+E300+E295</f>
        <v>8363744.9600000009</v>
      </c>
      <c r="F452" s="2617">
        <f>F450+F433+F420+F327+F310+F305+F300+F295</f>
        <v>18458742.310000002</v>
      </c>
      <c r="G452" s="2617">
        <f>G450+G433+G420+G327+G310+G305+G300+G295</f>
        <v>16896224.780000001</v>
      </c>
      <c r="H452" s="2617">
        <f t="shared" ref="H452" si="33">H450+H433+H420+H327+H310+H305+H300+H295</f>
        <v>9558102.2999999989</v>
      </c>
      <c r="I452" s="2617">
        <f>I450+I433+I420+I327+I310+I305+I300+I295</f>
        <v>14380777.02</v>
      </c>
      <c r="J452" s="2617">
        <f>J450+J433+J420+J327+J310+J305+J300+J295</f>
        <v>16900905.449999999</v>
      </c>
    </row>
    <row r="453" spans="1:10" ht="15" thickTop="1" x14ac:dyDescent="0.2">
      <c r="A453" s="2236"/>
      <c r="B453" s="2243"/>
      <c r="C453" s="2244"/>
      <c r="D453" s="2245"/>
      <c r="E453" s="2244"/>
      <c r="F453" s="2246"/>
      <c r="G453" s="2244"/>
      <c r="H453" s="2244"/>
      <c r="I453" s="2238" t="e">
        <f>VLOOKUP(A453,'Trial Balance - FPer'!$A$7:$I$1107,7,FALSE)</f>
        <v>#N/A</v>
      </c>
      <c r="J453" s="2100" t="e">
        <f>VLOOKUP(A453,'Trial Balance - FPer'!$A$7:$I$1126,3,FALSE)</f>
        <v>#N/A</v>
      </c>
    </row>
    <row r="454" spans="1:10" s="2615" customFormat="1" ht="13.5" thickBot="1" x14ac:dyDescent="0.25">
      <c r="A454" s="2612"/>
      <c r="B454" s="2616" t="s">
        <v>6624</v>
      </c>
      <c r="C454" s="2617">
        <f>C211-C452</f>
        <v>50134329.82</v>
      </c>
      <c r="D454" s="2617">
        <f>D211-D452</f>
        <v>-2305487.8000000007</v>
      </c>
      <c r="E454" s="2617">
        <f>E211-E452</f>
        <v>28386594.309999995</v>
      </c>
      <c r="F454" s="2617">
        <f>F211-F452</f>
        <v>-5109239.7000000011</v>
      </c>
      <c r="G454" s="2617">
        <f>G211-G452</f>
        <v>28591875.840000004</v>
      </c>
      <c r="H454" s="2617">
        <f t="shared" ref="H454:J454" si="34">H211-H452</f>
        <v>-9558102.2999999989</v>
      </c>
      <c r="I454" s="2617">
        <f t="shared" si="34"/>
        <v>-67541327.290000007</v>
      </c>
      <c r="J454" s="2617">
        <f t="shared" si="34"/>
        <v>-75538057.510000005</v>
      </c>
    </row>
    <row r="455" spans="1:10" ht="15" thickTop="1" x14ac:dyDescent="0.2">
      <c r="A455" s="2236"/>
      <c r="B455" s="2243"/>
      <c r="C455" s="2244"/>
      <c r="D455" s="2245"/>
      <c r="E455" s="2244"/>
      <c r="F455" s="2246"/>
      <c r="G455" s="2244"/>
      <c r="H455" s="2244"/>
      <c r="I455" s="2238" t="e">
        <f>VLOOKUP(A455,'Trial Balance - FPer'!$A$7:$I$1107,7,FALSE)</f>
        <v>#N/A</v>
      </c>
      <c r="J455" s="2100" t="e">
        <f>VLOOKUP(A455,'Trial Balance - FPer'!$A$7:$I$1126,3,FALSE)</f>
        <v>#N/A</v>
      </c>
    </row>
    <row r="456" spans="1:10" ht="15" x14ac:dyDescent="0.25">
      <c r="A456" s="2241" t="s">
        <v>6704</v>
      </c>
      <c r="B456" s="2237" t="s">
        <v>6705</v>
      </c>
      <c r="C456" s="2244"/>
      <c r="D456" s="2245"/>
      <c r="E456" s="2244"/>
      <c r="F456" s="2246"/>
      <c r="G456" s="2244"/>
      <c r="H456" s="2244"/>
      <c r="I456" s="2238" t="e">
        <f>VLOOKUP(A456,'Trial Balance - FPer'!$A$7:$I$1107,7,FALSE)</f>
        <v>#N/A</v>
      </c>
      <c r="J456" s="2100" t="e">
        <f>VLOOKUP(A456,'Trial Balance - FPer'!$A$7:$I$1126,3,FALSE)</f>
        <v>#N/A</v>
      </c>
    </row>
    <row r="457" spans="1:10" ht="15" x14ac:dyDescent="0.25">
      <c r="A457" s="2241"/>
      <c r="B457" s="2237"/>
      <c r="C457" s="2244"/>
      <c r="D457" s="2245"/>
      <c r="E457" s="2244"/>
      <c r="F457" s="2246"/>
      <c r="G457" s="2244"/>
      <c r="H457" s="2244"/>
      <c r="I457" s="2238" t="e">
        <f>VLOOKUP(A457,'Trial Balance - FPer'!$A$7:$I$1107,7,FALSE)</f>
        <v>#N/A</v>
      </c>
      <c r="J457" s="2100" t="e">
        <f>VLOOKUP(A457,'Trial Balance - FPer'!$A$7:$I$1126,3,FALSE)</f>
        <v>#N/A</v>
      </c>
    </row>
    <row r="458" spans="1:10" ht="14.25" x14ac:dyDescent="0.2">
      <c r="A458" s="2236"/>
      <c r="B458" s="2242" t="s">
        <v>235</v>
      </c>
      <c r="C458" s="2244"/>
      <c r="D458" s="2245"/>
      <c r="E458" s="2244"/>
      <c r="F458" s="2246"/>
      <c r="G458" s="2244"/>
      <c r="H458" s="2244"/>
      <c r="I458" s="2238" t="e">
        <f>VLOOKUP(A458,'Trial Balance - FPer'!$A$7:$I$1107,7,FALSE)</f>
        <v>#N/A</v>
      </c>
      <c r="J458" s="2100" t="e">
        <f>VLOOKUP(A458,'Trial Balance - FPer'!$A$7:$I$1126,3,FALSE)</f>
        <v>#N/A</v>
      </c>
    </row>
    <row r="459" spans="1:10" ht="14.25" hidden="1" x14ac:dyDescent="0.2">
      <c r="A459" s="2236"/>
      <c r="B459" s="2242" t="s">
        <v>6628</v>
      </c>
      <c r="C459" s="2244"/>
      <c r="D459" s="2245"/>
      <c r="E459" s="2244"/>
      <c r="F459" s="2246"/>
      <c r="G459" s="2244"/>
      <c r="H459" s="2244"/>
      <c r="I459" s="2238" t="e">
        <f>VLOOKUP(A459,'Trial Balance - FPer'!$A$7:$I$1107,7,FALSE)</f>
        <v>#N/A</v>
      </c>
      <c r="J459" s="2100" t="e">
        <f>VLOOKUP(A459,'Trial Balance - FPer'!$A$7:$I$1126,3,FALSE)</f>
        <v>#N/A</v>
      </c>
    </row>
    <row r="460" spans="1:10" ht="14.25" hidden="1" x14ac:dyDescent="0.2">
      <c r="A460" s="2236" t="s">
        <v>5124</v>
      </c>
      <c r="B460" s="2247" t="s">
        <v>6659</v>
      </c>
      <c r="C460" s="2248">
        <f>'[2]Data File'!$C$729</f>
        <v>0</v>
      </c>
      <c r="D460" s="2249">
        <v>1229330.6599999999</v>
      </c>
      <c r="E460" s="2248">
        <v>0</v>
      </c>
      <c r="F460" s="2250">
        <v>1420633.11</v>
      </c>
      <c r="G460" s="2248">
        <v>617126.66</v>
      </c>
      <c r="H460" s="2244"/>
      <c r="I460" s="2238">
        <f>VLOOKUP(A460,'Trial Balance - FPer'!$A$7:$I$1107,7,FALSE)</f>
        <v>0</v>
      </c>
      <c r="J460" s="2100">
        <f>VLOOKUP(A460,'Trial Balance - FPer'!$A$7:$I$1126,3,FALSE)</f>
        <v>0</v>
      </c>
    </row>
    <row r="461" spans="1:10" s="2615" customFormat="1" hidden="1" x14ac:dyDescent="0.2">
      <c r="A461" s="2612"/>
      <c r="B461" s="2613" t="s">
        <v>6631</v>
      </c>
      <c r="C461" s="2614">
        <f>SUM(C460)</f>
        <v>0</v>
      </c>
      <c r="D461" s="2614">
        <f>SUM(D460)</f>
        <v>1229330.6599999999</v>
      </c>
      <c r="E461" s="2614">
        <f>SUM(E460)</f>
        <v>0</v>
      </c>
      <c r="F461" s="2614">
        <f>SUM(F460)</f>
        <v>1420633.11</v>
      </c>
      <c r="G461" s="2614">
        <f>SUM(G460)</f>
        <v>617126.66</v>
      </c>
      <c r="H461" s="2614">
        <f t="shared" ref="H461:J461" si="35">SUM(H460)</f>
        <v>0</v>
      </c>
      <c r="I461" s="2614">
        <f t="shared" si="35"/>
        <v>0</v>
      </c>
      <c r="J461" s="2614">
        <f t="shared" si="35"/>
        <v>0</v>
      </c>
    </row>
    <row r="462" spans="1:10" ht="14.25" hidden="1" x14ac:dyDescent="0.2">
      <c r="A462" s="2236"/>
      <c r="B462" s="2243"/>
      <c r="C462" s="2244"/>
      <c r="D462" s="2245"/>
      <c r="E462" s="2244"/>
      <c r="F462" s="2246"/>
      <c r="G462" s="2244"/>
      <c r="H462" s="2244"/>
      <c r="I462" s="2238" t="e">
        <f>VLOOKUP(A462,'Trial Balance - FPer'!$A$7:$I$1107,7,FALSE)</f>
        <v>#N/A</v>
      </c>
      <c r="J462" s="2100" t="e">
        <f>VLOOKUP(A462,'Trial Balance - FPer'!$A$7:$I$1126,3,FALSE)</f>
        <v>#N/A</v>
      </c>
    </row>
    <row r="463" spans="1:10" s="2615" customFormat="1" ht="13.5" hidden="1" thickBot="1" x14ac:dyDescent="0.25">
      <c r="A463" s="2612"/>
      <c r="B463" s="2616" t="s">
        <v>6579</v>
      </c>
      <c r="C463" s="2617">
        <f>C461</f>
        <v>0</v>
      </c>
      <c r="D463" s="2617">
        <f>D461</f>
        <v>1229330.6599999999</v>
      </c>
      <c r="E463" s="2617">
        <f>E461</f>
        <v>0</v>
      </c>
      <c r="F463" s="2617">
        <f>F461</f>
        <v>1420633.11</v>
      </c>
      <c r="G463" s="2617">
        <f>G461</f>
        <v>617126.66</v>
      </c>
      <c r="H463" s="2617">
        <f t="shared" ref="H463:J463" si="36">H461</f>
        <v>0</v>
      </c>
      <c r="I463" s="2617">
        <f t="shared" si="36"/>
        <v>0</v>
      </c>
      <c r="J463" s="2617">
        <f t="shared" si="36"/>
        <v>0</v>
      </c>
    </row>
    <row r="464" spans="1:10" ht="15" hidden="1" thickTop="1" x14ac:dyDescent="0.2">
      <c r="A464" s="2236"/>
      <c r="B464" s="2243"/>
      <c r="C464" s="2244"/>
      <c r="D464" s="2245"/>
      <c r="E464" s="2244"/>
      <c r="F464" s="2246"/>
      <c r="G464" s="2244"/>
      <c r="H464" s="2244"/>
      <c r="I464" s="2238" t="e">
        <f>VLOOKUP(A464,'Trial Balance - FPer'!$A$7:$I$1107,7,FALSE)</f>
        <v>#N/A</v>
      </c>
      <c r="J464" s="2100" t="e">
        <f>VLOOKUP(A464,'Trial Balance - FPer'!$A$7:$I$1126,3,FALSE)</f>
        <v>#N/A</v>
      </c>
    </row>
    <row r="465" spans="1:10" ht="14.25" hidden="1" x14ac:dyDescent="0.2">
      <c r="A465" s="2236"/>
      <c r="B465" s="2242" t="s">
        <v>235</v>
      </c>
      <c r="C465" s="2244"/>
      <c r="D465" s="2245"/>
      <c r="E465" s="2244"/>
      <c r="F465" s="2246"/>
      <c r="G465" s="2244"/>
      <c r="H465" s="2244"/>
      <c r="I465" s="2238" t="e">
        <f>VLOOKUP(A465,'Trial Balance - FPer'!$A$7:$I$1107,7,FALSE)</f>
        <v>#N/A</v>
      </c>
      <c r="J465" s="2100" t="e">
        <f>VLOOKUP(A465,'Trial Balance - FPer'!$A$7:$I$1126,3,FALSE)</f>
        <v>#N/A</v>
      </c>
    </row>
    <row r="466" spans="1:10" ht="14.25" hidden="1" x14ac:dyDescent="0.2">
      <c r="A466" s="2236"/>
      <c r="B466" s="2242" t="s">
        <v>387</v>
      </c>
      <c r="C466" s="2244"/>
      <c r="D466" s="2245"/>
      <c r="E466" s="2244"/>
      <c r="F466" s="2246"/>
      <c r="G466" s="2244"/>
      <c r="H466" s="2244"/>
      <c r="I466" s="2238" t="e">
        <f>VLOOKUP(A466,'Trial Balance - FPer'!$A$7:$I$1107,7,FALSE)</f>
        <v>#N/A</v>
      </c>
      <c r="J466" s="2100" t="e">
        <f>VLOOKUP(A466,'Trial Balance - FPer'!$A$7:$I$1126,3,FALSE)</f>
        <v>#N/A</v>
      </c>
    </row>
    <row r="467" spans="1:10" ht="14.25" hidden="1" x14ac:dyDescent="0.2">
      <c r="A467" s="2236" t="s">
        <v>5099</v>
      </c>
      <c r="B467" s="2243" t="s">
        <v>6003</v>
      </c>
      <c r="C467" s="2244">
        <f>'[2]Data File'!$C$735</f>
        <v>632572.31000000006</v>
      </c>
      <c r="D467" s="2245">
        <v>876483.62</v>
      </c>
      <c r="E467" s="2244">
        <v>469253.22</v>
      </c>
      <c r="F467" s="2246">
        <v>888615.66</v>
      </c>
      <c r="G467" s="2253">
        <v>925792.68</v>
      </c>
      <c r="H467" s="2100">
        <v>539146.96</v>
      </c>
      <c r="I467" s="2238">
        <f>VLOOKUP(A467,'Trial Balance - FPer'!$A$7:$I$1107,7,FALSE)</f>
        <v>909529.05</v>
      </c>
      <c r="J467" s="2100">
        <f>VLOOKUP(A467,'Trial Balance - FPer'!$A$7:$I$1126,3,FALSE)</f>
        <v>632572.31000000006</v>
      </c>
    </row>
    <row r="468" spans="1:10" ht="14.25" hidden="1" x14ac:dyDescent="0.2">
      <c r="A468" s="2236" t="s">
        <v>5100</v>
      </c>
      <c r="B468" s="2243" t="s">
        <v>6004</v>
      </c>
      <c r="C468" s="2244">
        <f>'[2]Data File'!$C$740</f>
        <v>30666.15</v>
      </c>
      <c r="D468" s="2245">
        <v>67186.11</v>
      </c>
      <c r="E468" s="2244">
        <v>33033.919999999998</v>
      </c>
      <c r="F468" s="2246">
        <v>67186.11</v>
      </c>
      <c r="G468" s="2253">
        <v>66551.53</v>
      </c>
      <c r="H468" s="2100">
        <v>48305.19</v>
      </c>
      <c r="I468" s="2238">
        <f>VLOOKUP(A468,'Trial Balance - FPer'!$A$7:$I$1107,7,FALSE)</f>
        <v>48305.19</v>
      </c>
      <c r="J468" s="2100">
        <f>VLOOKUP(A468,'Trial Balance - FPer'!$A$7:$I$1126,3,FALSE)</f>
        <v>30666.15</v>
      </c>
    </row>
    <row r="469" spans="1:10" ht="14.25" hidden="1" x14ac:dyDescent="0.2">
      <c r="A469" s="2236" t="s">
        <v>5101</v>
      </c>
      <c r="B469" s="2243" t="s">
        <v>6581</v>
      </c>
      <c r="C469" s="2244">
        <f>'[2]Data File'!$C$741</f>
        <v>4500</v>
      </c>
      <c r="D469" s="2245">
        <v>7570.5</v>
      </c>
      <c r="E469" s="2244">
        <v>1300</v>
      </c>
      <c r="F469" s="2246">
        <v>1300</v>
      </c>
      <c r="G469" s="2253">
        <v>3857.18</v>
      </c>
      <c r="H469" s="2100">
        <v>1300</v>
      </c>
      <c r="I469" s="2238">
        <f>VLOOKUP(A469,'Trial Balance - FPer'!$A$7:$I$1107,7,FALSE)</f>
        <v>1300</v>
      </c>
      <c r="J469" s="2100">
        <f>VLOOKUP(A469,'Trial Balance - FPer'!$A$7:$I$1126,3,FALSE)</f>
        <v>4500</v>
      </c>
    </row>
    <row r="470" spans="1:10" ht="14.25" hidden="1" x14ac:dyDescent="0.2">
      <c r="A470" s="2236" t="s">
        <v>5102</v>
      </c>
      <c r="B470" s="2243" t="s">
        <v>6582</v>
      </c>
      <c r="C470" s="2244">
        <f>'[2]Data File'!$C$743</f>
        <v>409.96</v>
      </c>
      <c r="D470" s="2245">
        <v>0</v>
      </c>
      <c r="E470" s="2244">
        <v>0</v>
      </c>
      <c r="F470" s="2246">
        <v>0</v>
      </c>
      <c r="G470" s="2253">
        <v>0</v>
      </c>
      <c r="H470" s="2100">
        <v>0</v>
      </c>
      <c r="I470" s="2238">
        <f>VLOOKUP(A470,'Trial Balance - FPer'!$A$7:$I$1107,7,FALSE)</f>
        <v>0</v>
      </c>
      <c r="J470" s="2100">
        <f>VLOOKUP(A470,'Trial Balance - FPer'!$A$7:$I$1126,3,FALSE)</f>
        <v>409.96</v>
      </c>
    </row>
    <row r="471" spans="1:10" ht="14.25" hidden="1" x14ac:dyDescent="0.2">
      <c r="A471" s="2236" t="s">
        <v>5103</v>
      </c>
      <c r="B471" s="2243" t="s">
        <v>6583</v>
      </c>
      <c r="C471" s="2244">
        <f>'[2]Data File'!$C$745</f>
        <v>25000</v>
      </c>
      <c r="D471" s="2245">
        <v>37852.5</v>
      </c>
      <c r="E471" s="2244">
        <v>58434.04</v>
      </c>
      <c r="F471" s="2246">
        <v>130434.04</v>
      </c>
      <c r="G471" s="2253">
        <v>97381.26</v>
      </c>
      <c r="H471" s="2100">
        <v>70434.039999999994</v>
      </c>
      <c r="I471" s="2238">
        <f>VLOOKUP(A471,'Trial Balance - FPer'!$A$7:$I$1107,7,FALSE)</f>
        <v>130434.04</v>
      </c>
      <c r="J471" s="2100">
        <f>VLOOKUP(A471,'Trial Balance - FPer'!$A$7:$I$1126,3,FALSE)</f>
        <v>25000</v>
      </c>
    </row>
    <row r="472" spans="1:10" ht="14.25" hidden="1" x14ac:dyDescent="0.2">
      <c r="A472" s="2236" t="s">
        <v>5104</v>
      </c>
      <c r="B472" s="2243" t="s">
        <v>6584</v>
      </c>
      <c r="C472" s="2244">
        <f>'[2]Data File'!$C$739</f>
        <v>250.1</v>
      </c>
      <c r="D472" s="2245">
        <v>310.39</v>
      </c>
      <c r="E472" s="2244">
        <v>143.15</v>
      </c>
      <c r="F472" s="2246">
        <v>290.75</v>
      </c>
      <c r="G472" s="2253">
        <v>291.18</v>
      </c>
      <c r="H472" s="2100">
        <v>167.75</v>
      </c>
      <c r="I472" s="2238">
        <f>VLOOKUP(A472,'Trial Balance - FPer'!$A$7:$I$1107,7,FALSE)</f>
        <v>290.75</v>
      </c>
      <c r="J472" s="2100">
        <f>VLOOKUP(A472,'Trial Balance - FPer'!$A$7:$I$1126,3,FALSE)</f>
        <v>250.1</v>
      </c>
    </row>
    <row r="473" spans="1:10" ht="14.25" hidden="1" x14ac:dyDescent="0.2">
      <c r="A473" s="2236" t="s">
        <v>5105</v>
      </c>
      <c r="B473" s="2243" t="s">
        <v>6585</v>
      </c>
      <c r="C473" s="2244">
        <f>'[2]Data File'!$C$744</f>
        <v>6552.34</v>
      </c>
      <c r="D473" s="2245">
        <v>7610.17</v>
      </c>
      <c r="E473" s="2244">
        <v>5329.11</v>
      </c>
      <c r="F473" s="2246">
        <v>10797.87</v>
      </c>
      <c r="G473" s="2253">
        <v>9921.2199999999993</v>
      </c>
      <c r="H473" s="2100">
        <v>6240.57</v>
      </c>
      <c r="I473" s="2238">
        <f>VLOOKUP(A473,'Trial Balance - FPer'!$A$7:$I$1107,7,FALSE)</f>
        <v>10329.280000000001</v>
      </c>
      <c r="J473" s="2100">
        <f>VLOOKUP(A473,'Trial Balance - FPer'!$A$7:$I$1126,3,FALSE)</f>
        <v>6552.34</v>
      </c>
    </row>
    <row r="474" spans="1:10" ht="14.25" hidden="1" x14ac:dyDescent="0.2">
      <c r="A474" s="2236" t="s">
        <v>5106</v>
      </c>
      <c r="B474" s="2243" t="s">
        <v>6586</v>
      </c>
      <c r="C474" s="2244">
        <f>'[2]Data File'!$C$746</f>
        <v>0</v>
      </c>
      <c r="D474" s="2245">
        <v>3709.33</v>
      </c>
      <c r="E474" s="2244">
        <v>0</v>
      </c>
      <c r="F474" s="2246">
        <v>0</v>
      </c>
      <c r="G474" s="2253">
        <v>930.67</v>
      </c>
      <c r="H474" s="2100">
        <v>0</v>
      </c>
      <c r="I474" s="2238">
        <f>VLOOKUP(A474,'Trial Balance - FPer'!$A$7:$I$1107,7,FALSE)</f>
        <v>0</v>
      </c>
      <c r="J474" s="2100" t="str">
        <f>VLOOKUP(A474,'Trial Balance - FPer'!$A$7:$I$1126,3,FALSE)</f>
        <v xml:space="preserve">                               -  </v>
      </c>
    </row>
    <row r="475" spans="1:10" ht="14.25" hidden="1" x14ac:dyDescent="0.2">
      <c r="A475" s="2236" t="s">
        <v>5107</v>
      </c>
      <c r="B475" s="2243" t="s">
        <v>6587</v>
      </c>
      <c r="C475" s="2244">
        <f>'[2]Data File'!$C$736</f>
        <v>42282</v>
      </c>
      <c r="D475" s="2245">
        <v>49971.79</v>
      </c>
      <c r="E475" s="2244">
        <v>15563.4</v>
      </c>
      <c r="F475" s="2246">
        <v>23368.2</v>
      </c>
      <c r="G475" s="2253">
        <v>35946.49</v>
      </c>
      <c r="H475" s="2100">
        <v>16864.2</v>
      </c>
      <c r="I475" s="2238">
        <f>VLOOKUP(A475,'Trial Balance - FPer'!$A$7:$I$1107,7,FALSE)</f>
        <v>31633.200000000001</v>
      </c>
      <c r="J475" s="2100">
        <f>VLOOKUP(A475,'Trial Balance - FPer'!$A$7:$I$1126,3,FALSE)</f>
        <v>42282</v>
      </c>
    </row>
    <row r="476" spans="1:10" ht="14.25" hidden="1" x14ac:dyDescent="0.2">
      <c r="A476" s="2236" t="s">
        <v>5108</v>
      </c>
      <c r="B476" s="2243" t="s">
        <v>6013</v>
      </c>
      <c r="C476" s="2244">
        <f>'[2]Data File'!$C$737</f>
        <v>100381.28</v>
      </c>
      <c r="D476" s="2245">
        <v>116672.91</v>
      </c>
      <c r="E476" s="2244">
        <v>83376.97</v>
      </c>
      <c r="F476" s="2246">
        <v>166697.04999999999</v>
      </c>
      <c r="G476" s="2253">
        <v>154684.62</v>
      </c>
      <c r="H476" s="2100">
        <v>97263.65</v>
      </c>
      <c r="I476" s="2238">
        <f>VLOOKUP(A476,'Trial Balance - FPer'!$A$7:$I$1107,7,FALSE)</f>
        <v>216697.05</v>
      </c>
      <c r="J476" s="2100">
        <f>VLOOKUP(A476,'Trial Balance - FPer'!$A$7:$I$1126,3,FALSE)</f>
        <v>100381.28</v>
      </c>
    </row>
    <row r="477" spans="1:10" ht="14.25" hidden="1" x14ac:dyDescent="0.2">
      <c r="A477" s="2236" t="s">
        <v>5109</v>
      </c>
      <c r="B477" s="2247" t="s">
        <v>6014</v>
      </c>
      <c r="C477" s="2248">
        <f>'[2]Data File'!$C$738</f>
        <v>5488.92</v>
      </c>
      <c r="D477" s="2249">
        <v>6538.58</v>
      </c>
      <c r="E477" s="2248">
        <v>3940.01</v>
      </c>
      <c r="F477" s="2250">
        <v>7395.71</v>
      </c>
      <c r="G477" s="2248">
        <v>7563.74</v>
      </c>
      <c r="H477" s="2100">
        <v>4515.96</v>
      </c>
      <c r="I477" s="2238">
        <f>VLOOKUP(A477,'Trial Balance - FPer'!$A$7:$I$1107,7,FALSE)</f>
        <v>7524.15</v>
      </c>
      <c r="J477" s="2100">
        <f>VLOOKUP(A477,'Trial Balance - FPer'!$A$7:$I$1126,3,FALSE)</f>
        <v>5488.92</v>
      </c>
    </row>
    <row r="478" spans="1:10" s="2615" customFormat="1" hidden="1" x14ac:dyDescent="0.2">
      <c r="A478" s="2612"/>
      <c r="B478" s="2613" t="s">
        <v>6588</v>
      </c>
      <c r="C478" s="2614">
        <f>SUM(C467:C477)</f>
        <v>848103.06</v>
      </c>
      <c r="D478" s="2614">
        <f>SUM(D467:D477)</f>
        <v>1173905.8999999999</v>
      </c>
      <c r="E478" s="2614">
        <f>SUM(E467:E477)</f>
        <v>670373.81999999995</v>
      </c>
      <c r="F478" s="2614">
        <f>SUM(F467:F477)</f>
        <v>1296085.3900000001</v>
      </c>
      <c r="G478" s="2614">
        <f>SUM(G467:G477)</f>
        <v>1302920.57</v>
      </c>
      <c r="H478" s="2614">
        <f t="shared" ref="H478" si="37">SUM(H467:H477)</f>
        <v>784238.31999999983</v>
      </c>
      <c r="I478" s="2614">
        <f>SUM(I467:I477)</f>
        <v>1356042.71</v>
      </c>
      <c r="J478" s="2614">
        <f>SUM(J467:J477)</f>
        <v>848103.06</v>
      </c>
    </row>
    <row r="479" spans="1:10" ht="14.25" hidden="1" x14ac:dyDescent="0.2">
      <c r="A479" s="2236"/>
      <c r="B479" s="2243"/>
      <c r="C479" s="2244"/>
      <c r="D479" s="2245"/>
      <c r="E479" s="2244"/>
      <c r="F479" s="2246"/>
      <c r="G479" s="2244"/>
      <c r="H479" s="2244"/>
      <c r="I479" s="2238" t="e">
        <f>VLOOKUP(A479,'Trial Balance - FPer'!$A$7:$I$1107,7,FALSE)</f>
        <v>#N/A</v>
      </c>
      <c r="J479" s="2100" t="e">
        <f>VLOOKUP(A479,'Trial Balance - FPer'!$A$7:$I$1126,3,FALSE)</f>
        <v>#N/A</v>
      </c>
    </row>
    <row r="480" spans="1:10" ht="14.25" hidden="1" x14ac:dyDescent="0.2">
      <c r="A480" s="2236"/>
      <c r="B480" s="2242" t="s">
        <v>6599</v>
      </c>
      <c r="C480" s="2244"/>
      <c r="D480" s="2245"/>
      <c r="E480" s="2244"/>
      <c r="F480" s="2246"/>
      <c r="G480" s="2244"/>
      <c r="H480" s="2244"/>
      <c r="I480" s="2238" t="e">
        <f>VLOOKUP(A480,'Trial Balance - FPer'!$A$7:$I$1107,7,FALSE)</f>
        <v>#N/A</v>
      </c>
      <c r="J480" s="2100" t="e">
        <f>VLOOKUP(A480,'Trial Balance - FPer'!$A$7:$I$1126,3,FALSE)</f>
        <v>#N/A</v>
      </c>
    </row>
    <row r="481" spans="1:10" ht="14.25" hidden="1" x14ac:dyDescent="0.2">
      <c r="A481" s="2236" t="s">
        <v>5110</v>
      </c>
      <c r="B481" s="2243" t="s">
        <v>6706</v>
      </c>
      <c r="C481" s="2244">
        <f>'[2]Data File'!$C$759</f>
        <v>0</v>
      </c>
      <c r="D481" s="2245">
        <v>0</v>
      </c>
      <c r="E481" s="2244">
        <v>0</v>
      </c>
      <c r="F481" s="2246">
        <v>0</v>
      </c>
      <c r="G481" s="2244">
        <v>0</v>
      </c>
      <c r="H481" s="2100">
        <v>0</v>
      </c>
      <c r="I481" s="2238">
        <f>VLOOKUP(A481,'Trial Balance - FPer'!$A$7:$I$1107,7,FALSE)</f>
        <v>0</v>
      </c>
      <c r="J481" s="2100">
        <f>VLOOKUP(A481,'Trial Balance - FPer'!$A$7:$I$1126,3,FALSE)</f>
        <v>0</v>
      </c>
    </row>
    <row r="482" spans="1:10" ht="14.25" hidden="1" x14ac:dyDescent="0.2">
      <c r="A482" s="2236" t="s">
        <v>5112</v>
      </c>
      <c r="B482" s="2243" t="s">
        <v>6104</v>
      </c>
      <c r="C482" s="2244">
        <f>'[2]Data File'!$C$751</f>
        <v>0</v>
      </c>
      <c r="D482" s="2245">
        <v>4316.25</v>
      </c>
      <c r="E482" s="2244">
        <v>0</v>
      </c>
      <c r="F482" s="2246">
        <v>0</v>
      </c>
      <c r="G482" s="2253">
        <v>1084.1300000000001</v>
      </c>
      <c r="H482" s="2100">
        <v>0</v>
      </c>
      <c r="I482" s="2238">
        <f>VLOOKUP(A482,'Trial Balance - FPer'!$A$7:$I$1107,7,FALSE)</f>
        <v>25884.21</v>
      </c>
      <c r="J482" s="2100" t="str">
        <f>VLOOKUP(A482,'Trial Balance - FPer'!$A$7:$I$1126,3,FALSE)</f>
        <v xml:space="preserve">                               -  </v>
      </c>
    </row>
    <row r="483" spans="1:10" ht="14.25" hidden="1" x14ac:dyDescent="0.2">
      <c r="A483" s="2236" t="s">
        <v>5114</v>
      </c>
      <c r="B483" s="2243" t="s">
        <v>6601</v>
      </c>
      <c r="C483" s="2244">
        <f>'[2]Data File'!$C$752</f>
        <v>0</v>
      </c>
      <c r="D483" s="2245">
        <v>2067.98</v>
      </c>
      <c r="E483" s="2244">
        <v>1581.58</v>
      </c>
      <c r="F483" s="2246">
        <v>1581.58</v>
      </c>
      <c r="G483" s="2253">
        <v>2893.34</v>
      </c>
      <c r="H483" s="2100">
        <v>1581.58</v>
      </c>
      <c r="I483" s="2238">
        <f>VLOOKUP(A483,'Trial Balance - FPer'!$A$7:$I$1107,7,FALSE)</f>
        <v>3849.21</v>
      </c>
      <c r="J483" s="2100" t="str">
        <f>VLOOKUP(A483,'Trial Balance - FPer'!$A$7:$I$1126,3,FALSE)</f>
        <v xml:space="preserve">                               -  </v>
      </c>
    </row>
    <row r="484" spans="1:10" ht="14.25" hidden="1" x14ac:dyDescent="0.2">
      <c r="A484" s="2236" t="s">
        <v>5115</v>
      </c>
      <c r="B484" s="2243" t="s">
        <v>6105</v>
      </c>
      <c r="C484" s="2244">
        <f>'[2]Data File'!$C$753</f>
        <v>69.69</v>
      </c>
      <c r="D484" s="2245">
        <v>66.73</v>
      </c>
      <c r="E484" s="2244">
        <v>56.45</v>
      </c>
      <c r="F484" s="2246">
        <v>56.45</v>
      </c>
      <c r="G484" s="2253">
        <v>95.91</v>
      </c>
      <c r="H484" s="2100">
        <v>56.45</v>
      </c>
      <c r="I484" s="2238">
        <f>VLOOKUP(A484,'Trial Balance - FPer'!$A$7:$I$1107,7,FALSE)</f>
        <v>206.98</v>
      </c>
      <c r="J484" s="2100">
        <f>VLOOKUP(A484,'Trial Balance - FPer'!$A$7:$I$1126,3,FALSE)</f>
        <v>69.69</v>
      </c>
    </row>
    <row r="485" spans="1:10" ht="14.25" hidden="1" x14ac:dyDescent="0.2">
      <c r="A485" s="2236" t="s">
        <v>5116</v>
      </c>
      <c r="B485" s="2243" t="s">
        <v>6608</v>
      </c>
      <c r="C485" s="2244">
        <f>'[2]Data File'!$C$754</f>
        <v>100.71</v>
      </c>
      <c r="D485" s="2245">
        <v>412.57</v>
      </c>
      <c r="E485" s="2244">
        <v>0</v>
      </c>
      <c r="F485" s="2246">
        <v>0</v>
      </c>
      <c r="G485" s="2253">
        <v>104.29</v>
      </c>
      <c r="H485" s="2100">
        <v>0</v>
      </c>
      <c r="I485" s="2238">
        <f>VLOOKUP(A485,'Trial Balance - FPer'!$A$7:$I$1107,7,FALSE)</f>
        <v>0</v>
      </c>
      <c r="J485" s="2100">
        <f>VLOOKUP(A485,'Trial Balance - FPer'!$A$7:$I$1126,3,FALSE)</f>
        <v>0</v>
      </c>
    </row>
    <row r="486" spans="1:10" ht="14.25" hidden="1" x14ac:dyDescent="0.2">
      <c r="A486" s="2236" t="s">
        <v>5117</v>
      </c>
      <c r="B486" s="2243" t="s">
        <v>6028</v>
      </c>
      <c r="C486" s="2244">
        <f>'[2]Data File'!$C$755</f>
        <v>0</v>
      </c>
      <c r="D486" s="2245">
        <v>0</v>
      </c>
      <c r="E486" s="2244">
        <v>0</v>
      </c>
      <c r="F486" s="2246">
        <v>0</v>
      </c>
      <c r="G486" s="2253">
        <v>0</v>
      </c>
      <c r="H486" s="2100">
        <v>0</v>
      </c>
      <c r="I486" s="2238">
        <f>VLOOKUP(A486,'Trial Balance - FPer'!$A$7:$I$1107,7,FALSE)</f>
        <v>0</v>
      </c>
      <c r="J486" s="2100">
        <f>VLOOKUP(A486,'Trial Balance - FPer'!$A$7:$I$1126,3,FALSE)</f>
        <v>0</v>
      </c>
    </row>
    <row r="487" spans="1:10" ht="14.25" hidden="1" x14ac:dyDescent="0.2">
      <c r="A487" s="2236" t="s">
        <v>5118</v>
      </c>
      <c r="B487" s="2243" t="s">
        <v>6609</v>
      </c>
      <c r="C487" s="2244">
        <f>'[2]Data File'!$C$756</f>
        <v>95260.22</v>
      </c>
      <c r="D487" s="2245">
        <v>37390.11</v>
      </c>
      <c r="E487" s="2244">
        <v>59791.39</v>
      </c>
      <c r="F487" s="2246">
        <v>100000</v>
      </c>
      <c r="G487" s="2253">
        <v>99321.7</v>
      </c>
      <c r="H487" s="2100">
        <v>92796.75</v>
      </c>
      <c r="I487" s="2238">
        <f>VLOOKUP(A487,'Trial Balance - FPer'!$A$7:$I$1107,7,FALSE)</f>
        <v>188601.37</v>
      </c>
      <c r="J487" s="2100">
        <f>VLOOKUP(A487,'Trial Balance - FPer'!$A$7:$I$1126,3,FALSE)</f>
        <v>95260.22</v>
      </c>
    </row>
    <row r="488" spans="1:10" ht="14.25" hidden="1" x14ac:dyDescent="0.2">
      <c r="A488" s="2236" t="s">
        <v>5119</v>
      </c>
      <c r="B488" s="2243" t="s">
        <v>6610</v>
      </c>
      <c r="C488" s="2244">
        <f>'[2]Data File'!$C$757</f>
        <v>34774</v>
      </c>
      <c r="D488" s="2245">
        <v>1176.75</v>
      </c>
      <c r="E488" s="2244">
        <v>2061.39</v>
      </c>
      <c r="F488" s="2246">
        <v>2061.39</v>
      </c>
      <c r="G488" s="2253">
        <v>3387.78</v>
      </c>
      <c r="H488" s="2100">
        <v>2061.39</v>
      </c>
      <c r="I488" s="2238">
        <f>VLOOKUP(A488,'Trial Balance - FPer'!$A$7:$I$1107,7,FALSE)</f>
        <v>2550.89</v>
      </c>
      <c r="J488" s="2100">
        <f>VLOOKUP(A488,'Trial Balance - FPer'!$A$7:$I$1126,3,FALSE)</f>
        <v>34774</v>
      </c>
    </row>
    <row r="489" spans="1:10" ht="14.25" hidden="1" x14ac:dyDescent="0.2">
      <c r="A489" s="2236" t="s">
        <v>5120</v>
      </c>
      <c r="B489" s="2247" t="s">
        <v>6033</v>
      </c>
      <c r="C489" s="2248">
        <f>'[2]Data File'!$C$758</f>
        <v>375</v>
      </c>
      <c r="D489" s="2249">
        <v>412.57</v>
      </c>
      <c r="E489" s="2248">
        <v>633.19000000000005</v>
      </c>
      <c r="F489" s="2250">
        <v>633.19000000000005</v>
      </c>
      <c r="G489" s="2248">
        <v>1061.18</v>
      </c>
      <c r="H489" s="2100">
        <v>633.19000000000005</v>
      </c>
      <c r="I489" s="2238">
        <f>VLOOKUP(A489,'Trial Balance - FPer'!$A$7:$I$1107,7,FALSE)</f>
        <v>0</v>
      </c>
      <c r="J489" s="2100">
        <f>VLOOKUP(A489,'Trial Balance - FPer'!$A$7:$I$1126,3,FALSE)</f>
        <v>0</v>
      </c>
    </row>
    <row r="490" spans="1:10" s="2615" customFormat="1" hidden="1" x14ac:dyDescent="0.2">
      <c r="A490" s="2612"/>
      <c r="B490" s="2613" t="s">
        <v>6614</v>
      </c>
      <c r="C490" s="2614">
        <f>SUM(C481:C489)</f>
        <v>130579.62</v>
      </c>
      <c r="D490" s="2614">
        <f>SUM(D481:D489)</f>
        <v>45842.96</v>
      </c>
      <c r="E490" s="2614">
        <f>SUM(E481:E489)</f>
        <v>64124</v>
      </c>
      <c r="F490" s="2614">
        <f>SUM(F481:F489)</f>
        <v>104332.61</v>
      </c>
      <c r="G490" s="2614">
        <f>SUM(G481:G489)</f>
        <v>107948.32999999999</v>
      </c>
      <c r="H490" s="2614">
        <f t="shared" ref="H490" si="38">SUM(H481:H489)</f>
        <v>97129.36</v>
      </c>
      <c r="I490" s="2614">
        <f>SUM(I481:I489)</f>
        <v>221092.66</v>
      </c>
      <c r="J490" s="2614">
        <f>SUM(J481:J489)</f>
        <v>130103.91</v>
      </c>
    </row>
    <row r="491" spans="1:10" ht="14.25" hidden="1" x14ac:dyDescent="0.2">
      <c r="A491" s="2236"/>
      <c r="B491" s="2243"/>
      <c r="C491" s="2244"/>
      <c r="D491" s="2245"/>
      <c r="E491" s="2244"/>
      <c r="F491" s="2246"/>
      <c r="G491" s="2244"/>
      <c r="H491" s="2244"/>
      <c r="I491" s="2238" t="e">
        <f>VLOOKUP(A491,'Trial Balance - FPer'!$A$7:$I$1107,7,FALSE)</f>
        <v>#N/A</v>
      </c>
      <c r="J491" s="2100" t="e">
        <f>VLOOKUP(A491,'Trial Balance - FPer'!$A$7:$I$1126,3,FALSE)</f>
        <v>#N/A</v>
      </c>
    </row>
    <row r="492" spans="1:10" ht="14.25" hidden="1" x14ac:dyDescent="0.2">
      <c r="A492" s="2236"/>
      <c r="B492" s="2242" t="s">
        <v>6615</v>
      </c>
      <c r="C492" s="2244"/>
      <c r="D492" s="2245"/>
      <c r="E492" s="2244"/>
      <c r="F492" s="2246"/>
      <c r="G492" s="2244"/>
      <c r="H492" s="2244"/>
      <c r="I492" s="2238" t="e">
        <f>VLOOKUP(A492,'Trial Balance - FPer'!$A$7:$I$1107,7,FALSE)</f>
        <v>#N/A</v>
      </c>
      <c r="J492" s="2100" t="e">
        <f>VLOOKUP(A492,'Trial Balance - FPer'!$A$7:$I$1126,3,FALSE)</f>
        <v>#N/A</v>
      </c>
    </row>
    <row r="493" spans="1:10" ht="14.25" hidden="1" x14ac:dyDescent="0.2">
      <c r="A493" s="2236" t="s">
        <v>5121</v>
      </c>
      <c r="B493" s="2247" t="s">
        <v>6616</v>
      </c>
      <c r="C493" s="2248">
        <f>'[2]Data File'!$C$765</f>
        <v>0</v>
      </c>
      <c r="D493" s="2249">
        <v>412.57</v>
      </c>
      <c r="E493" s="2248">
        <v>0</v>
      </c>
      <c r="F493" s="2250">
        <v>0</v>
      </c>
      <c r="G493" s="2248">
        <v>104.29</v>
      </c>
      <c r="H493" s="2244"/>
      <c r="I493" s="2238">
        <f>VLOOKUP(A493,'Trial Balance - FPer'!$A$7:$I$1107,7,FALSE)</f>
        <v>0</v>
      </c>
      <c r="J493" s="2100" t="str">
        <f>VLOOKUP(A493,'Trial Balance - FPer'!$A$7:$I$1126,3,FALSE)</f>
        <v xml:space="preserve">                               -  </v>
      </c>
    </row>
    <row r="494" spans="1:10" s="2615" customFormat="1" hidden="1" x14ac:dyDescent="0.2">
      <c r="A494" s="2612"/>
      <c r="B494" s="2613" t="s">
        <v>6618</v>
      </c>
      <c r="C494" s="2614">
        <f>SUM(C493)</f>
        <v>0</v>
      </c>
      <c r="D494" s="2614">
        <f>SUM(D493)</f>
        <v>412.57</v>
      </c>
      <c r="E494" s="2614">
        <f>SUM(E493)</f>
        <v>0</v>
      </c>
      <c r="F494" s="2614">
        <f>SUM(F493)</f>
        <v>0</v>
      </c>
      <c r="G494" s="2614">
        <f>SUM(G493)</f>
        <v>104.29</v>
      </c>
      <c r="H494" s="2614">
        <f t="shared" ref="H494:J494" si="39">SUM(H493)</f>
        <v>0</v>
      </c>
      <c r="I494" s="2614">
        <f t="shared" si="39"/>
        <v>0</v>
      </c>
      <c r="J494" s="2614">
        <f t="shared" si="39"/>
        <v>0</v>
      </c>
    </row>
    <row r="495" spans="1:10" ht="14.25" hidden="1" x14ac:dyDescent="0.2">
      <c r="A495" s="2236"/>
      <c r="B495" s="2243"/>
      <c r="C495" s="2244"/>
      <c r="D495" s="2245"/>
      <c r="E495" s="2244"/>
      <c r="F495" s="2246"/>
      <c r="G495" s="2244"/>
      <c r="H495" s="2244"/>
      <c r="I495" s="2238" t="e">
        <f>VLOOKUP(A495,'Trial Balance - FPer'!$A$7:$I$1107,7,FALSE)</f>
        <v>#N/A</v>
      </c>
      <c r="J495" s="2100" t="e">
        <f>VLOOKUP(A495,'Trial Balance - FPer'!$A$7:$I$1126,3,FALSE)</f>
        <v>#N/A</v>
      </c>
    </row>
    <row r="496" spans="1:10" ht="14.25" hidden="1" x14ac:dyDescent="0.2">
      <c r="A496" s="2236"/>
      <c r="B496" s="2242" t="s">
        <v>6619</v>
      </c>
      <c r="C496" s="2244"/>
      <c r="D496" s="2245"/>
      <c r="E496" s="2244"/>
      <c r="F496" s="2246"/>
      <c r="G496" s="2244"/>
      <c r="H496" s="2244"/>
      <c r="I496" s="2238" t="e">
        <f>VLOOKUP(A496,'Trial Balance - FPer'!$A$7:$I$1107,7,FALSE)</f>
        <v>#N/A</v>
      </c>
      <c r="J496" s="2100" t="e">
        <f>VLOOKUP(A496,'Trial Balance - FPer'!$A$7:$I$1126,3,FALSE)</f>
        <v>#N/A</v>
      </c>
    </row>
    <row r="497" spans="1:10" ht="14.25" hidden="1" x14ac:dyDescent="0.2">
      <c r="A497" s="2236" t="s">
        <v>5122</v>
      </c>
      <c r="B497" s="2243" t="s">
        <v>6620</v>
      </c>
      <c r="C497" s="2244">
        <f>'[2]Data File'!$C$769</f>
        <v>26419</v>
      </c>
      <c r="D497" s="2245">
        <v>3920.66</v>
      </c>
      <c r="E497" s="2244">
        <v>20215.11</v>
      </c>
      <c r="F497" s="2246">
        <v>20215.11</v>
      </c>
      <c r="G497" s="2244">
        <v>31415.16</v>
      </c>
      <c r="H497" s="2256"/>
      <c r="I497" s="2238">
        <f>VLOOKUP(A497,'Trial Balance - FPer'!$A$7:$I$1107,7,FALSE)</f>
        <v>20215.11</v>
      </c>
      <c r="J497" s="2100">
        <f>VLOOKUP(A497,'Trial Balance - FPer'!$A$7:$I$1126,3,FALSE)</f>
        <v>26419</v>
      </c>
    </row>
    <row r="498" spans="1:10" ht="14.25" hidden="1" x14ac:dyDescent="0.2">
      <c r="A498" s="2236" t="s">
        <v>5123</v>
      </c>
      <c r="B498" s="2247" t="s">
        <v>6621</v>
      </c>
      <c r="C498" s="2248">
        <f>'[2]Data File'!$C$770</f>
        <v>0</v>
      </c>
      <c r="D498" s="2249">
        <v>5248.58</v>
      </c>
      <c r="E498" s="2248">
        <v>0</v>
      </c>
      <c r="F498" s="2250">
        <v>0</v>
      </c>
      <c r="G498" s="2248">
        <v>1316.29</v>
      </c>
      <c r="H498" s="2256"/>
      <c r="I498" s="2238">
        <f>VLOOKUP(A498,'Trial Balance - FPer'!$A$7:$I$1107,7,FALSE)</f>
        <v>0</v>
      </c>
      <c r="J498" s="2100" t="str">
        <f>VLOOKUP(A498,'Trial Balance - FPer'!$A$7:$I$1126,3,FALSE)</f>
        <v xml:space="preserve">                               -  </v>
      </c>
    </row>
    <row r="499" spans="1:10" s="2615" customFormat="1" hidden="1" x14ac:dyDescent="0.2">
      <c r="A499" s="2612"/>
      <c r="B499" s="2613" t="s">
        <v>6622</v>
      </c>
      <c r="C499" s="2614">
        <f>SUM(C497:C498)</f>
        <v>26419</v>
      </c>
      <c r="D499" s="2614">
        <f>SUM(D497:D498)</f>
        <v>9169.24</v>
      </c>
      <c r="E499" s="2614">
        <f>SUM(E497:E498)</f>
        <v>20215.11</v>
      </c>
      <c r="F499" s="2614">
        <f>SUM(F497:F498)</f>
        <v>20215.11</v>
      </c>
      <c r="G499" s="2614">
        <f>SUM(G497:G498)</f>
        <v>32731.45</v>
      </c>
      <c r="H499" s="2614">
        <f t="shared" ref="H499" si="40">SUM(H497:H498)</f>
        <v>0</v>
      </c>
      <c r="I499" s="2614">
        <f>SUM(I497:I498)</f>
        <v>20215.11</v>
      </c>
      <c r="J499" s="2614">
        <f>SUM(J497:J498)</f>
        <v>26419</v>
      </c>
    </row>
    <row r="500" spans="1:10" ht="14.25" hidden="1" x14ac:dyDescent="0.2">
      <c r="A500" s="2236"/>
      <c r="B500" s="2243"/>
      <c r="C500" s="2244"/>
      <c r="D500" s="2245"/>
      <c r="E500" s="2244"/>
      <c r="F500" s="2246"/>
      <c r="G500" s="2244"/>
      <c r="H500" s="2244"/>
      <c r="I500" s="2238" t="e">
        <f>VLOOKUP(A500,'Trial Balance - FPer'!$A$7:$I$1107,7,FALSE)</f>
        <v>#N/A</v>
      </c>
      <c r="J500" s="2100" t="e">
        <f>VLOOKUP(A500,'Trial Balance - FPer'!$A$7:$I$1126,3,FALSE)</f>
        <v>#N/A</v>
      </c>
    </row>
    <row r="501" spans="1:10" s="2615" customFormat="1" ht="13.5" thickBot="1" x14ac:dyDescent="0.25">
      <c r="A501" s="2612"/>
      <c r="B501" s="2616" t="s">
        <v>6623</v>
      </c>
      <c r="C501" s="2617">
        <f>C499+C494+C490+C478</f>
        <v>1005101.68</v>
      </c>
      <c r="D501" s="2617">
        <f>D499+D494+D490+D478</f>
        <v>1229330.67</v>
      </c>
      <c r="E501" s="2617">
        <f>E499+E494+E490+E478</f>
        <v>754712.92999999993</v>
      </c>
      <c r="F501" s="2617">
        <f>F499+F494+F490+F478</f>
        <v>1420633.11</v>
      </c>
      <c r="G501" s="2617">
        <f>G499+G494+G490+G478</f>
        <v>1443704.6400000001</v>
      </c>
      <c r="H501" s="2617">
        <f t="shared" ref="H501" si="41">H499+H494+H490+H478</f>
        <v>881367.67999999982</v>
      </c>
      <c r="I501" s="2617">
        <f>I499+I494+I490+I478</f>
        <v>1597350.48</v>
      </c>
      <c r="J501" s="2617">
        <f>J499+J494+J490+J478</f>
        <v>1004625.9700000001</v>
      </c>
    </row>
    <row r="502" spans="1:10" ht="15" thickTop="1" x14ac:dyDescent="0.2">
      <c r="A502" s="2236"/>
      <c r="B502" s="2243"/>
      <c r="C502" s="2244"/>
      <c r="D502" s="2245"/>
      <c r="E502" s="2244"/>
      <c r="F502" s="2246"/>
      <c r="G502" s="2244"/>
      <c r="H502" s="2244"/>
      <c r="I502" s="2238" t="e">
        <f>VLOOKUP(A502,'Trial Balance - FPer'!$A$7:$I$1107,7,FALSE)</f>
        <v>#N/A</v>
      </c>
      <c r="J502" s="2100" t="e">
        <f>VLOOKUP(A502,'Trial Balance - FPer'!$A$7:$I$1126,3,FALSE)</f>
        <v>#N/A</v>
      </c>
    </row>
    <row r="503" spans="1:10" s="2615" customFormat="1" ht="13.5" thickBot="1" x14ac:dyDescent="0.25">
      <c r="A503" s="2612"/>
      <c r="B503" s="2616" t="s">
        <v>6624</v>
      </c>
      <c r="C503" s="2617">
        <f>C463-C501</f>
        <v>-1005101.68</v>
      </c>
      <c r="D503" s="2617">
        <f>D463-D501</f>
        <v>-1.0000000009313226E-2</v>
      </c>
      <c r="E503" s="2617">
        <f>E463-E501</f>
        <v>-754712.92999999993</v>
      </c>
      <c r="F503" s="2617">
        <f>F463-F501</f>
        <v>0</v>
      </c>
      <c r="G503" s="2617">
        <f>G463-G501</f>
        <v>-826577.9800000001</v>
      </c>
      <c r="H503" s="2617">
        <f t="shared" ref="H503:J503" si="42">H463-H501</f>
        <v>-881367.67999999982</v>
      </c>
      <c r="I503" s="2617">
        <f t="shared" si="42"/>
        <v>-1597350.48</v>
      </c>
      <c r="J503" s="2617">
        <f t="shared" si="42"/>
        <v>-1004625.9700000001</v>
      </c>
    </row>
    <row r="504" spans="1:10" ht="15" thickTop="1" x14ac:dyDescent="0.2">
      <c r="A504" s="2236"/>
      <c r="B504" s="2243"/>
      <c r="C504" s="2244"/>
      <c r="D504" s="2245"/>
      <c r="E504" s="2244"/>
      <c r="F504" s="2246"/>
      <c r="G504" s="2244"/>
      <c r="H504" s="2244"/>
      <c r="I504" s="2238" t="e">
        <f>VLOOKUP(A504,'Trial Balance - FPer'!$A$7:$I$1107,7,FALSE)</f>
        <v>#N/A</v>
      </c>
      <c r="J504" s="2100" t="e">
        <f>VLOOKUP(A504,'Trial Balance - FPer'!$A$7:$I$1126,3,FALSE)</f>
        <v>#N/A</v>
      </c>
    </row>
    <row r="505" spans="1:10" ht="15" x14ac:dyDescent="0.25">
      <c r="A505" s="2241" t="s">
        <v>6707</v>
      </c>
      <c r="B505" s="2237" t="s">
        <v>6708</v>
      </c>
      <c r="C505" s="2244"/>
      <c r="D505" s="2245"/>
      <c r="E505" s="2244"/>
      <c r="F505" s="2246"/>
      <c r="G505" s="2244"/>
      <c r="H505" s="2244"/>
      <c r="I505" s="2238" t="e">
        <f>VLOOKUP(A505,'Trial Balance - FPer'!$A$7:$I$1107,7,FALSE)</f>
        <v>#N/A</v>
      </c>
      <c r="J505" s="2100" t="e">
        <f>VLOOKUP(A505,'Trial Balance - FPer'!$A$7:$I$1126,3,FALSE)</f>
        <v>#N/A</v>
      </c>
    </row>
    <row r="506" spans="1:10" ht="14.25" x14ac:dyDescent="0.2">
      <c r="A506" s="2236"/>
      <c r="B506" s="2243"/>
      <c r="C506" s="2244"/>
      <c r="D506" s="2245"/>
      <c r="E506" s="2244"/>
      <c r="F506" s="2246"/>
      <c r="G506" s="2244"/>
      <c r="H506" s="2244"/>
      <c r="I506" s="2238" t="e">
        <f>VLOOKUP(A506,'Trial Balance - FPer'!$A$7:$I$1107,7,FALSE)</f>
        <v>#N/A</v>
      </c>
      <c r="J506" s="2100" t="e">
        <f>VLOOKUP(A506,'Trial Balance - FPer'!$A$7:$I$1126,3,FALSE)</f>
        <v>#N/A</v>
      </c>
    </row>
    <row r="507" spans="1:10" ht="14.25" x14ac:dyDescent="0.2">
      <c r="A507" s="2236"/>
      <c r="B507" s="2242" t="s">
        <v>247</v>
      </c>
      <c r="C507" s="2244"/>
      <c r="D507" s="2245"/>
      <c r="E507" s="2244"/>
      <c r="F507" s="2246"/>
      <c r="G507" s="2244"/>
      <c r="H507" s="2244"/>
      <c r="I507" s="2238" t="e">
        <f>VLOOKUP(A507,'Trial Balance - FPer'!$A$7:$I$1107,7,FALSE)</f>
        <v>#N/A</v>
      </c>
      <c r="J507" s="2100" t="e">
        <f>VLOOKUP(A507,'Trial Balance - FPer'!$A$7:$I$1126,3,FALSE)</f>
        <v>#N/A</v>
      </c>
    </row>
    <row r="508" spans="1:10" ht="14.25" hidden="1" x14ac:dyDescent="0.2">
      <c r="A508" s="2236"/>
      <c r="B508" s="2242" t="s">
        <v>6628</v>
      </c>
      <c r="C508" s="2244"/>
      <c r="D508" s="2245"/>
      <c r="E508" s="2244"/>
      <c r="F508" s="2246"/>
      <c r="G508" s="2244"/>
      <c r="H508" s="2244"/>
      <c r="I508" s="2238" t="e">
        <f>VLOOKUP(A508,'Trial Balance - FPer'!$A$7:$I$1107,7,FALSE)</f>
        <v>#N/A</v>
      </c>
      <c r="J508" s="2100" t="e">
        <f>VLOOKUP(A508,'Trial Balance - FPer'!$A$7:$I$1126,3,FALSE)</f>
        <v>#N/A</v>
      </c>
    </row>
    <row r="509" spans="1:10" ht="14.25" hidden="1" x14ac:dyDescent="0.2">
      <c r="A509" s="2236" t="s">
        <v>5155</v>
      </c>
      <c r="B509" s="2247" t="s">
        <v>6659</v>
      </c>
      <c r="C509" s="2248">
        <f>'[2]Data File'!$C$604</f>
        <v>0</v>
      </c>
      <c r="D509" s="2249">
        <v>2981495.52</v>
      </c>
      <c r="E509" s="2248">
        <v>0</v>
      </c>
      <c r="F509" s="2250">
        <v>840486.26</v>
      </c>
      <c r="G509" s="2248">
        <v>1496711.52</v>
      </c>
      <c r="H509" s="2244"/>
      <c r="I509" s="2238">
        <f>VLOOKUP(A509,'Trial Balance - FPer'!$A$7:$I$1107,7,FALSE)</f>
        <v>0</v>
      </c>
      <c r="J509" s="2100">
        <f>VLOOKUP(A509,'Trial Balance - FPer'!$A$7:$I$1126,3,FALSE)</f>
        <v>0</v>
      </c>
    </row>
    <row r="510" spans="1:10" s="2615" customFormat="1" hidden="1" x14ac:dyDescent="0.2">
      <c r="A510" s="2612"/>
      <c r="B510" s="2613" t="s">
        <v>6631</v>
      </c>
      <c r="C510" s="2614">
        <f>SUM(C509)</f>
        <v>0</v>
      </c>
      <c r="D510" s="2614">
        <f>SUM(D509)</f>
        <v>2981495.52</v>
      </c>
      <c r="E510" s="2614">
        <f>SUM(E509)</f>
        <v>0</v>
      </c>
      <c r="F510" s="2614">
        <f>SUM(F509)</f>
        <v>840486.26</v>
      </c>
      <c r="G510" s="2614">
        <f>SUM(G509)</f>
        <v>1496711.52</v>
      </c>
      <c r="H510" s="2614">
        <f t="shared" ref="H510:J510" si="43">SUM(H509)</f>
        <v>0</v>
      </c>
      <c r="I510" s="2614">
        <f t="shared" si="43"/>
        <v>0</v>
      </c>
      <c r="J510" s="2614">
        <f t="shared" si="43"/>
        <v>0</v>
      </c>
    </row>
    <row r="511" spans="1:10" ht="14.25" hidden="1" x14ac:dyDescent="0.2">
      <c r="A511" s="2236"/>
      <c r="B511" s="2243"/>
      <c r="C511" s="2244"/>
      <c r="D511" s="2245"/>
      <c r="E511" s="2244"/>
      <c r="F511" s="2246"/>
      <c r="G511" s="2244"/>
      <c r="H511" s="2244"/>
      <c r="I511" s="2238" t="e">
        <f>VLOOKUP(A511,'Trial Balance - FPer'!$A$7:$I$1107,7,FALSE)</f>
        <v>#N/A</v>
      </c>
      <c r="J511" s="2100" t="e">
        <f>VLOOKUP(A511,'Trial Balance - FPer'!$A$7:$I$1126,3,FALSE)</f>
        <v>#N/A</v>
      </c>
    </row>
    <row r="512" spans="1:10" s="2615" customFormat="1" ht="13.5" thickBot="1" x14ac:dyDescent="0.25">
      <c r="A512" s="2612"/>
      <c r="B512" s="2616" t="s">
        <v>6579</v>
      </c>
      <c r="C512" s="2617">
        <f>C510</f>
        <v>0</v>
      </c>
      <c r="D512" s="2617">
        <f>D510</f>
        <v>2981495.52</v>
      </c>
      <c r="E512" s="2617">
        <f>E510</f>
        <v>0</v>
      </c>
      <c r="F512" s="2617">
        <f>F510</f>
        <v>840486.26</v>
      </c>
      <c r="G512" s="2617">
        <f>G510</f>
        <v>1496711.52</v>
      </c>
      <c r="H512" s="2617">
        <f t="shared" ref="H512:J512" si="44">H510</f>
        <v>0</v>
      </c>
      <c r="I512" s="2617">
        <f t="shared" si="44"/>
        <v>0</v>
      </c>
      <c r="J512" s="2617">
        <f t="shared" si="44"/>
        <v>0</v>
      </c>
    </row>
    <row r="513" spans="1:10" ht="15" thickTop="1" x14ac:dyDescent="0.2">
      <c r="A513" s="2236"/>
      <c r="B513" s="2243"/>
      <c r="C513" s="2244"/>
      <c r="D513" s="2245"/>
      <c r="E513" s="2244"/>
      <c r="F513" s="2246"/>
      <c r="G513" s="2244"/>
      <c r="H513" s="2244"/>
      <c r="I513" s="2238" t="e">
        <f>VLOOKUP(A513,'Trial Balance - FPer'!$A$7:$I$1107,7,FALSE)</f>
        <v>#N/A</v>
      </c>
      <c r="J513" s="2100" t="e">
        <f>VLOOKUP(A513,'Trial Balance - FPer'!$A$7:$I$1126,3,FALSE)</f>
        <v>#N/A</v>
      </c>
    </row>
    <row r="514" spans="1:10" ht="14.25" x14ac:dyDescent="0.2">
      <c r="A514" s="2236"/>
      <c r="B514" s="2242" t="s">
        <v>235</v>
      </c>
      <c r="C514" s="2244"/>
      <c r="D514" s="2245"/>
      <c r="E514" s="2244"/>
      <c r="F514" s="2246"/>
      <c r="G514" s="2244"/>
      <c r="H514" s="2244"/>
      <c r="I514" s="2238" t="e">
        <f>VLOOKUP(A514,'Trial Balance - FPer'!$A$7:$I$1107,7,FALSE)</f>
        <v>#N/A</v>
      </c>
      <c r="J514" s="2100" t="e">
        <f>VLOOKUP(A514,'Trial Balance - FPer'!$A$7:$I$1126,3,FALSE)</f>
        <v>#N/A</v>
      </c>
    </row>
    <row r="515" spans="1:10" ht="14.25" hidden="1" x14ac:dyDescent="0.2">
      <c r="A515" s="2236"/>
      <c r="B515" s="2242" t="s">
        <v>387</v>
      </c>
      <c r="C515" s="2244"/>
      <c r="D515" s="2245"/>
      <c r="E515" s="2244"/>
      <c r="F515" s="2246"/>
      <c r="G515" s="2244"/>
      <c r="H515" s="2244"/>
      <c r="I515" s="2238" t="e">
        <f>VLOOKUP(A515,'Trial Balance - FPer'!$A$7:$I$1107,7,FALSE)</f>
        <v>#N/A</v>
      </c>
      <c r="J515" s="2100" t="e">
        <f>VLOOKUP(A515,'Trial Balance - FPer'!$A$7:$I$1126,3,FALSE)</f>
        <v>#N/A</v>
      </c>
    </row>
    <row r="516" spans="1:10" ht="14.25" hidden="1" x14ac:dyDescent="0.2">
      <c r="A516" s="2236" t="s">
        <v>5125</v>
      </c>
      <c r="B516" s="2243" t="s">
        <v>6003</v>
      </c>
      <c r="C516" s="2244">
        <f>'[2]Data File'!$C$613</f>
        <v>244249.16</v>
      </c>
      <c r="D516" s="2245">
        <v>144031.70000000001</v>
      </c>
      <c r="E516" s="2244">
        <v>174832.25</v>
      </c>
      <c r="F516" s="2246">
        <v>335532.62</v>
      </c>
      <c r="G516" s="2253">
        <v>299097.18</v>
      </c>
      <c r="H516" s="2100">
        <v>212959.62</v>
      </c>
      <c r="I516" s="2238">
        <f>VLOOKUP(A516,'Trial Balance - FPer'!$A$7:$I$1107,7,FALSE)</f>
        <v>307702.8</v>
      </c>
      <c r="J516" s="2100">
        <f>VLOOKUP(A516,'Trial Balance - FPer'!$A$7:$I$1126,3,FALSE)</f>
        <v>244249.16</v>
      </c>
    </row>
    <row r="517" spans="1:10" ht="14.25" hidden="1" x14ac:dyDescent="0.2">
      <c r="A517" s="2236" t="s">
        <v>5126</v>
      </c>
      <c r="B517" s="2243" t="s">
        <v>6004</v>
      </c>
      <c r="C517" s="2244">
        <f>'[2]Data File'!$C$618</f>
        <v>19827.349999999999</v>
      </c>
      <c r="D517" s="2245">
        <v>5744.95</v>
      </c>
      <c r="E517" s="2244">
        <v>15500.11</v>
      </c>
      <c r="F517" s="2246">
        <v>24514.6</v>
      </c>
      <c r="G517" s="2253">
        <v>24748.33</v>
      </c>
      <c r="H517" s="2100">
        <v>24114.74</v>
      </c>
      <c r="I517" s="2238">
        <f>VLOOKUP(A517,'Trial Balance - FPer'!$A$7:$I$1107,7,FALSE)</f>
        <v>30808.959999999999</v>
      </c>
      <c r="J517" s="2100">
        <f>VLOOKUP(A517,'Trial Balance - FPer'!$A$7:$I$1126,3,FALSE)</f>
        <v>19827.349999999999</v>
      </c>
    </row>
    <row r="518" spans="1:10" ht="14.25" hidden="1" x14ac:dyDescent="0.2">
      <c r="A518" s="2236" t="s">
        <v>5127</v>
      </c>
      <c r="B518" s="2243" t="s">
        <v>6581</v>
      </c>
      <c r="C518" s="2244">
        <f>'[2]Data File'!$C$619</f>
        <v>0</v>
      </c>
      <c r="D518" s="2245">
        <v>0</v>
      </c>
      <c r="E518" s="2244">
        <v>400</v>
      </c>
      <c r="F518" s="2246">
        <v>2200</v>
      </c>
      <c r="G518" s="2253">
        <v>400</v>
      </c>
      <c r="H518" s="2100">
        <v>700</v>
      </c>
      <c r="I518" s="2238">
        <f>VLOOKUP(A518,'Trial Balance - FPer'!$A$7:$I$1107,7,FALSE)</f>
        <v>1000</v>
      </c>
      <c r="J518" s="2100">
        <f>VLOOKUP(A518,'Trial Balance - FPer'!$A$7:$I$1126,3,FALSE)</f>
        <v>0</v>
      </c>
    </row>
    <row r="519" spans="1:10" ht="14.25" hidden="1" x14ac:dyDescent="0.2">
      <c r="A519" s="2236" t="s">
        <v>5128</v>
      </c>
      <c r="B519" s="2243" t="s">
        <v>6632</v>
      </c>
      <c r="C519" s="2244">
        <f>'[2]Data File'!$C$620</f>
        <v>3782</v>
      </c>
      <c r="D519" s="2245">
        <v>2171.65</v>
      </c>
      <c r="E519" s="2244">
        <v>3132</v>
      </c>
      <c r="F519" s="2246">
        <v>6264</v>
      </c>
      <c r="G519" s="2253">
        <v>5260.72</v>
      </c>
      <c r="H519" s="2100">
        <v>3654</v>
      </c>
      <c r="I519" s="2238">
        <f>VLOOKUP(A519,'Trial Balance - FPer'!$A$7:$I$1107,7,FALSE)</f>
        <v>4576.8999999999996</v>
      </c>
      <c r="J519" s="2100">
        <f>VLOOKUP(A519,'Trial Balance - FPer'!$A$7:$I$1126,3,FALSE)</f>
        <v>3782</v>
      </c>
    </row>
    <row r="520" spans="1:10" ht="14.25" hidden="1" x14ac:dyDescent="0.2">
      <c r="A520" s="2236" t="s">
        <v>5129</v>
      </c>
      <c r="B520" s="2243" t="s">
        <v>6007</v>
      </c>
      <c r="C520" s="2244">
        <f>'[2]Data File'!$C$621</f>
        <v>5428.87</v>
      </c>
      <c r="D520" s="2245">
        <v>4307.59</v>
      </c>
      <c r="E520" s="2244">
        <v>5136.83</v>
      </c>
      <c r="F520" s="2246">
        <v>10218.89</v>
      </c>
      <c r="G520" s="2253">
        <v>8798.85</v>
      </c>
      <c r="H520" s="2100">
        <v>5983.84</v>
      </c>
      <c r="I520" s="2238">
        <f>VLOOKUP(A520,'Trial Balance - FPer'!$A$7:$I$1107,7,FALSE)</f>
        <v>16112.83</v>
      </c>
      <c r="J520" s="2100">
        <f>VLOOKUP(A520,'Trial Balance - FPer'!$A$7:$I$1126,3,FALSE)</f>
        <v>5428.87</v>
      </c>
    </row>
    <row r="521" spans="1:10" ht="14.25" hidden="1" x14ac:dyDescent="0.2">
      <c r="A521" s="2236" t="s">
        <v>5130</v>
      </c>
      <c r="B521" s="2243" t="s">
        <v>6582</v>
      </c>
      <c r="C521" s="2244">
        <f>'[2]Data File'!$C$622</f>
        <v>573.25</v>
      </c>
      <c r="D521" s="2245">
        <v>0</v>
      </c>
      <c r="E521" s="2244">
        <v>0</v>
      </c>
      <c r="F521" s="2246">
        <v>0</v>
      </c>
      <c r="G521" s="2253">
        <v>0</v>
      </c>
      <c r="H521" s="2100">
        <v>0</v>
      </c>
      <c r="I521" s="2238">
        <f>VLOOKUP(A521,'Trial Balance - FPer'!$A$7:$I$1107,7,FALSE)</f>
        <v>0</v>
      </c>
      <c r="J521" s="2100">
        <f>VLOOKUP(A521,'Trial Balance - FPer'!$A$7:$I$1126,3,FALSE)</f>
        <v>573.25</v>
      </c>
    </row>
    <row r="522" spans="1:10" ht="14.25" hidden="1" x14ac:dyDescent="0.2">
      <c r="A522" s="2236" t="s">
        <v>5131</v>
      </c>
      <c r="B522" s="2243" t="s">
        <v>6583</v>
      </c>
      <c r="C522" s="2244">
        <f>'[2]Data File'!$C$624</f>
        <v>22400</v>
      </c>
      <c r="D522" s="2245">
        <v>12112.8</v>
      </c>
      <c r="E522" s="2244">
        <v>28162.78</v>
      </c>
      <c r="F522" s="2246">
        <v>49162.78</v>
      </c>
      <c r="G522" s="2253">
        <v>45408.73</v>
      </c>
      <c r="H522" s="2100">
        <v>31662.78</v>
      </c>
      <c r="I522" s="2238">
        <f>VLOOKUP(A522,'Trial Balance - FPer'!$A$7:$I$1107,7,FALSE)</f>
        <v>37850.78</v>
      </c>
      <c r="J522" s="2100">
        <f>VLOOKUP(A522,'Trial Balance - FPer'!$A$7:$I$1126,3,FALSE)</f>
        <v>22400</v>
      </c>
    </row>
    <row r="523" spans="1:10" ht="14.25" hidden="1" x14ac:dyDescent="0.2">
      <c r="A523" s="2236" t="s">
        <v>5132</v>
      </c>
      <c r="B523" s="2243" t="s">
        <v>6584</v>
      </c>
      <c r="C523" s="2244">
        <f>'[2]Data File'!$C$617</f>
        <v>147.6</v>
      </c>
      <c r="D523" s="2245">
        <v>88.68</v>
      </c>
      <c r="E523" s="2244">
        <v>82</v>
      </c>
      <c r="F523" s="2246">
        <v>168.1</v>
      </c>
      <c r="G523" s="2253">
        <v>150.91</v>
      </c>
      <c r="H523" s="2100">
        <v>106.6</v>
      </c>
      <c r="I523" s="2238">
        <f>VLOOKUP(A523,'Trial Balance - FPer'!$A$7:$I$1107,7,FALSE)</f>
        <v>155.80000000000001</v>
      </c>
      <c r="J523" s="2100">
        <f>VLOOKUP(A523,'Trial Balance - FPer'!$A$7:$I$1126,3,FALSE)</f>
        <v>147.6</v>
      </c>
    </row>
    <row r="524" spans="1:10" ht="14.25" hidden="1" x14ac:dyDescent="0.2">
      <c r="A524" s="2236" t="s">
        <v>5133</v>
      </c>
      <c r="B524" s="2243" t="s">
        <v>6585</v>
      </c>
      <c r="C524" s="2244">
        <f>'[2]Data File'!$C$623</f>
        <v>3231</v>
      </c>
      <c r="D524" s="2245">
        <v>1818.15</v>
      </c>
      <c r="E524" s="2244">
        <v>1940.69</v>
      </c>
      <c r="F524" s="2246">
        <v>3998.02</v>
      </c>
      <c r="G524" s="2253">
        <v>3373.68</v>
      </c>
      <c r="H524" s="2100">
        <v>2420.38</v>
      </c>
      <c r="I524" s="2238">
        <f>VLOOKUP(A524,'Trial Balance - FPer'!$A$7:$I$1107,7,FALSE)</f>
        <v>3966.83</v>
      </c>
      <c r="J524" s="2100">
        <f>VLOOKUP(A524,'Trial Balance - FPer'!$A$7:$I$1126,3,FALSE)</f>
        <v>3231</v>
      </c>
    </row>
    <row r="525" spans="1:10" ht="14.25" hidden="1" x14ac:dyDescent="0.2">
      <c r="A525" s="2236" t="s">
        <v>5134</v>
      </c>
      <c r="B525" s="2243" t="s">
        <v>6586</v>
      </c>
      <c r="C525" s="2244">
        <f>'[2]Data File'!$C$625</f>
        <v>0</v>
      </c>
      <c r="D525" s="2245">
        <v>1866.02</v>
      </c>
      <c r="E525" s="2244">
        <v>0</v>
      </c>
      <c r="F525" s="2246">
        <v>0</v>
      </c>
      <c r="G525" s="2253">
        <v>468.01</v>
      </c>
      <c r="H525" s="2100">
        <v>0</v>
      </c>
      <c r="I525" s="2238">
        <f>VLOOKUP(A525,'Trial Balance - FPer'!$A$7:$I$1107,7,FALSE)</f>
        <v>0</v>
      </c>
      <c r="J525" s="2100" t="str">
        <f>VLOOKUP(A525,'Trial Balance - FPer'!$A$7:$I$1126,3,FALSE)</f>
        <v xml:space="preserve">                               -  </v>
      </c>
    </row>
    <row r="526" spans="1:10" ht="14.25" hidden="1" x14ac:dyDescent="0.2">
      <c r="A526" s="2236" t="s">
        <v>5135</v>
      </c>
      <c r="B526" s="2243" t="s">
        <v>6587</v>
      </c>
      <c r="C526" s="2244">
        <f>'[2]Data File'!$C$614</f>
        <v>21576</v>
      </c>
      <c r="D526" s="2245">
        <v>12944.26</v>
      </c>
      <c r="E526" s="2244">
        <v>17987</v>
      </c>
      <c r="F526" s="2246">
        <v>44594</v>
      </c>
      <c r="G526" s="2253">
        <v>30308.89</v>
      </c>
      <c r="H526" s="2100">
        <v>23162</v>
      </c>
      <c r="I526" s="2238">
        <f>VLOOKUP(A526,'Trial Balance - FPer'!$A$7:$I$1107,7,FALSE)</f>
        <v>36080</v>
      </c>
      <c r="J526" s="2100">
        <f>VLOOKUP(A526,'Trial Balance - FPer'!$A$7:$I$1126,3,FALSE)</f>
        <v>21576</v>
      </c>
    </row>
    <row r="527" spans="1:10" ht="14.25" hidden="1" x14ac:dyDescent="0.2">
      <c r="A527" s="2236" t="s">
        <v>5136</v>
      </c>
      <c r="B527" s="2243" t="s">
        <v>6013</v>
      </c>
      <c r="C527" s="2244">
        <f>'[2]Data File'!$C$615</f>
        <v>46192.69</v>
      </c>
      <c r="D527" s="2245">
        <v>24724.26</v>
      </c>
      <c r="E527" s="2244">
        <v>35737.910000000003</v>
      </c>
      <c r="F527" s="2246">
        <v>69018.17</v>
      </c>
      <c r="G527" s="2253">
        <v>59959.19</v>
      </c>
      <c r="H527" s="2100">
        <v>43547.47</v>
      </c>
      <c r="I527" s="2238">
        <f>VLOOKUP(A527,'Trial Balance - FPer'!$A$7:$I$1107,7,FALSE)</f>
        <v>61117.15</v>
      </c>
      <c r="J527" s="2100">
        <f>VLOOKUP(A527,'Trial Balance - FPer'!$A$7:$I$1126,3,FALSE)</f>
        <v>46192.69</v>
      </c>
    </row>
    <row r="528" spans="1:10" ht="14.25" hidden="1" x14ac:dyDescent="0.2">
      <c r="A528" s="2236" t="s">
        <v>5137</v>
      </c>
      <c r="B528" s="2247" t="s">
        <v>6014</v>
      </c>
      <c r="C528" s="2248">
        <f>'[2]Data File'!$C$616</f>
        <v>3100.67</v>
      </c>
      <c r="D528" s="2249">
        <v>1872.55</v>
      </c>
      <c r="E528" s="2248">
        <v>1812.64</v>
      </c>
      <c r="F528" s="2250">
        <v>3893.16</v>
      </c>
      <c r="G528" s="2248">
        <v>3202.52</v>
      </c>
      <c r="H528" s="2100">
        <v>2306.52</v>
      </c>
      <c r="I528" s="2238">
        <f>VLOOKUP(A528,'Trial Balance - FPer'!$A$7:$I$1107,7,FALSE)</f>
        <v>3454.77</v>
      </c>
      <c r="J528" s="2100">
        <f>VLOOKUP(A528,'Trial Balance - FPer'!$A$7:$I$1126,3,FALSE)</f>
        <v>3100.67</v>
      </c>
    </row>
    <row r="529" spans="1:10" s="2615" customFormat="1" hidden="1" x14ac:dyDescent="0.2">
      <c r="A529" s="2612"/>
      <c r="B529" s="2613" t="s">
        <v>6588</v>
      </c>
      <c r="C529" s="2614">
        <f>SUM(C516:C528)</f>
        <v>370508.58999999997</v>
      </c>
      <c r="D529" s="2614">
        <f>SUM(D516:D528)</f>
        <v>211682.61</v>
      </c>
      <c r="E529" s="2614">
        <f>SUM(E516:E528)</f>
        <v>284724.20999999996</v>
      </c>
      <c r="F529" s="2614">
        <f>SUM(F516:F528)</f>
        <v>549564.34000000008</v>
      </c>
      <c r="G529" s="2614">
        <f>SUM(G516:G528)</f>
        <v>481177.00999999995</v>
      </c>
      <c r="H529" s="2614">
        <f t="shared" ref="H529" si="45">SUM(H516:H528)</f>
        <v>350617.94999999995</v>
      </c>
      <c r="I529" s="2614">
        <f>SUM(I516:I528)</f>
        <v>502826.82000000007</v>
      </c>
      <c r="J529" s="2614">
        <f>SUM(J516:J528)</f>
        <v>370508.58999999997</v>
      </c>
    </row>
    <row r="530" spans="1:10" ht="14.25" hidden="1" x14ac:dyDescent="0.2">
      <c r="A530" s="2236"/>
      <c r="B530" s="2243"/>
      <c r="C530" s="2244"/>
      <c r="D530" s="2245"/>
      <c r="E530" s="2244"/>
      <c r="F530" s="2246"/>
      <c r="G530" s="2244"/>
      <c r="H530" s="2244"/>
      <c r="I530" s="2238" t="e">
        <f>VLOOKUP(A530,'Trial Balance - FPer'!$A$7:$I$1107,7,FALSE)</f>
        <v>#N/A</v>
      </c>
      <c r="J530" s="2100" t="e">
        <f>VLOOKUP(A530,'Trial Balance - FPer'!$A$7:$I$1126,3,FALSE)</f>
        <v>#N/A</v>
      </c>
    </row>
    <row r="531" spans="1:10" ht="14.25" hidden="1" x14ac:dyDescent="0.2">
      <c r="A531" s="2236"/>
      <c r="B531" s="2242" t="s">
        <v>6599</v>
      </c>
      <c r="C531" s="2244"/>
      <c r="D531" s="2245"/>
      <c r="E531" s="2244"/>
      <c r="F531" s="2246"/>
      <c r="G531" s="2244"/>
      <c r="H531" s="2244"/>
      <c r="I531" s="2238" t="e">
        <f>VLOOKUP(A531,'Trial Balance - FPer'!$A$7:$I$1107,7,FALSE)</f>
        <v>#N/A</v>
      </c>
      <c r="J531" s="2100" t="e">
        <f>VLOOKUP(A531,'Trial Balance - FPer'!$A$7:$I$1126,3,FALSE)</f>
        <v>#N/A</v>
      </c>
    </row>
    <row r="532" spans="1:10" ht="14.25" hidden="1" x14ac:dyDescent="0.2">
      <c r="A532" s="2236" t="s">
        <v>5138</v>
      </c>
      <c r="B532" s="2243" t="s">
        <v>6686</v>
      </c>
      <c r="C532" s="2244">
        <f>'[2]Data File'!$C$645</f>
        <v>0</v>
      </c>
      <c r="D532" s="2245">
        <v>0</v>
      </c>
      <c r="E532" s="2244">
        <v>315.79000000000002</v>
      </c>
      <c r="F532" s="2246">
        <v>315.79000000000002</v>
      </c>
      <c r="G532" s="2253">
        <v>315.79000000000002</v>
      </c>
      <c r="H532" s="2100">
        <v>315.79000000000002</v>
      </c>
      <c r="I532" s="2238">
        <f>VLOOKUP(A532,'Trial Balance - FPer'!$A$7:$I$1107,7,FALSE)</f>
        <v>315.79000000000002</v>
      </c>
      <c r="J532" s="2100" t="str">
        <f>VLOOKUP(A532,'Trial Balance - FPer'!$A$7:$I$1126,3,FALSE)</f>
        <v xml:space="preserve">                               -  </v>
      </c>
    </row>
    <row r="533" spans="1:10" ht="14.25" hidden="1" x14ac:dyDescent="0.2">
      <c r="A533" s="2236" t="s">
        <v>5139</v>
      </c>
      <c r="B533" s="2243" t="s">
        <v>6601</v>
      </c>
      <c r="C533" s="2244">
        <f>'[2]Data File'!$C$629</f>
        <v>0</v>
      </c>
      <c r="D533" s="2245">
        <v>412.57</v>
      </c>
      <c r="E533" s="2244">
        <v>0</v>
      </c>
      <c r="F533" s="2246">
        <v>412.57</v>
      </c>
      <c r="G533" s="2253">
        <v>104.29</v>
      </c>
      <c r="H533" s="2100">
        <v>0</v>
      </c>
      <c r="I533" s="2238">
        <f>VLOOKUP(A533,'Trial Balance - FPer'!$A$7:$I$1107,7,FALSE)</f>
        <v>0</v>
      </c>
      <c r="J533" s="2100" t="str">
        <f>VLOOKUP(A533,'Trial Balance - FPer'!$A$7:$I$1126,3,FALSE)</f>
        <v xml:space="preserve">                               -  </v>
      </c>
    </row>
    <row r="534" spans="1:10" ht="14.25" hidden="1" x14ac:dyDescent="0.2">
      <c r="A534" s="2236" t="s">
        <v>5140</v>
      </c>
      <c r="B534" s="2243" t="s">
        <v>6690</v>
      </c>
      <c r="C534" s="2244">
        <f>'[2]Data File'!$C$630</f>
        <v>26873</v>
      </c>
      <c r="D534" s="2245">
        <v>29559.89</v>
      </c>
      <c r="E534" s="2244">
        <v>0</v>
      </c>
      <c r="F534" s="2246">
        <v>0</v>
      </c>
      <c r="G534" s="2253">
        <v>7420.95</v>
      </c>
      <c r="H534" s="2100">
        <v>0</v>
      </c>
      <c r="I534" s="2238">
        <f>VLOOKUP(A534,'Trial Balance - FPer'!$A$7:$I$1107,7,FALSE)</f>
        <v>1666.68</v>
      </c>
      <c r="J534" s="2100">
        <f>VLOOKUP(A534,'Trial Balance - FPer'!$A$7:$I$1126,3,FALSE)</f>
        <v>26873</v>
      </c>
    </row>
    <row r="535" spans="1:10" ht="14.25" hidden="1" x14ac:dyDescent="0.2">
      <c r="A535" s="2236" t="s">
        <v>5141</v>
      </c>
      <c r="B535" s="2243" t="s">
        <v>6634</v>
      </c>
      <c r="C535" s="2244">
        <f>'[2]Data File'!$C$631</f>
        <v>0</v>
      </c>
      <c r="D535" s="2245">
        <v>0</v>
      </c>
      <c r="E535" s="2244">
        <v>0</v>
      </c>
      <c r="F535" s="2246">
        <v>0</v>
      </c>
      <c r="G535" s="2253">
        <v>0</v>
      </c>
      <c r="H535" s="2100">
        <v>0</v>
      </c>
      <c r="I535" s="2238">
        <f>VLOOKUP(A535,'Trial Balance - FPer'!$A$7:$I$1107,7,FALSE)</f>
        <v>0</v>
      </c>
      <c r="J535" s="2100">
        <f>VLOOKUP(A535,'Trial Balance - FPer'!$A$7:$I$1126,3,FALSE)</f>
        <v>0</v>
      </c>
    </row>
    <row r="536" spans="1:10" ht="14.25" hidden="1" x14ac:dyDescent="0.2">
      <c r="A536" s="2236" t="s">
        <v>5142</v>
      </c>
      <c r="B536" s="2243" t="s">
        <v>6105</v>
      </c>
      <c r="C536" s="2244">
        <f>'[2]Data File'!$C$632</f>
        <v>0</v>
      </c>
      <c r="D536" s="2245">
        <v>205.96</v>
      </c>
      <c r="E536" s="2244">
        <v>0</v>
      </c>
      <c r="F536" s="2246">
        <v>205.96</v>
      </c>
      <c r="G536" s="2253">
        <v>51.98</v>
      </c>
      <c r="H536" s="2100">
        <v>0</v>
      </c>
      <c r="I536" s="2238">
        <f>VLOOKUP(A536,'Trial Balance - FPer'!$A$7:$I$1107,7,FALSE)</f>
        <v>0</v>
      </c>
      <c r="J536" s="2100" t="str">
        <f>VLOOKUP(A536,'Trial Balance - FPer'!$A$7:$I$1126,3,FALSE)</f>
        <v xml:space="preserve">                               -  </v>
      </c>
    </row>
    <row r="537" spans="1:10" ht="14.25" hidden="1" x14ac:dyDescent="0.2">
      <c r="A537" s="2236" t="s">
        <v>5143</v>
      </c>
      <c r="B537" s="2243" t="s">
        <v>6605</v>
      </c>
      <c r="C537" s="2244">
        <f>'[2]Data File'!$C$633</f>
        <v>2477</v>
      </c>
      <c r="D537" s="2245">
        <v>652.54</v>
      </c>
      <c r="E537" s="2244">
        <v>66</v>
      </c>
      <c r="F537" s="2246">
        <v>265</v>
      </c>
      <c r="G537" s="2253">
        <v>263.72000000000003</v>
      </c>
      <c r="H537" s="2100">
        <v>66</v>
      </c>
      <c r="I537" s="2238">
        <f>VLOOKUP(A537,'Trial Balance - FPer'!$A$7:$I$1107,7,FALSE)</f>
        <v>66</v>
      </c>
      <c r="J537" s="2100">
        <f>VLOOKUP(A537,'Trial Balance - FPer'!$A$7:$I$1126,3,FALSE)</f>
        <v>2477</v>
      </c>
    </row>
    <row r="538" spans="1:10" ht="14.25" hidden="1" x14ac:dyDescent="0.2">
      <c r="A538" s="2236" t="s">
        <v>5144</v>
      </c>
      <c r="B538" s="2243" t="s">
        <v>6606</v>
      </c>
      <c r="C538" s="2244">
        <f>'[2]Data File'!$C$634</f>
        <v>96489.97</v>
      </c>
      <c r="D538" s="2245">
        <v>1971.97</v>
      </c>
      <c r="E538" s="2244">
        <v>14887.93</v>
      </c>
      <c r="F538" s="2246">
        <v>23000</v>
      </c>
      <c r="G538" s="2253">
        <v>22855.91</v>
      </c>
      <c r="H538" s="2100">
        <v>14887.93</v>
      </c>
      <c r="I538" s="2238">
        <f>VLOOKUP(A538,'Trial Balance - FPer'!$A$7:$I$1107,7,FALSE)</f>
        <v>16887.93</v>
      </c>
      <c r="J538" s="2100">
        <f>VLOOKUP(A538,'Trial Balance - FPer'!$A$7:$I$1126,3,FALSE)</f>
        <v>96489.97</v>
      </c>
    </row>
    <row r="539" spans="1:10" ht="14.25" hidden="1" x14ac:dyDescent="0.2">
      <c r="A539" s="2236" t="s">
        <v>5145</v>
      </c>
      <c r="B539" s="2243" t="s">
        <v>6608</v>
      </c>
      <c r="C539" s="2244">
        <f>'[2]Data File'!$C$635</f>
        <v>0</v>
      </c>
      <c r="D539" s="2245">
        <v>412.57</v>
      </c>
      <c r="E539" s="2244">
        <v>0</v>
      </c>
      <c r="F539" s="2246">
        <v>0</v>
      </c>
      <c r="G539" s="2253">
        <v>104.29</v>
      </c>
      <c r="H539" s="2100">
        <v>9990</v>
      </c>
      <c r="I539" s="2238">
        <f>VLOOKUP(A539,'Trial Balance - FPer'!$A$7:$I$1107,7,FALSE)</f>
        <v>0</v>
      </c>
      <c r="J539" s="2100" t="str">
        <f>VLOOKUP(A539,'Trial Balance - FPer'!$A$7:$I$1126,3,FALSE)</f>
        <v xml:space="preserve">                               -  </v>
      </c>
    </row>
    <row r="540" spans="1:10" ht="14.25" hidden="1" x14ac:dyDescent="0.2">
      <c r="A540" s="2236" t="s">
        <v>5146</v>
      </c>
      <c r="B540" s="2243" t="s">
        <v>6609</v>
      </c>
      <c r="C540" s="2244">
        <f>'[2]Data File'!$C$637</f>
        <v>33689.78</v>
      </c>
      <c r="D540" s="2245">
        <v>13720.89</v>
      </c>
      <c r="E540" s="2244">
        <v>5441.73</v>
      </c>
      <c r="F540" s="2246">
        <v>13720.89</v>
      </c>
      <c r="G540" s="2253">
        <v>11627.53</v>
      </c>
      <c r="H540" s="2100">
        <v>6241.73</v>
      </c>
      <c r="I540" s="2238">
        <f>VLOOKUP(A540,'Trial Balance - FPer'!$A$7:$I$1107,7,FALSE)</f>
        <v>9337.73</v>
      </c>
      <c r="J540" s="2100">
        <f>VLOOKUP(A540,'Trial Balance - FPer'!$A$7:$I$1126,3,FALSE)</f>
        <v>33689.78</v>
      </c>
    </row>
    <row r="541" spans="1:10" ht="14.25" hidden="1" x14ac:dyDescent="0.2">
      <c r="A541" s="2236" t="s">
        <v>5147</v>
      </c>
      <c r="B541" s="2243" t="s">
        <v>6110</v>
      </c>
      <c r="C541" s="2244">
        <f>'[2]Data File'!$C$638</f>
        <v>26015.66</v>
      </c>
      <c r="D541" s="2245">
        <v>100000</v>
      </c>
      <c r="E541" s="2244">
        <v>93515.96</v>
      </c>
      <c r="F541" s="2246">
        <v>200000</v>
      </c>
      <c r="G541" s="2253">
        <v>165748.74</v>
      </c>
      <c r="H541" s="2100">
        <v>117780.96</v>
      </c>
      <c r="I541" s="2238">
        <f>VLOOKUP(A541,'Trial Balance - FPer'!$A$7:$I$1107,7,FALSE)</f>
        <v>156972.99</v>
      </c>
      <c r="J541" s="2100">
        <f>VLOOKUP(A541,'Trial Balance - FPer'!$A$7:$I$1126,3,FALSE)</f>
        <v>26015.66</v>
      </c>
    </row>
    <row r="542" spans="1:10" ht="14.25" hidden="1" x14ac:dyDescent="0.2">
      <c r="A542" s="2236" t="s">
        <v>5148</v>
      </c>
      <c r="B542" s="2243" t="s">
        <v>6610</v>
      </c>
      <c r="C542" s="2244">
        <f>'[2]Data File'!$C$639</f>
        <v>0</v>
      </c>
      <c r="D542" s="2245">
        <v>412.57</v>
      </c>
      <c r="E542" s="2244">
        <v>692</v>
      </c>
      <c r="F542" s="2246">
        <v>692</v>
      </c>
      <c r="G542" s="2253">
        <v>1150.04</v>
      </c>
      <c r="H542" s="2100">
        <v>692</v>
      </c>
      <c r="I542" s="2238">
        <f>VLOOKUP(A542,'Trial Balance - FPer'!$A$7:$I$1107,7,FALSE)</f>
        <v>23600.38</v>
      </c>
      <c r="J542" s="2100" t="str">
        <f>VLOOKUP(A542,'Trial Balance - FPer'!$A$7:$I$1126,3,FALSE)</f>
        <v xml:space="preserve">                               -  </v>
      </c>
    </row>
    <row r="543" spans="1:10" ht="14.25" hidden="1" x14ac:dyDescent="0.2">
      <c r="A543" s="2236" t="s">
        <v>5149</v>
      </c>
      <c r="B543" s="2243" t="s">
        <v>6613</v>
      </c>
      <c r="C543" s="2244">
        <f>'[2]Data File'!$C$640</f>
        <v>7130.32</v>
      </c>
      <c r="D543" s="2245">
        <v>10463.700000000001</v>
      </c>
      <c r="E543" s="2244">
        <v>0</v>
      </c>
      <c r="F543" s="2246">
        <v>0</v>
      </c>
      <c r="G543" s="2253">
        <v>2627.85</v>
      </c>
      <c r="H543" s="2100">
        <v>0</v>
      </c>
      <c r="I543" s="2238">
        <f>VLOOKUP(A543,'Trial Balance - FPer'!$A$7:$I$1107,7,FALSE)</f>
        <v>0</v>
      </c>
      <c r="J543" s="2100">
        <f>VLOOKUP(A543,'Trial Balance - FPer'!$A$7:$I$1126,3,FALSE)</f>
        <v>7130.32</v>
      </c>
    </row>
    <row r="544" spans="1:10" ht="14.25" hidden="1" x14ac:dyDescent="0.2">
      <c r="A544" s="2236" t="s">
        <v>5150</v>
      </c>
      <c r="B544" s="2247" t="s">
        <v>6033</v>
      </c>
      <c r="C544" s="2248">
        <f>'[2]Data File'!$C$641</f>
        <v>183</v>
      </c>
      <c r="D544" s="2249">
        <v>412.57</v>
      </c>
      <c r="E544" s="2248">
        <v>171.6</v>
      </c>
      <c r="F544" s="2250">
        <v>412.57</v>
      </c>
      <c r="G544" s="2248">
        <v>363.61</v>
      </c>
      <c r="H544" s="2100">
        <v>171.6</v>
      </c>
      <c r="I544" s="2238">
        <f>VLOOKUP(A544,'Trial Balance - FPer'!$A$7:$I$1107,7,FALSE)</f>
        <v>0</v>
      </c>
      <c r="J544" s="2100">
        <f>VLOOKUP(A544,'Trial Balance - FPer'!$A$7:$I$1126,3,FALSE)</f>
        <v>0</v>
      </c>
    </row>
    <row r="545" spans="1:10" s="2615" customFormat="1" hidden="1" x14ac:dyDescent="0.2">
      <c r="A545" s="2612"/>
      <c r="B545" s="2613" t="s">
        <v>6614</v>
      </c>
      <c r="C545" s="2614">
        <f>SUM(C532:C544)</f>
        <v>192858.73</v>
      </c>
      <c r="D545" s="2614">
        <f>SUM(D532:D544)</f>
        <v>158225.23000000004</v>
      </c>
      <c r="E545" s="2614">
        <f>SUM(E532:E544)</f>
        <v>115091.01000000001</v>
      </c>
      <c r="F545" s="2614">
        <f>SUM(F532:F544)</f>
        <v>239024.78</v>
      </c>
      <c r="G545" s="2614">
        <f>SUM(G532:G544)</f>
        <v>212634.69999999998</v>
      </c>
      <c r="H545" s="2614">
        <f t="shared" ref="H545" si="46">SUM(H532:H544)</f>
        <v>150146.01</v>
      </c>
      <c r="I545" s="2614">
        <f>SUM(I532:I544)</f>
        <v>208847.5</v>
      </c>
      <c r="J545" s="2614">
        <f>SUM(J532:J544)</f>
        <v>192675.73</v>
      </c>
    </row>
    <row r="546" spans="1:10" ht="14.25" hidden="1" x14ac:dyDescent="0.2">
      <c r="A546" s="2236"/>
      <c r="B546" s="2243"/>
      <c r="C546" s="2244"/>
      <c r="D546" s="2245"/>
      <c r="E546" s="2244"/>
      <c r="F546" s="2246"/>
      <c r="G546" s="2244"/>
      <c r="H546" s="2244"/>
      <c r="I546" s="2238" t="e">
        <f>VLOOKUP(A546,'Trial Balance - FPer'!$A$7:$I$1107,7,FALSE)</f>
        <v>#N/A</v>
      </c>
      <c r="J546" s="2100" t="e">
        <f>VLOOKUP(A546,'Trial Balance - FPer'!$A$7:$I$1126,3,FALSE)</f>
        <v>#N/A</v>
      </c>
    </row>
    <row r="547" spans="1:10" ht="14.25" hidden="1" x14ac:dyDescent="0.2">
      <c r="A547" s="2236"/>
      <c r="B547" s="2242" t="s">
        <v>6615</v>
      </c>
      <c r="C547" s="2244"/>
      <c r="D547" s="2245"/>
      <c r="E547" s="2244"/>
      <c r="F547" s="2246"/>
      <c r="G547" s="2244"/>
      <c r="H547" s="2244"/>
      <c r="I547" s="2238" t="e">
        <f>VLOOKUP(A547,'Trial Balance - FPer'!$A$7:$I$1107,7,FALSE)</f>
        <v>#N/A</v>
      </c>
      <c r="J547" s="2100" t="e">
        <f>VLOOKUP(A547,'Trial Balance - FPer'!$A$7:$I$1126,3,FALSE)</f>
        <v>#N/A</v>
      </c>
    </row>
    <row r="548" spans="1:10" ht="14.25" hidden="1" x14ac:dyDescent="0.2">
      <c r="A548" s="2236" t="s">
        <v>5151</v>
      </c>
      <c r="B548" s="2243" t="s">
        <v>6616</v>
      </c>
      <c r="C548" s="2244">
        <f>'[2]Data File'!$C$656</f>
        <v>0</v>
      </c>
      <c r="D548" s="2245">
        <v>13935.49</v>
      </c>
      <c r="E548" s="2244">
        <v>11652.28</v>
      </c>
      <c r="F548" s="2246">
        <v>20000</v>
      </c>
      <c r="G548" s="2253">
        <v>21017.96</v>
      </c>
      <c r="H548" s="2256"/>
      <c r="I548" s="2238">
        <f>VLOOKUP(A548,'Trial Balance - FPer'!$A$7:$I$1107,7,FALSE)</f>
        <v>13632.28</v>
      </c>
      <c r="J548" s="2100" t="str">
        <f>VLOOKUP(A548,'Trial Balance - FPer'!$A$7:$I$1126,3,FALSE)</f>
        <v xml:space="preserve">                               -  </v>
      </c>
    </row>
    <row r="549" spans="1:10" ht="14.25" hidden="1" x14ac:dyDescent="0.2">
      <c r="A549" s="2236" t="s">
        <v>5152</v>
      </c>
      <c r="B549" s="2247" t="s">
        <v>6617</v>
      </c>
      <c r="C549" s="2248">
        <f>'[2]Data File'!$C$657</f>
        <v>12907.4</v>
      </c>
      <c r="D549" s="2249">
        <v>22801.9</v>
      </c>
      <c r="E549" s="2248">
        <v>6745.2</v>
      </c>
      <c r="F549" s="2250">
        <v>22801.9</v>
      </c>
      <c r="G549" s="2248">
        <v>15865.99</v>
      </c>
      <c r="H549" s="2256"/>
      <c r="I549" s="2238">
        <f>VLOOKUP(A549,'Trial Balance - FPer'!$A$7:$I$1107,7,FALSE)</f>
        <v>7622.4</v>
      </c>
      <c r="J549" s="2100">
        <f>VLOOKUP(A549,'Trial Balance - FPer'!$A$7:$I$1126,3,FALSE)</f>
        <v>12907.4</v>
      </c>
    </row>
    <row r="550" spans="1:10" s="2615" customFormat="1" hidden="1" x14ac:dyDescent="0.2">
      <c r="A550" s="2612"/>
      <c r="B550" s="2613" t="s">
        <v>6618</v>
      </c>
      <c r="C550" s="2614">
        <f>SUM(C548:C549)</f>
        <v>12907.4</v>
      </c>
      <c r="D550" s="2614">
        <f>SUM(D548:D549)</f>
        <v>36737.39</v>
      </c>
      <c r="E550" s="2614">
        <f>SUM(E548:E549)</f>
        <v>18397.48</v>
      </c>
      <c r="F550" s="2614">
        <f>SUM(F548:F549)</f>
        <v>42801.9</v>
      </c>
      <c r="G550" s="2614">
        <f>SUM(G548:G549)</f>
        <v>36883.949999999997</v>
      </c>
      <c r="H550" s="2614">
        <f t="shared" ref="H550" si="47">SUM(H548:H549)</f>
        <v>0</v>
      </c>
      <c r="I550" s="2614">
        <f>SUM(I548:I549)</f>
        <v>21254.68</v>
      </c>
      <c r="J550" s="2614">
        <f>SUM(J548:J549)</f>
        <v>12907.4</v>
      </c>
    </row>
    <row r="551" spans="1:10" ht="14.25" hidden="1" x14ac:dyDescent="0.2">
      <c r="A551" s="2236"/>
      <c r="B551" s="2243"/>
      <c r="C551" s="2244"/>
      <c r="D551" s="2245"/>
      <c r="E551" s="2244"/>
      <c r="F551" s="2246"/>
      <c r="G551" s="2244"/>
      <c r="H551" s="2244"/>
      <c r="I551" s="2238" t="e">
        <f>VLOOKUP(A551,'Trial Balance - FPer'!$A$7:$I$1107,7,FALSE)</f>
        <v>#N/A</v>
      </c>
      <c r="J551" s="2100" t="e">
        <f>VLOOKUP(A551,'Trial Balance - FPer'!$A$7:$I$1126,3,FALSE)</f>
        <v>#N/A</v>
      </c>
    </row>
    <row r="552" spans="1:10" ht="14.25" hidden="1" x14ac:dyDescent="0.2">
      <c r="A552" s="2236"/>
      <c r="B552" s="2242" t="s">
        <v>6619</v>
      </c>
      <c r="C552" s="2244"/>
      <c r="D552" s="2245"/>
      <c r="E552" s="2244"/>
      <c r="F552" s="2246"/>
      <c r="G552" s="2244"/>
      <c r="H552" s="2244"/>
      <c r="I552" s="2238" t="e">
        <f>VLOOKUP(A552,'Trial Balance - FPer'!$A$7:$I$1107,7,FALSE)</f>
        <v>#N/A</v>
      </c>
      <c r="J552" s="2100" t="e">
        <f>VLOOKUP(A552,'Trial Balance - FPer'!$A$7:$I$1126,3,FALSE)</f>
        <v>#N/A</v>
      </c>
    </row>
    <row r="553" spans="1:10" ht="14.25" hidden="1" x14ac:dyDescent="0.2">
      <c r="A553" s="2236" t="s">
        <v>5153</v>
      </c>
      <c r="B553" s="2243" t="s">
        <v>6620</v>
      </c>
      <c r="C553" s="2244">
        <f>'[2]Data File'!$C$663</f>
        <v>30266.52</v>
      </c>
      <c r="D553" s="2245">
        <v>4726.88</v>
      </c>
      <c r="E553" s="2244">
        <v>9095.24</v>
      </c>
      <c r="F553" s="2246">
        <v>9095.24</v>
      </c>
      <c r="G553" s="2253">
        <v>14874.51</v>
      </c>
      <c r="H553" s="2256"/>
      <c r="I553" s="2238">
        <f>VLOOKUP(A553,'Trial Balance - FPer'!$A$7:$I$1107,7,FALSE)</f>
        <v>38515.71</v>
      </c>
      <c r="J553" s="2100">
        <f>VLOOKUP(A553,'Trial Balance - FPer'!$A$7:$I$1126,3,FALSE)</f>
        <v>30266.52</v>
      </c>
    </row>
    <row r="554" spans="1:10" ht="14.25" hidden="1" x14ac:dyDescent="0.2">
      <c r="A554" s="2236" t="s">
        <v>5154</v>
      </c>
      <c r="B554" s="2247" t="s">
        <v>6621</v>
      </c>
      <c r="C554" s="2248">
        <f>'[2]Data File'!$C$664</f>
        <v>4414.2</v>
      </c>
      <c r="D554" s="2249">
        <v>4754</v>
      </c>
      <c r="E554" s="2248">
        <v>0</v>
      </c>
      <c r="F554" s="2250">
        <v>0</v>
      </c>
      <c r="G554" s="2248">
        <v>1192</v>
      </c>
      <c r="H554" s="2256"/>
      <c r="I554" s="2238">
        <f>VLOOKUP(A554,'Trial Balance - FPer'!$A$7:$I$1107,7,FALSE)</f>
        <v>10681.96</v>
      </c>
      <c r="J554" s="2100">
        <f>VLOOKUP(A554,'Trial Balance - FPer'!$A$7:$I$1126,3,FALSE)</f>
        <v>4414.2</v>
      </c>
    </row>
    <row r="555" spans="1:10" s="2615" customFormat="1" hidden="1" x14ac:dyDescent="0.2">
      <c r="A555" s="2612"/>
      <c r="B555" s="2613" t="s">
        <v>6622</v>
      </c>
      <c r="C555" s="2614">
        <f>SUM(C553:C554)</f>
        <v>34680.720000000001</v>
      </c>
      <c r="D555" s="2614">
        <f>SUM(D553:D554)</f>
        <v>9480.880000000001</v>
      </c>
      <c r="E555" s="2614">
        <f>SUM(E553:E554)</f>
        <v>9095.24</v>
      </c>
      <c r="F555" s="2614">
        <f>SUM(F553:F554)</f>
        <v>9095.24</v>
      </c>
      <c r="G555" s="2614">
        <f>SUM(G553:G554)</f>
        <v>16066.51</v>
      </c>
      <c r="H555" s="2614">
        <f t="shared" ref="H555" si="48">SUM(H553:H554)</f>
        <v>0</v>
      </c>
      <c r="I555" s="2614">
        <f>SUM(I553:I554)</f>
        <v>49197.67</v>
      </c>
      <c r="J555" s="2614">
        <f>SUM(J553:J554)</f>
        <v>34680.720000000001</v>
      </c>
    </row>
    <row r="556" spans="1:10" ht="14.25" hidden="1" x14ac:dyDescent="0.2">
      <c r="A556" s="2236"/>
      <c r="B556" s="2243"/>
      <c r="C556" s="2244"/>
      <c r="D556" s="2245"/>
      <c r="E556" s="2244"/>
      <c r="F556" s="2246"/>
      <c r="G556" s="2244"/>
      <c r="H556" s="2244"/>
      <c r="I556" s="2238" t="e">
        <f>VLOOKUP(A556,'Trial Balance - FPer'!$A$7:$I$1107,7,FALSE)</f>
        <v>#N/A</v>
      </c>
      <c r="J556" s="2100" t="e">
        <f>VLOOKUP(A556,'Trial Balance - FPer'!$A$7:$I$1126,3,FALSE)</f>
        <v>#N/A</v>
      </c>
    </row>
    <row r="557" spans="1:10" s="2615" customFormat="1" ht="13.5" thickBot="1" x14ac:dyDescent="0.25">
      <c r="A557" s="2612"/>
      <c r="B557" s="2616" t="s">
        <v>6623</v>
      </c>
      <c r="C557" s="2617">
        <f>C555+C550+C545+C529</f>
        <v>610955.43999999994</v>
      </c>
      <c r="D557" s="2617">
        <f>D555+D550+D545+D529</f>
        <v>416126.11000000004</v>
      </c>
      <c r="E557" s="2617">
        <f>E555+E550+E545+E529</f>
        <v>427307.93999999994</v>
      </c>
      <c r="F557" s="2617">
        <f>F555+F550+F545+F529</f>
        <v>840486.26</v>
      </c>
      <c r="G557" s="2617">
        <f>G555+G550+G545+G529</f>
        <v>746762.16999999993</v>
      </c>
      <c r="H557" s="2617">
        <f t="shared" ref="H557" si="49">H555+H550+H545+H529</f>
        <v>500763.95999999996</v>
      </c>
      <c r="I557" s="2617">
        <f>I555+I550+I545+I529</f>
        <v>782126.67</v>
      </c>
      <c r="J557" s="2617">
        <f>J555+J550+J545+J529</f>
        <v>610772.43999999994</v>
      </c>
    </row>
    <row r="558" spans="1:10" ht="15" thickTop="1" x14ac:dyDescent="0.2">
      <c r="A558" s="2236"/>
      <c r="B558" s="2243"/>
      <c r="C558" s="2244"/>
      <c r="D558" s="2245"/>
      <c r="E558" s="2244"/>
      <c r="F558" s="2246"/>
      <c r="G558" s="2244"/>
      <c r="H558" s="2244"/>
      <c r="I558" s="2238" t="e">
        <f>VLOOKUP(A558,'Trial Balance - FPer'!$A$7:$I$1107,7,FALSE)</f>
        <v>#N/A</v>
      </c>
      <c r="J558" s="2100" t="e">
        <f>VLOOKUP(A558,'Trial Balance - FPer'!$A$7:$I$1126,3,FALSE)</f>
        <v>#N/A</v>
      </c>
    </row>
    <row r="559" spans="1:10" s="2615" customFormat="1" ht="13.5" thickBot="1" x14ac:dyDescent="0.25">
      <c r="A559" s="2612"/>
      <c r="B559" s="2616" t="s">
        <v>6624</v>
      </c>
      <c r="C559" s="2617">
        <f>C512-C557</f>
        <v>-610955.43999999994</v>
      </c>
      <c r="D559" s="2617">
        <f>D512-D557</f>
        <v>2565369.41</v>
      </c>
      <c r="E559" s="2617">
        <f>E512-E557</f>
        <v>-427307.93999999994</v>
      </c>
      <c r="F559" s="2617">
        <f>F512-F557</f>
        <v>0</v>
      </c>
      <c r="G559" s="2617">
        <f>G512-G557</f>
        <v>749949.35000000009</v>
      </c>
      <c r="H559" s="2617">
        <f t="shared" ref="H559:J559" si="50">H512-H557</f>
        <v>-500763.95999999996</v>
      </c>
      <c r="I559" s="2617">
        <f t="shared" si="50"/>
        <v>-782126.67</v>
      </c>
      <c r="J559" s="2617">
        <f t="shared" si="50"/>
        <v>-610772.43999999994</v>
      </c>
    </row>
    <row r="560" spans="1:10" ht="15" thickTop="1" x14ac:dyDescent="0.2">
      <c r="A560" s="2236"/>
      <c r="B560" s="2243"/>
      <c r="C560" s="2244"/>
      <c r="D560" s="2245"/>
      <c r="E560" s="2244"/>
      <c r="F560" s="2246"/>
      <c r="G560" s="2244"/>
      <c r="H560" s="2244"/>
      <c r="I560" s="2238" t="e">
        <f>VLOOKUP(A560,'Trial Balance - FPer'!$A$7:$I$1107,7,FALSE)</f>
        <v>#N/A</v>
      </c>
      <c r="J560" s="2100" t="e">
        <f>VLOOKUP(A560,'Trial Balance - FPer'!$A$7:$I$1126,3,FALSE)</f>
        <v>#N/A</v>
      </c>
    </row>
    <row r="561" spans="1:10" ht="15" x14ac:dyDescent="0.25">
      <c r="A561" s="2241" t="s">
        <v>6709</v>
      </c>
      <c r="B561" s="2237" t="s">
        <v>6710</v>
      </c>
      <c r="C561" s="2244"/>
      <c r="D561" s="2245"/>
      <c r="E561" s="2244"/>
      <c r="F561" s="2246"/>
      <c r="G561" s="2244"/>
      <c r="H561" s="2244"/>
      <c r="I561" s="2238" t="e">
        <f>VLOOKUP(A561,'Trial Balance - FPer'!$A$7:$I$1107,7,FALSE)</f>
        <v>#N/A</v>
      </c>
      <c r="J561" s="2100" t="e">
        <f>VLOOKUP(A561,'Trial Balance - FPer'!$A$7:$I$1126,3,FALSE)</f>
        <v>#N/A</v>
      </c>
    </row>
    <row r="562" spans="1:10" ht="14.25" x14ac:dyDescent="0.2">
      <c r="A562" s="2236"/>
      <c r="B562" s="2243"/>
      <c r="C562" s="2244"/>
      <c r="D562" s="2245"/>
      <c r="E562" s="2244"/>
      <c r="F562" s="2246"/>
      <c r="G562" s="2244"/>
      <c r="H562" s="2244"/>
      <c r="I562" s="2238" t="e">
        <f>VLOOKUP(A562,'Trial Balance - FPer'!$A$7:$I$1107,7,FALSE)</f>
        <v>#N/A</v>
      </c>
      <c r="J562" s="2100" t="e">
        <f>VLOOKUP(A562,'Trial Balance - FPer'!$A$7:$I$1126,3,FALSE)</f>
        <v>#N/A</v>
      </c>
    </row>
    <row r="563" spans="1:10" ht="14.25" x14ac:dyDescent="0.2">
      <c r="A563" s="2236"/>
      <c r="B563" s="2242" t="s">
        <v>247</v>
      </c>
      <c r="C563" s="2244"/>
      <c r="D563" s="2245"/>
      <c r="E563" s="2244"/>
      <c r="F563" s="2246"/>
      <c r="G563" s="2244"/>
      <c r="H563" s="2244"/>
      <c r="I563" s="2238"/>
      <c r="J563" s="2100" t="e">
        <f>VLOOKUP(A563,'Trial Balance - FPer'!$A$7:$I$1126,3,FALSE)</f>
        <v>#N/A</v>
      </c>
    </row>
    <row r="564" spans="1:10" ht="14.25" hidden="1" x14ac:dyDescent="0.2">
      <c r="A564" s="2236"/>
      <c r="B564" s="2242" t="s">
        <v>6644</v>
      </c>
      <c r="C564" s="2244"/>
      <c r="D564" s="2245"/>
      <c r="E564" s="2244"/>
      <c r="F564" s="2246"/>
      <c r="G564" s="2244"/>
      <c r="H564" s="2244"/>
      <c r="I564" s="2238"/>
      <c r="J564" s="2100" t="e">
        <f>VLOOKUP(A564,'Trial Balance - FPer'!$A$7:$I$1126,3,FALSE)</f>
        <v>#N/A</v>
      </c>
    </row>
    <row r="565" spans="1:10" ht="14.25" hidden="1" x14ac:dyDescent="0.2">
      <c r="A565" s="2236" t="s">
        <v>5190</v>
      </c>
      <c r="B565" s="2243" t="s">
        <v>6711</v>
      </c>
      <c r="C565" s="2244">
        <f>'[2]Data File'!$C$683</f>
        <v>22492.04</v>
      </c>
      <c r="D565" s="2245">
        <v>23512.85</v>
      </c>
      <c r="E565" s="2244">
        <v>12393.72</v>
      </c>
      <c r="F565" s="2246">
        <v>23512.85</v>
      </c>
      <c r="G565" s="2244">
        <v>24194.57</v>
      </c>
      <c r="H565" s="2244"/>
      <c r="I565" s="2238">
        <f>VLOOKUP(A565,'Trial Balance - FPer'!$A$7:$I$1107,7,FALSE)</f>
        <v>-25477.7</v>
      </c>
      <c r="J565" s="2100">
        <f>VLOOKUP(A565,'Trial Balance - FPer'!$A$7:$I$1126,3,FALSE)</f>
        <v>-22492.04</v>
      </c>
    </row>
    <row r="566" spans="1:10" ht="14.25" hidden="1" x14ac:dyDescent="0.2">
      <c r="A566" s="2236"/>
      <c r="B566" s="2243" t="s">
        <v>6712</v>
      </c>
      <c r="C566" s="2244"/>
      <c r="D566" s="2245"/>
      <c r="E566" s="2244"/>
      <c r="F566" s="2246"/>
      <c r="G566" s="2244"/>
      <c r="H566" s="2244"/>
      <c r="I566" s="2238"/>
      <c r="J566" s="2100"/>
    </row>
    <row r="567" spans="1:10" ht="14.25" hidden="1" x14ac:dyDescent="0.2">
      <c r="A567" s="2236" t="s">
        <v>5192</v>
      </c>
      <c r="B567" s="2243" t="s">
        <v>6175</v>
      </c>
      <c r="C567" s="2244">
        <f>'[2]Data File'!$C$684</f>
        <v>313.93</v>
      </c>
      <c r="D567" s="2245">
        <v>643.5</v>
      </c>
      <c r="E567" s="2244">
        <v>1832.53</v>
      </c>
      <c r="F567" s="2246">
        <v>2500</v>
      </c>
      <c r="G567" s="2244">
        <v>2158.0300000000002</v>
      </c>
      <c r="H567" s="2244"/>
      <c r="I567" s="2238">
        <f>VLOOKUP(A567,'Trial Balance - FPer'!$A$7:$I$1107,7,FALSE)</f>
        <v>-2352.7200000000003</v>
      </c>
      <c r="J567" s="2100">
        <f>VLOOKUP(A567,'Trial Balance - FPer'!$A$7:$I$1126,3,FALSE)</f>
        <v>-313.93</v>
      </c>
    </row>
    <row r="568" spans="1:10" ht="14.25" hidden="1" x14ac:dyDescent="0.2">
      <c r="A568" s="2236"/>
      <c r="B568" s="2243" t="s">
        <v>6712</v>
      </c>
      <c r="C568" s="2244"/>
      <c r="D568" s="2245"/>
      <c r="E568" s="2244"/>
      <c r="F568" s="2246"/>
      <c r="G568" s="2244"/>
      <c r="H568" s="2244"/>
      <c r="I568" s="2238"/>
      <c r="J568" s="2100"/>
    </row>
    <row r="569" spans="1:10" ht="14.25" hidden="1" x14ac:dyDescent="0.2">
      <c r="A569" s="2236" t="s">
        <v>5194</v>
      </c>
      <c r="B569" s="2243" t="s">
        <v>6713</v>
      </c>
      <c r="C569" s="2244">
        <v>0</v>
      </c>
      <c r="D569" s="2245">
        <v>0</v>
      </c>
      <c r="E569" s="2244">
        <v>0</v>
      </c>
      <c r="F569" s="2246"/>
      <c r="G569" s="2244">
        <v>0</v>
      </c>
      <c r="H569" s="2244"/>
      <c r="I569" s="2238">
        <f>VLOOKUP(A569,'Trial Balance - FPer'!$A$7:$I$1107,7,FALSE)</f>
        <v>0</v>
      </c>
      <c r="J569" s="2100">
        <f>VLOOKUP(A569,'Trial Balance - FPer'!$A$7:$I$1126,3,FALSE)</f>
        <v>0</v>
      </c>
    </row>
    <row r="570" spans="1:10" ht="14.25" hidden="1" x14ac:dyDescent="0.2">
      <c r="A570" s="2236"/>
      <c r="B570" s="2243" t="s">
        <v>6714</v>
      </c>
      <c r="C570" s="2244"/>
      <c r="D570" s="2245"/>
      <c r="E570" s="2244"/>
      <c r="F570" s="2246"/>
      <c r="G570" s="2244"/>
      <c r="H570" s="2244"/>
      <c r="I570" s="2238"/>
      <c r="J570" s="2100"/>
    </row>
    <row r="571" spans="1:10" ht="14.25" hidden="1" x14ac:dyDescent="0.2">
      <c r="A571" s="2236" t="s">
        <v>5196</v>
      </c>
      <c r="B571" s="2243" t="s">
        <v>6645</v>
      </c>
      <c r="C571" s="2244">
        <f>'[2]Data File'!$C$685</f>
        <v>175460.04</v>
      </c>
      <c r="D571" s="2245">
        <v>201382.5</v>
      </c>
      <c r="E571" s="2244">
        <v>53640</v>
      </c>
      <c r="F571" s="2246">
        <v>199526</v>
      </c>
      <c r="G571" s="2244">
        <v>154732.5</v>
      </c>
      <c r="H571" s="2244"/>
      <c r="I571" s="2238">
        <f>VLOOKUP(A571,'Trial Balance - FPer'!$A$7:$I$1107,7,FALSE)</f>
        <v>-267542.89</v>
      </c>
      <c r="J571" s="2100">
        <f>VLOOKUP(A571,'Trial Balance - FPer'!$A$7:$I$1126,3,FALSE)</f>
        <v>-175460.07</v>
      </c>
    </row>
    <row r="572" spans="1:10" ht="14.25" hidden="1" x14ac:dyDescent="0.2">
      <c r="A572" s="2236"/>
      <c r="B572" s="2247" t="s">
        <v>6712</v>
      </c>
      <c r="C572" s="2248"/>
      <c r="D572" s="2249"/>
      <c r="E572" s="2248"/>
      <c r="F572" s="2250"/>
      <c r="G572" s="2248"/>
      <c r="H572" s="2244"/>
      <c r="I572" s="2238"/>
      <c r="J572" s="2100"/>
    </row>
    <row r="573" spans="1:10" s="2615" customFormat="1" hidden="1" x14ac:dyDescent="0.2">
      <c r="A573" s="2612"/>
      <c r="B573" s="2613" t="s">
        <v>6646</v>
      </c>
      <c r="C573" s="2614">
        <f>SUM(C565:C572)</f>
        <v>198266.01</v>
      </c>
      <c r="D573" s="2614">
        <f>SUM(D565:D572)</f>
        <v>225538.85</v>
      </c>
      <c r="E573" s="2614">
        <f>SUM(E565:E572)</f>
        <v>67866.25</v>
      </c>
      <c r="F573" s="2614">
        <f>SUM(F565:F572)</f>
        <v>225538.85</v>
      </c>
      <c r="G573" s="2614">
        <f>SUM(G565:G572)</f>
        <v>181085.1</v>
      </c>
      <c r="H573" s="2614">
        <f t="shared" ref="H573" si="51">SUM(H565:H572)</f>
        <v>0</v>
      </c>
      <c r="I573" s="2614">
        <f>SUM(I565:I572)</f>
        <v>-295373.31</v>
      </c>
      <c r="J573" s="2614">
        <f>SUM(J565:J572)</f>
        <v>-198266.04</v>
      </c>
    </row>
    <row r="574" spans="1:10" ht="14.25" hidden="1" x14ac:dyDescent="0.2">
      <c r="A574" s="2236"/>
      <c r="B574" s="2243"/>
      <c r="C574" s="2244"/>
      <c r="D574" s="2245"/>
      <c r="E574" s="2244"/>
      <c r="F574" s="2246"/>
      <c r="G574" s="2244"/>
      <c r="H574" s="2244"/>
      <c r="I574" s="2238" t="e">
        <f>VLOOKUP(A574,'Trial Balance - FPer'!$A$7:$I$1107,7,FALSE)</f>
        <v>#N/A</v>
      </c>
      <c r="J574" s="2100" t="e">
        <f>VLOOKUP(A574,'Trial Balance - FPer'!$A$7:$I$1126,3,FALSE)</f>
        <v>#N/A</v>
      </c>
    </row>
    <row r="575" spans="1:10" ht="14.25" hidden="1" x14ac:dyDescent="0.2">
      <c r="A575" s="2236"/>
      <c r="B575" s="2242" t="s">
        <v>6628</v>
      </c>
      <c r="C575" s="2244"/>
      <c r="D575" s="2245"/>
      <c r="E575" s="2244"/>
      <c r="F575" s="2246"/>
      <c r="G575" s="2244"/>
      <c r="H575" s="2244"/>
      <c r="I575" s="2238" t="e">
        <f>VLOOKUP(A575,'Trial Balance - FPer'!$A$7:$I$1107,7,FALSE)</f>
        <v>#N/A</v>
      </c>
      <c r="J575" s="2100" t="e">
        <f>VLOOKUP(A575,'Trial Balance - FPer'!$A$7:$I$1126,3,FALSE)</f>
        <v>#N/A</v>
      </c>
    </row>
    <row r="576" spans="1:10" ht="14.25" hidden="1" x14ac:dyDescent="0.2">
      <c r="A576" s="2236" t="s">
        <v>5197</v>
      </c>
      <c r="B576" s="2243" t="s">
        <v>6659</v>
      </c>
      <c r="C576" s="2244">
        <f>'[2]Data File'!$C$678</f>
        <v>0</v>
      </c>
      <c r="D576" s="2245">
        <v>213900.29</v>
      </c>
      <c r="E576" s="2244">
        <v>0</v>
      </c>
      <c r="F576" s="2246">
        <v>1324461.1499999999</v>
      </c>
      <c r="G576" s="2244">
        <v>107376.29</v>
      </c>
      <c r="H576" s="2244"/>
      <c r="I576" s="2238">
        <f>VLOOKUP(A576,'Trial Balance - FPer'!$A$7:$I$1107,7,FALSE)</f>
        <v>0</v>
      </c>
      <c r="J576" s="2100">
        <f>VLOOKUP(A576,'Trial Balance - FPer'!$A$7:$I$1126,3,FALSE)</f>
        <v>0</v>
      </c>
    </row>
    <row r="577" spans="1:10" ht="14.25" hidden="1" x14ac:dyDescent="0.2">
      <c r="A577" s="2236"/>
      <c r="B577" s="2247" t="s">
        <v>6712</v>
      </c>
      <c r="C577" s="2248"/>
      <c r="D577" s="2249"/>
      <c r="E577" s="2248"/>
      <c r="F577" s="2250"/>
      <c r="G577" s="2248"/>
      <c r="H577" s="2244"/>
      <c r="I577" s="2238"/>
      <c r="J577" s="2100"/>
    </row>
    <row r="578" spans="1:10" s="2615" customFormat="1" hidden="1" x14ac:dyDescent="0.2">
      <c r="A578" s="2612"/>
      <c r="B578" s="2613" t="s">
        <v>6631</v>
      </c>
      <c r="C578" s="2614">
        <f>SUM(C576:C577)</f>
        <v>0</v>
      </c>
      <c r="D578" s="2614">
        <f>SUM(D576:D577)</f>
        <v>213900.29</v>
      </c>
      <c r="E578" s="2614">
        <f>SUM(E576:E577)</f>
        <v>0</v>
      </c>
      <c r="F578" s="2614">
        <f>SUM(F576:F577)</f>
        <v>1324461.1499999999</v>
      </c>
      <c r="G578" s="2614">
        <f>SUM(G576:G577)</f>
        <v>107376.29</v>
      </c>
      <c r="H578" s="2614">
        <f t="shared" ref="H578:J578" si="52">SUM(H576:H577)</f>
        <v>0</v>
      </c>
      <c r="I578" s="2614">
        <f t="shared" si="52"/>
        <v>0</v>
      </c>
      <c r="J578" s="2614">
        <f t="shared" si="52"/>
        <v>0</v>
      </c>
    </row>
    <row r="579" spans="1:10" ht="14.25" hidden="1" x14ac:dyDescent="0.2">
      <c r="A579" s="2236"/>
      <c r="B579" s="2243"/>
      <c r="C579" s="2244"/>
      <c r="D579" s="2245"/>
      <c r="E579" s="2244"/>
      <c r="F579" s="2246"/>
      <c r="G579" s="2244"/>
      <c r="H579" s="2244"/>
      <c r="I579" s="2238" t="e">
        <f>VLOOKUP(A579,'Trial Balance - FPer'!$A$7:$I$1107,7,FALSE)</f>
        <v>#N/A</v>
      </c>
      <c r="J579" s="2100"/>
    </row>
    <row r="580" spans="1:10" s="2615" customFormat="1" ht="13.5" thickBot="1" x14ac:dyDescent="0.25">
      <c r="A580" s="2612"/>
      <c r="B580" s="2616" t="s">
        <v>6579</v>
      </c>
      <c r="C580" s="2617">
        <f>C578+C573</f>
        <v>198266.01</v>
      </c>
      <c r="D580" s="2617">
        <f>D578+D573</f>
        <v>439439.14</v>
      </c>
      <c r="E580" s="2617">
        <f>E578+E573</f>
        <v>67866.25</v>
      </c>
      <c r="F580" s="2617">
        <f>F578+F573</f>
        <v>1550000</v>
      </c>
      <c r="G580" s="2617">
        <f>G578+G573</f>
        <v>288461.39</v>
      </c>
      <c r="H580" s="2617">
        <f t="shared" ref="H580" si="53">H578+H573</f>
        <v>0</v>
      </c>
      <c r="I580" s="2617">
        <f>I578+I573</f>
        <v>-295373.31</v>
      </c>
      <c r="J580" s="2617">
        <f>J578+J573</f>
        <v>-198266.04</v>
      </c>
    </row>
    <row r="581" spans="1:10" ht="15" thickTop="1" x14ac:dyDescent="0.2">
      <c r="A581" s="2236"/>
      <c r="B581" s="2243"/>
      <c r="C581" s="2244"/>
      <c r="D581" s="2245"/>
      <c r="E581" s="2244"/>
      <c r="F581" s="2246"/>
      <c r="G581" s="2244"/>
      <c r="H581" s="2244"/>
      <c r="I581" s="2238" t="e">
        <f>VLOOKUP(A581,'Trial Balance - FPer'!$A$7:$I$1107,7,FALSE)</f>
        <v>#N/A</v>
      </c>
      <c r="J581" s="2100" t="e">
        <f>VLOOKUP(A581,'Trial Balance - FPer'!$A$7:$I$1126,3,FALSE)</f>
        <v>#N/A</v>
      </c>
    </row>
    <row r="582" spans="1:10" ht="14.25" x14ac:dyDescent="0.2">
      <c r="A582" s="2236"/>
      <c r="B582" s="2242" t="s">
        <v>235</v>
      </c>
      <c r="C582" s="2244"/>
      <c r="D582" s="2245"/>
      <c r="E582" s="2244"/>
      <c r="F582" s="2246"/>
      <c r="G582" s="2244"/>
      <c r="H582" s="2244"/>
      <c r="I582" s="2238" t="e">
        <f>VLOOKUP(A582,'Trial Balance - FPer'!$A$7:$I$1107,7,FALSE)</f>
        <v>#N/A</v>
      </c>
      <c r="J582" s="2100" t="e">
        <f>VLOOKUP(A582,'Trial Balance - FPer'!$A$7:$I$1126,3,FALSE)</f>
        <v>#N/A</v>
      </c>
    </row>
    <row r="583" spans="1:10" ht="14.25" hidden="1" x14ac:dyDescent="0.2">
      <c r="A583" s="2236"/>
      <c r="B583" s="2242" t="s">
        <v>387</v>
      </c>
      <c r="C583" s="2244"/>
      <c r="D583" s="2245"/>
      <c r="E583" s="2244"/>
      <c r="F583" s="2246"/>
      <c r="G583" s="2244"/>
      <c r="H583" s="2244"/>
      <c r="I583" s="2238" t="e">
        <f>VLOOKUP(A583,'Trial Balance - FPer'!$A$7:$I$1107,7,FALSE)</f>
        <v>#N/A</v>
      </c>
      <c r="J583" s="2100" t="e">
        <f>VLOOKUP(A583,'Trial Balance - FPer'!$A$7:$I$1126,3,FALSE)</f>
        <v>#N/A</v>
      </c>
    </row>
    <row r="584" spans="1:10" ht="14.25" hidden="1" x14ac:dyDescent="0.2">
      <c r="A584" s="2236" t="s">
        <v>5156</v>
      </c>
      <c r="B584" s="2243" t="s">
        <v>6003</v>
      </c>
      <c r="C584" s="2244">
        <v>0</v>
      </c>
      <c r="D584" s="2245">
        <v>0</v>
      </c>
      <c r="E584" s="2244">
        <v>0</v>
      </c>
      <c r="F584" s="2246"/>
      <c r="G584" s="2244">
        <v>0</v>
      </c>
      <c r="H584" s="2244"/>
      <c r="I584" s="2238">
        <f>VLOOKUP(A584,'Trial Balance - FPer'!$A$7:$I$1107,7,FALSE)</f>
        <v>0</v>
      </c>
      <c r="J584" s="2100">
        <f>VLOOKUP(A584,'Trial Balance - FPer'!$A$7:$I$1126,3,FALSE)</f>
        <v>0</v>
      </c>
    </row>
    <row r="585" spans="1:10" ht="14.25" hidden="1" x14ac:dyDescent="0.2">
      <c r="A585" s="2236"/>
      <c r="B585" s="2243" t="s">
        <v>6714</v>
      </c>
      <c r="C585" s="2244"/>
      <c r="D585" s="2245"/>
      <c r="E585" s="2244"/>
      <c r="F585" s="2246"/>
      <c r="G585" s="2244"/>
      <c r="H585" s="2244"/>
      <c r="I585" s="2238"/>
      <c r="J585" s="2100"/>
    </row>
    <row r="586" spans="1:10" ht="14.25" hidden="1" x14ac:dyDescent="0.2">
      <c r="A586" s="2236" t="s">
        <v>5157</v>
      </c>
      <c r="B586" s="2243" t="s">
        <v>6584</v>
      </c>
      <c r="C586" s="2244">
        <v>0</v>
      </c>
      <c r="D586" s="2245">
        <v>0</v>
      </c>
      <c r="E586" s="2244">
        <v>0</v>
      </c>
      <c r="F586" s="2246"/>
      <c r="G586" s="2244">
        <v>0</v>
      </c>
      <c r="H586" s="2244"/>
      <c r="I586" s="2238">
        <f>VLOOKUP(A586,'Trial Balance - FPer'!$A$7:$I$1107,7,FALSE)</f>
        <v>0</v>
      </c>
      <c r="J586" s="2100">
        <f>VLOOKUP(A586,'Trial Balance - FPer'!$A$7:$I$1126,3,FALSE)</f>
        <v>0</v>
      </c>
    </row>
    <row r="587" spans="1:10" ht="14.25" hidden="1" x14ac:dyDescent="0.2">
      <c r="A587" s="2236"/>
      <c r="B587" s="2243" t="s">
        <v>6714</v>
      </c>
      <c r="C587" s="2244"/>
      <c r="D587" s="2245"/>
      <c r="E587" s="2244"/>
      <c r="F587" s="2246"/>
      <c r="G587" s="2244"/>
      <c r="H587" s="2244"/>
      <c r="I587" s="2238"/>
      <c r="J587" s="2100"/>
    </row>
    <row r="588" spans="1:10" ht="14.25" hidden="1" x14ac:dyDescent="0.2">
      <c r="A588" s="2236" t="s">
        <v>5158</v>
      </c>
      <c r="B588" s="2243" t="s">
        <v>6587</v>
      </c>
      <c r="C588" s="2244">
        <v>0</v>
      </c>
      <c r="D588" s="2245">
        <v>0</v>
      </c>
      <c r="E588" s="2244">
        <v>0</v>
      </c>
      <c r="F588" s="2246"/>
      <c r="G588" s="2244">
        <v>0</v>
      </c>
      <c r="H588" s="2244"/>
      <c r="I588" s="2238">
        <f>VLOOKUP(A588,'Trial Balance - FPer'!$A$7:$I$1107,7,FALSE)</f>
        <v>0</v>
      </c>
      <c r="J588" s="2100">
        <f>VLOOKUP(A588,'Trial Balance - FPer'!$A$7:$I$1126,3,FALSE)</f>
        <v>0</v>
      </c>
    </row>
    <row r="589" spans="1:10" ht="14.25" hidden="1" x14ac:dyDescent="0.2">
      <c r="A589" s="2236"/>
      <c r="B589" s="2243" t="s">
        <v>6714</v>
      </c>
      <c r="C589" s="2244"/>
      <c r="D589" s="2245"/>
      <c r="E589" s="2244"/>
      <c r="F589" s="2246"/>
      <c r="G589" s="2244"/>
      <c r="H589" s="2244"/>
      <c r="I589" s="2238"/>
      <c r="J589" s="2100"/>
    </row>
    <row r="590" spans="1:10" ht="14.25" hidden="1" x14ac:dyDescent="0.2">
      <c r="A590" s="2236" t="s">
        <v>5159</v>
      </c>
      <c r="B590" s="2243" t="s">
        <v>6013</v>
      </c>
      <c r="C590" s="2244">
        <v>0</v>
      </c>
      <c r="D590" s="2245">
        <v>0</v>
      </c>
      <c r="E590" s="2244">
        <v>0</v>
      </c>
      <c r="F590" s="2246"/>
      <c r="G590" s="2244">
        <v>0</v>
      </c>
      <c r="H590" s="2244"/>
      <c r="I590" s="2238">
        <f>VLOOKUP(A590,'Trial Balance - FPer'!$A$7:$I$1107,7,FALSE)</f>
        <v>0</v>
      </c>
      <c r="J590" s="2100">
        <f>VLOOKUP(A590,'Trial Balance - FPer'!$A$7:$I$1126,3,FALSE)</f>
        <v>0</v>
      </c>
    </row>
    <row r="591" spans="1:10" ht="14.25" hidden="1" x14ac:dyDescent="0.2">
      <c r="A591" s="2236"/>
      <c r="B591" s="2243" t="s">
        <v>6714</v>
      </c>
      <c r="C591" s="2244"/>
      <c r="D591" s="2245"/>
      <c r="E591" s="2244"/>
      <c r="F591" s="2246"/>
      <c r="G591" s="2244"/>
      <c r="H591" s="2244"/>
      <c r="I591" s="2238"/>
      <c r="J591" s="2100"/>
    </row>
    <row r="592" spans="1:10" ht="14.25" hidden="1" x14ac:dyDescent="0.2">
      <c r="A592" s="2236" t="s">
        <v>5160</v>
      </c>
      <c r="B592" s="2243" t="s">
        <v>6014</v>
      </c>
      <c r="C592" s="2244">
        <v>0</v>
      </c>
      <c r="D592" s="2245">
        <v>0</v>
      </c>
      <c r="E592" s="2244">
        <v>0</v>
      </c>
      <c r="F592" s="2246"/>
      <c r="G592" s="2244">
        <v>0</v>
      </c>
      <c r="H592" s="2244"/>
      <c r="I592" s="2238">
        <f>VLOOKUP(A592,'Trial Balance - FPer'!$A$7:$I$1107,7,FALSE)</f>
        <v>0</v>
      </c>
      <c r="J592" s="2100">
        <f>VLOOKUP(A592,'Trial Balance - FPer'!$A$7:$I$1126,3,FALSE)</f>
        <v>0</v>
      </c>
    </row>
    <row r="593" spans="1:10" ht="14.25" hidden="1" x14ac:dyDescent="0.2">
      <c r="A593" s="2236"/>
      <c r="B593" s="2247" t="s">
        <v>6714</v>
      </c>
      <c r="C593" s="2248"/>
      <c r="D593" s="2249"/>
      <c r="E593" s="2248"/>
      <c r="F593" s="2250"/>
      <c r="G593" s="2248"/>
      <c r="H593" s="2244"/>
      <c r="I593" s="2238"/>
      <c r="J593" s="2100"/>
    </row>
    <row r="594" spans="1:10" s="2615" customFormat="1" hidden="1" x14ac:dyDescent="0.2">
      <c r="A594" s="2612"/>
      <c r="B594" s="2613" t="s">
        <v>6588</v>
      </c>
      <c r="C594" s="2614">
        <f>SUM(C584:C593)</f>
        <v>0</v>
      </c>
      <c r="D594" s="2614">
        <f>SUM(D584:D593)</f>
        <v>0</v>
      </c>
      <c r="E594" s="2614">
        <f>SUM(E584:E593)</f>
        <v>0</v>
      </c>
      <c r="F594" s="2614">
        <f>SUM(F584:F593)</f>
        <v>0</v>
      </c>
      <c r="G594" s="2614">
        <f>SUM(G584:G593)</f>
        <v>0</v>
      </c>
      <c r="H594" s="2614">
        <f t="shared" ref="H594" si="54">SUM(H584:H593)</f>
        <v>0</v>
      </c>
      <c r="I594" s="2614">
        <f>SUM(I584:I593)</f>
        <v>0</v>
      </c>
      <c r="J594" s="2614">
        <f>SUM(J584:J593)</f>
        <v>0</v>
      </c>
    </row>
    <row r="595" spans="1:10" ht="14.25" hidden="1" x14ac:dyDescent="0.2">
      <c r="A595" s="2236"/>
      <c r="B595" s="2243"/>
      <c r="C595" s="2244"/>
      <c r="D595" s="2245"/>
      <c r="E595" s="2244"/>
      <c r="F595" s="2246"/>
      <c r="G595" s="2244"/>
      <c r="H595" s="2244"/>
      <c r="I595" s="2238" t="e">
        <f>VLOOKUP(A595,'Trial Balance - FPer'!$A$7:$I$1107,7,FALSE)</f>
        <v>#N/A</v>
      </c>
      <c r="J595" s="2100" t="e">
        <f>VLOOKUP(A595,'Trial Balance - FPer'!$A$7:$I$1126,3,FALSE)</f>
        <v>#N/A</v>
      </c>
    </row>
    <row r="596" spans="1:10" ht="14.25" hidden="1" x14ac:dyDescent="0.2">
      <c r="A596" s="2236"/>
      <c r="B596" s="2242" t="s">
        <v>6599</v>
      </c>
      <c r="C596" s="2244"/>
      <c r="D596" s="2245"/>
      <c r="E596" s="2244"/>
      <c r="F596" s="2246"/>
      <c r="G596" s="2244"/>
      <c r="H596" s="2244"/>
      <c r="I596" s="2238" t="e">
        <f>VLOOKUP(A596,'Trial Balance - FPer'!$A$7:$I$1107,7,FALSE)</f>
        <v>#N/A</v>
      </c>
      <c r="J596" s="2100" t="e">
        <f>VLOOKUP(A596,'Trial Balance - FPer'!$A$7:$I$1126,3,FALSE)</f>
        <v>#N/A</v>
      </c>
    </row>
    <row r="597" spans="1:10" ht="14.25" hidden="1" x14ac:dyDescent="0.2">
      <c r="A597" s="2236" t="s">
        <v>5161</v>
      </c>
      <c r="B597" s="2243" t="s">
        <v>6692</v>
      </c>
      <c r="C597" s="2244">
        <f>'[2]Data File'!$C$700</f>
        <v>36671.870000000003</v>
      </c>
      <c r="D597" s="2245">
        <v>30284.560000000001</v>
      </c>
      <c r="E597" s="2244">
        <v>25804.5</v>
      </c>
      <c r="F597" s="2246">
        <v>50000</v>
      </c>
      <c r="G597" s="2244">
        <v>46407.34</v>
      </c>
      <c r="H597" s="2100">
        <v>30150.82</v>
      </c>
      <c r="I597" s="2238">
        <f>VLOOKUP(A597,'Trial Balance - FPer'!$A$7:$I$1107,7,FALSE)</f>
        <v>124863.39</v>
      </c>
      <c r="J597" s="2100">
        <f>VLOOKUP(A597,'Trial Balance - FPer'!$A$7:$I$1126,3,FALSE)</f>
        <v>36671.870000000003</v>
      </c>
    </row>
    <row r="598" spans="1:10" ht="14.25" hidden="1" x14ac:dyDescent="0.2">
      <c r="A598" s="2236"/>
      <c r="B598" s="2243" t="s">
        <v>6712</v>
      </c>
      <c r="C598" s="2244"/>
      <c r="D598" s="2245"/>
      <c r="E598" s="2244"/>
      <c r="F598" s="2246"/>
      <c r="G598" s="2244"/>
      <c r="H598" s="2100"/>
      <c r="I598" s="2238"/>
      <c r="J598" s="2100"/>
    </row>
    <row r="599" spans="1:10" ht="14.25" hidden="1" x14ac:dyDescent="0.2">
      <c r="A599" s="2236" t="s">
        <v>5162</v>
      </c>
      <c r="B599" s="2243" t="s">
        <v>6609</v>
      </c>
      <c r="C599" s="2244">
        <f>0</f>
        <v>0</v>
      </c>
      <c r="D599" s="2245">
        <v>0</v>
      </c>
      <c r="E599" s="2244">
        <v>0</v>
      </c>
      <c r="F599" s="2246"/>
      <c r="G599" s="2244">
        <v>0</v>
      </c>
      <c r="H599" s="2100">
        <v>0</v>
      </c>
      <c r="I599" s="2238">
        <f>VLOOKUP(A599,'Trial Balance - FPer'!$A$7:$I$1107,7,FALSE)</f>
        <v>0</v>
      </c>
      <c r="J599" s="2100">
        <f>VLOOKUP(A599,'Trial Balance - FPer'!$A$7:$I$1126,3,FALSE)</f>
        <v>0</v>
      </c>
    </row>
    <row r="600" spans="1:10" ht="14.25" hidden="1" x14ac:dyDescent="0.2">
      <c r="A600" s="2236"/>
      <c r="B600" s="2243" t="s">
        <v>6714</v>
      </c>
      <c r="C600" s="2244"/>
      <c r="D600" s="2245"/>
      <c r="E600" s="2244"/>
      <c r="F600" s="2246"/>
      <c r="G600" s="2244"/>
      <c r="H600" s="2100"/>
      <c r="I600" s="2238"/>
      <c r="J600" s="2100"/>
    </row>
    <row r="601" spans="1:10" ht="14.25" hidden="1" x14ac:dyDescent="0.2">
      <c r="A601" s="2236" t="s">
        <v>5163</v>
      </c>
      <c r="B601" s="2243" t="s">
        <v>6612</v>
      </c>
      <c r="C601" s="2244">
        <f>'[2]Data File'!$C$697</f>
        <v>532617.54</v>
      </c>
      <c r="D601" s="2245">
        <v>200000</v>
      </c>
      <c r="E601" s="2244">
        <v>0</v>
      </c>
      <c r="F601" s="2246">
        <v>0</v>
      </c>
      <c r="G601" s="2244">
        <v>50200</v>
      </c>
      <c r="H601" s="2100">
        <v>0</v>
      </c>
      <c r="I601" s="2238">
        <f>VLOOKUP(A601,'Trial Balance - FPer'!$A$7:$I$1107,7,FALSE)</f>
        <v>0</v>
      </c>
      <c r="J601" s="2100">
        <f>VLOOKUP(A601,'Trial Balance - FPer'!$A$7:$I$1126,3,FALSE)</f>
        <v>532617.54</v>
      </c>
    </row>
    <row r="602" spans="1:10" ht="14.25" hidden="1" x14ac:dyDescent="0.2">
      <c r="A602" s="2236"/>
      <c r="B602" s="2247" t="s">
        <v>6712</v>
      </c>
      <c r="C602" s="2248"/>
      <c r="D602" s="2249"/>
      <c r="E602" s="2248"/>
      <c r="F602" s="2250"/>
      <c r="G602" s="2248"/>
      <c r="H602" s="2100"/>
      <c r="I602" s="2238"/>
      <c r="J602" s="2100"/>
    </row>
    <row r="603" spans="1:10" s="2615" customFormat="1" hidden="1" x14ac:dyDescent="0.2">
      <c r="A603" s="2612"/>
      <c r="B603" s="2613" t="s">
        <v>6614</v>
      </c>
      <c r="C603" s="2614">
        <f>SUM(C597:C602)</f>
        <v>569289.41</v>
      </c>
      <c r="D603" s="2614">
        <f>SUM(D597:D602)</f>
        <v>230284.56</v>
      </c>
      <c r="E603" s="2614">
        <f>SUM(E597:E602)</f>
        <v>25804.5</v>
      </c>
      <c r="F603" s="2614">
        <f>SUM(F597:F602)</f>
        <v>50000</v>
      </c>
      <c r="G603" s="2614">
        <f>SUM(G597:G602)</f>
        <v>96607.34</v>
      </c>
      <c r="H603" s="2614">
        <f t="shared" ref="H603" si="55">SUM(H597:H602)</f>
        <v>30150.82</v>
      </c>
      <c r="I603" s="2614">
        <f>SUM(I597:I602)</f>
        <v>124863.39</v>
      </c>
      <c r="J603" s="2614">
        <f>SUM(J597:J602)</f>
        <v>569289.41</v>
      </c>
    </row>
    <row r="604" spans="1:10" ht="14.25" hidden="1" x14ac:dyDescent="0.2">
      <c r="A604" s="2236"/>
      <c r="B604" s="2243"/>
      <c r="C604" s="2244"/>
      <c r="D604" s="2245"/>
      <c r="E604" s="2244"/>
      <c r="F604" s="2246"/>
      <c r="G604" s="2244"/>
      <c r="H604" s="2244"/>
      <c r="I604" s="2238"/>
      <c r="J604" s="2100" t="e">
        <f>VLOOKUP(A604,'Trial Balance - FPer'!$A$7:$I$1126,3,FALSE)</f>
        <v>#N/A</v>
      </c>
    </row>
    <row r="605" spans="1:10" ht="14.25" hidden="1" x14ac:dyDescent="0.2">
      <c r="A605" s="2236"/>
      <c r="B605" s="2242" t="s">
        <v>6699</v>
      </c>
      <c r="C605" s="2244"/>
      <c r="D605" s="2245"/>
      <c r="E605" s="2244"/>
      <c r="F605" s="2246"/>
      <c r="G605" s="2244"/>
      <c r="H605" s="2244"/>
      <c r="I605" s="2238"/>
      <c r="J605" s="2100" t="e">
        <f>VLOOKUP(A605,'Trial Balance - FPer'!$A$7:$I$1126,3,FALSE)</f>
        <v>#N/A</v>
      </c>
    </row>
    <row r="606" spans="1:10" ht="14.25" hidden="1" x14ac:dyDescent="0.2">
      <c r="A606" s="2236" t="s">
        <v>5164</v>
      </c>
      <c r="B606" s="2243" t="s">
        <v>6715</v>
      </c>
      <c r="C606" s="2244">
        <f>'[2]Data File'!$C$693</f>
        <v>216554.6</v>
      </c>
      <c r="D606" s="2245">
        <v>209154.58</v>
      </c>
      <c r="E606" s="2244">
        <v>201082.01</v>
      </c>
      <c r="F606" s="2246">
        <v>1500000</v>
      </c>
      <c r="G606" s="2244">
        <v>354920.07</v>
      </c>
      <c r="H606" s="2100">
        <v>201082.01</v>
      </c>
      <c r="I606" s="2238">
        <f>VLOOKUP(A606,'Trial Balance - FPer'!$A$7:$I$1107,7,FALSE)</f>
        <v>686936.19000000006</v>
      </c>
      <c r="J606" s="2100">
        <f>VLOOKUP(A606,'Trial Balance - FPer'!$A$7:$I$1126,3,FALSE)</f>
        <v>216554.6</v>
      </c>
    </row>
    <row r="607" spans="1:10" ht="14.25" hidden="1" x14ac:dyDescent="0.2">
      <c r="A607" s="2236"/>
      <c r="B607" s="2243" t="s">
        <v>6712</v>
      </c>
      <c r="C607" s="2244"/>
      <c r="D607" s="2245"/>
      <c r="E607" s="2244"/>
      <c r="F607" s="2246"/>
      <c r="G607" s="2244"/>
      <c r="H607" s="2244"/>
      <c r="I607" s="2238"/>
      <c r="J607" s="2100"/>
    </row>
    <row r="608" spans="1:10" s="2615" customFormat="1" hidden="1" x14ac:dyDescent="0.2">
      <c r="A608" s="2612"/>
      <c r="B608" s="2613" t="s">
        <v>6618</v>
      </c>
      <c r="C608" s="2614">
        <f>SUM(C606:C607)</f>
        <v>216554.6</v>
      </c>
      <c r="D608" s="2614">
        <f>SUM(D606:D607)</f>
        <v>209154.58</v>
      </c>
      <c r="E608" s="2614">
        <f>SUM(E606:E607)</f>
        <v>201082.01</v>
      </c>
      <c r="F608" s="2614">
        <f>SUM(F606:F607)</f>
        <v>1500000</v>
      </c>
      <c r="G608" s="2614">
        <f>SUM(G606:G607)</f>
        <v>354920.07</v>
      </c>
      <c r="H608" s="2614"/>
      <c r="I608" s="2615">
        <f>SUM(I606:I607)</f>
        <v>686936.19000000006</v>
      </c>
      <c r="J608" s="2615">
        <f>SUM(J606:J607)</f>
        <v>216554.6</v>
      </c>
    </row>
    <row r="609" spans="1:10" ht="14.25" hidden="1" x14ac:dyDescent="0.2">
      <c r="A609" s="2236"/>
      <c r="B609" s="2243"/>
      <c r="C609" s="2244"/>
      <c r="D609" s="2245"/>
      <c r="E609" s="2244"/>
      <c r="F609" s="2246"/>
      <c r="G609" s="2244"/>
      <c r="H609" s="2244"/>
      <c r="I609" s="2238"/>
      <c r="J609" s="2100"/>
    </row>
    <row r="610" spans="1:10" s="2615" customFormat="1" ht="13.5" thickBot="1" x14ac:dyDescent="0.25">
      <c r="A610" s="2612"/>
      <c r="B610" s="2616" t="s">
        <v>6623</v>
      </c>
      <c r="C610" s="2617">
        <f>C608+C603+C594</f>
        <v>785844.01</v>
      </c>
      <c r="D610" s="2617">
        <f>D608+D603+D594</f>
        <v>439439.14</v>
      </c>
      <c r="E610" s="2617">
        <f>E608+E603+E594</f>
        <v>226886.51</v>
      </c>
      <c r="F610" s="2617">
        <f>F608+F603+F594</f>
        <v>1550000</v>
      </c>
      <c r="G610" s="2617">
        <f>G608+G603+G594</f>
        <v>451527.41000000003</v>
      </c>
      <c r="H610" s="2617">
        <f t="shared" ref="H610" si="56">H608+H603+H594</f>
        <v>30150.82</v>
      </c>
      <c r="I610" s="2617">
        <f>I608+I603+I594</f>
        <v>811799.58000000007</v>
      </c>
      <c r="J610" s="2617">
        <f>J608+J603+J594</f>
        <v>785844.01</v>
      </c>
    </row>
    <row r="611" spans="1:10" ht="15" thickTop="1" x14ac:dyDescent="0.2">
      <c r="A611" s="2236"/>
      <c r="B611" s="2243"/>
      <c r="C611" s="2244"/>
      <c r="D611" s="2245"/>
      <c r="E611" s="2244"/>
      <c r="F611" s="2246"/>
      <c r="G611" s="2244"/>
      <c r="H611" s="2244"/>
      <c r="I611" s="2238"/>
      <c r="J611" s="2100" t="e">
        <f>VLOOKUP(A611,'Trial Balance - FPer'!$A$7:$I$1126,3,FALSE)</f>
        <v>#N/A</v>
      </c>
    </row>
    <row r="612" spans="1:10" s="2615" customFormat="1" ht="13.5" thickBot="1" x14ac:dyDescent="0.25">
      <c r="A612" s="2612"/>
      <c r="B612" s="2616" t="s">
        <v>6624</v>
      </c>
      <c r="C612" s="2617">
        <f>C580-C610</f>
        <v>-587578</v>
      </c>
      <c r="D612" s="2617">
        <f>D580-D610</f>
        <v>0</v>
      </c>
      <c r="E612" s="2617">
        <f>E580-E610</f>
        <v>-159020.26</v>
      </c>
      <c r="F612" s="2617">
        <f>F580-F610</f>
        <v>0</v>
      </c>
      <c r="G612" s="2617">
        <f>G580-G610</f>
        <v>-163066.02000000002</v>
      </c>
      <c r="H612" s="2617">
        <f t="shared" ref="H612:J612" si="57">H580-H610</f>
        <v>-30150.82</v>
      </c>
      <c r="I612" s="2617">
        <f t="shared" si="57"/>
        <v>-1107172.8900000001</v>
      </c>
      <c r="J612" s="2617">
        <f t="shared" si="57"/>
        <v>-984110.05</v>
      </c>
    </row>
    <row r="613" spans="1:10" ht="15" thickTop="1" x14ac:dyDescent="0.2">
      <c r="A613" s="2236"/>
      <c r="B613" s="2243"/>
      <c r="C613" s="2244"/>
      <c r="D613" s="2245"/>
      <c r="E613" s="2244"/>
      <c r="F613" s="2246"/>
      <c r="G613" s="2244"/>
      <c r="H613" s="2244"/>
      <c r="I613" s="2238" t="e">
        <f>VLOOKUP(A613,'Trial Balance - FPer'!$A$7:$I$1107,7,FALSE)</f>
        <v>#N/A</v>
      </c>
      <c r="J613" s="2100" t="e">
        <f>VLOOKUP(A613,'Trial Balance - FPer'!$A$7:$I$1126,3,FALSE)</f>
        <v>#N/A</v>
      </c>
    </row>
    <row r="614" spans="1:10" ht="15" x14ac:dyDescent="0.25">
      <c r="A614" s="2241" t="s">
        <v>6716</v>
      </c>
      <c r="B614" s="2237" t="s">
        <v>6717</v>
      </c>
      <c r="C614" s="2244"/>
      <c r="D614" s="2245"/>
      <c r="E614" s="2244"/>
      <c r="F614" s="2246"/>
      <c r="G614" s="2244"/>
      <c r="H614" s="2244"/>
      <c r="I614" s="2238" t="e">
        <f>VLOOKUP(A614,'Trial Balance - FPer'!$A$7:$I$1107,7,FALSE)</f>
        <v>#N/A</v>
      </c>
      <c r="J614" s="2100" t="e">
        <f>VLOOKUP(A614,'Trial Balance - FPer'!$A$7:$I$1126,3,FALSE)</f>
        <v>#N/A</v>
      </c>
    </row>
    <row r="615" spans="1:10" ht="14.25" x14ac:dyDescent="0.2">
      <c r="A615" s="2236"/>
      <c r="B615" s="2243"/>
      <c r="C615" s="2244"/>
      <c r="D615" s="2245"/>
      <c r="E615" s="2244"/>
      <c r="F615" s="2246"/>
      <c r="G615" s="2244"/>
      <c r="H615" s="2244"/>
      <c r="I615" s="2238" t="e">
        <f>VLOOKUP(A615,'Trial Balance - FPer'!$A$7:$I$1107,7,FALSE)</f>
        <v>#N/A</v>
      </c>
      <c r="J615" s="2100" t="e">
        <f>VLOOKUP(A615,'Trial Balance - FPer'!$A$7:$I$1126,3,FALSE)</f>
        <v>#N/A</v>
      </c>
    </row>
    <row r="616" spans="1:10" ht="14.25" x14ac:dyDescent="0.2">
      <c r="A616" s="2236"/>
      <c r="B616" s="2242" t="s">
        <v>247</v>
      </c>
      <c r="C616" s="2244"/>
      <c r="D616" s="2245"/>
      <c r="E616" s="2244"/>
      <c r="F616" s="2246"/>
      <c r="G616" s="2244"/>
      <c r="H616" s="2244"/>
      <c r="I616" s="2238" t="e">
        <f>VLOOKUP(A616,'Trial Balance - FPer'!$A$7:$I$1107,7,FALSE)</f>
        <v>#N/A</v>
      </c>
      <c r="J616" s="2100" t="e">
        <f>VLOOKUP(A616,'Trial Balance - FPer'!$A$7:$I$1126,3,FALSE)</f>
        <v>#N/A</v>
      </c>
    </row>
    <row r="617" spans="1:10" ht="14.25" hidden="1" x14ac:dyDescent="0.2">
      <c r="A617" s="2236"/>
      <c r="B617" s="2242" t="s">
        <v>6628</v>
      </c>
      <c r="C617" s="2244"/>
      <c r="D617" s="2245"/>
      <c r="E617" s="2244"/>
      <c r="F617" s="2246"/>
      <c r="G617" s="2244"/>
      <c r="H617" s="2244"/>
      <c r="I617" s="2238"/>
      <c r="J617" s="2100" t="e">
        <f>VLOOKUP(A617,'Trial Balance - FPer'!$A$7:$I$1126,3,FALSE)</f>
        <v>#N/A</v>
      </c>
    </row>
    <row r="618" spans="1:10" ht="14.25" hidden="1" x14ac:dyDescent="0.2">
      <c r="A618" s="2236" t="s">
        <v>5305</v>
      </c>
      <c r="B618" s="2243" t="s">
        <v>6659</v>
      </c>
      <c r="C618" s="2244">
        <f>'[2]Data File'!$C$163</f>
        <v>0</v>
      </c>
      <c r="D618" s="2245">
        <v>13476.18</v>
      </c>
      <c r="E618" s="2244">
        <v>0</v>
      </c>
      <c r="F618" s="2246">
        <v>462705.37</v>
      </c>
      <c r="G618" s="2244">
        <v>6762.18</v>
      </c>
      <c r="H618" s="2244"/>
      <c r="I618" s="2238">
        <f>VLOOKUP(A618,'Trial Balance - FPer'!$A$7:$I$1107,7,FALSE)</f>
        <v>0</v>
      </c>
      <c r="J618" s="2100">
        <f>VLOOKUP(A618,'Trial Balance - FPer'!$A$7:$I$1126,3,FALSE)</f>
        <v>0</v>
      </c>
    </row>
    <row r="619" spans="1:10" ht="14.25" hidden="1" x14ac:dyDescent="0.2">
      <c r="A619" s="2236"/>
      <c r="B619" s="2243" t="s">
        <v>6718</v>
      </c>
      <c r="C619" s="2244"/>
      <c r="D619" s="2245"/>
      <c r="E619" s="2244"/>
      <c r="F619" s="2246"/>
      <c r="G619" s="2244"/>
      <c r="H619" s="2244"/>
      <c r="I619" s="2238"/>
      <c r="J619" s="2100"/>
    </row>
    <row r="620" spans="1:10" ht="14.25" hidden="1" x14ac:dyDescent="0.2">
      <c r="A620" s="2236" t="s">
        <v>5306</v>
      </c>
      <c r="B620" s="2243" t="s">
        <v>6659</v>
      </c>
      <c r="C620" s="2244">
        <f>'[2]Data File'!$C$301</f>
        <v>0</v>
      </c>
      <c r="D620" s="2245">
        <v>91847.95</v>
      </c>
      <c r="E620" s="2244">
        <v>0</v>
      </c>
      <c r="F620" s="2246">
        <v>519172.23</v>
      </c>
      <c r="G620" s="2244">
        <v>46109.95</v>
      </c>
      <c r="H620" s="2244"/>
      <c r="I620" s="2238">
        <f>VLOOKUP(A620,'Trial Balance - FPer'!$A$7:$I$1107,7,FALSE)</f>
        <v>0</v>
      </c>
      <c r="J620" s="2100">
        <f>VLOOKUP(A620,'Trial Balance - FPer'!$A$7:$I$1126,3,FALSE)</f>
        <v>0</v>
      </c>
    </row>
    <row r="621" spans="1:10" ht="14.25" hidden="1" x14ac:dyDescent="0.2">
      <c r="A621" s="2236"/>
      <c r="B621" s="2243" t="s">
        <v>6719</v>
      </c>
      <c r="C621" s="2244"/>
      <c r="D621" s="2245"/>
      <c r="E621" s="2244"/>
      <c r="F621" s="2246"/>
      <c r="G621" s="2244"/>
      <c r="H621" s="2244"/>
      <c r="I621" s="2238"/>
      <c r="J621" s="2100"/>
    </row>
    <row r="622" spans="1:10" ht="14.25" hidden="1" x14ac:dyDescent="0.2">
      <c r="A622" s="2236" t="s">
        <v>5307</v>
      </c>
      <c r="B622" s="2243" t="s">
        <v>6659</v>
      </c>
      <c r="C622" s="2244">
        <f>'[2]Data File'!$C$460</f>
        <v>0</v>
      </c>
      <c r="D622" s="2245">
        <v>353519.83</v>
      </c>
      <c r="E622" s="2244">
        <v>0</v>
      </c>
      <c r="F622" s="2246">
        <v>1184789.56</v>
      </c>
      <c r="G622" s="2244">
        <v>177467.83</v>
      </c>
      <c r="H622" s="2244"/>
      <c r="I622" s="2238">
        <f>VLOOKUP(A622,'Trial Balance - FPer'!$A$7:$I$1107,7,FALSE)</f>
        <v>0</v>
      </c>
      <c r="J622" s="2100">
        <f>VLOOKUP(A622,'Trial Balance - FPer'!$A$7:$I$1126,3,FALSE)</f>
        <v>0</v>
      </c>
    </row>
    <row r="623" spans="1:10" ht="14.25" hidden="1" x14ac:dyDescent="0.2">
      <c r="A623" s="2236"/>
      <c r="B623" s="2243" t="s">
        <v>6720</v>
      </c>
      <c r="C623" s="2244"/>
      <c r="D623" s="2245"/>
      <c r="E623" s="2244"/>
      <c r="F623" s="2246"/>
      <c r="G623" s="2244"/>
      <c r="H623" s="2244"/>
      <c r="I623" s="2238"/>
      <c r="J623" s="2100"/>
    </row>
    <row r="624" spans="1:10" ht="14.25" hidden="1" x14ac:dyDescent="0.2">
      <c r="A624" s="2236" t="s">
        <v>5308</v>
      </c>
      <c r="B624" s="2243" t="s">
        <v>6659</v>
      </c>
      <c r="C624" s="2244">
        <f>'[2]Data File'!$C$784</f>
        <v>0</v>
      </c>
      <c r="D624" s="2245">
        <v>3971308.84</v>
      </c>
      <c r="E624" s="2244">
        <v>0</v>
      </c>
      <c r="F624" s="2246">
        <v>3499273.07</v>
      </c>
      <c r="G624" s="2244">
        <v>1993594.84</v>
      </c>
      <c r="H624" s="2244"/>
      <c r="I624" s="2238">
        <f>VLOOKUP(A624,'Trial Balance - FPer'!$A$7:$I$1107,7,FALSE)</f>
        <v>0</v>
      </c>
      <c r="J624" s="2100">
        <f>VLOOKUP(A624,'Trial Balance - FPer'!$A$7:$I$1126,3,FALSE)</f>
        <v>0</v>
      </c>
    </row>
    <row r="625" spans="1:10" ht="14.25" hidden="1" x14ac:dyDescent="0.2">
      <c r="A625" s="2236"/>
      <c r="B625" s="2243" t="s">
        <v>6667</v>
      </c>
      <c r="C625" s="2244"/>
      <c r="D625" s="2245"/>
      <c r="E625" s="2244"/>
      <c r="F625" s="2246"/>
      <c r="G625" s="2244"/>
      <c r="H625" s="2244"/>
      <c r="I625" s="2238"/>
      <c r="J625" s="2100"/>
    </row>
    <row r="626" spans="1:10" ht="14.25" hidden="1" x14ac:dyDescent="0.2">
      <c r="A626" s="2236" t="s">
        <v>5309</v>
      </c>
      <c r="B626" s="2243" t="s">
        <v>6721</v>
      </c>
      <c r="C626" s="2244">
        <f>'[2]Data File'!$C$783</f>
        <v>750000</v>
      </c>
      <c r="D626" s="2245">
        <v>790000</v>
      </c>
      <c r="E626" s="2244">
        <v>0</v>
      </c>
      <c r="F626" s="2246">
        <v>790000</v>
      </c>
      <c r="G626" s="2244">
        <v>396580</v>
      </c>
      <c r="H626" s="2244"/>
      <c r="I626" s="2238">
        <f>VLOOKUP(A626,'Trial Balance - FPer'!$A$7:$I$1107,7,FALSE)</f>
        <v>-790000</v>
      </c>
      <c r="J626" s="2100">
        <f>VLOOKUP(A626,'Trial Balance - FPer'!$A$7:$I$1126,3,FALSE)</f>
        <v>-750000</v>
      </c>
    </row>
    <row r="627" spans="1:10" ht="14.25" hidden="1" x14ac:dyDescent="0.2">
      <c r="A627" s="2236"/>
      <c r="B627" s="2243" t="s">
        <v>6667</v>
      </c>
      <c r="C627" s="2244"/>
      <c r="D627" s="2245"/>
      <c r="E627" s="2244"/>
      <c r="F627" s="2246"/>
      <c r="G627" s="2244"/>
      <c r="H627" s="2244"/>
      <c r="I627" s="2238"/>
      <c r="J627" s="2100"/>
    </row>
    <row r="628" spans="1:10" ht="14.25" hidden="1" x14ac:dyDescent="0.2">
      <c r="A628" s="2236" t="s">
        <v>5310</v>
      </c>
      <c r="B628" s="2243" t="s">
        <v>6630</v>
      </c>
      <c r="C628" s="2244">
        <v>0</v>
      </c>
      <c r="D628" s="2245">
        <v>272231.26</v>
      </c>
      <c r="E628" s="2244">
        <v>0</v>
      </c>
      <c r="F628" s="2246"/>
      <c r="G628" s="2244">
        <v>136661.26</v>
      </c>
      <c r="H628" s="2244"/>
      <c r="I628" s="2238">
        <f>VLOOKUP(A628,'Trial Balance - FPer'!$A$7:$I$1107,7,FALSE)</f>
        <v>0</v>
      </c>
      <c r="J628" s="2100">
        <f>VLOOKUP(A628,'Trial Balance - FPer'!$A$7:$I$1126,3,FALSE)</f>
        <v>0</v>
      </c>
    </row>
    <row r="629" spans="1:10" ht="14.25" hidden="1" x14ac:dyDescent="0.2">
      <c r="A629" s="2236"/>
      <c r="B629" s="2243" t="s">
        <v>6718</v>
      </c>
      <c r="C629" s="2244"/>
      <c r="D629" s="2245"/>
      <c r="E629" s="2244"/>
      <c r="F629" s="2246"/>
      <c r="G629" s="2244"/>
      <c r="H629" s="2244"/>
      <c r="I629" s="2238"/>
      <c r="J629" s="2100"/>
    </row>
    <row r="630" spans="1:10" ht="14.25" hidden="1" x14ac:dyDescent="0.2">
      <c r="A630" s="2236" t="s">
        <v>5311</v>
      </c>
      <c r="B630" s="2243" t="s">
        <v>6630</v>
      </c>
      <c r="C630" s="2244">
        <v>0</v>
      </c>
      <c r="D630" s="2245">
        <v>356194.07</v>
      </c>
      <c r="E630" s="2244">
        <v>0</v>
      </c>
      <c r="F630" s="2246"/>
      <c r="G630" s="2244">
        <v>178810.07</v>
      </c>
      <c r="H630" s="2244"/>
      <c r="I630" s="2238">
        <f>VLOOKUP(A630,'Trial Balance - FPer'!$A$7:$I$1107,7,FALSE)</f>
        <v>0</v>
      </c>
      <c r="J630" s="2100">
        <f>VLOOKUP(A630,'Trial Balance - FPer'!$A$7:$I$1126,3,FALSE)</f>
        <v>0</v>
      </c>
    </row>
    <row r="631" spans="1:10" ht="14.25" hidden="1" x14ac:dyDescent="0.2">
      <c r="A631" s="2236"/>
      <c r="B631" s="2247" t="s">
        <v>6719</v>
      </c>
      <c r="C631" s="2248"/>
      <c r="D631" s="2249"/>
      <c r="E631" s="2248"/>
      <c r="F631" s="2250"/>
      <c r="G631" s="2248"/>
      <c r="H631" s="2244"/>
      <c r="I631" s="2238"/>
      <c r="J631" s="2100"/>
    </row>
    <row r="632" spans="1:10" s="2615" customFormat="1" hidden="1" x14ac:dyDescent="0.2">
      <c r="A632" s="2612"/>
      <c r="B632" s="2613" t="s">
        <v>6631</v>
      </c>
      <c r="C632" s="2614">
        <f>SUM(C618:C631)</f>
        <v>750000</v>
      </c>
      <c r="D632" s="2614">
        <f>SUM(D618:D631)</f>
        <v>5848578.1299999999</v>
      </c>
      <c r="E632" s="2614">
        <f>SUM(E618:E631)</f>
        <v>0</v>
      </c>
      <c r="F632" s="2614">
        <f>SUM(F618:F631)</f>
        <v>6455940.2300000004</v>
      </c>
      <c r="G632" s="2614">
        <f>SUM(G618:G631)</f>
        <v>2935986.1300000004</v>
      </c>
      <c r="H632" s="2614">
        <f t="shared" ref="H632" si="58">SUM(H618:H631)</f>
        <v>0</v>
      </c>
      <c r="I632" s="2614">
        <f>SUM(I618:I631)</f>
        <v>-790000</v>
      </c>
      <c r="J632" s="2614">
        <f>SUM(J618:J631)</f>
        <v>-750000</v>
      </c>
    </row>
    <row r="633" spans="1:10" ht="14.25" hidden="1" x14ac:dyDescent="0.2">
      <c r="A633" s="2236"/>
      <c r="B633" s="2243"/>
      <c r="C633" s="2244"/>
      <c r="D633" s="2245"/>
      <c r="E633" s="2244"/>
      <c r="F633" s="2246"/>
      <c r="G633" s="2244"/>
      <c r="H633" s="2244"/>
      <c r="I633" s="2238" t="e">
        <f>VLOOKUP(A633,'Trial Balance - FPer'!$A$7:$I$1107,7,FALSE)</f>
        <v>#N/A</v>
      </c>
      <c r="J633" s="2100" t="e">
        <f>VLOOKUP(A633,'Trial Balance - FPer'!$A$7:$I$1126,3,FALSE)</f>
        <v>#N/A</v>
      </c>
    </row>
    <row r="634" spans="1:10" ht="14.25" hidden="1" x14ac:dyDescent="0.2">
      <c r="A634" s="2236"/>
      <c r="B634" s="2242" t="s">
        <v>6722</v>
      </c>
      <c r="C634" s="2244"/>
      <c r="D634" s="2245"/>
      <c r="E634" s="2244"/>
      <c r="F634" s="2246"/>
      <c r="G634" s="2244"/>
      <c r="H634" s="2244"/>
      <c r="I634" s="2238" t="e">
        <f>VLOOKUP(A634,'Trial Balance - FPer'!$A$7:$I$1107,7,FALSE)</f>
        <v>#N/A</v>
      </c>
      <c r="J634" s="2100" t="e">
        <f>VLOOKUP(A634,'Trial Balance - FPer'!$A$7:$I$1126,3,FALSE)</f>
        <v>#N/A</v>
      </c>
    </row>
    <row r="635" spans="1:10" ht="14.25" hidden="1" x14ac:dyDescent="0.2">
      <c r="A635" s="2236" t="s">
        <v>5312</v>
      </c>
      <c r="B635" s="2243" t="s">
        <v>6244</v>
      </c>
      <c r="C635" s="2244">
        <f>'[2]Data File'!$C$302</f>
        <v>0</v>
      </c>
      <c r="D635" s="2245">
        <v>0</v>
      </c>
      <c r="E635" s="2244">
        <v>0</v>
      </c>
      <c r="F635" s="2246"/>
      <c r="G635" s="2244">
        <v>0</v>
      </c>
      <c r="H635" s="2244"/>
      <c r="I635" s="2238">
        <f>VLOOKUP(A635,'Trial Balance - FPer'!$A$7:$I$1107,7,FALSE)</f>
        <v>0</v>
      </c>
      <c r="J635" s="2100">
        <f>VLOOKUP(A635,'Trial Balance - FPer'!$A$7:$I$1126,3,FALSE)</f>
        <v>0</v>
      </c>
    </row>
    <row r="636" spans="1:10" ht="14.25" hidden="1" x14ac:dyDescent="0.2">
      <c r="A636" s="2236"/>
      <c r="B636" s="2243" t="s">
        <v>6719</v>
      </c>
      <c r="C636" s="2244"/>
      <c r="D636" s="2245"/>
      <c r="E636" s="2244"/>
      <c r="F636" s="2246"/>
      <c r="G636" s="2244"/>
      <c r="H636" s="2244"/>
      <c r="I636" s="2238"/>
      <c r="J636" s="2100"/>
    </row>
    <row r="637" spans="1:10" ht="14.25" hidden="1" x14ac:dyDescent="0.2">
      <c r="A637" s="2236" t="s">
        <v>5314</v>
      </c>
      <c r="B637" s="2243" t="s">
        <v>6723</v>
      </c>
      <c r="C637" s="2244">
        <f>'[2]Data File'!$C$303</f>
        <v>0</v>
      </c>
      <c r="D637" s="2245">
        <v>0</v>
      </c>
      <c r="E637" s="2244">
        <v>0</v>
      </c>
      <c r="F637" s="2246"/>
      <c r="G637" s="2244">
        <v>0</v>
      </c>
      <c r="H637" s="2244"/>
      <c r="I637" s="2238">
        <f>VLOOKUP(A637,'Trial Balance - FPer'!$A$7:$I$1107,7,FALSE)</f>
        <v>0</v>
      </c>
      <c r="J637" s="2100">
        <f>VLOOKUP(A637,'Trial Balance - FPer'!$A$7:$I$1126,3,FALSE)</f>
        <v>0</v>
      </c>
    </row>
    <row r="638" spans="1:10" ht="14.25" hidden="1" x14ac:dyDescent="0.2">
      <c r="A638" s="2236"/>
      <c r="B638" s="2247" t="s">
        <v>6719</v>
      </c>
      <c r="C638" s="2248"/>
      <c r="D638" s="2249"/>
      <c r="E638" s="2248"/>
      <c r="F638" s="2250"/>
      <c r="G638" s="2248"/>
      <c r="H638" s="2244"/>
      <c r="I638" s="2238"/>
      <c r="J638" s="2100"/>
    </row>
    <row r="639" spans="1:10" s="2615" customFormat="1" hidden="1" x14ac:dyDescent="0.2">
      <c r="A639" s="2612"/>
      <c r="B639" s="2613" t="s">
        <v>6724</v>
      </c>
      <c r="C639" s="2614">
        <f>SUM(C635:C638)</f>
        <v>0</v>
      </c>
      <c r="D639" s="2614">
        <f>SUM(D635:D638)</f>
        <v>0</v>
      </c>
      <c r="E639" s="2614">
        <f>SUM(E635:E638)</f>
        <v>0</v>
      </c>
      <c r="F639" s="2614">
        <f>SUM(F635:F638)</f>
        <v>0</v>
      </c>
      <c r="G639" s="2614">
        <f>SUM(G635:G638)</f>
        <v>0</v>
      </c>
      <c r="H639" s="2614">
        <f t="shared" ref="H639" si="59">SUM(H635:H638)</f>
        <v>0</v>
      </c>
      <c r="I639" s="2614">
        <f>SUM(I635:I638)</f>
        <v>0</v>
      </c>
      <c r="J639" s="2614">
        <f>SUM(J635:J638)</f>
        <v>0</v>
      </c>
    </row>
    <row r="640" spans="1:10" ht="14.25" hidden="1" x14ac:dyDescent="0.2">
      <c r="A640" s="2236"/>
      <c r="B640" s="2243"/>
      <c r="C640" s="2244"/>
      <c r="D640" s="2245"/>
      <c r="E640" s="2244"/>
      <c r="F640" s="2246"/>
      <c r="G640" s="2244"/>
      <c r="H640" s="2244"/>
      <c r="I640" s="2238" t="e">
        <f>VLOOKUP(A640,'Trial Balance - FPer'!$A$7:$I$1107,7,FALSE)</f>
        <v>#N/A</v>
      </c>
      <c r="J640" s="2100" t="e">
        <f>VLOOKUP(A640,'Trial Balance - FPer'!$A$7:$I$1126,3,FALSE)</f>
        <v>#N/A</v>
      </c>
    </row>
    <row r="641" spans="1:10" ht="14.25" hidden="1" x14ac:dyDescent="0.2">
      <c r="A641" s="2236"/>
      <c r="B641" s="2242" t="s">
        <v>1637</v>
      </c>
      <c r="C641" s="2244"/>
      <c r="D641" s="2245"/>
      <c r="E641" s="2244"/>
      <c r="F641" s="2246"/>
      <c r="G641" s="2244"/>
      <c r="H641" s="2244"/>
      <c r="I641" s="2238" t="e">
        <f>VLOOKUP(A641,'Trial Balance - FPer'!$A$7:$I$1107,7,FALSE)</f>
        <v>#N/A</v>
      </c>
      <c r="J641" s="2100" t="e">
        <f>VLOOKUP(A641,'Trial Balance - FPer'!$A$7:$I$1126,3,FALSE)</f>
        <v>#N/A</v>
      </c>
    </row>
    <row r="642" spans="1:10" ht="14.25" hidden="1" x14ac:dyDescent="0.2">
      <c r="A642" s="2236" t="s">
        <v>5315</v>
      </c>
      <c r="B642" s="2243" t="s">
        <v>6666</v>
      </c>
      <c r="C642" s="2244">
        <f>'[2]Data File'!$C$788</f>
        <v>263.16000000000003</v>
      </c>
      <c r="D642" s="2245">
        <v>0</v>
      </c>
      <c r="E642" s="2244">
        <v>0</v>
      </c>
      <c r="F642" s="2246">
        <v>0</v>
      </c>
      <c r="G642" s="2244">
        <v>0</v>
      </c>
      <c r="H642" s="2244"/>
      <c r="I642" s="2238">
        <f>VLOOKUP(A642,'Trial Balance - FPer'!$A$7:$I$1107,7,FALSE)</f>
        <v>0</v>
      </c>
      <c r="J642" s="2100">
        <f>VLOOKUP(A642,'Trial Balance - FPer'!$A$7:$I$1126,3,FALSE)</f>
        <v>-263.16000000000003</v>
      </c>
    </row>
    <row r="643" spans="1:10" ht="14.25" hidden="1" x14ac:dyDescent="0.2">
      <c r="A643" s="2236"/>
      <c r="B643" s="2243" t="s">
        <v>6667</v>
      </c>
      <c r="C643" s="2244"/>
      <c r="D643" s="2245"/>
      <c r="E643" s="2244"/>
      <c r="F643" s="2246"/>
      <c r="G643" s="2244"/>
      <c r="H643" s="2244"/>
      <c r="I643" s="2238"/>
      <c r="J643" s="2100"/>
    </row>
    <row r="644" spans="1:10" ht="14.25" hidden="1" x14ac:dyDescent="0.2">
      <c r="A644" s="2236" t="s">
        <v>5316</v>
      </c>
      <c r="B644" s="2243" t="s">
        <v>6668</v>
      </c>
      <c r="C644" s="2244">
        <f>'[2]Data File'!$C$790</f>
        <v>-16000</v>
      </c>
      <c r="D644" s="2245">
        <v>0</v>
      </c>
      <c r="E644" s="2244">
        <v>0</v>
      </c>
      <c r="F644" s="2246">
        <v>0</v>
      </c>
      <c r="G644" s="2244">
        <v>0</v>
      </c>
      <c r="H644" s="2244"/>
      <c r="I644" s="2238">
        <f>VLOOKUP(A644,'Trial Balance - FPer'!$A$7:$I$1107,7,FALSE)</f>
        <v>0</v>
      </c>
      <c r="J644" s="2100">
        <f>VLOOKUP(A644,'Trial Balance - FPer'!$A$7:$I$1126,3,FALSE)</f>
        <v>16000</v>
      </c>
    </row>
    <row r="645" spans="1:10" ht="14.25" hidden="1" x14ac:dyDescent="0.2">
      <c r="A645" s="2236"/>
      <c r="B645" s="2247" t="s">
        <v>6667</v>
      </c>
      <c r="C645" s="2248"/>
      <c r="D645" s="2249"/>
      <c r="E645" s="2248"/>
      <c r="F645" s="2250"/>
      <c r="G645" s="2248"/>
      <c r="H645" s="2244"/>
      <c r="I645" s="2238"/>
      <c r="J645" s="2100"/>
    </row>
    <row r="646" spans="1:10" s="2615" customFormat="1" hidden="1" x14ac:dyDescent="0.2">
      <c r="A646" s="2612"/>
      <c r="B646" s="2613" t="s">
        <v>6670</v>
      </c>
      <c r="C646" s="2614">
        <f>SUM(C642:C645)</f>
        <v>-15736.84</v>
      </c>
      <c r="D646" s="2614">
        <f>SUM(D642:D645)</f>
        <v>0</v>
      </c>
      <c r="E646" s="2614">
        <f>SUM(E642:E645)</f>
        <v>0</v>
      </c>
      <c r="F646" s="2614">
        <f>SUM(F642:F645)</f>
        <v>0</v>
      </c>
      <c r="G646" s="2614">
        <f>SUM(G642:G645)</f>
        <v>0</v>
      </c>
      <c r="H646" s="2614">
        <f t="shared" ref="H646" si="60">SUM(H642:H645)</f>
        <v>0</v>
      </c>
      <c r="I646" s="2614">
        <f>SUM(I642:I645)</f>
        <v>0</v>
      </c>
      <c r="J646" s="2614">
        <f>SUM(J642:J645)</f>
        <v>15736.84</v>
      </c>
    </row>
    <row r="647" spans="1:10" ht="14.25" hidden="1" x14ac:dyDescent="0.2">
      <c r="A647" s="2236"/>
      <c r="B647" s="2243"/>
      <c r="C647" s="2244"/>
      <c r="D647" s="2245"/>
      <c r="E647" s="2244"/>
      <c r="F647" s="2246"/>
      <c r="G647" s="2244"/>
      <c r="H647" s="2244"/>
      <c r="I647" s="2238"/>
      <c r="J647" s="2100" t="e">
        <f>VLOOKUP(A647,'Trial Balance - FPer'!$A$7:$I$1126,3,FALSE)</f>
        <v>#N/A</v>
      </c>
    </row>
    <row r="648" spans="1:10" s="2615" customFormat="1" ht="13.5" thickBot="1" x14ac:dyDescent="0.25">
      <c r="A648" s="2612"/>
      <c r="B648" s="2616" t="s">
        <v>6579</v>
      </c>
      <c r="C648" s="2617">
        <f>C646+C639+C632</f>
        <v>734263.16</v>
      </c>
      <c r="D648" s="2617">
        <f>D646+D639+D632</f>
        <v>5848578.1299999999</v>
      </c>
      <c r="E648" s="2617">
        <f>E646+E639+E632</f>
        <v>0</v>
      </c>
      <c r="F648" s="2617">
        <f>F646+F639+F632</f>
        <v>6455940.2300000004</v>
      </c>
      <c r="G648" s="2617">
        <f>G646+G639+G632</f>
        <v>2935986.1300000004</v>
      </c>
      <c r="H648" s="2617">
        <f t="shared" ref="H648" si="61">H646+H639+H632</f>
        <v>0</v>
      </c>
      <c r="I648" s="2617">
        <f>I646+I639+I632</f>
        <v>-790000</v>
      </c>
      <c r="J648" s="2617">
        <f>J646+J639+J632</f>
        <v>-734263.16</v>
      </c>
    </row>
    <row r="649" spans="1:10" ht="15" thickTop="1" x14ac:dyDescent="0.2">
      <c r="A649" s="2236"/>
      <c r="B649" s="2243"/>
      <c r="C649" s="2244"/>
      <c r="D649" s="2245"/>
      <c r="E649" s="2244"/>
      <c r="F649" s="2246"/>
      <c r="G649" s="2244"/>
      <c r="H649" s="2244"/>
      <c r="I649" s="2238" t="e">
        <f>VLOOKUP(A649,'Trial Balance - FPer'!$A$7:$I$1107,7,FALSE)</f>
        <v>#N/A</v>
      </c>
      <c r="J649" s="2100" t="e">
        <f>VLOOKUP(A649,'Trial Balance - FPer'!$A$7:$I$1126,3,FALSE)</f>
        <v>#N/A</v>
      </c>
    </row>
    <row r="650" spans="1:10" ht="14.25" x14ac:dyDescent="0.2">
      <c r="A650" s="2236"/>
      <c r="B650" s="2242" t="s">
        <v>235</v>
      </c>
      <c r="C650" s="2244"/>
      <c r="D650" s="2245"/>
      <c r="E650" s="2244"/>
      <c r="F650" s="2246"/>
      <c r="G650" s="2244"/>
      <c r="H650" s="2244"/>
      <c r="I650" s="2238" t="e">
        <f>VLOOKUP(A650,'Trial Balance - FPer'!$A$7:$I$1107,7,FALSE)</f>
        <v>#N/A</v>
      </c>
      <c r="J650" s="2100" t="e">
        <f>VLOOKUP(A650,'Trial Balance - FPer'!$A$7:$I$1126,3,FALSE)</f>
        <v>#N/A</v>
      </c>
    </row>
    <row r="651" spans="1:10" ht="14.25" hidden="1" x14ac:dyDescent="0.2">
      <c r="A651" s="2236"/>
      <c r="B651" s="2242" t="s">
        <v>387</v>
      </c>
      <c r="C651" s="2244"/>
      <c r="D651" s="2245"/>
      <c r="E651" s="2244"/>
      <c r="F651" s="2246"/>
      <c r="G651" s="2244"/>
      <c r="H651" s="2244"/>
      <c r="I651" s="2238"/>
      <c r="J651" s="2100"/>
    </row>
    <row r="652" spans="1:10" ht="14.25" hidden="1" x14ac:dyDescent="0.2">
      <c r="A652" s="2236" t="s">
        <v>5198</v>
      </c>
      <c r="B652" s="2243" t="s">
        <v>6003</v>
      </c>
      <c r="C652" s="2244">
        <f>'[2]Data File'!$C$172</f>
        <v>30987.4</v>
      </c>
      <c r="D652" s="2245">
        <v>493324.69</v>
      </c>
      <c r="E652" s="2244">
        <v>99790.38</v>
      </c>
      <c r="F652" s="2246">
        <v>282101.34000000003</v>
      </c>
      <c r="G652" s="2253">
        <v>273912.17</v>
      </c>
      <c r="H652" s="2100">
        <v>130175.54</v>
      </c>
      <c r="I652" s="2238">
        <f>VLOOKUP(A652,'Trial Balance - FPer'!$A$7:$I$1107,7,FALSE)</f>
        <v>282101.34000000003</v>
      </c>
      <c r="J652" s="2100">
        <f>VLOOKUP(A652,'Trial Balance - FPer'!$A$7:$I$1126,3,FALSE)</f>
        <v>30987.4</v>
      </c>
    </row>
    <row r="653" spans="1:10" ht="14.25" hidden="1" x14ac:dyDescent="0.2">
      <c r="A653" s="2236"/>
      <c r="B653" s="2243" t="s">
        <v>6718</v>
      </c>
      <c r="C653" s="2244"/>
      <c r="D653" s="2245"/>
      <c r="E653" s="2244"/>
      <c r="F653" s="2246"/>
      <c r="G653" s="2253"/>
      <c r="H653" s="2100"/>
      <c r="I653" s="2238"/>
      <c r="J653" s="2100"/>
    </row>
    <row r="654" spans="1:10" ht="14.25" hidden="1" x14ac:dyDescent="0.2">
      <c r="A654" s="2236" t="s">
        <v>5199</v>
      </c>
      <c r="B654" s="2243" t="s">
        <v>6003</v>
      </c>
      <c r="C654" s="2244">
        <f>'[2]Data File'!$C$312</f>
        <v>152657.60000000001</v>
      </c>
      <c r="D654" s="2245">
        <v>493324.69</v>
      </c>
      <c r="E654" s="2244">
        <v>174791.91</v>
      </c>
      <c r="F654" s="2246">
        <v>430511.91</v>
      </c>
      <c r="G654" s="2253">
        <v>386729.66</v>
      </c>
      <c r="H654" s="2100">
        <v>217411.91</v>
      </c>
      <c r="I654" s="2238">
        <f>VLOOKUP(A654,'Trial Balance - FPer'!$A$7:$I$1107,7,FALSE)</f>
        <v>430511.91</v>
      </c>
      <c r="J654" s="2100">
        <f>VLOOKUP(A654,'Trial Balance - FPer'!$A$7:$I$1126,3,FALSE)</f>
        <v>152657.60000000001</v>
      </c>
    </row>
    <row r="655" spans="1:10" ht="14.25" hidden="1" x14ac:dyDescent="0.2">
      <c r="A655" s="2236"/>
      <c r="B655" s="2243" t="s">
        <v>6719</v>
      </c>
      <c r="C655" s="2244"/>
      <c r="D655" s="2245"/>
      <c r="E655" s="2244"/>
      <c r="F655" s="2246"/>
      <c r="G655" s="2253"/>
      <c r="H655" s="2100"/>
      <c r="I655" s="2238"/>
      <c r="J655" s="2100"/>
    </row>
    <row r="656" spans="1:10" ht="14.25" hidden="1" x14ac:dyDescent="0.2">
      <c r="A656" s="2236" t="s">
        <v>5200</v>
      </c>
      <c r="B656" s="2243" t="s">
        <v>6003</v>
      </c>
      <c r="C656" s="2244">
        <f>'[2]Data File'!$C$470</f>
        <v>210714.92</v>
      </c>
      <c r="D656" s="2245">
        <v>266774.40999999997</v>
      </c>
      <c r="E656" s="2244">
        <v>313132</v>
      </c>
      <c r="F656" s="2246">
        <v>331670.44</v>
      </c>
      <c r="G656" s="2253">
        <v>537920.77</v>
      </c>
      <c r="H656" s="2100">
        <v>331670.44</v>
      </c>
      <c r="I656" s="2238">
        <f>VLOOKUP(A656,'Trial Balance - FPer'!$A$7:$I$1107,7,FALSE)</f>
        <v>365707.24</v>
      </c>
      <c r="J656" s="2100">
        <f>VLOOKUP(A656,'Trial Balance - FPer'!$A$7:$I$1126,3,FALSE)</f>
        <v>210714.92</v>
      </c>
    </row>
    <row r="657" spans="1:10" ht="14.25" hidden="1" x14ac:dyDescent="0.2">
      <c r="A657" s="2236"/>
      <c r="B657" s="2243" t="s">
        <v>6720</v>
      </c>
      <c r="C657" s="2244"/>
      <c r="D657" s="2245"/>
      <c r="E657" s="2244"/>
      <c r="F657" s="2246"/>
      <c r="G657" s="2253"/>
      <c r="H657" s="2100"/>
      <c r="I657" s="2238"/>
      <c r="J657" s="2100"/>
    </row>
    <row r="658" spans="1:10" ht="14.25" hidden="1" x14ac:dyDescent="0.2">
      <c r="A658" s="2236" t="s">
        <v>5201</v>
      </c>
      <c r="B658" s="2243" t="s">
        <v>6003</v>
      </c>
      <c r="C658" s="2244">
        <f>'[2]Data File'!$C$798</f>
        <v>1003907.74</v>
      </c>
      <c r="D658" s="2245">
        <v>1948455.04</v>
      </c>
      <c r="E658" s="2244">
        <v>465283.98</v>
      </c>
      <c r="F658" s="2246">
        <v>1072148.3400000001</v>
      </c>
      <c r="G658" s="2253">
        <v>1188899.3999999999</v>
      </c>
      <c r="H658" s="2100">
        <v>566428.04</v>
      </c>
      <c r="I658" s="2238">
        <f>VLOOKUP(A658,'Trial Balance - FPer'!$A$7:$I$1107,7,FALSE)</f>
        <v>1027700.89</v>
      </c>
      <c r="J658" s="2100">
        <f>VLOOKUP(A658,'Trial Balance - FPer'!$A$7:$I$1126,3,FALSE)</f>
        <v>1003907.74</v>
      </c>
    </row>
    <row r="659" spans="1:10" ht="14.25" hidden="1" x14ac:dyDescent="0.2">
      <c r="A659" s="2236"/>
      <c r="B659" s="2243" t="s">
        <v>6667</v>
      </c>
      <c r="C659" s="2244"/>
      <c r="D659" s="2245"/>
      <c r="E659" s="2244"/>
      <c r="F659" s="2246"/>
      <c r="G659" s="2253"/>
      <c r="H659" s="2100"/>
      <c r="I659" s="2238"/>
      <c r="J659" s="2100"/>
    </row>
    <row r="660" spans="1:10" ht="14.25" hidden="1" x14ac:dyDescent="0.2">
      <c r="A660" s="2236" t="s">
        <v>5204</v>
      </c>
      <c r="B660" s="2243" t="s">
        <v>6004</v>
      </c>
      <c r="C660" s="2244">
        <f>'[2]Data File'!$C$177</f>
        <v>0</v>
      </c>
      <c r="D660" s="2245">
        <v>0</v>
      </c>
      <c r="E660" s="2244">
        <v>0</v>
      </c>
      <c r="F660" s="2246">
        <v>51665.34</v>
      </c>
      <c r="G660" s="2253">
        <v>0</v>
      </c>
      <c r="H660" s="2100">
        <v>0</v>
      </c>
      <c r="I660" s="2238">
        <f>VLOOKUP(A660,'Trial Balance - FPer'!$A$7:$I$1107,7,FALSE)</f>
        <v>0</v>
      </c>
      <c r="J660" s="2100" t="str">
        <f>VLOOKUP(A660,'Trial Balance - FPer'!$A$7:$I$1126,3,FALSE)</f>
        <v xml:space="preserve">                               -  </v>
      </c>
    </row>
    <row r="661" spans="1:10" ht="14.25" hidden="1" x14ac:dyDescent="0.2">
      <c r="A661" s="2236"/>
      <c r="B661" s="2243" t="s">
        <v>6718</v>
      </c>
      <c r="C661" s="2244"/>
      <c r="D661" s="2245"/>
      <c r="E661" s="2244"/>
      <c r="F661" s="2246"/>
      <c r="G661" s="2253"/>
      <c r="H661" s="2100"/>
      <c r="I661" s="2238"/>
      <c r="J661" s="2100"/>
    </row>
    <row r="662" spans="1:10" ht="14.25" hidden="1" x14ac:dyDescent="0.2">
      <c r="A662" s="2236" t="s">
        <v>5205</v>
      </c>
      <c r="B662" s="2243" t="s">
        <v>6004</v>
      </c>
      <c r="C662" s="2244">
        <f>'[2]Data File'!$C$317</f>
        <v>0</v>
      </c>
      <c r="D662" s="2245">
        <v>0</v>
      </c>
      <c r="E662" s="2244">
        <v>0</v>
      </c>
      <c r="F662" s="2246">
        <v>51144</v>
      </c>
      <c r="G662" s="2253">
        <v>0</v>
      </c>
      <c r="H662" s="2100">
        <v>0</v>
      </c>
      <c r="I662" s="2238">
        <f>VLOOKUP(A662,'Trial Balance - FPer'!$A$7:$I$1107,7,FALSE)</f>
        <v>0</v>
      </c>
      <c r="J662" s="2100" t="str">
        <f>VLOOKUP(A662,'Trial Balance - FPer'!$A$7:$I$1126,3,FALSE)</f>
        <v xml:space="preserve">                               -  </v>
      </c>
    </row>
    <row r="663" spans="1:10" ht="14.25" hidden="1" x14ac:dyDescent="0.2">
      <c r="A663" s="2236"/>
      <c r="B663" s="2243" t="s">
        <v>6719</v>
      </c>
      <c r="C663" s="2244"/>
      <c r="D663" s="2245"/>
      <c r="E663" s="2244"/>
      <c r="F663" s="2246"/>
      <c r="G663" s="2253"/>
      <c r="H663" s="2100"/>
      <c r="I663" s="2238"/>
      <c r="J663" s="2100"/>
    </row>
    <row r="664" spans="1:10" ht="14.25" hidden="1" x14ac:dyDescent="0.2">
      <c r="A664" s="2236" t="s">
        <v>5206</v>
      </c>
      <c r="B664" s="2243" t="s">
        <v>6004</v>
      </c>
      <c r="C664" s="2244">
        <f>'[2]Data File'!$C$475</f>
        <v>17475.91</v>
      </c>
      <c r="D664" s="2245">
        <v>5141.97</v>
      </c>
      <c r="E664" s="2244">
        <v>0</v>
      </c>
      <c r="F664" s="2246">
        <v>0</v>
      </c>
      <c r="G664" s="2253">
        <v>1289.99</v>
      </c>
      <c r="H664" s="2100">
        <v>0</v>
      </c>
      <c r="I664" s="2238">
        <f>VLOOKUP(A664,'Trial Balance - FPer'!$A$7:$I$1107,7,FALSE)</f>
        <v>0</v>
      </c>
      <c r="J664" s="2100">
        <f>VLOOKUP(A664,'Trial Balance - FPer'!$A$7:$I$1126,3,FALSE)</f>
        <v>17475.91</v>
      </c>
    </row>
    <row r="665" spans="1:10" ht="14.25" hidden="1" x14ac:dyDescent="0.2">
      <c r="A665" s="2236"/>
      <c r="B665" s="2243" t="s">
        <v>6720</v>
      </c>
      <c r="C665" s="2244"/>
      <c r="D665" s="2245"/>
      <c r="E665" s="2244"/>
      <c r="F665" s="2246"/>
      <c r="G665" s="2253"/>
      <c r="H665" s="2100"/>
      <c r="I665" s="2238"/>
      <c r="J665" s="2100"/>
    </row>
    <row r="666" spans="1:10" ht="14.25" hidden="1" x14ac:dyDescent="0.2">
      <c r="A666" s="2236" t="s">
        <v>5207</v>
      </c>
      <c r="B666" s="2243" t="s">
        <v>6004</v>
      </c>
      <c r="C666" s="2244">
        <f>'[2]Data File'!$C$803</f>
        <v>67276.539999999994</v>
      </c>
      <c r="D666" s="2245">
        <v>25148.49</v>
      </c>
      <c r="E666" s="2244">
        <v>12211.7</v>
      </c>
      <c r="F666" s="2246">
        <v>97040.67</v>
      </c>
      <c r="G666" s="2253">
        <v>24681.62</v>
      </c>
      <c r="H666" s="2100">
        <v>17220.79</v>
      </c>
      <c r="I666" s="2238">
        <f>VLOOKUP(A666,'Trial Balance - FPer'!$A$7:$I$1107,7,FALSE)</f>
        <v>75263.399999999994</v>
      </c>
      <c r="J666" s="2100">
        <f>VLOOKUP(A666,'Trial Balance - FPer'!$A$7:$I$1126,3,FALSE)</f>
        <v>67276.539999999994</v>
      </c>
    </row>
    <row r="667" spans="1:10" ht="14.25" hidden="1" x14ac:dyDescent="0.2">
      <c r="A667" s="2236"/>
      <c r="B667" s="2243" t="s">
        <v>6667</v>
      </c>
      <c r="C667" s="2244"/>
      <c r="D667" s="2245"/>
      <c r="E667" s="2244"/>
      <c r="F667" s="2246"/>
      <c r="G667" s="2253"/>
      <c r="H667" s="2100"/>
      <c r="I667" s="2238"/>
      <c r="J667" s="2100"/>
    </row>
    <row r="668" spans="1:10" ht="14.25" hidden="1" x14ac:dyDescent="0.2">
      <c r="A668" s="2236" t="s">
        <v>5208</v>
      </c>
      <c r="B668" s="2243" t="s">
        <v>6581</v>
      </c>
      <c r="C668" s="2244">
        <f>'[2]Data File'!$C$178</f>
        <v>0</v>
      </c>
      <c r="D668" s="2245">
        <v>26540.83</v>
      </c>
      <c r="E668" s="2244">
        <v>0</v>
      </c>
      <c r="F668" s="2246">
        <v>0</v>
      </c>
      <c r="G668" s="2253">
        <v>6661.42</v>
      </c>
      <c r="H668" s="2100">
        <v>0</v>
      </c>
      <c r="I668" s="2238">
        <f>VLOOKUP(A668,'Trial Balance - FPer'!$A$7:$I$1107,7,FALSE)</f>
        <v>0</v>
      </c>
      <c r="J668" s="2100" t="str">
        <f>VLOOKUP(A668,'Trial Balance - FPer'!$A$7:$I$1126,3,FALSE)</f>
        <v xml:space="preserve">                               -  </v>
      </c>
    </row>
    <row r="669" spans="1:10" ht="14.25" hidden="1" x14ac:dyDescent="0.2">
      <c r="A669" s="2236"/>
      <c r="B669" s="2243" t="s">
        <v>6718</v>
      </c>
      <c r="C669" s="2244"/>
      <c r="D669" s="2245"/>
      <c r="E669" s="2244"/>
      <c r="F669" s="2246"/>
      <c r="G669" s="2253"/>
      <c r="H669" s="2100"/>
      <c r="I669" s="2238"/>
      <c r="J669" s="2100"/>
    </row>
    <row r="670" spans="1:10" ht="14.25" hidden="1" x14ac:dyDescent="0.2">
      <c r="A670" s="2236" t="s">
        <v>5209</v>
      </c>
      <c r="B670" s="2243" t="s">
        <v>6581</v>
      </c>
      <c r="C670" s="2244">
        <f>'[2]Data File'!$C$318</f>
        <v>0</v>
      </c>
      <c r="D670" s="2245">
        <v>26540.83</v>
      </c>
      <c r="E670" s="2244">
        <v>0</v>
      </c>
      <c r="F670" s="2246">
        <v>0</v>
      </c>
      <c r="G670" s="2253">
        <v>6661.42</v>
      </c>
      <c r="H670" s="2100">
        <v>0</v>
      </c>
      <c r="I670" s="2238">
        <f>VLOOKUP(A670,'Trial Balance - FPer'!$A$7:$I$1107,7,FALSE)</f>
        <v>0</v>
      </c>
      <c r="J670" s="2100" t="str">
        <f>VLOOKUP(A670,'Trial Balance - FPer'!$A$7:$I$1126,3,FALSE)</f>
        <v xml:space="preserve">                               -  </v>
      </c>
    </row>
    <row r="671" spans="1:10" ht="14.25" hidden="1" x14ac:dyDescent="0.2">
      <c r="A671" s="2236"/>
      <c r="B671" s="2243" t="s">
        <v>6719</v>
      </c>
      <c r="C671" s="2244"/>
      <c r="D671" s="2245"/>
      <c r="E671" s="2244"/>
      <c r="F671" s="2246"/>
      <c r="G671" s="2253"/>
      <c r="H671" s="2100"/>
      <c r="I671" s="2238"/>
      <c r="J671" s="2100"/>
    </row>
    <row r="672" spans="1:10" ht="14.25" hidden="1" x14ac:dyDescent="0.2">
      <c r="A672" s="2236" t="s">
        <v>5210</v>
      </c>
      <c r="B672" s="2243" t="s">
        <v>6581</v>
      </c>
      <c r="C672" s="2244">
        <f>'[2]Data File'!$C$804</f>
        <v>4000</v>
      </c>
      <c r="D672" s="2245">
        <v>7570.5</v>
      </c>
      <c r="E672" s="2244">
        <v>2001</v>
      </c>
      <c r="F672" s="2246">
        <v>5001</v>
      </c>
      <c r="G672" s="2253">
        <v>4912.1899999999996</v>
      </c>
      <c r="H672" s="2100">
        <v>2501</v>
      </c>
      <c r="I672" s="2238">
        <f>VLOOKUP(A672,'Trial Balance - FPer'!$A$7:$I$1107,7,FALSE)</f>
        <v>5885</v>
      </c>
      <c r="J672" s="2100">
        <f>VLOOKUP(A672,'Trial Balance - FPer'!$A$7:$I$1126,3,FALSE)</f>
        <v>4000</v>
      </c>
    </row>
    <row r="673" spans="1:10" ht="14.25" hidden="1" x14ac:dyDescent="0.2">
      <c r="A673" s="2236"/>
      <c r="B673" s="2243" t="s">
        <v>6667</v>
      </c>
      <c r="C673" s="2244"/>
      <c r="D673" s="2245"/>
      <c r="E673" s="2244"/>
      <c r="F673" s="2246"/>
      <c r="G673" s="2253"/>
      <c r="H673" s="2100"/>
      <c r="I673" s="2238"/>
      <c r="J673" s="2100"/>
    </row>
    <row r="674" spans="1:10" ht="14.25" hidden="1" x14ac:dyDescent="0.2">
      <c r="A674" s="2236" t="s">
        <v>5211</v>
      </c>
      <c r="B674" s="2243" t="s">
        <v>6632</v>
      </c>
      <c r="C674" s="2244">
        <f>'[2]Data File'!$C$179</f>
        <v>0</v>
      </c>
      <c r="D674" s="2245">
        <v>4590.2299999999996</v>
      </c>
      <c r="E674" s="2244">
        <v>0</v>
      </c>
      <c r="F674" s="2246">
        <v>0</v>
      </c>
      <c r="G674" s="2253">
        <v>1152.1199999999999</v>
      </c>
      <c r="H674" s="2100">
        <v>0</v>
      </c>
      <c r="I674" s="2238">
        <f>VLOOKUP(A674,'Trial Balance - FPer'!$A$7:$I$1107,7,FALSE)</f>
        <v>0</v>
      </c>
      <c r="J674" s="2100" t="str">
        <f>VLOOKUP(A674,'Trial Balance - FPer'!$A$7:$I$1126,3,FALSE)</f>
        <v xml:space="preserve">                               -  </v>
      </c>
    </row>
    <row r="675" spans="1:10" ht="14.25" hidden="1" x14ac:dyDescent="0.2">
      <c r="A675" s="2236"/>
      <c r="B675" s="2243" t="s">
        <v>6718</v>
      </c>
      <c r="C675" s="2244"/>
      <c r="D675" s="2245"/>
      <c r="E675" s="2244"/>
      <c r="F675" s="2246"/>
      <c r="G675" s="2253"/>
      <c r="H675" s="2100"/>
      <c r="I675" s="2238"/>
      <c r="J675" s="2100"/>
    </row>
    <row r="676" spans="1:10" ht="14.25" hidden="1" x14ac:dyDescent="0.2">
      <c r="A676" s="2236" t="s">
        <v>5212</v>
      </c>
      <c r="B676" s="2243" t="s">
        <v>6632</v>
      </c>
      <c r="C676" s="2244">
        <f>'[2]Data File'!$C$319</f>
        <v>0</v>
      </c>
      <c r="D676" s="2245">
        <v>4590.2299999999996</v>
      </c>
      <c r="E676" s="2244">
        <v>0</v>
      </c>
      <c r="F676" s="2246">
        <v>0</v>
      </c>
      <c r="G676" s="2253">
        <v>1148.6199999999999</v>
      </c>
      <c r="H676" s="2100">
        <v>0</v>
      </c>
      <c r="I676" s="2238">
        <f>VLOOKUP(A676,'Trial Balance - FPer'!$A$7:$I$1107,7,FALSE)</f>
        <v>0</v>
      </c>
      <c r="J676" s="2100" t="str">
        <f>VLOOKUP(A676,'Trial Balance - FPer'!$A$7:$I$1126,3,FALSE)</f>
        <v xml:space="preserve">                               -  </v>
      </c>
    </row>
    <row r="677" spans="1:10" ht="14.25" hidden="1" x14ac:dyDescent="0.2">
      <c r="A677" s="2236"/>
      <c r="B677" s="2243" t="s">
        <v>6719</v>
      </c>
      <c r="C677" s="2244"/>
      <c r="D677" s="2245"/>
      <c r="E677" s="2244"/>
      <c r="F677" s="2246"/>
      <c r="G677" s="2253"/>
      <c r="H677" s="2100"/>
      <c r="I677" s="2238"/>
      <c r="J677" s="2100"/>
    </row>
    <row r="678" spans="1:10" ht="14.25" hidden="1" x14ac:dyDescent="0.2">
      <c r="A678" s="2236" t="s">
        <v>5213</v>
      </c>
      <c r="B678" s="2243" t="s">
        <v>6632</v>
      </c>
      <c r="C678" s="2244">
        <f>'[2]Data File'!$C$477</f>
        <v>4786</v>
      </c>
      <c r="D678" s="2245">
        <v>5429.13</v>
      </c>
      <c r="E678" s="2244">
        <v>3132</v>
      </c>
      <c r="F678" s="2246">
        <v>3654</v>
      </c>
      <c r="G678" s="2253">
        <v>6069.44</v>
      </c>
      <c r="H678" s="2100">
        <v>3654</v>
      </c>
      <c r="I678" s="2238">
        <f>VLOOKUP(A678,'Trial Balance - FPer'!$A$7:$I$1107,7,FALSE)</f>
        <v>3654</v>
      </c>
      <c r="J678" s="2100">
        <f>VLOOKUP(A678,'Trial Balance - FPer'!$A$7:$I$1126,3,FALSE)</f>
        <v>4786</v>
      </c>
    </row>
    <row r="679" spans="1:10" ht="14.25" hidden="1" x14ac:dyDescent="0.2">
      <c r="A679" s="2236"/>
      <c r="B679" s="2243" t="s">
        <v>6720</v>
      </c>
      <c r="C679" s="2244"/>
      <c r="D679" s="2245"/>
      <c r="E679" s="2244"/>
      <c r="F679" s="2246"/>
      <c r="G679" s="2253"/>
      <c r="H679" s="2100"/>
      <c r="I679" s="2238"/>
      <c r="J679" s="2100"/>
    </row>
    <row r="680" spans="1:10" ht="14.25" hidden="1" x14ac:dyDescent="0.2">
      <c r="A680" s="2236" t="s">
        <v>5214</v>
      </c>
      <c r="B680" s="2243" t="s">
        <v>6632</v>
      </c>
      <c r="C680" s="2244">
        <f>'[2]Data File'!$C$805</f>
        <v>1367.64</v>
      </c>
      <c r="D680" s="2245">
        <v>1796.33</v>
      </c>
      <c r="E680" s="2244">
        <v>505</v>
      </c>
      <c r="F680" s="2246">
        <v>1111</v>
      </c>
      <c r="G680" s="2253">
        <v>1210.98</v>
      </c>
      <c r="H680" s="2100">
        <v>606</v>
      </c>
      <c r="I680" s="2238">
        <f>VLOOKUP(A680,'Trial Balance - FPer'!$A$7:$I$1107,7,FALSE)</f>
        <v>1111</v>
      </c>
      <c r="J680" s="2100">
        <f>VLOOKUP(A680,'Trial Balance - FPer'!$A$7:$I$1126,3,FALSE)</f>
        <v>1367.64</v>
      </c>
    </row>
    <row r="681" spans="1:10" ht="14.25" hidden="1" x14ac:dyDescent="0.2">
      <c r="A681" s="2236"/>
      <c r="B681" s="2243" t="s">
        <v>6667</v>
      </c>
      <c r="C681" s="2244"/>
      <c r="D681" s="2245"/>
      <c r="E681" s="2244"/>
      <c r="F681" s="2246"/>
      <c r="G681" s="2253"/>
      <c r="H681" s="2100"/>
      <c r="I681" s="2238"/>
      <c r="J681" s="2100"/>
    </row>
    <row r="682" spans="1:10" ht="14.25" hidden="1" x14ac:dyDescent="0.2">
      <c r="A682" s="2236" t="s">
        <v>5215</v>
      </c>
      <c r="B682" s="2243" t="s">
        <v>6007</v>
      </c>
      <c r="C682" s="2244"/>
      <c r="D682" s="2245">
        <v>0</v>
      </c>
      <c r="E682" s="2244">
        <v>0</v>
      </c>
      <c r="F682" s="2246">
        <v>0</v>
      </c>
      <c r="G682" s="2253">
        <v>0</v>
      </c>
      <c r="H682" s="2100">
        <v>0</v>
      </c>
      <c r="I682" s="2238">
        <f>VLOOKUP(A682,'Trial Balance - FPer'!$A$7:$I$1107,7,FALSE)</f>
        <v>0</v>
      </c>
      <c r="J682" s="2100">
        <f>VLOOKUP(A682,'Trial Balance - FPer'!$A$7:$I$1126,3,FALSE)</f>
        <v>466.67</v>
      </c>
    </row>
    <row r="683" spans="1:10" ht="14.25" hidden="1" x14ac:dyDescent="0.2">
      <c r="A683" s="2236"/>
      <c r="B683" s="2243" t="s">
        <v>6667</v>
      </c>
      <c r="C683" s="2244">
        <f>'[2]Data File'!$C$806</f>
        <v>466.67</v>
      </c>
      <c r="D683" s="2245"/>
      <c r="E683" s="2244"/>
      <c r="F683" s="2246"/>
      <c r="G683" s="2253"/>
      <c r="H683" s="2100"/>
      <c r="I683" s="2238"/>
      <c r="J683" s="2100"/>
    </row>
    <row r="684" spans="1:10" ht="14.25" hidden="1" x14ac:dyDescent="0.2">
      <c r="A684" s="2236" t="s">
        <v>5216</v>
      </c>
      <c r="B684" s="2243" t="s">
        <v>6582</v>
      </c>
      <c r="C684" s="2244">
        <f>'[2]Data File'!$C$181</f>
        <v>0</v>
      </c>
      <c r="D684" s="2245">
        <v>0</v>
      </c>
      <c r="E684" s="2244">
        <v>0</v>
      </c>
      <c r="F684" s="2246">
        <v>0</v>
      </c>
      <c r="G684" s="2253">
        <v>0</v>
      </c>
      <c r="H684" s="2100">
        <v>0</v>
      </c>
      <c r="I684" s="2238">
        <f>VLOOKUP(A684,'Trial Balance - FPer'!$A$7:$I$1107,7,FALSE)</f>
        <v>0</v>
      </c>
      <c r="J684" s="2100" t="str">
        <f>VLOOKUP(A684,'Trial Balance - FPer'!$A$7:$I$1126,3,FALSE)</f>
        <v xml:space="preserve">                               -  </v>
      </c>
    </row>
    <row r="685" spans="1:10" ht="14.25" hidden="1" x14ac:dyDescent="0.2">
      <c r="A685" s="2236"/>
      <c r="B685" s="2243" t="s">
        <v>6718</v>
      </c>
      <c r="C685" s="2244"/>
      <c r="D685" s="2245"/>
      <c r="E685" s="2244"/>
      <c r="F685" s="2246"/>
      <c r="G685" s="2253"/>
      <c r="H685" s="2100"/>
      <c r="I685" s="2238"/>
      <c r="J685" s="2100"/>
    </row>
    <row r="686" spans="1:10" ht="14.25" hidden="1" x14ac:dyDescent="0.2">
      <c r="A686" s="2236" t="s">
        <v>5217</v>
      </c>
      <c r="B686" s="2243" t="s">
        <v>6582</v>
      </c>
      <c r="C686" s="2244">
        <f>'[2]Data File'!$C$321</f>
        <v>0</v>
      </c>
      <c r="D686" s="2245">
        <v>0</v>
      </c>
      <c r="E686" s="2244">
        <v>0</v>
      </c>
      <c r="F686" s="2246">
        <v>0</v>
      </c>
      <c r="G686" s="2253">
        <v>0</v>
      </c>
      <c r="H686" s="2100">
        <v>0</v>
      </c>
      <c r="I686" s="2238">
        <f>VLOOKUP(A686,'Trial Balance - FPer'!$A$7:$I$1107,7,FALSE)</f>
        <v>0</v>
      </c>
      <c r="J686" s="2100" t="str">
        <f>VLOOKUP(A686,'Trial Balance - FPer'!$A$7:$I$1126,3,FALSE)</f>
        <v xml:space="preserve">                               -  </v>
      </c>
    </row>
    <row r="687" spans="1:10" ht="14.25" hidden="1" x14ac:dyDescent="0.2">
      <c r="A687" s="2236"/>
      <c r="B687" s="2243" t="s">
        <v>6719</v>
      </c>
      <c r="C687" s="2244"/>
      <c r="D687" s="2245"/>
      <c r="E687" s="2244"/>
      <c r="F687" s="2246"/>
      <c r="G687" s="2253"/>
      <c r="H687" s="2100"/>
      <c r="I687" s="2238"/>
      <c r="J687" s="2100"/>
    </row>
    <row r="688" spans="1:10" ht="14.25" hidden="1" x14ac:dyDescent="0.2">
      <c r="A688" s="2236" t="s">
        <v>5218</v>
      </c>
      <c r="B688" s="2243" t="s">
        <v>6582</v>
      </c>
      <c r="C688" s="2244">
        <f>'[2]Data File'!$C$807</f>
        <v>1560.5</v>
      </c>
      <c r="D688" s="2245">
        <v>0</v>
      </c>
      <c r="E688" s="2244">
        <v>0</v>
      </c>
      <c r="F688" s="2246">
        <v>0</v>
      </c>
      <c r="G688" s="2253">
        <v>0</v>
      </c>
      <c r="H688" s="2100">
        <v>0</v>
      </c>
      <c r="I688" s="2238">
        <f>VLOOKUP(A688,'Trial Balance - FPer'!$A$7:$I$1107,7,FALSE)</f>
        <v>0</v>
      </c>
      <c r="J688" s="2100">
        <f>VLOOKUP(A688,'Trial Balance - FPer'!$A$7:$I$1126,3,FALSE)</f>
        <v>1560.5</v>
      </c>
    </row>
    <row r="689" spans="1:10" ht="14.25" hidden="1" x14ac:dyDescent="0.2">
      <c r="A689" s="2236"/>
      <c r="B689" s="2243" t="s">
        <v>6667</v>
      </c>
      <c r="C689" s="2244"/>
      <c r="D689" s="2245"/>
      <c r="E689" s="2244"/>
      <c r="F689" s="2246"/>
      <c r="G689" s="2253"/>
      <c r="H689" s="2100"/>
      <c r="I689" s="2238"/>
      <c r="J689" s="2100"/>
    </row>
    <row r="690" spans="1:10" ht="14.25" hidden="1" x14ac:dyDescent="0.2">
      <c r="A690" s="2236" t="s">
        <v>5219</v>
      </c>
      <c r="B690" s="2243" t="s">
        <v>6583</v>
      </c>
      <c r="C690" s="2244">
        <f>'[2]Data File'!$C$183</f>
        <v>30000</v>
      </c>
      <c r="D690" s="2245">
        <v>9134.98</v>
      </c>
      <c r="E690" s="2244">
        <v>53938.69</v>
      </c>
      <c r="F690" s="2246">
        <v>128938.69</v>
      </c>
      <c r="G690" s="2253">
        <v>83432.97</v>
      </c>
      <c r="H690" s="2100">
        <v>66438.69</v>
      </c>
      <c r="I690" s="2238">
        <f>VLOOKUP(A690,'Trial Balance - FPer'!$A$7:$I$1107,7,FALSE)</f>
        <v>128938.69</v>
      </c>
      <c r="J690" s="2100">
        <f>VLOOKUP(A690,'Trial Balance - FPer'!$A$7:$I$1126,3,FALSE)</f>
        <v>30000</v>
      </c>
    </row>
    <row r="691" spans="1:10" ht="14.25" hidden="1" x14ac:dyDescent="0.2">
      <c r="A691" s="2236"/>
      <c r="B691" s="2243" t="s">
        <v>6718</v>
      </c>
      <c r="C691" s="2244"/>
      <c r="D691" s="2245"/>
      <c r="E691" s="2244"/>
      <c r="F691" s="2246"/>
      <c r="G691" s="2253"/>
      <c r="H691" s="2100"/>
      <c r="I691" s="2238"/>
      <c r="J691" s="2100"/>
    </row>
    <row r="692" spans="1:10" ht="14.25" hidden="1" x14ac:dyDescent="0.2">
      <c r="A692" s="2236" t="s">
        <v>5220</v>
      </c>
      <c r="B692" s="2243" t="s">
        <v>6583</v>
      </c>
      <c r="C692" s="2244">
        <v>0</v>
      </c>
      <c r="D692" s="2245">
        <v>9134.98</v>
      </c>
      <c r="E692" s="2244">
        <v>37516.32</v>
      </c>
      <c r="F692" s="2246">
        <v>37516.32</v>
      </c>
      <c r="G692" s="2253">
        <v>58576.2</v>
      </c>
      <c r="H692" s="2100">
        <v>37516.32</v>
      </c>
      <c r="I692" s="2238">
        <f>VLOOKUP(A692,'Trial Balance - FPer'!$A$7:$I$1107,7,FALSE)</f>
        <v>37516.32</v>
      </c>
      <c r="J692" s="2100" t="str">
        <f>VLOOKUP(A692,'Trial Balance - FPer'!$A$7:$I$1126,3,FALSE)</f>
        <v xml:space="preserve">                               -  </v>
      </c>
    </row>
    <row r="693" spans="1:10" ht="14.25" hidden="1" x14ac:dyDescent="0.2">
      <c r="A693" s="2236"/>
      <c r="B693" s="2243" t="s">
        <v>6719</v>
      </c>
      <c r="C693" s="2244"/>
      <c r="D693" s="2245"/>
      <c r="E693" s="2244"/>
      <c r="F693" s="2246"/>
      <c r="G693" s="2253"/>
      <c r="H693" s="2100"/>
      <c r="I693" s="2238"/>
      <c r="J693" s="2100"/>
    </row>
    <row r="694" spans="1:10" ht="14.25" hidden="1" x14ac:dyDescent="0.2">
      <c r="A694" s="2236" t="s">
        <v>5221</v>
      </c>
      <c r="B694" s="2243" t="s">
        <v>6583</v>
      </c>
      <c r="C694" s="2244">
        <f>'[2]Data File'!$C$481</f>
        <v>24000</v>
      </c>
      <c r="D694" s="2245">
        <v>37852.5</v>
      </c>
      <c r="E694" s="2244">
        <v>-1000</v>
      </c>
      <c r="F694" s="2246">
        <v>0</v>
      </c>
      <c r="G694" s="2253">
        <v>7996.74</v>
      </c>
      <c r="H694" s="2100">
        <v>-1000</v>
      </c>
      <c r="I694" s="2238">
        <f>VLOOKUP(A694,'Trial Balance - FPer'!$A$7:$I$1107,7,FALSE)</f>
        <v>-1500</v>
      </c>
      <c r="J694" s="2100">
        <f>VLOOKUP(A694,'Trial Balance - FPer'!$A$7:$I$1126,3,FALSE)</f>
        <v>24000</v>
      </c>
    </row>
    <row r="695" spans="1:10" ht="14.25" hidden="1" x14ac:dyDescent="0.2">
      <c r="A695" s="2236"/>
      <c r="B695" s="2243" t="s">
        <v>6720</v>
      </c>
      <c r="C695" s="2244"/>
      <c r="D695" s="2245"/>
      <c r="E695" s="2244"/>
      <c r="F695" s="2246"/>
      <c r="G695" s="2253"/>
      <c r="H695" s="2100"/>
      <c r="I695" s="2238"/>
      <c r="J695" s="2100"/>
    </row>
    <row r="696" spans="1:10" ht="14.25" hidden="1" x14ac:dyDescent="0.2">
      <c r="A696" s="2236" t="s">
        <v>5222</v>
      </c>
      <c r="B696" s="2243" t="s">
        <v>6583</v>
      </c>
      <c r="C696" s="2244">
        <f>'[2]Data File'!$C$810</f>
        <v>22862.080000000002</v>
      </c>
      <c r="D696" s="2245">
        <v>43269.34</v>
      </c>
      <c r="E696" s="2244">
        <v>24449.86</v>
      </c>
      <c r="F696" s="2246">
        <v>75449.86</v>
      </c>
      <c r="G696" s="2253">
        <v>47637.35</v>
      </c>
      <c r="H696" s="2100">
        <v>32949.86</v>
      </c>
      <c r="I696" s="2238">
        <f>VLOOKUP(A696,'Trial Balance - FPer'!$A$7:$I$1107,7,FALSE)</f>
        <v>70289.86</v>
      </c>
      <c r="J696" s="2100">
        <f>VLOOKUP(A696,'Trial Balance - FPer'!$A$7:$I$1126,3,FALSE)</f>
        <v>22862.080000000002</v>
      </c>
    </row>
    <row r="697" spans="1:10" ht="14.25" hidden="1" x14ac:dyDescent="0.2">
      <c r="A697" s="2236"/>
      <c r="B697" s="2243" t="s">
        <v>6667</v>
      </c>
      <c r="C697" s="2244"/>
      <c r="D697" s="2245"/>
      <c r="E697" s="2244"/>
      <c r="F697" s="2246"/>
      <c r="G697" s="2253"/>
      <c r="H697" s="2100"/>
      <c r="I697" s="2238"/>
      <c r="J697" s="2100"/>
    </row>
    <row r="698" spans="1:10" ht="14.25" hidden="1" x14ac:dyDescent="0.2">
      <c r="A698" s="2236" t="s">
        <v>5223</v>
      </c>
      <c r="B698" s="2243" t="s">
        <v>6584</v>
      </c>
      <c r="C698" s="2244">
        <f>'[2]Data File'!$C$176</f>
        <v>0</v>
      </c>
      <c r="D698" s="2245">
        <v>62.08</v>
      </c>
      <c r="E698" s="2244">
        <v>12.3</v>
      </c>
      <c r="F698" s="2246">
        <v>36.9</v>
      </c>
      <c r="G698" s="2253">
        <v>34.92</v>
      </c>
      <c r="H698" s="2100">
        <v>16.399999999999999</v>
      </c>
      <c r="I698" s="2238">
        <f>VLOOKUP(A698,'Trial Balance - FPer'!$A$7:$I$1107,7,FALSE)</f>
        <v>36.9</v>
      </c>
      <c r="J698" s="2100" t="str">
        <f>VLOOKUP(A698,'Trial Balance - FPer'!$A$7:$I$1126,3,FALSE)</f>
        <v xml:space="preserve">                               -  </v>
      </c>
    </row>
    <row r="699" spans="1:10" ht="14.25" hidden="1" x14ac:dyDescent="0.2">
      <c r="A699" s="2236"/>
      <c r="B699" s="2243" t="s">
        <v>6718</v>
      </c>
      <c r="C699" s="2244"/>
      <c r="D699" s="2245"/>
      <c r="E699" s="2244"/>
      <c r="F699" s="2246"/>
      <c r="G699" s="2253"/>
      <c r="H699" s="2100"/>
      <c r="I699" s="2238"/>
      <c r="J699" s="2100"/>
    </row>
    <row r="700" spans="1:10" ht="14.25" hidden="1" x14ac:dyDescent="0.2">
      <c r="A700" s="2236" t="s">
        <v>5224</v>
      </c>
      <c r="B700" s="2243" t="s">
        <v>6584</v>
      </c>
      <c r="C700" s="2244">
        <f>'[2]Data File'!$C$316</f>
        <v>0</v>
      </c>
      <c r="D700" s="2245">
        <v>62.08</v>
      </c>
      <c r="E700" s="2244">
        <v>12.3</v>
      </c>
      <c r="F700" s="2246">
        <v>36.9</v>
      </c>
      <c r="G700" s="2253">
        <v>34.92</v>
      </c>
      <c r="H700" s="2100">
        <v>16.399999999999999</v>
      </c>
      <c r="I700" s="2238">
        <f>VLOOKUP(A700,'Trial Balance - FPer'!$A$7:$I$1107,7,FALSE)</f>
        <v>36.9</v>
      </c>
      <c r="J700" s="2100" t="str">
        <f>VLOOKUP(A700,'Trial Balance - FPer'!$A$7:$I$1126,3,FALSE)</f>
        <v xml:space="preserve">                               -  </v>
      </c>
    </row>
    <row r="701" spans="1:10" ht="14.25" hidden="1" x14ac:dyDescent="0.2">
      <c r="A701" s="2236"/>
      <c r="B701" s="2243" t="s">
        <v>6719</v>
      </c>
      <c r="C701" s="2244"/>
      <c r="D701" s="2245"/>
      <c r="E701" s="2244"/>
      <c r="F701" s="2246"/>
      <c r="G701" s="2253"/>
      <c r="H701" s="2100"/>
      <c r="I701" s="2238"/>
      <c r="J701" s="2100"/>
    </row>
    <row r="702" spans="1:10" ht="14.25" hidden="1" x14ac:dyDescent="0.2">
      <c r="A702" s="2236" t="s">
        <v>5225</v>
      </c>
      <c r="B702" s="2243" t="s">
        <v>6584</v>
      </c>
      <c r="C702" s="2244">
        <f>'[2]Data File'!$C$474</f>
        <v>45.1</v>
      </c>
      <c r="D702" s="2245">
        <v>53.21</v>
      </c>
      <c r="E702" s="2244">
        <v>24.6</v>
      </c>
      <c r="F702" s="2246">
        <v>28.7</v>
      </c>
      <c r="G702" s="2253">
        <v>54.18</v>
      </c>
      <c r="H702" s="2100">
        <v>28.7</v>
      </c>
      <c r="I702" s="2238">
        <f>VLOOKUP(A702,'Trial Balance - FPer'!$A$7:$I$1107,7,FALSE)</f>
        <v>28.7</v>
      </c>
      <c r="J702" s="2100">
        <f>VLOOKUP(A702,'Trial Balance - FPer'!$A$7:$I$1126,3,FALSE)</f>
        <v>45.1</v>
      </c>
    </row>
    <row r="703" spans="1:10" ht="14.25" hidden="1" x14ac:dyDescent="0.2">
      <c r="A703" s="2236"/>
      <c r="B703" s="2243" t="s">
        <v>6720</v>
      </c>
      <c r="C703" s="2244"/>
      <c r="D703" s="2245"/>
      <c r="E703" s="2244"/>
      <c r="F703" s="2246"/>
      <c r="G703" s="2253"/>
      <c r="H703" s="2100"/>
      <c r="I703" s="2238"/>
      <c r="J703" s="2100"/>
    </row>
    <row r="704" spans="1:10" ht="14.25" hidden="1" x14ac:dyDescent="0.2">
      <c r="A704" s="2236" t="s">
        <v>5226</v>
      </c>
      <c r="B704" s="2243" t="s">
        <v>6584</v>
      </c>
      <c r="C704" s="2244">
        <f>'[2]Data File'!$C$802</f>
        <v>463.3</v>
      </c>
      <c r="D704" s="2245">
        <v>620.78</v>
      </c>
      <c r="E704" s="2244">
        <v>213.2</v>
      </c>
      <c r="F704" s="2246">
        <v>508.4</v>
      </c>
      <c r="G704" s="2253">
        <v>473.07</v>
      </c>
      <c r="H704" s="2100">
        <v>262.39999999999998</v>
      </c>
      <c r="I704" s="2238">
        <f>VLOOKUP(A704,'Trial Balance - FPer'!$A$7:$I$1107,7,FALSE)</f>
        <v>467.4</v>
      </c>
      <c r="J704" s="2100">
        <f>VLOOKUP(A704,'Trial Balance - FPer'!$A$7:$I$1126,3,FALSE)</f>
        <v>463.3</v>
      </c>
    </row>
    <row r="705" spans="1:10" ht="14.25" hidden="1" x14ac:dyDescent="0.2">
      <c r="A705" s="2236"/>
      <c r="B705" s="2243" t="s">
        <v>6667</v>
      </c>
      <c r="C705" s="2244"/>
      <c r="D705" s="2245"/>
      <c r="E705" s="2244"/>
      <c r="F705" s="2246"/>
      <c r="G705" s="2253"/>
      <c r="H705" s="2100"/>
      <c r="I705" s="2238"/>
      <c r="J705" s="2100"/>
    </row>
    <row r="706" spans="1:10" ht="14.25" hidden="1" x14ac:dyDescent="0.2">
      <c r="A706" s="2236" t="s">
        <v>5227</v>
      </c>
      <c r="B706" s="2243" t="s">
        <v>6585</v>
      </c>
      <c r="C706" s="2244">
        <f>'[2]Data File'!$C$182</f>
        <v>0</v>
      </c>
      <c r="D706" s="2245">
        <v>3408.26</v>
      </c>
      <c r="E706" s="2244">
        <v>1152.24</v>
      </c>
      <c r="F706" s="2246">
        <v>3463.44</v>
      </c>
      <c r="G706" s="2253">
        <v>2587.66</v>
      </c>
      <c r="H706" s="2100">
        <v>1537.44</v>
      </c>
      <c r="I706" s="2238">
        <f>VLOOKUP(A706,'Trial Balance - FPer'!$A$7:$I$1107,7,FALSE)</f>
        <v>3521.02</v>
      </c>
      <c r="J706" s="2100" t="str">
        <f>VLOOKUP(A706,'Trial Balance - FPer'!$A$7:$I$1126,3,FALSE)</f>
        <v xml:space="preserve">                               -  </v>
      </c>
    </row>
    <row r="707" spans="1:10" ht="14.25" hidden="1" x14ac:dyDescent="0.2">
      <c r="A707" s="2236"/>
      <c r="B707" s="2243" t="s">
        <v>6718</v>
      </c>
      <c r="C707" s="2244"/>
      <c r="D707" s="2245"/>
      <c r="E707" s="2244"/>
      <c r="F707" s="2246"/>
      <c r="G707" s="2253"/>
      <c r="H707" s="2100"/>
      <c r="I707" s="2238"/>
      <c r="J707" s="2100"/>
    </row>
    <row r="708" spans="1:10" ht="14.25" hidden="1" x14ac:dyDescent="0.2">
      <c r="A708" s="2236" t="s">
        <v>5228</v>
      </c>
      <c r="B708" s="2243" t="s">
        <v>6585</v>
      </c>
      <c r="C708" s="2244">
        <f>'[2]Data File'!$C$322</f>
        <v>0</v>
      </c>
      <c r="D708" s="2245">
        <v>3408.26</v>
      </c>
      <c r="E708" s="2244">
        <v>913.25</v>
      </c>
      <c r="F708" s="2246">
        <v>3278.63</v>
      </c>
      <c r="G708" s="2253">
        <v>2228.27</v>
      </c>
      <c r="H708" s="2100">
        <v>1307.48</v>
      </c>
      <c r="I708" s="2238">
        <f>VLOOKUP(A708,'Trial Balance - FPer'!$A$7:$I$1107,7,FALSE)</f>
        <v>3278.66</v>
      </c>
      <c r="J708" s="2100" t="str">
        <f>VLOOKUP(A708,'Trial Balance - FPer'!$A$7:$I$1126,3,FALSE)</f>
        <v xml:space="preserve">                               -  </v>
      </c>
    </row>
    <row r="709" spans="1:10" ht="14.25" hidden="1" x14ac:dyDescent="0.2">
      <c r="A709" s="2236"/>
      <c r="B709" s="2243" t="s">
        <v>6719</v>
      </c>
      <c r="C709" s="2244"/>
      <c r="D709" s="2245"/>
      <c r="E709" s="2244"/>
      <c r="F709" s="2246"/>
      <c r="G709" s="2253"/>
      <c r="H709" s="2100"/>
      <c r="I709" s="2238"/>
      <c r="J709" s="2100"/>
    </row>
    <row r="710" spans="1:10" ht="14.25" hidden="1" x14ac:dyDescent="0.2">
      <c r="A710" s="2236" t="s">
        <v>5229</v>
      </c>
      <c r="B710" s="2243" t="s">
        <v>6585</v>
      </c>
      <c r="C710" s="2244">
        <f>'[2]Data File'!$C$480</f>
        <v>2407.6799999999998</v>
      </c>
      <c r="D710" s="2245">
        <v>2875.8</v>
      </c>
      <c r="E710" s="2244">
        <v>1118.95</v>
      </c>
      <c r="F710" s="2246">
        <v>1356.7</v>
      </c>
      <c r="G710" s="2253">
        <v>2402.44</v>
      </c>
      <c r="H710" s="2100">
        <v>1356.7</v>
      </c>
      <c r="I710" s="2238">
        <f>VLOOKUP(A710,'Trial Balance - FPer'!$A$7:$I$1107,7,FALSE)</f>
        <v>1356.7</v>
      </c>
      <c r="J710" s="2100">
        <f>VLOOKUP(A710,'Trial Balance - FPer'!$A$7:$I$1126,3,FALSE)</f>
        <v>2407.6799999999998</v>
      </c>
    </row>
    <row r="711" spans="1:10" ht="14.25" hidden="1" x14ac:dyDescent="0.2">
      <c r="A711" s="2236"/>
      <c r="B711" s="2243" t="s">
        <v>6720</v>
      </c>
      <c r="C711" s="2244"/>
      <c r="D711" s="2245"/>
      <c r="E711" s="2244"/>
      <c r="F711" s="2246"/>
      <c r="G711" s="2253"/>
      <c r="H711" s="2100"/>
      <c r="I711" s="2238"/>
      <c r="J711" s="2100"/>
    </row>
    <row r="712" spans="1:10" ht="14.25" hidden="1" x14ac:dyDescent="0.2">
      <c r="A712" s="2236" t="s">
        <v>5230</v>
      </c>
      <c r="B712" s="2243" t="s">
        <v>6585</v>
      </c>
      <c r="C712" s="2244">
        <f>'[2]Data File'!$C$808</f>
        <v>11483.32</v>
      </c>
      <c r="D712" s="2245">
        <v>14610.22</v>
      </c>
      <c r="E712" s="2244">
        <v>5162.26</v>
      </c>
      <c r="F712" s="2246">
        <v>11778.52</v>
      </c>
      <c r="G712" s="2253">
        <v>11428.38</v>
      </c>
      <c r="H712" s="2100">
        <v>6264.97</v>
      </c>
      <c r="I712" s="2238">
        <f>VLOOKUP(A712,'Trial Balance - FPer'!$A$7:$I$1107,7,FALSE)</f>
        <v>11806.17</v>
      </c>
      <c r="J712" s="2100">
        <f>VLOOKUP(A712,'Trial Balance - FPer'!$A$7:$I$1126,3,FALSE)</f>
        <v>11483.32</v>
      </c>
    </row>
    <row r="713" spans="1:10" ht="14.25" hidden="1" x14ac:dyDescent="0.2">
      <c r="A713" s="2236"/>
      <c r="B713" s="2243" t="s">
        <v>6667</v>
      </c>
      <c r="C713" s="2244"/>
      <c r="D713" s="2245"/>
      <c r="E713" s="2244"/>
      <c r="F713" s="2246"/>
      <c r="G713" s="2253"/>
      <c r="H713" s="2100"/>
      <c r="I713" s="2238"/>
      <c r="J713" s="2100"/>
    </row>
    <row r="714" spans="1:10" ht="14.25" hidden="1" x14ac:dyDescent="0.2">
      <c r="A714" s="2236" t="s">
        <v>5231</v>
      </c>
      <c r="B714" s="2243" t="s">
        <v>6586</v>
      </c>
      <c r="C714" s="2244">
        <f>'[2]Data File'!$C$184</f>
        <v>0</v>
      </c>
      <c r="D714" s="2245">
        <v>3505.57</v>
      </c>
      <c r="E714" s="2244">
        <v>0</v>
      </c>
      <c r="F714" s="2246">
        <v>0</v>
      </c>
      <c r="G714" s="2253">
        <v>874.28</v>
      </c>
      <c r="H714" s="2100">
        <v>0</v>
      </c>
      <c r="I714" s="2238">
        <f>VLOOKUP(A714,'Trial Balance - FPer'!$A$7:$I$1107,7,FALSE)</f>
        <v>0</v>
      </c>
      <c r="J714" s="2100" t="str">
        <f>VLOOKUP(A714,'Trial Balance - FPer'!$A$7:$I$1126,3,FALSE)</f>
        <v xml:space="preserve">                               -  </v>
      </c>
    </row>
    <row r="715" spans="1:10" ht="14.25" hidden="1" x14ac:dyDescent="0.2">
      <c r="A715" s="2236"/>
      <c r="B715" s="2243" t="s">
        <v>6718</v>
      </c>
      <c r="C715" s="2244"/>
      <c r="D715" s="2245"/>
      <c r="E715" s="2244"/>
      <c r="F715" s="2246"/>
      <c r="G715" s="2253"/>
      <c r="H715" s="2100"/>
      <c r="I715" s="2238"/>
      <c r="J715" s="2100"/>
    </row>
    <row r="716" spans="1:10" ht="14.25" hidden="1" x14ac:dyDescent="0.2">
      <c r="A716" s="2236" t="s">
        <v>5232</v>
      </c>
      <c r="B716" s="2243" t="s">
        <v>6586</v>
      </c>
      <c r="C716" s="2244">
        <f>'[2]Data File'!$C$324</f>
        <v>0</v>
      </c>
      <c r="D716" s="2245">
        <v>3505.57</v>
      </c>
      <c r="E716" s="2244">
        <v>0</v>
      </c>
      <c r="F716" s="2246">
        <v>0</v>
      </c>
      <c r="G716" s="2253">
        <v>879.79</v>
      </c>
      <c r="H716" s="2100">
        <v>0</v>
      </c>
      <c r="I716" s="2238">
        <f>VLOOKUP(A716,'Trial Balance - FPer'!$A$7:$I$1107,7,FALSE)</f>
        <v>0</v>
      </c>
      <c r="J716" s="2100" t="str">
        <f>VLOOKUP(A716,'Trial Balance - FPer'!$A$7:$I$1126,3,FALSE)</f>
        <v xml:space="preserve">                               -  </v>
      </c>
    </row>
    <row r="717" spans="1:10" ht="14.25" hidden="1" x14ac:dyDescent="0.2">
      <c r="A717" s="2236"/>
      <c r="B717" s="2243" t="s">
        <v>6719</v>
      </c>
      <c r="C717" s="2244"/>
      <c r="D717" s="2245"/>
      <c r="E717" s="2244"/>
      <c r="F717" s="2246"/>
      <c r="G717" s="2253"/>
      <c r="H717" s="2100"/>
      <c r="I717" s="2238"/>
      <c r="J717" s="2100"/>
    </row>
    <row r="718" spans="1:10" ht="14.25" hidden="1" x14ac:dyDescent="0.2">
      <c r="A718" s="2236" t="s">
        <v>5233</v>
      </c>
      <c r="B718" s="2243" t="s">
        <v>6586</v>
      </c>
      <c r="C718" s="2244">
        <f>'[2]Data File'!$C$482</f>
        <v>0</v>
      </c>
      <c r="D718" s="2245">
        <v>1148.76</v>
      </c>
      <c r="E718" s="2244">
        <v>0</v>
      </c>
      <c r="F718" s="2246">
        <v>0</v>
      </c>
      <c r="G718" s="2253">
        <v>289.38</v>
      </c>
      <c r="H718" s="2100">
        <v>0</v>
      </c>
      <c r="I718" s="2238">
        <f>VLOOKUP(A718,'Trial Balance - FPer'!$A$7:$I$1107,7,FALSE)</f>
        <v>0</v>
      </c>
      <c r="J718" s="2100" t="str">
        <f>VLOOKUP(A718,'Trial Balance - FPer'!$A$7:$I$1126,3,FALSE)</f>
        <v xml:space="preserve">                               -  </v>
      </c>
    </row>
    <row r="719" spans="1:10" ht="14.25" hidden="1" x14ac:dyDescent="0.2">
      <c r="A719" s="2236"/>
      <c r="B719" s="2243" t="s">
        <v>6720</v>
      </c>
      <c r="C719" s="2244"/>
      <c r="D719" s="2245"/>
      <c r="E719" s="2244"/>
      <c r="F719" s="2246"/>
      <c r="G719" s="2253"/>
      <c r="H719" s="2100"/>
      <c r="I719" s="2238"/>
      <c r="J719" s="2100"/>
    </row>
    <row r="720" spans="1:10" ht="14.25" hidden="1" x14ac:dyDescent="0.2">
      <c r="A720" s="2236" t="s">
        <v>5234</v>
      </c>
      <c r="B720" s="2243" t="s">
        <v>6586</v>
      </c>
      <c r="C720" s="2244">
        <f>'[2]Data File'!$C$811</f>
        <v>0</v>
      </c>
      <c r="D720" s="2245">
        <v>5573.47</v>
      </c>
      <c r="E720" s="2244">
        <v>0</v>
      </c>
      <c r="F720" s="2246">
        <v>0</v>
      </c>
      <c r="G720" s="2253">
        <v>1397.74</v>
      </c>
      <c r="H720" s="2100">
        <v>0</v>
      </c>
      <c r="I720" s="2238">
        <f>VLOOKUP(A720,'Trial Balance - FPer'!$A$7:$I$1107,7,FALSE)</f>
        <v>0</v>
      </c>
      <c r="J720" s="2100" t="str">
        <f>VLOOKUP(A720,'Trial Balance - FPer'!$A$7:$I$1126,3,FALSE)</f>
        <v xml:space="preserve">                               -  </v>
      </c>
    </row>
    <row r="721" spans="1:10" ht="14.25" hidden="1" x14ac:dyDescent="0.2">
      <c r="A721" s="2236"/>
      <c r="B721" s="2243" t="s">
        <v>6667</v>
      </c>
      <c r="C721" s="2244"/>
      <c r="D721" s="2245"/>
      <c r="E721" s="2244"/>
      <c r="F721" s="2246"/>
      <c r="G721" s="2253"/>
      <c r="H721" s="2100"/>
      <c r="I721" s="2238"/>
      <c r="J721" s="2100"/>
    </row>
    <row r="722" spans="1:10" ht="14.25" hidden="1" x14ac:dyDescent="0.2">
      <c r="A722" s="2236" t="s">
        <v>5235</v>
      </c>
      <c r="B722" s="2243" t="s">
        <v>6587</v>
      </c>
      <c r="C722" s="2244">
        <f>'[2]Data File'!$C$173</f>
        <v>0</v>
      </c>
      <c r="D722" s="2245">
        <v>2121.75</v>
      </c>
      <c r="E722" s="2244">
        <v>4964.3999999999996</v>
      </c>
      <c r="F722" s="2246">
        <v>16084.8</v>
      </c>
      <c r="G722" s="2253">
        <v>8002.43</v>
      </c>
      <c r="H722" s="2100">
        <v>6817.8</v>
      </c>
      <c r="I722" s="2238">
        <f>VLOOKUP(A722,'Trial Balance - FPer'!$A$7:$I$1107,7,FALSE)</f>
        <v>16084.8</v>
      </c>
      <c r="J722" s="2100">
        <f>VLOOKUP(A722,'Trial Balance - FPer'!$A$7:$I$1126,3,FALSE)</f>
        <v>0</v>
      </c>
    </row>
    <row r="723" spans="1:10" ht="14.25" hidden="1" x14ac:dyDescent="0.2">
      <c r="A723" s="2236"/>
      <c r="B723" s="2243" t="s">
        <v>6718</v>
      </c>
      <c r="C723" s="2244"/>
      <c r="D723" s="2245"/>
      <c r="E723" s="2244"/>
      <c r="F723" s="2246"/>
      <c r="G723" s="2253"/>
      <c r="H723" s="2100"/>
      <c r="I723" s="2238"/>
      <c r="J723" s="2100"/>
    </row>
    <row r="724" spans="1:10" ht="14.25" hidden="1" x14ac:dyDescent="0.2">
      <c r="A724" s="2236" t="s">
        <v>5236</v>
      </c>
      <c r="B724" s="2243" t="s">
        <v>6587</v>
      </c>
      <c r="C724" s="2244">
        <f>'[2]Data File'!$C$313</f>
        <v>0</v>
      </c>
      <c r="D724" s="2245">
        <v>2121.75</v>
      </c>
      <c r="E724" s="2244">
        <v>0</v>
      </c>
      <c r="F724" s="2246">
        <v>0</v>
      </c>
      <c r="G724" s="2253">
        <v>532.88</v>
      </c>
      <c r="H724" s="2100">
        <v>0</v>
      </c>
      <c r="I724" s="2238">
        <f>VLOOKUP(A724,'Trial Balance - FPer'!$A$7:$I$1107,7,FALSE)</f>
        <v>0</v>
      </c>
      <c r="J724" s="2100">
        <f>VLOOKUP(A724,'Trial Balance - FPer'!$A$7:$I$1126,3,FALSE)</f>
        <v>0</v>
      </c>
    </row>
    <row r="725" spans="1:10" ht="14.25" hidden="1" x14ac:dyDescent="0.2">
      <c r="A725" s="2236"/>
      <c r="B725" s="2243" t="s">
        <v>6719</v>
      </c>
      <c r="C725" s="2244"/>
      <c r="D725" s="2245"/>
      <c r="E725" s="2244"/>
      <c r="F725" s="2246"/>
      <c r="G725" s="2253"/>
      <c r="H725" s="2100"/>
      <c r="I725" s="2238"/>
      <c r="J725" s="2100"/>
    </row>
    <row r="726" spans="1:10" ht="14.25" hidden="1" x14ac:dyDescent="0.2">
      <c r="A726" s="2236" t="s">
        <v>5237</v>
      </c>
      <c r="B726" s="2243" t="s">
        <v>6587</v>
      </c>
      <c r="C726" s="2244">
        <f>'[2]Data File'!$C$471</f>
        <v>32079.599999999999</v>
      </c>
      <c r="D726" s="2245">
        <v>37646.58</v>
      </c>
      <c r="E726" s="2244">
        <v>17161.2</v>
      </c>
      <c r="F726" s="2246">
        <v>20364.599999999999</v>
      </c>
      <c r="G726" s="2253">
        <v>35256.57</v>
      </c>
      <c r="H726" s="2100">
        <v>20364.599999999999</v>
      </c>
      <c r="I726" s="2238">
        <f>VLOOKUP(A726,'Trial Balance - FPer'!$A$7:$I$1107,7,FALSE)</f>
        <v>20364.599999999999</v>
      </c>
      <c r="J726" s="2100">
        <f>VLOOKUP(A726,'Trial Balance - FPer'!$A$7:$I$1126,3,FALSE)</f>
        <v>32079.599999999999</v>
      </c>
    </row>
    <row r="727" spans="1:10" ht="14.25" hidden="1" x14ac:dyDescent="0.2">
      <c r="A727" s="2236"/>
      <c r="B727" s="2243" t="s">
        <v>6720</v>
      </c>
      <c r="C727" s="2244"/>
      <c r="D727" s="2245"/>
      <c r="E727" s="2244"/>
      <c r="F727" s="2246"/>
      <c r="G727" s="2253"/>
      <c r="H727" s="2100"/>
      <c r="I727" s="2238"/>
      <c r="J727" s="2100"/>
    </row>
    <row r="728" spans="1:10" ht="14.25" hidden="1" x14ac:dyDescent="0.2">
      <c r="A728" s="2236" t="s">
        <v>5238</v>
      </c>
      <c r="B728" s="2243" t="s">
        <v>6587</v>
      </c>
      <c r="C728" s="2244">
        <f>'[2]Data File'!$C$799</f>
        <v>138535.20000000001</v>
      </c>
      <c r="D728" s="2245">
        <v>169946.04</v>
      </c>
      <c r="E728" s="2244">
        <v>65202</v>
      </c>
      <c r="F728" s="2246">
        <v>122794.8</v>
      </c>
      <c r="G728" s="2253">
        <v>140718.45000000001</v>
      </c>
      <c r="H728" s="2100">
        <v>74800.800000000003</v>
      </c>
      <c r="I728" s="2238">
        <f>VLOOKUP(A728,'Trial Balance - FPer'!$A$7:$I$1107,7,FALSE)</f>
        <v>117959.2</v>
      </c>
      <c r="J728" s="2100">
        <f>VLOOKUP(A728,'Trial Balance - FPer'!$A$7:$I$1126,3,FALSE)</f>
        <v>138535.20000000001</v>
      </c>
    </row>
    <row r="729" spans="1:10" ht="14.25" hidden="1" x14ac:dyDescent="0.2">
      <c r="A729" s="2236"/>
      <c r="B729" s="2243" t="s">
        <v>6667</v>
      </c>
      <c r="C729" s="2244"/>
      <c r="D729" s="2245"/>
      <c r="E729" s="2244"/>
      <c r="F729" s="2246"/>
      <c r="G729" s="2253"/>
      <c r="H729" s="2100"/>
      <c r="I729" s="2238"/>
      <c r="J729" s="2100"/>
    </row>
    <row r="730" spans="1:10" ht="14.25" hidden="1" x14ac:dyDescent="0.2">
      <c r="A730" s="2236" t="s">
        <v>5239</v>
      </c>
      <c r="B730" s="2243" t="s">
        <v>6013</v>
      </c>
      <c r="C730" s="2244">
        <f>'[2]Data File'!$C$174</f>
        <v>0</v>
      </c>
      <c r="D730" s="2245">
        <v>18127.32</v>
      </c>
      <c r="E730" s="2244">
        <v>16499.400000000001</v>
      </c>
      <c r="F730" s="2246">
        <v>49315.58</v>
      </c>
      <c r="G730" s="2253">
        <v>29359.37</v>
      </c>
      <c r="H730" s="2100">
        <v>21968.73</v>
      </c>
      <c r="I730" s="2238">
        <f>VLOOKUP(A730,'Trial Balance - FPer'!$A$7:$I$1107,7,FALSE)</f>
        <v>49315.38</v>
      </c>
      <c r="J730" s="2100" t="str">
        <f>VLOOKUP(A730,'Trial Balance - FPer'!$A$7:$I$1126,3,FALSE)</f>
        <v xml:space="preserve">                               -  </v>
      </c>
    </row>
    <row r="731" spans="1:10" ht="14.25" hidden="1" x14ac:dyDescent="0.2">
      <c r="A731" s="2236"/>
      <c r="B731" s="2243" t="s">
        <v>6718</v>
      </c>
      <c r="C731" s="2244"/>
      <c r="D731" s="2245"/>
      <c r="E731" s="2244"/>
      <c r="F731" s="2246"/>
      <c r="G731" s="2253"/>
      <c r="H731" s="2100"/>
      <c r="I731" s="2238"/>
      <c r="J731" s="2100"/>
    </row>
    <row r="732" spans="1:10" ht="14.25" hidden="1" x14ac:dyDescent="0.2">
      <c r="A732" s="2236" t="s">
        <v>5240</v>
      </c>
      <c r="B732" s="2243" t="s">
        <v>6013</v>
      </c>
      <c r="C732" s="2244">
        <f>'[2]Data File'!$C$314</f>
        <v>-3631.49</v>
      </c>
      <c r="D732" s="2245">
        <v>18127.32</v>
      </c>
      <c r="E732" s="2244">
        <v>23014.799999999999</v>
      </c>
      <c r="F732" s="2246">
        <v>69044.399999999994</v>
      </c>
      <c r="G732" s="2253">
        <v>39157.08</v>
      </c>
      <c r="H732" s="2100">
        <v>30686.400000000001</v>
      </c>
      <c r="I732" s="2238">
        <f>VLOOKUP(A732,'Trial Balance - FPer'!$A$7:$I$1107,7,FALSE)</f>
        <v>69044.399999999994</v>
      </c>
      <c r="J732" s="2100">
        <f>VLOOKUP(A732,'Trial Balance - FPer'!$A$7:$I$1126,3,FALSE)</f>
        <v>-3631.49</v>
      </c>
    </row>
    <row r="733" spans="1:10" ht="14.25" hidden="1" x14ac:dyDescent="0.2">
      <c r="A733" s="2236"/>
      <c r="B733" s="2243" t="s">
        <v>6719</v>
      </c>
      <c r="C733" s="2244"/>
      <c r="D733" s="2245"/>
      <c r="E733" s="2244"/>
      <c r="F733" s="2246"/>
      <c r="G733" s="2253"/>
      <c r="H733" s="2100"/>
      <c r="I733" s="2238"/>
      <c r="J733" s="2100"/>
    </row>
    <row r="734" spans="1:10" ht="14.25" hidden="1" x14ac:dyDescent="0.2">
      <c r="A734" s="2236" t="s">
        <v>5241</v>
      </c>
      <c r="B734" s="2243" t="s">
        <v>6013</v>
      </c>
      <c r="C734" s="2244">
        <f>'[2]Data File'!$C$472</f>
        <v>47209.37</v>
      </c>
      <c r="D734" s="2245">
        <v>54984.39</v>
      </c>
      <c r="E734" s="2244">
        <v>22989.360000000001</v>
      </c>
      <c r="F734" s="2246">
        <v>26841.65</v>
      </c>
      <c r="G734" s="2253">
        <v>48376.2</v>
      </c>
      <c r="H734" s="2100">
        <v>26841.65</v>
      </c>
      <c r="I734" s="2238">
        <f>VLOOKUP(A734,'Trial Balance - FPer'!$A$7:$I$1107,7,FALSE)</f>
        <v>26841.65</v>
      </c>
      <c r="J734" s="2100">
        <f>VLOOKUP(A734,'Trial Balance - FPer'!$A$7:$I$1126,3,FALSE)</f>
        <v>47209.37</v>
      </c>
    </row>
    <row r="735" spans="1:10" ht="14.25" hidden="1" x14ac:dyDescent="0.2">
      <c r="A735" s="2236"/>
      <c r="B735" s="2243" t="s">
        <v>6720</v>
      </c>
      <c r="C735" s="2244"/>
      <c r="D735" s="2245"/>
      <c r="E735" s="2244"/>
      <c r="F735" s="2246"/>
      <c r="G735" s="2253"/>
      <c r="H735" s="2100"/>
      <c r="I735" s="2238"/>
      <c r="J735" s="2100"/>
    </row>
    <row r="736" spans="1:10" ht="14.25" hidden="1" x14ac:dyDescent="0.2">
      <c r="A736" s="2236" t="s">
        <v>5242</v>
      </c>
      <c r="B736" s="2243" t="s">
        <v>6013</v>
      </c>
      <c r="C736" s="2244">
        <f>'[2]Data File'!$C$800</f>
        <v>177986.2</v>
      </c>
      <c r="D736" s="2245">
        <v>244959.04</v>
      </c>
      <c r="E736" s="2244">
        <v>83963.63</v>
      </c>
      <c r="F736" s="2246">
        <v>205975.49</v>
      </c>
      <c r="G736" s="2253">
        <v>187772.41</v>
      </c>
      <c r="H736" s="2100">
        <v>104298.94</v>
      </c>
      <c r="I736" s="2238">
        <f>VLOOKUP(A736,'Trial Balance - FPer'!$A$7:$I$1107,7,FALSE)</f>
        <v>189992.89</v>
      </c>
      <c r="J736" s="2100">
        <f>VLOOKUP(A736,'Trial Balance - FPer'!$A$7:$I$1126,3,FALSE)</f>
        <v>177986.2</v>
      </c>
    </row>
    <row r="737" spans="1:10" ht="14.25" hidden="1" x14ac:dyDescent="0.2">
      <c r="A737" s="2236"/>
      <c r="B737" s="2243" t="s">
        <v>6667</v>
      </c>
      <c r="C737" s="2244"/>
      <c r="D737" s="2245"/>
      <c r="E737" s="2244"/>
      <c r="F737" s="2246"/>
      <c r="G737" s="2253"/>
      <c r="H737" s="2100"/>
      <c r="I737" s="2238"/>
      <c r="J737" s="2100"/>
    </row>
    <row r="738" spans="1:10" ht="14.25" hidden="1" x14ac:dyDescent="0.2">
      <c r="A738" s="2236" t="s">
        <v>5243</v>
      </c>
      <c r="B738" s="2243" t="s">
        <v>6014</v>
      </c>
      <c r="C738" s="2244">
        <f>'[2]Data File'!$C$175</f>
        <v>0</v>
      </c>
      <c r="D738" s="2245">
        <v>1219.3900000000001</v>
      </c>
      <c r="E738" s="2244">
        <v>374.34</v>
      </c>
      <c r="F738" s="2246">
        <v>1497.36</v>
      </c>
      <c r="G738" s="2253">
        <v>870.45</v>
      </c>
      <c r="H738" s="2100">
        <v>499.12</v>
      </c>
      <c r="I738" s="2238">
        <f>VLOOKUP(A738,'Trial Balance - FPer'!$A$7:$I$1107,7,FALSE)</f>
        <v>1123.02</v>
      </c>
      <c r="J738" s="2100" t="str">
        <f>VLOOKUP(A738,'Trial Balance - FPer'!$A$7:$I$1126,3,FALSE)</f>
        <v xml:space="preserve">                               -  </v>
      </c>
    </row>
    <row r="739" spans="1:10" ht="14.25" hidden="1" x14ac:dyDescent="0.2">
      <c r="A739" s="2236"/>
      <c r="B739" s="2243" t="s">
        <v>6718</v>
      </c>
      <c r="C739" s="2244"/>
      <c r="D739" s="2245"/>
      <c r="E739" s="2244"/>
      <c r="F739" s="2246"/>
      <c r="G739" s="2253"/>
      <c r="H739" s="2100"/>
      <c r="I739" s="2238"/>
      <c r="J739" s="2100"/>
    </row>
    <row r="740" spans="1:10" ht="14.25" hidden="1" x14ac:dyDescent="0.2">
      <c r="A740" s="2236" t="s">
        <v>5244</v>
      </c>
      <c r="B740" s="2243" t="s">
        <v>6014</v>
      </c>
      <c r="C740" s="2244">
        <f>'[2]Data File'!$C$315</f>
        <v>0</v>
      </c>
      <c r="D740" s="2245">
        <v>1219.3900000000001</v>
      </c>
      <c r="E740" s="2244">
        <v>374.34</v>
      </c>
      <c r="F740" s="2246">
        <v>1497.36</v>
      </c>
      <c r="G740" s="2253">
        <v>870.45</v>
      </c>
      <c r="H740" s="2100">
        <v>499.12</v>
      </c>
      <c r="I740" s="2238">
        <f>VLOOKUP(A740,'Trial Balance - FPer'!$A$7:$I$1107,7,FALSE)</f>
        <v>1123.02</v>
      </c>
      <c r="J740" s="2100" t="str">
        <f>VLOOKUP(A740,'Trial Balance - FPer'!$A$7:$I$1126,3,FALSE)</f>
        <v xml:space="preserve">                               -  </v>
      </c>
    </row>
    <row r="741" spans="1:10" ht="14.25" hidden="1" x14ac:dyDescent="0.2">
      <c r="A741" s="2236"/>
      <c r="B741" s="2243" t="s">
        <v>6719</v>
      </c>
      <c r="C741" s="2244"/>
      <c r="D741" s="2245"/>
      <c r="E741" s="2244"/>
      <c r="F741" s="2246"/>
      <c r="G741" s="2253"/>
      <c r="H741" s="2100"/>
      <c r="I741" s="2238"/>
      <c r="J741" s="2100"/>
    </row>
    <row r="742" spans="1:10" ht="14.25" hidden="1" x14ac:dyDescent="0.2">
      <c r="A742" s="2236" t="s">
        <v>5245</v>
      </c>
      <c r="B742" s="2243" t="s">
        <v>6014</v>
      </c>
      <c r="C742" s="2244">
        <f>'[2]Data File'!$C$473</f>
        <v>1497.36</v>
      </c>
      <c r="D742" s="2245">
        <v>1889.29</v>
      </c>
      <c r="E742" s="2244">
        <v>748.68</v>
      </c>
      <c r="F742" s="2246">
        <v>873.46600000000001</v>
      </c>
      <c r="G742" s="2253">
        <v>1598.78</v>
      </c>
      <c r="H742" s="2100">
        <v>873.46</v>
      </c>
      <c r="I742" s="2238">
        <f>VLOOKUP(A742,'Trial Balance - FPer'!$A$7:$I$1107,7,FALSE)</f>
        <v>873.46</v>
      </c>
      <c r="J742" s="2100">
        <f>VLOOKUP(A742,'Trial Balance - FPer'!$A$7:$I$1126,3,FALSE)</f>
        <v>1497.36</v>
      </c>
    </row>
    <row r="743" spans="1:10" ht="14.25" hidden="1" x14ac:dyDescent="0.2">
      <c r="A743" s="2236"/>
      <c r="B743" s="2243" t="s">
        <v>6720</v>
      </c>
      <c r="C743" s="2244"/>
      <c r="D743" s="2245"/>
      <c r="E743" s="2244"/>
      <c r="F743" s="2246"/>
      <c r="G743" s="2253"/>
      <c r="H743" s="2100"/>
      <c r="I743" s="2238"/>
      <c r="J743" s="2100"/>
    </row>
    <row r="744" spans="1:10" ht="14.25" hidden="1" x14ac:dyDescent="0.2">
      <c r="A744" s="2236" t="s">
        <v>5246</v>
      </c>
      <c r="B744" s="2243" t="s">
        <v>6014</v>
      </c>
      <c r="C744" s="2244">
        <f>'[2]Data File'!$C$801</f>
        <v>9326.73</v>
      </c>
      <c r="D744" s="2245">
        <v>12587.43</v>
      </c>
      <c r="E744" s="2244">
        <v>4048.14</v>
      </c>
      <c r="F744" s="2246">
        <v>9655.3799999999992</v>
      </c>
      <c r="G744" s="2253">
        <v>9246.1200000000008</v>
      </c>
      <c r="H744" s="2100">
        <v>4982.68</v>
      </c>
      <c r="I744" s="2238">
        <f>VLOOKUP(A744,'Trial Balance - FPer'!$A$7:$I$1107,7,FALSE)</f>
        <v>9061.19</v>
      </c>
      <c r="J744" s="2100">
        <f>VLOOKUP(A744,'Trial Balance - FPer'!$A$7:$I$1126,3,FALSE)</f>
        <v>9326.73</v>
      </c>
    </row>
    <row r="745" spans="1:10" ht="14.25" hidden="1" x14ac:dyDescent="0.2">
      <c r="A745" s="2236"/>
      <c r="B745" s="2243" t="s">
        <v>6667</v>
      </c>
      <c r="C745" s="2244"/>
      <c r="D745" s="2245"/>
      <c r="E745" s="2244"/>
      <c r="F745" s="2246"/>
      <c r="G745" s="2253"/>
      <c r="H745" s="2100"/>
      <c r="I745" s="2238"/>
      <c r="J745" s="2100"/>
    </row>
    <row r="746" spans="1:10" ht="14.25" hidden="1" x14ac:dyDescent="0.2">
      <c r="A746" s="2236" t="s">
        <v>5247</v>
      </c>
      <c r="B746" s="2243" t="s">
        <v>6725</v>
      </c>
      <c r="C746" s="2244">
        <f>'[2]Data File'!$C$809</f>
        <v>0</v>
      </c>
      <c r="D746" s="2245">
        <v>9640.48</v>
      </c>
      <c r="E746" s="2244">
        <v>0</v>
      </c>
      <c r="F746" s="2246">
        <v>0</v>
      </c>
      <c r="G746" s="2253">
        <v>2420.2399999999998</v>
      </c>
      <c r="H746" s="2100">
        <v>0</v>
      </c>
      <c r="I746" s="2238">
        <f>VLOOKUP(A746,'Trial Balance - FPer'!$A$7:$I$1107,7,FALSE)</f>
        <v>0</v>
      </c>
      <c r="J746" s="2100" t="str">
        <f>VLOOKUP(A746,'Trial Balance - FPer'!$A$7:$I$1126,3,FALSE)</f>
        <v xml:space="preserve">                               -  </v>
      </c>
    </row>
    <row r="747" spans="1:10" ht="14.25" hidden="1" x14ac:dyDescent="0.2">
      <c r="A747" s="2236"/>
      <c r="B747" s="2247" t="s">
        <v>6667</v>
      </c>
      <c r="C747" s="2248"/>
      <c r="D747" s="2249"/>
      <c r="E747" s="2248"/>
      <c r="F747" s="2250"/>
      <c r="G747" s="2248"/>
      <c r="H747" s="2100"/>
      <c r="I747" s="2238"/>
      <c r="J747" s="2100"/>
    </row>
    <row r="748" spans="1:10" s="2615" customFormat="1" hidden="1" x14ac:dyDescent="0.2">
      <c r="A748" s="2612"/>
      <c r="B748" s="2613" t="s">
        <v>6588</v>
      </c>
      <c r="C748" s="2614">
        <f>SUM(C652:C747)</f>
        <v>1989465.3700000003</v>
      </c>
      <c r="D748" s="2614">
        <f>SUM(D652:D747)</f>
        <v>4022043.4</v>
      </c>
      <c r="E748" s="2614">
        <f>SUM(E652:E747)</f>
        <v>1433702.23</v>
      </c>
      <c r="F748" s="2614">
        <f>SUM(F652:F747)</f>
        <v>3112385.9859999986</v>
      </c>
      <c r="G748" s="2614">
        <f>SUM(G652:G747)</f>
        <v>3165759.5200000019</v>
      </c>
      <c r="H748" s="2614">
        <f t="shared" ref="H748" si="62">SUM(H652:H747)</f>
        <v>1708996.38</v>
      </c>
      <c r="I748" s="2614">
        <f>SUM(I652:I747)</f>
        <v>2949495.7099999995</v>
      </c>
      <c r="J748" s="2614">
        <f>SUM(J652:J747)</f>
        <v>1989465.3700000003</v>
      </c>
    </row>
    <row r="749" spans="1:10" ht="14.25" hidden="1" x14ac:dyDescent="0.2">
      <c r="A749" s="2236"/>
      <c r="B749" s="2243"/>
      <c r="C749" s="2244"/>
      <c r="D749" s="2245"/>
      <c r="E749" s="2244"/>
      <c r="F749" s="2246"/>
      <c r="G749" s="2244"/>
      <c r="H749" s="2244"/>
      <c r="I749" s="2238" t="e">
        <f>VLOOKUP(A749,'Trial Balance - FPer'!$A$7:$I$1107,7,FALSE)</f>
        <v>#N/A</v>
      </c>
      <c r="J749" s="2100" t="e">
        <f>VLOOKUP(A749,'Trial Balance - FPer'!$A$7:$I$1126,3,FALSE)</f>
        <v>#N/A</v>
      </c>
    </row>
    <row r="750" spans="1:10" ht="14.25" hidden="1" x14ac:dyDescent="0.2">
      <c r="A750" s="2236"/>
      <c r="B750" s="2242" t="s">
        <v>6681</v>
      </c>
      <c r="C750" s="2244"/>
      <c r="D750" s="2245"/>
      <c r="E750" s="2244"/>
      <c r="F750" s="2246"/>
      <c r="G750" s="2244"/>
      <c r="H750" s="2244"/>
      <c r="I750" s="2238"/>
      <c r="J750" s="2100" t="e">
        <f>VLOOKUP(A750,'Trial Balance - FPer'!$A$7:$I$1126,3,FALSE)</f>
        <v>#N/A</v>
      </c>
    </row>
    <row r="751" spans="1:10" ht="14.25" hidden="1" x14ac:dyDescent="0.2">
      <c r="A751" s="2236" t="s">
        <v>5248</v>
      </c>
      <c r="B751" s="2243" t="s">
        <v>6726</v>
      </c>
      <c r="C751" s="2244">
        <f>'[2]Data File'!$C$332</f>
        <v>0</v>
      </c>
      <c r="D751" s="2245">
        <v>0</v>
      </c>
      <c r="E751" s="2244">
        <v>0</v>
      </c>
      <c r="F751" s="2246"/>
      <c r="G751" s="2244">
        <v>0</v>
      </c>
      <c r="H751" s="2244"/>
      <c r="I751" s="2238">
        <f>VLOOKUP(A751,'Trial Balance - FPer'!$A$7:$I$1107,7,FALSE)</f>
        <v>0</v>
      </c>
      <c r="J751" s="2100">
        <f>VLOOKUP(A751,'Trial Balance - FPer'!$A$7:$I$1126,3,FALSE)</f>
        <v>0</v>
      </c>
    </row>
    <row r="752" spans="1:10" ht="14.25" hidden="1" x14ac:dyDescent="0.2">
      <c r="A752" s="2236"/>
      <c r="B752" s="2243" t="s">
        <v>6719</v>
      </c>
      <c r="C752" s="2244"/>
      <c r="D752" s="2245"/>
      <c r="E752" s="2244"/>
      <c r="F752" s="2246"/>
      <c r="G752" s="2244"/>
      <c r="H752" s="2244"/>
      <c r="I752" s="2238"/>
      <c r="J752" s="2100"/>
    </row>
    <row r="753" spans="1:10" ht="14.25" hidden="1" x14ac:dyDescent="0.2">
      <c r="A753" s="2236" t="s">
        <v>5249</v>
      </c>
      <c r="B753" s="2243" t="s">
        <v>6727</v>
      </c>
      <c r="C753" s="2244">
        <f>'[2]Data File'!$C$333</f>
        <v>0</v>
      </c>
      <c r="D753" s="2245">
        <v>0</v>
      </c>
      <c r="E753" s="2244">
        <v>0</v>
      </c>
      <c r="F753" s="2246"/>
      <c r="G753" s="2244">
        <v>0</v>
      </c>
      <c r="H753" s="2244"/>
      <c r="I753" s="2238">
        <f>VLOOKUP(A753,'Trial Balance - FPer'!$A$7:$I$1107,7,FALSE)</f>
        <v>0</v>
      </c>
      <c r="J753" s="2100">
        <f>VLOOKUP(A753,'Trial Balance - FPer'!$A$7:$I$1126,3,FALSE)</f>
        <v>0</v>
      </c>
    </row>
    <row r="754" spans="1:10" ht="14.25" hidden="1" x14ac:dyDescent="0.2">
      <c r="A754" s="2251"/>
      <c r="B754" s="2257" t="s">
        <v>6719</v>
      </c>
      <c r="C754" s="2253"/>
      <c r="D754" s="2254"/>
      <c r="E754" s="2253"/>
      <c r="F754" s="2255"/>
      <c r="G754" s="2253"/>
      <c r="H754" s="2253"/>
      <c r="I754" s="2238"/>
      <c r="J754" s="2100"/>
    </row>
    <row r="755" spans="1:10" ht="14.25" hidden="1" x14ac:dyDescent="0.2">
      <c r="A755" s="2236"/>
      <c r="B755" s="2257" t="s">
        <v>6728</v>
      </c>
      <c r="C755" s="2253"/>
      <c r="D755" s="2254"/>
      <c r="E755" s="2253"/>
      <c r="F755" s="2255">
        <v>790000</v>
      </c>
      <c r="G755" s="2253"/>
      <c r="H755" s="2244"/>
      <c r="I755" s="2238"/>
      <c r="J755" s="2100"/>
    </row>
    <row r="756" spans="1:10" ht="14.25" hidden="1" x14ac:dyDescent="0.2">
      <c r="A756" s="2236"/>
      <c r="B756" s="2247"/>
      <c r="C756" s="2248"/>
      <c r="D756" s="2249"/>
      <c r="E756" s="2248"/>
      <c r="F756" s="2250"/>
      <c r="G756" s="2248"/>
      <c r="H756" s="2244"/>
      <c r="I756" s="2238"/>
      <c r="J756" s="2100"/>
    </row>
    <row r="757" spans="1:10" s="2615" customFormat="1" hidden="1" x14ac:dyDescent="0.2">
      <c r="A757" s="2612"/>
      <c r="B757" s="2613" t="s">
        <v>6684</v>
      </c>
      <c r="C757" s="2614">
        <f>SUM(C751:C754)</f>
        <v>0</v>
      </c>
      <c r="D757" s="2614">
        <f>SUM(D751:D754)</f>
        <v>0</v>
      </c>
      <c r="E757" s="2614">
        <f>SUM(E751:E754)</f>
        <v>0</v>
      </c>
      <c r="F757" s="2614">
        <f>SUM(F751:F755)</f>
        <v>790000</v>
      </c>
      <c r="G757" s="2614">
        <f>SUM(G751:G754)</f>
        <v>0</v>
      </c>
      <c r="H757" s="2614">
        <f t="shared" ref="H757" si="63">SUM(H751:H754)</f>
        <v>0</v>
      </c>
      <c r="I757" s="2614">
        <f>SUM(I751:I754)</f>
        <v>0</v>
      </c>
      <c r="J757" s="2614">
        <f>SUM(J751:J754)</f>
        <v>0</v>
      </c>
    </row>
    <row r="758" spans="1:10" ht="14.25" hidden="1" x14ac:dyDescent="0.2">
      <c r="A758" s="2236"/>
      <c r="B758" s="2243"/>
      <c r="C758" s="2244"/>
      <c r="D758" s="2245"/>
      <c r="E758" s="2244"/>
      <c r="F758" s="2246"/>
      <c r="G758" s="2244"/>
      <c r="H758" s="2244"/>
      <c r="I758" s="2238" t="e">
        <f>VLOOKUP(A758,'Trial Balance - FPer'!$A$7:$I$1107,7,FALSE)</f>
        <v>#N/A</v>
      </c>
      <c r="J758" s="2100" t="e">
        <f>VLOOKUP(A758,'Trial Balance - FPer'!$A$7:$I$1126,3,FALSE)</f>
        <v>#N/A</v>
      </c>
    </row>
    <row r="759" spans="1:10" ht="14.25" hidden="1" x14ac:dyDescent="0.2">
      <c r="A759" s="2236"/>
      <c r="B759" s="2242" t="s">
        <v>6599</v>
      </c>
      <c r="C759" s="2244"/>
      <c r="D759" s="2245"/>
      <c r="E759" s="2244"/>
      <c r="F759" s="2246"/>
      <c r="G759" s="2244"/>
      <c r="H759" s="2244"/>
      <c r="I759" s="2238" t="e">
        <f>VLOOKUP(A759,'Trial Balance - FPer'!$A$7:$I$1107,7,FALSE)</f>
        <v>#N/A</v>
      </c>
      <c r="J759" s="2100"/>
    </row>
    <row r="760" spans="1:10" ht="14.25" hidden="1" x14ac:dyDescent="0.2">
      <c r="A760" s="2236" t="s">
        <v>5252</v>
      </c>
      <c r="B760" s="2243" t="s">
        <v>6633</v>
      </c>
      <c r="C760" s="2244">
        <f>'[2]Data File'!$C$816</f>
        <v>35789.480000000003</v>
      </c>
      <c r="D760" s="2245">
        <v>0</v>
      </c>
      <c r="E760" s="2244">
        <v>0</v>
      </c>
      <c r="F760" s="2246"/>
      <c r="G760" s="2244">
        <v>0</v>
      </c>
      <c r="H760" s="2100">
        <v>0</v>
      </c>
      <c r="I760" s="2238">
        <f>VLOOKUP(A760,'Trial Balance - FPer'!$A$7:$I$1107,7,FALSE)</f>
        <v>0</v>
      </c>
      <c r="J760" s="2100">
        <f>VLOOKUP(A760,'Trial Balance - FPer'!$A$7:$I$1126,3,FALSE)</f>
        <v>35789.480000000003</v>
      </c>
    </row>
    <row r="761" spans="1:10" ht="14.25" hidden="1" x14ac:dyDescent="0.2">
      <c r="A761" s="2236"/>
      <c r="B761" s="2243" t="s">
        <v>6667</v>
      </c>
      <c r="C761" s="2244"/>
      <c r="D761" s="2245"/>
      <c r="E761" s="2244"/>
      <c r="F761" s="2246"/>
      <c r="G761" s="2244"/>
      <c r="H761" s="2100"/>
      <c r="I761" s="2238"/>
      <c r="J761" s="2100"/>
    </row>
    <row r="762" spans="1:10" ht="14.25" hidden="1" x14ac:dyDescent="0.2">
      <c r="A762" s="2236" t="s">
        <v>5253</v>
      </c>
      <c r="B762" s="2243" t="s">
        <v>6104</v>
      </c>
      <c r="C762" s="2244">
        <f>'[2]Data File'!$C$817</f>
        <v>441774.15</v>
      </c>
      <c r="D762" s="2245">
        <v>220895.52</v>
      </c>
      <c r="E762" s="2244">
        <v>115962.72</v>
      </c>
      <c r="F762" s="2246">
        <v>220895.52</v>
      </c>
      <c r="G762" s="2253">
        <v>229859.4</v>
      </c>
      <c r="H762" s="2100">
        <v>119602.4</v>
      </c>
      <c r="I762" s="2238">
        <f>VLOOKUP(A762,'Trial Balance - FPer'!$A$7:$I$1107,7,FALSE)</f>
        <v>132007.37</v>
      </c>
      <c r="J762" s="2100">
        <f>VLOOKUP(A762,'Trial Balance - FPer'!$A$7:$I$1126,3,FALSE)</f>
        <v>441774.15</v>
      </c>
    </row>
    <row r="763" spans="1:10" ht="14.25" hidden="1" x14ac:dyDescent="0.2">
      <c r="A763" s="2236"/>
      <c r="B763" s="2243" t="s">
        <v>6667</v>
      </c>
      <c r="C763" s="2244"/>
      <c r="D763" s="2245"/>
      <c r="E763" s="2244"/>
      <c r="F763" s="2246"/>
      <c r="G763" s="2253"/>
      <c r="H763" s="2100"/>
      <c r="I763" s="2238"/>
      <c r="J763" s="2100"/>
    </row>
    <row r="764" spans="1:10" ht="14.25" hidden="1" x14ac:dyDescent="0.2">
      <c r="A764" s="2236" t="s">
        <v>5254</v>
      </c>
      <c r="B764" s="2243" t="s">
        <v>6601</v>
      </c>
      <c r="C764" s="2244">
        <f>'[2]Data File'!$C$188</f>
        <v>-9.82</v>
      </c>
      <c r="D764" s="2245">
        <v>2050.79</v>
      </c>
      <c r="E764" s="2244">
        <v>108.86</v>
      </c>
      <c r="F764" s="2246">
        <v>2050.79</v>
      </c>
      <c r="G764" s="2253">
        <v>679.3</v>
      </c>
      <c r="H764" s="2100">
        <v>217.72</v>
      </c>
      <c r="I764" s="2238">
        <f>VLOOKUP(A764,'Trial Balance - FPer'!$A$7:$I$1107,7,FALSE)</f>
        <v>1028.72</v>
      </c>
      <c r="J764" s="2100">
        <f>VLOOKUP(A764,'Trial Balance - FPer'!$A$7:$I$1126,3,FALSE)</f>
        <v>-9.82</v>
      </c>
    </row>
    <row r="765" spans="1:10" ht="14.25" hidden="1" x14ac:dyDescent="0.2">
      <c r="A765" s="2236"/>
      <c r="B765" s="2243" t="s">
        <v>6718</v>
      </c>
      <c r="C765" s="2244"/>
      <c r="D765" s="2245"/>
      <c r="E765" s="2244"/>
      <c r="F765" s="2246"/>
      <c r="G765" s="2253"/>
      <c r="H765" s="2100"/>
      <c r="I765" s="2238"/>
      <c r="J765" s="2100"/>
    </row>
    <row r="766" spans="1:10" ht="14.25" hidden="1" x14ac:dyDescent="0.2">
      <c r="A766" s="2236" t="s">
        <v>5255</v>
      </c>
      <c r="B766" s="2243" t="s">
        <v>6601</v>
      </c>
      <c r="C766" s="2244">
        <f>'[2]Data File'!$C$328</f>
        <v>9678.25</v>
      </c>
      <c r="D766" s="2245">
        <v>21292.15</v>
      </c>
      <c r="E766" s="2244">
        <v>1151.8</v>
      </c>
      <c r="F766" s="2246">
        <v>6362.49</v>
      </c>
      <c r="G766" s="2253">
        <v>7077.35</v>
      </c>
      <c r="H766" s="2100">
        <v>3635.62</v>
      </c>
      <c r="I766" s="2238">
        <f>VLOOKUP(A766,'Trial Balance - FPer'!$A$7:$I$1107,7,FALSE)</f>
        <v>3635.62</v>
      </c>
      <c r="J766" s="2100">
        <f>VLOOKUP(A766,'Trial Balance - FPer'!$A$7:$I$1126,3,FALSE)</f>
        <v>9678.25</v>
      </c>
    </row>
    <row r="767" spans="1:10" ht="14.25" hidden="1" x14ac:dyDescent="0.2">
      <c r="A767" s="2236"/>
      <c r="B767" s="2243" t="s">
        <v>6719</v>
      </c>
      <c r="C767" s="2244"/>
      <c r="D767" s="2245"/>
      <c r="E767" s="2244"/>
      <c r="F767" s="2246"/>
      <c r="G767" s="2253"/>
      <c r="H767" s="2100"/>
      <c r="I767" s="2238"/>
      <c r="J767" s="2100"/>
    </row>
    <row r="768" spans="1:10" ht="14.25" hidden="1" x14ac:dyDescent="0.2">
      <c r="A768" s="2236" t="s">
        <v>5256</v>
      </c>
      <c r="B768" s="2243" t="s">
        <v>6601</v>
      </c>
      <c r="C768" s="2244">
        <f>'[2]Data File'!$C$486</f>
        <v>0</v>
      </c>
      <c r="D768" s="2245">
        <v>0</v>
      </c>
      <c r="E768" s="2244">
        <v>0</v>
      </c>
      <c r="F768" s="2246">
        <v>0</v>
      </c>
      <c r="G768" s="2253">
        <v>0</v>
      </c>
      <c r="H768" s="2100">
        <v>0</v>
      </c>
      <c r="I768" s="2238">
        <f>VLOOKUP(A768,'Trial Balance - FPer'!$A$7:$I$1107,7,FALSE)</f>
        <v>0</v>
      </c>
      <c r="J768" s="2100">
        <f>VLOOKUP(A768,'Trial Balance - FPer'!$A$7:$I$1126,3,FALSE)</f>
        <v>0</v>
      </c>
    </row>
    <row r="769" spans="1:10" ht="14.25" hidden="1" x14ac:dyDescent="0.2">
      <c r="A769" s="2236"/>
      <c r="B769" s="2243" t="s">
        <v>6720</v>
      </c>
      <c r="C769" s="2244"/>
      <c r="D769" s="2245"/>
      <c r="E769" s="2244"/>
      <c r="F769" s="2246"/>
      <c r="G769" s="2253"/>
      <c r="H769" s="2100"/>
      <c r="I769" s="2238"/>
      <c r="J769" s="2100"/>
    </row>
    <row r="770" spans="1:10" ht="14.25" hidden="1" x14ac:dyDescent="0.2">
      <c r="A770" s="2236" t="s">
        <v>5257</v>
      </c>
      <c r="B770" s="2243" t="s">
        <v>6601</v>
      </c>
      <c r="C770" s="2244">
        <f>'[2]Data File'!$C$819</f>
        <v>262585.34000000003</v>
      </c>
      <c r="D770" s="2245">
        <v>13410.58</v>
      </c>
      <c r="E770" s="2244">
        <v>12599.71</v>
      </c>
      <c r="F770" s="2246">
        <v>62979.16</v>
      </c>
      <c r="G770" s="2253">
        <v>22317.52</v>
      </c>
      <c r="H770" s="2100">
        <v>42680.11</v>
      </c>
      <c r="I770" s="2238">
        <f>VLOOKUP(A770,'Trial Balance - FPer'!$A$7:$I$1107,7,FALSE)</f>
        <v>73786.989999999991</v>
      </c>
      <c r="J770" s="2100">
        <f>VLOOKUP(A770,'Trial Balance - FPer'!$A$7:$I$1126,3,FALSE)</f>
        <v>262585.34000000003</v>
      </c>
    </row>
    <row r="771" spans="1:10" ht="14.25" hidden="1" x14ac:dyDescent="0.2">
      <c r="A771" s="2236"/>
      <c r="B771" s="2243" t="s">
        <v>6667</v>
      </c>
      <c r="C771" s="2244"/>
      <c r="D771" s="2245"/>
      <c r="E771" s="2244"/>
      <c r="F771" s="2246"/>
      <c r="G771" s="2253"/>
      <c r="H771" s="2100"/>
      <c r="I771" s="2238"/>
      <c r="J771" s="2100"/>
    </row>
    <row r="772" spans="1:10" ht="14.25" hidden="1" x14ac:dyDescent="0.2">
      <c r="A772" s="2236" t="s">
        <v>5258</v>
      </c>
      <c r="B772" s="2243" t="s">
        <v>6729</v>
      </c>
      <c r="C772" s="2244">
        <f>'[2]Data File'!$C$495</f>
        <v>123530.46</v>
      </c>
      <c r="D772" s="2245">
        <v>206085</v>
      </c>
      <c r="E772" s="2244">
        <v>260.75</v>
      </c>
      <c r="F772" s="2246">
        <v>200000</v>
      </c>
      <c r="G772" s="2253">
        <v>52112.4</v>
      </c>
      <c r="H772" s="2100">
        <v>260.75</v>
      </c>
      <c r="I772" s="2238">
        <f>VLOOKUP(A772,'Trial Balance - FPer'!$A$7:$I$1107,7,FALSE)</f>
        <v>-11704.81</v>
      </c>
      <c r="J772" s="2100">
        <f>VLOOKUP(A772,'Trial Balance - FPer'!$A$7:$I$1126,3,FALSE)</f>
        <v>123530.46</v>
      </c>
    </row>
    <row r="773" spans="1:10" ht="14.25" hidden="1" x14ac:dyDescent="0.2">
      <c r="A773" s="2236"/>
      <c r="B773" s="2243" t="s">
        <v>6720</v>
      </c>
      <c r="C773" s="2244"/>
      <c r="D773" s="2245"/>
      <c r="E773" s="2244"/>
      <c r="F773" s="2246"/>
      <c r="G773" s="2253"/>
      <c r="H773" s="2100"/>
      <c r="I773" s="2238"/>
      <c r="J773" s="2100"/>
    </row>
    <row r="774" spans="1:10" ht="14.25" hidden="1" x14ac:dyDescent="0.2">
      <c r="A774" s="2236" t="s">
        <v>5260</v>
      </c>
      <c r="B774" s="2243" t="s">
        <v>6602</v>
      </c>
      <c r="C774" s="2244">
        <v>0</v>
      </c>
      <c r="D774" s="2245">
        <v>0</v>
      </c>
      <c r="E774" s="2244">
        <v>8342</v>
      </c>
      <c r="F774" s="2246">
        <v>8342</v>
      </c>
      <c r="G774" s="2253">
        <v>8342</v>
      </c>
      <c r="H774" s="2100">
        <v>8342</v>
      </c>
      <c r="I774" s="2238">
        <f>VLOOKUP(A774,'Trial Balance - FPer'!$A$7:$I$1107,7,FALSE)</f>
        <v>8342</v>
      </c>
      <c r="J774" s="2100">
        <f>VLOOKUP(A774,'Trial Balance - FPer'!$A$7:$I$1126,3,FALSE)</f>
        <v>0</v>
      </c>
    </row>
    <row r="775" spans="1:10" ht="14.25" hidden="1" x14ac:dyDescent="0.2">
      <c r="A775" s="2236"/>
      <c r="B775" s="2243" t="s">
        <v>6667</v>
      </c>
      <c r="C775" s="2244"/>
      <c r="D775" s="2245"/>
      <c r="E775" s="2244"/>
      <c r="F775" s="2246"/>
      <c r="G775" s="2253"/>
      <c r="H775" s="2100"/>
      <c r="I775" s="2238"/>
      <c r="J775" s="2100"/>
    </row>
    <row r="776" spans="1:10" ht="14.25" hidden="1" x14ac:dyDescent="0.2">
      <c r="A776" s="2236" t="s">
        <v>5261</v>
      </c>
      <c r="B776" s="2243" t="s">
        <v>6634</v>
      </c>
      <c r="C776" s="2244">
        <f>'[2]Data File'!$C$189</f>
        <v>0</v>
      </c>
      <c r="D776" s="2245">
        <v>0</v>
      </c>
      <c r="E776" s="2244">
        <v>0</v>
      </c>
      <c r="F776" s="2246">
        <v>0</v>
      </c>
      <c r="G776" s="2253">
        <v>0</v>
      </c>
      <c r="H776" s="2100">
        <v>0</v>
      </c>
      <c r="I776" s="2238">
        <f>VLOOKUP(A776,'Trial Balance - FPer'!$A$7:$I$1107,7,FALSE)</f>
        <v>0</v>
      </c>
      <c r="J776" s="2100">
        <f>VLOOKUP(A776,'Trial Balance - FPer'!$A$7:$I$1126,3,FALSE)</f>
        <v>0</v>
      </c>
    </row>
    <row r="777" spans="1:10" ht="14.25" hidden="1" x14ac:dyDescent="0.2">
      <c r="A777" s="2236"/>
      <c r="B777" s="2243" t="s">
        <v>6718</v>
      </c>
      <c r="C777" s="2244"/>
      <c r="D777" s="2245"/>
      <c r="E777" s="2244"/>
      <c r="F777" s="2246"/>
      <c r="G777" s="2253"/>
      <c r="H777" s="2100"/>
      <c r="I777" s="2238"/>
      <c r="J777" s="2100"/>
    </row>
    <row r="778" spans="1:10" ht="14.25" hidden="1" x14ac:dyDescent="0.2">
      <c r="A778" s="2236" t="s">
        <v>5262</v>
      </c>
      <c r="B778" s="2243" t="s">
        <v>6634</v>
      </c>
      <c r="C778" s="2244">
        <f>'[2]Data File'!$C$329</f>
        <v>0</v>
      </c>
      <c r="D778" s="2245">
        <v>0</v>
      </c>
      <c r="E778" s="2244">
        <v>0</v>
      </c>
      <c r="F778" s="2246">
        <v>0</v>
      </c>
      <c r="G778" s="2253">
        <v>0</v>
      </c>
      <c r="H778" s="2100">
        <v>0</v>
      </c>
      <c r="I778" s="2238">
        <f>VLOOKUP(A778,'Trial Balance - FPer'!$A$7:$I$1107,7,FALSE)</f>
        <v>0</v>
      </c>
      <c r="J778" s="2100">
        <f>VLOOKUP(A778,'Trial Balance - FPer'!$A$7:$I$1126,3,FALSE)</f>
        <v>0</v>
      </c>
    </row>
    <row r="779" spans="1:10" ht="14.25" hidden="1" x14ac:dyDescent="0.2">
      <c r="A779" s="2236"/>
      <c r="B779" s="2243" t="s">
        <v>6719</v>
      </c>
      <c r="C779" s="2244"/>
      <c r="D779" s="2245"/>
      <c r="E779" s="2244"/>
      <c r="F779" s="2246"/>
      <c r="G779" s="2253"/>
      <c r="H779" s="2100"/>
      <c r="I779" s="2238"/>
      <c r="J779" s="2100"/>
    </row>
    <row r="780" spans="1:10" ht="14.25" hidden="1" x14ac:dyDescent="0.2">
      <c r="A780" s="2236" t="s">
        <v>5263</v>
      </c>
      <c r="B780" s="2243" t="s">
        <v>6634</v>
      </c>
      <c r="C780" s="2244">
        <f>'[2]Data File'!$C$487</f>
        <v>0</v>
      </c>
      <c r="D780" s="2245">
        <v>0</v>
      </c>
      <c r="E780" s="2244">
        <v>0</v>
      </c>
      <c r="F780" s="2246">
        <v>0</v>
      </c>
      <c r="G780" s="2253">
        <v>0</v>
      </c>
      <c r="H780" s="2100">
        <v>0</v>
      </c>
      <c r="I780" s="2238">
        <f>VLOOKUP(A780,'Trial Balance - FPer'!$A$7:$I$1107,7,FALSE)</f>
        <v>0</v>
      </c>
      <c r="J780" s="2100">
        <f>VLOOKUP(A780,'Trial Balance - FPer'!$A$7:$I$1126,3,FALSE)</f>
        <v>0</v>
      </c>
    </row>
    <row r="781" spans="1:10" ht="14.25" hidden="1" x14ac:dyDescent="0.2">
      <c r="A781" s="2236"/>
      <c r="B781" s="2243" t="s">
        <v>6720</v>
      </c>
      <c r="C781" s="2244"/>
      <c r="D781" s="2245"/>
      <c r="E781" s="2244"/>
      <c r="F781" s="2246"/>
      <c r="G781" s="2253"/>
      <c r="H781" s="2100"/>
      <c r="I781" s="2238"/>
      <c r="J781" s="2100"/>
    </row>
    <row r="782" spans="1:10" ht="14.25" hidden="1" x14ac:dyDescent="0.2">
      <c r="A782" s="2236" t="s">
        <v>5264</v>
      </c>
      <c r="B782" s="2243" t="s">
        <v>6634</v>
      </c>
      <c r="C782" s="2244">
        <f>'[2]Data File'!$C$820</f>
        <v>13209.89</v>
      </c>
      <c r="D782" s="2245">
        <v>24984.1</v>
      </c>
      <c r="E782" s="2244">
        <v>0</v>
      </c>
      <c r="F782" s="2246">
        <v>24984.1</v>
      </c>
      <c r="G782" s="2253">
        <v>6270.05</v>
      </c>
      <c r="H782" s="2100">
        <v>0</v>
      </c>
      <c r="I782" s="2238">
        <f>VLOOKUP(A782,'Trial Balance - FPer'!$A$7:$I$1107,7,FALSE)</f>
        <v>1908.01</v>
      </c>
      <c r="J782" s="2100">
        <f>VLOOKUP(A782,'Trial Balance - FPer'!$A$7:$I$1126,3,FALSE)</f>
        <v>13209.89</v>
      </c>
    </row>
    <row r="783" spans="1:10" ht="14.25" hidden="1" x14ac:dyDescent="0.2">
      <c r="A783" s="2236"/>
      <c r="B783" s="2243" t="s">
        <v>6667</v>
      </c>
      <c r="C783" s="2244"/>
      <c r="D783" s="2245"/>
      <c r="E783" s="2244"/>
      <c r="F783" s="2246"/>
      <c r="G783" s="2253"/>
      <c r="H783" s="2100"/>
      <c r="I783" s="2238"/>
      <c r="J783" s="2100"/>
    </row>
    <row r="784" spans="1:10" ht="14.25" hidden="1" x14ac:dyDescent="0.2">
      <c r="A784" s="2236" t="s">
        <v>5265</v>
      </c>
      <c r="B784" s="2243" t="s">
        <v>6105</v>
      </c>
      <c r="C784" s="2244">
        <f>'[2]Data File'!$C$488</f>
        <v>0</v>
      </c>
      <c r="D784" s="2245">
        <v>186.08</v>
      </c>
      <c r="E784" s="2244">
        <v>0</v>
      </c>
      <c r="F784" s="2246">
        <v>0</v>
      </c>
      <c r="G784" s="2253">
        <v>48.04</v>
      </c>
      <c r="H784" s="2100">
        <v>0</v>
      </c>
      <c r="I784" s="2238">
        <f>VLOOKUP(A784,'Trial Balance - FPer'!$A$7:$I$1107,7,FALSE)</f>
        <v>0</v>
      </c>
      <c r="J784" s="2100" t="str">
        <f>VLOOKUP(A784,'Trial Balance - FPer'!$A$7:$I$1126,3,FALSE)</f>
        <v xml:space="preserve">                               -  </v>
      </c>
    </row>
    <row r="785" spans="1:10" ht="14.25" hidden="1" x14ac:dyDescent="0.2">
      <c r="A785" s="2236"/>
      <c r="B785" s="2243" t="s">
        <v>6720</v>
      </c>
      <c r="C785" s="2244"/>
      <c r="D785" s="2245"/>
      <c r="E785" s="2244"/>
      <c r="F785" s="2246"/>
      <c r="G785" s="2253"/>
      <c r="H785" s="2100"/>
      <c r="I785" s="2238"/>
      <c r="J785" s="2100"/>
    </row>
    <row r="786" spans="1:10" ht="14.25" hidden="1" x14ac:dyDescent="0.2">
      <c r="A786" s="2236" t="s">
        <v>5266</v>
      </c>
      <c r="B786" s="2243" t="s">
        <v>6105</v>
      </c>
      <c r="C786" s="2244">
        <f>'[2]Data File'!$C$821</f>
        <v>20427.53</v>
      </c>
      <c r="D786" s="2245">
        <v>3038.53</v>
      </c>
      <c r="E786" s="2244">
        <v>316.02999999999997</v>
      </c>
      <c r="F786" s="2246">
        <v>3038.53</v>
      </c>
      <c r="G786" s="2253">
        <v>1238.82</v>
      </c>
      <c r="H786" s="2100">
        <v>316.02999999999997</v>
      </c>
      <c r="I786" s="2238">
        <f>VLOOKUP(A786,'Trial Balance - FPer'!$A$7:$I$1107,7,FALSE)</f>
        <v>1747.61</v>
      </c>
      <c r="J786" s="2100">
        <f>VLOOKUP(A786,'Trial Balance - FPer'!$A$7:$I$1126,3,FALSE)</f>
        <v>20427.53</v>
      </c>
    </row>
    <row r="787" spans="1:10" ht="14.25" hidden="1" x14ac:dyDescent="0.2">
      <c r="A787" s="2236"/>
      <c r="B787" s="2243" t="s">
        <v>6667</v>
      </c>
      <c r="C787" s="2244"/>
      <c r="D787" s="2245"/>
      <c r="E787" s="2244"/>
      <c r="F787" s="2246"/>
      <c r="G787" s="2253"/>
      <c r="H787" s="2100"/>
      <c r="I787" s="2238"/>
      <c r="J787" s="2100"/>
    </row>
    <row r="788" spans="1:10" ht="14.25" hidden="1" x14ac:dyDescent="0.2">
      <c r="A788" s="2236" t="s">
        <v>5267</v>
      </c>
      <c r="B788" s="2243" t="s">
        <v>6693</v>
      </c>
      <c r="C788" s="2244">
        <f>'[2]Data File'!$C$822</f>
        <v>497289.74</v>
      </c>
      <c r="D788" s="2245">
        <v>197461.19</v>
      </c>
      <c r="E788" s="2244">
        <v>61339.24</v>
      </c>
      <c r="F788" s="2246">
        <v>197461.19</v>
      </c>
      <c r="G788" s="2253">
        <v>141820.60999999999</v>
      </c>
      <c r="H788" s="2100">
        <v>93670.21</v>
      </c>
      <c r="I788" s="2238">
        <f>VLOOKUP(A788,'Trial Balance - FPer'!$A$7:$I$1107,7,FALSE)</f>
        <v>198073.78</v>
      </c>
      <c r="J788" s="2100">
        <f>VLOOKUP(A788,'Trial Balance - FPer'!$A$7:$I$1126,3,FALSE)</f>
        <v>497289.74</v>
      </c>
    </row>
    <row r="789" spans="1:10" ht="14.25" hidden="1" x14ac:dyDescent="0.2">
      <c r="A789" s="2236"/>
      <c r="B789" s="2243" t="s">
        <v>6667</v>
      </c>
      <c r="C789" s="2244"/>
      <c r="D789" s="2245"/>
      <c r="E789" s="2244"/>
      <c r="F789" s="2246"/>
      <c r="G789" s="2253"/>
      <c r="H789" s="2100"/>
      <c r="I789" s="2238"/>
      <c r="J789" s="2100"/>
    </row>
    <row r="790" spans="1:10" ht="14.25" hidden="1" x14ac:dyDescent="0.2">
      <c r="A790" s="2236" t="s">
        <v>5268</v>
      </c>
      <c r="B790" s="2243" t="s">
        <v>6730</v>
      </c>
      <c r="C790" s="2244">
        <f>'[2]Data File'!$C$823</f>
        <v>1233905.75</v>
      </c>
      <c r="D790" s="2245">
        <v>2010707.82</v>
      </c>
      <c r="E790" s="2244">
        <v>620467.88</v>
      </c>
      <c r="F790" s="2246">
        <v>1083911.8999999999</v>
      </c>
      <c r="G790" s="2253">
        <v>1437858.8</v>
      </c>
      <c r="H790" s="2100">
        <v>697708.55</v>
      </c>
      <c r="I790" s="2238">
        <f>VLOOKUP(A790,'Trial Balance - FPer'!$A$7:$I$1107,7,FALSE)</f>
        <v>682583.88</v>
      </c>
      <c r="J790" s="2100">
        <f>VLOOKUP(A790,'Trial Balance - FPer'!$A$7:$I$1126,3,FALSE)</f>
        <v>394647.91</v>
      </c>
    </row>
    <row r="791" spans="1:10" ht="14.25" hidden="1" x14ac:dyDescent="0.2">
      <c r="A791" s="2236"/>
      <c r="B791" s="2243" t="s">
        <v>6667</v>
      </c>
      <c r="C791" s="2244"/>
      <c r="D791" s="2245"/>
      <c r="E791" s="2244"/>
      <c r="F791" s="2246"/>
      <c r="G791" s="2253"/>
      <c r="H791" s="2100"/>
      <c r="I791" s="2238"/>
      <c r="J791" s="2100"/>
    </row>
    <row r="792" spans="1:10" ht="14.25" hidden="1" x14ac:dyDescent="0.2">
      <c r="A792" s="2236" t="s">
        <v>5270</v>
      </c>
      <c r="B792" s="2243" t="s">
        <v>6607</v>
      </c>
      <c r="C792" s="2244">
        <f>'[2]Data File'!$C$190</f>
        <v>0</v>
      </c>
      <c r="D792" s="2245">
        <v>2067.98</v>
      </c>
      <c r="E792" s="2244">
        <v>0</v>
      </c>
      <c r="F792" s="2246">
        <v>2067.98</v>
      </c>
      <c r="G792" s="2253">
        <v>517.99</v>
      </c>
      <c r="H792" s="2100">
        <v>1056</v>
      </c>
      <c r="I792" s="2238">
        <f>VLOOKUP(A792,'Trial Balance - FPer'!$A$7:$I$1107,7,FALSE)</f>
        <v>1056</v>
      </c>
      <c r="J792" s="2100" t="str">
        <f>VLOOKUP(A792,'Trial Balance - FPer'!$A$7:$I$1126,3,FALSE)</f>
        <v xml:space="preserve">                               -  </v>
      </c>
    </row>
    <row r="793" spans="1:10" ht="14.25" hidden="1" x14ac:dyDescent="0.2">
      <c r="A793" s="2236"/>
      <c r="B793" s="2243" t="s">
        <v>6718</v>
      </c>
      <c r="C793" s="2244"/>
      <c r="D793" s="2245"/>
      <c r="E793" s="2244"/>
      <c r="F793" s="2246"/>
      <c r="G793" s="2253"/>
      <c r="H793" s="2100"/>
      <c r="I793" s="2238"/>
      <c r="J793" s="2100"/>
    </row>
    <row r="794" spans="1:10" ht="14.25" hidden="1" x14ac:dyDescent="0.2">
      <c r="A794" s="2236" t="s">
        <v>5271</v>
      </c>
      <c r="B794" s="2243" t="s">
        <v>6607</v>
      </c>
      <c r="C794" s="2244">
        <f>'[2]Data File'!$C$330</f>
        <v>0</v>
      </c>
      <c r="D794" s="2245">
        <v>0</v>
      </c>
      <c r="E794" s="2244">
        <v>0</v>
      </c>
      <c r="F794" s="2246">
        <v>0</v>
      </c>
      <c r="G794" s="2253">
        <v>0</v>
      </c>
      <c r="H794" s="2100">
        <v>0</v>
      </c>
      <c r="I794" s="2238">
        <f>VLOOKUP(A794,'Trial Balance - FPer'!$A$7:$I$1107,7,FALSE)</f>
        <v>1227.44</v>
      </c>
      <c r="J794" s="2100">
        <f>VLOOKUP(A794,'Trial Balance - FPer'!$A$7:$I$1126,3,FALSE)</f>
        <v>0</v>
      </c>
    </row>
    <row r="795" spans="1:10" ht="14.25" hidden="1" x14ac:dyDescent="0.2">
      <c r="A795" s="2236"/>
      <c r="B795" s="2243" t="s">
        <v>6719</v>
      </c>
      <c r="C795" s="2244"/>
      <c r="D795" s="2245"/>
      <c r="E795" s="2244"/>
      <c r="F795" s="2246"/>
      <c r="G795" s="2253"/>
      <c r="H795" s="2100"/>
      <c r="I795" s="2238"/>
      <c r="J795" s="2100"/>
    </row>
    <row r="796" spans="1:10" ht="14.25" hidden="1" x14ac:dyDescent="0.2">
      <c r="A796" s="2236" t="s">
        <v>5272</v>
      </c>
      <c r="B796" s="2243" t="s">
        <v>6607</v>
      </c>
      <c r="C796" s="2244">
        <f>'[2]Data File'!$C$489</f>
        <v>2663.16</v>
      </c>
      <c r="D796" s="2245">
        <v>3664.74</v>
      </c>
      <c r="E796" s="2244">
        <v>0</v>
      </c>
      <c r="F796" s="2246">
        <v>0</v>
      </c>
      <c r="G796" s="2253">
        <v>920.37</v>
      </c>
      <c r="H796" s="2100">
        <v>0</v>
      </c>
      <c r="I796" s="2238">
        <f>VLOOKUP(A796,'Trial Balance - FPer'!$A$7:$I$1107,7,FALSE)</f>
        <v>0</v>
      </c>
      <c r="J796" s="2100">
        <f>VLOOKUP(A796,'Trial Balance - FPer'!$A$7:$I$1126,3,FALSE)</f>
        <v>2663.16</v>
      </c>
    </row>
    <row r="797" spans="1:10" ht="14.25" hidden="1" x14ac:dyDescent="0.2">
      <c r="A797" s="2236"/>
      <c r="B797" s="2243" t="s">
        <v>6720</v>
      </c>
      <c r="C797" s="2244"/>
      <c r="D797" s="2245"/>
      <c r="E797" s="2244"/>
      <c r="F797" s="2246"/>
      <c r="G797" s="2253"/>
      <c r="H797" s="2100"/>
      <c r="I797" s="2238"/>
      <c r="J797" s="2100"/>
    </row>
    <row r="798" spans="1:10" ht="14.25" hidden="1" x14ac:dyDescent="0.2">
      <c r="A798" s="2236" t="s">
        <v>5273</v>
      </c>
      <c r="B798" s="2243" t="s">
        <v>6608</v>
      </c>
      <c r="C798" s="2244">
        <f>'[2]Data File'!$C$490</f>
        <v>0</v>
      </c>
      <c r="D798" s="2245">
        <v>0</v>
      </c>
      <c r="E798" s="2244">
        <v>0</v>
      </c>
      <c r="F798" s="2246">
        <v>0</v>
      </c>
      <c r="G798" s="2253">
        <v>0</v>
      </c>
      <c r="H798" s="2100">
        <v>0</v>
      </c>
      <c r="I798" s="2238">
        <f>VLOOKUP(A798,'Trial Balance - FPer'!$A$7:$I$1107,7,FALSE)</f>
        <v>405213.79</v>
      </c>
      <c r="J798" s="2100">
        <f>VLOOKUP(A798,'Trial Balance - FPer'!$A$7:$I$1126,3,FALSE)</f>
        <v>0</v>
      </c>
    </row>
    <row r="799" spans="1:10" ht="14.25" hidden="1" x14ac:dyDescent="0.2">
      <c r="A799" s="2236"/>
      <c r="B799" s="2243" t="s">
        <v>6720</v>
      </c>
      <c r="C799" s="2244"/>
      <c r="D799" s="2245"/>
      <c r="E799" s="2244"/>
      <c r="F799" s="2246"/>
      <c r="G799" s="2253"/>
      <c r="H799" s="2100"/>
      <c r="I799" s="2238"/>
      <c r="J799" s="2100"/>
    </row>
    <row r="800" spans="1:10" ht="14.25" hidden="1" x14ac:dyDescent="0.2">
      <c r="A800" s="2236" t="s">
        <v>5274</v>
      </c>
      <c r="B800" s="2243" t="s">
        <v>6608</v>
      </c>
      <c r="C800" s="2244">
        <f>'[2]Data File'!$C$824</f>
        <v>2891.04</v>
      </c>
      <c r="D800" s="2245">
        <v>515.54999999999995</v>
      </c>
      <c r="E800" s="2244">
        <v>1811.09</v>
      </c>
      <c r="F800" s="2246">
        <v>2015.99</v>
      </c>
      <c r="G800" s="2253">
        <v>2843.81</v>
      </c>
      <c r="H800" s="2100">
        <v>2015.99</v>
      </c>
      <c r="I800" s="2238">
        <f>VLOOKUP(A800,'Trial Balance - FPer'!$A$7:$I$1107,7,FALSE)</f>
        <v>0</v>
      </c>
      <c r="J800" s="2100">
        <f>VLOOKUP(A800,'Trial Balance - FPer'!$A$7:$I$1126,3,FALSE)</f>
        <v>0</v>
      </c>
    </row>
    <row r="801" spans="1:10" ht="14.25" hidden="1" x14ac:dyDescent="0.2">
      <c r="A801" s="2236"/>
      <c r="B801" s="2243" t="s">
        <v>6667</v>
      </c>
      <c r="C801" s="2244"/>
      <c r="D801" s="2245"/>
      <c r="E801" s="2244"/>
      <c r="F801" s="2246"/>
      <c r="G801" s="2253"/>
      <c r="H801" s="2100"/>
      <c r="I801" s="2238"/>
      <c r="J801" s="2100"/>
    </row>
    <row r="802" spans="1:10" ht="14.25" hidden="1" x14ac:dyDescent="0.2">
      <c r="A802" s="2236" t="s">
        <v>5275</v>
      </c>
      <c r="B802" s="2243" t="s">
        <v>6027</v>
      </c>
      <c r="C802" s="2244">
        <f>'[2]Data File'!$C$191</f>
        <v>31845.8</v>
      </c>
      <c r="D802" s="2245">
        <v>2067.98</v>
      </c>
      <c r="E802" s="2244">
        <v>828</v>
      </c>
      <c r="F802" s="2246">
        <v>2067.98</v>
      </c>
      <c r="G802" s="2253">
        <v>1753.75</v>
      </c>
      <c r="H802" s="2100">
        <v>828</v>
      </c>
      <c r="I802" s="2238">
        <f>VLOOKUP(A802,'Trial Balance - FPer'!$A$7:$I$1107,7,FALSE)</f>
        <v>1203.0899999999999</v>
      </c>
      <c r="J802" s="2100">
        <f>VLOOKUP(A802,'Trial Balance - FPer'!$A$7:$I$1126,3,FALSE)</f>
        <v>31845.8</v>
      </c>
    </row>
    <row r="803" spans="1:10" ht="14.25" hidden="1" x14ac:dyDescent="0.2">
      <c r="A803" s="2236"/>
      <c r="B803" s="2243" t="s">
        <v>6718</v>
      </c>
      <c r="C803" s="2244"/>
      <c r="D803" s="2245"/>
      <c r="E803" s="2244"/>
      <c r="F803" s="2246"/>
      <c r="G803" s="2253"/>
      <c r="H803" s="2100"/>
      <c r="I803" s="2238"/>
      <c r="J803" s="2100"/>
    </row>
    <row r="804" spans="1:10" ht="14.25" hidden="1" x14ac:dyDescent="0.2">
      <c r="A804" s="2236" t="s">
        <v>5276</v>
      </c>
      <c r="B804" s="2243" t="s">
        <v>6027</v>
      </c>
      <c r="C804" s="2244">
        <f>'[2]Data File'!$C$331</f>
        <v>0</v>
      </c>
      <c r="D804" s="2245">
        <v>0</v>
      </c>
      <c r="E804" s="2244">
        <v>0</v>
      </c>
      <c r="F804" s="2246">
        <v>0</v>
      </c>
      <c r="G804" s="2253">
        <v>0</v>
      </c>
      <c r="H804" s="2100">
        <v>0</v>
      </c>
      <c r="I804" s="2238">
        <f>VLOOKUP(A804,'Trial Balance - FPer'!$A$7:$I$1107,7,FALSE)</f>
        <v>0</v>
      </c>
      <c r="J804" s="2100">
        <f>VLOOKUP(A804,'Trial Balance - FPer'!$A$7:$I$1126,3,FALSE)</f>
        <v>0</v>
      </c>
    </row>
    <row r="805" spans="1:10" ht="14.25" hidden="1" x14ac:dyDescent="0.2">
      <c r="A805" s="2236"/>
      <c r="B805" s="2243" t="s">
        <v>6719</v>
      </c>
      <c r="C805" s="2244"/>
      <c r="D805" s="2245"/>
      <c r="E805" s="2244"/>
      <c r="F805" s="2246"/>
      <c r="G805" s="2253"/>
      <c r="H805" s="2100"/>
      <c r="I805" s="2238"/>
      <c r="J805" s="2100"/>
    </row>
    <row r="806" spans="1:10" ht="14.25" hidden="1" x14ac:dyDescent="0.2">
      <c r="A806" s="2236" t="s">
        <v>5277</v>
      </c>
      <c r="B806" s="2243" t="s">
        <v>6028</v>
      </c>
      <c r="C806" s="2244">
        <f>'[2]Data File'!$C$491</f>
        <v>0</v>
      </c>
      <c r="D806" s="2245">
        <v>0</v>
      </c>
      <c r="E806" s="2244">
        <v>0</v>
      </c>
      <c r="F806" s="2246">
        <v>0</v>
      </c>
      <c r="G806" s="2253">
        <v>0</v>
      </c>
      <c r="H806" s="2100">
        <v>0</v>
      </c>
      <c r="I806" s="2238">
        <f>VLOOKUP(A806,'Trial Balance - FPer'!$A$7:$I$1107,7,FALSE)</f>
        <v>350</v>
      </c>
      <c r="J806" s="2100">
        <f>VLOOKUP(A806,'Trial Balance - FPer'!$A$7:$I$1126,3,FALSE)</f>
        <v>0</v>
      </c>
    </row>
    <row r="807" spans="1:10" ht="14.25" hidden="1" x14ac:dyDescent="0.2">
      <c r="A807" s="2236"/>
      <c r="B807" s="2243" t="s">
        <v>6720</v>
      </c>
      <c r="C807" s="2244"/>
      <c r="D807" s="2245"/>
      <c r="E807" s="2244"/>
      <c r="F807" s="2246"/>
      <c r="G807" s="2253"/>
      <c r="H807" s="2100"/>
      <c r="I807" s="2238"/>
      <c r="J807" s="2100"/>
    </row>
    <row r="808" spans="1:10" ht="14.25" hidden="1" x14ac:dyDescent="0.2">
      <c r="A808" s="2236" t="s">
        <v>5278</v>
      </c>
      <c r="B808" s="2243" t="s">
        <v>6028</v>
      </c>
      <c r="C808" s="2244">
        <f>'[2]Data File'!$C$825</f>
        <v>28072.400000000001</v>
      </c>
      <c r="D808" s="2245">
        <v>49178.8</v>
      </c>
      <c r="E808" s="2244">
        <v>7390</v>
      </c>
      <c r="F808" s="2246">
        <v>49178.8</v>
      </c>
      <c r="G808" s="2253">
        <v>23456.17</v>
      </c>
      <c r="H808" s="2100">
        <v>9390</v>
      </c>
      <c r="I808" s="2238">
        <f>VLOOKUP(A808,'Trial Balance - FPer'!$A$7:$I$1107,7,FALSE)</f>
        <v>437195.5</v>
      </c>
      <c r="J808" s="2100">
        <f>VLOOKUP(A808,'Trial Balance - FPer'!$A$7:$I$1126,3,FALSE)</f>
        <v>28072.400000000001</v>
      </c>
    </row>
    <row r="809" spans="1:10" ht="14.25" hidden="1" x14ac:dyDescent="0.2">
      <c r="A809" s="2236"/>
      <c r="B809" s="2243" t="s">
        <v>6667</v>
      </c>
      <c r="C809" s="2244"/>
      <c r="D809" s="2245"/>
      <c r="E809" s="2244"/>
      <c r="F809" s="2246"/>
      <c r="G809" s="2253"/>
      <c r="H809" s="2100"/>
      <c r="I809" s="2238"/>
      <c r="J809" s="2100"/>
    </row>
    <row r="810" spans="1:10" ht="14.25" hidden="1" x14ac:dyDescent="0.2">
      <c r="A810" s="2236" t="s">
        <v>5279</v>
      </c>
      <c r="B810" s="2243" t="s">
        <v>6609</v>
      </c>
      <c r="C810" s="2244">
        <f>'[2]Data File'!$C$192</f>
        <v>10566.4</v>
      </c>
      <c r="D810" s="2245">
        <v>7289.44</v>
      </c>
      <c r="E810" s="2244">
        <v>38526.449999999997</v>
      </c>
      <c r="F810" s="2246">
        <v>83153.990000000005</v>
      </c>
      <c r="G810" s="2253">
        <v>59775.35</v>
      </c>
      <c r="H810" s="2100">
        <v>52065.46</v>
      </c>
      <c r="I810" s="2238">
        <f>VLOOKUP(A810,'Trial Balance - FPer'!$A$7:$I$1107,7,FALSE)</f>
        <v>66712.009999999995</v>
      </c>
      <c r="J810" s="2100">
        <f>VLOOKUP(A810,'Trial Balance - FPer'!$A$7:$I$1126,3,FALSE)</f>
        <v>10566.4</v>
      </c>
    </row>
    <row r="811" spans="1:10" ht="14.25" hidden="1" x14ac:dyDescent="0.2">
      <c r="A811" s="2236"/>
      <c r="B811" s="2243" t="s">
        <v>6718</v>
      </c>
      <c r="C811" s="2244"/>
      <c r="D811" s="2245"/>
      <c r="E811" s="2244"/>
      <c r="F811" s="2246"/>
      <c r="G811" s="2253"/>
      <c r="H811" s="2100"/>
      <c r="I811" s="2238"/>
      <c r="J811" s="2100"/>
    </row>
    <row r="812" spans="1:10" ht="14.25" hidden="1" x14ac:dyDescent="0.2">
      <c r="A812" s="2236" t="s">
        <v>5280</v>
      </c>
      <c r="B812" s="2243" t="s">
        <v>6609</v>
      </c>
      <c r="C812" s="2244">
        <f>'[2]Data File'!$C$334</f>
        <v>44948.05</v>
      </c>
      <c r="D812" s="2245">
        <v>70555.8</v>
      </c>
      <c r="E812" s="2244">
        <v>4409.25</v>
      </c>
      <c r="F812" s="2246">
        <v>20000</v>
      </c>
      <c r="G812" s="2253">
        <v>24343.51</v>
      </c>
      <c r="H812" s="2100">
        <v>6212.07</v>
      </c>
      <c r="I812" s="2238">
        <f>VLOOKUP(A812,'Trial Balance - FPer'!$A$7:$I$1107,7,FALSE)</f>
        <v>87309.209999999992</v>
      </c>
      <c r="J812" s="2100">
        <f>VLOOKUP(A812,'Trial Balance - FPer'!$A$7:$I$1126,3,FALSE)</f>
        <v>44948.05</v>
      </c>
    </row>
    <row r="813" spans="1:10" ht="14.25" hidden="1" x14ac:dyDescent="0.2">
      <c r="A813" s="2236"/>
      <c r="B813" s="2243" t="s">
        <v>6719</v>
      </c>
      <c r="C813" s="2244"/>
      <c r="D813" s="2245"/>
      <c r="E813" s="2244"/>
      <c r="F813" s="2246"/>
      <c r="G813" s="2253"/>
      <c r="H813" s="2100"/>
      <c r="I813" s="2238"/>
      <c r="J813" s="2100"/>
    </row>
    <row r="814" spans="1:10" ht="14.25" hidden="1" x14ac:dyDescent="0.2">
      <c r="A814" s="2236" t="s">
        <v>5281</v>
      </c>
      <c r="B814" s="2243" t="s">
        <v>6609</v>
      </c>
      <c r="C814" s="2244">
        <f>'[2]Data File'!$C$492</f>
        <v>6700.1</v>
      </c>
      <c r="D814" s="2245">
        <v>10780</v>
      </c>
      <c r="E814" s="2244">
        <v>1746.49</v>
      </c>
      <c r="F814" s="2246">
        <v>1746.46</v>
      </c>
      <c r="G814" s="2253">
        <v>5331.16</v>
      </c>
      <c r="H814" s="2100">
        <v>1746.49</v>
      </c>
      <c r="I814" s="2238">
        <f>VLOOKUP(A814,'Trial Balance - FPer'!$A$7:$I$1107,7,FALSE)</f>
        <v>1746.49</v>
      </c>
      <c r="J814" s="2100">
        <f>VLOOKUP(A814,'Trial Balance - FPer'!$A$7:$I$1126,3,FALSE)</f>
        <v>6700.1</v>
      </c>
    </row>
    <row r="815" spans="1:10" ht="14.25" hidden="1" x14ac:dyDescent="0.2">
      <c r="A815" s="2236"/>
      <c r="B815" s="2243" t="s">
        <v>6720</v>
      </c>
      <c r="C815" s="2244"/>
      <c r="D815" s="2245"/>
      <c r="E815" s="2244"/>
      <c r="F815" s="2246"/>
      <c r="G815" s="2253"/>
      <c r="H815" s="2100"/>
      <c r="I815" s="2238"/>
      <c r="J815" s="2100"/>
    </row>
    <row r="816" spans="1:10" ht="14.25" hidden="1" x14ac:dyDescent="0.2">
      <c r="A816" s="2236" t="s">
        <v>5282</v>
      </c>
      <c r="B816" s="2243" t="s">
        <v>6609</v>
      </c>
      <c r="C816" s="2244">
        <f>'[2]Data File'!$C$826</f>
        <v>32440.080000000002</v>
      </c>
      <c r="D816" s="2245">
        <v>48076.42</v>
      </c>
      <c r="E816" s="2244">
        <v>95569.82</v>
      </c>
      <c r="F816" s="2246">
        <v>225189.46</v>
      </c>
      <c r="G816" s="2253">
        <v>155814.32</v>
      </c>
      <c r="H816" s="2100">
        <v>152589.82</v>
      </c>
      <c r="I816" s="2238">
        <f>VLOOKUP(A816,'Trial Balance - FPer'!$A$7:$I$1107,7,FALSE)</f>
        <v>327231.87</v>
      </c>
      <c r="J816" s="2100">
        <f>VLOOKUP(A816,'Trial Balance - FPer'!$A$7:$I$1126,3,FALSE)</f>
        <v>32440.080000000002</v>
      </c>
    </row>
    <row r="817" spans="1:10" ht="14.25" hidden="1" x14ac:dyDescent="0.2">
      <c r="A817" s="2236"/>
      <c r="B817" s="2243" t="s">
        <v>6667</v>
      </c>
      <c r="C817" s="2244"/>
      <c r="D817" s="2245"/>
      <c r="E817" s="2244"/>
      <c r="F817" s="2246"/>
      <c r="G817" s="2253"/>
      <c r="H817" s="2100"/>
      <c r="I817" s="2238"/>
      <c r="J817" s="2100"/>
    </row>
    <row r="818" spans="1:10" ht="14.25" hidden="1" x14ac:dyDescent="0.2">
      <c r="A818" s="2236" t="s">
        <v>5283</v>
      </c>
      <c r="B818" s="2243" t="s">
        <v>6110</v>
      </c>
      <c r="C818" s="2244">
        <v>0</v>
      </c>
      <c r="D818" s="2245">
        <v>0</v>
      </c>
      <c r="E818" s="2244">
        <v>0</v>
      </c>
      <c r="F818" s="2246">
        <v>0</v>
      </c>
      <c r="G818" s="2253">
        <v>0</v>
      </c>
      <c r="H818" s="2100">
        <v>0</v>
      </c>
      <c r="I818" s="2238">
        <f>VLOOKUP(A818,'Trial Balance - FPer'!$A$7:$I$1107,7,FALSE)</f>
        <v>0</v>
      </c>
      <c r="J818" s="2100">
        <f>VLOOKUP(A818,'Trial Balance - FPer'!$A$7:$I$1126,3,FALSE)</f>
        <v>0</v>
      </c>
    </row>
    <row r="819" spans="1:10" ht="14.25" hidden="1" x14ac:dyDescent="0.2">
      <c r="A819" s="2236"/>
      <c r="B819" s="2243" t="s">
        <v>6667</v>
      </c>
      <c r="C819" s="2244"/>
      <c r="D819" s="2245"/>
      <c r="E819" s="2244"/>
      <c r="F819" s="2246"/>
      <c r="G819" s="2253"/>
      <c r="H819" s="2100"/>
      <c r="I819" s="2238"/>
      <c r="J819" s="2100"/>
    </row>
    <row r="820" spans="1:10" ht="14.25" hidden="1" x14ac:dyDescent="0.2">
      <c r="A820" s="2236" t="s">
        <v>5284</v>
      </c>
      <c r="B820" s="2243" t="s">
        <v>6731</v>
      </c>
      <c r="C820" s="2244">
        <v>0</v>
      </c>
      <c r="D820" s="2245">
        <v>0</v>
      </c>
      <c r="E820" s="2244">
        <v>4078.95</v>
      </c>
      <c r="F820" s="2246">
        <v>4078.95</v>
      </c>
      <c r="G820" s="2253">
        <v>4078.95</v>
      </c>
      <c r="H820" s="2100">
        <v>2078.9499999999998</v>
      </c>
      <c r="I820" s="2238">
        <f>VLOOKUP(A820,'Trial Balance - FPer'!$A$7:$I$1107,7,FALSE)</f>
        <v>3605.09</v>
      </c>
      <c r="J820" s="2100">
        <f>VLOOKUP(A820,'Trial Balance - FPer'!$A$7:$I$1126,3,FALSE)</f>
        <v>0</v>
      </c>
    </row>
    <row r="821" spans="1:10" ht="14.25" hidden="1" x14ac:dyDescent="0.2">
      <c r="A821" s="2236"/>
      <c r="B821" s="2243" t="s">
        <v>6667</v>
      </c>
      <c r="C821" s="2244"/>
      <c r="D821" s="2245"/>
      <c r="E821" s="2244"/>
      <c r="F821" s="2246"/>
      <c r="G821" s="2253"/>
      <c r="H821" s="2100"/>
      <c r="I821" s="2238"/>
      <c r="J821" s="2100"/>
    </row>
    <row r="822" spans="1:10" ht="14.25" hidden="1" x14ac:dyDescent="0.2">
      <c r="A822" s="2236" t="s">
        <v>5286</v>
      </c>
      <c r="B822" s="2243" t="s">
        <v>6610</v>
      </c>
      <c r="C822" s="2244">
        <f>'[2]Data File'!$C$493</f>
        <v>101686.96</v>
      </c>
      <c r="D822" s="2245">
        <v>0</v>
      </c>
      <c r="E822" s="2244">
        <v>178847.21</v>
      </c>
      <c r="F822" s="2246">
        <v>211772.18</v>
      </c>
      <c r="G822" s="2253">
        <v>178847.21</v>
      </c>
      <c r="H822" s="2100">
        <v>211772.18</v>
      </c>
      <c r="I822" s="2238">
        <f>VLOOKUP(A822,'Trial Balance - FPer'!$A$7:$I$1107,7,FALSE)</f>
        <v>366004.70999999996</v>
      </c>
      <c r="J822" s="2100">
        <f>VLOOKUP(A822,'Trial Balance - FPer'!$A$7:$I$1126,3,FALSE)</f>
        <v>101686.96</v>
      </c>
    </row>
    <row r="823" spans="1:10" ht="14.25" hidden="1" x14ac:dyDescent="0.2">
      <c r="A823" s="2236"/>
      <c r="B823" s="2243" t="s">
        <v>6720</v>
      </c>
      <c r="C823" s="2244"/>
      <c r="D823" s="2245"/>
      <c r="E823" s="2244"/>
      <c r="F823" s="2246"/>
      <c r="G823" s="2253"/>
      <c r="H823" s="2100"/>
      <c r="I823" s="2238"/>
      <c r="J823" s="2100"/>
    </row>
    <row r="824" spans="1:10" ht="14.25" hidden="1" x14ac:dyDescent="0.2">
      <c r="A824" s="2236" t="s">
        <v>5287</v>
      </c>
      <c r="B824" s="2243" t="s">
        <v>6610</v>
      </c>
      <c r="C824" s="2244">
        <f>'[2]Data File'!$C$827</f>
        <v>715880.45</v>
      </c>
      <c r="D824" s="2245">
        <v>686070</v>
      </c>
      <c r="E824" s="2244">
        <v>127281.78</v>
      </c>
      <c r="F824" s="2246">
        <v>375046.02</v>
      </c>
      <c r="G824" s="2253">
        <v>363613.18</v>
      </c>
      <c r="H824" s="2100">
        <v>168575.82</v>
      </c>
      <c r="I824" s="2238">
        <f>VLOOKUP(A824,'Trial Balance - FPer'!$A$7:$I$1107,7,FALSE)</f>
        <v>285184.23000000021</v>
      </c>
      <c r="J824" s="2100">
        <f>VLOOKUP(A824,'Trial Balance - FPer'!$A$7:$I$1126,3,FALSE)</f>
        <v>715880.45</v>
      </c>
    </row>
    <row r="825" spans="1:10" ht="14.25" hidden="1" x14ac:dyDescent="0.2">
      <c r="A825" s="2236"/>
      <c r="B825" s="2243" t="s">
        <v>6667</v>
      </c>
      <c r="C825" s="2244"/>
      <c r="D825" s="2245"/>
      <c r="E825" s="2244"/>
      <c r="F825" s="2246"/>
      <c r="G825" s="2253"/>
      <c r="H825" s="2100"/>
      <c r="I825" s="2238"/>
      <c r="J825" s="2100"/>
    </row>
    <row r="826" spans="1:10" ht="14.25" hidden="1" x14ac:dyDescent="0.2">
      <c r="A826" s="2236" t="s">
        <v>5288</v>
      </c>
      <c r="B826" s="2243" t="s">
        <v>6732</v>
      </c>
      <c r="C826" s="2244">
        <f>'[2]Data File'!$C$828</f>
        <v>6671.66</v>
      </c>
      <c r="D826" s="2245">
        <v>0</v>
      </c>
      <c r="E826" s="2244">
        <v>0</v>
      </c>
      <c r="F826" s="2246">
        <v>0</v>
      </c>
      <c r="G826" s="2253">
        <v>0</v>
      </c>
      <c r="H826" s="2100">
        <v>0</v>
      </c>
      <c r="I826" s="2238">
        <f>VLOOKUP(A826,'Trial Balance - FPer'!$A$7:$I$1107,7,FALSE)</f>
        <v>0</v>
      </c>
      <c r="J826" s="2100">
        <f>VLOOKUP(A826,'Trial Balance - FPer'!$A$7:$I$1126,3,FALSE)</f>
        <v>6671.66</v>
      </c>
    </row>
    <row r="827" spans="1:10" ht="14.25" hidden="1" x14ac:dyDescent="0.2">
      <c r="A827" s="2236"/>
      <c r="B827" s="2243" t="s">
        <v>6667</v>
      </c>
      <c r="C827" s="2244"/>
      <c r="D827" s="2245"/>
      <c r="E827" s="2244"/>
      <c r="F827" s="2246"/>
      <c r="G827" s="2253"/>
      <c r="H827" s="2100"/>
      <c r="I827" s="2238"/>
      <c r="J827" s="2100"/>
    </row>
    <row r="828" spans="1:10" ht="14.25" hidden="1" x14ac:dyDescent="0.2">
      <c r="A828" s="2236" t="s">
        <v>5289</v>
      </c>
      <c r="B828" s="2243" t="s">
        <v>6613</v>
      </c>
      <c r="C828" s="2244">
        <v>0</v>
      </c>
      <c r="D828" s="2245">
        <v>0</v>
      </c>
      <c r="E828" s="2244">
        <v>0</v>
      </c>
      <c r="F828" s="2246">
        <v>0</v>
      </c>
      <c r="G828" s="2253">
        <v>0</v>
      </c>
      <c r="H828" s="2100">
        <v>0</v>
      </c>
      <c r="I828" s="2238">
        <f>VLOOKUP(A828,'Trial Balance - FPer'!$A$7:$I$1107,7,FALSE)</f>
        <v>0</v>
      </c>
      <c r="J828" s="2100">
        <f>VLOOKUP(A828,'Trial Balance - FPer'!$A$7:$I$1126,3,FALSE)</f>
        <v>0</v>
      </c>
    </row>
    <row r="829" spans="1:10" ht="14.25" hidden="1" x14ac:dyDescent="0.2">
      <c r="A829" s="2236"/>
      <c r="B829" s="2243" t="s">
        <v>6667</v>
      </c>
      <c r="C829" s="2244"/>
      <c r="D829" s="2245"/>
      <c r="E829" s="2244"/>
      <c r="F829" s="2246"/>
      <c r="G829" s="2253"/>
      <c r="H829" s="2100"/>
      <c r="I829" s="2238"/>
      <c r="J829" s="2100"/>
    </row>
    <row r="830" spans="1:10" ht="14.25" hidden="1" x14ac:dyDescent="0.2">
      <c r="A830" s="2236" t="s">
        <v>5290</v>
      </c>
      <c r="B830" s="2243" t="s">
        <v>6033</v>
      </c>
      <c r="C830" s="2244">
        <f>'[2]Data File'!$C$494</f>
        <v>0</v>
      </c>
      <c r="D830" s="2245">
        <v>0</v>
      </c>
      <c r="E830" s="2244">
        <v>0</v>
      </c>
      <c r="F830" s="2246">
        <v>0</v>
      </c>
      <c r="G830" s="2253">
        <v>0</v>
      </c>
      <c r="H830" s="2100">
        <v>0</v>
      </c>
      <c r="I830" s="2238">
        <f>VLOOKUP(A830,'Trial Balance - FPer'!$A$7:$I$1107,7,FALSE)</f>
        <v>3119187.56</v>
      </c>
      <c r="J830" s="2100">
        <f>VLOOKUP(A830,'Trial Balance - FPer'!$A$7:$I$1126,3,FALSE)</f>
        <v>0</v>
      </c>
    </row>
    <row r="831" spans="1:10" ht="14.25" hidden="1" x14ac:dyDescent="0.2">
      <c r="A831" s="2236"/>
      <c r="B831" s="2243" t="s">
        <v>6720</v>
      </c>
      <c r="C831" s="2244"/>
      <c r="D831" s="2245"/>
      <c r="E831" s="2244"/>
      <c r="F831" s="2246"/>
      <c r="G831" s="2253"/>
      <c r="H831" s="2100"/>
      <c r="I831" s="2238"/>
      <c r="J831" s="2100"/>
    </row>
    <row r="832" spans="1:10" ht="14.25" hidden="1" x14ac:dyDescent="0.2">
      <c r="A832" s="2236" t="s">
        <v>5291</v>
      </c>
      <c r="B832" s="2243" t="s">
        <v>6033</v>
      </c>
      <c r="C832" s="2244">
        <f>'[2]Data File'!$C$830</f>
        <v>2045.45</v>
      </c>
      <c r="D832" s="2245">
        <v>1694.18</v>
      </c>
      <c r="E832" s="2244">
        <v>336.51</v>
      </c>
      <c r="F832" s="2246">
        <v>1694.18</v>
      </c>
      <c r="G832" s="2253">
        <v>929.3</v>
      </c>
      <c r="H832" s="2100">
        <v>441.55</v>
      </c>
      <c r="I832" s="2238">
        <f>VLOOKUP(A832,'Trial Balance - FPer'!$A$7:$I$1107,7,FALSE)</f>
        <v>0</v>
      </c>
      <c r="J832" s="2100">
        <f>VLOOKUP(A832,'Trial Balance - FPer'!$A$7:$I$1126,3,FALSE)</f>
        <v>0</v>
      </c>
    </row>
    <row r="833" spans="1:10" ht="14.25" hidden="1" x14ac:dyDescent="0.2">
      <c r="A833" s="2236"/>
      <c r="B833" s="2243" t="s">
        <v>6667</v>
      </c>
      <c r="C833" s="2244"/>
      <c r="D833" s="2245"/>
      <c r="E833" s="2244"/>
      <c r="F833" s="2246"/>
      <c r="G833" s="2253"/>
      <c r="H833" s="2100"/>
      <c r="I833" s="2238"/>
      <c r="J833" s="2100"/>
    </row>
    <row r="834" spans="1:10" ht="14.25" hidden="1" x14ac:dyDescent="0.2">
      <c r="A834" s="2236" t="s">
        <v>5292</v>
      </c>
      <c r="B834" s="2243" t="s">
        <v>6733</v>
      </c>
      <c r="C834" s="2244">
        <f>'[2]Data File'!$C$829</f>
        <v>0</v>
      </c>
      <c r="D834" s="2245">
        <v>790000</v>
      </c>
      <c r="E834" s="2244">
        <v>0</v>
      </c>
      <c r="F834" s="2246">
        <v>0</v>
      </c>
      <c r="G834" s="2253">
        <v>198290</v>
      </c>
      <c r="H834" s="2100">
        <v>0</v>
      </c>
      <c r="I834" s="2238">
        <f>VLOOKUP(A834,'Trial Balance - FPer'!$A$7:$I$1107,7,FALSE)</f>
        <v>0</v>
      </c>
      <c r="J834" s="2100">
        <f>VLOOKUP(A834,'Trial Balance - FPer'!$A$7:$I$1126,3,FALSE)</f>
        <v>0</v>
      </c>
    </row>
    <row r="835" spans="1:10" ht="14.25" hidden="1" x14ac:dyDescent="0.2">
      <c r="A835" s="2236"/>
      <c r="B835" s="2243" t="s">
        <v>6667</v>
      </c>
      <c r="C835" s="2244"/>
      <c r="D835" s="2245"/>
      <c r="E835" s="2244"/>
      <c r="F835" s="2246"/>
      <c r="G835" s="2253"/>
      <c r="H835" s="2100"/>
      <c r="I835" s="2238"/>
      <c r="J835" s="2100"/>
    </row>
    <row r="836" spans="1:10" ht="14.25" hidden="1" x14ac:dyDescent="0.2">
      <c r="A836" s="2236" t="s">
        <v>5293</v>
      </c>
      <c r="B836" s="2243" t="s">
        <v>6635</v>
      </c>
      <c r="C836" s="2244">
        <f>'[2]Data File'!$C$831</f>
        <v>253355.72</v>
      </c>
      <c r="D836" s="2245">
        <v>0</v>
      </c>
      <c r="E836" s="2244">
        <v>-940.35</v>
      </c>
      <c r="F836" s="2246">
        <v>0</v>
      </c>
      <c r="G836" s="2253">
        <v>-940.35</v>
      </c>
      <c r="H836" s="2100">
        <v>-940.35</v>
      </c>
      <c r="I836" s="2238"/>
      <c r="J836" s="2100"/>
    </row>
    <row r="837" spans="1:10" ht="14.25" hidden="1" x14ac:dyDescent="0.2">
      <c r="A837" s="2236"/>
      <c r="B837" s="2243" t="s">
        <v>6667</v>
      </c>
      <c r="C837" s="2244"/>
      <c r="D837" s="2245"/>
      <c r="E837" s="2244"/>
      <c r="F837" s="2246"/>
      <c r="G837" s="2253"/>
      <c r="H837" s="2100"/>
      <c r="I837" s="2238"/>
      <c r="J837" s="2100"/>
    </row>
    <row r="838" spans="1:10" ht="14.25" hidden="1" x14ac:dyDescent="0.2">
      <c r="A838" s="2236" t="s">
        <v>5294</v>
      </c>
      <c r="B838" s="2243" t="s">
        <v>6636</v>
      </c>
      <c r="C838" s="2244">
        <f>'[2]Data File'!$C$818</f>
        <v>936504.37</v>
      </c>
      <c r="D838" s="2245">
        <v>800000</v>
      </c>
      <c r="E838" s="2244">
        <v>292480.27</v>
      </c>
      <c r="F838" s="2246">
        <v>800000</v>
      </c>
      <c r="G838" s="2253">
        <v>640667.47</v>
      </c>
      <c r="H838" s="2100">
        <v>550162.42000000004</v>
      </c>
      <c r="I838" s="2238">
        <f>VLOOKUP(A838,'Trial Balance - FPer'!$A$7:$I$1107,7,FALSE)</f>
        <v>1724615.3</v>
      </c>
      <c r="J838" s="2100">
        <f>VLOOKUP(A838,'Trial Balance - FPer'!$A$7:$I$1126,3,FALSE)</f>
        <v>936504.37</v>
      </c>
    </row>
    <row r="839" spans="1:10" ht="14.25" hidden="1" x14ac:dyDescent="0.2">
      <c r="A839" s="2251"/>
      <c r="B839" s="2257" t="s">
        <v>6667</v>
      </c>
      <c r="C839" s="2253"/>
      <c r="D839" s="2254"/>
      <c r="E839" s="2253"/>
      <c r="F839" s="2255"/>
      <c r="G839" s="2253"/>
      <c r="H839" s="2259"/>
      <c r="I839" s="2238"/>
      <c r="J839" s="2100"/>
    </row>
    <row r="840" spans="1:10" ht="14.25" hidden="1" x14ac:dyDescent="0.2">
      <c r="A840" s="2236"/>
      <c r="B840" s="2257" t="s">
        <v>6734</v>
      </c>
      <c r="C840" s="2253">
        <v>0</v>
      </c>
      <c r="D840" s="2254">
        <v>0</v>
      </c>
      <c r="E840" s="2253">
        <v>0</v>
      </c>
      <c r="F840" s="2255">
        <v>600000</v>
      </c>
      <c r="G840" s="2253">
        <v>600000</v>
      </c>
      <c r="H840" s="2100"/>
      <c r="I840" s="2238"/>
      <c r="J840" s="2100"/>
    </row>
    <row r="841" spans="1:10" ht="14.25" hidden="1" x14ac:dyDescent="0.2">
      <c r="A841" s="2236"/>
      <c r="B841" s="2247" t="s">
        <v>6720</v>
      </c>
      <c r="C841" s="2248"/>
      <c r="D841" s="2249"/>
      <c r="E841" s="2248"/>
      <c r="F841" s="2250"/>
      <c r="G841" s="2248"/>
      <c r="H841" s="2260"/>
      <c r="I841" s="2238"/>
      <c r="J841" s="2100"/>
    </row>
    <row r="842" spans="1:10" s="2615" customFormat="1" hidden="1" x14ac:dyDescent="0.2">
      <c r="A842" s="2612"/>
      <c r="B842" s="2613" t="s">
        <v>6614</v>
      </c>
      <c r="C842" s="2614">
        <f>SUM(C760:C841)</f>
        <v>4814452.41</v>
      </c>
      <c r="D842" s="2614">
        <f>SUM(D760:D841)</f>
        <v>5172072.6499999994</v>
      </c>
      <c r="E842" s="2614">
        <f>SUM(E760:E841)</f>
        <v>1572914.4599999997</v>
      </c>
      <c r="F842" s="2614">
        <f>SUM(F760:F841)</f>
        <v>4188037.6700000004</v>
      </c>
      <c r="G842" s="2614">
        <f>SUM(G760:G841)</f>
        <v>4167866.4800000004</v>
      </c>
      <c r="H842" s="2614">
        <f t="shared" ref="H842" si="64">SUM(H760:H841)</f>
        <v>2124427.79</v>
      </c>
      <c r="I842" s="2614">
        <f>SUM(I760:I841)</f>
        <v>7919251.46</v>
      </c>
      <c r="J842" s="2614">
        <f>SUM(J760:J841)</f>
        <v>3716902.3600000003</v>
      </c>
    </row>
    <row r="843" spans="1:10" ht="14.25" hidden="1" x14ac:dyDescent="0.2">
      <c r="A843" s="2236"/>
      <c r="B843" s="2243"/>
      <c r="C843" s="2244"/>
      <c r="D843" s="2245"/>
      <c r="E843" s="2244"/>
      <c r="F843" s="2246"/>
      <c r="G843" s="2244"/>
      <c r="H843" s="2244"/>
      <c r="I843" s="2238"/>
      <c r="J843" s="2100"/>
    </row>
    <row r="844" spans="1:10" ht="14.25" hidden="1" x14ac:dyDescent="0.2">
      <c r="A844" s="2236"/>
      <c r="B844" s="2242" t="s">
        <v>6615</v>
      </c>
      <c r="C844" s="2244"/>
      <c r="D844" s="2245"/>
      <c r="E844" s="2244"/>
      <c r="F844" s="2246"/>
      <c r="G844" s="2244"/>
      <c r="H844" s="2244"/>
      <c r="I844" s="2238"/>
      <c r="J844" s="2100"/>
    </row>
    <row r="845" spans="1:10" ht="14.25" hidden="1" x14ac:dyDescent="0.2">
      <c r="A845" s="2236" t="s">
        <v>5297</v>
      </c>
      <c r="B845" s="2243" t="s">
        <v>6715</v>
      </c>
      <c r="C845" s="2244">
        <f>'[2]Data File'!$C$841</f>
        <v>0</v>
      </c>
      <c r="D845" s="2245">
        <v>0</v>
      </c>
      <c r="E845" s="2244">
        <v>0</v>
      </c>
      <c r="F845" s="2246">
        <v>0</v>
      </c>
      <c r="G845" s="2244">
        <v>0</v>
      </c>
      <c r="H845" s="2100">
        <v>0</v>
      </c>
      <c r="I845" s="2238">
        <f>VLOOKUP(A845,'Trial Balance - FPer'!$A$7:$I$1107,7,FALSE)</f>
        <v>0</v>
      </c>
      <c r="J845" s="2100" t="str">
        <f>VLOOKUP(A845,'Trial Balance - FPer'!$A$7:$I$1126,3,FALSE)</f>
        <v xml:space="preserve">                               -  </v>
      </c>
    </row>
    <row r="846" spans="1:10" ht="14.25" hidden="1" x14ac:dyDescent="0.2">
      <c r="A846" s="2236"/>
      <c r="B846" s="2243" t="s">
        <v>6667</v>
      </c>
      <c r="C846" s="2244"/>
      <c r="D846" s="2245"/>
      <c r="E846" s="2244"/>
      <c r="F846" s="2246"/>
      <c r="G846" s="2244"/>
      <c r="H846" s="2100"/>
      <c r="I846" s="2238"/>
      <c r="J846" s="2100"/>
    </row>
    <row r="847" spans="1:10" ht="14.25" hidden="1" x14ac:dyDescent="0.2">
      <c r="A847" s="2236" t="s">
        <v>5298</v>
      </c>
      <c r="B847" s="2243" t="s">
        <v>6616</v>
      </c>
      <c r="C847" s="2244">
        <f>'[2]Data File'!$C$501</f>
        <v>0</v>
      </c>
      <c r="D847" s="2245">
        <v>412.57</v>
      </c>
      <c r="E847" s="2244">
        <v>0</v>
      </c>
      <c r="F847" s="2246">
        <v>0</v>
      </c>
      <c r="G847" s="2244">
        <v>104.29</v>
      </c>
      <c r="H847" s="2100">
        <v>0</v>
      </c>
      <c r="I847" s="2238">
        <f>VLOOKUP(A847,'Trial Balance - FPer'!$A$7:$I$1107,7,FALSE)</f>
        <v>0</v>
      </c>
      <c r="J847" s="2100" t="str">
        <f>VLOOKUP(A847,'Trial Balance - FPer'!$A$7:$I$1126,3,FALSE)</f>
        <v xml:space="preserve">                               -  </v>
      </c>
    </row>
    <row r="848" spans="1:10" ht="14.25" hidden="1" x14ac:dyDescent="0.2">
      <c r="A848" s="2236"/>
      <c r="B848" s="2243" t="s">
        <v>6720</v>
      </c>
      <c r="C848" s="2244"/>
      <c r="D848" s="2245"/>
      <c r="E848" s="2244"/>
      <c r="F848" s="2246"/>
      <c r="G848" s="2244"/>
      <c r="H848" s="2100"/>
      <c r="I848" s="2238"/>
      <c r="J848" s="2100"/>
    </row>
    <row r="849" spans="1:10" ht="14.25" hidden="1" x14ac:dyDescent="0.2">
      <c r="A849" s="2236" t="s">
        <v>5299</v>
      </c>
      <c r="B849" s="2243" t="s">
        <v>6616</v>
      </c>
      <c r="C849" s="2244">
        <f>'[2]Data File'!$C$840</f>
        <v>0</v>
      </c>
      <c r="D849" s="2245">
        <v>2067.98</v>
      </c>
      <c r="E849" s="2244">
        <v>1982.46</v>
      </c>
      <c r="F849" s="2246">
        <v>1982.46</v>
      </c>
      <c r="G849" s="2244">
        <v>3495.51</v>
      </c>
      <c r="H849" s="2100">
        <v>1982.46</v>
      </c>
      <c r="I849" s="2238">
        <f>VLOOKUP(A849,'Trial Balance - FPer'!$A$7:$I$1107,7,FALSE)</f>
        <v>1982.46</v>
      </c>
      <c r="J849" s="2100" t="str">
        <f>VLOOKUP(A849,'Trial Balance - FPer'!$A$7:$I$1126,3,FALSE)</f>
        <v xml:space="preserve">                               -  </v>
      </c>
    </row>
    <row r="850" spans="1:10" ht="14.25" hidden="1" x14ac:dyDescent="0.2">
      <c r="A850" s="2236"/>
      <c r="B850" s="2243" t="s">
        <v>6667</v>
      </c>
      <c r="C850" s="2244"/>
      <c r="D850" s="2245"/>
      <c r="E850" s="2244"/>
      <c r="F850" s="2246"/>
      <c r="G850" s="2244"/>
      <c r="H850" s="2100"/>
      <c r="I850" s="2238"/>
      <c r="J850" s="2100"/>
    </row>
    <row r="851" spans="1:10" ht="14.25" hidden="1" x14ac:dyDescent="0.2">
      <c r="A851" s="2236" t="s">
        <v>5300</v>
      </c>
      <c r="B851" s="2243" t="s">
        <v>6617</v>
      </c>
      <c r="C851" s="2244">
        <v>0</v>
      </c>
      <c r="D851" s="2245">
        <v>0</v>
      </c>
      <c r="E851" s="2244">
        <v>0</v>
      </c>
      <c r="F851" s="2246">
        <v>0</v>
      </c>
      <c r="G851" s="2244">
        <v>0</v>
      </c>
      <c r="H851" s="2100">
        <v>0</v>
      </c>
      <c r="I851" s="2238">
        <f>VLOOKUP(A851,'Trial Balance - FPer'!$A$7:$I$1107,7,FALSE)</f>
        <v>43.86</v>
      </c>
      <c r="J851" s="2100" t="str">
        <f>VLOOKUP(A851,'Trial Balance - FPer'!$A$7:$I$1126,3,FALSE)</f>
        <v xml:space="preserve">                               -  </v>
      </c>
    </row>
    <row r="852" spans="1:10" ht="14.25" hidden="1" x14ac:dyDescent="0.2">
      <c r="A852" s="2236"/>
      <c r="B852" s="2247" t="s">
        <v>6667</v>
      </c>
      <c r="C852" s="2248"/>
      <c r="D852" s="2249"/>
      <c r="E852" s="2248"/>
      <c r="F852" s="2250"/>
      <c r="G852" s="2248"/>
      <c r="H852" s="2244"/>
      <c r="I852" s="2238"/>
      <c r="J852" s="2100"/>
    </row>
    <row r="853" spans="1:10" s="2615" customFormat="1" hidden="1" x14ac:dyDescent="0.2">
      <c r="A853" s="2612"/>
      <c r="B853" s="2613" t="s">
        <v>6618</v>
      </c>
      <c r="C853" s="2614">
        <f>SUM(C845:C852)</f>
        <v>0</v>
      </c>
      <c r="D853" s="2614">
        <f>SUM(D845:D852)</f>
        <v>2480.5500000000002</v>
      </c>
      <c r="E853" s="2614">
        <f>SUM(E845:E852)</f>
        <v>1982.46</v>
      </c>
      <c r="F853" s="2614">
        <f>SUM(F845:F852)</f>
        <v>1982.46</v>
      </c>
      <c r="G853" s="2614">
        <f>SUM(G845:G852)</f>
        <v>3599.8</v>
      </c>
      <c r="H853" s="2614">
        <f t="shared" ref="H853:J853" si="65">SUM(H845:H852)</f>
        <v>1982.46</v>
      </c>
      <c r="I853" s="2614">
        <f t="shared" si="65"/>
        <v>2026.32</v>
      </c>
      <c r="J853" s="2614">
        <f t="shared" si="65"/>
        <v>0</v>
      </c>
    </row>
    <row r="854" spans="1:10" ht="14.25" hidden="1" x14ac:dyDescent="0.2">
      <c r="A854" s="2236"/>
      <c r="B854" s="2243"/>
      <c r="C854" s="2244"/>
      <c r="D854" s="2245"/>
      <c r="E854" s="2244"/>
      <c r="F854" s="2246"/>
      <c r="G854" s="2244"/>
      <c r="H854" s="2244"/>
      <c r="I854" s="2238" t="e">
        <f>VLOOKUP(A854,'Trial Balance - FPer'!$A$7:$I$1107,7,FALSE)</f>
        <v>#N/A</v>
      </c>
      <c r="J854" s="2100" t="e">
        <f>VLOOKUP(A854,'Trial Balance - FPer'!$A$7:$I$1126,3,FALSE)</f>
        <v>#N/A</v>
      </c>
    </row>
    <row r="855" spans="1:10" ht="14.25" hidden="1" x14ac:dyDescent="0.2">
      <c r="A855" s="2236"/>
      <c r="B855" s="2242" t="s">
        <v>6619</v>
      </c>
      <c r="C855" s="2244"/>
      <c r="D855" s="2245"/>
      <c r="E855" s="2244"/>
      <c r="F855" s="2246"/>
      <c r="G855" s="2244"/>
      <c r="H855" s="2244"/>
      <c r="I855" s="2238"/>
      <c r="J855" s="2100"/>
    </row>
    <row r="856" spans="1:10" ht="14.25" hidden="1" x14ac:dyDescent="0.2">
      <c r="A856" s="2236" t="s">
        <v>5301</v>
      </c>
      <c r="B856" s="2243" t="s">
        <v>6620</v>
      </c>
      <c r="C856" s="2244">
        <f>'[2]Data File'!$C$505</f>
        <v>3407.17</v>
      </c>
      <c r="D856" s="2245">
        <v>8599.26</v>
      </c>
      <c r="E856" s="2244">
        <v>0</v>
      </c>
      <c r="F856" s="2246">
        <v>5221.82</v>
      </c>
      <c r="G856" s="2244">
        <v>2157.63</v>
      </c>
      <c r="H856" s="2100">
        <v>5221.82</v>
      </c>
      <c r="I856" s="2238">
        <f>VLOOKUP(A856,'Trial Balance - FPer'!$A$7:$I$1107,7,FALSE)</f>
        <v>5221.82</v>
      </c>
      <c r="J856" s="2100">
        <f>VLOOKUP(A856,'Trial Balance - FPer'!$A$7:$I$1126,3,FALSE)</f>
        <v>3407.17</v>
      </c>
    </row>
    <row r="857" spans="1:10" ht="14.25" hidden="1" x14ac:dyDescent="0.2">
      <c r="A857" s="2236"/>
      <c r="B857" s="2243" t="s">
        <v>6720</v>
      </c>
      <c r="C857" s="2244"/>
      <c r="D857" s="2245"/>
      <c r="E857" s="2244"/>
      <c r="F857" s="2246"/>
      <c r="G857" s="2244"/>
      <c r="H857" s="2100"/>
      <c r="I857" s="2238"/>
      <c r="J857" s="2100"/>
    </row>
    <row r="858" spans="1:10" ht="14.25" hidden="1" x14ac:dyDescent="0.2">
      <c r="A858" s="2236" t="s">
        <v>5302</v>
      </c>
      <c r="B858" s="2243" t="s">
        <v>6620</v>
      </c>
      <c r="C858" s="2244">
        <f>'[2]Data File'!$C$847</f>
        <v>121096.48</v>
      </c>
      <c r="D858" s="2245">
        <v>13818.53</v>
      </c>
      <c r="E858" s="2244">
        <v>0</v>
      </c>
      <c r="F858" s="2246">
        <v>13818.53</v>
      </c>
      <c r="G858" s="2244">
        <v>3468.27</v>
      </c>
      <c r="H858" s="2100">
        <v>0</v>
      </c>
      <c r="I858" s="2238">
        <f>VLOOKUP(A858,'Trial Balance - FPer'!$A$7:$I$1107,7,FALSE)</f>
        <v>0</v>
      </c>
      <c r="J858" s="2100">
        <f>VLOOKUP(A858,'Trial Balance - FPer'!$A$7:$I$1126,3,FALSE)</f>
        <v>121096.48</v>
      </c>
    </row>
    <row r="859" spans="1:10" ht="14.25" hidden="1" x14ac:dyDescent="0.2">
      <c r="A859" s="2236"/>
      <c r="B859" s="2243" t="s">
        <v>6667</v>
      </c>
      <c r="C859" s="2244"/>
      <c r="D859" s="2245"/>
      <c r="E859" s="2244"/>
      <c r="F859" s="2246"/>
      <c r="G859" s="2244"/>
      <c r="H859" s="2100"/>
      <c r="I859" s="2238"/>
      <c r="J859" s="2100"/>
    </row>
    <row r="860" spans="1:10" ht="14.25" hidden="1" x14ac:dyDescent="0.2">
      <c r="A860" s="2236" t="s">
        <v>5303</v>
      </c>
      <c r="B860" s="2243" t="s">
        <v>6621</v>
      </c>
      <c r="C860" s="2244">
        <f>'[2]Data File'!$C$506</f>
        <v>0</v>
      </c>
      <c r="D860" s="2245">
        <v>0</v>
      </c>
      <c r="E860" s="2244">
        <v>0</v>
      </c>
      <c r="F860" s="2246">
        <v>0</v>
      </c>
      <c r="G860" s="2244">
        <v>0</v>
      </c>
      <c r="H860" s="2100">
        <v>0</v>
      </c>
      <c r="I860" s="2238">
        <f>VLOOKUP(A860,'Trial Balance - FPer'!$A$7:$I$1107,7,FALSE)</f>
        <v>0</v>
      </c>
      <c r="J860" s="2100">
        <f>VLOOKUP(A860,'Trial Balance - FPer'!$A$7:$I$1126,3,FALSE)</f>
        <v>0</v>
      </c>
    </row>
    <row r="861" spans="1:10" ht="14.25" hidden="1" x14ac:dyDescent="0.2">
      <c r="A861" s="2236"/>
      <c r="B861" s="2243" t="s">
        <v>6720</v>
      </c>
      <c r="C861" s="2244"/>
      <c r="D861" s="2245"/>
      <c r="E861" s="2244"/>
      <c r="F861" s="2246"/>
      <c r="G861" s="2244"/>
      <c r="H861" s="2100"/>
      <c r="I861" s="2238"/>
      <c r="J861" s="2100"/>
    </row>
    <row r="862" spans="1:10" ht="14.25" hidden="1" x14ac:dyDescent="0.2">
      <c r="A862" s="2236" t="s">
        <v>5304</v>
      </c>
      <c r="B862" s="2243" t="s">
        <v>6621</v>
      </c>
      <c r="C862" s="2244">
        <f>'[2]Data File'!$C$848</f>
        <v>1649.15</v>
      </c>
      <c r="D862" s="2245">
        <v>15212.05</v>
      </c>
      <c r="E862" s="2244">
        <v>0</v>
      </c>
      <c r="F862" s="2246">
        <v>15212.05</v>
      </c>
      <c r="G862" s="2244">
        <v>3817.03</v>
      </c>
      <c r="H862" s="2100">
        <v>0</v>
      </c>
      <c r="I862" s="2238">
        <f>VLOOKUP(A862,'Trial Balance - FPer'!$A$7:$I$1107,7,FALSE)</f>
        <v>0</v>
      </c>
      <c r="J862" s="2100">
        <f>VLOOKUP(A862,'Trial Balance - FPer'!$A$7:$I$1126,3,FALSE)</f>
        <v>1649.15</v>
      </c>
    </row>
    <row r="863" spans="1:10" ht="14.25" hidden="1" x14ac:dyDescent="0.2">
      <c r="A863" s="2236"/>
      <c r="B863" s="2247" t="s">
        <v>6667</v>
      </c>
      <c r="C863" s="2248"/>
      <c r="D863" s="2249"/>
      <c r="E863" s="2248"/>
      <c r="F863" s="2250"/>
      <c r="G863" s="2248"/>
      <c r="H863" s="2244"/>
      <c r="I863" s="2238"/>
      <c r="J863" s="2100"/>
    </row>
    <row r="864" spans="1:10" s="2615" customFormat="1" hidden="1" x14ac:dyDescent="0.2">
      <c r="A864" s="2612"/>
      <c r="B864" s="2613" t="s">
        <v>6622</v>
      </c>
      <c r="C864" s="2614">
        <f>SUM(C856:C863)</f>
        <v>126152.79999999999</v>
      </c>
      <c r="D864" s="2614">
        <f>SUM(D856:D863)</f>
        <v>37629.839999999997</v>
      </c>
      <c r="E864" s="2614">
        <f>SUM(E856:E863)</f>
        <v>0</v>
      </c>
      <c r="F864" s="2614">
        <f>SUM(F856:F863)</f>
        <v>34252.399999999994</v>
      </c>
      <c r="G864" s="2614">
        <f>SUM(G856:G863)</f>
        <v>9442.93</v>
      </c>
      <c r="H864" s="2614">
        <f t="shared" ref="H864" si="66">SUM(H856:H863)</f>
        <v>5221.82</v>
      </c>
      <c r="I864" s="2614">
        <f>SUM(I856:I863)</f>
        <v>5221.82</v>
      </c>
      <c r="J864" s="2614">
        <f>SUM(J856:J863)</f>
        <v>126152.79999999999</v>
      </c>
    </row>
    <row r="865" spans="1:10" ht="14.25" hidden="1" x14ac:dyDescent="0.2">
      <c r="A865" s="2236"/>
      <c r="B865" s="2243"/>
      <c r="C865" s="2244"/>
      <c r="D865" s="2245"/>
      <c r="E865" s="2244"/>
      <c r="F865" s="2246"/>
      <c r="G865" s="2244"/>
      <c r="H865" s="2244"/>
      <c r="I865" s="2238"/>
      <c r="J865" s="2100" t="e">
        <f>VLOOKUP(A865,'Trial Balance - FPer'!$A$7:$I$1126,3,FALSE)</f>
        <v>#N/A</v>
      </c>
    </row>
    <row r="866" spans="1:10" s="2615" customFormat="1" ht="13.5" thickBot="1" x14ac:dyDescent="0.25">
      <c r="A866" s="2612"/>
      <c r="B866" s="2616" t="s">
        <v>6623</v>
      </c>
      <c r="C866" s="2617">
        <f>C864+C853+C842+C757+C748</f>
        <v>6930070.5800000001</v>
      </c>
      <c r="D866" s="2617">
        <f>D864+D853+D842+D757+D748</f>
        <v>9234226.4399999995</v>
      </c>
      <c r="E866" s="2617">
        <f>E864+E853+E842+E757+E748</f>
        <v>3008599.1499999994</v>
      </c>
      <c r="F866" s="2617">
        <f>F864+F853+F842+F757+F748</f>
        <v>8126658.5159999989</v>
      </c>
      <c r="G866" s="2617">
        <f>G864+G853+G842+G757+G748</f>
        <v>7346668.7300000023</v>
      </c>
      <c r="H866" s="2617">
        <f t="shared" ref="H866" si="67">H864+H853+H842+H757+H748</f>
        <v>3840628.4499999997</v>
      </c>
      <c r="I866" s="2617">
        <f>I864+I853+I842+I757+I748</f>
        <v>10875995.309999999</v>
      </c>
      <c r="J866" s="2617">
        <f>J864+J853+J842+J757+J748</f>
        <v>5832520.5300000003</v>
      </c>
    </row>
    <row r="867" spans="1:10" ht="15" thickTop="1" x14ac:dyDescent="0.2">
      <c r="A867" s="2236"/>
      <c r="B867" s="2243"/>
      <c r="C867" s="2244"/>
      <c r="D867" s="2245"/>
      <c r="E867" s="2244"/>
      <c r="F867" s="2246"/>
      <c r="G867" s="2244"/>
      <c r="H867" s="2244"/>
      <c r="I867" s="2238"/>
      <c r="J867" s="2100" t="e">
        <f>VLOOKUP(A867,'Trial Balance - FPer'!$A$7:$I$1126,3,FALSE)</f>
        <v>#N/A</v>
      </c>
    </row>
    <row r="868" spans="1:10" s="2615" customFormat="1" ht="13.5" thickBot="1" x14ac:dyDescent="0.25">
      <c r="A868" s="2612"/>
      <c r="B868" s="2616" t="s">
        <v>6624</v>
      </c>
      <c r="C868" s="2617">
        <f>C648-C866</f>
        <v>-6195807.4199999999</v>
      </c>
      <c r="D868" s="2617">
        <f>D648-D866</f>
        <v>-3385648.3099999996</v>
      </c>
      <c r="E868" s="2617">
        <f>E648-E866</f>
        <v>-3008599.1499999994</v>
      </c>
      <c r="F868" s="2617">
        <f>F648-F866</f>
        <v>-1670718.2859999985</v>
      </c>
      <c r="G868" s="2617">
        <f>G648-G866</f>
        <v>-4410682.6000000015</v>
      </c>
      <c r="H868" s="2617">
        <f t="shared" ref="H868:J868" si="68">H648-H866</f>
        <v>-3840628.4499999997</v>
      </c>
      <c r="I868" s="2617">
        <f t="shared" si="68"/>
        <v>-11665995.309999999</v>
      </c>
      <c r="J868" s="2617">
        <f t="shared" si="68"/>
        <v>-6566783.6900000004</v>
      </c>
    </row>
    <row r="869" spans="1:10" ht="15" thickTop="1" x14ac:dyDescent="0.2">
      <c r="A869" s="2236"/>
      <c r="B869" s="2243"/>
      <c r="C869" s="2244"/>
      <c r="D869" s="2245"/>
      <c r="E869" s="2244"/>
      <c r="F869" s="2246"/>
      <c r="G869" s="2244"/>
      <c r="H869" s="2244"/>
      <c r="I869" s="2238"/>
      <c r="J869" s="2100" t="e">
        <f>VLOOKUP(A869,'Trial Balance - FPer'!$A$7:$I$1126,3,FALSE)</f>
        <v>#N/A</v>
      </c>
    </row>
    <row r="870" spans="1:10" ht="15" x14ac:dyDescent="0.25">
      <c r="A870" s="2241" t="s">
        <v>6735</v>
      </c>
      <c r="B870" s="2237" t="s">
        <v>6736</v>
      </c>
      <c r="C870" s="2244"/>
      <c r="D870" s="2245"/>
      <c r="E870" s="2244"/>
      <c r="F870" s="2246"/>
      <c r="G870" s="2244"/>
      <c r="H870" s="2244"/>
      <c r="I870" s="2238"/>
      <c r="J870" s="2100" t="e">
        <f>VLOOKUP(A870,'Trial Balance - FPer'!$A$7:$I$1126,3,FALSE)</f>
        <v>#N/A</v>
      </c>
    </row>
    <row r="871" spans="1:10" ht="14.25" x14ac:dyDescent="0.2">
      <c r="A871" s="2236"/>
      <c r="B871" s="2243"/>
      <c r="C871" s="2244"/>
      <c r="D871" s="2245"/>
      <c r="E871" s="2244"/>
      <c r="F871" s="2246"/>
      <c r="G871" s="2244"/>
      <c r="H871" s="2244"/>
      <c r="I871" s="2238" t="e">
        <f>VLOOKUP(A871,'Trial Balance - FPer'!$A$7:$I$1107,7,FALSE)</f>
        <v>#N/A</v>
      </c>
      <c r="J871" s="2100" t="e">
        <f>VLOOKUP(A871,'Trial Balance - FPer'!$A$7:$I$1126,3,FALSE)</f>
        <v>#N/A</v>
      </c>
    </row>
    <row r="872" spans="1:10" ht="14.25" x14ac:dyDescent="0.2">
      <c r="A872" s="2236"/>
      <c r="B872" s="2242" t="s">
        <v>247</v>
      </c>
      <c r="C872" s="2244"/>
      <c r="D872" s="2245"/>
      <c r="E872" s="2244"/>
      <c r="F872" s="2246"/>
      <c r="G872" s="2244"/>
      <c r="H872" s="2244"/>
      <c r="I872" s="2238" t="e">
        <f>VLOOKUP(A872,'Trial Balance - FPer'!$A$7:$I$1107,7,FALSE)</f>
        <v>#N/A</v>
      </c>
      <c r="J872" s="2100" t="e">
        <f>VLOOKUP(A872,'Trial Balance - FPer'!$A$7:$I$1126,3,FALSE)</f>
        <v>#N/A</v>
      </c>
    </row>
    <row r="873" spans="1:10" ht="14.25" hidden="1" x14ac:dyDescent="0.2">
      <c r="A873" s="2236"/>
      <c r="B873" s="2242" t="s">
        <v>6628</v>
      </c>
      <c r="C873" s="2244"/>
      <c r="D873" s="2245"/>
      <c r="E873" s="2244"/>
      <c r="F873" s="2246"/>
      <c r="G873" s="2244"/>
      <c r="H873" s="2244"/>
      <c r="I873" s="2238" t="e">
        <f>VLOOKUP(A873,'Trial Balance - FPer'!$A$7:$I$1107,7,FALSE)</f>
        <v>#N/A</v>
      </c>
      <c r="J873" s="2100" t="e">
        <f>VLOOKUP(A873,'Trial Balance - FPer'!$A$7:$I$1126,3,FALSE)</f>
        <v>#N/A</v>
      </c>
    </row>
    <row r="874" spans="1:10" ht="14.25" hidden="1" x14ac:dyDescent="0.2">
      <c r="A874" s="2236" t="s">
        <v>5358</v>
      </c>
      <c r="B874" s="2247" t="s">
        <v>6659</v>
      </c>
      <c r="C874" s="2248">
        <f>'[2]Data File'!$C$864</f>
        <v>0</v>
      </c>
      <c r="D874" s="2249">
        <v>841085.33</v>
      </c>
      <c r="E874" s="2248">
        <v>0</v>
      </c>
      <c r="F874" s="2250">
        <v>1310722.01</v>
      </c>
      <c r="G874" s="2248">
        <v>422225.33</v>
      </c>
      <c r="H874" s="2244"/>
      <c r="I874" s="2238">
        <f>VLOOKUP(A874,'Trial Balance - FPer'!$A$7:$I$1107,7,FALSE)</f>
        <v>0</v>
      </c>
      <c r="J874" s="2100">
        <f>VLOOKUP(A874,'Trial Balance - FPer'!$A$7:$I$1126,3,FALSE)</f>
        <v>0</v>
      </c>
    </row>
    <row r="875" spans="1:10" s="2615" customFormat="1" hidden="1" x14ac:dyDescent="0.2">
      <c r="A875" s="2612"/>
      <c r="B875" s="2613" t="s">
        <v>6631</v>
      </c>
      <c r="C875" s="2614">
        <f>SUM(C874)</f>
        <v>0</v>
      </c>
      <c r="D875" s="2614">
        <f>SUM(D874)</f>
        <v>841085.33</v>
      </c>
      <c r="E875" s="2614">
        <f>SUM(E874)</f>
        <v>0</v>
      </c>
      <c r="F875" s="2614">
        <f>SUM(F874)</f>
        <v>1310722.01</v>
      </c>
      <c r="G875" s="2614">
        <f>SUM(G874)</f>
        <v>422225.33</v>
      </c>
      <c r="H875" s="2614">
        <f t="shared" ref="H875:J875" si="69">SUM(H874)</f>
        <v>0</v>
      </c>
      <c r="I875" s="2614">
        <f t="shared" si="69"/>
        <v>0</v>
      </c>
      <c r="J875" s="2614">
        <f t="shared" si="69"/>
        <v>0</v>
      </c>
    </row>
    <row r="876" spans="1:10" ht="14.25" hidden="1" x14ac:dyDescent="0.2">
      <c r="A876" s="2236"/>
      <c r="B876" s="2243"/>
      <c r="C876" s="2244"/>
      <c r="D876" s="2245"/>
      <c r="E876" s="2244"/>
      <c r="F876" s="2246"/>
      <c r="G876" s="2244"/>
      <c r="H876" s="2244"/>
      <c r="I876" s="2238" t="e">
        <f>VLOOKUP(A876,'Trial Balance - FPer'!$A$7:$I$1107,7,FALSE)</f>
        <v>#N/A</v>
      </c>
      <c r="J876" s="2100" t="e">
        <f>VLOOKUP(A876,'Trial Balance - FPer'!$A$7:$I$1126,3,FALSE)</f>
        <v>#N/A</v>
      </c>
    </row>
    <row r="877" spans="1:10" ht="14.25" hidden="1" x14ac:dyDescent="0.2">
      <c r="A877" s="2236"/>
      <c r="B877" s="2242" t="s">
        <v>6722</v>
      </c>
      <c r="C877" s="2244"/>
      <c r="D877" s="2254"/>
      <c r="E877" s="2253"/>
      <c r="F877" s="2255"/>
      <c r="G877" s="2253"/>
      <c r="H877" s="2244"/>
      <c r="I877" s="2238" t="e">
        <f>VLOOKUP(A877,'Trial Balance - FPer'!$A$7:$I$1107,7,FALSE)</f>
        <v>#N/A</v>
      </c>
      <c r="J877" s="2100" t="e">
        <f>VLOOKUP(A877,'Trial Balance - FPer'!$A$7:$I$1126,3,FALSE)</f>
        <v>#N/A</v>
      </c>
    </row>
    <row r="878" spans="1:10" ht="14.25" hidden="1" x14ac:dyDescent="0.2">
      <c r="A878" s="2236" t="s">
        <v>5359</v>
      </c>
      <c r="B878" s="2247" t="s">
        <v>6737</v>
      </c>
      <c r="C878" s="2248">
        <f>'[2]Data File'!$C$865</f>
        <v>0</v>
      </c>
      <c r="D878" s="2249">
        <v>0</v>
      </c>
      <c r="E878" s="2248">
        <v>0</v>
      </c>
      <c r="F878" s="2250"/>
      <c r="G878" s="2248">
        <v>0</v>
      </c>
      <c r="H878" s="2244"/>
      <c r="I878" s="2238">
        <f>VLOOKUP(A878,'Trial Balance - FPer'!$A$7:$I$1107,7,FALSE)</f>
        <v>0</v>
      </c>
      <c r="J878" s="2100">
        <f>VLOOKUP(A878,'Trial Balance - FPer'!$A$7:$I$1126,3,FALSE)</f>
        <v>0</v>
      </c>
    </row>
    <row r="879" spans="1:10" s="2615" customFormat="1" hidden="1" x14ac:dyDescent="0.2">
      <c r="A879" s="2612"/>
      <c r="B879" s="2613" t="s">
        <v>6724</v>
      </c>
      <c r="C879" s="2614">
        <f>SUM(C878)</f>
        <v>0</v>
      </c>
      <c r="D879" s="2614">
        <f>SUM(D878)</f>
        <v>0</v>
      </c>
      <c r="E879" s="2614">
        <f>SUM(E878)</f>
        <v>0</v>
      </c>
      <c r="F879" s="2614">
        <f>SUM(F878)</f>
        <v>0</v>
      </c>
      <c r="G879" s="2614">
        <f>SUM(G878)</f>
        <v>0</v>
      </c>
      <c r="H879" s="2614">
        <f t="shared" ref="H879:J879" si="70">SUM(H878)</f>
        <v>0</v>
      </c>
      <c r="I879" s="2614">
        <f t="shared" si="70"/>
        <v>0</v>
      </c>
      <c r="J879" s="2614">
        <f t="shared" si="70"/>
        <v>0</v>
      </c>
    </row>
    <row r="880" spans="1:10" ht="14.25" hidden="1" x14ac:dyDescent="0.2">
      <c r="A880" s="2236"/>
      <c r="B880" s="2243"/>
      <c r="C880" s="2244"/>
      <c r="D880" s="2245"/>
      <c r="E880" s="2244"/>
      <c r="F880" s="2246"/>
      <c r="G880" s="2244"/>
      <c r="H880" s="2244"/>
      <c r="I880" s="2238" t="e">
        <f>VLOOKUP(A880,'Trial Balance - FPer'!$A$7:$I$1107,7,FALSE)</f>
        <v>#N/A</v>
      </c>
      <c r="J880" s="2100" t="e">
        <f>VLOOKUP(A880,'Trial Balance - FPer'!$A$7:$I$1126,3,FALSE)</f>
        <v>#N/A</v>
      </c>
    </row>
    <row r="881" spans="1:10" s="2615" customFormat="1" ht="13.5" thickBot="1" x14ac:dyDescent="0.25">
      <c r="A881" s="2612"/>
      <c r="B881" s="2616" t="s">
        <v>6579</v>
      </c>
      <c r="C881" s="2617">
        <f>C879+C875</f>
        <v>0</v>
      </c>
      <c r="D881" s="2617">
        <f>D879+D875</f>
        <v>841085.33</v>
      </c>
      <c r="E881" s="2617">
        <f>E879+E875</f>
        <v>0</v>
      </c>
      <c r="F881" s="2617">
        <f>F879+F875</f>
        <v>1310722.01</v>
      </c>
      <c r="G881" s="2617">
        <f>G879+G875</f>
        <v>422225.33</v>
      </c>
      <c r="H881" s="2617">
        <f t="shared" ref="H881:J881" si="71">H879+H875</f>
        <v>0</v>
      </c>
      <c r="I881" s="2617">
        <f t="shared" si="71"/>
        <v>0</v>
      </c>
      <c r="J881" s="2617">
        <f t="shared" si="71"/>
        <v>0</v>
      </c>
    </row>
    <row r="882" spans="1:10" ht="15" thickTop="1" x14ac:dyDescent="0.2">
      <c r="A882" s="2236"/>
      <c r="B882" s="2242"/>
      <c r="C882" s="2244"/>
      <c r="D882" s="2245"/>
      <c r="E882" s="2244"/>
      <c r="F882" s="2246"/>
      <c r="G882" s="2244"/>
      <c r="H882" s="2244"/>
      <c r="I882" s="2238" t="e">
        <f>VLOOKUP(A882,'Trial Balance - FPer'!$A$7:$I$1107,7,FALSE)</f>
        <v>#N/A</v>
      </c>
      <c r="J882" s="2100" t="e">
        <f>VLOOKUP(A882,'Trial Balance - FPer'!$A$7:$I$1126,3,FALSE)</f>
        <v>#N/A</v>
      </c>
    </row>
    <row r="883" spans="1:10" ht="14.25" x14ac:dyDescent="0.2">
      <c r="A883" s="2236"/>
      <c r="B883" s="2242" t="s">
        <v>235</v>
      </c>
      <c r="C883" s="2244"/>
      <c r="D883" s="2245"/>
      <c r="E883" s="2244"/>
      <c r="F883" s="2246"/>
      <c r="G883" s="2244"/>
      <c r="H883" s="2244"/>
      <c r="I883" s="2238" t="e">
        <f>VLOOKUP(A883,'Trial Balance - FPer'!$A$7:$I$1107,7,FALSE)</f>
        <v>#N/A</v>
      </c>
      <c r="J883" s="2100" t="e">
        <f>VLOOKUP(A883,'Trial Balance - FPer'!$A$7:$I$1126,3,FALSE)</f>
        <v>#N/A</v>
      </c>
    </row>
    <row r="884" spans="1:10" ht="14.25" hidden="1" x14ac:dyDescent="0.2">
      <c r="A884" s="2236"/>
      <c r="B884" s="2242" t="s">
        <v>387</v>
      </c>
      <c r="C884" s="2244"/>
      <c r="D884" s="2245"/>
      <c r="E884" s="2244"/>
      <c r="F884" s="2246"/>
      <c r="G884" s="2244"/>
      <c r="H884" s="2244"/>
      <c r="I884" s="2238" t="e">
        <f>VLOOKUP(A884,'Trial Balance - FPer'!$A$7:$I$1107,7,FALSE)</f>
        <v>#N/A</v>
      </c>
      <c r="J884" s="2100" t="e">
        <f>VLOOKUP(A884,'Trial Balance - FPer'!$A$7:$I$1126,3,FALSE)</f>
        <v>#N/A</v>
      </c>
    </row>
    <row r="885" spans="1:10" ht="14.25" hidden="1" x14ac:dyDescent="0.2">
      <c r="A885" s="2236" t="s">
        <v>5317</v>
      </c>
      <c r="B885" s="2243" t="s">
        <v>6003</v>
      </c>
      <c r="C885" s="2244">
        <f>'[2]Data File'!$C$873</f>
        <v>345427.26</v>
      </c>
      <c r="D885" s="2245">
        <v>370964.33</v>
      </c>
      <c r="E885" s="2244">
        <v>356706.8</v>
      </c>
      <c r="F885" s="2246">
        <v>686142.44</v>
      </c>
      <c r="G885" s="2253">
        <v>629599.93000000005</v>
      </c>
      <c r="H885" s="2100">
        <v>411612.74</v>
      </c>
      <c r="I885" s="2238">
        <f>VLOOKUP(A885,'Trial Balance - FPer'!$A$7:$I$1107,7,FALSE)</f>
        <v>787759.48</v>
      </c>
      <c r="J885" s="2100">
        <f>VLOOKUP(A885,'Trial Balance - FPer'!$A$7:$I$1126,3,FALSE)</f>
        <v>345427.26</v>
      </c>
    </row>
    <row r="886" spans="1:10" ht="14.25" hidden="1" x14ac:dyDescent="0.2">
      <c r="A886" s="2236" t="s">
        <v>5318</v>
      </c>
      <c r="B886" s="2243" t="s">
        <v>6004</v>
      </c>
      <c r="C886" s="2244">
        <f>'[2]Data File'!$C$878</f>
        <v>42708.66</v>
      </c>
      <c r="D886" s="2245">
        <v>22923.43</v>
      </c>
      <c r="E886" s="2244">
        <v>0</v>
      </c>
      <c r="F886" s="2246">
        <v>54905.94</v>
      </c>
      <c r="G886" s="2253">
        <v>5752.72</v>
      </c>
      <c r="H886" s="2100">
        <v>0</v>
      </c>
      <c r="I886" s="2238">
        <f>VLOOKUP(A886,'Trial Balance - FPer'!$A$7:$I$1107,7,FALSE)</f>
        <v>64455.3</v>
      </c>
      <c r="J886" s="2100">
        <f>VLOOKUP(A886,'Trial Balance - FPer'!$A$7:$I$1126,3,FALSE)</f>
        <v>42708.66</v>
      </c>
    </row>
    <row r="887" spans="1:10" ht="14.25" hidden="1" x14ac:dyDescent="0.2">
      <c r="A887" s="2236" t="s">
        <v>5319</v>
      </c>
      <c r="B887" s="2243" t="s">
        <v>6581</v>
      </c>
      <c r="C887" s="2244">
        <f>'[2]Data File'!$C$879</f>
        <v>9776</v>
      </c>
      <c r="D887" s="2245">
        <v>9811.3700000000008</v>
      </c>
      <c r="E887" s="2244">
        <v>4444</v>
      </c>
      <c r="F887" s="2246">
        <v>4444</v>
      </c>
      <c r="G887" s="2253">
        <v>9149.64</v>
      </c>
      <c r="H887" s="2100">
        <v>4444</v>
      </c>
      <c r="I887" s="2238">
        <f>VLOOKUP(A887,'Trial Balance - FPer'!$A$7:$I$1107,7,FALSE)</f>
        <v>4444</v>
      </c>
      <c r="J887" s="2100">
        <f>VLOOKUP(A887,'Trial Balance - FPer'!$A$7:$I$1126,3,FALSE)</f>
        <v>9776</v>
      </c>
    </row>
    <row r="888" spans="1:10" ht="14.25" hidden="1" x14ac:dyDescent="0.2">
      <c r="A888" s="2236" t="s">
        <v>5320</v>
      </c>
      <c r="B888" s="2243" t="s">
        <v>6632</v>
      </c>
      <c r="C888" s="2244">
        <f>'[2]Data File'!$C$880</f>
        <v>0</v>
      </c>
      <c r="D888" s="2245">
        <v>2363.7600000000002</v>
      </c>
      <c r="E888" s="2244">
        <v>0</v>
      </c>
      <c r="F888" s="2246">
        <v>0</v>
      </c>
      <c r="G888" s="2253">
        <v>593.88</v>
      </c>
      <c r="H888" s="2100">
        <v>0</v>
      </c>
      <c r="I888" s="2238">
        <f>VLOOKUP(A888,'Trial Balance - FPer'!$A$7:$I$1107,7,FALSE)</f>
        <v>2088</v>
      </c>
      <c r="J888" s="2100" t="str">
        <f>VLOOKUP(A888,'Trial Balance - FPer'!$A$7:$I$1126,3,FALSE)</f>
        <v xml:space="preserve">                               -  </v>
      </c>
    </row>
    <row r="889" spans="1:10" ht="14.25" hidden="1" x14ac:dyDescent="0.2">
      <c r="A889" s="2236" t="s">
        <v>5321</v>
      </c>
      <c r="B889" s="2243" t="s">
        <v>6007</v>
      </c>
      <c r="C889" s="2244">
        <f>'[2]Data File'!$C$881</f>
        <v>0</v>
      </c>
      <c r="D889" s="2245">
        <v>0</v>
      </c>
      <c r="E889" s="2244">
        <v>0</v>
      </c>
      <c r="F889" s="2246">
        <v>0</v>
      </c>
      <c r="G889" s="2253">
        <v>0</v>
      </c>
      <c r="H889" s="2100">
        <v>0</v>
      </c>
      <c r="I889" s="2238">
        <f>VLOOKUP(A889,'Trial Balance - FPer'!$A$7:$I$1107,7,FALSE)</f>
        <v>373.04</v>
      </c>
      <c r="J889" s="2100">
        <f>VLOOKUP(A889,'Trial Balance - FPer'!$A$7:$I$1126,3,FALSE)</f>
        <v>0</v>
      </c>
    </row>
    <row r="890" spans="1:10" ht="14.25" hidden="1" x14ac:dyDescent="0.2">
      <c r="A890" s="2236" t="s">
        <v>5322</v>
      </c>
      <c r="B890" s="2243" t="s">
        <v>6582</v>
      </c>
      <c r="C890" s="2244">
        <f>'[2]Data File'!$C$882</f>
        <v>287.52999999999997</v>
      </c>
      <c r="D890" s="2245">
        <v>13624.23</v>
      </c>
      <c r="E890" s="2244">
        <v>0</v>
      </c>
      <c r="F890" s="2246">
        <v>0</v>
      </c>
      <c r="G890" s="2253">
        <v>3419.12</v>
      </c>
      <c r="H890" s="2100">
        <v>0</v>
      </c>
      <c r="I890" s="2238">
        <f>VLOOKUP(A890,'Trial Balance - FPer'!$A$7:$I$1107,7,FALSE)</f>
        <v>0</v>
      </c>
      <c r="J890" s="2100">
        <f>VLOOKUP(A890,'Trial Balance - FPer'!$A$7:$I$1126,3,FALSE)</f>
        <v>287.52999999999997</v>
      </c>
    </row>
    <row r="891" spans="1:10" ht="14.25" hidden="1" x14ac:dyDescent="0.2">
      <c r="A891" s="2236" t="s">
        <v>5323</v>
      </c>
      <c r="B891" s="2243" t="s">
        <v>6583</v>
      </c>
      <c r="C891" s="2244">
        <f>'[2]Data File'!$C$884</f>
        <v>43231.040000000001</v>
      </c>
      <c r="D891" s="2245">
        <v>40123.65</v>
      </c>
      <c r="E891" s="2244">
        <v>73400.62</v>
      </c>
      <c r="F891" s="2246">
        <v>133400.62</v>
      </c>
      <c r="G891" s="2253">
        <v>120472.3</v>
      </c>
      <c r="H891" s="2100">
        <v>83400.62</v>
      </c>
      <c r="I891" s="2238">
        <f>VLOOKUP(A891,'Trial Balance - FPer'!$A$7:$I$1107,7,FALSE)</f>
        <v>147400.62</v>
      </c>
      <c r="J891" s="2100">
        <f>VLOOKUP(A891,'Trial Balance - FPer'!$A$7:$I$1126,3,FALSE)</f>
        <v>43231.040000000001</v>
      </c>
    </row>
    <row r="892" spans="1:10" ht="14.25" hidden="1" x14ac:dyDescent="0.2">
      <c r="A892" s="2236" t="s">
        <v>5324</v>
      </c>
      <c r="B892" s="2243" t="s">
        <v>6584</v>
      </c>
      <c r="C892" s="2244">
        <f>'[2]Data File'!$C$877</f>
        <v>77.900000000000006</v>
      </c>
      <c r="D892" s="2245">
        <v>62.08</v>
      </c>
      <c r="E892" s="2244">
        <v>73.8</v>
      </c>
      <c r="F892" s="2246">
        <v>147.6</v>
      </c>
      <c r="G892" s="2253">
        <v>129.30000000000001</v>
      </c>
      <c r="H892" s="2100">
        <v>86.1</v>
      </c>
      <c r="I892" s="2238">
        <f>VLOOKUP(A892,'Trial Balance - FPer'!$A$7:$I$1107,7,FALSE)</f>
        <v>180.4</v>
      </c>
      <c r="J892" s="2100">
        <f>VLOOKUP(A892,'Trial Balance - FPer'!$A$7:$I$1126,3,FALSE)</f>
        <v>77.900000000000006</v>
      </c>
    </row>
    <row r="893" spans="1:10" ht="14.25" hidden="1" x14ac:dyDescent="0.2">
      <c r="A893" s="2236" t="s">
        <v>5325</v>
      </c>
      <c r="B893" s="2243" t="s">
        <v>6585</v>
      </c>
      <c r="C893" s="2244">
        <f>'[2]Data File'!$C$883</f>
        <v>3634.99</v>
      </c>
      <c r="D893" s="2245">
        <v>1939.91</v>
      </c>
      <c r="E893" s="2244">
        <v>3640.19</v>
      </c>
      <c r="F893" s="2246">
        <v>7088.87</v>
      </c>
      <c r="G893" s="2253">
        <v>5962.19</v>
      </c>
      <c r="H893" s="2100">
        <v>4214.97</v>
      </c>
      <c r="I893" s="2238">
        <f>VLOOKUP(A893,'Trial Balance - FPer'!$A$7:$I$1107,7,FALSE)</f>
        <v>9188.2199999999993</v>
      </c>
      <c r="J893" s="2100">
        <f>VLOOKUP(A893,'Trial Balance - FPer'!$A$7:$I$1126,3,FALSE)</f>
        <v>3634.99</v>
      </c>
    </row>
    <row r="894" spans="1:10" ht="14.25" hidden="1" x14ac:dyDescent="0.2">
      <c r="A894" s="2236" t="s">
        <v>5326</v>
      </c>
      <c r="B894" s="2243" t="s">
        <v>6586</v>
      </c>
      <c r="C894" s="2244">
        <f>'[2]Data File'!$C$885</f>
        <v>0</v>
      </c>
      <c r="D894" s="2245">
        <v>5586.7</v>
      </c>
      <c r="E894" s="2244">
        <v>0</v>
      </c>
      <c r="F894" s="2246">
        <v>0</v>
      </c>
      <c r="G894" s="2253">
        <v>1401.35</v>
      </c>
      <c r="H894" s="2100">
        <v>0</v>
      </c>
      <c r="I894" s="2238">
        <f>VLOOKUP(A894,'Trial Balance - FPer'!$A$7:$I$1107,7,FALSE)</f>
        <v>0</v>
      </c>
      <c r="J894" s="2100" t="str">
        <f>VLOOKUP(A894,'Trial Balance - FPer'!$A$7:$I$1126,3,FALSE)</f>
        <v xml:space="preserve">                               -  </v>
      </c>
    </row>
    <row r="895" spans="1:10" ht="14.25" hidden="1" x14ac:dyDescent="0.2">
      <c r="A895" s="2236" t="s">
        <v>5327</v>
      </c>
      <c r="B895" s="2243" t="s">
        <v>6587</v>
      </c>
      <c r="C895" s="2244">
        <f>'[2]Data File'!$C$874</f>
        <v>30170.400000000001</v>
      </c>
      <c r="D895" s="2245">
        <v>16772.77</v>
      </c>
      <c r="E895" s="2244">
        <v>31392</v>
      </c>
      <c r="F895" s="2246">
        <v>65469.599999999999</v>
      </c>
      <c r="G895" s="2253">
        <v>51427.54</v>
      </c>
      <c r="H895" s="2100">
        <v>37071.599999999999</v>
      </c>
      <c r="I895" s="2238">
        <f>VLOOKUP(A895,'Trial Balance - FPer'!$A$7:$I$1107,7,FALSE)</f>
        <v>75307.199999999997</v>
      </c>
      <c r="J895" s="2100">
        <f>VLOOKUP(A895,'Trial Balance - FPer'!$A$7:$I$1126,3,FALSE)</f>
        <v>30170.400000000001</v>
      </c>
    </row>
    <row r="896" spans="1:10" ht="14.25" hidden="1" x14ac:dyDescent="0.2">
      <c r="A896" s="2236" t="s">
        <v>5328</v>
      </c>
      <c r="B896" s="2243" t="s">
        <v>6013</v>
      </c>
      <c r="C896" s="2244">
        <f>'[2]Data File'!$C$875</f>
        <v>59492.12</v>
      </c>
      <c r="D896" s="2245">
        <v>38020.480000000003</v>
      </c>
      <c r="E896" s="2244">
        <v>63133.2</v>
      </c>
      <c r="F896" s="2246">
        <v>128128.98</v>
      </c>
      <c r="G896" s="2253">
        <v>104489.27</v>
      </c>
      <c r="H896" s="2100">
        <v>73965.83</v>
      </c>
      <c r="I896" s="2238">
        <f>VLOOKUP(A896,'Trial Balance - FPer'!$A$7:$I$1107,7,FALSE)</f>
        <v>149245.01999999999</v>
      </c>
      <c r="J896" s="2100">
        <f>VLOOKUP(A896,'Trial Balance - FPer'!$A$7:$I$1126,3,FALSE)</f>
        <v>59492.12</v>
      </c>
    </row>
    <row r="897" spans="1:10" ht="14.25" hidden="1" x14ac:dyDescent="0.2">
      <c r="A897" s="2236" t="s">
        <v>5329</v>
      </c>
      <c r="B897" s="2247" t="s">
        <v>6014</v>
      </c>
      <c r="C897" s="2248">
        <f>'[2]Data File'!$C$876</f>
        <v>2370.8200000000002</v>
      </c>
      <c r="D897" s="2249">
        <v>1619.39</v>
      </c>
      <c r="E897" s="2248">
        <v>2246.04</v>
      </c>
      <c r="F897" s="2250">
        <v>4492.08</v>
      </c>
      <c r="G897" s="2248">
        <v>3792.67</v>
      </c>
      <c r="H897" s="2100">
        <v>2620.38</v>
      </c>
      <c r="I897" s="2238">
        <f>VLOOKUP(A897,'Trial Balance - FPer'!$A$7:$I$1107,7,FALSE)</f>
        <v>5461.96</v>
      </c>
      <c r="J897" s="2100">
        <f>VLOOKUP(A897,'Trial Balance - FPer'!$A$7:$I$1126,3,FALSE)</f>
        <v>2370.8200000000002</v>
      </c>
    </row>
    <row r="898" spans="1:10" s="2615" customFormat="1" hidden="1" x14ac:dyDescent="0.2">
      <c r="A898" s="2612"/>
      <c r="B898" s="2613" t="s">
        <v>6588</v>
      </c>
      <c r="C898" s="2614">
        <f>SUM(C885:C897)</f>
        <v>537176.72000000009</v>
      </c>
      <c r="D898" s="2614">
        <f>SUM(D885:D897)</f>
        <v>523812.10000000003</v>
      </c>
      <c r="E898" s="2614">
        <f>SUM(E885:E897)</f>
        <v>535036.65</v>
      </c>
      <c r="F898" s="2614">
        <f>SUM(F885:F897)</f>
        <v>1084220.1299999999</v>
      </c>
      <c r="G898" s="2614">
        <f>SUM(G885:G897)</f>
        <v>936189.91000000015</v>
      </c>
      <c r="H898" s="2614">
        <f t="shared" ref="H898" si="72">SUM(H885:H897)</f>
        <v>617416.23999999987</v>
      </c>
      <c r="I898" s="2614">
        <f>SUM(I885:I897)</f>
        <v>1245903.24</v>
      </c>
      <c r="J898" s="2614">
        <f>SUM(J885:J897)</f>
        <v>537176.72000000009</v>
      </c>
    </row>
    <row r="899" spans="1:10" ht="14.25" hidden="1" x14ac:dyDescent="0.2">
      <c r="A899" s="2236"/>
      <c r="B899" s="2243"/>
      <c r="C899" s="2244"/>
      <c r="D899" s="2245"/>
      <c r="E899" s="2244"/>
      <c r="F899" s="2246"/>
      <c r="G899" s="2244"/>
      <c r="H899" s="2244"/>
      <c r="I899" s="2238" t="e">
        <f>VLOOKUP(A899,'Trial Balance - FPer'!$A$7:$I$1107,7,FALSE)</f>
        <v>#N/A</v>
      </c>
      <c r="J899" s="2100" t="e">
        <f>VLOOKUP(A899,'Trial Balance - FPer'!$A$7:$I$1126,3,FALSE)</f>
        <v>#N/A</v>
      </c>
    </row>
    <row r="900" spans="1:10" ht="14.25" hidden="1" x14ac:dyDescent="0.2">
      <c r="A900" s="2236"/>
      <c r="B900" s="2242" t="s">
        <v>6738</v>
      </c>
      <c r="C900" s="2244"/>
      <c r="D900" s="2245"/>
      <c r="E900" s="2244"/>
      <c r="F900" s="2246"/>
      <c r="G900" s="2244"/>
      <c r="H900" s="2244"/>
      <c r="I900" s="2238" t="e">
        <f>VLOOKUP(A900,'Trial Balance - FPer'!$A$7:$I$1107,7,FALSE)</f>
        <v>#N/A</v>
      </c>
      <c r="J900" s="2100" t="e">
        <f>VLOOKUP(A900,'Trial Balance - FPer'!$A$7:$I$1126,3,FALSE)</f>
        <v>#N/A</v>
      </c>
    </row>
    <row r="901" spans="1:10" ht="14.25" hidden="1" x14ac:dyDescent="0.2">
      <c r="A901" s="2236" t="s">
        <v>5330</v>
      </c>
      <c r="B901" s="2243" t="s">
        <v>6739</v>
      </c>
      <c r="C901" s="2244">
        <f>'[2]Data File'!$C$889</f>
        <v>1521.12</v>
      </c>
      <c r="D901" s="2245">
        <v>2310</v>
      </c>
      <c r="E901" s="2244">
        <v>0</v>
      </c>
      <c r="F901" s="2246">
        <v>0</v>
      </c>
      <c r="G901" s="2253">
        <v>579</v>
      </c>
      <c r="H901" s="2100">
        <v>0</v>
      </c>
      <c r="I901" s="2238">
        <f>VLOOKUP(A901,'Trial Balance - FPer'!$A$7:$I$1107,7,FALSE)</f>
        <v>0</v>
      </c>
      <c r="J901" s="2100">
        <f>VLOOKUP(A901,'Trial Balance - FPer'!$A$7:$I$1126,3,FALSE)</f>
        <v>1521.12</v>
      </c>
    </row>
    <row r="902" spans="1:10" ht="14.25" hidden="1" x14ac:dyDescent="0.2">
      <c r="A902" s="2236" t="s">
        <v>5332</v>
      </c>
      <c r="B902" s="2243" t="s">
        <v>6687</v>
      </c>
      <c r="C902" s="2244">
        <v>0</v>
      </c>
      <c r="D902" s="2245">
        <v>0</v>
      </c>
      <c r="E902" s="2244">
        <v>0</v>
      </c>
      <c r="F902" s="2246">
        <v>0</v>
      </c>
      <c r="G902" s="2253">
        <v>0</v>
      </c>
      <c r="H902" s="2100">
        <v>0</v>
      </c>
      <c r="I902" s="2238">
        <f>VLOOKUP(A902,'Trial Balance - FPer'!$A$7:$I$1107,7,FALSE)</f>
        <v>0</v>
      </c>
      <c r="J902" s="2100">
        <f>VLOOKUP(A902,'Trial Balance - FPer'!$A$7:$I$1126,3,FALSE)</f>
        <v>0</v>
      </c>
    </row>
    <row r="903" spans="1:10" ht="14.25" hidden="1" x14ac:dyDescent="0.2">
      <c r="A903" s="2236" t="s">
        <v>5333</v>
      </c>
      <c r="B903" s="2243" t="s">
        <v>6740</v>
      </c>
      <c r="C903" s="2244">
        <v>0</v>
      </c>
      <c r="D903" s="2245">
        <v>0</v>
      </c>
      <c r="E903" s="2244">
        <v>0</v>
      </c>
      <c r="F903" s="2246">
        <v>0</v>
      </c>
      <c r="G903" s="2253">
        <v>0</v>
      </c>
      <c r="H903" s="2100">
        <v>0</v>
      </c>
      <c r="I903" s="2238">
        <f>VLOOKUP(A903,'Trial Balance - FPer'!$A$7:$I$1107,7,FALSE)</f>
        <v>0</v>
      </c>
      <c r="J903" s="2100">
        <f>VLOOKUP(A903,'Trial Balance - FPer'!$A$7:$I$1126,3,FALSE)</f>
        <v>0</v>
      </c>
    </row>
    <row r="904" spans="1:10" ht="14.25" hidden="1" x14ac:dyDescent="0.2">
      <c r="A904" s="2236" t="s">
        <v>5334</v>
      </c>
      <c r="B904" s="2243" t="s">
        <v>6167</v>
      </c>
      <c r="C904" s="2244">
        <f>'[2]Data File'!$C$890</f>
        <v>6170</v>
      </c>
      <c r="D904" s="2245">
        <v>3575</v>
      </c>
      <c r="E904" s="2244">
        <v>9100</v>
      </c>
      <c r="F904" s="2246">
        <v>9100</v>
      </c>
      <c r="G904" s="2253">
        <v>14574.57</v>
      </c>
      <c r="H904" s="2100">
        <v>9100</v>
      </c>
      <c r="I904" s="2238">
        <f>VLOOKUP(A904,'Trial Balance - FPer'!$A$7:$I$1107,7,FALSE)</f>
        <v>9100</v>
      </c>
      <c r="J904" s="2100">
        <f>VLOOKUP(A904,'Trial Balance - FPer'!$A$7:$I$1126,3,FALSE)</f>
        <v>6170</v>
      </c>
    </row>
    <row r="905" spans="1:10" ht="14.25" hidden="1" x14ac:dyDescent="0.2">
      <c r="A905" s="2236" t="s">
        <v>5335</v>
      </c>
      <c r="B905" s="2243" t="s">
        <v>6741</v>
      </c>
      <c r="C905" s="2244">
        <f>'[2]Data File'!$C$893</f>
        <v>0</v>
      </c>
      <c r="D905" s="2245">
        <v>0</v>
      </c>
      <c r="E905" s="2244">
        <v>0</v>
      </c>
      <c r="F905" s="2246">
        <v>0</v>
      </c>
      <c r="G905" s="2253">
        <v>0</v>
      </c>
      <c r="H905" s="2100">
        <v>0</v>
      </c>
      <c r="I905" s="2238">
        <f>VLOOKUP(A905,'Trial Balance - FPer'!$A$7:$I$1107,7,FALSE)</f>
        <v>0</v>
      </c>
      <c r="J905" s="2100">
        <f>VLOOKUP(A905,'Trial Balance - FPer'!$A$7:$I$1126,3,FALSE)</f>
        <v>0</v>
      </c>
    </row>
    <row r="906" spans="1:10" ht="14.25" hidden="1" x14ac:dyDescent="0.2">
      <c r="A906" s="2236" t="s">
        <v>5336</v>
      </c>
      <c r="B906" s="2243" t="s">
        <v>6742</v>
      </c>
      <c r="C906" s="2244">
        <f>'[2]Data File'!$C$894</f>
        <v>0</v>
      </c>
      <c r="D906" s="2245">
        <v>0</v>
      </c>
      <c r="E906" s="2244">
        <v>0</v>
      </c>
      <c r="F906" s="2246">
        <v>0</v>
      </c>
      <c r="G906" s="2253">
        <v>0</v>
      </c>
      <c r="H906" s="2100">
        <v>0</v>
      </c>
      <c r="I906" s="2238">
        <f>VLOOKUP(A906,'Trial Balance - FPer'!$A$7:$I$1107,7,FALSE)</f>
        <v>0</v>
      </c>
      <c r="J906" s="2100">
        <f>VLOOKUP(A906,'Trial Balance - FPer'!$A$7:$I$1126,3,FALSE)</f>
        <v>0</v>
      </c>
    </row>
    <row r="907" spans="1:10" ht="14.25" hidden="1" x14ac:dyDescent="0.2">
      <c r="A907" s="2236" t="s">
        <v>5337</v>
      </c>
      <c r="B907" s="2243" t="s">
        <v>6168</v>
      </c>
      <c r="C907" s="2244">
        <f>'[2]Data File'!$C$895</f>
        <v>2250</v>
      </c>
      <c r="D907" s="2245">
        <v>49658.95</v>
      </c>
      <c r="E907" s="2244">
        <v>1150</v>
      </c>
      <c r="F907" s="2246">
        <v>2300</v>
      </c>
      <c r="G907" s="2253">
        <v>14191.78</v>
      </c>
      <c r="H907" s="2100">
        <v>1150</v>
      </c>
      <c r="I907" s="2238">
        <f>VLOOKUP(A907,'Trial Balance - FPer'!$A$7:$I$1107,7,FALSE)</f>
        <v>4809.37</v>
      </c>
      <c r="J907" s="2100">
        <f>VLOOKUP(A907,'Trial Balance - FPer'!$A$7:$I$1126,3,FALSE)</f>
        <v>2250</v>
      </c>
    </row>
    <row r="908" spans="1:10" ht="14.25" hidden="1" x14ac:dyDescent="0.2">
      <c r="A908" s="2236" t="s">
        <v>5338</v>
      </c>
      <c r="B908" s="2243" t="s">
        <v>6104</v>
      </c>
      <c r="C908" s="2244">
        <f>'[2]Data File'!$C$896</f>
        <v>0</v>
      </c>
      <c r="D908" s="2245">
        <v>12415.54</v>
      </c>
      <c r="E908" s="2244">
        <v>0</v>
      </c>
      <c r="F908" s="2246">
        <v>0</v>
      </c>
      <c r="G908" s="2253">
        <v>3117.77</v>
      </c>
      <c r="H908" s="2100">
        <v>0</v>
      </c>
      <c r="I908" s="2238">
        <f>VLOOKUP(A908,'Trial Balance - FPer'!$A$7:$I$1107,7,FALSE)</f>
        <v>0</v>
      </c>
      <c r="J908" s="2100" t="str">
        <f>VLOOKUP(A908,'Trial Balance - FPer'!$A$7:$I$1126,3,FALSE)</f>
        <v xml:space="preserve">                               -  </v>
      </c>
    </row>
    <row r="909" spans="1:10" ht="14.25" hidden="1" x14ac:dyDescent="0.2">
      <c r="A909" s="2236" t="s">
        <v>5339</v>
      </c>
      <c r="B909" s="2243" t="s">
        <v>6601</v>
      </c>
      <c r="C909" s="2244">
        <f>'[2]Data File'!$C$898</f>
        <v>50</v>
      </c>
      <c r="D909" s="2245">
        <v>110</v>
      </c>
      <c r="E909" s="2244">
        <v>0</v>
      </c>
      <c r="F909" s="2246">
        <v>0</v>
      </c>
      <c r="G909" s="2253">
        <v>28</v>
      </c>
      <c r="H909" s="2100">
        <v>0</v>
      </c>
      <c r="I909" s="2238">
        <f>VLOOKUP(A909,'Trial Balance - FPer'!$A$7:$I$1107,7,FALSE)</f>
        <v>153.51</v>
      </c>
      <c r="J909" s="2100">
        <f>VLOOKUP(A909,'Trial Balance - FPer'!$A$7:$I$1126,3,FALSE)</f>
        <v>50</v>
      </c>
    </row>
    <row r="910" spans="1:10" ht="14.25" hidden="1" x14ac:dyDescent="0.2">
      <c r="A910" s="2236" t="s">
        <v>5340</v>
      </c>
      <c r="B910" s="2243" t="s">
        <v>6105</v>
      </c>
      <c r="C910" s="2244">
        <f>'[2]Data File'!$C$899</f>
        <v>0</v>
      </c>
      <c r="D910" s="2245">
        <v>412.57</v>
      </c>
      <c r="E910" s="2244">
        <v>0</v>
      </c>
      <c r="F910" s="2246">
        <v>0</v>
      </c>
      <c r="G910" s="2253">
        <v>104.29</v>
      </c>
      <c r="H910" s="2100">
        <v>0</v>
      </c>
      <c r="I910" s="2238">
        <f>VLOOKUP(A910,'Trial Balance - FPer'!$A$7:$I$1107,7,FALSE)</f>
        <v>0</v>
      </c>
      <c r="J910" s="2100" t="str">
        <f>VLOOKUP(A910,'Trial Balance - FPer'!$A$7:$I$1126,3,FALSE)</f>
        <v xml:space="preserve">                               -  </v>
      </c>
    </row>
    <row r="911" spans="1:10" ht="14.25" hidden="1" x14ac:dyDescent="0.2">
      <c r="A911" s="2236" t="s">
        <v>5341</v>
      </c>
      <c r="B911" s="2243" t="s">
        <v>6608</v>
      </c>
      <c r="C911" s="2244">
        <f>'[2]Data File'!$C$900</f>
        <v>0</v>
      </c>
      <c r="D911" s="2245">
        <v>412.57</v>
      </c>
      <c r="E911" s="2244">
        <v>0</v>
      </c>
      <c r="F911" s="2246">
        <v>0</v>
      </c>
      <c r="G911" s="2253">
        <v>104.29</v>
      </c>
      <c r="H911" s="2100">
        <v>0</v>
      </c>
      <c r="I911" s="2238">
        <f>VLOOKUP(A911,'Trial Balance - FPer'!$A$7:$I$1107,7,FALSE)</f>
        <v>0</v>
      </c>
      <c r="J911" s="2100" t="str">
        <f>VLOOKUP(A911,'Trial Balance - FPer'!$A$7:$I$1126,3,FALSE)</f>
        <v xml:space="preserve">                               -  </v>
      </c>
    </row>
    <row r="912" spans="1:10" ht="14.25" hidden="1" x14ac:dyDescent="0.2">
      <c r="A912" s="2236" t="s">
        <v>5342</v>
      </c>
      <c r="B912" s="2243" t="s">
        <v>6743</v>
      </c>
      <c r="C912" s="2244">
        <v>0</v>
      </c>
      <c r="D912" s="2245">
        <v>0</v>
      </c>
      <c r="E912" s="2244">
        <v>0</v>
      </c>
      <c r="F912" s="2246">
        <v>0</v>
      </c>
      <c r="G912" s="2253">
        <v>0</v>
      </c>
      <c r="H912" s="2100">
        <v>0</v>
      </c>
      <c r="I912" s="2238">
        <f>VLOOKUP(A912,'Trial Balance - FPer'!$A$7:$I$1107,7,FALSE)</f>
        <v>0</v>
      </c>
      <c r="J912" s="2100">
        <f>VLOOKUP(A912,'Trial Balance - FPer'!$A$7:$I$1126,3,FALSE)</f>
        <v>0</v>
      </c>
    </row>
    <row r="913" spans="1:10" ht="14.25" hidden="1" x14ac:dyDescent="0.2">
      <c r="A913" s="2236" t="s">
        <v>5343</v>
      </c>
      <c r="B913" s="2243" t="s">
        <v>6028</v>
      </c>
      <c r="C913" s="2244">
        <f>'[2]Data File'!$C$901</f>
        <v>0</v>
      </c>
      <c r="D913" s="2245">
        <v>0</v>
      </c>
      <c r="E913" s="2244">
        <v>0</v>
      </c>
      <c r="F913" s="2246">
        <v>0</v>
      </c>
      <c r="G913" s="2253">
        <v>0</v>
      </c>
      <c r="H913" s="2100">
        <v>0</v>
      </c>
      <c r="I913" s="2238">
        <f>VLOOKUP(A913,'Trial Balance - FPer'!$A$7:$I$1107,7,FALSE)</f>
        <v>0</v>
      </c>
      <c r="J913" s="2100">
        <f>VLOOKUP(A913,'Trial Balance - FPer'!$A$7:$I$1126,3,FALSE)</f>
        <v>0</v>
      </c>
    </row>
    <row r="914" spans="1:10" ht="14.25" hidden="1" x14ac:dyDescent="0.2">
      <c r="A914" s="2236" t="s">
        <v>5344</v>
      </c>
      <c r="B914" s="2243" t="s">
        <v>6609</v>
      </c>
      <c r="C914" s="2244">
        <f>'[2]Data File'!$C$902</f>
        <v>174291.97</v>
      </c>
      <c r="D914" s="2245">
        <v>150150</v>
      </c>
      <c r="E914" s="2244">
        <v>40364.14</v>
      </c>
      <c r="F914" s="2246">
        <v>150150</v>
      </c>
      <c r="G914" s="2253">
        <v>98397.66</v>
      </c>
      <c r="H914" s="2100">
        <v>46921.54</v>
      </c>
      <c r="I914" s="2238">
        <f>VLOOKUP(A914,'Trial Balance - FPer'!$A$7:$I$1107,7,FALSE)</f>
        <v>101701.18000000001</v>
      </c>
      <c r="J914" s="2100">
        <f>VLOOKUP(A914,'Trial Balance - FPer'!$A$7:$I$1126,3,FALSE)</f>
        <v>174291.97</v>
      </c>
    </row>
    <row r="915" spans="1:10" ht="14.25" hidden="1" x14ac:dyDescent="0.2">
      <c r="A915" s="2236" t="s">
        <v>5345</v>
      </c>
      <c r="B915" s="2243" t="s">
        <v>6731</v>
      </c>
      <c r="C915" s="2244">
        <v>0</v>
      </c>
      <c r="D915" s="2245">
        <v>0</v>
      </c>
      <c r="E915" s="2244">
        <v>0</v>
      </c>
      <c r="F915" s="2246">
        <v>0</v>
      </c>
      <c r="G915" s="2253">
        <v>0</v>
      </c>
      <c r="H915" s="2100">
        <v>0</v>
      </c>
      <c r="I915" s="2238">
        <f>VLOOKUP(A915,'Trial Balance - FPer'!$A$7:$I$1107,7,FALSE)</f>
        <v>0</v>
      </c>
      <c r="J915" s="2100">
        <f>VLOOKUP(A915,'Trial Balance - FPer'!$A$7:$I$1126,3,FALSE)</f>
        <v>0</v>
      </c>
    </row>
    <row r="916" spans="1:10" ht="14.25" hidden="1" x14ac:dyDescent="0.2">
      <c r="A916" s="2236" t="s">
        <v>5346</v>
      </c>
      <c r="B916" s="2243" t="s">
        <v>6610</v>
      </c>
      <c r="C916" s="2244">
        <f>'[2]Data File'!$C$903</f>
        <v>58862.64</v>
      </c>
      <c r="D916" s="2245">
        <v>64951.88</v>
      </c>
      <c r="E916" s="2244">
        <v>33069.01</v>
      </c>
      <c r="F916" s="2246">
        <v>64951.88</v>
      </c>
      <c r="G916" s="2253">
        <v>66040.08</v>
      </c>
      <c r="H916" s="2100">
        <v>38542.949999999997</v>
      </c>
      <c r="I916" s="2238">
        <f>VLOOKUP(A916,'Trial Balance - FPer'!$A$7:$I$1107,7,FALSE)</f>
        <v>140858.46000000002</v>
      </c>
      <c r="J916" s="2100">
        <f>VLOOKUP(A916,'Trial Balance - FPer'!$A$7:$I$1126,3,FALSE)</f>
        <v>58862.64</v>
      </c>
    </row>
    <row r="917" spans="1:10" ht="14.25" hidden="1" x14ac:dyDescent="0.2">
      <c r="A917" s="2236" t="s">
        <v>5347</v>
      </c>
      <c r="B917" s="2243" t="s">
        <v>6744</v>
      </c>
      <c r="C917" s="2244">
        <f>'[2]Data File'!$C$904</f>
        <v>0</v>
      </c>
      <c r="D917" s="2245">
        <v>10345.01</v>
      </c>
      <c r="E917" s="2244">
        <v>0</v>
      </c>
      <c r="F917" s="2246">
        <v>0</v>
      </c>
      <c r="G917" s="2253">
        <v>2595.5100000000002</v>
      </c>
      <c r="H917" s="2100">
        <v>0</v>
      </c>
      <c r="I917" s="2238">
        <f>VLOOKUP(A917,'Trial Balance - FPer'!$A$7:$I$1107,7,FALSE)</f>
        <v>0</v>
      </c>
      <c r="J917" s="2100">
        <f>VLOOKUP(A917,'Trial Balance - FPer'!$A$7:$I$1126,3,FALSE)</f>
        <v>0</v>
      </c>
    </row>
    <row r="918" spans="1:10" ht="14.25" hidden="1" x14ac:dyDescent="0.2">
      <c r="A918" s="2236" t="s">
        <v>5348</v>
      </c>
      <c r="B918" s="2243" t="s">
        <v>6732</v>
      </c>
      <c r="C918" s="2244">
        <v>0</v>
      </c>
      <c r="D918" s="2245">
        <v>0</v>
      </c>
      <c r="E918" s="2244">
        <v>0</v>
      </c>
      <c r="F918" s="2246">
        <v>0</v>
      </c>
      <c r="G918" s="2253">
        <v>0</v>
      </c>
      <c r="H918" s="2100">
        <v>0</v>
      </c>
      <c r="I918" s="2238">
        <f>VLOOKUP(A918,'Trial Balance - FPer'!$A$7:$I$1107,7,FALSE)</f>
        <v>0</v>
      </c>
      <c r="J918" s="2100">
        <f>VLOOKUP(A918,'Trial Balance - FPer'!$A$7:$I$1126,3,FALSE)</f>
        <v>0</v>
      </c>
    </row>
    <row r="919" spans="1:10" ht="14.25" hidden="1" x14ac:dyDescent="0.2">
      <c r="A919" s="2236" t="s">
        <v>5349</v>
      </c>
      <c r="B919" s="2243" t="s">
        <v>6612</v>
      </c>
      <c r="C919" s="2244">
        <v>0</v>
      </c>
      <c r="D919" s="2245">
        <v>0</v>
      </c>
      <c r="E919" s="2244">
        <v>0</v>
      </c>
      <c r="F919" s="2246">
        <v>0</v>
      </c>
      <c r="G919" s="2253">
        <v>0</v>
      </c>
      <c r="H919" s="2100">
        <v>0</v>
      </c>
      <c r="I919" s="2238">
        <f>VLOOKUP(A919,'Trial Balance - FPer'!$A$7:$I$1107,7,FALSE)</f>
        <v>0</v>
      </c>
      <c r="J919" s="2100">
        <f>VLOOKUP(A919,'Trial Balance - FPer'!$A$7:$I$1126,3,FALSE)</f>
        <v>0</v>
      </c>
    </row>
    <row r="920" spans="1:10" ht="14.25" hidden="1" x14ac:dyDescent="0.2">
      <c r="A920" s="2236" t="s">
        <v>5350</v>
      </c>
      <c r="B920" s="2243" t="s">
        <v>6613</v>
      </c>
      <c r="C920" s="2244">
        <v>0</v>
      </c>
      <c r="D920" s="2245">
        <v>0</v>
      </c>
      <c r="E920" s="2244">
        <v>0</v>
      </c>
      <c r="F920" s="2246">
        <v>0</v>
      </c>
      <c r="G920" s="2253">
        <v>0</v>
      </c>
      <c r="H920" s="2100">
        <v>0</v>
      </c>
      <c r="I920" s="2238">
        <f>VLOOKUP(A920,'Trial Balance - FPer'!$A$7:$I$1107,7,FALSE)</f>
        <v>0</v>
      </c>
      <c r="J920" s="2100">
        <f>VLOOKUP(A920,'Trial Balance - FPer'!$A$7:$I$1126,3,FALSE)</f>
        <v>0</v>
      </c>
    </row>
    <row r="921" spans="1:10" ht="14.25" hidden="1" x14ac:dyDescent="0.2">
      <c r="A921" s="2236" t="s">
        <v>5351</v>
      </c>
      <c r="B921" s="2243" t="s">
        <v>6033</v>
      </c>
      <c r="C921" s="2244">
        <f>'[2]Data File'!$C$905</f>
        <v>375</v>
      </c>
      <c r="D921" s="2245">
        <v>412.57</v>
      </c>
      <c r="E921" s="2244">
        <v>0</v>
      </c>
      <c r="F921" s="2246">
        <v>0</v>
      </c>
      <c r="G921" s="2253">
        <v>104.29</v>
      </c>
      <c r="H921" s="2100">
        <v>0</v>
      </c>
      <c r="I921" s="2238">
        <f>VLOOKUP(A921,'Trial Balance - FPer'!$A$7:$I$1107,7,FALSE)</f>
        <v>0</v>
      </c>
      <c r="J921" s="2100">
        <f>VLOOKUP(A921,'Trial Balance - FPer'!$A$7:$I$1126,3,FALSE)</f>
        <v>0</v>
      </c>
    </row>
    <row r="922" spans="1:10" ht="14.25" hidden="1" x14ac:dyDescent="0.2">
      <c r="A922" s="2236" t="s">
        <v>5352</v>
      </c>
      <c r="B922" s="2243" t="s">
        <v>6635</v>
      </c>
      <c r="C922" s="2244">
        <v>0</v>
      </c>
      <c r="D922" s="2245">
        <v>0</v>
      </c>
      <c r="E922" s="2244">
        <v>0</v>
      </c>
      <c r="F922" s="2246">
        <v>0</v>
      </c>
      <c r="G922" s="2253">
        <v>0</v>
      </c>
      <c r="H922" s="2100">
        <v>0</v>
      </c>
      <c r="I922" s="2238"/>
      <c r="J922" s="2100"/>
    </row>
    <row r="923" spans="1:10" ht="14.25" hidden="1" x14ac:dyDescent="0.2">
      <c r="A923" s="2236" t="s">
        <v>5353</v>
      </c>
      <c r="B923" s="2247" t="s">
        <v>6636</v>
      </c>
      <c r="C923" s="2248">
        <f>'[2]Data File'!$C$897</f>
        <v>0</v>
      </c>
      <c r="D923" s="2249">
        <v>11822.03</v>
      </c>
      <c r="E923" s="2248">
        <v>0</v>
      </c>
      <c r="F923" s="2250">
        <v>0</v>
      </c>
      <c r="G923" s="2248">
        <v>2968.02</v>
      </c>
      <c r="H923" s="2100">
        <v>0</v>
      </c>
      <c r="I923" s="2238">
        <f>VLOOKUP(A923,'Trial Balance - FPer'!$A$7:$I$1107,7,FALSE)</f>
        <v>0</v>
      </c>
      <c r="J923" s="2100" t="str">
        <f>VLOOKUP(A923,'Trial Balance - FPer'!$A$7:$I$1126,3,FALSE)</f>
        <v xml:space="preserve">                               -  </v>
      </c>
    </row>
    <row r="924" spans="1:10" s="2615" customFormat="1" hidden="1" x14ac:dyDescent="0.2">
      <c r="A924" s="2612"/>
      <c r="B924" s="2613" t="s">
        <v>6614</v>
      </c>
      <c r="C924" s="2614">
        <f>SUM(C901:C923)</f>
        <v>243520.72999999998</v>
      </c>
      <c r="D924" s="2614">
        <f>SUM(D901:D923)</f>
        <v>306576.12000000005</v>
      </c>
      <c r="E924" s="2614">
        <f>SUM(E901:E923)</f>
        <v>83683.149999999994</v>
      </c>
      <c r="F924" s="2614">
        <f>SUM(F901:F923)</f>
        <v>226501.88</v>
      </c>
      <c r="G924" s="2614">
        <f>SUM(G901:G923)</f>
        <v>202805.26</v>
      </c>
      <c r="H924" s="2614">
        <f t="shared" ref="H924" si="73">SUM(H901:H923)</f>
        <v>95714.489999999991</v>
      </c>
      <c r="I924" s="2614">
        <f>SUM(I901:I923)</f>
        <v>256622.52000000002</v>
      </c>
      <c r="J924" s="2614">
        <f>SUM(J901:J923)</f>
        <v>243145.72999999998</v>
      </c>
    </row>
    <row r="925" spans="1:10" ht="14.25" hidden="1" x14ac:dyDescent="0.2">
      <c r="A925" s="2236"/>
      <c r="B925" s="2243"/>
      <c r="C925" s="2244"/>
      <c r="D925" s="2245"/>
      <c r="E925" s="2244"/>
      <c r="F925" s="2246"/>
      <c r="G925" s="2244"/>
      <c r="H925" s="2244"/>
      <c r="I925" s="2238" t="e">
        <f>VLOOKUP(A925,'Trial Balance - FPer'!$A$7:$I$1107,7,FALSE)</f>
        <v>#N/A</v>
      </c>
      <c r="J925" s="2100" t="e">
        <f>VLOOKUP(A925,'Trial Balance - FPer'!$A$7:$I$1126,3,FALSE)</f>
        <v>#N/A</v>
      </c>
    </row>
    <row r="926" spans="1:10" ht="14.25" hidden="1" x14ac:dyDescent="0.2">
      <c r="A926" s="2236"/>
      <c r="B926" s="2242" t="s">
        <v>6615</v>
      </c>
      <c r="C926" s="2244"/>
      <c r="D926" s="2245"/>
      <c r="E926" s="2244"/>
      <c r="F926" s="2246"/>
      <c r="G926" s="2244"/>
      <c r="H926" s="2244"/>
      <c r="I926" s="2238" t="e">
        <f>VLOOKUP(A926,'Trial Balance - FPer'!$A$7:$I$1107,7,FALSE)</f>
        <v>#N/A</v>
      </c>
      <c r="J926" s="2100" t="e">
        <f>VLOOKUP(A926,'Trial Balance - FPer'!$A$7:$I$1126,3,FALSE)</f>
        <v>#N/A</v>
      </c>
    </row>
    <row r="927" spans="1:10" ht="14.25" hidden="1" x14ac:dyDescent="0.2">
      <c r="A927" s="2236" t="s">
        <v>5354</v>
      </c>
      <c r="B927" s="2243" t="s">
        <v>6700</v>
      </c>
      <c r="C927" s="2244">
        <v>0</v>
      </c>
      <c r="D927" s="2245">
        <v>0</v>
      </c>
      <c r="E927" s="2244">
        <v>0</v>
      </c>
      <c r="F927" s="2246">
        <v>0</v>
      </c>
      <c r="G927" s="2244">
        <v>0</v>
      </c>
      <c r="H927" s="2100">
        <v>0</v>
      </c>
      <c r="I927" s="2238">
        <f>VLOOKUP(A927,'Trial Balance - FPer'!$A$7:$I$1107,7,FALSE)</f>
        <v>0</v>
      </c>
      <c r="J927" s="2100" t="str">
        <f>VLOOKUP(A927,'Trial Balance - FPer'!$A$7:$I$1126,3,FALSE)</f>
        <v xml:space="preserve">                               -  </v>
      </c>
    </row>
    <row r="928" spans="1:10" ht="14.25" hidden="1" x14ac:dyDescent="0.2">
      <c r="A928" s="2236" t="s">
        <v>5355</v>
      </c>
      <c r="B928" s="2247" t="s">
        <v>6616</v>
      </c>
      <c r="C928" s="2248">
        <f>'[2]Data File'!$C$911</f>
        <v>0</v>
      </c>
      <c r="D928" s="2249">
        <v>412.57</v>
      </c>
      <c r="E928" s="2248">
        <v>0</v>
      </c>
      <c r="F928" s="2250">
        <v>0</v>
      </c>
      <c r="G928" s="2248">
        <v>104.29</v>
      </c>
      <c r="H928" s="2100">
        <v>0</v>
      </c>
      <c r="I928" s="2238">
        <f>VLOOKUP(A928,'Trial Balance - FPer'!$A$7:$I$1107,7,FALSE)</f>
        <v>0</v>
      </c>
      <c r="J928" s="2100" t="str">
        <f>VLOOKUP(A928,'Trial Balance - FPer'!$A$7:$I$1126,3,FALSE)</f>
        <v xml:space="preserve">                               -  </v>
      </c>
    </row>
    <row r="929" spans="1:10" s="2615" customFormat="1" hidden="1" x14ac:dyDescent="0.2">
      <c r="A929" s="2612"/>
      <c r="B929" s="2613" t="s">
        <v>6618</v>
      </c>
      <c r="C929" s="2614">
        <f>SUM(C927:C928)</f>
        <v>0</v>
      </c>
      <c r="D929" s="2614">
        <f>SUM(D927:D928)</f>
        <v>412.57</v>
      </c>
      <c r="E929" s="2614">
        <f>SUM(E927:E928)</f>
        <v>0</v>
      </c>
      <c r="F929" s="2614">
        <f>SUM(F927:F928)</f>
        <v>0</v>
      </c>
      <c r="G929" s="2614">
        <f>SUM(G927:G928)</f>
        <v>104.29</v>
      </c>
      <c r="H929" s="2614">
        <f t="shared" ref="H929" si="74">SUM(H927:H928)</f>
        <v>0</v>
      </c>
      <c r="I929" s="2614">
        <f>SUM(I927:I928)</f>
        <v>0</v>
      </c>
      <c r="J929" s="2614">
        <f>SUM(J927:J928)</f>
        <v>0</v>
      </c>
    </row>
    <row r="930" spans="1:10" ht="14.25" hidden="1" x14ac:dyDescent="0.2">
      <c r="A930" s="2236"/>
      <c r="B930" s="2243"/>
      <c r="C930" s="2244"/>
      <c r="D930" s="2245"/>
      <c r="E930" s="2244"/>
      <c r="F930" s="2246"/>
      <c r="G930" s="2244"/>
      <c r="H930" s="2244"/>
      <c r="I930" s="2238" t="e">
        <f>VLOOKUP(A930,'Trial Balance - FPer'!$A$7:$I$1107,7,FALSE)</f>
        <v>#N/A</v>
      </c>
      <c r="J930" s="2100" t="e">
        <f>VLOOKUP(A930,'Trial Balance - FPer'!$A$7:$I$1126,3,FALSE)</f>
        <v>#N/A</v>
      </c>
    </row>
    <row r="931" spans="1:10" ht="14.25" hidden="1" x14ac:dyDescent="0.2">
      <c r="A931" s="2236"/>
      <c r="B931" s="2242" t="s">
        <v>6619</v>
      </c>
      <c r="C931" s="2244"/>
      <c r="D931" s="2245"/>
      <c r="E931" s="2244"/>
      <c r="F931" s="2246"/>
      <c r="G931" s="2244"/>
      <c r="H931" s="2244"/>
      <c r="I931" s="2238" t="e">
        <f>VLOOKUP(A931,'Trial Balance - FPer'!$A$7:$I$1107,7,FALSE)</f>
        <v>#N/A</v>
      </c>
      <c r="J931" s="2100" t="e">
        <f>VLOOKUP(A931,'Trial Balance - FPer'!$A$7:$I$1126,3,FALSE)</f>
        <v>#N/A</v>
      </c>
    </row>
    <row r="932" spans="1:10" ht="14.25" hidden="1" x14ac:dyDescent="0.2">
      <c r="A932" s="2236" t="s">
        <v>5356</v>
      </c>
      <c r="B932" s="2243" t="s">
        <v>6620</v>
      </c>
      <c r="C932" s="2244">
        <f>'[2]Data File'!$C$915</f>
        <v>99345.43</v>
      </c>
      <c r="D932" s="2245">
        <v>5085.1899999999996</v>
      </c>
      <c r="E932" s="2244">
        <v>0</v>
      </c>
      <c r="F932" s="2246">
        <v>5085.1899999999996</v>
      </c>
      <c r="G932" s="2244">
        <v>1276.5999999999999</v>
      </c>
      <c r="H932" s="2100">
        <v>0</v>
      </c>
      <c r="I932" s="2238">
        <f>VLOOKUP(A932,'Trial Balance - FPer'!$A$7:$I$1107,7,FALSE)</f>
        <v>0</v>
      </c>
      <c r="J932" s="2100">
        <f>VLOOKUP(A932,'Trial Balance - FPer'!$A$7:$I$1126,3,FALSE)</f>
        <v>99345.43</v>
      </c>
    </row>
    <row r="933" spans="1:10" ht="14.25" hidden="1" x14ac:dyDescent="0.2">
      <c r="A933" s="2236" t="s">
        <v>5357</v>
      </c>
      <c r="B933" s="2247" t="s">
        <v>6621</v>
      </c>
      <c r="C933" s="2248">
        <f>'[2]Data File'!$C$916</f>
        <v>4451.04</v>
      </c>
      <c r="D933" s="2249">
        <v>5199.38</v>
      </c>
      <c r="E933" s="2248">
        <v>0</v>
      </c>
      <c r="F933" s="2250">
        <v>5199.38</v>
      </c>
      <c r="G933" s="2248">
        <v>1303.69</v>
      </c>
      <c r="H933" s="2100">
        <v>0</v>
      </c>
      <c r="I933" s="2238">
        <f>VLOOKUP(A933,'Trial Balance - FPer'!$A$7:$I$1107,7,FALSE)</f>
        <v>0</v>
      </c>
      <c r="J933" s="2100">
        <f>VLOOKUP(A933,'Trial Balance - FPer'!$A$7:$I$1126,3,FALSE)</f>
        <v>4451.04</v>
      </c>
    </row>
    <row r="934" spans="1:10" s="2615" customFormat="1" hidden="1" x14ac:dyDescent="0.2">
      <c r="A934" s="2612"/>
      <c r="B934" s="2613" t="s">
        <v>6622</v>
      </c>
      <c r="C934" s="2614">
        <f>SUM(C932:C933)</f>
        <v>103796.46999999999</v>
      </c>
      <c r="D934" s="2614">
        <f>SUM(D932:D933)</f>
        <v>10284.57</v>
      </c>
      <c r="E934" s="2614">
        <f>SUM(E932:E933)</f>
        <v>0</v>
      </c>
      <c r="F934" s="2614">
        <f>SUM(F932:F933)</f>
        <v>10284.57</v>
      </c>
      <c r="G934" s="2614">
        <f>SUM(G932:G933)</f>
        <v>2580.29</v>
      </c>
      <c r="H934" s="2614">
        <f t="shared" ref="H934" si="75">SUM(H932:H933)</f>
        <v>0</v>
      </c>
      <c r="I934" s="2614">
        <f>SUM(I932:I933)</f>
        <v>0</v>
      </c>
      <c r="J934" s="2614">
        <f>SUM(J932:J933)</f>
        <v>103796.46999999999</v>
      </c>
    </row>
    <row r="935" spans="1:10" ht="14.25" hidden="1" x14ac:dyDescent="0.2">
      <c r="A935" s="2236"/>
      <c r="B935" s="2243"/>
      <c r="C935" s="2244"/>
      <c r="D935" s="2245"/>
      <c r="E935" s="2244"/>
      <c r="F935" s="2246"/>
      <c r="G935" s="2244"/>
      <c r="H935" s="2244"/>
      <c r="I935" s="2238" t="e">
        <f>VLOOKUP(A935,'Trial Balance - FPer'!$A$7:$I$1107,7,FALSE)</f>
        <v>#N/A</v>
      </c>
      <c r="J935" s="2100" t="e">
        <f>VLOOKUP(A935,'Trial Balance - FPer'!$A$7:$I$1126,3,FALSE)</f>
        <v>#N/A</v>
      </c>
    </row>
    <row r="936" spans="1:10" s="2615" customFormat="1" ht="13.5" thickBot="1" x14ac:dyDescent="0.25">
      <c r="A936" s="2612"/>
      <c r="B936" s="2616" t="s">
        <v>6623</v>
      </c>
      <c r="C936" s="2617">
        <f>C934+C929+C924+C898</f>
        <v>884493.92</v>
      </c>
      <c r="D936" s="2617">
        <f>D934+D929+D924+D898</f>
        <v>841085.3600000001</v>
      </c>
      <c r="E936" s="2617">
        <f>E934+E929+E924+E898</f>
        <v>618719.80000000005</v>
      </c>
      <c r="F936" s="2617">
        <f>F934+F929+F924+F898</f>
        <v>1321006.5799999998</v>
      </c>
      <c r="G936" s="2617">
        <f>G934+G929+G924+G898</f>
        <v>1141679.7500000002</v>
      </c>
      <c r="H936" s="2617">
        <f t="shared" ref="H936" si="76">H934+H929+H924+H898</f>
        <v>713130.72999999986</v>
      </c>
      <c r="I936" s="2617">
        <f>I934+I929+I924+I898</f>
        <v>1502525.76</v>
      </c>
      <c r="J936" s="2617">
        <f>J934+J929+J924+J898</f>
        <v>884118.92</v>
      </c>
    </row>
    <row r="937" spans="1:10" ht="15" thickTop="1" x14ac:dyDescent="0.2">
      <c r="A937" s="2236"/>
      <c r="B937" s="2243"/>
      <c r="C937" s="2244"/>
      <c r="D937" s="2245"/>
      <c r="E937" s="2244"/>
      <c r="F937" s="2246"/>
      <c r="G937" s="2244"/>
      <c r="H937" s="2244"/>
      <c r="I937" s="2238" t="e">
        <f>VLOOKUP(A937,'Trial Balance - FPer'!$A$7:$I$1107,7,FALSE)</f>
        <v>#N/A</v>
      </c>
      <c r="J937" s="2100" t="e">
        <f>VLOOKUP(A937,'Trial Balance - FPer'!$A$7:$I$1126,3,FALSE)</f>
        <v>#N/A</v>
      </c>
    </row>
    <row r="938" spans="1:10" s="2615" customFormat="1" ht="13.5" thickBot="1" x14ac:dyDescent="0.25">
      <c r="A938" s="2612"/>
      <c r="B938" s="2616" t="s">
        <v>6624</v>
      </c>
      <c r="C938" s="2617">
        <f>C881-C936</f>
        <v>-884493.92</v>
      </c>
      <c r="D938" s="2617">
        <f>D881-D936</f>
        <v>-3.0000000144354999E-2</v>
      </c>
      <c r="E938" s="2617">
        <f>E881-E936</f>
        <v>-618719.80000000005</v>
      </c>
      <c r="F938" s="2617">
        <f>F881-F936</f>
        <v>-10284.569999999832</v>
      </c>
      <c r="G938" s="2617">
        <f>G881-G936</f>
        <v>-719454.42000000016</v>
      </c>
      <c r="H938" s="2617">
        <f t="shared" ref="H938:J938" si="77">H881-H936</f>
        <v>-713130.72999999986</v>
      </c>
      <c r="I938" s="2617">
        <f t="shared" si="77"/>
        <v>-1502525.76</v>
      </c>
      <c r="J938" s="2617">
        <f t="shared" si="77"/>
        <v>-884118.92</v>
      </c>
    </row>
    <row r="939" spans="1:10" ht="15" thickTop="1" x14ac:dyDescent="0.2">
      <c r="A939" s="2236"/>
      <c r="B939" s="2243"/>
      <c r="C939" s="2244"/>
      <c r="D939" s="2245"/>
      <c r="E939" s="2244"/>
      <c r="F939" s="2246"/>
      <c r="G939" s="2244"/>
      <c r="H939" s="2244"/>
      <c r="I939" s="2238" t="e">
        <f>VLOOKUP(A939,'Trial Balance - FPer'!$A$7:$I$1107,7,FALSE)</f>
        <v>#N/A</v>
      </c>
      <c r="J939" s="2100" t="e">
        <f>VLOOKUP(A939,'Trial Balance - FPer'!$A$7:$I$1126,3,FALSE)</f>
        <v>#N/A</v>
      </c>
    </row>
    <row r="940" spans="1:10" ht="15" x14ac:dyDescent="0.25">
      <c r="A940" s="2241" t="s">
        <v>6745</v>
      </c>
      <c r="B940" s="2237" t="s">
        <v>6746</v>
      </c>
      <c r="C940" s="2244"/>
      <c r="D940" s="2245"/>
      <c r="E940" s="2244"/>
      <c r="F940" s="2246"/>
      <c r="G940" s="2244"/>
      <c r="H940" s="2244"/>
      <c r="I940" s="2238" t="e">
        <f>VLOOKUP(A940,'Trial Balance - FPer'!$A$7:$I$1107,7,FALSE)</f>
        <v>#N/A</v>
      </c>
      <c r="J940" s="2100" t="e">
        <f>VLOOKUP(A940,'Trial Balance - FPer'!$A$7:$I$1126,3,FALSE)</f>
        <v>#N/A</v>
      </c>
    </row>
    <row r="941" spans="1:10" ht="14.25" x14ac:dyDescent="0.2">
      <c r="A941" s="2236"/>
      <c r="B941" s="2243"/>
      <c r="C941" s="2244"/>
      <c r="D941" s="2245"/>
      <c r="E941" s="2244"/>
      <c r="F941" s="2246"/>
      <c r="G941" s="2244"/>
      <c r="H941" s="2244"/>
      <c r="I941" s="2238" t="e">
        <f>VLOOKUP(A941,'Trial Balance - FPer'!$A$7:$I$1107,7,FALSE)</f>
        <v>#N/A</v>
      </c>
      <c r="J941" s="2100" t="e">
        <f>VLOOKUP(A941,'Trial Balance - FPer'!$A$7:$I$1126,3,FALSE)</f>
        <v>#N/A</v>
      </c>
    </row>
    <row r="942" spans="1:10" ht="14.25" x14ac:dyDescent="0.2">
      <c r="A942" s="2236"/>
      <c r="B942" s="2242" t="s">
        <v>247</v>
      </c>
      <c r="C942" s="2244"/>
      <c r="D942" s="2245"/>
      <c r="E942" s="2244"/>
      <c r="F942" s="2246"/>
      <c r="G942" s="2244"/>
      <c r="H942" s="2244"/>
      <c r="I942" s="2238" t="e">
        <f>VLOOKUP(A942,'Trial Balance - FPer'!$A$7:$I$1107,7,FALSE)</f>
        <v>#N/A</v>
      </c>
      <c r="J942" s="2100" t="e">
        <f>VLOOKUP(A942,'Trial Balance - FPer'!$A$7:$I$1126,3,FALSE)</f>
        <v>#N/A</v>
      </c>
    </row>
    <row r="943" spans="1:10" ht="14.25" hidden="1" x14ac:dyDescent="0.2">
      <c r="A943" s="2236"/>
      <c r="B943" s="2242" t="s">
        <v>6747</v>
      </c>
      <c r="C943" s="2244"/>
      <c r="D943" s="2245"/>
      <c r="E943" s="2244"/>
      <c r="F943" s="2246"/>
      <c r="G943" s="2244"/>
      <c r="H943" s="2244"/>
      <c r="I943" s="2238" t="e">
        <f>VLOOKUP(A943,'Trial Balance - FPer'!$A$7:$I$1107,7,FALSE)</f>
        <v>#N/A</v>
      </c>
      <c r="J943" s="2100" t="e">
        <f>VLOOKUP(A943,'Trial Balance - FPer'!$A$7:$I$1126,3,FALSE)</f>
        <v>#N/A</v>
      </c>
    </row>
    <row r="944" spans="1:10" ht="14.25" hidden="1" x14ac:dyDescent="0.2">
      <c r="A944" s="2236" t="s">
        <v>5381</v>
      </c>
      <c r="B944" s="2247" t="s">
        <v>6748</v>
      </c>
      <c r="C944" s="2248">
        <f>'[2]Data File'!$C$1033</f>
        <v>0</v>
      </c>
      <c r="D944" s="2249">
        <v>0</v>
      </c>
      <c r="E944" s="2248">
        <v>0</v>
      </c>
      <c r="F944" s="2250">
        <v>0</v>
      </c>
      <c r="G944" s="2248">
        <v>0</v>
      </c>
      <c r="H944" s="2244"/>
      <c r="I944" s="2238">
        <f>VLOOKUP(A944,'Trial Balance - FPer'!$A$7:$I$1107,7,FALSE)</f>
        <v>0</v>
      </c>
      <c r="J944" s="2100">
        <f>VLOOKUP(A944,'Trial Balance - FPer'!$A$7:$I$1126,3,FALSE)</f>
        <v>0</v>
      </c>
    </row>
    <row r="945" spans="1:10" s="2615" customFormat="1" hidden="1" x14ac:dyDescent="0.2">
      <c r="A945" s="2612"/>
      <c r="B945" s="2613" t="s">
        <v>6749</v>
      </c>
      <c r="C945" s="2614">
        <f>SUM(C944)</f>
        <v>0</v>
      </c>
      <c r="D945" s="2614">
        <f>SUM(D944)</f>
        <v>0</v>
      </c>
      <c r="E945" s="2614">
        <f>SUM(E944)</f>
        <v>0</v>
      </c>
      <c r="F945" s="2614">
        <f>SUM(F944)</f>
        <v>0</v>
      </c>
      <c r="G945" s="2614">
        <f>SUM(G944)</f>
        <v>0</v>
      </c>
      <c r="H945" s="2614">
        <f t="shared" ref="H945:J945" si="78">SUM(H944)</f>
        <v>0</v>
      </c>
      <c r="I945" s="2614">
        <f t="shared" si="78"/>
        <v>0</v>
      </c>
      <c r="J945" s="2614">
        <f t="shared" si="78"/>
        <v>0</v>
      </c>
    </row>
    <row r="946" spans="1:10" ht="14.25" hidden="1" x14ac:dyDescent="0.2">
      <c r="A946" s="2236"/>
      <c r="B946" s="2243"/>
      <c r="C946" s="2244"/>
      <c r="D946" s="2245"/>
      <c r="E946" s="2244"/>
      <c r="F946" s="2246"/>
      <c r="G946" s="2244"/>
      <c r="H946" s="2244"/>
      <c r="I946" s="2238" t="e">
        <f>VLOOKUP(A946,'Trial Balance - FPer'!$A$7:$I$1107,7,FALSE)</f>
        <v>#N/A</v>
      </c>
      <c r="J946" s="2100" t="e">
        <f>VLOOKUP(A946,'Trial Balance - FPer'!$A$7:$I$1126,3,FALSE)</f>
        <v>#N/A</v>
      </c>
    </row>
    <row r="947" spans="1:10" ht="14.25" hidden="1" x14ac:dyDescent="0.2">
      <c r="A947" s="2236"/>
      <c r="B947" s="2242" t="s">
        <v>6628</v>
      </c>
      <c r="C947" s="2244"/>
      <c r="D947" s="2245"/>
      <c r="E947" s="2244"/>
      <c r="F947" s="2246"/>
      <c r="G947" s="2244"/>
      <c r="H947" s="2244"/>
      <c r="I947" s="2238" t="e">
        <f>VLOOKUP(A947,'Trial Balance - FPer'!$A$7:$I$1107,7,FALSE)</f>
        <v>#N/A</v>
      </c>
      <c r="J947" s="2100" t="e">
        <f>VLOOKUP(A947,'Trial Balance - FPer'!$A$7:$I$1126,3,FALSE)</f>
        <v>#N/A</v>
      </c>
    </row>
    <row r="948" spans="1:10" ht="14.25" hidden="1" x14ac:dyDescent="0.2">
      <c r="A948" s="2236" t="s">
        <v>5383</v>
      </c>
      <c r="B948" s="2247" t="s">
        <v>6659</v>
      </c>
      <c r="C948" s="2248">
        <f>'[2]Data File'!$C$1044</f>
        <v>0</v>
      </c>
      <c r="D948" s="2249">
        <v>1232016.3400000001</v>
      </c>
      <c r="E948" s="2248">
        <v>0</v>
      </c>
      <c r="F948" s="2250">
        <v>972775.24</v>
      </c>
      <c r="G948" s="2248">
        <v>618474.34</v>
      </c>
      <c r="H948" s="2244"/>
      <c r="I948" s="2238">
        <f>VLOOKUP(A948,'Trial Balance - FPer'!$A$7:$I$1107,7,FALSE)</f>
        <v>0</v>
      </c>
      <c r="J948" s="2100">
        <f>VLOOKUP(A948,'Trial Balance - FPer'!$A$7:$I$1126,3,FALSE)</f>
        <v>0</v>
      </c>
    </row>
    <row r="949" spans="1:10" s="2615" customFormat="1" hidden="1" x14ac:dyDescent="0.2">
      <c r="A949" s="2612"/>
      <c r="B949" s="2613" t="s">
        <v>6663</v>
      </c>
      <c r="C949" s="2614">
        <f>SUM(C948)</f>
        <v>0</v>
      </c>
      <c r="D949" s="2614">
        <f>SUM(D948)</f>
        <v>1232016.3400000001</v>
      </c>
      <c r="E949" s="2614">
        <f>SUM(E948)</f>
        <v>0</v>
      </c>
      <c r="F949" s="2614">
        <f>SUM(F948)</f>
        <v>972775.24</v>
      </c>
      <c r="G949" s="2614">
        <f>SUM(G948)</f>
        <v>618474.34</v>
      </c>
      <c r="H949" s="2614">
        <f t="shared" ref="H949:J949" si="79">SUM(H948)</f>
        <v>0</v>
      </c>
      <c r="I949" s="2614">
        <f t="shared" si="79"/>
        <v>0</v>
      </c>
      <c r="J949" s="2614">
        <f t="shared" si="79"/>
        <v>0</v>
      </c>
    </row>
    <row r="950" spans="1:10" ht="14.25" hidden="1" x14ac:dyDescent="0.2">
      <c r="A950" s="2236"/>
      <c r="B950" s="2243"/>
      <c r="C950" s="2244"/>
      <c r="D950" s="2245"/>
      <c r="E950" s="2244"/>
      <c r="F950" s="2246"/>
      <c r="G950" s="2244"/>
      <c r="H950" s="2244"/>
      <c r="I950" s="2238" t="e">
        <f>VLOOKUP(A950,'Trial Balance - FPer'!$A$7:$I$1107,7,FALSE)</f>
        <v>#N/A</v>
      </c>
      <c r="J950" s="2100" t="e">
        <f>VLOOKUP(A950,'Trial Balance - FPer'!$A$7:$I$1126,3,FALSE)</f>
        <v>#N/A</v>
      </c>
    </row>
    <row r="951" spans="1:10" ht="14.25" hidden="1" x14ac:dyDescent="0.2">
      <c r="A951" s="2236"/>
      <c r="B951" s="2242" t="s">
        <v>1637</v>
      </c>
      <c r="C951" s="2244"/>
      <c r="D951" s="2245"/>
      <c r="E951" s="2244"/>
      <c r="F951" s="2246"/>
      <c r="G951" s="2244"/>
      <c r="H951" s="2244"/>
      <c r="I951" s="2238" t="e">
        <f>VLOOKUP(A951,'Trial Balance - FPer'!$A$7:$I$1107,7,FALSE)</f>
        <v>#N/A</v>
      </c>
      <c r="J951" s="2100" t="e">
        <f>VLOOKUP(A951,'Trial Balance - FPer'!$A$7:$I$1126,3,FALSE)</f>
        <v>#N/A</v>
      </c>
    </row>
    <row r="952" spans="1:10" ht="14.25" hidden="1" x14ac:dyDescent="0.2">
      <c r="A952" s="2236" t="s">
        <v>5384</v>
      </c>
      <c r="B952" s="2243" t="s">
        <v>6169</v>
      </c>
      <c r="C952" s="2244">
        <f>'[2]Data File'!$C$1037</f>
        <v>67.040000000000006</v>
      </c>
      <c r="D952" s="2245">
        <v>28.6</v>
      </c>
      <c r="E952" s="2244">
        <v>16.309999999999999</v>
      </c>
      <c r="F952" s="2246">
        <v>28.6</v>
      </c>
      <c r="G952" s="2244">
        <v>32.909999999999997</v>
      </c>
      <c r="H952" s="2244"/>
      <c r="I952" s="2238">
        <f>VLOOKUP(A952,'Trial Balance - FPer'!$A$7:$I$1107,7,FALSE)</f>
        <v>-77.89</v>
      </c>
      <c r="J952" s="2100">
        <f>VLOOKUP(A952,'Trial Balance - FPer'!$A$7:$I$1126,3,FALSE)</f>
        <v>-67.040000000000006</v>
      </c>
    </row>
    <row r="953" spans="1:10" ht="14.25" hidden="1" x14ac:dyDescent="0.2">
      <c r="A953" s="2236" t="s">
        <v>5385</v>
      </c>
      <c r="B953" s="2247" t="s">
        <v>6750</v>
      </c>
      <c r="C953" s="2248">
        <f>'[2]Data File'!$C$1038</f>
        <v>0</v>
      </c>
      <c r="D953" s="2249">
        <v>0</v>
      </c>
      <c r="E953" s="2248">
        <v>0</v>
      </c>
      <c r="F953" s="2250"/>
      <c r="G953" s="2248">
        <v>0</v>
      </c>
      <c r="H953" s="2244"/>
      <c r="I953" s="2238">
        <f>VLOOKUP(A953,'Trial Balance - FPer'!$A$7:$I$1107,7,FALSE)</f>
        <v>0</v>
      </c>
      <c r="J953" s="2100">
        <f>VLOOKUP(A953,'Trial Balance - FPer'!$A$7:$I$1126,3,FALSE)</f>
        <v>0</v>
      </c>
    </row>
    <row r="954" spans="1:10" s="2615" customFormat="1" hidden="1" x14ac:dyDescent="0.2">
      <c r="A954" s="2612"/>
      <c r="B954" s="2613" t="s">
        <v>6751</v>
      </c>
      <c r="C954" s="2614">
        <f>SUM(C952:C953)</f>
        <v>67.040000000000006</v>
      </c>
      <c r="D954" s="2614">
        <f>SUM(D952:D953)</f>
        <v>28.6</v>
      </c>
      <c r="E954" s="2614">
        <f>SUM(E952:E953)</f>
        <v>16.309999999999999</v>
      </c>
      <c r="F954" s="2614">
        <f>SUM(F952:F953)</f>
        <v>28.6</v>
      </c>
      <c r="G954" s="2614">
        <f>SUM(G952:G953)</f>
        <v>32.909999999999997</v>
      </c>
      <c r="H954" s="2614">
        <f t="shared" ref="H954" si="80">SUM(H952:H953)</f>
        <v>0</v>
      </c>
      <c r="I954" s="2614">
        <f>SUM(I952:I953)</f>
        <v>-77.89</v>
      </c>
      <c r="J954" s="2614">
        <f>SUM(J952:J953)</f>
        <v>-67.040000000000006</v>
      </c>
    </row>
    <row r="955" spans="1:10" ht="14.25" hidden="1" x14ac:dyDescent="0.2">
      <c r="A955" s="2236"/>
      <c r="B955" s="2243"/>
      <c r="C955" s="2244"/>
      <c r="D955" s="2245"/>
      <c r="E955" s="2244"/>
      <c r="F955" s="2246"/>
      <c r="G955" s="2244"/>
      <c r="H955" s="2244"/>
      <c r="I955" s="2238" t="e">
        <f>VLOOKUP(A955,'Trial Balance - FPer'!$A$7:$I$1107,7,FALSE)</f>
        <v>#N/A</v>
      </c>
      <c r="J955" s="2100" t="e">
        <f>VLOOKUP(A955,'Trial Balance - FPer'!$A$7:$I$1126,3,FALSE)</f>
        <v>#N/A</v>
      </c>
    </row>
    <row r="956" spans="1:10" s="2615" customFormat="1" ht="13.5" thickBot="1" x14ac:dyDescent="0.25">
      <c r="A956" s="2612"/>
      <c r="B956" s="2616" t="s">
        <v>6579</v>
      </c>
      <c r="C956" s="2617">
        <f>C954+C949+C945</f>
        <v>67.040000000000006</v>
      </c>
      <c r="D956" s="2617">
        <f>D954+D949+D945</f>
        <v>1232044.9400000002</v>
      </c>
      <c r="E956" s="2617">
        <f>E954+E949+E945</f>
        <v>16.309999999999999</v>
      </c>
      <c r="F956" s="2617">
        <f>F954+F949+F945</f>
        <v>972803.84</v>
      </c>
      <c r="G956" s="2617">
        <f>G954+G949+G945</f>
        <v>618507.25</v>
      </c>
      <c r="H956" s="2617">
        <f t="shared" ref="H956" si="81">H954+H949+H945</f>
        <v>0</v>
      </c>
      <c r="I956" s="2617">
        <f>I954+I949+I945</f>
        <v>-77.89</v>
      </c>
      <c r="J956" s="2617">
        <f>J954+J949+J945</f>
        <v>-67.040000000000006</v>
      </c>
    </row>
    <row r="957" spans="1:10" ht="15" thickTop="1" x14ac:dyDescent="0.2">
      <c r="A957" s="2236"/>
      <c r="B957" s="2243"/>
      <c r="C957" s="2244"/>
      <c r="D957" s="2245"/>
      <c r="E957" s="2244"/>
      <c r="F957" s="2246"/>
      <c r="G957" s="2244"/>
      <c r="H957" s="2244"/>
      <c r="I957" s="2238" t="e">
        <f>VLOOKUP(A957,'Trial Balance - FPer'!$A$7:$I$1107,7,FALSE)</f>
        <v>#N/A</v>
      </c>
      <c r="J957" s="2100" t="e">
        <f>VLOOKUP(A957,'Trial Balance - FPer'!$A$7:$I$1126,3,FALSE)</f>
        <v>#N/A</v>
      </c>
    </row>
    <row r="958" spans="1:10" ht="14.25" x14ac:dyDescent="0.2">
      <c r="A958" s="2236"/>
      <c r="B958" s="2242" t="s">
        <v>235</v>
      </c>
      <c r="C958" s="2244"/>
      <c r="D958" s="2245"/>
      <c r="E958" s="2244"/>
      <c r="F958" s="2246"/>
      <c r="G958" s="2244"/>
      <c r="H958" s="2244"/>
      <c r="I958" s="2238" t="e">
        <f>VLOOKUP(A958,'Trial Balance - FPer'!$A$7:$I$1107,7,FALSE)</f>
        <v>#N/A</v>
      </c>
      <c r="J958" s="2100" t="e">
        <f>VLOOKUP(A958,'Trial Balance - FPer'!$A$7:$I$1126,3,FALSE)</f>
        <v>#N/A</v>
      </c>
    </row>
    <row r="959" spans="1:10" ht="14.25" hidden="1" x14ac:dyDescent="0.2">
      <c r="A959" s="2236"/>
      <c r="B959" s="2242" t="s">
        <v>387</v>
      </c>
      <c r="C959" s="2244"/>
      <c r="D959" s="2245"/>
      <c r="E959" s="2244"/>
      <c r="F959" s="2246"/>
      <c r="G959" s="2244"/>
      <c r="H959" s="2244"/>
      <c r="I959" s="2238" t="e">
        <f>VLOOKUP(A959,'Trial Balance - FPer'!$A$7:$I$1107,7,FALSE)</f>
        <v>#N/A</v>
      </c>
      <c r="J959" s="2100" t="e">
        <f>VLOOKUP(A959,'Trial Balance - FPer'!$A$7:$I$1126,3,FALSE)</f>
        <v>#N/A</v>
      </c>
    </row>
    <row r="960" spans="1:10" ht="14.25" hidden="1" x14ac:dyDescent="0.2">
      <c r="A960" s="2236" t="s">
        <v>5360</v>
      </c>
      <c r="B960" s="2243" t="s">
        <v>6003</v>
      </c>
      <c r="C960" s="2244">
        <f>'[2]Data File'!$C$1052</f>
        <v>652595.80000000005</v>
      </c>
      <c r="D960" s="2245">
        <v>828673.45</v>
      </c>
      <c r="E960" s="2244">
        <v>344212.42</v>
      </c>
      <c r="F960" s="2246">
        <v>680477.2</v>
      </c>
      <c r="G960" s="2253">
        <v>725678.41</v>
      </c>
      <c r="H960" s="2100">
        <v>400256.55</v>
      </c>
      <c r="I960" s="2238">
        <f>VLOOKUP(A960,'Trial Balance - FPer'!$A$7:$I$1107,7,FALSE)</f>
        <v>686466.25</v>
      </c>
      <c r="J960" s="2100">
        <f>VLOOKUP(A960,'Trial Balance - FPer'!$A$7:$I$1126,3,FALSE)</f>
        <v>652595.80000000005</v>
      </c>
    </row>
    <row r="961" spans="1:10" ht="14.25" hidden="1" x14ac:dyDescent="0.2">
      <c r="A961" s="2236" t="s">
        <v>5361</v>
      </c>
      <c r="B961" s="2243" t="s">
        <v>6004</v>
      </c>
      <c r="C961" s="2244">
        <f>'[2]Data File'!$C$1057</f>
        <v>54326.07</v>
      </c>
      <c r="D961" s="2245">
        <v>123329.85</v>
      </c>
      <c r="E961" s="2244">
        <v>47448.12</v>
      </c>
      <c r="F961" s="2246">
        <v>60000</v>
      </c>
      <c r="G961" s="2253">
        <v>102322.37</v>
      </c>
      <c r="H961" s="2100">
        <v>52457.21</v>
      </c>
      <c r="I961" s="2238">
        <f>VLOOKUP(A961,'Trial Balance - FPer'!$A$7:$I$1107,7,FALSE)</f>
        <v>57466.3</v>
      </c>
      <c r="J961" s="2100">
        <f>VLOOKUP(A961,'Trial Balance - FPer'!$A$7:$I$1126,3,FALSE)</f>
        <v>54326.07</v>
      </c>
    </row>
    <row r="962" spans="1:10" ht="14.25" hidden="1" x14ac:dyDescent="0.2">
      <c r="A962" s="2236" t="s">
        <v>5362</v>
      </c>
      <c r="B962" s="2243" t="s">
        <v>6582</v>
      </c>
      <c r="C962" s="2244">
        <f>'[2]Data File'!$C$1060</f>
        <v>1107.97</v>
      </c>
      <c r="D962" s="2245">
        <v>6463.57</v>
      </c>
      <c r="E962" s="2244">
        <v>367.87</v>
      </c>
      <c r="F962" s="2246">
        <v>367.87</v>
      </c>
      <c r="G962" s="2253">
        <v>2177.42</v>
      </c>
      <c r="H962" s="2100">
        <v>367.87</v>
      </c>
      <c r="I962" s="2238">
        <f>VLOOKUP(A962,'Trial Balance - FPer'!$A$7:$I$1107,7,FALSE)</f>
        <v>367.87</v>
      </c>
      <c r="J962" s="2100">
        <f>VLOOKUP(A962,'Trial Balance - FPer'!$A$7:$I$1126,3,FALSE)</f>
        <v>1107.97</v>
      </c>
    </row>
    <row r="963" spans="1:10" ht="14.25" hidden="1" x14ac:dyDescent="0.2">
      <c r="A963" s="2236" t="s">
        <v>5363</v>
      </c>
      <c r="B963" s="2243" t="s">
        <v>6584</v>
      </c>
      <c r="C963" s="2244">
        <f>'[2]Data File'!$C$1056</f>
        <v>344.4</v>
      </c>
      <c r="D963" s="2245">
        <v>434.55</v>
      </c>
      <c r="E963" s="2244">
        <v>172.2</v>
      </c>
      <c r="F963" s="2246">
        <v>344.4</v>
      </c>
      <c r="G963" s="2253">
        <v>368.59</v>
      </c>
      <c r="H963" s="2100">
        <v>200.9</v>
      </c>
      <c r="I963" s="2238">
        <f>VLOOKUP(A963,'Trial Balance - FPer'!$A$7:$I$1107,7,FALSE)</f>
        <v>344.4</v>
      </c>
      <c r="J963" s="2100">
        <f>VLOOKUP(A963,'Trial Balance - FPer'!$A$7:$I$1126,3,FALSE)</f>
        <v>344.4</v>
      </c>
    </row>
    <row r="964" spans="1:10" ht="14.25" hidden="1" x14ac:dyDescent="0.2">
      <c r="A964" s="2236" t="s">
        <v>5364</v>
      </c>
      <c r="B964" s="2243" t="s">
        <v>6585</v>
      </c>
      <c r="C964" s="2244">
        <f>'[2]Data File'!$C$1061</f>
        <v>6714.84</v>
      </c>
      <c r="D964" s="2245">
        <v>8975.67</v>
      </c>
      <c r="E964" s="2244">
        <v>3734.98</v>
      </c>
      <c r="F964" s="2246">
        <v>8975.67</v>
      </c>
      <c r="G964" s="2253">
        <v>7870.28</v>
      </c>
      <c r="H964" s="2100">
        <v>4316.7299999999996</v>
      </c>
      <c r="I964" s="2238">
        <f>VLOOKUP(A964,'Trial Balance - FPer'!$A$7:$I$1107,7,FALSE)</f>
        <v>7251.2</v>
      </c>
      <c r="J964" s="2100">
        <f>VLOOKUP(A964,'Trial Balance - FPer'!$A$7:$I$1126,3,FALSE)</f>
        <v>6714.84</v>
      </c>
    </row>
    <row r="965" spans="1:10" ht="14.25" hidden="1" x14ac:dyDescent="0.2">
      <c r="A965" s="2236" t="s">
        <v>5365</v>
      </c>
      <c r="B965" s="2243" t="s">
        <v>6586</v>
      </c>
      <c r="C965" s="2244">
        <f>'[2]Data File'!$C$1063</f>
        <v>0</v>
      </c>
      <c r="D965" s="2245">
        <v>5373.49</v>
      </c>
      <c r="E965" s="2244">
        <v>0</v>
      </c>
      <c r="F965" s="2246">
        <v>0</v>
      </c>
      <c r="G965" s="2253">
        <v>1348.74</v>
      </c>
      <c r="H965" s="2100">
        <v>0</v>
      </c>
      <c r="I965" s="2238">
        <f>VLOOKUP(A965,'Trial Balance - FPer'!$A$7:$I$1107,7,FALSE)</f>
        <v>0</v>
      </c>
      <c r="J965" s="2100" t="str">
        <f>VLOOKUP(A965,'Trial Balance - FPer'!$A$7:$I$1126,3,FALSE)</f>
        <v xml:space="preserve">                               -  </v>
      </c>
    </row>
    <row r="966" spans="1:10" ht="14.25" hidden="1" x14ac:dyDescent="0.2">
      <c r="A966" s="2236" t="s">
        <v>5366</v>
      </c>
      <c r="B966" s="2243" t="s">
        <v>6587</v>
      </c>
      <c r="C966" s="2244">
        <f>'[2]Data File'!$C$1053</f>
        <v>44154</v>
      </c>
      <c r="D966" s="2245">
        <v>52481.73</v>
      </c>
      <c r="E966" s="2244">
        <v>23356.799999999999</v>
      </c>
      <c r="F966" s="2246">
        <v>49176</v>
      </c>
      <c r="G966" s="2253">
        <v>48300.94</v>
      </c>
      <c r="H966" s="2100">
        <v>27660</v>
      </c>
      <c r="I966" s="2238">
        <f>VLOOKUP(A966,'Trial Balance - FPer'!$A$7:$I$1107,7,FALSE)</f>
        <v>49176</v>
      </c>
      <c r="J966" s="2100">
        <f>VLOOKUP(A966,'Trial Balance - FPer'!$A$7:$I$1126,3,FALSE)</f>
        <v>44154</v>
      </c>
    </row>
    <row r="967" spans="1:10" ht="14.25" hidden="1" x14ac:dyDescent="0.2">
      <c r="A967" s="2236" t="s">
        <v>5367</v>
      </c>
      <c r="B967" s="2243" t="s">
        <v>6013</v>
      </c>
      <c r="C967" s="2244">
        <f>'[2]Data File'!$C$1054</f>
        <v>124762.42</v>
      </c>
      <c r="D967" s="2245">
        <v>157330.13</v>
      </c>
      <c r="E967" s="2244">
        <v>64707.18</v>
      </c>
      <c r="F967" s="2246">
        <v>131323.38</v>
      </c>
      <c r="G967" s="2253">
        <v>136817.85999999999</v>
      </c>
      <c r="H967" s="2100">
        <v>75809.88</v>
      </c>
      <c r="I967" s="2238">
        <f>VLOOKUP(A967,'Trial Balance - FPer'!$A$7:$I$1107,7,FALSE)</f>
        <v>131323.38</v>
      </c>
      <c r="J967" s="2100">
        <f>VLOOKUP(A967,'Trial Balance - FPer'!$A$7:$I$1126,3,FALSE)</f>
        <v>124762.42</v>
      </c>
    </row>
    <row r="968" spans="1:10" ht="14.25" hidden="1" x14ac:dyDescent="0.2">
      <c r="A968" s="2236" t="s">
        <v>5368</v>
      </c>
      <c r="B968" s="2247" t="s">
        <v>6014</v>
      </c>
      <c r="C968" s="2248">
        <f>'[2]Data File'!$C$1055</f>
        <v>6851.15</v>
      </c>
      <c r="D968" s="2249">
        <v>8594.68</v>
      </c>
      <c r="E968" s="2248">
        <v>3514.13</v>
      </c>
      <c r="F968" s="2250">
        <v>8594.68</v>
      </c>
      <c r="G968" s="2248">
        <v>7445.33</v>
      </c>
      <c r="H968" s="2100">
        <v>4120.8500000000004</v>
      </c>
      <c r="I968" s="2238">
        <f>VLOOKUP(A968,'Trial Balance - FPer'!$A$7:$I$1107,7,FALSE)</f>
        <v>7008.3</v>
      </c>
      <c r="J968" s="2100">
        <f>VLOOKUP(A968,'Trial Balance - FPer'!$A$7:$I$1126,3,FALSE)</f>
        <v>6851.15</v>
      </c>
    </row>
    <row r="969" spans="1:10" s="2615" customFormat="1" hidden="1" x14ac:dyDescent="0.2">
      <c r="A969" s="2612"/>
      <c r="B969" s="2613" t="s">
        <v>6588</v>
      </c>
      <c r="C969" s="2614">
        <f>SUM(C960:C968)</f>
        <v>890856.65</v>
      </c>
      <c r="D969" s="2614">
        <f>SUM(D960:D968)</f>
        <v>1191657.1199999999</v>
      </c>
      <c r="E969" s="2614">
        <f>SUM(E960:E968)</f>
        <v>487513.69999999995</v>
      </c>
      <c r="F969" s="2614">
        <f>SUM(F960:F968)</f>
        <v>939259.20000000007</v>
      </c>
      <c r="G969" s="2614">
        <f>SUM(G960:G968)</f>
        <v>1032329.94</v>
      </c>
      <c r="H969" s="2614">
        <f t="shared" ref="H969" si="82">SUM(H960:H968)</f>
        <v>565189.99</v>
      </c>
      <c r="I969" s="2614">
        <f>SUM(I960:I968)</f>
        <v>939403.70000000007</v>
      </c>
      <c r="J969" s="2614">
        <f>SUM(J960:J968)</f>
        <v>890856.65</v>
      </c>
    </row>
    <row r="970" spans="1:10" ht="14.25" hidden="1" x14ac:dyDescent="0.2">
      <c r="A970" s="2236"/>
      <c r="B970" s="2243"/>
      <c r="C970" s="2244"/>
      <c r="D970" s="2245"/>
      <c r="E970" s="2244"/>
      <c r="F970" s="2246"/>
      <c r="G970" s="2244"/>
      <c r="H970" s="2244"/>
      <c r="I970" s="2238" t="e">
        <f>VLOOKUP(A970,'Trial Balance - FPer'!$A$7:$I$1107,7,FALSE)</f>
        <v>#N/A</v>
      </c>
      <c r="J970" s="2100" t="e">
        <f>VLOOKUP(A970,'Trial Balance - FPer'!$A$7:$I$1126,3,FALSE)</f>
        <v>#N/A</v>
      </c>
    </row>
    <row r="971" spans="1:10" ht="14.25" hidden="1" x14ac:dyDescent="0.2">
      <c r="A971" s="2236"/>
      <c r="B971" s="2242" t="s">
        <v>6599</v>
      </c>
      <c r="C971" s="2244"/>
      <c r="D971" s="2245"/>
      <c r="E971" s="2244"/>
      <c r="F971" s="2246"/>
      <c r="G971" s="2244"/>
      <c r="H971" s="2244"/>
      <c r="I971" s="2238" t="e">
        <f>VLOOKUP(A971,'Trial Balance - FPer'!$A$7:$I$1107,7,FALSE)</f>
        <v>#N/A</v>
      </c>
      <c r="J971" s="2100" t="e">
        <f>VLOOKUP(A971,'Trial Balance - FPer'!$A$7:$I$1126,3,FALSE)</f>
        <v>#N/A</v>
      </c>
    </row>
    <row r="972" spans="1:10" ht="14.25" hidden="1" x14ac:dyDescent="0.2">
      <c r="A972" s="2236" t="s">
        <v>5369</v>
      </c>
      <c r="B972" s="2243" t="s">
        <v>6601</v>
      </c>
      <c r="C972" s="2244">
        <f>'[2]Data File'!$C$1067</f>
        <v>-15.79</v>
      </c>
      <c r="D972" s="2245">
        <v>4551.09</v>
      </c>
      <c r="E972" s="2244">
        <v>0</v>
      </c>
      <c r="F972" s="2246">
        <v>0</v>
      </c>
      <c r="G972" s="2253">
        <v>1141.55</v>
      </c>
      <c r="H972" s="2100">
        <v>0</v>
      </c>
      <c r="I972" s="2238">
        <f>VLOOKUP(A972,'Trial Balance - FPer'!$A$7:$I$1107,7,FALSE)</f>
        <v>0</v>
      </c>
      <c r="J972" s="2100">
        <f>VLOOKUP(A972,'Trial Balance - FPer'!$A$7:$I$1126,3,FALSE)</f>
        <v>-15.79</v>
      </c>
    </row>
    <row r="973" spans="1:10" ht="14.25" hidden="1" x14ac:dyDescent="0.2">
      <c r="A973" s="2236" t="s">
        <v>5370</v>
      </c>
      <c r="B973" s="2243" t="s">
        <v>6692</v>
      </c>
      <c r="C973" s="2244">
        <v>0</v>
      </c>
      <c r="D973" s="2245">
        <v>0</v>
      </c>
      <c r="E973" s="2244">
        <v>0</v>
      </c>
      <c r="F973" s="2246">
        <v>0</v>
      </c>
      <c r="G973" s="2253">
        <v>0</v>
      </c>
      <c r="H973" s="2100">
        <v>0</v>
      </c>
      <c r="I973" s="2238">
        <f>VLOOKUP(A973,'Trial Balance - FPer'!$A$7:$I$1107,7,FALSE)</f>
        <v>0</v>
      </c>
      <c r="J973" s="2100">
        <f>VLOOKUP(A973,'Trial Balance - FPer'!$A$7:$I$1126,3,FALSE)</f>
        <v>0</v>
      </c>
    </row>
    <row r="974" spans="1:10" ht="14.25" hidden="1" x14ac:dyDescent="0.2">
      <c r="A974" s="2236" t="s">
        <v>5371</v>
      </c>
      <c r="B974" s="2243" t="s">
        <v>6105</v>
      </c>
      <c r="C974" s="2244">
        <f>'[2]Data File'!$C$1068</f>
        <v>0</v>
      </c>
      <c r="D974" s="2245">
        <v>205.96</v>
      </c>
      <c r="E974" s="2244">
        <v>0</v>
      </c>
      <c r="F974" s="2246">
        <v>0</v>
      </c>
      <c r="G974" s="2253">
        <v>51.98</v>
      </c>
      <c r="H974" s="2100">
        <v>0</v>
      </c>
      <c r="I974" s="2238">
        <f>VLOOKUP(A974,'Trial Balance - FPer'!$A$7:$I$1107,7,FALSE)</f>
        <v>0</v>
      </c>
      <c r="J974" s="2100" t="str">
        <f>VLOOKUP(A974,'Trial Balance - FPer'!$A$7:$I$1126,3,FALSE)</f>
        <v xml:space="preserve">                               -  </v>
      </c>
    </row>
    <row r="975" spans="1:10" ht="14.25" hidden="1" x14ac:dyDescent="0.2">
      <c r="A975" s="2236" t="s">
        <v>5372</v>
      </c>
      <c r="B975" s="2243" t="s">
        <v>6028</v>
      </c>
      <c r="C975" s="2244">
        <f>'[2]Data File'!$C$1069</f>
        <v>0</v>
      </c>
      <c r="D975" s="2245">
        <v>0</v>
      </c>
      <c r="E975" s="2244">
        <v>0</v>
      </c>
      <c r="F975" s="2246">
        <v>0</v>
      </c>
      <c r="G975" s="2253">
        <v>0</v>
      </c>
      <c r="H975" s="2100">
        <v>0</v>
      </c>
      <c r="I975" s="2238">
        <f>VLOOKUP(A975,'Trial Balance - FPer'!$A$7:$I$1107,7,FALSE)</f>
        <v>0</v>
      </c>
      <c r="J975" s="2100">
        <f>VLOOKUP(A975,'Trial Balance - FPer'!$A$7:$I$1126,3,FALSE)</f>
        <v>0</v>
      </c>
    </row>
    <row r="976" spans="1:10" ht="14.25" hidden="1" x14ac:dyDescent="0.2">
      <c r="A976" s="2236" t="s">
        <v>5373</v>
      </c>
      <c r="B976" s="2243" t="s">
        <v>6609</v>
      </c>
      <c r="C976" s="2244">
        <f>'[2]Data File'!$C$1070</f>
        <v>0</v>
      </c>
      <c r="D976" s="2245">
        <v>827.71</v>
      </c>
      <c r="E976" s="2244">
        <v>0</v>
      </c>
      <c r="F976" s="2246">
        <v>0</v>
      </c>
      <c r="G976" s="2253">
        <v>206.86</v>
      </c>
      <c r="H976" s="2100">
        <v>0</v>
      </c>
      <c r="I976" s="2238">
        <f>VLOOKUP(A976,'Trial Balance - FPer'!$A$7:$I$1107,7,FALSE)</f>
        <v>1001.1</v>
      </c>
      <c r="J976" s="2100" t="str">
        <f>VLOOKUP(A976,'Trial Balance - FPer'!$A$7:$I$1126,3,FALSE)</f>
        <v xml:space="preserve">                               -  </v>
      </c>
    </row>
    <row r="977" spans="1:10" ht="14.25" hidden="1" x14ac:dyDescent="0.2">
      <c r="A977" s="2236" t="s">
        <v>5374</v>
      </c>
      <c r="B977" s="2243" t="s">
        <v>6610</v>
      </c>
      <c r="C977" s="2244">
        <f>'[2]Data File'!$C$1071</f>
        <v>12911.93</v>
      </c>
      <c r="D977" s="2245">
        <v>13364.23</v>
      </c>
      <c r="E977" s="2244">
        <v>9185.09</v>
      </c>
      <c r="F977" s="2246">
        <v>14437.79</v>
      </c>
      <c r="G977" s="2253">
        <v>17171.61</v>
      </c>
      <c r="H977" s="2100">
        <v>10060.540000000001</v>
      </c>
      <c r="I977" s="2238">
        <f>VLOOKUP(A977,'Trial Balance - FPer'!$A$7:$I$1107,7,FALSE)</f>
        <v>10641.47</v>
      </c>
      <c r="J977" s="2100">
        <f>VLOOKUP(A977,'Trial Balance - FPer'!$A$7:$I$1126,3,FALSE)</f>
        <v>12911.93</v>
      </c>
    </row>
    <row r="978" spans="1:10" ht="14.25" hidden="1" x14ac:dyDescent="0.2">
      <c r="A978" s="2236" t="s">
        <v>5375</v>
      </c>
      <c r="B978" s="2243" t="s">
        <v>6752</v>
      </c>
      <c r="C978" s="2244">
        <f>'[2]Data File'!$C$1072</f>
        <v>0</v>
      </c>
      <c r="D978" s="2245">
        <v>2067.98</v>
      </c>
      <c r="E978" s="2244">
        <v>0</v>
      </c>
      <c r="F978" s="2246">
        <v>0</v>
      </c>
      <c r="G978" s="2253">
        <v>517.99</v>
      </c>
      <c r="H978" s="2100">
        <v>0</v>
      </c>
      <c r="I978" s="2238">
        <f>VLOOKUP(A978,'Trial Balance - FPer'!$A$7:$I$1107,7,FALSE)</f>
        <v>0</v>
      </c>
      <c r="J978" s="2100">
        <f>VLOOKUP(A978,'Trial Balance - FPer'!$A$7:$I$1126,3,FALSE)</f>
        <v>0</v>
      </c>
    </row>
    <row r="979" spans="1:10" ht="14.25" hidden="1" x14ac:dyDescent="0.2">
      <c r="A979" s="2236" t="s">
        <v>5376</v>
      </c>
      <c r="B979" s="2243" t="s">
        <v>6612</v>
      </c>
      <c r="C979" s="2244">
        <f>'[2]Data File'!$C$1073</f>
        <v>0</v>
      </c>
      <c r="D979" s="2245">
        <v>0</v>
      </c>
      <c r="E979" s="2244">
        <v>0</v>
      </c>
      <c r="F979" s="2246">
        <v>0</v>
      </c>
      <c r="G979" s="2253">
        <v>0</v>
      </c>
      <c r="H979" s="2100">
        <v>0</v>
      </c>
      <c r="I979" s="2238">
        <f>VLOOKUP(A979,'Trial Balance - FPer'!$A$7:$I$1107,7,FALSE)</f>
        <v>0</v>
      </c>
      <c r="J979" s="2100">
        <f>VLOOKUP(A979,'Trial Balance - FPer'!$A$7:$I$1126,3,FALSE)</f>
        <v>0</v>
      </c>
    </row>
    <row r="980" spans="1:10" ht="14.25" hidden="1" x14ac:dyDescent="0.2">
      <c r="A980" s="2236" t="s">
        <v>5377</v>
      </c>
      <c r="B980" s="2247" t="s">
        <v>6033</v>
      </c>
      <c r="C980" s="2248">
        <f>'[2]Data File'!$C$1074</f>
        <v>140.1</v>
      </c>
      <c r="D980" s="2249">
        <v>264</v>
      </c>
      <c r="E980" s="2248">
        <v>0</v>
      </c>
      <c r="F980" s="2250">
        <v>0</v>
      </c>
      <c r="G980" s="2248">
        <v>66</v>
      </c>
      <c r="H980" s="2100">
        <v>0</v>
      </c>
      <c r="I980" s="2238">
        <f>VLOOKUP(A980,'Trial Balance - FPer'!$A$7:$I$1107,7,FALSE)</f>
        <v>0</v>
      </c>
      <c r="J980" s="2100">
        <f>VLOOKUP(A980,'Trial Balance - FPer'!$A$7:$I$1126,3,FALSE)</f>
        <v>0</v>
      </c>
    </row>
    <row r="981" spans="1:10" s="2615" customFormat="1" hidden="1" x14ac:dyDescent="0.2">
      <c r="A981" s="2612"/>
      <c r="B981" s="2613" t="s">
        <v>6614</v>
      </c>
      <c r="C981" s="2614">
        <f>SUM(C972:C980)</f>
        <v>13036.24</v>
      </c>
      <c r="D981" s="2614">
        <f>SUM(D972:D980)</f>
        <v>21280.969999999998</v>
      </c>
      <c r="E981" s="2614">
        <f>SUM(E972:E980)</f>
        <v>9185.09</v>
      </c>
      <c r="F981" s="2614">
        <f>SUM(F972:F980)</f>
        <v>14437.79</v>
      </c>
      <c r="G981" s="2614">
        <f>SUM(G972:G980)</f>
        <v>19155.990000000002</v>
      </c>
      <c r="H981" s="2614">
        <f t="shared" ref="H981" si="83">SUM(H972:H980)</f>
        <v>10060.540000000001</v>
      </c>
      <c r="I981" s="2614">
        <f>SUM(I972:I980)</f>
        <v>11642.57</v>
      </c>
      <c r="J981" s="2614">
        <f>SUM(J972:J980)</f>
        <v>12896.14</v>
      </c>
    </row>
    <row r="982" spans="1:10" ht="14.25" hidden="1" x14ac:dyDescent="0.2">
      <c r="A982" s="2236"/>
      <c r="B982" s="2243"/>
      <c r="C982" s="2244"/>
      <c r="D982" s="2245"/>
      <c r="E982" s="2244"/>
      <c r="F982" s="2246"/>
      <c r="G982" s="2244"/>
      <c r="H982" s="2244"/>
      <c r="I982" s="2238" t="e">
        <f>VLOOKUP(A982,'Trial Balance - FPer'!$A$7:$I$1107,7,FALSE)</f>
        <v>#N/A</v>
      </c>
      <c r="J982" s="2100" t="e">
        <f>VLOOKUP(A982,'Trial Balance - FPer'!$A$7:$I$1126,3,FALSE)</f>
        <v>#N/A</v>
      </c>
    </row>
    <row r="983" spans="1:10" ht="14.25" hidden="1" x14ac:dyDescent="0.2">
      <c r="A983" s="2236"/>
      <c r="B983" s="2242" t="s">
        <v>6615</v>
      </c>
      <c r="C983" s="2244"/>
      <c r="D983" s="2245"/>
      <c r="E983" s="2244"/>
      <c r="F983" s="2246"/>
      <c r="G983" s="2244"/>
      <c r="H983" s="2244"/>
      <c r="I983" s="2238" t="e">
        <f>VLOOKUP(A983,'Trial Balance - FPer'!$A$7:$I$1107,7,FALSE)</f>
        <v>#N/A</v>
      </c>
      <c r="J983" s="2100" t="e">
        <f>VLOOKUP(A983,'Trial Balance - FPer'!$A$7:$I$1126,3,FALSE)</f>
        <v>#N/A</v>
      </c>
    </row>
    <row r="984" spans="1:10" ht="14.25" hidden="1" x14ac:dyDescent="0.2">
      <c r="A984" s="2236" t="s">
        <v>5378</v>
      </c>
      <c r="B984" s="2247" t="s">
        <v>6616</v>
      </c>
      <c r="C984" s="2248">
        <f>'[2]Data File'!$C$1080</f>
        <v>0</v>
      </c>
      <c r="D984" s="2249">
        <v>12415.54</v>
      </c>
      <c r="E984" s="2248">
        <v>0</v>
      </c>
      <c r="F984" s="2250">
        <v>0</v>
      </c>
      <c r="G984" s="2248">
        <v>3117.77</v>
      </c>
      <c r="H984" s="2244">
        <v>0</v>
      </c>
      <c r="I984" s="2238">
        <f>VLOOKUP(A984,'Trial Balance - FPer'!$A$7:$I$1107,7,FALSE)</f>
        <v>0</v>
      </c>
      <c r="J984" s="2100" t="str">
        <f>VLOOKUP(A984,'Trial Balance - FPer'!$A$7:$I$1126,3,FALSE)</f>
        <v xml:space="preserve">                               -  </v>
      </c>
    </row>
    <row r="985" spans="1:10" s="2615" customFormat="1" hidden="1" x14ac:dyDescent="0.2">
      <c r="A985" s="2612"/>
      <c r="B985" s="2613" t="s">
        <v>6618</v>
      </c>
      <c r="C985" s="2614">
        <f>SUM(C984)</f>
        <v>0</v>
      </c>
      <c r="D985" s="2614">
        <f>SUM(D984)</f>
        <v>12415.54</v>
      </c>
      <c r="E985" s="2614">
        <f>SUM(E984)</f>
        <v>0</v>
      </c>
      <c r="F985" s="2614">
        <f>SUM(F984)</f>
        <v>0</v>
      </c>
      <c r="G985" s="2614">
        <f>SUM(G984)</f>
        <v>3117.77</v>
      </c>
      <c r="H985" s="2614">
        <f t="shared" ref="H985:J985" si="84">SUM(H984)</f>
        <v>0</v>
      </c>
      <c r="I985" s="2614">
        <f t="shared" si="84"/>
        <v>0</v>
      </c>
      <c r="J985" s="2614">
        <f t="shared" si="84"/>
        <v>0</v>
      </c>
    </row>
    <row r="986" spans="1:10" ht="14.25" hidden="1" x14ac:dyDescent="0.2">
      <c r="A986" s="2236"/>
      <c r="B986" s="2242"/>
      <c r="C986" s="2244"/>
      <c r="D986" s="2245"/>
      <c r="E986" s="2244"/>
      <c r="F986" s="2246"/>
      <c r="G986" s="2244"/>
      <c r="H986" s="2244"/>
      <c r="I986" s="2238" t="e">
        <f>VLOOKUP(A986,'Trial Balance - FPer'!$A$7:$I$1107,7,FALSE)</f>
        <v>#N/A</v>
      </c>
      <c r="J986" s="2100" t="e">
        <f>VLOOKUP(A986,'Trial Balance - FPer'!$A$7:$I$1126,3,FALSE)</f>
        <v>#N/A</v>
      </c>
    </row>
    <row r="987" spans="1:10" ht="14.25" hidden="1" x14ac:dyDescent="0.2">
      <c r="A987" s="2236"/>
      <c r="B987" s="2242" t="s">
        <v>6619</v>
      </c>
      <c r="C987" s="2244"/>
      <c r="D987" s="2245"/>
      <c r="E987" s="2244"/>
      <c r="F987" s="2246"/>
      <c r="G987" s="2244"/>
      <c r="H987" s="2244"/>
      <c r="I987" s="2238" t="e">
        <f>VLOOKUP(A987,'Trial Balance - FPer'!$A$7:$I$1107,7,FALSE)</f>
        <v>#N/A</v>
      </c>
      <c r="J987" s="2100" t="e">
        <f>VLOOKUP(A987,'Trial Balance - FPer'!$A$7:$I$1126,3,FALSE)</f>
        <v>#N/A</v>
      </c>
    </row>
    <row r="988" spans="1:10" ht="14.25" hidden="1" x14ac:dyDescent="0.2">
      <c r="A988" s="2236" t="s">
        <v>5379</v>
      </c>
      <c r="B988" s="2243" t="s">
        <v>6620</v>
      </c>
      <c r="C988" s="2244">
        <f>'[2]Data File'!$C$1084</f>
        <v>30883.05</v>
      </c>
      <c r="D988" s="2245">
        <v>10095.32</v>
      </c>
      <c r="E988" s="2244">
        <v>0</v>
      </c>
      <c r="F988" s="2246">
        <v>10095.32</v>
      </c>
      <c r="G988" s="2253">
        <v>2533.66</v>
      </c>
      <c r="H988" s="2256"/>
      <c r="I988" s="2238">
        <f>VLOOKUP(A988,'Trial Balance - FPer'!$A$7:$I$1107,7,FALSE)</f>
        <v>0</v>
      </c>
      <c r="J988" s="2100">
        <f>VLOOKUP(A988,'Trial Balance - FPer'!$A$7:$I$1126,3,FALSE)</f>
        <v>30883.05</v>
      </c>
    </row>
    <row r="989" spans="1:10" ht="14.25" hidden="1" x14ac:dyDescent="0.2">
      <c r="A989" s="2236" t="s">
        <v>5380</v>
      </c>
      <c r="B989" s="2247" t="s">
        <v>6621</v>
      </c>
      <c r="C989" s="2248">
        <f>'[2]Data File'!$C$1086</f>
        <v>1285.08</v>
      </c>
      <c r="D989" s="2249">
        <v>9011.5300000000007</v>
      </c>
      <c r="E989" s="2248">
        <v>0</v>
      </c>
      <c r="F989" s="2250">
        <v>9011.5300000000007</v>
      </c>
      <c r="G989" s="2248">
        <v>2261.77</v>
      </c>
      <c r="H989" s="2256"/>
      <c r="I989" s="2238">
        <f>VLOOKUP(A989,'Trial Balance - FPer'!$A$7:$I$1107,7,FALSE)</f>
        <v>0</v>
      </c>
      <c r="J989" s="2100">
        <f>VLOOKUP(A989,'Trial Balance - FPer'!$A$7:$I$1126,3,FALSE)</f>
        <v>1285.08</v>
      </c>
    </row>
    <row r="990" spans="1:10" s="2615" customFormat="1" hidden="1" x14ac:dyDescent="0.2">
      <c r="A990" s="2612"/>
      <c r="B990" s="2613" t="s">
        <v>6622</v>
      </c>
      <c r="C990" s="2614">
        <f>SUM(C988:C989)</f>
        <v>32168.129999999997</v>
      </c>
      <c r="D990" s="2614">
        <f>SUM(D988:D989)</f>
        <v>19106.849999999999</v>
      </c>
      <c r="E990" s="2614">
        <f>SUM(E988:E989)</f>
        <v>0</v>
      </c>
      <c r="F990" s="2614">
        <f>SUM(F988:F989)</f>
        <v>19106.849999999999</v>
      </c>
      <c r="G990" s="2614">
        <f>SUM(G988:G989)</f>
        <v>4795.43</v>
      </c>
      <c r="H990" s="2614">
        <f t="shared" ref="H990" si="85">SUM(H988:H989)</f>
        <v>0</v>
      </c>
      <c r="I990" s="2614">
        <f>SUM(I988:I989)</f>
        <v>0</v>
      </c>
      <c r="J990" s="2614">
        <f>SUM(J988:J989)</f>
        <v>32168.129999999997</v>
      </c>
    </row>
    <row r="991" spans="1:10" ht="14.25" hidden="1" x14ac:dyDescent="0.2">
      <c r="A991" s="2236"/>
      <c r="B991" s="2243"/>
      <c r="C991" s="2244"/>
      <c r="D991" s="2245"/>
      <c r="E991" s="2244"/>
      <c r="F991" s="2246"/>
      <c r="G991" s="2244"/>
      <c r="H991" s="2244"/>
      <c r="I991" s="2238" t="e">
        <f>VLOOKUP(A991,'Trial Balance - FPer'!$A$7:$I$1107,7,FALSE)</f>
        <v>#N/A</v>
      </c>
      <c r="J991" s="2100" t="e">
        <f>VLOOKUP(A991,'Trial Balance - FPer'!$A$7:$I$1126,3,FALSE)</f>
        <v>#N/A</v>
      </c>
    </row>
    <row r="992" spans="1:10" s="2615" customFormat="1" ht="13.5" thickBot="1" x14ac:dyDescent="0.25">
      <c r="A992" s="2612"/>
      <c r="B992" s="2616" t="s">
        <v>6623</v>
      </c>
      <c r="C992" s="2617">
        <f>C990+C985+C981+C969</f>
        <v>936061.02</v>
      </c>
      <c r="D992" s="2617">
        <f>D990+D985+D981+D969</f>
        <v>1244460.48</v>
      </c>
      <c r="E992" s="2617">
        <f>E990+E985+E981+E969</f>
        <v>496698.79</v>
      </c>
      <c r="F992" s="2617">
        <f>F990+F985+F981+F969</f>
        <v>972803.84000000008</v>
      </c>
      <c r="G992" s="2617">
        <f>G990+G985+G981+G969</f>
        <v>1059399.1299999999</v>
      </c>
      <c r="H992" s="2617">
        <f t="shared" ref="H992" si="86">H990+H985+H981+H969</f>
        <v>575250.53</v>
      </c>
      <c r="I992" s="2617">
        <f>I990+I985+I981+I969</f>
        <v>951046.27</v>
      </c>
      <c r="J992" s="2617">
        <f>J990+J985+J981+J969</f>
        <v>935920.92</v>
      </c>
    </row>
    <row r="993" spans="1:10" ht="15" thickTop="1" x14ac:dyDescent="0.2">
      <c r="A993" s="2236"/>
      <c r="B993" s="2243"/>
      <c r="C993" s="2244"/>
      <c r="D993" s="2245"/>
      <c r="E993" s="2244"/>
      <c r="F993" s="2246"/>
      <c r="G993" s="2244"/>
      <c r="H993" s="2244"/>
      <c r="I993" s="2238" t="e">
        <f>VLOOKUP(A993,'Trial Balance - FPer'!$A$7:$I$1107,7,FALSE)</f>
        <v>#N/A</v>
      </c>
      <c r="J993" s="2100" t="e">
        <f>VLOOKUP(A993,'Trial Balance - FPer'!$A$7:$I$1126,3,FALSE)</f>
        <v>#N/A</v>
      </c>
    </row>
    <row r="994" spans="1:10" s="2615" customFormat="1" ht="13.5" thickBot="1" x14ac:dyDescent="0.25">
      <c r="A994" s="2612"/>
      <c r="B994" s="2616" t="s">
        <v>6624</v>
      </c>
      <c r="C994" s="2617">
        <f>C956-C992</f>
        <v>-935993.98</v>
      </c>
      <c r="D994" s="2617">
        <f>D956-D992</f>
        <v>-12415.539999999804</v>
      </c>
      <c r="E994" s="2617">
        <f>E956-E992</f>
        <v>-496682.48</v>
      </c>
      <c r="F994" s="2617">
        <f>F956-F992</f>
        <v>0</v>
      </c>
      <c r="G994" s="2617">
        <f>G956-G992</f>
        <v>-440891.87999999989</v>
      </c>
      <c r="H994" s="2617">
        <f t="shared" ref="H994:J994" si="87">H956-H992</f>
        <v>-575250.53</v>
      </c>
      <c r="I994" s="2617">
        <f t="shared" si="87"/>
        <v>-951124.16</v>
      </c>
      <c r="J994" s="2617">
        <f t="shared" si="87"/>
        <v>-935987.96000000008</v>
      </c>
    </row>
    <row r="995" spans="1:10" ht="15" thickTop="1" x14ac:dyDescent="0.2">
      <c r="A995" s="2236"/>
      <c r="B995" s="2243"/>
      <c r="C995" s="2244"/>
      <c r="D995" s="2245"/>
      <c r="E995" s="2244"/>
      <c r="F995" s="2246"/>
      <c r="G995" s="2244"/>
      <c r="H995" s="2244"/>
      <c r="I995" s="2238" t="e">
        <f>VLOOKUP(A995,'Trial Balance - FPer'!$A$7:$I$1107,7,FALSE)</f>
        <v>#N/A</v>
      </c>
      <c r="J995" s="2100" t="e">
        <f>VLOOKUP(A995,'Trial Balance - FPer'!$A$7:$I$1126,3,FALSE)</f>
        <v>#N/A</v>
      </c>
    </row>
    <row r="996" spans="1:10" ht="15" x14ac:dyDescent="0.25">
      <c r="A996" s="2241" t="s">
        <v>6753</v>
      </c>
      <c r="B996" s="2237" t="s">
        <v>6754</v>
      </c>
      <c r="C996" s="2244"/>
      <c r="D996" s="2245"/>
      <c r="E996" s="2244"/>
      <c r="F996" s="2246"/>
      <c r="G996" s="2244"/>
      <c r="H996" s="2244"/>
      <c r="I996" s="2238" t="e">
        <f>VLOOKUP(A996,'Trial Balance - FPer'!$A$7:$I$1107,7,FALSE)</f>
        <v>#N/A</v>
      </c>
      <c r="J996" s="2100" t="e">
        <f>VLOOKUP(A996,'Trial Balance - FPer'!$A$7:$I$1126,3,FALSE)</f>
        <v>#N/A</v>
      </c>
    </row>
    <row r="997" spans="1:10" ht="14.25" x14ac:dyDescent="0.2">
      <c r="A997" s="2236"/>
      <c r="B997" s="2243"/>
      <c r="C997" s="2244"/>
      <c r="D997" s="2245"/>
      <c r="E997" s="2244"/>
      <c r="F997" s="2246"/>
      <c r="G997" s="2244"/>
      <c r="H997" s="2244"/>
      <c r="I997" s="2238" t="e">
        <f>VLOOKUP(A997,'Trial Balance - FPer'!$A$7:$I$1107,7,FALSE)</f>
        <v>#N/A</v>
      </c>
      <c r="J997" s="2100" t="e">
        <f>VLOOKUP(A997,'Trial Balance - FPer'!$A$7:$I$1126,3,FALSE)</f>
        <v>#N/A</v>
      </c>
    </row>
    <row r="998" spans="1:10" ht="14.25" x14ac:dyDescent="0.2">
      <c r="A998" s="2236"/>
      <c r="B998" s="2242" t="s">
        <v>247</v>
      </c>
      <c r="C998" s="2244"/>
      <c r="D998" s="2245"/>
      <c r="E998" s="2244"/>
      <c r="F998" s="2246"/>
      <c r="G998" s="2244"/>
      <c r="H998" s="2244"/>
      <c r="I998" s="2238" t="e">
        <f>VLOOKUP(A998,'Trial Balance - FPer'!$A$7:$I$1107,7,FALSE)</f>
        <v>#N/A</v>
      </c>
      <c r="J998" s="2100" t="e">
        <f>VLOOKUP(A998,'Trial Balance - FPer'!$A$7:$I$1126,3,FALSE)</f>
        <v>#N/A</v>
      </c>
    </row>
    <row r="999" spans="1:10" ht="14.25" hidden="1" x14ac:dyDescent="0.2">
      <c r="A999" s="2236"/>
      <c r="B999" s="2242" t="s">
        <v>6644</v>
      </c>
      <c r="C999" s="2244"/>
      <c r="D999" s="2245"/>
      <c r="E999" s="2244"/>
      <c r="F999" s="2246"/>
      <c r="G999" s="2244"/>
      <c r="H999" s="2244"/>
      <c r="I999" s="2238" t="e">
        <f>VLOOKUP(A999,'Trial Balance - FPer'!$A$7:$I$1107,7,FALSE)</f>
        <v>#N/A</v>
      </c>
      <c r="J999" s="2100" t="e">
        <f>VLOOKUP(A999,'Trial Balance - FPer'!$A$7:$I$1126,3,FALSE)</f>
        <v>#N/A</v>
      </c>
    </row>
    <row r="1000" spans="1:10" ht="14.25" hidden="1" x14ac:dyDescent="0.2">
      <c r="A1000" s="2236" t="s">
        <v>5421</v>
      </c>
      <c r="B1000" s="2243" t="s">
        <v>6175</v>
      </c>
      <c r="C1000" s="2244">
        <f>'[2]Data File'!$C$1099</f>
        <v>8505.7199999999993</v>
      </c>
      <c r="D1000" s="2245">
        <v>11788.7</v>
      </c>
      <c r="E1000" s="2244">
        <v>3103.6</v>
      </c>
      <c r="F1000" s="2246">
        <v>11788.7</v>
      </c>
      <c r="G1000" s="2244">
        <v>9024.2999999999993</v>
      </c>
      <c r="H1000" s="2244"/>
      <c r="I1000" s="2238">
        <f>VLOOKUP(A1000,'Trial Balance - FPer'!$A$7:$I$1107,7,FALSE)</f>
        <v>-6217.19</v>
      </c>
      <c r="J1000" s="2100">
        <f>VLOOKUP(A1000,'Trial Balance - FPer'!$A$7:$I$1126,3,FALSE)</f>
        <v>-8505.7199999999993</v>
      </c>
    </row>
    <row r="1001" spans="1:10" ht="14.25" hidden="1" x14ac:dyDescent="0.2">
      <c r="A1001" s="2236" t="s">
        <v>5422</v>
      </c>
      <c r="B1001" s="2247" t="s">
        <v>6755</v>
      </c>
      <c r="C1001" s="2248">
        <f>'[2]Data File'!$C$1100</f>
        <v>820.01</v>
      </c>
      <c r="D1001" s="2249">
        <v>750.2</v>
      </c>
      <c r="E1001" s="2248">
        <v>314.56</v>
      </c>
      <c r="F1001" s="2250">
        <v>750.2</v>
      </c>
      <c r="G1001" s="2248">
        <v>692.76</v>
      </c>
      <c r="H1001" s="2244"/>
      <c r="I1001" s="2238">
        <f>VLOOKUP(A1001,'Trial Balance - FPer'!$A$7:$I$1107,7,FALSE)</f>
        <v>-471.84</v>
      </c>
      <c r="J1001" s="2100">
        <f>VLOOKUP(A1001,'Trial Balance - FPer'!$A$7:$I$1126,3,FALSE)</f>
        <v>-820.01</v>
      </c>
    </row>
    <row r="1002" spans="1:10" s="2615" customFormat="1" hidden="1" x14ac:dyDescent="0.2">
      <c r="A1002" s="2612"/>
      <c r="B1002" s="2613" t="s">
        <v>6756</v>
      </c>
      <c r="C1002" s="2614">
        <f>SUM(C1000:C1001)</f>
        <v>9325.73</v>
      </c>
      <c r="D1002" s="2614">
        <f>SUM(D1000:D1001)</f>
        <v>12538.900000000001</v>
      </c>
      <c r="E1002" s="2614">
        <f>SUM(E1000:E1001)</f>
        <v>3418.16</v>
      </c>
      <c r="F1002" s="2614">
        <f>SUM(F1000:F1001)</f>
        <v>12538.900000000001</v>
      </c>
      <c r="G1002" s="2614">
        <f>SUM(G1000:G1001)</f>
        <v>9717.06</v>
      </c>
      <c r="H1002" s="2614">
        <f t="shared" ref="H1002" si="88">SUM(H1000:H1001)</f>
        <v>0</v>
      </c>
      <c r="I1002" s="2614">
        <f>SUM(I1000:I1001)</f>
        <v>-6689.03</v>
      </c>
      <c r="J1002" s="2614">
        <f>SUM(J1000:J1001)</f>
        <v>-9325.73</v>
      </c>
    </row>
    <row r="1003" spans="1:10" ht="14.25" hidden="1" x14ac:dyDescent="0.2">
      <c r="A1003" s="2236"/>
      <c r="B1003" s="2243"/>
      <c r="C1003" s="2244"/>
      <c r="D1003" s="2245"/>
      <c r="E1003" s="2244"/>
      <c r="F1003" s="2246"/>
      <c r="G1003" s="2244"/>
      <c r="H1003" s="2244"/>
      <c r="I1003" s="2238" t="e">
        <f>VLOOKUP(A1003,'Trial Balance - FPer'!$A$7:$I$1107,7,FALSE)</f>
        <v>#N/A</v>
      </c>
      <c r="J1003" s="2100" t="e">
        <f>VLOOKUP(A1003,'Trial Balance - FPer'!$A$7:$I$1126,3,FALSE)</f>
        <v>#N/A</v>
      </c>
    </row>
    <row r="1004" spans="1:10" ht="14.25" hidden="1" x14ac:dyDescent="0.2">
      <c r="A1004" s="2236"/>
      <c r="B1004" s="2242" t="s">
        <v>6628</v>
      </c>
      <c r="C1004" s="2244"/>
      <c r="D1004" s="2245"/>
      <c r="E1004" s="2244"/>
      <c r="F1004" s="2246"/>
      <c r="G1004" s="2244"/>
      <c r="H1004" s="2244"/>
      <c r="I1004" s="2238" t="e">
        <f>VLOOKUP(A1004,'Trial Balance - FPer'!$A$7:$I$1107,7,FALSE)</f>
        <v>#N/A</v>
      </c>
      <c r="J1004" s="2100" t="e">
        <f>VLOOKUP(A1004,'Trial Balance - FPer'!$A$7:$I$1126,3,FALSE)</f>
        <v>#N/A</v>
      </c>
    </row>
    <row r="1005" spans="1:10" ht="14.25" hidden="1" x14ac:dyDescent="0.2">
      <c r="A1005" s="2236" t="s">
        <v>5424</v>
      </c>
      <c r="B1005" s="2247" t="s">
        <v>6659</v>
      </c>
      <c r="C1005" s="2248">
        <f>'[2]Data File'!$C$1104</f>
        <v>0</v>
      </c>
      <c r="D1005" s="2249">
        <v>403824.96</v>
      </c>
      <c r="E1005" s="2248">
        <v>0</v>
      </c>
      <c r="F1005" s="2250">
        <v>334238.59999999998</v>
      </c>
      <c r="G1005" s="2248">
        <v>202722.96</v>
      </c>
      <c r="H1005" s="2244"/>
      <c r="I1005" s="2238">
        <f>VLOOKUP(A1005,'Trial Balance - FPer'!$A$7:$I$1107,7,FALSE)</f>
        <v>0</v>
      </c>
      <c r="J1005" s="2100">
        <f>VLOOKUP(A1005,'Trial Balance - FPer'!$A$7:$I$1126,3,FALSE)</f>
        <v>0</v>
      </c>
    </row>
    <row r="1006" spans="1:10" s="2615" customFormat="1" hidden="1" x14ac:dyDescent="0.2">
      <c r="A1006" s="2612"/>
      <c r="B1006" s="2613" t="s">
        <v>6631</v>
      </c>
      <c r="C1006" s="2614">
        <f>SUM(C1005)</f>
        <v>0</v>
      </c>
      <c r="D1006" s="2614">
        <f>SUM(D1005)</f>
        <v>403824.96</v>
      </c>
      <c r="E1006" s="2614">
        <f>SUM(E1005)</f>
        <v>0</v>
      </c>
      <c r="F1006" s="2614">
        <f>SUM(F1005)</f>
        <v>334238.59999999998</v>
      </c>
      <c r="G1006" s="2614">
        <f>SUM(G1005)</f>
        <v>202722.96</v>
      </c>
      <c r="H1006" s="2614">
        <f t="shared" ref="H1006:J1006" si="89">SUM(H1005)</f>
        <v>0</v>
      </c>
      <c r="I1006" s="2614">
        <f t="shared" si="89"/>
        <v>0</v>
      </c>
      <c r="J1006" s="2614">
        <f t="shared" si="89"/>
        <v>0</v>
      </c>
    </row>
    <row r="1007" spans="1:10" ht="14.25" hidden="1" x14ac:dyDescent="0.2">
      <c r="A1007" s="2236"/>
      <c r="B1007" s="2243"/>
      <c r="C1007" s="2244"/>
      <c r="D1007" s="2245"/>
      <c r="E1007" s="2244"/>
      <c r="F1007" s="2246"/>
      <c r="G1007" s="2244"/>
      <c r="H1007" s="2244"/>
      <c r="I1007" s="2238" t="e">
        <f>VLOOKUP(A1007,'Trial Balance - FPer'!$A$7:$I$1107,7,FALSE)</f>
        <v>#N/A</v>
      </c>
      <c r="J1007" s="2100" t="e">
        <f>VLOOKUP(A1007,'Trial Balance - FPer'!$A$7:$I$1126,3,FALSE)</f>
        <v>#N/A</v>
      </c>
    </row>
    <row r="1008" spans="1:10" s="2615" customFormat="1" ht="13.5" thickBot="1" x14ac:dyDescent="0.25">
      <c r="A1008" s="2612"/>
      <c r="B1008" s="2616" t="s">
        <v>6579</v>
      </c>
      <c r="C1008" s="2617">
        <f>C1006+C1002</f>
        <v>9325.73</v>
      </c>
      <c r="D1008" s="2617">
        <f>D1006+D1002</f>
        <v>416363.86000000004</v>
      </c>
      <c r="E1008" s="2617">
        <f>E1006+E1002</f>
        <v>3418.16</v>
      </c>
      <c r="F1008" s="2617">
        <f>F1006+F1002</f>
        <v>346777.5</v>
      </c>
      <c r="G1008" s="2617">
        <f>G1006+G1002</f>
        <v>212440.02</v>
      </c>
      <c r="H1008" s="2617">
        <f t="shared" ref="H1008" si="90">H1006+H1002</f>
        <v>0</v>
      </c>
      <c r="I1008" s="2617">
        <f>I1006+I1002</f>
        <v>-6689.03</v>
      </c>
      <c r="J1008" s="2617">
        <f>J1006+J1002</f>
        <v>-9325.73</v>
      </c>
    </row>
    <row r="1009" spans="1:10" ht="15" thickTop="1" x14ac:dyDescent="0.2">
      <c r="A1009" s="2236"/>
      <c r="B1009" s="2243"/>
      <c r="C1009" s="2244"/>
      <c r="D1009" s="2245"/>
      <c r="E1009" s="2244"/>
      <c r="F1009" s="2246"/>
      <c r="G1009" s="2244"/>
      <c r="H1009" s="2244"/>
      <c r="I1009" s="2238" t="e">
        <f>VLOOKUP(A1009,'Trial Balance - FPer'!$A$7:$I$1107,7,FALSE)</f>
        <v>#N/A</v>
      </c>
      <c r="J1009" s="2100" t="e">
        <f>VLOOKUP(A1009,'Trial Balance - FPer'!$A$7:$I$1126,3,FALSE)</f>
        <v>#N/A</v>
      </c>
    </row>
    <row r="1010" spans="1:10" ht="14.25" x14ac:dyDescent="0.2">
      <c r="A1010" s="2236"/>
      <c r="B1010" s="2242" t="s">
        <v>235</v>
      </c>
      <c r="C1010" s="2244"/>
      <c r="D1010" s="2245"/>
      <c r="E1010" s="2244"/>
      <c r="F1010" s="2246"/>
      <c r="G1010" s="2244"/>
      <c r="H1010" s="2244"/>
      <c r="I1010" s="2238" t="e">
        <f>VLOOKUP(A1010,'Trial Balance - FPer'!$A$7:$I$1107,7,FALSE)</f>
        <v>#N/A</v>
      </c>
      <c r="J1010" s="2100" t="e">
        <f>VLOOKUP(A1010,'Trial Balance - FPer'!$A$7:$I$1126,3,FALSE)</f>
        <v>#N/A</v>
      </c>
    </row>
    <row r="1011" spans="1:10" ht="14.25" hidden="1" x14ac:dyDescent="0.2">
      <c r="A1011" s="2236"/>
      <c r="B1011" s="2242" t="s">
        <v>387</v>
      </c>
      <c r="C1011" s="2244"/>
      <c r="D1011" s="2245"/>
      <c r="E1011" s="2244"/>
      <c r="F1011" s="2246"/>
      <c r="G1011" s="2244"/>
      <c r="H1011" s="2244"/>
      <c r="I1011" s="2238" t="e">
        <f>VLOOKUP(A1011,'Trial Balance - FPer'!$A$7:$I$1107,7,FALSE)</f>
        <v>#N/A</v>
      </c>
      <c r="J1011" s="2100" t="e">
        <f>VLOOKUP(A1011,'Trial Balance - FPer'!$A$7:$I$1126,3,FALSE)</f>
        <v>#N/A</v>
      </c>
    </row>
    <row r="1012" spans="1:10" ht="14.25" hidden="1" x14ac:dyDescent="0.2">
      <c r="A1012" s="2236" t="s">
        <v>5387</v>
      </c>
      <c r="B1012" s="2243" t="s">
        <v>6003</v>
      </c>
      <c r="C1012" s="2244">
        <f>'[2]Data File'!$C$1112</f>
        <v>167184.4</v>
      </c>
      <c r="D1012" s="2245">
        <v>209603.01</v>
      </c>
      <c r="E1012" s="2244">
        <v>87777.5</v>
      </c>
      <c r="F1012" s="2246">
        <v>177941.12</v>
      </c>
      <c r="G1012" s="2253">
        <v>184622.92</v>
      </c>
      <c r="H1012" s="2100">
        <v>87777.5</v>
      </c>
      <c r="I1012" s="2238">
        <f>VLOOKUP(A1012,'Trial Balance - FPer'!$A$7:$I$1107,7,FALSE)</f>
        <v>181191.48</v>
      </c>
      <c r="J1012" s="2100">
        <f>VLOOKUP(A1012,'Trial Balance - FPer'!$A$7:$I$1126,3,FALSE)</f>
        <v>167184.4</v>
      </c>
    </row>
    <row r="1013" spans="1:10" ht="14.25" hidden="1" x14ac:dyDescent="0.2">
      <c r="A1013" s="2236" t="s">
        <v>5388</v>
      </c>
      <c r="B1013" s="2243" t="s">
        <v>6004</v>
      </c>
      <c r="C1013" s="2244">
        <f>'[2]Data File'!$C$1117</f>
        <v>13875.12</v>
      </c>
      <c r="D1013" s="2245">
        <v>20007.919999999998</v>
      </c>
      <c r="E1013" s="2244">
        <v>10018.18</v>
      </c>
      <c r="F1013" s="2246">
        <v>15027.27</v>
      </c>
      <c r="G1013" s="2253">
        <v>20086.21</v>
      </c>
      <c r="H1013" s="2100">
        <v>10018.18</v>
      </c>
      <c r="I1013" s="2238">
        <f>VLOOKUP(A1013,'Trial Balance - FPer'!$A$7:$I$1107,7,FALSE)</f>
        <v>10018.18</v>
      </c>
      <c r="J1013" s="2100">
        <f>VLOOKUP(A1013,'Trial Balance - FPer'!$A$7:$I$1126,3,FALSE)</f>
        <v>13875.12</v>
      </c>
    </row>
    <row r="1014" spans="1:10" ht="14.25" hidden="1" x14ac:dyDescent="0.2">
      <c r="A1014" s="2236" t="s">
        <v>5389</v>
      </c>
      <c r="B1014" s="2243" t="s">
        <v>6007</v>
      </c>
      <c r="C1014" s="2244">
        <f>'[2]Data File'!$C$1119</f>
        <v>0</v>
      </c>
      <c r="D1014" s="2245">
        <v>0</v>
      </c>
      <c r="E1014" s="2244">
        <v>0</v>
      </c>
      <c r="F1014" s="2246">
        <v>0</v>
      </c>
      <c r="G1014" s="2253">
        <v>0</v>
      </c>
      <c r="H1014" s="2100">
        <v>0</v>
      </c>
      <c r="I1014" s="2238">
        <f>VLOOKUP(A1014,'Trial Balance - FPer'!$A$7:$I$1107,7,FALSE)</f>
        <v>0</v>
      </c>
      <c r="J1014" s="2100">
        <f>VLOOKUP(A1014,'Trial Balance - FPer'!$A$7:$I$1126,3,FALSE)</f>
        <v>0</v>
      </c>
    </row>
    <row r="1015" spans="1:10" ht="14.25" hidden="1" x14ac:dyDescent="0.2">
      <c r="A1015" s="2236" t="s">
        <v>5390</v>
      </c>
      <c r="B1015" s="2243" t="s">
        <v>6582</v>
      </c>
      <c r="C1015" s="2244">
        <f>'[2]Data File'!$C$1120</f>
        <v>282.99</v>
      </c>
      <c r="D1015" s="2245">
        <v>2686.11</v>
      </c>
      <c r="E1015" s="2244">
        <v>0</v>
      </c>
      <c r="F1015" s="2246">
        <v>0</v>
      </c>
      <c r="G1015" s="2253">
        <v>674.06</v>
      </c>
      <c r="H1015" s="2100">
        <v>0</v>
      </c>
      <c r="I1015" s="2238">
        <f>VLOOKUP(A1015,'Trial Balance - FPer'!$A$7:$I$1107,7,FALSE)</f>
        <v>0</v>
      </c>
      <c r="J1015" s="2100">
        <f>VLOOKUP(A1015,'Trial Balance - FPer'!$A$7:$I$1126,3,FALSE)</f>
        <v>282.99</v>
      </c>
    </row>
    <row r="1016" spans="1:10" ht="14.25" hidden="1" x14ac:dyDescent="0.2">
      <c r="A1016" s="2236" t="s">
        <v>5391</v>
      </c>
      <c r="B1016" s="2243" t="s">
        <v>6584</v>
      </c>
      <c r="C1016" s="2244">
        <f>'[2]Data File'!$C$1116</f>
        <v>147.6</v>
      </c>
      <c r="D1016" s="2245">
        <v>186.23</v>
      </c>
      <c r="E1016" s="2244">
        <v>73.8</v>
      </c>
      <c r="F1016" s="2246">
        <v>147.6</v>
      </c>
      <c r="G1016" s="2253">
        <v>161.37</v>
      </c>
      <c r="H1016" s="2100">
        <v>73.8</v>
      </c>
      <c r="I1016" s="2238">
        <f>VLOOKUP(A1016,'Trial Balance - FPer'!$A$7:$I$1107,7,FALSE)</f>
        <v>135.30000000000001</v>
      </c>
      <c r="J1016" s="2100">
        <f>VLOOKUP(A1016,'Trial Balance - FPer'!$A$7:$I$1126,3,FALSE)</f>
        <v>147.6</v>
      </c>
    </row>
    <row r="1017" spans="1:10" ht="14.25" hidden="1" x14ac:dyDescent="0.2">
      <c r="A1017" s="2236" t="s">
        <v>5392</v>
      </c>
      <c r="B1017" s="2243" t="s">
        <v>6585</v>
      </c>
      <c r="C1017" s="2244">
        <f>'[2]Data File'!$C$1122</f>
        <v>1692.03</v>
      </c>
      <c r="D1017" s="2245">
        <v>2146.04</v>
      </c>
      <c r="E1017" s="2244">
        <v>914.96</v>
      </c>
      <c r="F1017" s="2246">
        <v>2146.04</v>
      </c>
      <c r="G1017" s="2253">
        <v>1915.81</v>
      </c>
      <c r="H1017" s="2100">
        <v>914.96</v>
      </c>
      <c r="I1017" s="2238">
        <f>VLOOKUP(A1017,'Trial Balance - FPer'!$A$7:$I$1107,7,FALSE)</f>
        <v>1654.78</v>
      </c>
      <c r="J1017" s="2100">
        <f>VLOOKUP(A1017,'Trial Balance - FPer'!$A$7:$I$1126,3,FALSE)</f>
        <v>1692.03</v>
      </c>
    </row>
    <row r="1018" spans="1:10" ht="14.25" hidden="1" x14ac:dyDescent="0.2">
      <c r="A1018" s="2236" t="s">
        <v>5393</v>
      </c>
      <c r="B1018" s="2243" t="s">
        <v>6586</v>
      </c>
      <c r="C1018" s="2244">
        <f>'[2]Data File'!$C$1123</f>
        <v>0</v>
      </c>
      <c r="D1018" s="2245">
        <v>2234.4299999999998</v>
      </c>
      <c r="E1018" s="2244">
        <v>0</v>
      </c>
      <c r="F1018" s="2246">
        <v>0</v>
      </c>
      <c r="G1018" s="2253">
        <v>562.22</v>
      </c>
      <c r="H1018" s="2100">
        <v>0</v>
      </c>
      <c r="I1018" s="2238">
        <f>VLOOKUP(A1018,'Trial Balance - FPer'!$A$7:$I$1107,7,FALSE)</f>
        <v>0</v>
      </c>
      <c r="J1018" s="2100" t="str">
        <f>VLOOKUP(A1018,'Trial Balance - FPer'!$A$7:$I$1126,3,FALSE)</f>
        <v xml:space="preserve">                               -  </v>
      </c>
    </row>
    <row r="1019" spans="1:10" ht="14.25" hidden="1" x14ac:dyDescent="0.2">
      <c r="A1019" s="2236" t="s">
        <v>5394</v>
      </c>
      <c r="B1019" s="2243" t="s">
        <v>6587</v>
      </c>
      <c r="C1019" s="2244">
        <f>'[2]Data File'!$C$1113</f>
        <v>9442.7999999999993</v>
      </c>
      <c r="D1019" s="2245">
        <v>11510.19</v>
      </c>
      <c r="E1019" s="2244">
        <v>5734.87</v>
      </c>
      <c r="F1019" s="2246">
        <v>11066.47</v>
      </c>
      <c r="G1019" s="2253">
        <v>11517.37</v>
      </c>
      <c r="H1019" s="2100">
        <v>5734.87</v>
      </c>
      <c r="I1019" s="2238">
        <f>VLOOKUP(A1019,'Trial Balance - FPer'!$A$7:$I$1107,7,FALSE)</f>
        <v>9951.07</v>
      </c>
      <c r="J1019" s="2100">
        <f>VLOOKUP(A1019,'Trial Balance - FPer'!$A$7:$I$1126,3,FALSE)</f>
        <v>9442.7999999999993</v>
      </c>
    </row>
    <row r="1020" spans="1:10" ht="14.25" hidden="1" x14ac:dyDescent="0.2">
      <c r="A1020" s="2236" t="s">
        <v>5395</v>
      </c>
      <c r="B1020" s="2243" t="s">
        <v>6013</v>
      </c>
      <c r="C1020" s="2244">
        <f>'[2]Data File'!$C$1114</f>
        <v>30156.76</v>
      </c>
      <c r="D1020" s="2245">
        <v>37961.82</v>
      </c>
      <c r="E1020" s="2244">
        <v>14972.42</v>
      </c>
      <c r="F1020" s="2246">
        <v>31264.94</v>
      </c>
      <c r="G1020" s="2253">
        <v>32046.43</v>
      </c>
      <c r="H1020" s="2100">
        <v>14972.42</v>
      </c>
      <c r="I1020" s="2238">
        <f>VLOOKUP(A1020,'Trial Balance - FPer'!$A$7:$I$1107,7,FALSE)</f>
        <v>28549.52</v>
      </c>
      <c r="J1020" s="2100">
        <f>VLOOKUP(A1020,'Trial Balance - FPer'!$A$7:$I$1126,3,FALSE)</f>
        <v>30156.76</v>
      </c>
    </row>
    <row r="1021" spans="1:10" ht="14.25" hidden="1" x14ac:dyDescent="0.2">
      <c r="A1021" s="2236" t="s">
        <v>5396</v>
      </c>
      <c r="B1021" s="2247" t="s">
        <v>6014</v>
      </c>
      <c r="C1021" s="2248">
        <f>'[2]Data File'!$C$1115</f>
        <v>1907.84</v>
      </c>
      <c r="D1021" s="2249">
        <v>2411.16</v>
      </c>
      <c r="E1021" s="2248">
        <v>1026.77</v>
      </c>
      <c r="F1021" s="2250">
        <v>2411.16</v>
      </c>
      <c r="G1021" s="2248">
        <v>2150.48</v>
      </c>
      <c r="H1021" s="2100">
        <v>1026.77</v>
      </c>
      <c r="I1021" s="2238">
        <f>VLOOKUP(A1021,'Trial Balance - FPer'!$A$7:$I$1107,7,FALSE)</f>
        <v>2003.06</v>
      </c>
      <c r="J1021" s="2100">
        <f>VLOOKUP(A1021,'Trial Balance - FPer'!$A$7:$I$1126,3,FALSE)</f>
        <v>1907.84</v>
      </c>
    </row>
    <row r="1022" spans="1:10" s="2615" customFormat="1" hidden="1" x14ac:dyDescent="0.2">
      <c r="A1022" s="2612"/>
      <c r="B1022" s="2613" t="s">
        <v>6588</v>
      </c>
      <c r="C1022" s="2614">
        <f>SUM(C1012:C1021)</f>
        <v>224689.53999999998</v>
      </c>
      <c r="D1022" s="2614">
        <f>SUM(D1012:D1021)</f>
        <v>288746.90999999997</v>
      </c>
      <c r="E1022" s="2614">
        <f>SUM(E1012:E1021)</f>
        <v>120518.5</v>
      </c>
      <c r="F1022" s="2614">
        <f>SUM(F1012:F1021)</f>
        <v>240004.6</v>
      </c>
      <c r="G1022" s="2614">
        <f>SUM(G1012:G1021)</f>
        <v>253736.87</v>
      </c>
      <c r="H1022" s="2614">
        <f t="shared" ref="H1022" si="91">SUM(H1012:H1021)</f>
        <v>120518.5</v>
      </c>
      <c r="I1022" s="2614">
        <f>SUM(I1012:I1021)</f>
        <v>233503.38999999998</v>
      </c>
      <c r="J1022" s="2614">
        <f>SUM(J1012:J1021)</f>
        <v>224689.53999999998</v>
      </c>
    </row>
    <row r="1023" spans="1:10" ht="14.25" hidden="1" x14ac:dyDescent="0.2">
      <c r="A1023" s="2236"/>
      <c r="B1023" s="2243"/>
      <c r="C1023" s="2244"/>
      <c r="D1023" s="2245"/>
      <c r="E1023" s="2244"/>
      <c r="F1023" s="2246"/>
      <c r="G1023" s="2244"/>
      <c r="H1023" s="2244"/>
      <c r="I1023" s="2238" t="e">
        <f>VLOOKUP(A1023,'Trial Balance - FPer'!$A$7:$I$1107,7,FALSE)</f>
        <v>#N/A</v>
      </c>
      <c r="J1023" s="2100" t="e">
        <f>VLOOKUP(A1023,'Trial Balance - FPer'!$A$7:$I$1126,3,FALSE)</f>
        <v>#N/A</v>
      </c>
    </row>
    <row r="1024" spans="1:10" ht="14.25" hidden="1" x14ac:dyDescent="0.2">
      <c r="A1024" s="2236"/>
      <c r="B1024" s="2242" t="s">
        <v>6757</v>
      </c>
      <c r="C1024" s="2244"/>
      <c r="D1024" s="2245"/>
      <c r="E1024" s="2244"/>
      <c r="F1024" s="2246"/>
      <c r="G1024" s="2244"/>
      <c r="H1024" s="2244"/>
      <c r="I1024" s="2238" t="e">
        <f>VLOOKUP(A1024,'Trial Balance - FPer'!$A$7:$I$1107,7,FALSE)</f>
        <v>#N/A</v>
      </c>
      <c r="J1024" s="2100" t="e">
        <f>VLOOKUP(A1024,'Trial Balance - FPer'!$A$7:$I$1126,3,FALSE)</f>
        <v>#N/A</v>
      </c>
    </row>
    <row r="1025" spans="1:10" ht="14.25" hidden="1" x14ac:dyDescent="0.2">
      <c r="A1025" s="2236" t="s">
        <v>5397</v>
      </c>
      <c r="B1025" s="2247" t="s">
        <v>6679</v>
      </c>
      <c r="C1025" s="2248">
        <f>0</f>
        <v>0</v>
      </c>
      <c r="D1025" s="2249">
        <v>0</v>
      </c>
      <c r="E1025" s="2248">
        <v>0</v>
      </c>
      <c r="F1025" s="2250">
        <v>0</v>
      </c>
      <c r="G1025" s="2248">
        <v>0</v>
      </c>
      <c r="H1025" s="2244"/>
      <c r="I1025" s="2238">
        <f>VLOOKUP(A1025,'Trial Balance - FPer'!$A$7:$I$1107,7,FALSE)</f>
        <v>-16834.3</v>
      </c>
      <c r="J1025" s="2100">
        <f>VLOOKUP(A1025,'Trial Balance - FPer'!$A$7:$I$1126,3,FALSE)</f>
        <v>-1780205</v>
      </c>
    </row>
    <row r="1026" spans="1:10" s="2615" customFormat="1" hidden="1" x14ac:dyDescent="0.2">
      <c r="A1026" s="2612"/>
      <c r="B1026" s="2613" t="s">
        <v>6758</v>
      </c>
      <c r="C1026" s="2614">
        <f>SUM(C1025)</f>
        <v>0</v>
      </c>
      <c r="D1026" s="2614">
        <f>SUM(D1025)</f>
        <v>0</v>
      </c>
      <c r="E1026" s="2614">
        <f>SUM(E1025)</f>
        <v>0</v>
      </c>
      <c r="F1026" s="2614">
        <f>SUM(F1025)</f>
        <v>0</v>
      </c>
      <c r="G1026" s="2614">
        <f>SUM(G1025)</f>
        <v>0</v>
      </c>
      <c r="H1026" s="2614">
        <f t="shared" ref="H1026" si="92">SUM(H1025)</f>
        <v>0</v>
      </c>
      <c r="I1026" s="2614">
        <f>SUM(I1025)</f>
        <v>-16834.3</v>
      </c>
      <c r="J1026" s="2614">
        <f>SUM(J1025)</f>
        <v>-1780205</v>
      </c>
    </row>
    <row r="1027" spans="1:10" ht="14.25" hidden="1" x14ac:dyDescent="0.2">
      <c r="A1027" s="2236"/>
      <c r="B1027" s="2243"/>
      <c r="C1027" s="2244"/>
      <c r="D1027" s="2245"/>
      <c r="E1027" s="2244"/>
      <c r="F1027" s="2246"/>
      <c r="G1027" s="2244"/>
      <c r="H1027" s="2244"/>
      <c r="I1027" s="2238" t="e">
        <f>VLOOKUP(A1027,'Trial Balance - FPer'!$A$7:$I$1107,7,FALSE)</f>
        <v>#N/A</v>
      </c>
      <c r="J1027" s="2100" t="e">
        <f>VLOOKUP(A1027,'Trial Balance - FPer'!$A$7:$I$1126,3,FALSE)</f>
        <v>#N/A</v>
      </c>
    </row>
    <row r="1028" spans="1:10" ht="14.25" hidden="1" x14ac:dyDescent="0.2">
      <c r="A1028" s="2236"/>
      <c r="B1028" s="2242" t="s">
        <v>6759</v>
      </c>
      <c r="C1028" s="2244"/>
      <c r="D1028" s="2245"/>
      <c r="E1028" s="2244"/>
      <c r="F1028" s="2246"/>
      <c r="G1028" s="2244"/>
      <c r="H1028" s="2244"/>
      <c r="I1028" s="2238" t="e">
        <f>VLOOKUP(A1028,'Trial Balance - FPer'!$A$7:$I$1107,7,FALSE)</f>
        <v>#N/A</v>
      </c>
      <c r="J1028" s="2100" t="e">
        <f>VLOOKUP(A1028,'Trial Balance - FPer'!$A$7:$I$1126,3,FALSE)</f>
        <v>#N/A</v>
      </c>
    </row>
    <row r="1029" spans="1:10" ht="14.25" hidden="1" x14ac:dyDescent="0.2">
      <c r="A1029" s="2236" t="s">
        <v>5398</v>
      </c>
      <c r="B1029" s="2247" t="s">
        <v>6760</v>
      </c>
      <c r="C1029" s="2248">
        <v>0</v>
      </c>
      <c r="D1029" s="2249">
        <v>0</v>
      </c>
      <c r="E1029" s="2248">
        <v>0</v>
      </c>
      <c r="F1029" s="2250">
        <v>0</v>
      </c>
      <c r="G1029" s="2248">
        <v>0</v>
      </c>
      <c r="H1029" s="2244"/>
      <c r="I1029" s="2238">
        <f>VLOOKUP(A1029,'Trial Balance - FPer'!$A$7:$I$1107,7,FALSE)</f>
        <v>133775.47</v>
      </c>
      <c r="J1029" s="2100">
        <f>VLOOKUP(A1029,'Trial Balance - FPer'!$A$7:$I$1126,3,FALSE)</f>
        <v>0</v>
      </c>
    </row>
    <row r="1030" spans="1:10" s="2615" customFormat="1" hidden="1" x14ac:dyDescent="0.2">
      <c r="A1030" s="2612"/>
      <c r="B1030" s="2613" t="s">
        <v>6761</v>
      </c>
      <c r="C1030" s="2614">
        <f>SUM(C1029)</f>
        <v>0</v>
      </c>
      <c r="D1030" s="2614">
        <f>SUM(D1029)</f>
        <v>0</v>
      </c>
      <c r="E1030" s="2614">
        <f>SUM(E1029)</f>
        <v>0</v>
      </c>
      <c r="F1030" s="2614">
        <f>SUM(F1029)</f>
        <v>0</v>
      </c>
      <c r="G1030" s="2614">
        <f>SUM(G1029)</f>
        <v>0</v>
      </c>
      <c r="H1030" s="2614">
        <f t="shared" ref="H1030:J1030" si="93">SUM(H1029)</f>
        <v>0</v>
      </c>
      <c r="I1030" s="2614">
        <f t="shared" si="93"/>
        <v>133775.47</v>
      </c>
      <c r="J1030" s="2614">
        <f t="shared" si="93"/>
        <v>0</v>
      </c>
    </row>
    <row r="1031" spans="1:10" ht="14.25" hidden="1" x14ac:dyDescent="0.2">
      <c r="A1031" s="2236"/>
      <c r="B1031" s="2243"/>
      <c r="C1031" s="2244"/>
      <c r="D1031" s="2245"/>
      <c r="E1031" s="2244"/>
      <c r="F1031" s="2246"/>
      <c r="G1031" s="2244"/>
      <c r="H1031" s="2244"/>
      <c r="I1031" s="2238" t="e">
        <f>VLOOKUP(A1031,'Trial Balance - FPer'!$A$7:$I$1107,7,FALSE)</f>
        <v>#N/A</v>
      </c>
      <c r="J1031" s="2100" t="e">
        <f>VLOOKUP(A1031,'Trial Balance - FPer'!$A$7:$I$1126,3,FALSE)</f>
        <v>#N/A</v>
      </c>
    </row>
    <row r="1032" spans="1:10" ht="14.25" hidden="1" x14ac:dyDescent="0.2">
      <c r="A1032" s="2236"/>
      <c r="B1032" s="2242" t="s">
        <v>6599</v>
      </c>
      <c r="C1032" s="2244"/>
      <c r="D1032" s="2245"/>
      <c r="E1032" s="2244"/>
      <c r="F1032" s="2246"/>
      <c r="G1032" s="2244"/>
      <c r="H1032" s="2244"/>
      <c r="I1032" s="2238" t="e">
        <f>VLOOKUP(A1032,'Trial Balance - FPer'!$A$7:$I$1107,7,FALSE)</f>
        <v>#N/A</v>
      </c>
      <c r="J1032" s="2100" t="e">
        <f>VLOOKUP(A1032,'Trial Balance - FPer'!$A$7:$I$1126,3,FALSE)</f>
        <v>#N/A</v>
      </c>
    </row>
    <row r="1033" spans="1:10" ht="14.25" hidden="1" x14ac:dyDescent="0.2">
      <c r="A1033" s="2236" t="s">
        <v>5400</v>
      </c>
      <c r="B1033" s="2243" t="s">
        <v>6692</v>
      </c>
      <c r="C1033" s="2244">
        <v>0</v>
      </c>
      <c r="D1033" s="2245">
        <v>0</v>
      </c>
      <c r="E1033" s="2244">
        <v>0</v>
      </c>
      <c r="F1033" s="2246">
        <v>0</v>
      </c>
      <c r="G1033" s="2244">
        <v>0</v>
      </c>
      <c r="H1033" s="2100">
        <v>0</v>
      </c>
      <c r="I1033" s="2238">
        <f>VLOOKUP(A1033,'Trial Balance - FPer'!$A$7:$I$1107,7,FALSE)</f>
        <v>5992.11</v>
      </c>
      <c r="J1033" s="2100">
        <f>VLOOKUP(A1033,'Trial Balance - FPer'!$A$7:$I$1126,3,FALSE)</f>
        <v>0</v>
      </c>
    </row>
    <row r="1034" spans="1:10" ht="14.25" hidden="1" x14ac:dyDescent="0.2">
      <c r="A1034" s="2236" t="s">
        <v>5401</v>
      </c>
      <c r="B1034" s="2243" t="s">
        <v>6762</v>
      </c>
      <c r="C1034" s="2244">
        <f>'[2]Data File'!$C$1129</f>
        <v>2428.96</v>
      </c>
      <c r="D1034" s="2245">
        <v>5343.71</v>
      </c>
      <c r="E1034" s="2244">
        <v>0</v>
      </c>
      <c r="F1034" s="2246">
        <v>0</v>
      </c>
      <c r="G1034" s="2244">
        <v>1339.86</v>
      </c>
      <c r="H1034" s="2100">
        <v>0</v>
      </c>
      <c r="I1034" s="2238">
        <f>VLOOKUP(A1034,'Trial Balance - FPer'!$A$7:$I$1107,7,FALSE)</f>
        <v>0</v>
      </c>
      <c r="J1034" s="2100">
        <f>VLOOKUP(A1034,'Trial Balance - FPer'!$A$7:$I$1126,3,FALSE)</f>
        <v>2428.96</v>
      </c>
    </row>
    <row r="1035" spans="1:10" ht="14.25" hidden="1" x14ac:dyDescent="0.2">
      <c r="A1035" s="2236" t="s">
        <v>5402</v>
      </c>
      <c r="B1035" s="2243" t="s">
        <v>6608</v>
      </c>
      <c r="C1035" s="2244">
        <f>'[2]Data File'!$C$1130</f>
        <v>1250.3</v>
      </c>
      <c r="D1035" s="2245">
        <v>212.94</v>
      </c>
      <c r="E1035" s="2244">
        <v>160.69999999999999</v>
      </c>
      <c r="F1035" s="2246">
        <v>212.94</v>
      </c>
      <c r="G1035" s="2244">
        <v>291.25</v>
      </c>
      <c r="H1035" s="2100">
        <v>160.69999999999999</v>
      </c>
      <c r="I1035" s="2238">
        <f>VLOOKUP(A1035,'Trial Balance - FPer'!$A$7:$I$1107,7,FALSE)</f>
        <v>0</v>
      </c>
      <c r="J1035" s="2100">
        <f>VLOOKUP(A1035,'Trial Balance - FPer'!$A$7:$I$1126,3,FALSE)</f>
        <v>0</v>
      </c>
    </row>
    <row r="1036" spans="1:10" ht="14.25" hidden="1" x14ac:dyDescent="0.2">
      <c r="A1036" s="2236" t="s">
        <v>5403</v>
      </c>
      <c r="B1036" s="2243" t="s">
        <v>6731</v>
      </c>
      <c r="C1036" s="2244">
        <f>'[2]Data File'!$C$1131</f>
        <v>109994.68</v>
      </c>
      <c r="D1036" s="2245">
        <v>80850</v>
      </c>
      <c r="E1036" s="2244">
        <v>49971.37</v>
      </c>
      <c r="F1036" s="2246">
        <v>80850</v>
      </c>
      <c r="G1036" s="2244">
        <v>95445.74</v>
      </c>
      <c r="H1036" s="2100">
        <v>49971.37</v>
      </c>
      <c r="I1036" s="2238">
        <f>VLOOKUP(A1036,'Trial Balance - FPer'!$A$7:$I$1107,7,FALSE)</f>
        <v>92954.55</v>
      </c>
      <c r="J1036" s="2100">
        <f>VLOOKUP(A1036,'Trial Balance - FPer'!$A$7:$I$1126,3,FALSE)</f>
        <v>109994.68</v>
      </c>
    </row>
    <row r="1037" spans="1:10" ht="14.25" hidden="1" x14ac:dyDescent="0.2">
      <c r="A1037" s="2236" t="s">
        <v>5404</v>
      </c>
      <c r="B1037" s="2243" t="s">
        <v>6732</v>
      </c>
      <c r="C1037" s="2244">
        <f>'[2]Data File'!$C$1132</f>
        <v>177</v>
      </c>
      <c r="D1037" s="2245">
        <v>194.3</v>
      </c>
      <c r="E1037" s="2244">
        <v>0</v>
      </c>
      <c r="F1037" s="2246">
        <v>0</v>
      </c>
      <c r="G1037" s="2244">
        <v>49.15</v>
      </c>
      <c r="H1037" s="2100">
        <v>0</v>
      </c>
      <c r="I1037" s="2238">
        <f>VLOOKUP(A1037,'Trial Balance - FPer'!$A$7:$I$1107,7,FALSE)</f>
        <v>0</v>
      </c>
      <c r="J1037" s="2100">
        <f>VLOOKUP(A1037,'Trial Balance - FPer'!$A$7:$I$1126,3,FALSE)</f>
        <v>177</v>
      </c>
    </row>
    <row r="1038" spans="1:10" ht="14.25" hidden="1" x14ac:dyDescent="0.2">
      <c r="A1038" s="2236" t="s">
        <v>5405</v>
      </c>
      <c r="B1038" s="2243" t="s">
        <v>6612</v>
      </c>
      <c r="C1038" s="2244">
        <v>0</v>
      </c>
      <c r="D1038" s="2245">
        <v>0</v>
      </c>
      <c r="E1038" s="2244">
        <v>0</v>
      </c>
      <c r="F1038" s="2246">
        <v>0</v>
      </c>
      <c r="G1038" s="2244">
        <v>0</v>
      </c>
      <c r="H1038" s="2100">
        <v>0</v>
      </c>
      <c r="I1038" s="2238">
        <f>VLOOKUP(A1038,'Trial Balance - FPer'!$A$7:$I$1107,7,FALSE)</f>
        <v>0</v>
      </c>
      <c r="J1038" s="2100">
        <f>VLOOKUP(A1038,'Trial Balance - FPer'!$A$7:$I$1126,3,FALSE)</f>
        <v>0</v>
      </c>
    </row>
    <row r="1039" spans="1:10" ht="14.25" hidden="1" x14ac:dyDescent="0.2">
      <c r="A1039" s="2236" t="s">
        <v>5406</v>
      </c>
      <c r="B1039" s="2243" t="s">
        <v>6613</v>
      </c>
      <c r="C1039" s="2244">
        <v>0</v>
      </c>
      <c r="D1039" s="2245">
        <v>0</v>
      </c>
      <c r="E1039" s="2244">
        <v>0</v>
      </c>
      <c r="F1039" s="2246">
        <v>0</v>
      </c>
      <c r="G1039" s="2244">
        <v>0</v>
      </c>
      <c r="H1039" s="2100">
        <v>0</v>
      </c>
      <c r="I1039" s="2238">
        <f>VLOOKUP(A1039,'Trial Balance - FPer'!$A$7:$I$1107,7,FALSE)</f>
        <v>0</v>
      </c>
      <c r="J1039" s="2100">
        <f>VLOOKUP(A1039,'Trial Balance - FPer'!$A$7:$I$1126,3,FALSE)</f>
        <v>0</v>
      </c>
    </row>
    <row r="1040" spans="1:10" ht="14.25" hidden="1" x14ac:dyDescent="0.2">
      <c r="A1040" s="2236" t="s">
        <v>5407</v>
      </c>
      <c r="B1040" s="2243" t="s">
        <v>6033</v>
      </c>
      <c r="C1040" s="2244">
        <f>'[2]Data File'!$C$1133</f>
        <v>3474.24</v>
      </c>
      <c r="D1040" s="2245">
        <v>6421.18</v>
      </c>
      <c r="E1040" s="2244">
        <v>1251.75</v>
      </c>
      <c r="F1040" s="2246">
        <v>2500</v>
      </c>
      <c r="G1040" s="2244">
        <v>3494.12</v>
      </c>
      <c r="H1040" s="2100">
        <v>1251.75</v>
      </c>
      <c r="I1040" s="2238">
        <f>VLOOKUP(A1040,'Trial Balance - FPer'!$A$7:$I$1107,7,FALSE)</f>
        <v>0</v>
      </c>
      <c r="J1040" s="2100">
        <f>VLOOKUP(A1040,'Trial Balance - FPer'!$A$7:$I$1126,3,FALSE)</f>
        <v>0</v>
      </c>
    </row>
    <row r="1041" spans="1:10" ht="14.25" hidden="1" x14ac:dyDescent="0.2">
      <c r="A1041" s="2236" t="s">
        <v>5408</v>
      </c>
      <c r="B1041" s="2243" t="s">
        <v>6763</v>
      </c>
      <c r="C1041" s="2244">
        <f>'[2]Data File'!$C$1128</f>
        <v>7901.79</v>
      </c>
      <c r="D1041" s="2245">
        <v>13493.39</v>
      </c>
      <c r="E1041" s="2244">
        <v>6228.09</v>
      </c>
      <c r="F1041" s="2246">
        <v>13493.39</v>
      </c>
      <c r="G1041" s="2244">
        <v>12753.57</v>
      </c>
      <c r="H1041" s="2100">
        <v>7105.28</v>
      </c>
      <c r="I1041" s="2238">
        <f>VLOOKUP(A1041,'Trial Balance - FPer'!$A$7:$I$1107,7,FALSE)</f>
        <v>0</v>
      </c>
      <c r="J1041" s="2100">
        <f>VLOOKUP(A1041,'Trial Balance - FPer'!$A$7:$I$1126,3,FALSE)</f>
        <v>7901.79</v>
      </c>
    </row>
    <row r="1042" spans="1:10" ht="14.25" hidden="1" x14ac:dyDescent="0.2">
      <c r="A1042" s="2236" t="s">
        <v>5410</v>
      </c>
      <c r="B1042" s="2243" t="s">
        <v>6764</v>
      </c>
      <c r="C1042" s="2244">
        <v>0</v>
      </c>
      <c r="D1042" s="2245">
        <v>0</v>
      </c>
      <c r="E1042" s="2244">
        <v>0</v>
      </c>
      <c r="F1042" s="2246">
        <v>0</v>
      </c>
      <c r="G1042" s="2244">
        <v>0</v>
      </c>
      <c r="H1042" s="2100">
        <v>0</v>
      </c>
      <c r="I1042" s="2238"/>
      <c r="J1042" s="2100"/>
    </row>
    <row r="1043" spans="1:10" ht="14.25" hidden="1" x14ac:dyDescent="0.2">
      <c r="A1043" s="2236" t="s">
        <v>5412</v>
      </c>
      <c r="B1043" s="2243" t="s">
        <v>6697</v>
      </c>
      <c r="C1043" s="2244">
        <v>0</v>
      </c>
      <c r="D1043" s="2245">
        <v>0</v>
      </c>
      <c r="E1043" s="2244">
        <v>0</v>
      </c>
      <c r="F1043" s="2246">
        <v>0</v>
      </c>
      <c r="G1043" s="2244">
        <v>0</v>
      </c>
      <c r="H1043" s="2100">
        <v>0</v>
      </c>
      <c r="I1043" s="2238"/>
      <c r="J1043" s="2100"/>
    </row>
    <row r="1044" spans="1:10" ht="14.25" hidden="1" x14ac:dyDescent="0.2">
      <c r="A1044" s="2236" t="s">
        <v>5413</v>
      </c>
      <c r="B1044" s="2243" t="s">
        <v>6765</v>
      </c>
      <c r="C1044" s="2244">
        <v>0</v>
      </c>
      <c r="D1044" s="2245">
        <v>0</v>
      </c>
      <c r="E1044" s="2244">
        <v>0</v>
      </c>
      <c r="F1044" s="2246">
        <v>0</v>
      </c>
      <c r="G1044" s="2244">
        <v>0</v>
      </c>
      <c r="H1044" s="2100">
        <v>0</v>
      </c>
      <c r="I1044" s="2238"/>
      <c r="J1044" s="2100"/>
    </row>
    <row r="1045" spans="1:10" ht="14.25" hidden="1" x14ac:dyDescent="0.2">
      <c r="A1045" s="2236" t="s">
        <v>5414</v>
      </c>
      <c r="B1045" s="2247" t="s">
        <v>6766</v>
      </c>
      <c r="C1045" s="2248">
        <v>0</v>
      </c>
      <c r="D1045" s="2249">
        <v>0</v>
      </c>
      <c r="E1045" s="2248">
        <v>0</v>
      </c>
      <c r="F1045" s="2250">
        <v>0</v>
      </c>
      <c r="G1045" s="2248">
        <v>0</v>
      </c>
      <c r="H1045" s="2100">
        <v>0</v>
      </c>
      <c r="I1045" s="2238"/>
      <c r="J1045" s="2100"/>
    </row>
    <row r="1046" spans="1:10" s="2615" customFormat="1" hidden="1" x14ac:dyDescent="0.2">
      <c r="A1046" s="2612"/>
      <c r="B1046" s="2613" t="s">
        <v>6614</v>
      </c>
      <c r="C1046" s="2614">
        <f>SUM(C1033:C1045)</f>
        <v>125226.96999999999</v>
      </c>
      <c r="D1046" s="2614">
        <f>SUM(D1033:D1045)</f>
        <v>106515.52</v>
      </c>
      <c r="E1046" s="2614">
        <f>SUM(E1033:E1045)</f>
        <v>57611.91</v>
      </c>
      <c r="F1046" s="2614">
        <f>SUM(F1033:F1045)</f>
        <v>97056.33</v>
      </c>
      <c r="G1046" s="2614">
        <f>SUM(G1033:G1045)</f>
        <v>113373.69</v>
      </c>
      <c r="H1046" s="2614">
        <f t="shared" ref="H1046" si="94">SUM(H1033:H1045)</f>
        <v>58489.1</v>
      </c>
      <c r="I1046" s="2614">
        <f>SUM(I1033:I1045)</f>
        <v>98946.66</v>
      </c>
      <c r="J1046" s="2614">
        <f>SUM(J1033:J1045)</f>
        <v>120502.43</v>
      </c>
    </row>
    <row r="1047" spans="1:10" ht="14.25" hidden="1" x14ac:dyDescent="0.2">
      <c r="A1047" s="2236"/>
      <c r="B1047" s="2243"/>
      <c r="C1047" s="2244"/>
      <c r="D1047" s="2245"/>
      <c r="E1047" s="2244"/>
      <c r="F1047" s="2246"/>
      <c r="G1047" s="2244"/>
      <c r="H1047" s="2244"/>
      <c r="I1047" s="2238" t="e">
        <f>VLOOKUP(A1047,'Trial Balance - FPer'!$A$7:$I$1107,7,FALSE)</f>
        <v>#N/A</v>
      </c>
      <c r="J1047" s="2100" t="e">
        <f>VLOOKUP(A1047,'Trial Balance - FPer'!$A$7:$I$1126,3,FALSE)</f>
        <v>#N/A</v>
      </c>
    </row>
    <row r="1048" spans="1:10" ht="14.25" hidden="1" x14ac:dyDescent="0.2">
      <c r="A1048" s="2236"/>
      <c r="B1048" s="2242" t="s">
        <v>6615</v>
      </c>
      <c r="C1048" s="2244"/>
      <c r="D1048" s="2245"/>
      <c r="E1048" s="2244"/>
      <c r="F1048" s="2246"/>
      <c r="G1048" s="2244"/>
      <c r="H1048" s="2244"/>
      <c r="I1048" s="2238" t="e">
        <f>VLOOKUP(A1048,'Trial Balance - FPer'!$A$7:$I$1107,7,FALSE)</f>
        <v>#N/A</v>
      </c>
      <c r="J1048" s="2100" t="e">
        <f>VLOOKUP(A1048,'Trial Balance - FPer'!$A$7:$I$1126,3,FALSE)</f>
        <v>#N/A</v>
      </c>
    </row>
    <row r="1049" spans="1:10" ht="14.25" hidden="1" x14ac:dyDescent="0.2">
      <c r="A1049" s="2236" t="s">
        <v>5415</v>
      </c>
      <c r="B1049" s="2243" t="s">
        <v>6715</v>
      </c>
      <c r="C1049" s="2244">
        <f>'[2]Data File'!$C$1139</f>
        <v>8880.66</v>
      </c>
      <c r="D1049" s="2245">
        <v>12816.87</v>
      </c>
      <c r="E1049" s="2244">
        <v>1176.71</v>
      </c>
      <c r="F1049" s="2246">
        <v>3500</v>
      </c>
      <c r="G1049" s="2253">
        <v>4986.26</v>
      </c>
      <c r="H1049" s="2100">
        <v>1176.71</v>
      </c>
      <c r="I1049" s="2238">
        <f>VLOOKUP(A1049,'Trial Balance - FPer'!$A$7:$I$1107,7,FALSE)</f>
        <v>2360.1799999999998</v>
      </c>
      <c r="J1049" s="2100">
        <f>VLOOKUP(A1049,'Trial Balance - FPer'!$A$7:$I$1126,3,FALSE)</f>
        <v>8880.66</v>
      </c>
    </row>
    <row r="1050" spans="1:10" ht="14.25" hidden="1" x14ac:dyDescent="0.2">
      <c r="A1050" s="2236" t="s">
        <v>5416</v>
      </c>
      <c r="B1050" s="2243" t="s">
        <v>6700</v>
      </c>
      <c r="C1050" s="2244">
        <f>'[2]Data File'!$C$1140</f>
        <v>0</v>
      </c>
      <c r="D1050" s="2245">
        <v>2067.98</v>
      </c>
      <c r="E1050" s="2244">
        <v>0</v>
      </c>
      <c r="F1050" s="2246">
        <v>0</v>
      </c>
      <c r="G1050" s="2253">
        <v>517.99</v>
      </c>
      <c r="H1050" s="2100">
        <v>0</v>
      </c>
      <c r="I1050" s="2238">
        <f>VLOOKUP(A1050,'Trial Balance - FPer'!$A$7:$I$1107,7,FALSE)</f>
        <v>0</v>
      </c>
      <c r="J1050" s="2100" t="str">
        <f>VLOOKUP(A1050,'Trial Balance - FPer'!$A$7:$I$1126,3,FALSE)</f>
        <v xml:space="preserve">                               -  </v>
      </c>
    </row>
    <row r="1051" spans="1:10" ht="14.25" hidden="1" x14ac:dyDescent="0.2">
      <c r="A1051" s="2236" t="s">
        <v>5417</v>
      </c>
      <c r="B1051" s="2243" t="s">
        <v>6617</v>
      </c>
      <c r="C1051" s="2244">
        <v>0</v>
      </c>
      <c r="D1051" s="2245">
        <v>0</v>
      </c>
      <c r="E1051" s="2244">
        <v>0</v>
      </c>
      <c r="F1051" s="2246">
        <v>0</v>
      </c>
      <c r="G1051" s="2253">
        <v>0</v>
      </c>
      <c r="H1051" s="2100">
        <v>0</v>
      </c>
      <c r="I1051" s="2238">
        <f>VLOOKUP(A1051,'Trial Balance - FPer'!$A$7:$I$1107,7,FALSE)</f>
        <v>0</v>
      </c>
      <c r="J1051" s="2100" t="str">
        <f>VLOOKUP(A1051,'Trial Balance - FPer'!$A$7:$I$1126,3,FALSE)</f>
        <v xml:space="preserve">                               -  </v>
      </c>
    </row>
    <row r="1052" spans="1:10" ht="14.25" hidden="1" x14ac:dyDescent="0.2">
      <c r="A1052" s="2236" t="s">
        <v>5418</v>
      </c>
      <c r="B1052" s="2247" t="s">
        <v>6174</v>
      </c>
      <c r="C1052" s="2248">
        <f>'[2]Data File'!$C$1141</f>
        <v>1229</v>
      </c>
      <c r="D1052" s="2249">
        <v>1144</v>
      </c>
      <c r="E1052" s="2248">
        <v>0</v>
      </c>
      <c r="F1052" s="2250">
        <v>1144</v>
      </c>
      <c r="G1052" s="2248">
        <v>287</v>
      </c>
      <c r="H1052" s="2100">
        <v>0</v>
      </c>
      <c r="I1052" s="2238">
        <f>VLOOKUP(A1052,'Trial Balance - FPer'!$A$7:$I$1107,7,FALSE)</f>
        <v>0</v>
      </c>
      <c r="J1052" s="2100">
        <f>VLOOKUP(A1052,'Trial Balance - FPer'!$A$7:$I$1126,3,FALSE)</f>
        <v>1229</v>
      </c>
    </row>
    <row r="1053" spans="1:10" s="2615" customFormat="1" hidden="1" x14ac:dyDescent="0.2">
      <c r="A1053" s="2612"/>
      <c r="B1053" s="2613" t="s">
        <v>6618</v>
      </c>
      <c r="C1053" s="2614">
        <f>SUM(C1049:C1052)</f>
        <v>10109.66</v>
      </c>
      <c r="D1053" s="2614">
        <f>SUM(D1049:D1052)</f>
        <v>16028.85</v>
      </c>
      <c r="E1053" s="2614">
        <f>SUM(E1049:E1052)</f>
        <v>1176.71</v>
      </c>
      <c r="F1053" s="2614">
        <f>SUM(F1049:F1052)</f>
        <v>4644</v>
      </c>
      <c r="G1053" s="2614">
        <f>SUM(G1049:G1052)</f>
        <v>5791.25</v>
      </c>
      <c r="H1053" s="2614">
        <f t="shared" ref="H1053" si="95">SUM(H1049:H1052)</f>
        <v>1176.71</v>
      </c>
      <c r="I1053" s="2614">
        <f>SUM(I1049:I1052)</f>
        <v>2360.1799999999998</v>
      </c>
      <c r="J1053" s="2614">
        <f>SUM(J1049:J1052)</f>
        <v>10109.66</v>
      </c>
    </row>
    <row r="1054" spans="1:10" ht="14.25" hidden="1" x14ac:dyDescent="0.2">
      <c r="A1054" s="2236"/>
      <c r="B1054" s="2243"/>
      <c r="C1054" s="2244"/>
      <c r="D1054" s="2245"/>
      <c r="E1054" s="2244"/>
      <c r="F1054" s="2246"/>
      <c r="G1054" s="2244"/>
      <c r="H1054" s="2244"/>
      <c r="I1054" s="2238" t="e">
        <f>VLOOKUP(A1054,'Trial Balance - FPer'!$A$7:$I$1107,7,FALSE)</f>
        <v>#N/A</v>
      </c>
      <c r="J1054" s="2100" t="e">
        <f>VLOOKUP(A1054,'Trial Balance - FPer'!$A$7:$I$1126,3,FALSE)</f>
        <v>#N/A</v>
      </c>
    </row>
    <row r="1055" spans="1:10" ht="14.25" hidden="1" x14ac:dyDescent="0.2">
      <c r="A1055" s="2236"/>
      <c r="B1055" s="2242" t="s">
        <v>6619</v>
      </c>
      <c r="C1055" s="2244"/>
      <c r="D1055" s="2245"/>
      <c r="E1055" s="2244"/>
      <c r="F1055" s="2246"/>
      <c r="G1055" s="2244"/>
      <c r="H1055" s="2244"/>
      <c r="I1055" s="2238" t="e">
        <f>VLOOKUP(A1055,'Trial Balance - FPer'!$A$7:$I$1107,7,FALSE)</f>
        <v>#N/A</v>
      </c>
      <c r="J1055" s="2100" t="e">
        <f>VLOOKUP(A1055,'Trial Balance - FPer'!$A$7:$I$1126,3,FALSE)</f>
        <v>#N/A</v>
      </c>
    </row>
    <row r="1056" spans="1:10" ht="14.25" hidden="1" x14ac:dyDescent="0.2">
      <c r="A1056" s="2236" t="s">
        <v>5419</v>
      </c>
      <c r="B1056" s="2243" t="s">
        <v>6620</v>
      </c>
      <c r="C1056" s="2244">
        <f>'[2]Data File'!$C$1145</f>
        <v>34936.79</v>
      </c>
      <c r="D1056" s="2245">
        <v>2751.71</v>
      </c>
      <c r="E1056" s="2244">
        <v>0</v>
      </c>
      <c r="F1056" s="2246">
        <v>2751.71</v>
      </c>
      <c r="G1056" s="2244">
        <v>691.86</v>
      </c>
      <c r="H1056" s="2244">
        <v>0</v>
      </c>
      <c r="I1056" s="2238">
        <f>VLOOKUP(A1056,'Trial Balance - FPer'!$A$7:$I$1107,7,FALSE)</f>
        <v>0</v>
      </c>
      <c r="J1056" s="2100">
        <f>VLOOKUP(A1056,'Trial Balance - FPer'!$A$7:$I$1126,3,FALSE)</f>
        <v>34936.79</v>
      </c>
    </row>
    <row r="1057" spans="1:10" ht="14.25" hidden="1" x14ac:dyDescent="0.2">
      <c r="A1057" s="2236" t="s">
        <v>5420</v>
      </c>
      <c r="B1057" s="2247" t="s">
        <v>6621</v>
      </c>
      <c r="C1057" s="2248">
        <f>'[2]Data File'!$C$1147</f>
        <v>2613.2199999999998</v>
      </c>
      <c r="D1057" s="2249">
        <v>2320.86</v>
      </c>
      <c r="E1057" s="2248">
        <v>0</v>
      </c>
      <c r="F1057" s="2250">
        <v>2320.86</v>
      </c>
      <c r="G1057" s="2248">
        <v>581.42999999999995</v>
      </c>
      <c r="H1057" s="2244">
        <v>0</v>
      </c>
      <c r="I1057" s="2238">
        <f>VLOOKUP(A1057,'Trial Balance - FPer'!$A$7:$I$1107,7,FALSE)</f>
        <v>0</v>
      </c>
      <c r="J1057" s="2100">
        <f>VLOOKUP(A1057,'Trial Balance - FPer'!$A$7:$I$1126,3,FALSE)</f>
        <v>2613.2199999999998</v>
      </c>
    </row>
    <row r="1058" spans="1:10" s="2615" customFormat="1" hidden="1" x14ac:dyDescent="0.2">
      <c r="A1058" s="2612"/>
      <c r="B1058" s="2613" t="s">
        <v>6622</v>
      </c>
      <c r="C1058" s="2614">
        <f>SUM(C1056:C1057)</f>
        <v>37550.01</v>
      </c>
      <c r="D1058" s="2614">
        <f>SUM(D1056:D1057)</f>
        <v>5072.57</v>
      </c>
      <c r="E1058" s="2614">
        <f>SUM(E1056:E1057)</f>
        <v>0</v>
      </c>
      <c r="F1058" s="2614">
        <f>SUM(F1056:F1057)</f>
        <v>5072.57</v>
      </c>
      <c r="G1058" s="2614">
        <f>SUM(G1056:G1057)</f>
        <v>1273.29</v>
      </c>
      <c r="H1058" s="2614">
        <f t="shared" ref="H1058" si="96">SUM(H1056:H1057)</f>
        <v>0</v>
      </c>
      <c r="I1058" s="2614">
        <f>SUM(I1056:I1057)</f>
        <v>0</v>
      </c>
      <c r="J1058" s="2614">
        <f>SUM(J1056:J1057)</f>
        <v>37550.01</v>
      </c>
    </row>
    <row r="1059" spans="1:10" ht="14.25" hidden="1" x14ac:dyDescent="0.2">
      <c r="A1059" s="2236"/>
      <c r="B1059" s="2243"/>
      <c r="C1059" s="2244"/>
      <c r="D1059" s="2245"/>
      <c r="E1059" s="2244"/>
      <c r="F1059" s="2246"/>
      <c r="G1059" s="2244"/>
      <c r="H1059" s="2244"/>
      <c r="I1059" s="2238" t="e">
        <f>VLOOKUP(A1059,'Trial Balance - FPer'!$A$7:$I$1107,7,FALSE)</f>
        <v>#N/A</v>
      </c>
      <c r="J1059" s="2100" t="e">
        <f>VLOOKUP(A1059,'Trial Balance - FPer'!$A$7:$I$1126,3,FALSE)</f>
        <v>#N/A</v>
      </c>
    </row>
    <row r="1060" spans="1:10" s="2615" customFormat="1" ht="13.5" thickBot="1" x14ac:dyDescent="0.25">
      <c r="A1060" s="2612"/>
      <c r="B1060" s="2616" t="s">
        <v>6623</v>
      </c>
      <c r="C1060" s="2617">
        <f>C1058+C1053+C1046+C1030+C1026+C1022</f>
        <v>397576.17999999993</v>
      </c>
      <c r="D1060" s="2617">
        <f>D1058+D1053+D1046+D1030+D1026+D1022</f>
        <v>416363.85</v>
      </c>
      <c r="E1060" s="2617">
        <f>E1058+E1053+E1046+E1030+E1026+E1022</f>
        <v>179307.12</v>
      </c>
      <c r="F1060" s="2617">
        <f>F1058+F1053+F1046+F1030+F1026+F1022</f>
        <v>346777.5</v>
      </c>
      <c r="G1060" s="2617">
        <f>G1058+G1053+G1046+G1030+G1026+G1022</f>
        <v>374175.1</v>
      </c>
      <c r="H1060" s="2617">
        <f t="shared" ref="H1060" si="97">H1058+H1053+H1046+H1030+H1026+H1022</f>
        <v>180184.31</v>
      </c>
      <c r="I1060" s="2617">
        <f>I1058+I1053+I1046+I1030+I1026+I1022</f>
        <v>451751.4</v>
      </c>
      <c r="J1060" s="2617">
        <f>J1058+J1053+J1046+J1030+J1026+J1022</f>
        <v>-1387353.3599999999</v>
      </c>
    </row>
    <row r="1061" spans="1:10" ht="15" thickTop="1" x14ac:dyDescent="0.2">
      <c r="A1061" s="2236"/>
      <c r="B1061" s="2243"/>
      <c r="C1061" s="2244"/>
      <c r="D1061" s="2245"/>
      <c r="E1061" s="2244"/>
      <c r="F1061" s="2246"/>
      <c r="G1061" s="2244"/>
      <c r="H1061" s="2244"/>
      <c r="I1061" s="2238" t="e">
        <f>VLOOKUP(A1061,'Trial Balance - FPer'!$A$7:$I$1107,7,FALSE)</f>
        <v>#N/A</v>
      </c>
      <c r="J1061" s="2100" t="e">
        <f>VLOOKUP(A1061,'Trial Balance - FPer'!$A$7:$I$1126,3,FALSE)</f>
        <v>#N/A</v>
      </c>
    </row>
    <row r="1062" spans="1:10" s="2615" customFormat="1" ht="13.5" thickBot="1" x14ac:dyDescent="0.25">
      <c r="A1062" s="2612"/>
      <c r="B1062" s="2616" t="s">
        <v>6624</v>
      </c>
      <c r="C1062" s="2617">
        <f>C1008-C1060</f>
        <v>-388250.44999999995</v>
      </c>
      <c r="D1062" s="2617">
        <f>D1008-D1060</f>
        <v>1.0000000067520887E-2</v>
      </c>
      <c r="E1062" s="2617">
        <f>E1008-E1060</f>
        <v>-175888.96</v>
      </c>
      <c r="F1062" s="2617">
        <f>F1008-F1060</f>
        <v>0</v>
      </c>
      <c r="G1062" s="2617">
        <f>G1008-G1060</f>
        <v>-161735.07999999999</v>
      </c>
      <c r="H1062" s="2617">
        <f t="shared" ref="H1062:J1062" si="98">H1008-H1060</f>
        <v>-180184.31</v>
      </c>
      <c r="I1062" s="2617">
        <f t="shared" si="98"/>
        <v>-458440.43000000005</v>
      </c>
      <c r="J1062" s="2617">
        <f t="shared" si="98"/>
        <v>1378027.63</v>
      </c>
    </row>
    <row r="1063" spans="1:10" ht="15" thickTop="1" x14ac:dyDescent="0.2">
      <c r="A1063" s="2236"/>
      <c r="B1063" s="2243"/>
      <c r="C1063" s="2244"/>
      <c r="D1063" s="2245"/>
      <c r="E1063" s="2244"/>
      <c r="F1063" s="2246"/>
      <c r="G1063" s="2244"/>
      <c r="H1063" s="2244"/>
      <c r="I1063" s="2238" t="e">
        <f>VLOOKUP(A1063,'Trial Balance - FPer'!$A$7:$I$1107,7,FALSE)</f>
        <v>#N/A</v>
      </c>
      <c r="J1063" s="2100" t="e">
        <f>VLOOKUP(A1063,'Trial Balance - FPer'!$A$7:$I$1126,3,FALSE)</f>
        <v>#N/A</v>
      </c>
    </row>
    <row r="1064" spans="1:10" ht="15" x14ac:dyDescent="0.25">
      <c r="A1064" s="2241" t="s">
        <v>6767</v>
      </c>
      <c r="B1064" s="2237" t="s">
        <v>6768</v>
      </c>
      <c r="C1064" s="2244"/>
      <c r="D1064" s="2245"/>
      <c r="E1064" s="2244"/>
      <c r="F1064" s="2246"/>
      <c r="G1064" s="2244"/>
      <c r="H1064" s="2244"/>
      <c r="I1064" s="2238" t="e">
        <f>VLOOKUP(A1064,'Trial Balance - FPer'!$A$7:$I$1107,7,FALSE)</f>
        <v>#N/A</v>
      </c>
      <c r="J1064" s="2100" t="e">
        <f>VLOOKUP(A1064,'Trial Balance - FPer'!$A$7:$I$1126,3,FALSE)</f>
        <v>#N/A</v>
      </c>
    </row>
    <row r="1065" spans="1:10" ht="14.25" x14ac:dyDescent="0.2">
      <c r="A1065" s="2236"/>
      <c r="B1065" s="2243"/>
      <c r="C1065" s="2244"/>
      <c r="D1065" s="2245"/>
      <c r="E1065" s="2244"/>
      <c r="F1065" s="2246"/>
      <c r="G1065" s="2244"/>
      <c r="H1065" s="2244"/>
      <c r="I1065" s="2238" t="e">
        <f>VLOOKUP(A1065,'Trial Balance - FPer'!$A$7:$I$1107,7,FALSE)</f>
        <v>#N/A</v>
      </c>
      <c r="J1065" s="2100" t="e">
        <f>VLOOKUP(A1065,'Trial Balance - FPer'!$A$7:$I$1126,3,FALSE)</f>
        <v>#N/A</v>
      </c>
    </row>
    <row r="1066" spans="1:10" ht="14.25" x14ac:dyDescent="0.2">
      <c r="A1066" s="2236"/>
      <c r="B1066" s="2242" t="s">
        <v>247</v>
      </c>
      <c r="C1066" s="2244"/>
      <c r="D1066" s="2245"/>
      <c r="E1066" s="2244"/>
      <c r="F1066" s="2246"/>
      <c r="G1066" s="2244"/>
      <c r="H1066" s="2244"/>
      <c r="I1066" s="2238" t="e">
        <f>VLOOKUP(A1066,'Trial Balance - FPer'!$A$7:$I$1107,7,FALSE)</f>
        <v>#N/A</v>
      </c>
      <c r="J1066" s="2100" t="e">
        <f>VLOOKUP(A1066,'Trial Balance - FPer'!$A$7:$I$1126,3,FALSE)</f>
        <v>#N/A</v>
      </c>
    </row>
    <row r="1067" spans="1:10" ht="14.25" hidden="1" x14ac:dyDescent="0.2">
      <c r="A1067" s="2236"/>
      <c r="B1067" s="2242" t="s">
        <v>6628</v>
      </c>
      <c r="C1067" s="2244"/>
      <c r="D1067" s="2245"/>
      <c r="E1067" s="2244"/>
      <c r="F1067" s="2246"/>
      <c r="G1067" s="2244"/>
      <c r="H1067" s="2244"/>
      <c r="I1067" s="2238" t="e">
        <f>VLOOKUP(A1067,'Trial Balance - FPer'!$A$7:$I$1107,7,FALSE)</f>
        <v>#N/A</v>
      </c>
      <c r="J1067" s="2100" t="e">
        <f>VLOOKUP(A1067,'Trial Balance - FPer'!$A$7:$I$1126,3,FALSE)</f>
        <v>#N/A</v>
      </c>
    </row>
    <row r="1068" spans="1:10" ht="14.25" hidden="1" x14ac:dyDescent="0.2">
      <c r="A1068" s="2236" t="s">
        <v>5430</v>
      </c>
      <c r="B1068" s="2247" t="s">
        <v>6659</v>
      </c>
      <c r="C1068" s="2248">
        <f>'[2]Data File'!$C$1166</f>
        <v>0</v>
      </c>
      <c r="D1068" s="2249">
        <v>64992.18</v>
      </c>
      <c r="E1068" s="2248">
        <v>0</v>
      </c>
      <c r="F1068" s="2250">
        <v>54992.18</v>
      </c>
      <c r="G1068" s="2248">
        <v>32628.18</v>
      </c>
      <c r="H1068" s="2244"/>
      <c r="I1068" s="2238">
        <f>VLOOKUP(A1068,'Trial Balance - FPer'!$A$7:$I$1107,7,FALSE)</f>
        <v>0</v>
      </c>
      <c r="J1068" s="2100">
        <f>VLOOKUP(A1068,'Trial Balance - FPer'!$A$7:$I$1126,3,FALSE)</f>
        <v>0</v>
      </c>
    </row>
    <row r="1069" spans="1:10" s="2615" customFormat="1" hidden="1" x14ac:dyDescent="0.2">
      <c r="A1069" s="2612"/>
      <c r="B1069" s="2613" t="s">
        <v>6631</v>
      </c>
      <c r="C1069" s="2614">
        <f>SUM(C1068)</f>
        <v>0</v>
      </c>
      <c r="D1069" s="2614">
        <f>SUM(D1068)</f>
        <v>64992.18</v>
      </c>
      <c r="E1069" s="2614">
        <f>SUM(E1068)</f>
        <v>0</v>
      </c>
      <c r="F1069" s="2614">
        <f>SUM(F1068)</f>
        <v>54992.18</v>
      </c>
      <c r="G1069" s="2614">
        <f>SUM(G1068)</f>
        <v>32628.18</v>
      </c>
      <c r="H1069" s="2614">
        <f t="shared" ref="H1069:J1069" si="99">SUM(H1068)</f>
        <v>0</v>
      </c>
      <c r="I1069" s="2614">
        <f t="shared" si="99"/>
        <v>0</v>
      </c>
      <c r="J1069" s="2614">
        <f t="shared" si="99"/>
        <v>0</v>
      </c>
    </row>
    <row r="1070" spans="1:10" ht="14.25" hidden="1" x14ac:dyDescent="0.2">
      <c r="A1070" s="2236"/>
      <c r="B1070" s="2243"/>
      <c r="C1070" s="2244"/>
      <c r="D1070" s="2245"/>
      <c r="E1070" s="2244"/>
      <c r="F1070" s="2246"/>
      <c r="G1070" s="2244"/>
      <c r="H1070" s="2244"/>
      <c r="I1070" s="2238" t="e">
        <f>VLOOKUP(A1070,'Trial Balance - FPer'!$A$7:$I$1107,7,FALSE)</f>
        <v>#N/A</v>
      </c>
      <c r="J1070" s="2100" t="e">
        <f>VLOOKUP(A1070,'Trial Balance - FPer'!$A$7:$I$1126,3,FALSE)</f>
        <v>#N/A</v>
      </c>
    </row>
    <row r="1071" spans="1:10" ht="14.25" hidden="1" x14ac:dyDescent="0.2">
      <c r="A1071" s="2236"/>
      <c r="B1071" s="2242" t="s">
        <v>1637</v>
      </c>
      <c r="C1071" s="2244"/>
      <c r="D1071" s="2245"/>
      <c r="E1071" s="2244"/>
      <c r="F1071" s="2246"/>
      <c r="G1071" s="2244"/>
      <c r="H1071" s="2244"/>
      <c r="I1071" s="2238" t="e">
        <f>VLOOKUP(A1071,'Trial Balance - FPer'!$A$7:$I$1107,7,FALSE)</f>
        <v>#N/A</v>
      </c>
      <c r="J1071" s="2100" t="e">
        <f>VLOOKUP(A1071,'Trial Balance - FPer'!$A$7:$I$1126,3,FALSE)</f>
        <v>#N/A</v>
      </c>
    </row>
    <row r="1072" spans="1:10" ht="14.25" hidden="1" x14ac:dyDescent="0.2">
      <c r="A1072" s="2236" t="s">
        <v>5431</v>
      </c>
      <c r="B1072" s="2247" t="s">
        <v>6179</v>
      </c>
      <c r="C1072" s="2248">
        <f>'[2]Data File'!$C$1162</f>
        <v>45415.22</v>
      </c>
      <c r="D1072" s="2249">
        <v>50513.58</v>
      </c>
      <c r="E1072" s="2248">
        <v>12587.29</v>
      </c>
      <c r="F1072" s="2250">
        <v>50513.58</v>
      </c>
      <c r="G1072" s="2248">
        <v>37942.870000000003</v>
      </c>
      <c r="H1072" s="2244"/>
      <c r="I1072" s="2238">
        <f>VLOOKUP(A1072,'Trial Balance - FPer'!$A$7:$I$1107,7,FALSE)</f>
        <v>-27370.03</v>
      </c>
      <c r="J1072" s="2100">
        <f>VLOOKUP(A1072,'Trial Balance - FPer'!$A$7:$I$1126,3,FALSE)</f>
        <v>-45514.22</v>
      </c>
    </row>
    <row r="1073" spans="1:10" s="2615" customFormat="1" hidden="1" x14ac:dyDescent="0.2">
      <c r="A1073" s="2612"/>
      <c r="B1073" s="2613" t="s">
        <v>6670</v>
      </c>
      <c r="C1073" s="2614">
        <f>SUM(C1072)</f>
        <v>45415.22</v>
      </c>
      <c r="D1073" s="2614">
        <f>SUM(D1072)</f>
        <v>50513.58</v>
      </c>
      <c r="E1073" s="2614">
        <f>SUM(E1072)</f>
        <v>12587.29</v>
      </c>
      <c r="F1073" s="2614">
        <f>SUM(F1072)</f>
        <v>50513.58</v>
      </c>
      <c r="G1073" s="2614">
        <f>SUM(G1072)</f>
        <v>37942.870000000003</v>
      </c>
      <c r="H1073" s="2614">
        <f t="shared" ref="H1073:J1073" si="100">SUM(H1072)</f>
        <v>0</v>
      </c>
      <c r="I1073" s="2614">
        <f t="shared" si="100"/>
        <v>-27370.03</v>
      </c>
      <c r="J1073" s="2614">
        <f t="shared" si="100"/>
        <v>-45514.22</v>
      </c>
    </row>
    <row r="1074" spans="1:10" ht="14.25" hidden="1" x14ac:dyDescent="0.2">
      <c r="A1074" s="2236"/>
      <c r="B1074" s="2243"/>
      <c r="C1074" s="2244"/>
      <c r="D1074" s="2245"/>
      <c r="E1074" s="2244"/>
      <c r="F1074" s="2246"/>
      <c r="G1074" s="2244"/>
      <c r="H1074" s="2244"/>
      <c r="I1074" s="2238" t="e">
        <f>VLOOKUP(A1074,'Trial Balance - FPer'!$A$7:$I$1107,7,FALSE)</f>
        <v>#N/A</v>
      </c>
      <c r="J1074" s="2100" t="e">
        <f>VLOOKUP(A1074,'Trial Balance - FPer'!$A$7:$I$1126,3,FALSE)</f>
        <v>#N/A</v>
      </c>
    </row>
    <row r="1075" spans="1:10" s="2615" customFormat="1" ht="13.5" thickBot="1" x14ac:dyDescent="0.25">
      <c r="A1075" s="2612"/>
      <c r="B1075" s="2616" t="s">
        <v>6579</v>
      </c>
      <c r="C1075" s="2617">
        <f>C1073+C1069</f>
        <v>45415.22</v>
      </c>
      <c r="D1075" s="2617">
        <f>D1073+D1069</f>
        <v>115505.76000000001</v>
      </c>
      <c r="E1075" s="2617">
        <f>E1073+E1069</f>
        <v>12587.29</v>
      </c>
      <c r="F1075" s="2617">
        <f>F1073+F1069</f>
        <v>105505.76000000001</v>
      </c>
      <c r="G1075" s="2617">
        <f>G1073+G1069</f>
        <v>70571.05</v>
      </c>
      <c r="H1075" s="2617">
        <f t="shared" ref="H1075" si="101">H1073+H1069</f>
        <v>0</v>
      </c>
      <c r="I1075" s="2617">
        <f>I1073+I1069</f>
        <v>-27370.03</v>
      </c>
      <c r="J1075" s="2617">
        <f>J1073+J1069</f>
        <v>-45514.22</v>
      </c>
    </row>
    <row r="1076" spans="1:10" ht="15" thickTop="1" x14ac:dyDescent="0.2">
      <c r="A1076" s="2236"/>
      <c r="B1076" s="2243"/>
      <c r="C1076" s="2244"/>
      <c r="D1076" s="2245"/>
      <c r="E1076" s="2244"/>
      <c r="F1076" s="2246"/>
      <c r="G1076" s="2244"/>
      <c r="H1076" s="2244"/>
      <c r="I1076" s="2238" t="e">
        <f>VLOOKUP(A1076,'Trial Balance - FPer'!$A$7:$I$1107,7,FALSE)</f>
        <v>#N/A</v>
      </c>
      <c r="J1076" s="2100" t="e">
        <f>VLOOKUP(A1076,'Trial Balance - FPer'!$A$7:$I$1126,3,FALSE)</f>
        <v>#N/A</v>
      </c>
    </row>
    <row r="1077" spans="1:10" ht="14.25" x14ac:dyDescent="0.2">
      <c r="A1077" s="2236"/>
      <c r="B1077" s="2242" t="s">
        <v>235</v>
      </c>
      <c r="C1077" s="2244"/>
      <c r="D1077" s="2245"/>
      <c r="E1077" s="2244"/>
      <c r="F1077" s="2246"/>
      <c r="G1077" s="2244"/>
      <c r="H1077" s="2244"/>
      <c r="I1077" s="2238" t="e">
        <f>VLOOKUP(A1077,'Trial Balance - FPer'!$A$7:$I$1107,7,FALSE)</f>
        <v>#N/A</v>
      </c>
      <c r="J1077" s="2100" t="e">
        <f>VLOOKUP(A1077,'Trial Balance - FPer'!$A$7:$I$1126,3,FALSE)</f>
        <v>#N/A</v>
      </c>
    </row>
    <row r="1078" spans="1:10" ht="14.25" hidden="1" x14ac:dyDescent="0.2">
      <c r="A1078" s="2236"/>
      <c r="B1078" s="2242" t="s">
        <v>387</v>
      </c>
      <c r="C1078" s="2244"/>
      <c r="D1078" s="2245"/>
      <c r="E1078" s="2244"/>
      <c r="F1078" s="2246"/>
      <c r="G1078" s="2244"/>
      <c r="H1078" s="2244"/>
      <c r="I1078" s="2238" t="e">
        <f>VLOOKUP(A1078,'Trial Balance - FPer'!$A$7:$I$1107,7,FALSE)</f>
        <v>#N/A</v>
      </c>
      <c r="J1078" s="2100" t="e">
        <f>VLOOKUP(A1078,'Trial Balance - FPer'!$A$7:$I$1126,3,FALSE)</f>
        <v>#N/A</v>
      </c>
    </row>
    <row r="1079" spans="1:10" ht="14.25" hidden="1" x14ac:dyDescent="0.2">
      <c r="A1079" s="2236" t="s">
        <v>5425</v>
      </c>
      <c r="B1079" s="2247" t="s">
        <v>6672</v>
      </c>
      <c r="C1079" s="2248">
        <f>'[2]Data File'!$C$1175</f>
        <v>0</v>
      </c>
      <c r="D1079" s="2249">
        <f>'[2]Data File'!$C$1175</f>
        <v>0</v>
      </c>
      <c r="E1079" s="2248">
        <f>'[2]Data File'!$C$1175</f>
        <v>0</v>
      </c>
      <c r="F1079" s="2250">
        <f>'[2]Data File'!$C$1175</f>
        <v>0</v>
      </c>
      <c r="G1079" s="2248">
        <f>'[2]Data File'!$C$1175</f>
        <v>0</v>
      </c>
      <c r="H1079" s="2244"/>
      <c r="I1079" s="2238">
        <f>VLOOKUP(A1079,'Trial Balance - FPer'!$A$7:$I$1107,7,FALSE)</f>
        <v>0</v>
      </c>
      <c r="J1079" s="2100">
        <f>VLOOKUP(A1079,'Trial Balance - FPer'!$A$7:$I$1126,3,FALSE)</f>
        <v>0</v>
      </c>
    </row>
    <row r="1080" spans="1:10" s="2615" customFormat="1" hidden="1" x14ac:dyDescent="0.2">
      <c r="A1080" s="2612"/>
      <c r="B1080" s="2613" t="s">
        <v>6588</v>
      </c>
      <c r="C1080" s="2614">
        <f>SUM(C1079)</f>
        <v>0</v>
      </c>
      <c r="D1080" s="2614">
        <f>SUM(D1079)</f>
        <v>0</v>
      </c>
      <c r="E1080" s="2614">
        <f>SUM(E1079)</f>
        <v>0</v>
      </c>
      <c r="F1080" s="2614">
        <f>SUM(F1079)</f>
        <v>0</v>
      </c>
      <c r="G1080" s="2614">
        <f>SUM(G1079)</f>
        <v>0</v>
      </c>
      <c r="H1080" s="2614">
        <f t="shared" ref="H1080:J1080" si="102">SUM(H1079)</f>
        <v>0</v>
      </c>
      <c r="I1080" s="2614">
        <f t="shared" si="102"/>
        <v>0</v>
      </c>
      <c r="J1080" s="2614">
        <f t="shared" si="102"/>
        <v>0</v>
      </c>
    </row>
    <row r="1081" spans="1:10" ht="14.25" hidden="1" x14ac:dyDescent="0.2">
      <c r="A1081" s="2236"/>
      <c r="B1081" s="2243"/>
      <c r="C1081" s="2244"/>
      <c r="D1081" s="2245"/>
      <c r="E1081" s="2244"/>
      <c r="F1081" s="2246"/>
      <c r="G1081" s="2244"/>
      <c r="H1081" s="2244"/>
      <c r="I1081" s="2238" t="e">
        <f>VLOOKUP(A1081,'Trial Balance - FPer'!$A$7:$I$1107,7,FALSE)</f>
        <v>#N/A</v>
      </c>
      <c r="J1081" s="2100" t="e">
        <f>VLOOKUP(A1081,'Trial Balance - FPer'!$A$7:$I$1126,3,FALSE)</f>
        <v>#N/A</v>
      </c>
    </row>
    <row r="1082" spans="1:10" ht="14.25" hidden="1" x14ac:dyDescent="0.2">
      <c r="A1082" s="2236"/>
      <c r="B1082" s="2242" t="s">
        <v>6599</v>
      </c>
      <c r="C1082" s="2244"/>
      <c r="D1082" s="2245"/>
      <c r="E1082" s="2244"/>
      <c r="F1082" s="2246"/>
      <c r="G1082" s="2244"/>
      <c r="H1082" s="2244"/>
      <c r="I1082" s="2238" t="e">
        <f>VLOOKUP(A1082,'Trial Balance - FPer'!$A$7:$I$1107,7,FALSE)</f>
        <v>#N/A</v>
      </c>
      <c r="J1082" s="2100" t="e">
        <f>VLOOKUP(A1082,'Trial Balance - FPer'!$A$7:$I$1126,3,FALSE)</f>
        <v>#N/A</v>
      </c>
    </row>
    <row r="1083" spans="1:10" ht="14.25" hidden="1" x14ac:dyDescent="0.2">
      <c r="A1083" s="2236" t="s">
        <v>5426</v>
      </c>
      <c r="B1083" s="2247" t="s">
        <v>6025</v>
      </c>
      <c r="C1083" s="2248">
        <f>'[2]Data File'!$C$1179</f>
        <v>12226</v>
      </c>
      <c r="D1083" s="2249">
        <v>16681.509999999998</v>
      </c>
      <c r="E1083" s="2248">
        <v>5120</v>
      </c>
      <c r="F1083" s="2250">
        <v>16681.509999999998</v>
      </c>
      <c r="G1083" s="2248">
        <v>11884.18</v>
      </c>
      <c r="H1083" s="2244"/>
      <c r="I1083" s="2238">
        <f>VLOOKUP(A1083,'Trial Balance - FPer'!$A$7:$I$1107,7,FALSE)</f>
        <v>12720</v>
      </c>
      <c r="J1083" s="2100">
        <f>VLOOKUP(A1083,'Trial Balance - FPer'!$A$7:$I$1126,3,FALSE)</f>
        <v>12226</v>
      </c>
    </row>
    <row r="1084" spans="1:10" s="2615" customFormat="1" hidden="1" x14ac:dyDescent="0.2">
      <c r="A1084" s="2612"/>
      <c r="B1084" s="2613" t="s">
        <v>6614</v>
      </c>
      <c r="C1084" s="2614">
        <f>SUM(C1083)</f>
        <v>12226</v>
      </c>
      <c r="D1084" s="2614">
        <f>SUM(D1083)</f>
        <v>16681.509999999998</v>
      </c>
      <c r="E1084" s="2614">
        <f>SUM(E1083)</f>
        <v>5120</v>
      </c>
      <c r="F1084" s="2614">
        <f>SUM(F1083)</f>
        <v>16681.509999999998</v>
      </c>
      <c r="G1084" s="2614">
        <f>SUM(G1083)</f>
        <v>11884.18</v>
      </c>
      <c r="H1084" s="2614">
        <f t="shared" ref="H1084:J1084" si="103">SUM(H1083)</f>
        <v>0</v>
      </c>
      <c r="I1084" s="2614">
        <f t="shared" si="103"/>
        <v>12720</v>
      </c>
      <c r="J1084" s="2614">
        <f t="shared" si="103"/>
        <v>12226</v>
      </c>
    </row>
    <row r="1085" spans="1:10" ht="14.25" hidden="1" x14ac:dyDescent="0.2">
      <c r="A1085" s="2236"/>
      <c r="B1085" s="2243"/>
      <c r="C1085" s="2244"/>
      <c r="D1085" s="2245"/>
      <c r="E1085" s="2244"/>
      <c r="F1085" s="2246"/>
      <c r="G1085" s="2244"/>
      <c r="H1085" s="2244"/>
      <c r="I1085" s="2238" t="e">
        <f>VLOOKUP(A1085,'Trial Balance - FPer'!$A$7:$I$1107,7,FALSE)</f>
        <v>#N/A</v>
      </c>
      <c r="J1085" s="2100" t="e">
        <f>VLOOKUP(A1085,'Trial Balance - FPer'!$A$7:$I$1126,3,FALSE)</f>
        <v>#N/A</v>
      </c>
    </row>
    <row r="1086" spans="1:10" ht="14.25" hidden="1" x14ac:dyDescent="0.2">
      <c r="A1086" s="2236"/>
      <c r="B1086" s="2242" t="s">
        <v>6615</v>
      </c>
      <c r="C1086" s="2244"/>
      <c r="D1086" s="2245"/>
      <c r="E1086" s="2244"/>
      <c r="F1086" s="2246"/>
      <c r="G1086" s="2244"/>
      <c r="H1086" s="2244"/>
      <c r="I1086" s="2238" t="e">
        <f>VLOOKUP(A1086,'Trial Balance - FPer'!$A$7:$I$1107,7,FALSE)</f>
        <v>#N/A</v>
      </c>
      <c r="J1086" s="2100" t="e">
        <f>VLOOKUP(A1086,'Trial Balance - FPer'!$A$7:$I$1126,3,FALSE)</f>
        <v>#N/A</v>
      </c>
    </row>
    <row r="1087" spans="1:10" ht="14.25" hidden="1" x14ac:dyDescent="0.2">
      <c r="A1087" s="2236" t="s">
        <v>5427</v>
      </c>
      <c r="B1087" s="2243" t="s">
        <v>6715</v>
      </c>
      <c r="C1087" s="2244">
        <v>0</v>
      </c>
      <c r="D1087" s="2245">
        <v>0</v>
      </c>
      <c r="E1087" s="2244">
        <v>0</v>
      </c>
      <c r="F1087" s="2246">
        <v>0</v>
      </c>
      <c r="G1087" s="2244">
        <v>0</v>
      </c>
      <c r="H1087" s="2100">
        <v>0</v>
      </c>
      <c r="I1087" s="2238">
        <f>VLOOKUP(A1087,'Trial Balance - FPer'!$A$7:$I$1107,7,FALSE)</f>
        <v>0</v>
      </c>
      <c r="J1087" s="2100">
        <f>VLOOKUP(A1087,'Trial Balance - FPer'!$A$7:$I$1126,3,FALSE)</f>
        <v>0</v>
      </c>
    </row>
    <row r="1088" spans="1:10" ht="14.25" hidden="1" x14ac:dyDescent="0.2">
      <c r="A1088" s="2236" t="s">
        <v>5428</v>
      </c>
      <c r="B1088" s="2243" t="s">
        <v>6177</v>
      </c>
      <c r="C1088" s="2244">
        <f>'[2]Data File'!$C$1185</f>
        <v>0</v>
      </c>
      <c r="D1088" s="2245">
        <v>78824.25</v>
      </c>
      <c r="E1088" s="2244">
        <v>0</v>
      </c>
      <c r="F1088" s="2246">
        <v>78824.25</v>
      </c>
      <c r="G1088" s="2244">
        <v>19786.13</v>
      </c>
      <c r="H1088" s="2100">
        <v>0</v>
      </c>
      <c r="I1088" s="2238">
        <f>VLOOKUP(A1088,'Trial Balance - FPer'!$A$7:$I$1107,7,FALSE)</f>
        <v>0</v>
      </c>
      <c r="J1088" s="2100" t="str">
        <f>VLOOKUP(A1088,'Trial Balance - FPer'!$A$7:$I$1126,3,FALSE)</f>
        <v xml:space="preserve">                               -  </v>
      </c>
    </row>
    <row r="1089" spans="1:10" ht="14.25" hidden="1" x14ac:dyDescent="0.2">
      <c r="A1089" s="2236" t="s">
        <v>5429</v>
      </c>
      <c r="B1089" s="2247" t="s">
        <v>6769</v>
      </c>
      <c r="C1089" s="2248">
        <f>'[2]Data File'!$C$1186</f>
        <v>-2520.12</v>
      </c>
      <c r="D1089" s="2249">
        <v>20000</v>
      </c>
      <c r="E1089" s="2248">
        <v>-4689.45</v>
      </c>
      <c r="F1089" s="2250">
        <v>10000</v>
      </c>
      <c r="G1089" s="2248">
        <v>-2032.87</v>
      </c>
      <c r="H1089" s="2100">
        <v>-2626.2</v>
      </c>
      <c r="I1089" s="2238">
        <f>VLOOKUP(A1089,'Trial Balance - FPer'!$A$7:$I$1107,7,FALSE)</f>
        <v>-5512.3200000000006</v>
      </c>
      <c r="J1089" s="2100">
        <f>VLOOKUP(A1089,'Trial Balance - FPer'!$A$7:$I$1126,3,FALSE)</f>
        <v>-2520.12</v>
      </c>
    </row>
    <row r="1090" spans="1:10" s="2615" customFormat="1" hidden="1" x14ac:dyDescent="0.2">
      <c r="A1090" s="2612"/>
      <c r="B1090" s="2613" t="s">
        <v>6618</v>
      </c>
      <c r="C1090" s="2614">
        <f>SUM(C1087:C1089)</f>
        <v>-2520.12</v>
      </c>
      <c r="D1090" s="2614">
        <f>SUM(D1087:D1089)</f>
        <v>98824.25</v>
      </c>
      <c r="E1090" s="2614">
        <f>SUM(E1087:E1089)</f>
        <v>-4689.45</v>
      </c>
      <c r="F1090" s="2614">
        <f>SUM(F1087:F1089)</f>
        <v>88824.25</v>
      </c>
      <c r="G1090" s="2614">
        <f>SUM(G1087:G1089)</f>
        <v>17753.260000000002</v>
      </c>
      <c r="H1090" s="2614">
        <f t="shared" ref="H1090:J1090" si="104">SUM(H1087:H1089)</f>
        <v>-2626.2</v>
      </c>
      <c r="I1090" s="2614">
        <f t="shared" si="104"/>
        <v>-5512.3200000000006</v>
      </c>
      <c r="J1090" s="2614">
        <f t="shared" si="104"/>
        <v>-2520.12</v>
      </c>
    </row>
    <row r="1091" spans="1:10" ht="14.25" hidden="1" x14ac:dyDescent="0.2">
      <c r="A1091" s="2236"/>
      <c r="B1091" s="2243"/>
      <c r="C1091" s="2244"/>
      <c r="D1091" s="2245"/>
      <c r="E1091" s="2244"/>
      <c r="F1091" s="2246"/>
      <c r="G1091" s="2244"/>
      <c r="H1091" s="2244"/>
      <c r="I1091" s="2238" t="e">
        <f>VLOOKUP(A1091,'Trial Balance - FPer'!$A$7:$I$1107,7,FALSE)</f>
        <v>#N/A</v>
      </c>
      <c r="J1091" s="2100" t="e">
        <f>VLOOKUP(A1091,'Trial Balance - FPer'!$A$7:$I$1126,3,FALSE)</f>
        <v>#N/A</v>
      </c>
    </row>
    <row r="1092" spans="1:10" s="2615" customFormat="1" ht="13.5" thickBot="1" x14ac:dyDescent="0.25">
      <c r="A1092" s="2612"/>
      <c r="B1092" s="2616" t="s">
        <v>6623</v>
      </c>
      <c r="C1092" s="2617">
        <f>C1090+C1084+C1080</f>
        <v>9705.880000000001</v>
      </c>
      <c r="D1092" s="2617">
        <f>D1090+D1084+D1080</f>
        <v>115505.76</v>
      </c>
      <c r="E1092" s="2617">
        <f>E1090+E1084+E1080</f>
        <v>430.55000000000018</v>
      </c>
      <c r="F1092" s="2617">
        <f>F1090+F1084+F1080</f>
        <v>105505.76</v>
      </c>
      <c r="G1092" s="2617">
        <f>G1090+G1084+G1080</f>
        <v>29637.440000000002</v>
      </c>
      <c r="H1092" s="2617">
        <f t="shared" ref="H1092" si="105">H1090+H1084+H1080</f>
        <v>-2626.2</v>
      </c>
      <c r="I1092" s="2617">
        <f>I1090+I1084+I1080</f>
        <v>7207.6799999999994</v>
      </c>
      <c r="J1092" s="2617">
        <f>J1090+J1084+J1080</f>
        <v>9705.880000000001</v>
      </c>
    </row>
    <row r="1093" spans="1:10" ht="15" thickTop="1" x14ac:dyDescent="0.2">
      <c r="A1093" s="2236"/>
      <c r="B1093" s="2243"/>
      <c r="C1093" s="2244"/>
      <c r="D1093" s="2245"/>
      <c r="E1093" s="2244"/>
      <c r="F1093" s="2246"/>
      <c r="G1093" s="2244"/>
      <c r="H1093" s="2244"/>
      <c r="I1093" s="2238" t="e">
        <f>VLOOKUP(A1093,'Trial Balance - FPer'!$A$7:$I$1107,7,FALSE)</f>
        <v>#N/A</v>
      </c>
      <c r="J1093" s="2100" t="e">
        <f>VLOOKUP(A1093,'Trial Balance - FPer'!$A$7:$I$1126,3,FALSE)</f>
        <v>#N/A</v>
      </c>
    </row>
    <row r="1094" spans="1:10" s="2615" customFormat="1" ht="13.5" thickBot="1" x14ac:dyDescent="0.25">
      <c r="A1094" s="2612"/>
      <c r="B1094" s="2616" t="s">
        <v>6770</v>
      </c>
      <c r="C1094" s="2617">
        <f>C1075-C1092</f>
        <v>35709.339999999997</v>
      </c>
      <c r="D1094" s="2617">
        <f>D1075-D1092</f>
        <v>0</v>
      </c>
      <c r="E1094" s="2617">
        <f>E1075-E1092</f>
        <v>12156.740000000002</v>
      </c>
      <c r="F1094" s="2617">
        <f>F1075-F1092</f>
        <v>0</v>
      </c>
      <c r="G1094" s="2617">
        <f>G1075-G1092</f>
        <v>40933.61</v>
      </c>
      <c r="H1094" s="2617">
        <f t="shared" ref="H1094:J1094" si="106">H1075-H1092</f>
        <v>2626.2</v>
      </c>
      <c r="I1094" s="2617">
        <f t="shared" si="106"/>
        <v>-34577.71</v>
      </c>
      <c r="J1094" s="2617">
        <f t="shared" si="106"/>
        <v>-55220.100000000006</v>
      </c>
    </row>
    <row r="1095" spans="1:10" ht="15" thickTop="1" x14ac:dyDescent="0.2">
      <c r="A1095" s="2236"/>
      <c r="B1095" s="2243"/>
      <c r="C1095" s="2244"/>
      <c r="D1095" s="2245"/>
      <c r="E1095" s="2244"/>
      <c r="F1095" s="2246"/>
      <c r="G1095" s="2244"/>
      <c r="H1095" s="2244"/>
      <c r="I1095" s="2238" t="e">
        <f>VLOOKUP(A1095,'Trial Balance - FPer'!$A$7:$I$1107,7,FALSE)</f>
        <v>#N/A</v>
      </c>
      <c r="J1095" s="2100" t="e">
        <f>VLOOKUP(A1095,'Trial Balance - FPer'!$A$7:$I$1126,3,FALSE)</f>
        <v>#N/A</v>
      </c>
    </row>
    <row r="1096" spans="1:10" ht="15" x14ac:dyDescent="0.25">
      <c r="A1096" s="2241" t="s">
        <v>6771</v>
      </c>
      <c r="B1096" s="2237" t="s">
        <v>6772</v>
      </c>
      <c r="C1096" s="2244"/>
      <c r="D1096" s="2245"/>
      <c r="E1096" s="2244"/>
      <c r="F1096" s="2246"/>
      <c r="G1096" s="2244"/>
      <c r="H1096" s="2244"/>
      <c r="I1096" s="2238" t="e">
        <f>VLOOKUP(A1096,'Trial Balance - FPer'!$A$7:$I$1107,7,FALSE)</f>
        <v>#N/A</v>
      </c>
      <c r="J1096" s="2100" t="e">
        <f>VLOOKUP(A1096,'Trial Balance - FPer'!$A$7:$I$1126,3,FALSE)</f>
        <v>#N/A</v>
      </c>
    </row>
    <row r="1097" spans="1:10" ht="14.25" x14ac:dyDescent="0.2">
      <c r="A1097" s="2236"/>
      <c r="B1097" s="2243"/>
      <c r="C1097" s="2244"/>
      <c r="D1097" s="2245"/>
      <c r="E1097" s="2244"/>
      <c r="F1097" s="2246"/>
      <c r="G1097" s="2244"/>
      <c r="H1097" s="2244"/>
      <c r="I1097" s="2238" t="e">
        <f>VLOOKUP(A1097,'Trial Balance - FPer'!$A$7:$I$1107,7,FALSE)</f>
        <v>#N/A</v>
      </c>
      <c r="J1097" s="2100" t="e">
        <f>VLOOKUP(A1097,'Trial Balance - FPer'!$A$7:$I$1126,3,FALSE)</f>
        <v>#N/A</v>
      </c>
    </row>
    <row r="1098" spans="1:10" ht="14.25" x14ac:dyDescent="0.2">
      <c r="A1098" s="2236"/>
      <c r="B1098" s="2242" t="s">
        <v>247</v>
      </c>
      <c r="C1098" s="2244"/>
      <c r="D1098" s="2245"/>
      <c r="E1098" s="2244"/>
      <c r="F1098" s="2246"/>
      <c r="G1098" s="2244"/>
      <c r="H1098" s="2244"/>
      <c r="I1098" s="2238" t="e">
        <f>VLOOKUP(A1098,'Trial Balance - FPer'!$A$7:$I$1107,7,FALSE)</f>
        <v>#N/A</v>
      </c>
      <c r="J1098" s="2100" t="e">
        <f>VLOOKUP(A1098,'Trial Balance - FPer'!$A$7:$I$1126,3,FALSE)</f>
        <v>#N/A</v>
      </c>
    </row>
    <row r="1099" spans="1:10" ht="14.25" hidden="1" x14ac:dyDescent="0.2">
      <c r="A1099" s="2236"/>
      <c r="B1099" s="2242" t="s">
        <v>6628</v>
      </c>
      <c r="C1099" s="2244"/>
      <c r="D1099" s="2245"/>
      <c r="E1099" s="2244"/>
      <c r="F1099" s="2246"/>
      <c r="G1099" s="2244"/>
      <c r="H1099" s="2244"/>
      <c r="I1099" s="2238" t="e">
        <f>VLOOKUP(A1099,'Trial Balance - FPer'!$A$7:$I$1107,7,FALSE)</f>
        <v>#N/A</v>
      </c>
      <c r="J1099" s="2100" t="e">
        <f>VLOOKUP(A1099,'Trial Balance - FPer'!$A$7:$I$1126,3,FALSE)</f>
        <v>#N/A</v>
      </c>
    </row>
    <row r="1100" spans="1:10" ht="14.25" hidden="1" x14ac:dyDescent="0.2">
      <c r="A1100" s="2236" t="s">
        <v>5485</v>
      </c>
      <c r="B1100" s="2243" t="s">
        <v>6659</v>
      </c>
      <c r="C1100" s="2244">
        <f>'[2]Data File'!$C$256</f>
        <v>0</v>
      </c>
      <c r="D1100" s="2245">
        <v>85746.28</v>
      </c>
      <c r="E1100" s="2244">
        <v>0</v>
      </c>
      <c r="F1100" s="2246">
        <v>85746.28</v>
      </c>
      <c r="G1100" s="2244">
        <v>43044.28</v>
      </c>
      <c r="H1100" s="2244"/>
      <c r="I1100" s="2238">
        <f>VLOOKUP(A1100,'Trial Balance - FPer'!$A$7:$I$1107,7,FALSE)</f>
        <v>0</v>
      </c>
      <c r="J1100" s="2100">
        <f>VLOOKUP(A1100,'Trial Balance - FPer'!$A$7:$I$1126,3,FALSE)</f>
        <v>0</v>
      </c>
    </row>
    <row r="1101" spans="1:10" ht="14.25" hidden="1" x14ac:dyDescent="0.2">
      <c r="A1101" s="2236"/>
      <c r="B1101" s="2243" t="s">
        <v>6773</v>
      </c>
      <c r="C1101" s="2244"/>
      <c r="D1101" s="2245"/>
      <c r="E1101" s="2244"/>
      <c r="F1101" s="2246"/>
      <c r="G1101" s="2244"/>
      <c r="H1101" s="2244"/>
      <c r="I1101" s="2238"/>
      <c r="J1101" s="2100"/>
    </row>
    <row r="1102" spans="1:10" ht="14.25" hidden="1" x14ac:dyDescent="0.2">
      <c r="A1102" s="2236" t="s">
        <v>5486</v>
      </c>
      <c r="B1102" s="2243" t="s">
        <v>6659</v>
      </c>
      <c r="C1102" s="2244">
        <f>'[2]Data File'!$C$978</f>
        <v>0</v>
      </c>
      <c r="D1102" s="2245">
        <v>1171158.47</v>
      </c>
      <c r="E1102" s="2244">
        <v>0</v>
      </c>
      <c r="F1102" s="2246">
        <v>1213531.3700000001</v>
      </c>
      <c r="G1102" s="2244">
        <v>587922.47</v>
      </c>
      <c r="H1102" s="2244"/>
      <c r="I1102" s="2238">
        <f>VLOOKUP(A1102,'Trial Balance - FPer'!$A$7:$I$1107,7,FALSE)</f>
        <v>0</v>
      </c>
      <c r="J1102" s="2100">
        <f>VLOOKUP(A1102,'Trial Balance - FPer'!$A$7:$I$1126,3,FALSE)</f>
        <v>0</v>
      </c>
    </row>
    <row r="1103" spans="1:10" ht="14.25" hidden="1" x14ac:dyDescent="0.2">
      <c r="A1103" s="2236"/>
      <c r="B1103" s="2243" t="s">
        <v>6774</v>
      </c>
      <c r="C1103" s="2244"/>
      <c r="D1103" s="2245"/>
      <c r="E1103" s="2244"/>
      <c r="F1103" s="2246"/>
      <c r="G1103" s="2244"/>
      <c r="H1103" s="2244"/>
      <c r="I1103" s="2238"/>
      <c r="J1103" s="2100"/>
    </row>
    <row r="1104" spans="1:10" ht="14.25" hidden="1" x14ac:dyDescent="0.2">
      <c r="A1104" s="2236" t="s">
        <v>5487</v>
      </c>
      <c r="B1104" s="2243" t="s">
        <v>6630</v>
      </c>
      <c r="C1104" s="2244">
        <v>0</v>
      </c>
      <c r="D1104" s="2245">
        <v>265710.98</v>
      </c>
      <c r="E1104" s="2244">
        <v>0</v>
      </c>
      <c r="F1104" s="2246"/>
      <c r="G1104" s="2244">
        <v>133386.98000000001</v>
      </c>
      <c r="H1104" s="2244"/>
      <c r="I1104" s="2238">
        <f>VLOOKUP(A1104,'Trial Balance - FPer'!$A$7:$I$1107,7,FALSE)</f>
        <v>0</v>
      </c>
      <c r="J1104" s="2100">
        <f>VLOOKUP(A1104,'Trial Balance - FPer'!$A$7:$I$1126,3,FALSE)</f>
        <v>0</v>
      </c>
    </row>
    <row r="1105" spans="1:10" ht="14.25" hidden="1" x14ac:dyDescent="0.2">
      <c r="A1105" s="2236"/>
      <c r="B1105" s="2247" t="s">
        <v>6773</v>
      </c>
      <c r="C1105" s="2248"/>
      <c r="D1105" s="2249"/>
      <c r="E1105" s="2248"/>
      <c r="F1105" s="2250"/>
      <c r="G1105" s="2248"/>
      <c r="H1105" s="2244"/>
      <c r="I1105" s="2238"/>
      <c r="J1105" s="2100"/>
    </row>
    <row r="1106" spans="1:10" s="2615" customFormat="1" hidden="1" x14ac:dyDescent="0.2">
      <c r="A1106" s="2612"/>
      <c r="B1106" s="2613" t="s">
        <v>6631</v>
      </c>
      <c r="C1106" s="2614">
        <f>SUM(C1100:C1105)</f>
        <v>0</v>
      </c>
      <c r="D1106" s="2614">
        <f>SUM(D1100:D1105)</f>
        <v>1522615.73</v>
      </c>
      <c r="E1106" s="2614">
        <f>SUM(E1100:E1105)</f>
        <v>0</v>
      </c>
      <c r="F1106" s="2614">
        <f>SUM(F1100:F1105)</f>
        <v>1299277.6500000001</v>
      </c>
      <c r="G1106" s="2614">
        <f>SUM(G1100:G1105)</f>
        <v>764353.73</v>
      </c>
      <c r="H1106" s="2614">
        <f t="shared" ref="H1106:J1106" si="107">SUM(H1100:H1105)</f>
        <v>0</v>
      </c>
      <c r="I1106" s="2614">
        <f t="shared" si="107"/>
        <v>0</v>
      </c>
      <c r="J1106" s="2614">
        <f t="shared" si="107"/>
        <v>0</v>
      </c>
    </row>
    <row r="1107" spans="1:10" ht="14.25" hidden="1" x14ac:dyDescent="0.2">
      <c r="A1107" s="2236"/>
      <c r="B1107" s="2243"/>
      <c r="C1107" s="2244"/>
      <c r="D1107" s="2245"/>
      <c r="E1107" s="2244"/>
      <c r="F1107" s="2246"/>
      <c r="G1107" s="2244"/>
      <c r="H1107" s="2244"/>
      <c r="I1107" s="2238" t="e">
        <f>VLOOKUP(A1107,'Trial Balance - FPer'!$A$7:$I$1107,7,FALSE)</f>
        <v>#N/A</v>
      </c>
      <c r="J1107" s="2100" t="e">
        <f>VLOOKUP(A1107,'Trial Balance - FPer'!$A$7:$I$1126,3,FALSE)</f>
        <v>#N/A</v>
      </c>
    </row>
    <row r="1108" spans="1:10" ht="14.25" hidden="1" x14ac:dyDescent="0.2">
      <c r="A1108" s="2236"/>
      <c r="B1108" s="2242" t="s">
        <v>1637</v>
      </c>
      <c r="C1108" s="2244"/>
      <c r="D1108" s="2245"/>
      <c r="E1108" s="2244"/>
      <c r="F1108" s="2246"/>
      <c r="G1108" s="2244"/>
      <c r="H1108" s="2244"/>
      <c r="I1108" s="2238" t="e">
        <f>VLOOKUP(A1108,'Trial Balance - FPer'!$A$7:$I$1107,7,FALSE)</f>
        <v>#N/A</v>
      </c>
      <c r="J1108" s="2100" t="e">
        <f>VLOOKUP(A1108,'Trial Balance - FPer'!$A$7:$I$1126,3,FALSE)</f>
        <v>#N/A</v>
      </c>
    </row>
    <row r="1109" spans="1:10" ht="14.25" hidden="1" x14ac:dyDescent="0.2">
      <c r="A1109" s="2599" t="s">
        <v>5488</v>
      </c>
      <c r="B1109" s="2600" t="s">
        <v>6775</v>
      </c>
      <c r="C1109" s="2601">
        <f>'[2]Data File'!$C$2077</f>
        <v>0</v>
      </c>
      <c r="D1109" s="2601">
        <v>104578.7</v>
      </c>
      <c r="E1109" s="2601">
        <v>0</v>
      </c>
      <c r="F1109" s="2601">
        <v>104578.7</v>
      </c>
      <c r="G1109" s="2601">
        <v>52498.7</v>
      </c>
      <c r="H1109" s="2601"/>
      <c r="I1109" s="2238"/>
      <c r="J1109" s="2100">
        <f>VLOOKUP(A1109,'Trial Balance - FPer'!$A$7:$I$1126,3,FALSE)</f>
        <v>0</v>
      </c>
    </row>
    <row r="1110" spans="1:10" ht="14.25" hidden="1" x14ac:dyDescent="0.2">
      <c r="A1110" s="2236"/>
      <c r="B1110" s="2247" t="s">
        <v>6776</v>
      </c>
      <c r="C1110" s="2248"/>
      <c r="D1110" s="2249"/>
      <c r="E1110" s="2248"/>
      <c r="F1110" s="2250"/>
      <c r="G1110" s="2248"/>
      <c r="H1110" s="2244"/>
      <c r="I1110" s="2238"/>
      <c r="J1110" s="2100"/>
    </row>
    <row r="1111" spans="1:10" s="2615" customFormat="1" hidden="1" x14ac:dyDescent="0.2">
      <c r="A1111" s="2612"/>
      <c r="B1111" s="2613" t="s">
        <v>6670</v>
      </c>
      <c r="C1111" s="2614">
        <f>SUM(C1109:C1110)</f>
        <v>0</v>
      </c>
      <c r="D1111" s="2614">
        <f>SUM(D1109:D1110)</f>
        <v>104578.7</v>
      </c>
      <c r="E1111" s="2614">
        <f>SUM(E1109:E1110)</f>
        <v>0</v>
      </c>
      <c r="F1111" s="2614">
        <f>SUM(F1109:F1110)</f>
        <v>104578.7</v>
      </c>
      <c r="G1111" s="2614">
        <f>SUM(G1109:G1110)</f>
        <v>52498.7</v>
      </c>
      <c r="H1111" s="2614">
        <f t="shared" ref="H1111:J1111" si="108">SUM(H1109:H1110)</f>
        <v>0</v>
      </c>
      <c r="I1111" s="2614">
        <f t="shared" si="108"/>
        <v>0</v>
      </c>
      <c r="J1111" s="2614">
        <f t="shared" si="108"/>
        <v>0</v>
      </c>
    </row>
    <row r="1112" spans="1:10" ht="14.25" hidden="1" x14ac:dyDescent="0.2">
      <c r="A1112" s="2236"/>
      <c r="B1112" s="2243"/>
      <c r="C1112" s="2244"/>
      <c r="D1112" s="2245"/>
      <c r="E1112" s="2244"/>
      <c r="F1112" s="2246"/>
      <c r="G1112" s="2244"/>
      <c r="H1112" s="2244"/>
      <c r="I1112" s="2238" t="e">
        <f>VLOOKUP(A1112,'Trial Balance - FPer'!$A$7:$I$1107,7,FALSE)</f>
        <v>#N/A</v>
      </c>
      <c r="J1112" s="2100" t="e">
        <f>VLOOKUP(A1112,'Trial Balance - FPer'!$A$7:$I$1126,3,FALSE)</f>
        <v>#N/A</v>
      </c>
    </row>
    <row r="1113" spans="1:10" s="2615" customFormat="1" ht="13.5" thickBot="1" x14ac:dyDescent="0.25">
      <c r="A1113" s="2612"/>
      <c r="B1113" s="2616" t="s">
        <v>6579</v>
      </c>
      <c r="C1113" s="2617">
        <f>C1106+C1111</f>
        <v>0</v>
      </c>
      <c r="D1113" s="2617">
        <f>D1106+D1111</f>
        <v>1627194.43</v>
      </c>
      <c r="E1113" s="2617">
        <f>E1106+E1111</f>
        <v>0</v>
      </c>
      <c r="F1113" s="2617">
        <f>F1106+F1111</f>
        <v>1403856.35</v>
      </c>
      <c r="G1113" s="2617">
        <f>G1106+G1111</f>
        <v>816852.42999999993</v>
      </c>
      <c r="H1113" s="2617">
        <f t="shared" ref="H1113:J1113" si="109">H1106+H1111</f>
        <v>0</v>
      </c>
      <c r="I1113" s="2617">
        <f t="shared" si="109"/>
        <v>0</v>
      </c>
      <c r="J1113" s="2617">
        <f t="shared" si="109"/>
        <v>0</v>
      </c>
    </row>
    <row r="1114" spans="1:10" ht="15" thickTop="1" x14ac:dyDescent="0.2">
      <c r="A1114" s="2236"/>
      <c r="B1114" s="2243"/>
      <c r="C1114" s="2244"/>
      <c r="D1114" s="2245"/>
      <c r="E1114" s="2244"/>
      <c r="F1114" s="2246"/>
      <c r="G1114" s="2244"/>
      <c r="H1114" s="2244"/>
      <c r="I1114" s="2238" t="e">
        <f>VLOOKUP(A1114,'Trial Balance - FPer'!$A$7:$I$1107,7,FALSE)</f>
        <v>#N/A</v>
      </c>
      <c r="J1114" s="2100" t="e">
        <f>VLOOKUP(A1114,'Trial Balance - FPer'!$A$7:$I$1126,3,FALSE)</f>
        <v>#N/A</v>
      </c>
    </row>
    <row r="1115" spans="1:10" ht="14.25" x14ac:dyDescent="0.2">
      <c r="A1115" s="2236"/>
      <c r="B1115" s="2242" t="s">
        <v>235</v>
      </c>
      <c r="C1115" s="2244"/>
      <c r="D1115" s="2245"/>
      <c r="E1115" s="2244"/>
      <c r="F1115" s="2246"/>
      <c r="G1115" s="2244"/>
      <c r="H1115" s="2244"/>
      <c r="I1115" s="2238" t="e">
        <f>VLOOKUP(A1115,'Trial Balance - FPer'!$A$7:$I$1107,7,FALSE)</f>
        <v>#N/A</v>
      </c>
      <c r="J1115" s="2100" t="e">
        <f>VLOOKUP(A1115,'Trial Balance - FPer'!$A$7:$I$1126,3,FALSE)</f>
        <v>#N/A</v>
      </c>
    </row>
    <row r="1116" spans="1:10" ht="14.25" hidden="1" x14ac:dyDescent="0.2">
      <c r="A1116" s="2236"/>
      <c r="B1116" s="2242" t="s">
        <v>387</v>
      </c>
      <c r="C1116" s="2244"/>
      <c r="D1116" s="2245"/>
      <c r="E1116" s="2244"/>
      <c r="F1116" s="2246"/>
      <c r="G1116" s="2244"/>
      <c r="H1116" s="2244"/>
      <c r="I1116" s="2238"/>
      <c r="J1116" s="2100"/>
    </row>
    <row r="1117" spans="1:10" ht="14.25" hidden="1" x14ac:dyDescent="0.2">
      <c r="A1117" s="2236" t="s">
        <v>5433</v>
      </c>
      <c r="B1117" s="2243" t="s">
        <v>6003</v>
      </c>
      <c r="C1117" s="2244">
        <f>'[2]Data File'!$C$265</f>
        <v>101715.25</v>
      </c>
      <c r="D1117" s="2245">
        <v>493324.69</v>
      </c>
      <c r="E1117" s="2244">
        <v>91624.48</v>
      </c>
      <c r="F1117" s="2246">
        <v>91624.48</v>
      </c>
      <c r="G1117" s="2244">
        <v>261610.54</v>
      </c>
      <c r="H1117" s="2100">
        <v>91624.48</v>
      </c>
      <c r="I1117" s="2238">
        <f>VLOOKUP(A1117,'Trial Balance - FPer'!$A$7:$I$1107,7,FALSE)</f>
        <v>91624.48</v>
      </c>
      <c r="J1117" s="2100">
        <f>VLOOKUP(A1117,'Trial Balance - FPer'!$A$7:$I$1126,3,FALSE)</f>
        <v>101715.25</v>
      </c>
    </row>
    <row r="1118" spans="1:10" ht="14.25" hidden="1" x14ac:dyDescent="0.2">
      <c r="A1118" s="2236"/>
      <c r="B1118" s="2243" t="s">
        <v>6773</v>
      </c>
      <c r="C1118" s="2244"/>
      <c r="D1118" s="2245"/>
      <c r="E1118" s="2244"/>
      <c r="F1118" s="2246"/>
      <c r="G1118" s="2244"/>
      <c r="H1118" s="2100"/>
      <c r="I1118" s="2238"/>
      <c r="J1118" s="2100"/>
    </row>
    <row r="1119" spans="1:10" ht="14.25" hidden="1" x14ac:dyDescent="0.2">
      <c r="A1119" s="2236" t="s">
        <v>5434</v>
      </c>
      <c r="B1119" s="2243" t="s">
        <v>6003</v>
      </c>
      <c r="C1119" s="2244">
        <f>'[2]Data File'!$C$986</f>
        <v>636130.22</v>
      </c>
      <c r="D1119" s="2245">
        <v>738270.49</v>
      </c>
      <c r="E1119" s="2244">
        <v>361907.23</v>
      </c>
      <c r="F1119" s="2246">
        <v>730080.97</v>
      </c>
      <c r="G1119" s="2244">
        <v>729630.93</v>
      </c>
      <c r="H1119" s="2100">
        <v>423269.52</v>
      </c>
      <c r="I1119" s="2238">
        <f>VLOOKUP(A1119,'Trial Balance - FPer'!$A$7:$I$1107,7,FALSE)</f>
        <v>782509.36</v>
      </c>
      <c r="J1119" s="2100">
        <f>VLOOKUP(A1119,'Trial Balance - FPer'!$A$7:$I$1126,3,FALSE)</f>
        <v>636130.22</v>
      </c>
    </row>
    <row r="1120" spans="1:10" ht="14.25" hidden="1" x14ac:dyDescent="0.2">
      <c r="A1120" s="2236"/>
      <c r="B1120" s="2243" t="s">
        <v>6774</v>
      </c>
      <c r="C1120" s="2244"/>
      <c r="D1120" s="2245"/>
      <c r="E1120" s="2244"/>
      <c r="F1120" s="2246"/>
      <c r="G1120" s="2244"/>
      <c r="H1120" s="2100"/>
      <c r="I1120" s="2238"/>
      <c r="J1120" s="2100"/>
    </row>
    <row r="1121" spans="1:10" ht="14.25" hidden="1" x14ac:dyDescent="0.2">
      <c r="A1121" s="2236" t="s">
        <v>5435</v>
      </c>
      <c r="B1121" s="2243" t="s">
        <v>6003</v>
      </c>
      <c r="C1121" s="2244">
        <f>'[2]Data File'!$C$2085</f>
        <v>0</v>
      </c>
      <c r="D1121" s="2245">
        <v>0</v>
      </c>
      <c r="E1121" s="2244">
        <v>0</v>
      </c>
      <c r="F1121" s="2246">
        <v>0</v>
      </c>
      <c r="G1121" s="2244">
        <v>0</v>
      </c>
      <c r="H1121" s="2100">
        <v>0</v>
      </c>
      <c r="I1121" s="2238">
        <f>VLOOKUP(A1121,'Trial Balance - FPer'!$A$7:$I$1107,7,FALSE)</f>
        <v>0</v>
      </c>
      <c r="J1121" s="2100">
        <f>VLOOKUP(A1121,'Trial Balance - FPer'!$A$7:$I$1126,3,FALSE)</f>
        <v>0</v>
      </c>
    </row>
    <row r="1122" spans="1:10" ht="14.25" hidden="1" x14ac:dyDescent="0.2">
      <c r="A1122" s="2236"/>
      <c r="B1122" s="2243" t="s">
        <v>6776</v>
      </c>
      <c r="C1122" s="2244"/>
      <c r="D1122" s="2245"/>
      <c r="E1122" s="2244"/>
      <c r="F1122" s="2246"/>
      <c r="G1122" s="2244"/>
      <c r="H1122" s="2100"/>
      <c r="I1122" s="2238"/>
      <c r="J1122" s="2100"/>
    </row>
    <row r="1123" spans="1:10" ht="14.25" hidden="1" x14ac:dyDescent="0.2">
      <c r="A1123" s="2236" t="s">
        <v>5436</v>
      </c>
      <c r="B1123" s="2243" t="s">
        <v>6004</v>
      </c>
      <c r="C1123" s="2244">
        <f>'[2]Data File'!$C$270</f>
        <v>0</v>
      </c>
      <c r="D1123" s="2245">
        <v>0</v>
      </c>
      <c r="E1123" s="2244">
        <v>0</v>
      </c>
      <c r="F1123" s="2246">
        <v>0</v>
      </c>
      <c r="G1123" s="2244">
        <v>0</v>
      </c>
      <c r="H1123" s="2100">
        <v>0</v>
      </c>
      <c r="I1123" s="2238">
        <f>VLOOKUP(A1123,'Trial Balance - FPer'!$A$7:$I$1107,7,FALSE)</f>
        <v>0</v>
      </c>
      <c r="J1123" s="2100" t="str">
        <f>VLOOKUP(A1123,'Trial Balance - FPer'!$A$7:$I$1126,3,FALSE)</f>
        <v xml:space="preserve">                               -  </v>
      </c>
    </row>
    <row r="1124" spans="1:10" ht="14.25" hidden="1" x14ac:dyDescent="0.2">
      <c r="A1124" s="2236"/>
      <c r="B1124" s="2243" t="s">
        <v>6773</v>
      </c>
      <c r="C1124" s="2244"/>
      <c r="D1124" s="2245"/>
      <c r="E1124" s="2244"/>
      <c r="F1124" s="2246"/>
      <c r="G1124" s="2244"/>
      <c r="H1124" s="2100"/>
      <c r="I1124" s="2238"/>
      <c r="J1124" s="2100"/>
    </row>
    <row r="1125" spans="1:10" ht="14.25" hidden="1" x14ac:dyDescent="0.2">
      <c r="A1125" s="2236" t="s">
        <v>5437</v>
      </c>
      <c r="B1125" s="2243" t="s">
        <v>6004</v>
      </c>
      <c r="C1125" s="2244">
        <f>'[2]Data File'!$C$991</f>
        <v>37699.51</v>
      </c>
      <c r="D1125" s="2245">
        <v>87048.62</v>
      </c>
      <c r="E1125" s="2244">
        <v>36981.61</v>
      </c>
      <c r="F1125" s="2246">
        <v>87048.62</v>
      </c>
      <c r="G1125" s="2244">
        <v>77472.75</v>
      </c>
      <c r="H1125" s="2100">
        <v>53286.43</v>
      </c>
      <c r="I1125" s="2238">
        <f>VLOOKUP(A1125,'Trial Balance - FPer'!$A$7:$I$1107,7,FALSE)</f>
        <v>75647.31</v>
      </c>
      <c r="J1125" s="2100">
        <f>VLOOKUP(A1125,'Trial Balance - FPer'!$A$7:$I$1126,3,FALSE)</f>
        <v>37699.51</v>
      </c>
    </row>
    <row r="1126" spans="1:10" ht="14.25" hidden="1" x14ac:dyDescent="0.2">
      <c r="A1126" s="2236"/>
      <c r="B1126" s="2243" t="s">
        <v>6774</v>
      </c>
      <c r="C1126" s="2244"/>
      <c r="D1126" s="2245"/>
      <c r="E1126" s="2244"/>
      <c r="F1126" s="2246"/>
      <c r="G1126" s="2244"/>
      <c r="H1126" s="2100"/>
      <c r="I1126" s="2238"/>
      <c r="J1126" s="2100"/>
    </row>
    <row r="1127" spans="1:10" ht="14.25" hidden="1" x14ac:dyDescent="0.2">
      <c r="A1127" s="2236" t="s">
        <v>5438</v>
      </c>
      <c r="B1127" s="2243" t="s">
        <v>6004</v>
      </c>
      <c r="C1127" s="2244">
        <f>'[2]Data File'!$C$2089</f>
        <v>0</v>
      </c>
      <c r="D1127" s="2245">
        <v>0</v>
      </c>
      <c r="E1127" s="2244">
        <v>0</v>
      </c>
      <c r="F1127" s="2246">
        <v>0</v>
      </c>
      <c r="G1127" s="2244">
        <v>0</v>
      </c>
      <c r="H1127" s="2100">
        <v>0</v>
      </c>
      <c r="I1127" s="2238">
        <f>VLOOKUP(A1127,'Trial Balance - FPer'!$A$7:$I$1107,7,FALSE)</f>
        <v>0</v>
      </c>
      <c r="J1127" s="2100">
        <f>VLOOKUP(A1127,'Trial Balance - FPer'!$A$7:$I$1126,3,FALSE)</f>
        <v>0</v>
      </c>
    </row>
    <row r="1128" spans="1:10" ht="14.25" hidden="1" x14ac:dyDescent="0.2">
      <c r="A1128" s="2236"/>
      <c r="B1128" s="2243" t="s">
        <v>6776</v>
      </c>
      <c r="C1128" s="2244"/>
      <c r="D1128" s="2245"/>
      <c r="E1128" s="2244"/>
      <c r="F1128" s="2246"/>
      <c r="G1128" s="2244"/>
      <c r="H1128" s="2100"/>
      <c r="I1128" s="2238"/>
      <c r="J1128" s="2100"/>
    </row>
    <row r="1129" spans="1:10" ht="14.25" hidden="1" x14ac:dyDescent="0.2">
      <c r="A1129" s="2236" t="s">
        <v>5439</v>
      </c>
      <c r="B1129" s="2243" t="s">
        <v>6581</v>
      </c>
      <c r="C1129" s="2244">
        <f>'[2]Data File'!$C$271</f>
        <v>-500</v>
      </c>
      <c r="D1129" s="2245">
        <v>26540.83</v>
      </c>
      <c r="E1129" s="2244">
        <v>500</v>
      </c>
      <c r="F1129" s="2246">
        <v>500</v>
      </c>
      <c r="G1129" s="2244">
        <v>7413.22</v>
      </c>
      <c r="H1129" s="2100">
        <v>500</v>
      </c>
      <c r="I1129" s="2238">
        <f>VLOOKUP(A1129,'Trial Balance - FPer'!$A$7:$I$1107,7,FALSE)</f>
        <v>500</v>
      </c>
      <c r="J1129" s="2100">
        <f>VLOOKUP(A1129,'Trial Balance - FPer'!$A$7:$I$1126,3,FALSE)</f>
        <v>-500</v>
      </c>
    </row>
    <row r="1130" spans="1:10" ht="14.25" hidden="1" x14ac:dyDescent="0.2">
      <c r="A1130" s="2236"/>
      <c r="B1130" s="2243" t="s">
        <v>6773</v>
      </c>
      <c r="C1130" s="2244"/>
      <c r="D1130" s="2245"/>
      <c r="E1130" s="2244"/>
      <c r="F1130" s="2246"/>
      <c r="G1130" s="2244"/>
      <c r="H1130" s="2100"/>
      <c r="I1130" s="2238"/>
      <c r="J1130" s="2100"/>
    </row>
    <row r="1131" spans="1:10" ht="14.25" hidden="1" x14ac:dyDescent="0.2">
      <c r="A1131" s="2236" t="s">
        <v>5440</v>
      </c>
      <c r="B1131" s="2243" t="s">
        <v>6581</v>
      </c>
      <c r="C1131" s="2244">
        <f>'[2]Data File'!$C$992</f>
        <v>6500</v>
      </c>
      <c r="D1131" s="2245">
        <v>7570.5</v>
      </c>
      <c r="E1131" s="2244">
        <v>3000</v>
      </c>
      <c r="F1131" s="2246">
        <v>6000</v>
      </c>
      <c r="G1131" s="2244">
        <v>6415.03</v>
      </c>
      <c r="H1131" s="2100">
        <v>3500</v>
      </c>
      <c r="I1131" s="2238">
        <f>VLOOKUP(A1131,'Trial Balance - FPer'!$A$7:$I$1107,7,FALSE)</f>
        <v>6000</v>
      </c>
      <c r="J1131" s="2100">
        <f>VLOOKUP(A1131,'Trial Balance - FPer'!$A$7:$I$1126,3,FALSE)</f>
        <v>6500</v>
      </c>
    </row>
    <row r="1132" spans="1:10" ht="14.25" hidden="1" x14ac:dyDescent="0.2">
      <c r="A1132" s="2236"/>
      <c r="B1132" s="2243" t="s">
        <v>6774</v>
      </c>
      <c r="C1132" s="2244"/>
      <c r="D1132" s="2245"/>
      <c r="E1132" s="2244"/>
      <c r="F1132" s="2246"/>
      <c r="G1132" s="2244"/>
      <c r="H1132" s="2100"/>
      <c r="I1132" s="2238"/>
      <c r="J1132" s="2100"/>
    </row>
    <row r="1133" spans="1:10" ht="14.25" hidden="1" x14ac:dyDescent="0.2">
      <c r="A1133" s="2236" t="s">
        <v>5441</v>
      </c>
      <c r="B1133" s="2243" t="s">
        <v>6581</v>
      </c>
      <c r="C1133" s="2244">
        <v>0</v>
      </c>
      <c r="D1133" s="2245">
        <v>0</v>
      </c>
      <c r="E1133" s="2244">
        <v>0</v>
      </c>
      <c r="F1133" s="2246">
        <v>0</v>
      </c>
      <c r="G1133" s="2244">
        <v>0</v>
      </c>
      <c r="H1133" s="2100">
        <v>0</v>
      </c>
      <c r="I1133" s="2238">
        <f>VLOOKUP(A1133,'Trial Balance - FPer'!$A$7:$I$1107,7,FALSE)</f>
        <v>0</v>
      </c>
      <c r="J1133" s="2100">
        <f>VLOOKUP(A1133,'Trial Balance - FPer'!$A$7:$I$1126,3,FALSE)</f>
        <v>0</v>
      </c>
    </row>
    <row r="1134" spans="1:10" ht="14.25" hidden="1" x14ac:dyDescent="0.2">
      <c r="A1134" s="2236"/>
      <c r="B1134" s="2243" t="s">
        <v>6776</v>
      </c>
      <c r="C1134" s="2244"/>
      <c r="D1134" s="2245"/>
      <c r="E1134" s="2244"/>
      <c r="F1134" s="2246"/>
      <c r="G1134" s="2244"/>
      <c r="H1134" s="2100"/>
      <c r="I1134" s="2238"/>
      <c r="J1134" s="2100"/>
    </row>
    <row r="1135" spans="1:10" ht="14.25" hidden="1" x14ac:dyDescent="0.2">
      <c r="A1135" s="2236" t="s">
        <v>5442</v>
      </c>
      <c r="B1135" s="2243" t="s">
        <v>6632</v>
      </c>
      <c r="C1135" s="2244">
        <f>'[2]Data File'!$C$272</f>
        <v>0</v>
      </c>
      <c r="D1135" s="2245">
        <v>4590.2299999999996</v>
      </c>
      <c r="E1135" s="2244">
        <v>0</v>
      </c>
      <c r="F1135" s="2246">
        <v>0</v>
      </c>
      <c r="G1135" s="2244">
        <v>1152.1199999999999</v>
      </c>
      <c r="H1135" s="2100">
        <v>0</v>
      </c>
      <c r="I1135" s="2238">
        <f>VLOOKUP(A1135,'Trial Balance - FPer'!$A$7:$I$1107,7,FALSE)</f>
        <v>0</v>
      </c>
      <c r="J1135" s="2100" t="str">
        <f>VLOOKUP(A1135,'Trial Balance - FPer'!$A$7:$I$1126,3,FALSE)</f>
        <v xml:space="preserve">                               -  </v>
      </c>
    </row>
    <row r="1136" spans="1:10" ht="14.25" hidden="1" x14ac:dyDescent="0.2">
      <c r="A1136" s="2236"/>
      <c r="B1136" s="2243" t="s">
        <v>6773</v>
      </c>
      <c r="C1136" s="2244"/>
      <c r="D1136" s="2245"/>
      <c r="E1136" s="2244"/>
      <c r="F1136" s="2246"/>
      <c r="G1136" s="2244"/>
      <c r="H1136" s="2100"/>
      <c r="I1136" s="2238"/>
      <c r="J1136" s="2100"/>
    </row>
    <row r="1137" spans="1:10" ht="14.25" hidden="1" x14ac:dyDescent="0.2">
      <c r="A1137" s="2236" t="s">
        <v>5443</v>
      </c>
      <c r="B1137" s="2243" t="s">
        <v>6007</v>
      </c>
      <c r="C1137" s="2244">
        <f>'[2]Data File'!$C$2090</f>
        <v>0</v>
      </c>
      <c r="D1137" s="2245">
        <v>0</v>
      </c>
      <c r="E1137" s="2244">
        <v>564.4</v>
      </c>
      <c r="F1137" s="2246">
        <v>3000</v>
      </c>
      <c r="G1137" s="2244">
        <v>564.4</v>
      </c>
      <c r="H1137" s="2100">
        <v>1418.29</v>
      </c>
      <c r="I1137" s="2238">
        <f>VLOOKUP(A1137,'Trial Balance - FPer'!$A$7:$I$1107,7,FALSE)</f>
        <v>1418.29</v>
      </c>
      <c r="J1137" s="2100">
        <f>VLOOKUP(A1137,'Trial Balance - FPer'!$A$7:$I$1126,3,FALSE)</f>
        <v>0</v>
      </c>
    </row>
    <row r="1138" spans="1:10" ht="14.25" hidden="1" x14ac:dyDescent="0.2">
      <c r="A1138" s="2236"/>
      <c r="B1138" s="2243" t="s">
        <v>6776</v>
      </c>
      <c r="C1138" s="2244"/>
      <c r="D1138" s="2245"/>
      <c r="E1138" s="2244"/>
      <c r="F1138" s="2246"/>
      <c r="G1138" s="2244"/>
      <c r="H1138" s="2100"/>
      <c r="I1138" s="2238"/>
      <c r="J1138" s="2100"/>
    </row>
    <row r="1139" spans="1:10" ht="14.25" hidden="1" x14ac:dyDescent="0.2">
      <c r="A1139" s="2236" t="s">
        <v>5444</v>
      </c>
      <c r="B1139" s="2243" t="s">
        <v>6582</v>
      </c>
      <c r="C1139" s="2244">
        <f>'[2]Data File'!$C$274</f>
        <v>0</v>
      </c>
      <c r="D1139" s="2245">
        <v>0</v>
      </c>
      <c r="E1139" s="2244">
        <v>0</v>
      </c>
      <c r="F1139" s="2246">
        <v>0</v>
      </c>
      <c r="G1139" s="2244">
        <v>0</v>
      </c>
      <c r="H1139" s="2100">
        <v>0</v>
      </c>
      <c r="I1139" s="2238">
        <f>VLOOKUP(A1139,'Trial Balance - FPer'!$A$7:$I$1107,7,FALSE)</f>
        <v>0</v>
      </c>
      <c r="J1139" s="2100">
        <f>VLOOKUP(A1139,'Trial Balance - FPer'!$A$7:$I$1126,3,FALSE)</f>
        <v>0</v>
      </c>
    </row>
    <row r="1140" spans="1:10" ht="14.25" hidden="1" x14ac:dyDescent="0.2">
      <c r="A1140" s="2236"/>
      <c r="B1140" s="2243" t="s">
        <v>6773</v>
      </c>
      <c r="C1140" s="2244"/>
      <c r="D1140" s="2245"/>
      <c r="E1140" s="2244"/>
      <c r="F1140" s="2246"/>
      <c r="G1140" s="2244"/>
      <c r="H1140" s="2100"/>
      <c r="I1140" s="2238"/>
      <c r="J1140" s="2100"/>
    </row>
    <row r="1141" spans="1:10" ht="14.25" hidden="1" x14ac:dyDescent="0.2">
      <c r="A1141" s="2236" t="s">
        <v>5445</v>
      </c>
      <c r="B1141" s="2243" t="s">
        <v>6582</v>
      </c>
      <c r="C1141" s="2244">
        <f>'[2]Data File'!$C$995</f>
        <v>363.1</v>
      </c>
      <c r="D1141" s="2245">
        <v>570.27</v>
      </c>
      <c r="E1141" s="2244">
        <v>2093.39</v>
      </c>
      <c r="F1141" s="2246">
        <v>2093.39</v>
      </c>
      <c r="G1141" s="2244">
        <v>3307.5</v>
      </c>
      <c r="H1141" s="2100">
        <v>2093.39</v>
      </c>
      <c r="I1141" s="2238">
        <f>VLOOKUP(A1141,'Trial Balance - FPer'!$A$7:$I$1107,7,FALSE)</f>
        <v>3634.77</v>
      </c>
      <c r="J1141" s="2100">
        <f>VLOOKUP(A1141,'Trial Balance - FPer'!$A$7:$I$1126,3,FALSE)</f>
        <v>363.1</v>
      </c>
    </row>
    <row r="1142" spans="1:10" ht="14.25" hidden="1" x14ac:dyDescent="0.2">
      <c r="A1142" s="2236"/>
      <c r="B1142" s="2243" t="s">
        <v>6774</v>
      </c>
      <c r="C1142" s="2244"/>
      <c r="D1142" s="2245"/>
      <c r="E1142" s="2244"/>
      <c r="F1142" s="2246"/>
      <c r="G1142" s="2244"/>
      <c r="H1142" s="2100"/>
      <c r="I1142" s="2238"/>
      <c r="J1142" s="2100"/>
    </row>
    <row r="1143" spans="1:10" ht="14.25" hidden="1" x14ac:dyDescent="0.2">
      <c r="A1143" s="2236" t="s">
        <v>5446</v>
      </c>
      <c r="B1143" s="2243" t="s">
        <v>6582</v>
      </c>
      <c r="C1143" s="2244">
        <v>0</v>
      </c>
      <c r="D1143" s="2245">
        <v>0</v>
      </c>
      <c r="E1143" s="2244">
        <v>0</v>
      </c>
      <c r="F1143" s="2246">
        <v>0</v>
      </c>
      <c r="G1143" s="2244">
        <v>0</v>
      </c>
      <c r="H1143" s="2100">
        <v>0</v>
      </c>
      <c r="I1143" s="2238">
        <f>VLOOKUP(A1143,'Trial Balance - FPer'!$A$7:$I$1107,7,FALSE)</f>
        <v>0</v>
      </c>
      <c r="J1143" s="2100">
        <f>VLOOKUP(A1143,'Trial Balance - FPer'!$A$7:$I$1126,3,FALSE)</f>
        <v>0</v>
      </c>
    </row>
    <row r="1144" spans="1:10" ht="14.25" hidden="1" x14ac:dyDescent="0.2">
      <c r="A1144" s="2236"/>
      <c r="B1144" s="2243" t="s">
        <v>6776</v>
      </c>
      <c r="C1144" s="2244"/>
      <c r="D1144" s="2245"/>
      <c r="E1144" s="2244"/>
      <c r="F1144" s="2246"/>
      <c r="G1144" s="2244"/>
      <c r="H1144" s="2100"/>
      <c r="I1144" s="2238"/>
      <c r="J1144" s="2100"/>
    </row>
    <row r="1145" spans="1:10" ht="14.25" hidden="1" x14ac:dyDescent="0.2">
      <c r="A1145" s="2236" t="s">
        <v>5447</v>
      </c>
      <c r="B1145" s="2243" t="s">
        <v>6583</v>
      </c>
      <c r="C1145" s="2244">
        <f>'[2]Data File'!$C$276</f>
        <v>0</v>
      </c>
      <c r="D1145" s="2245">
        <v>9134.98</v>
      </c>
      <c r="E1145" s="2244">
        <v>20410.509999999998</v>
      </c>
      <c r="F1145" s="2246">
        <v>20410.509999999998</v>
      </c>
      <c r="G1145" s="2244">
        <v>32996.720000000001</v>
      </c>
      <c r="H1145" s="2100">
        <v>20410.509999999998</v>
      </c>
      <c r="I1145" s="2238">
        <f>VLOOKUP(A1145,'Trial Balance - FPer'!$A$7:$I$1107,7,FALSE)</f>
        <v>20410.509999999998</v>
      </c>
      <c r="J1145" s="2100" t="str">
        <f>VLOOKUP(A1145,'Trial Balance - FPer'!$A$7:$I$1126,3,FALSE)</f>
        <v xml:space="preserve">                               -  </v>
      </c>
    </row>
    <row r="1146" spans="1:10" ht="14.25" hidden="1" x14ac:dyDescent="0.2">
      <c r="A1146" s="2236"/>
      <c r="B1146" s="2243" t="s">
        <v>6773</v>
      </c>
      <c r="C1146" s="2244"/>
      <c r="D1146" s="2245"/>
      <c r="E1146" s="2244"/>
      <c r="F1146" s="2246"/>
      <c r="G1146" s="2244"/>
      <c r="H1146" s="2100"/>
      <c r="I1146" s="2238"/>
      <c r="J1146" s="2100"/>
    </row>
    <row r="1147" spans="1:10" ht="14.25" hidden="1" x14ac:dyDescent="0.2">
      <c r="A1147" s="2236" t="s">
        <v>5448</v>
      </c>
      <c r="B1147" s="2243" t="s">
        <v>6583</v>
      </c>
      <c r="C1147" s="2244">
        <f>'[2]Data File'!$C$996</f>
        <v>30000</v>
      </c>
      <c r="D1147" s="2245">
        <v>37852.5</v>
      </c>
      <c r="E1147" s="2244">
        <v>43514.97</v>
      </c>
      <c r="F1147" s="2246">
        <v>94514.97</v>
      </c>
      <c r="G1147" s="2244">
        <v>74943.7</v>
      </c>
      <c r="H1147" s="2100">
        <v>52014.97</v>
      </c>
      <c r="I1147" s="2238">
        <f>VLOOKUP(A1147,'Trial Balance - FPer'!$A$7:$I$1107,7,FALSE)</f>
        <v>108514.97</v>
      </c>
      <c r="J1147" s="2100">
        <f>VLOOKUP(A1147,'Trial Balance - FPer'!$A$7:$I$1126,3,FALSE)</f>
        <v>30000</v>
      </c>
    </row>
    <row r="1148" spans="1:10" ht="14.25" hidden="1" x14ac:dyDescent="0.2">
      <c r="A1148" s="2236"/>
      <c r="B1148" s="2243" t="s">
        <v>6774</v>
      </c>
      <c r="C1148" s="2244"/>
      <c r="D1148" s="2245"/>
      <c r="E1148" s="2244"/>
      <c r="F1148" s="2246"/>
      <c r="G1148" s="2244"/>
      <c r="H1148" s="2100"/>
      <c r="I1148" s="2238"/>
      <c r="J1148" s="2100"/>
    </row>
    <row r="1149" spans="1:10" ht="14.25" hidden="1" x14ac:dyDescent="0.2">
      <c r="A1149" s="2236" t="s">
        <v>5449</v>
      </c>
      <c r="B1149" s="2243" t="s">
        <v>6584</v>
      </c>
      <c r="C1149" s="2244">
        <f>'[2]Data File'!$C$269</f>
        <v>0</v>
      </c>
      <c r="D1149" s="2245">
        <v>62.08</v>
      </c>
      <c r="E1149" s="2244">
        <v>8.1999999999999993</v>
      </c>
      <c r="F1149" s="2246">
        <v>8.1999999999999993</v>
      </c>
      <c r="G1149" s="2244">
        <v>28.62</v>
      </c>
      <c r="H1149" s="2100">
        <v>8.1999999999999993</v>
      </c>
      <c r="I1149" s="2238">
        <f>VLOOKUP(A1149,'Trial Balance - FPer'!$A$7:$I$1107,7,FALSE)</f>
        <v>8.1999999999999993</v>
      </c>
      <c r="J1149" s="2100">
        <f>VLOOKUP(A1149,'Trial Balance - FPer'!$A$7:$I$1126,3,FALSE)</f>
        <v>0</v>
      </c>
    </row>
    <row r="1150" spans="1:10" ht="14.25" hidden="1" x14ac:dyDescent="0.2">
      <c r="A1150" s="2236"/>
      <c r="B1150" s="2243" t="s">
        <v>6773</v>
      </c>
      <c r="C1150" s="2244"/>
      <c r="D1150" s="2245"/>
      <c r="E1150" s="2244"/>
      <c r="F1150" s="2246"/>
      <c r="G1150" s="2244"/>
      <c r="H1150" s="2100"/>
      <c r="I1150" s="2238"/>
      <c r="J1150" s="2100"/>
    </row>
    <row r="1151" spans="1:10" ht="14.25" hidden="1" x14ac:dyDescent="0.2">
      <c r="A1151" s="2236" t="s">
        <v>5450</v>
      </c>
      <c r="B1151" s="2243" t="s">
        <v>6584</v>
      </c>
      <c r="C1151" s="2244">
        <f>'[2]Data File'!$C$990</f>
        <v>217.3</v>
      </c>
      <c r="D1151" s="2245">
        <v>266.05</v>
      </c>
      <c r="E1151" s="2244">
        <v>139.4</v>
      </c>
      <c r="F1151" s="2246">
        <v>287</v>
      </c>
      <c r="G1151" s="2244">
        <v>277.2</v>
      </c>
      <c r="H1151" s="2100">
        <v>164</v>
      </c>
      <c r="I1151" s="2238">
        <f>VLOOKUP(A1151,'Trial Balance - FPer'!$A$7:$I$1107,7,FALSE)</f>
        <v>303.39999999999998</v>
      </c>
      <c r="J1151" s="2100">
        <f>VLOOKUP(A1151,'Trial Balance - FPer'!$A$7:$I$1126,3,FALSE)</f>
        <v>217.3</v>
      </c>
    </row>
    <row r="1152" spans="1:10" ht="14.25" hidden="1" x14ac:dyDescent="0.2">
      <c r="A1152" s="2236"/>
      <c r="B1152" s="2243" t="s">
        <v>6774</v>
      </c>
      <c r="C1152" s="2244"/>
      <c r="D1152" s="2245"/>
      <c r="E1152" s="2244"/>
      <c r="F1152" s="2246"/>
      <c r="G1152" s="2244"/>
      <c r="H1152" s="2100"/>
      <c r="I1152" s="2238"/>
      <c r="J1152" s="2100"/>
    </row>
    <row r="1153" spans="1:10" ht="14.25" hidden="1" x14ac:dyDescent="0.2">
      <c r="A1153" s="2236" t="s">
        <v>5451</v>
      </c>
      <c r="B1153" s="2243" t="s">
        <v>6584</v>
      </c>
      <c r="C1153" s="2244">
        <f>'[2]Data File'!$C$2088</f>
        <v>0</v>
      </c>
      <c r="D1153" s="2245">
        <v>0</v>
      </c>
      <c r="E1153" s="2244">
        <v>0</v>
      </c>
      <c r="F1153" s="2246">
        <v>0</v>
      </c>
      <c r="G1153" s="2244">
        <v>0</v>
      </c>
      <c r="H1153" s="2100">
        <v>0</v>
      </c>
      <c r="I1153" s="2238">
        <f>VLOOKUP(A1153,'Trial Balance - FPer'!$A$7:$I$1107,7,FALSE)</f>
        <v>0</v>
      </c>
      <c r="J1153" s="2100">
        <f>VLOOKUP(A1153,'Trial Balance - FPer'!$A$7:$I$1126,3,FALSE)</f>
        <v>0</v>
      </c>
    </row>
    <row r="1154" spans="1:10" ht="14.25" hidden="1" x14ac:dyDescent="0.2">
      <c r="A1154" s="2236"/>
      <c r="B1154" s="2243" t="s">
        <v>6776</v>
      </c>
      <c r="C1154" s="2244"/>
      <c r="D1154" s="2245"/>
      <c r="E1154" s="2244"/>
      <c r="F1154" s="2246"/>
      <c r="G1154" s="2244"/>
      <c r="H1154" s="2100"/>
      <c r="I1154" s="2238"/>
      <c r="J1154" s="2100"/>
    </row>
    <row r="1155" spans="1:10" ht="14.25" hidden="1" x14ac:dyDescent="0.2">
      <c r="A1155" s="2236" t="s">
        <v>5452</v>
      </c>
      <c r="B1155" s="2243" t="s">
        <v>6585</v>
      </c>
      <c r="C1155" s="2244">
        <f>'[2]Data File'!$C$275</f>
        <v>0</v>
      </c>
      <c r="D1155" s="2245">
        <v>3408.26</v>
      </c>
      <c r="E1155" s="2244">
        <v>340.14</v>
      </c>
      <c r="F1155" s="2246">
        <v>340.14</v>
      </c>
      <c r="G1155" s="2244">
        <v>1366.64</v>
      </c>
      <c r="H1155" s="2100">
        <v>340.14</v>
      </c>
      <c r="I1155" s="2238">
        <f>VLOOKUP(A1155,'Trial Balance - FPer'!$A$7:$I$1107,7,FALSE)</f>
        <v>340.14</v>
      </c>
      <c r="J1155" s="2100" t="str">
        <f>VLOOKUP(A1155,'Trial Balance - FPer'!$A$7:$I$1126,3,FALSE)</f>
        <v xml:space="preserve">                               -  </v>
      </c>
    </row>
    <row r="1156" spans="1:10" ht="14.25" hidden="1" x14ac:dyDescent="0.2">
      <c r="A1156" s="2236"/>
      <c r="B1156" s="2243" t="s">
        <v>6773</v>
      </c>
      <c r="C1156" s="2244"/>
      <c r="D1156" s="2245"/>
      <c r="E1156" s="2244"/>
      <c r="F1156" s="2246" t="s">
        <v>6777</v>
      </c>
      <c r="G1156" s="2244"/>
      <c r="H1156" s="2100"/>
      <c r="I1156" s="2238"/>
      <c r="J1156" s="2100"/>
    </row>
    <row r="1157" spans="1:10" ht="14.25" hidden="1" x14ac:dyDescent="0.2">
      <c r="A1157" s="2236" t="s">
        <v>5453</v>
      </c>
      <c r="B1157" s="2243" t="s">
        <v>6585</v>
      </c>
      <c r="C1157" s="2244">
        <f>'[2]Data File'!$C$998</f>
        <v>6869</v>
      </c>
      <c r="D1157" s="2245">
        <v>10629.7</v>
      </c>
      <c r="E1157" s="2244">
        <v>3986.69</v>
      </c>
      <c r="F1157" s="2246">
        <v>8964.4699999999993</v>
      </c>
      <c r="G1157" s="2244">
        <v>8665.7199999999993</v>
      </c>
      <c r="H1157" s="2100">
        <v>4816.32</v>
      </c>
      <c r="I1157" s="2238">
        <f>VLOOKUP(A1157,'Trial Balance - FPer'!$A$7:$I$1107,7,FALSE)</f>
        <v>9187.9500000000007</v>
      </c>
      <c r="J1157" s="2100">
        <f>VLOOKUP(A1157,'Trial Balance - FPer'!$A$7:$I$1126,3,FALSE)</f>
        <v>6869</v>
      </c>
    </row>
    <row r="1158" spans="1:10" ht="14.25" hidden="1" x14ac:dyDescent="0.2">
      <c r="A1158" s="2236"/>
      <c r="B1158" s="2243" t="s">
        <v>6774</v>
      </c>
      <c r="C1158" s="2244"/>
      <c r="D1158" s="2245"/>
      <c r="E1158" s="2244"/>
      <c r="F1158" s="2246"/>
      <c r="G1158" s="2244"/>
      <c r="H1158" s="2100"/>
      <c r="I1158" s="2238"/>
      <c r="J1158" s="2100"/>
    </row>
    <row r="1159" spans="1:10" ht="14.25" hidden="1" x14ac:dyDescent="0.2">
      <c r="A1159" s="2236" t="s">
        <v>5454</v>
      </c>
      <c r="B1159" s="2243" t="s">
        <v>6586</v>
      </c>
      <c r="C1159" s="2244">
        <f>'[2]Data File'!$C$277</f>
        <v>0</v>
      </c>
      <c r="D1159" s="2245">
        <v>3505.57</v>
      </c>
      <c r="E1159" s="2244">
        <v>0</v>
      </c>
      <c r="F1159" s="2246">
        <v>0</v>
      </c>
      <c r="G1159" s="2244">
        <v>879.79</v>
      </c>
      <c r="H1159" s="2100">
        <v>0</v>
      </c>
      <c r="I1159" s="2238">
        <f>VLOOKUP(A1159,'Trial Balance - FPer'!$A$7:$I$1107,7,FALSE)</f>
        <v>0</v>
      </c>
      <c r="J1159" s="2100" t="str">
        <f>VLOOKUP(A1159,'Trial Balance - FPer'!$A$7:$I$1126,3,FALSE)</f>
        <v xml:space="preserve">                               -  </v>
      </c>
    </row>
    <row r="1160" spans="1:10" ht="14.25" hidden="1" x14ac:dyDescent="0.2">
      <c r="A1160" s="2236"/>
      <c r="B1160" s="2243" t="s">
        <v>6773</v>
      </c>
      <c r="C1160" s="2244"/>
      <c r="D1160" s="2245"/>
      <c r="E1160" s="2244"/>
      <c r="F1160" s="2246"/>
      <c r="G1160" s="2244"/>
      <c r="H1160" s="2100"/>
      <c r="I1160" s="2238"/>
      <c r="J1160" s="2100"/>
    </row>
    <row r="1161" spans="1:10" ht="14.25" hidden="1" x14ac:dyDescent="0.2">
      <c r="A1161" s="2236" t="s">
        <v>5455</v>
      </c>
      <c r="B1161" s="2243" t="s">
        <v>6586</v>
      </c>
      <c r="C1161" s="2244">
        <f>'[2]Data File'!$C$997</f>
        <v>0</v>
      </c>
      <c r="D1161" s="2245">
        <v>475.02</v>
      </c>
      <c r="E1161" s="2244">
        <v>0</v>
      </c>
      <c r="F1161" s="2246">
        <v>0</v>
      </c>
      <c r="G1161" s="2244">
        <v>120.51</v>
      </c>
      <c r="H1161" s="2100">
        <v>0</v>
      </c>
      <c r="I1161" s="2238">
        <f>VLOOKUP(A1161,'Trial Balance - FPer'!$A$7:$I$1107,7,FALSE)</f>
        <v>0</v>
      </c>
      <c r="J1161" s="2100" t="str">
        <f>VLOOKUP(A1161,'Trial Balance - FPer'!$A$7:$I$1126,3,FALSE)</f>
        <v xml:space="preserve">                               -  </v>
      </c>
    </row>
    <row r="1162" spans="1:10" ht="14.25" hidden="1" x14ac:dyDescent="0.2">
      <c r="A1162" s="2236"/>
      <c r="B1162" s="2243" t="s">
        <v>6774</v>
      </c>
      <c r="C1162" s="2244"/>
      <c r="D1162" s="2245"/>
      <c r="E1162" s="2244"/>
      <c r="F1162" s="2246"/>
      <c r="G1162" s="2244"/>
      <c r="H1162" s="2100"/>
      <c r="I1162" s="2238"/>
      <c r="J1162" s="2100"/>
    </row>
    <row r="1163" spans="1:10" ht="14.25" hidden="1" x14ac:dyDescent="0.2">
      <c r="A1163" s="2236" t="s">
        <v>5456</v>
      </c>
      <c r="B1163" s="2243" t="s">
        <v>6587</v>
      </c>
      <c r="C1163" s="2244">
        <f>'[2]Data File'!$C$266</f>
        <v>0</v>
      </c>
      <c r="D1163" s="2245">
        <v>2121.75</v>
      </c>
      <c r="E1163" s="2244">
        <v>3072</v>
      </c>
      <c r="F1163" s="2246">
        <v>3072</v>
      </c>
      <c r="G1163" s="2244">
        <v>5155.1099999999997</v>
      </c>
      <c r="H1163" s="2100">
        <v>3072</v>
      </c>
      <c r="I1163" s="2238">
        <f>VLOOKUP(A1163,'Trial Balance - FPer'!$A$7:$I$1107,7,FALSE)</f>
        <v>3072</v>
      </c>
      <c r="J1163" s="2100">
        <f>VLOOKUP(A1163,'Trial Balance - FPer'!$A$7:$I$1126,3,FALSE)</f>
        <v>0</v>
      </c>
    </row>
    <row r="1164" spans="1:10" ht="14.25" hidden="1" x14ac:dyDescent="0.2">
      <c r="A1164" s="2236"/>
      <c r="B1164" s="2243" t="s">
        <v>6773</v>
      </c>
      <c r="C1164" s="2244"/>
      <c r="D1164" s="2245"/>
      <c r="E1164" s="2244"/>
      <c r="F1164" s="2246"/>
      <c r="G1164" s="2244"/>
      <c r="H1164" s="2100"/>
      <c r="I1164" s="2238"/>
      <c r="J1164" s="2100"/>
    </row>
    <row r="1165" spans="1:10" ht="14.25" hidden="1" x14ac:dyDescent="0.2">
      <c r="A1165" s="2236" t="s">
        <v>5457</v>
      </c>
      <c r="B1165" s="2243" t="s">
        <v>6587</v>
      </c>
      <c r="C1165" s="2244">
        <f>'[2]Data File'!$C$987</f>
        <v>54732.7</v>
      </c>
      <c r="D1165" s="2245">
        <v>70619.03</v>
      </c>
      <c r="E1165" s="2244">
        <v>26142</v>
      </c>
      <c r="F1165" s="2246">
        <v>54456</v>
      </c>
      <c r="G1165" s="2244">
        <v>57046.41</v>
      </c>
      <c r="H1165" s="2100">
        <v>30861</v>
      </c>
      <c r="I1165" s="2238">
        <f>VLOOKUP(A1165,'Trial Balance - FPer'!$A$7:$I$1107,7,FALSE)</f>
        <v>57228</v>
      </c>
      <c r="J1165" s="2100">
        <f>VLOOKUP(A1165,'Trial Balance - FPer'!$A$7:$I$1126,3,FALSE)</f>
        <v>54732.7</v>
      </c>
    </row>
    <row r="1166" spans="1:10" ht="14.25" hidden="1" x14ac:dyDescent="0.2">
      <c r="A1166" s="2236"/>
      <c r="B1166" s="2243" t="s">
        <v>6774</v>
      </c>
      <c r="C1166" s="2244"/>
      <c r="D1166" s="2245"/>
      <c r="E1166" s="2244"/>
      <c r="F1166" s="2246"/>
      <c r="G1166" s="2244"/>
      <c r="H1166" s="2100"/>
      <c r="I1166" s="2238"/>
      <c r="J1166" s="2100"/>
    </row>
    <row r="1167" spans="1:10" ht="14.25" hidden="1" x14ac:dyDescent="0.2">
      <c r="A1167" s="2236" t="s">
        <v>5458</v>
      </c>
      <c r="B1167" s="2243" t="s">
        <v>6587</v>
      </c>
      <c r="C1167" s="2244"/>
      <c r="D1167" s="2245">
        <v>0</v>
      </c>
      <c r="E1167" s="2244">
        <v>0</v>
      </c>
      <c r="F1167" s="2246">
        <v>0</v>
      </c>
      <c r="G1167" s="2244">
        <v>0</v>
      </c>
      <c r="H1167" s="2100">
        <v>0</v>
      </c>
      <c r="I1167" s="2238">
        <f>VLOOKUP(A1167,'Trial Balance - FPer'!$A$7:$I$1107,7,FALSE)</f>
        <v>0</v>
      </c>
      <c r="J1167" s="2100">
        <f>VLOOKUP(A1167,'Trial Balance - FPer'!$A$7:$I$1126,3,FALSE)</f>
        <v>0</v>
      </c>
    </row>
    <row r="1168" spans="1:10" ht="14.25" hidden="1" x14ac:dyDescent="0.2">
      <c r="A1168" s="2236"/>
      <c r="B1168" s="2243" t="s">
        <v>6776</v>
      </c>
      <c r="C1168" s="2244"/>
      <c r="D1168" s="2245"/>
      <c r="E1168" s="2244"/>
      <c r="F1168" s="2246"/>
      <c r="G1168" s="2244"/>
      <c r="H1168" s="2100"/>
      <c r="I1168" s="2238"/>
      <c r="J1168" s="2100"/>
    </row>
    <row r="1169" spans="1:10" ht="14.25" hidden="1" x14ac:dyDescent="0.2">
      <c r="A1169" s="2236" t="s">
        <v>5459</v>
      </c>
      <c r="B1169" s="2243" t="s">
        <v>6013</v>
      </c>
      <c r="C1169" s="2244">
        <f>'[2]Data File'!$C$267</f>
        <v>0</v>
      </c>
      <c r="D1169" s="2245">
        <v>18127.32</v>
      </c>
      <c r="E1169" s="2244">
        <v>8339.02</v>
      </c>
      <c r="F1169" s="2246">
        <v>8339.02</v>
      </c>
      <c r="G1169" s="2244">
        <v>17088.82</v>
      </c>
      <c r="H1169" s="2100">
        <v>8339.02</v>
      </c>
      <c r="I1169" s="2238">
        <f>VLOOKUP(A1169,'Trial Balance - FPer'!$A$7:$I$1107,7,FALSE)</f>
        <v>8339.02</v>
      </c>
      <c r="J1169" s="2100">
        <f>VLOOKUP(A1169,'Trial Balance - FPer'!$A$7:$I$1126,3,FALSE)</f>
        <v>0</v>
      </c>
    </row>
    <row r="1170" spans="1:10" ht="14.25" hidden="1" x14ac:dyDescent="0.2">
      <c r="A1170" s="2236"/>
      <c r="B1170" s="2243" t="s">
        <v>6773</v>
      </c>
      <c r="C1170" s="2244"/>
      <c r="D1170" s="2245"/>
      <c r="E1170" s="2244"/>
      <c r="F1170" s="2246"/>
      <c r="G1170" s="2244"/>
      <c r="H1170" s="2100"/>
      <c r="I1170" s="2238"/>
      <c r="J1170" s="2100"/>
    </row>
    <row r="1171" spans="1:10" ht="14.25" hidden="1" x14ac:dyDescent="0.2">
      <c r="A1171" s="2236" t="s">
        <v>5460</v>
      </c>
      <c r="B1171" s="2243" t="s">
        <v>6013</v>
      </c>
      <c r="C1171" s="2244">
        <f>'[2]Data File'!$C$988</f>
        <v>101365.19</v>
      </c>
      <c r="D1171" s="2245">
        <v>130452.22</v>
      </c>
      <c r="E1171" s="2244">
        <v>68378.73</v>
      </c>
      <c r="F1171" s="2246">
        <v>142301.13</v>
      </c>
      <c r="G1171" s="2244">
        <v>135578.64000000001</v>
      </c>
      <c r="H1171" s="2100">
        <v>80699.13</v>
      </c>
      <c r="I1171" s="2238">
        <f>VLOOKUP(A1171,'Trial Balance - FPer'!$A$7:$I$1107,7,FALSE)</f>
        <v>151457.57</v>
      </c>
      <c r="J1171" s="2100">
        <f>VLOOKUP(A1171,'Trial Balance - FPer'!$A$7:$I$1126,3,FALSE)</f>
        <v>101365.19</v>
      </c>
    </row>
    <row r="1172" spans="1:10" ht="14.25" hidden="1" x14ac:dyDescent="0.2">
      <c r="A1172" s="2236"/>
      <c r="B1172" s="2243" t="s">
        <v>6774</v>
      </c>
      <c r="C1172" s="2244"/>
      <c r="D1172" s="2245"/>
      <c r="E1172" s="2244"/>
      <c r="F1172" s="2246"/>
      <c r="G1172" s="2244"/>
      <c r="H1172" s="2100"/>
      <c r="I1172" s="2238"/>
      <c r="J1172" s="2100"/>
    </row>
    <row r="1173" spans="1:10" ht="14.25" hidden="1" x14ac:dyDescent="0.2">
      <c r="A1173" s="2236" t="s">
        <v>5461</v>
      </c>
      <c r="B1173" s="2243" t="s">
        <v>6013</v>
      </c>
      <c r="C1173" s="2244">
        <f>'[2]Data File'!$C$2086</f>
        <v>0</v>
      </c>
      <c r="D1173" s="2245">
        <v>0</v>
      </c>
      <c r="E1173" s="2244">
        <v>0</v>
      </c>
      <c r="F1173" s="2246">
        <v>0</v>
      </c>
      <c r="G1173" s="2244">
        <v>0</v>
      </c>
      <c r="H1173" s="2100">
        <v>0</v>
      </c>
      <c r="I1173" s="2238">
        <f>VLOOKUP(A1173,'Trial Balance - FPer'!$A$7:$I$1107,7,FALSE)</f>
        <v>0</v>
      </c>
      <c r="J1173" s="2100">
        <f>VLOOKUP(A1173,'Trial Balance - FPer'!$A$7:$I$1126,3,FALSE)</f>
        <v>0</v>
      </c>
    </row>
    <row r="1174" spans="1:10" ht="14.25" hidden="1" x14ac:dyDescent="0.2">
      <c r="A1174" s="2236"/>
      <c r="B1174" s="2243" t="s">
        <v>6776</v>
      </c>
      <c r="C1174" s="2244"/>
      <c r="D1174" s="2245"/>
      <c r="E1174" s="2244"/>
      <c r="F1174" s="2246"/>
      <c r="G1174" s="2244"/>
      <c r="H1174" s="2100"/>
      <c r="I1174" s="2238"/>
      <c r="J1174" s="2100"/>
    </row>
    <row r="1175" spans="1:10" ht="14.25" hidden="1" x14ac:dyDescent="0.2">
      <c r="A1175" s="2236" t="s">
        <v>5462</v>
      </c>
      <c r="B1175" s="2243" t="s">
        <v>6014</v>
      </c>
      <c r="C1175" s="2244">
        <f>'[2]Data File'!$C$268</f>
        <v>0</v>
      </c>
      <c r="D1175" s="2245">
        <v>1219.3900000000001</v>
      </c>
      <c r="E1175" s="2244">
        <v>249.56</v>
      </c>
      <c r="F1175" s="2246">
        <v>249.56</v>
      </c>
      <c r="G1175" s="2244">
        <v>682.55</v>
      </c>
      <c r="H1175" s="2100">
        <v>249.56</v>
      </c>
      <c r="I1175" s="2238">
        <f>VLOOKUP(A1175,'Trial Balance - FPer'!$A$7:$I$1107,7,FALSE)</f>
        <v>249.56</v>
      </c>
      <c r="J1175" s="2100" t="str">
        <f>VLOOKUP(A1175,'Trial Balance - FPer'!$A$7:$I$1126,3,FALSE)</f>
        <v xml:space="preserve">                               -  </v>
      </c>
    </row>
    <row r="1176" spans="1:10" ht="14.25" hidden="1" x14ac:dyDescent="0.2">
      <c r="A1176" s="2236"/>
      <c r="B1176" s="2243" t="s">
        <v>6773</v>
      </c>
      <c r="C1176" s="2244"/>
      <c r="D1176" s="2245"/>
      <c r="E1176" s="2244"/>
      <c r="F1176" s="2246"/>
      <c r="G1176" s="2244"/>
      <c r="H1176" s="2100"/>
      <c r="I1176" s="2238"/>
      <c r="J1176" s="2100"/>
    </row>
    <row r="1177" spans="1:10" ht="14.25" hidden="1" x14ac:dyDescent="0.2">
      <c r="A1177" s="2236" t="s">
        <v>5463</v>
      </c>
      <c r="B1177" s="2243" t="s">
        <v>6014</v>
      </c>
      <c r="C1177" s="2244">
        <f>'[2]Data File'!$C$989</f>
        <v>5525.23</v>
      </c>
      <c r="D1177" s="2245">
        <v>6807.18</v>
      </c>
      <c r="E1177" s="2244">
        <v>3099.66</v>
      </c>
      <c r="F1177" s="2246">
        <v>7135.92</v>
      </c>
      <c r="G1177" s="2244">
        <v>6370.58</v>
      </c>
      <c r="H1177" s="2100">
        <v>3772.37</v>
      </c>
      <c r="I1177" s="2238">
        <f>VLOOKUP(A1177,'Trial Balance - FPer'!$A$7:$I$1107,7,FALSE)</f>
        <v>7007.43</v>
      </c>
      <c r="J1177" s="2100">
        <f>VLOOKUP(A1177,'Trial Balance - FPer'!$A$7:$I$1126,3,FALSE)</f>
        <v>5525.23</v>
      </c>
    </row>
    <row r="1178" spans="1:10" ht="14.25" hidden="1" x14ac:dyDescent="0.2">
      <c r="A1178" s="2236"/>
      <c r="B1178" s="2243" t="s">
        <v>6774</v>
      </c>
      <c r="C1178" s="2244"/>
      <c r="D1178" s="2245"/>
      <c r="E1178" s="2244"/>
      <c r="F1178" s="2246"/>
      <c r="G1178" s="2244"/>
      <c r="H1178" s="2100"/>
      <c r="I1178" s="2238"/>
      <c r="J1178" s="2100"/>
    </row>
    <row r="1179" spans="1:10" ht="14.25" hidden="1" x14ac:dyDescent="0.2">
      <c r="A1179" s="2236" t="s">
        <v>5464</v>
      </c>
      <c r="B1179" s="2243" t="s">
        <v>6014</v>
      </c>
      <c r="C1179" s="2244">
        <f>'[2]Data File'!$C$2087</f>
        <v>0</v>
      </c>
      <c r="D1179" s="2245">
        <v>0</v>
      </c>
      <c r="E1179" s="2244">
        <v>0</v>
      </c>
      <c r="F1179" s="2246">
        <v>0</v>
      </c>
      <c r="G1179" s="2244">
        <v>0</v>
      </c>
      <c r="H1179" s="2100">
        <v>0</v>
      </c>
      <c r="I1179" s="2238">
        <f>VLOOKUP(A1179,'Trial Balance - FPer'!$A$7:$I$1107,7,FALSE)</f>
        <v>0</v>
      </c>
      <c r="J1179" s="2100">
        <f>VLOOKUP(A1179,'Trial Balance - FPer'!$A$7:$I$1126,3,FALSE)</f>
        <v>0</v>
      </c>
    </row>
    <row r="1180" spans="1:10" ht="14.25" hidden="1" x14ac:dyDescent="0.2">
      <c r="A1180" s="2236"/>
      <c r="B1180" s="2247" t="s">
        <v>6776</v>
      </c>
      <c r="C1180" s="2248"/>
      <c r="D1180" s="2249"/>
      <c r="E1180" s="2248"/>
      <c r="F1180" s="2250"/>
      <c r="G1180" s="2248"/>
      <c r="H1180" s="2244"/>
      <c r="I1180" s="2238"/>
      <c r="J1180" s="2100"/>
    </row>
    <row r="1181" spans="1:10" s="2615" customFormat="1" hidden="1" x14ac:dyDescent="0.2">
      <c r="A1181" s="2612"/>
      <c r="B1181" s="2613" t="s">
        <v>6588</v>
      </c>
      <c r="C1181" s="2614">
        <f>SUM(C1117:C1180)</f>
        <v>980617.5</v>
      </c>
      <c r="D1181" s="2614">
        <f>SUM(D1117:D1180)</f>
        <v>1652596.68</v>
      </c>
      <c r="E1181" s="2614">
        <f>SUM(E1117:E1180)</f>
        <v>674351.99</v>
      </c>
      <c r="F1181" s="2614">
        <f>SUM(F1117:F1180)</f>
        <v>1260426.3799999999</v>
      </c>
      <c r="G1181" s="2614">
        <f>SUM(G1117:G1180)</f>
        <v>1428767.5000000002</v>
      </c>
      <c r="H1181" s="2614">
        <f t="shared" ref="H1181" si="110">SUM(H1117:H1180)</f>
        <v>780439.33000000007</v>
      </c>
      <c r="I1181" s="2614">
        <f>SUM(I1117:I1180)</f>
        <v>1327452.9599999997</v>
      </c>
      <c r="J1181" s="2614">
        <f>SUM(J1117:J1180)</f>
        <v>980617.5</v>
      </c>
    </row>
    <row r="1182" spans="1:10" ht="14.25" hidden="1" x14ac:dyDescent="0.2">
      <c r="A1182" s="2236"/>
      <c r="B1182" s="2243"/>
      <c r="C1182" s="2244"/>
      <c r="D1182" s="2245"/>
      <c r="E1182" s="2244"/>
      <c r="F1182" s="2246"/>
      <c r="G1182" s="2244"/>
      <c r="H1182" s="2244"/>
      <c r="I1182" s="2238" t="e">
        <f>VLOOKUP(A1182,'Trial Balance - FPer'!$A$7:$I$1107,7,FALSE)</f>
        <v>#N/A</v>
      </c>
      <c r="J1182" s="2100" t="e">
        <f>VLOOKUP(A1182,'Trial Balance - FPer'!$A$7:$I$1126,3,FALSE)</f>
        <v>#N/A</v>
      </c>
    </row>
    <row r="1183" spans="1:10" ht="14.25" hidden="1" x14ac:dyDescent="0.2">
      <c r="A1183" s="2236"/>
      <c r="B1183" s="2242" t="s">
        <v>6738</v>
      </c>
      <c r="C1183" s="2244"/>
      <c r="D1183" s="2245"/>
      <c r="E1183" s="2244"/>
      <c r="F1183" s="2246"/>
      <c r="G1183" s="2244"/>
      <c r="H1183" s="2244"/>
      <c r="I1183" s="2238"/>
      <c r="J1183" s="2100"/>
    </row>
    <row r="1184" spans="1:10" ht="14.25" hidden="1" x14ac:dyDescent="0.2">
      <c r="A1184" s="2236" t="s">
        <v>5465</v>
      </c>
      <c r="B1184" s="2243" t="s">
        <v>6601</v>
      </c>
      <c r="C1184" s="2244">
        <f>'[2]Data File'!$C$281</f>
        <v>11133.7</v>
      </c>
      <c r="D1184" s="2245">
        <v>24415.38</v>
      </c>
      <c r="E1184" s="2244">
        <v>23763</v>
      </c>
      <c r="F1184" s="2246">
        <v>24415.38</v>
      </c>
      <c r="G1184" s="2244">
        <v>41875.01</v>
      </c>
      <c r="H1184" s="2100">
        <v>23763</v>
      </c>
      <c r="I1184" s="2238">
        <f>VLOOKUP(A1184,'Trial Balance - FPer'!$A$7:$I$1107,7,FALSE)</f>
        <v>23763</v>
      </c>
      <c r="J1184" s="2100">
        <f>VLOOKUP(A1184,'Trial Balance - FPer'!$A$7:$I$1126,3,FALSE)</f>
        <v>11133.7</v>
      </c>
    </row>
    <row r="1185" spans="1:10" ht="14.25" hidden="1" x14ac:dyDescent="0.2">
      <c r="A1185" s="2236"/>
      <c r="B1185" s="2243" t="s">
        <v>6773</v>
      </c>
      <c r="C1185" s="2244"/>
      <c r="D1185" s="2245"/>
      <c r="E1185" s="2244"/>
      <c r="F1185" s="2246"/>
      <c r="G1185" s="2244"/>
      <c r="H1185" s="2100"/>
      <c r="I1185" s="2238"/>
      <c r="J1185" s="2100"/>
    </row>
    <row r="1186" spans="1:10" ht="14.25" hidden="1" x14ac:dyDescent="0.2">
      <c r="A1186" s="2236" t="s">
        <v>5466</v>
      </c>
      <c r="B1186" s="2243" t="s">
        <v>6601</v>
      </c>
      <c r="C1186" s="2244">
        <f>'[2]Data File'!$C$1002</f>
        <v>0</v>
      </c>
      <c r="D1186" s="2245">
        <v>2067.98</v>
      </c>
      <c r="E1186" s="2244">
        <v>0</v>
      </c>
      <c r="F1186" s="2246">
        <v>0</v>
      </c>
      <c r="G1186" s="2244">
        <v>517.99</v>
      </c>
      <c r="H1186" s="2100">
        <v>0</v>
      </c>
      <c r="I1186" s="2238">
        <f>VLOOKUP(A1186,'Trial Balance - FPer'!$A$7:$I$1107,7,FALSE)</f>
        <v>0</v>
      </c>
      <c r="J1186" s="2100" t="str">
        <f>VLOOKUP(A1186,'Trial Balance - FPer'!$A$7:$I$1126,3,FALSE)</f>
        <v xml:space="preserve">                               -  </v>
      </c>
    </row>
    <row r="1187" spans="1:10" ht="14.25" hidden="1" x14ac:dyDescent="0.2">
      <c r="A1187" s="2236"/>
      <c r="B1187" s="2243" t="s">
        <v>6774</v>
      </c>
      <c r="C1187" s="2244"/>
      <c r="D1187" s="2245"/>
      <c r="E1187" s="2244"/>
      <c r="F1187" s="2246"/>
      <c r="G1187" s="2244"/>
      <c r="H1187" s="2100"/>
      <c r="I1187" s="2238"/>
      <c r="J1187" s="2100"/>
    </row>
    <row r="1188" spans="1:10" ht="14.25" hidden="1" x14ac:dyDescent="0.2">
      <c r="A1188" s="2236" t="s">
        <v>5467</v>
      </c>
      <c r="B1188" s="2243" t="s">
        <v>6634</v>
      </c>
      <c r="C1188" s="2244">
        <f>'[2]Data File'!$C$282</f>
        <v>0</v>
      </c>
      <c r="D1188" s="2245">
        <v>0</v>
      </c>
      <c r="E1188" s="2244">
        <v>0</v>
      </c>
      <c r="F1188" s="2246">
        <v>0</v>
      </c>
      <c r="G1188" s="2244">
        <v>0</v>
      </c>
      <c r="H1188" s="2100">
        <v>0</v>
      </c>
      <c r="I1188" s="2238">
        <f>VLOOKUP(A1188,'Trial Balance - FPer'!$A$7:$I$1107,7,FALSE)</f>
        <v>0</v>
      </c>
      <c r="J1188" s="2100">
        <f>VLOOKUP(A1188,'Trial Balance - FPer'!$A$7:$I$1126,3,FALSE)</f>
        <v>0</v>
      </c>
    </row>
    <row r="1189" spans="1:10" ht="14.25" hidden="1" x14ac:dyDescent="0.2">
      <c r="A1189" s="2236"/>
      <c r="B1189" s="2243" t="s">
        <v>6773</v>
      </c>
      <c r="C1189" s="2244"/>
      <c r="D1189" s="2245"/>
      <c r="E1189" s="2244"/>
      <c r="F1189" s="2246"/>
      <c r="G1189" s="2244"/>
      <c r="H1189" s="2100"/>
      <c r="I1189" s="2238"/>
      <c r="J1189" s="2100"/>
    </row>
    <row r="1190" spans="1:10" ht="14.25" hidden="1" x14ac:dyDescent="0.2">
      <c r="A1190" s="2236" t="s">
        <v>5468</v>
      </c>
      <c r="B1190" s="2243" t="s">
        <v>6634</v>
      </c>
      <c r="C1190" s="2244">
        <f>'[2]Data File'!$C$1003</f>
        <v>0</v>
      </c>
      <c r="D1190" s="2245">
        <v>0</v>
      </c>
      <c r="E1190" s="2244">
        <v>0</v>
      </c>
      <c r="F1190" s="2246">
        <v>0</v>
      </c>
      <c r="G1190" s="2244">
        <v>0</v>
      </c>
      <c r="H1190" s="2100">
        <v>0</v>
      </c>
      <c r="I1190" s="2238">
        <f>VLOOKUP(A1190,'Trial Balance - FPer'!$A$7:$I$1107,7,FALSE)</f>
        <v>378</v>
      </c>
      <c r="J1190" s="2100">
        <f>VLOOKUP(A1190,'Trial Balance - FPer'!$A$7:$I$1126,3,FALSE)</f>
        <v>0</v>
      </c>
    </row>
    <row r="1191" spans="1:10" ht="14.25" hidden="1" x14ac:dyDescent="0.2">
      <c r="A1191" s="2236"/>
      <c r="B1191" s="2243" t="s">
        <v>6774</v>
      </c>
      <c r="C1191" s="2244"/>
      <c r="D1191" s="2245"/>
      <c r="E1191" s="2244"/>
      <c r="F1191" s="2246"/>
      <c r="G1191" s="2244"/>
      <c r="H1191" s="2100"/>
      <c r="I1191" s="2238"/>
      <c r="J1191" s="2100"/>
    </row>
    <row r="1192" spans="1:10" ht="14.25" hidden="1" x14ac:dyDescent="0.2">
      <c r="A1192" s="2236" t="s">
        <v>5469</v>
      </c>
      <c r="B1192" s="2243" t="s">
        <v>6105</v>
      </c>
      <c r="C1192" s="2244">
        <f>'[2]Data File'!$C$1004</f>
        <v>3.07</v>
      </c>
      <c r="D1192" s="2245">
        <v>456.13</v>
      </c>
      <c r="E1192" s="2244">
        <v>0</v>
      </c>
      <c r="F1192" s="2246">
        <v>0</v>
      </c>
      <c r="G1192" s="2244">
        <v>114.07</v>
      </c>
      <c r="H1192" s="2100">
        <v>0</v>
      </c>
      <c r="I1192" s="2238">
        <f>VLOOKUP(A1192,'Trial Balance - FPer'!$A$7:$I$1107,7,FALSE)</f>
        <v>0</v>
      </c>
      <c r="J1192" s="2100">
        <f>VLOOKUP(A1192,'Trial Balance - FPer'!$A$7:$I$1126,3,FALSE)</f>
        <v>3.07</v>
      </c>
    </row>
    <row r="1193" spans="1:10" ht="14.25" hidden="1" x14ac:dyDescent="0.2">
      <c r="A1193" s="2236"/>
      <c r="B1193" s="2243" t="s">
        <v>6774</v>
      </c>
      <c r="C1193" s="2244"/>
      <c r="D1193" s="2245"/>
      <c r="E1193" s="2244"/>
      <c r="F1193" s="2246"/>
      <c r="G1193" s="2244"/>
      <c r="H1193" s="2100"/>
      <c r="I1193" s="2238"/>
      <c r="J1193" s="2100"/>
    </row>
    <row r="1194" spans="1:10" ht="14.25" hidden="1" x14ac:dyDescent="0.2">
      <c r="A1194" s="2236" t="s">
        <v>5470</v>
      </c>
      <c r="B1194" s="2243" t="s">
        <v>6607</v>
      </c>
      <c r="C1194" s="2244">
        <f>'[2]Data File'!$C$283</f>
        <v>0</v>
      </c>
      <c r="D1194" s="2245">
        <v>2067.98</v>
      </c>
      <c r="E1194" s="2244">
        <v>3000</v>
      </c>
      <c r="F1194" s="2246">
        <v>3000</v>
      </c>
      <c r="G1194" s="2244">
        <v>5023.79</v>
      </c>
      <c r="H1194" s="2100">
        <v>3000</v>
      </c>
      <c r="I1194" s="2238">
        <f>VLOOKUP(A1194,'Trial Balance - FPer'!$A$7:$I$1107,7,FALSE)</f>
        <v>3000</v>
      </c>
      <c r="J1194" s="2100" t="str">
        <f>VLOOKUP(A1194,'Trial Balance - FPer'!$A$7:$I$1126,3,FALSE)</f>
        <v xml:space="preserve">                               -  </v>
      </c>
    </row>
    <row r="1195" spans="1:10" ht="14.25" hidden="1" x14ac:dyDescent="0.2">
      <c r="A1195" s="2236"/>
      <c r="B1195" s="2243" t="s">
        <v>6773</v>
      </c>
      <c r="C1195" s="2244"/>
      <c r="D1195" s="2245"/>
      <c r="E1195" s="2244"/>
      <c r="F1195" s="2246"/>
      <c r="G1195" s="2244"/>
      <c r="H1195" s="2100"/>
      <c r="I1195" s="2238"/>
      <c r="J1195" s="2100"/>
    </row>
    <row r="1196" spans="1:10" ht="14.25" hidden="1" x14ac:dyDescent="0.2">
      <c r="A1196" s="2236" t="s">
        <v>5471</v>
      </c>
      <c r="B1196" s="2243" t="s">
        <v>6608</v>
      </c>
      <c r="C1196" s="2244">
        <f>'[2]Data File'!$C$1005</f>
        <v>3440.58</v>
      </c>
      <c r="D1196" s="2245">
        <v>412.57</v>
      </c>
      <c r="E1196" s="2244">
        <v>1889.89</v>
      </c>
      <c r="F1196" s="2246">
        <v>5000</v>
      </c>
      <c r="G1196" s="2244">
        <v>2960.29</v>
      </c>
      <c r="H1196" s="2100">
        <v>3616.01</v>
      </c>
      <c r="I1196" s="2238">
        <f>VLOOKUP(A1196,'Trial Balance - FPer'!$A$7:$I$1107,7,FALSE)</f>
        <v>0</v>
      </c>
      <c r="J1196" s="2100">
        <f>VLOOKUP(A1196,'Trial Balance - FPer'!$A$7:$I$1126,3,FALSE)</f>
        <v>0</v>
      </c>
    </row>
    <row r="1197" spans="1:10" ht="14.25" hidden="1" x14ac:dyDescent="0.2">
      <c r="A1197" s="2236"/>
      <c r="B1197" s="2243" t="s">
        <v>6774</v>
      </c>
      <c r="C1197" s="2244"/>
      <c r="D1197" s="2245"/>
      <c r="E1197" s="2244"/>
      <c r="F1197" s="2246"/>
      <c r="G1197" s="2244"/>
      <c r="H1197" s="2100"/>
      <c r="I1197" s="2238"/>
      <c r="J1197" s="2100"/>
    </row>
    <row r="1198" spans="1:10" ht="14.25" hidden="1" x14ac:dyDescent="0.2">
      <c r="A1198" s="2236" t="s">
        <v>5472</v>
      </c>
      <c r="B1198" s="2243" t="s">
        <v>6027</v>
      </c>
      <c r="C1198" s="2244">
        <f>'[2]Data File'!$C$284</f>
        <v>3684.21</v>
      </c>
      <c r="D1198" s="2245">
        <v>8105.26</v>
      </c>
      <c r="E1198" s="2244">
        <v>555</v>
      </c>
      <c r="F1198" s="2246">
        <v>2868.05</v>
      </c>
      <c r="G1198" s="2244">
        <v>2868.05</v>
      </c>
      <c r="H1198" s="2100">
        <v>555</v>
      </c>
      <c r="I1198" s="2238">
        <f>VLOOKUP(A1198,'Trial Balance - FPer'!$A$7:$I$1107,7,FALSE)</f>
        <v>769.25</v>
      </c>
      <c r="J1198" s="2100">
        <f>VLOOKUP(A1198,'Trial Balance - FPer'!$A$7:$I$1126,3,FALSE)</f>
        <v>3684.21</v>
      </c>
    </row>
    <row r="1199" spans="1:10" ht="14.25" hidden="1" x14ac:dyDescent="0.2">
      <c r="A1199" s="2236"/>
      <c r="B1199" s="2243" t="s">
        <v>6773</v>
      </c>
      <c r="C1199" s="2244"/>
      <c r="D1199" s="2245"/>
      <c r="E1199" s="2244"/>
      <c r="F1199" s="2246"/>
      <c r="G1199" s="2244"/>
      <c r="H1199" s="2100"/>
      <c r="I1199" s="2238"/>
      <c r="J1199" s="2100"/>
    </row>
    <row r="1200" spans="1:10" ht="14.25" hidden="1" x14ac:dyDescent="0.2">
      <c r="A1200" s="2236" t="s">
        <v>5473</v>
      </c>
      <c r="B1200" s="2243" t="s">
        <v>6028</v>
      </c>
      <c r="C1200" s="2244">
        <f>'[2]Data File'!$C$1006</f>
        <v>0</v>
      </c>
      <c r="D1200" s="2245">
        <v>0</v>
      </c>
      <c r="E1200" s="2244">
        <v>0</v>
      </c>
      <c r="F1200" s="2246">
        <v>0</v>
      </c>
      <c r="G1200" s="2244">
        <v>0</v>
      </c>
      <c r="H1200" s="2100">
        <v>0</v>
      </c>
      <c r="I1200" s="2238">
        <f>VLOOKUP(A1200,'Trial Balance - FPer'!$A$7:$I$1107,7,FALSE)</f>
        <v>0</v>
      </c>
      <c r="J1200" s="2100">
        <f>VLOOKUP(A1200,'Trial Balance - FPer'!$A$7:$I$1126,3,FALSE)</f>
        <v>0</v>
      </c>
    </row>
    <row r="1201" spans="1:10" ht="14.25" hidden="1" x14ac:dyDescent="0.2">
      <c r="A1201" s="2236"/>
      <c r="B1201" s="2243" t="s">
        <v>6774</v>
      </c>
      <c r="C1201" s="2244"/>
      <c r="D1201" s="2245"/>
      <c r="E1201" s="2244"/>
      <c r="F1201" s="2246"/>
      <c r="G1201" s="2244"/>
      <c r="H1201" s="2100"/>
      <c r="I1201" s="2238"/>
      <c r="J1201" s="2100"/>
    </row>
    <row r="1202" spans="1:10" ht="14.25" hidden="1" x14ac:dyDescent="0.2">
      <c r="A1202" s="2236" t="s">
        <v>5474</v>
      </c>
      <c r="B1202" s="2243" t="s">
        <v>6609</v>
      </c>
      <c r="C1202" s="2244">
        <f>'[2]Data File'!$C$285</f>
        <v>81609.69</v>
      </c>
      <c r="D1202" s="2245">
        <v>51157.66</v>
      </c>
      <c r="E1202" s="2244">
        <v>6934.9</v>
      </c>
      <c r="F1202" s="2246">
        <v>23271</v>
      </c>
      <c r="G1202" s="2244">
        <v>23271</v>
      </c>
      <c r="H1202" s="2100">
        <v>6934.9</v>
      </c>
      <c r="I1202" s="2238">
        <f>VLOOKUP(A1202,'Trial Balance - FPer'!$A$7:$I$1107,7,FALSE)</f>
        <v>14454</v>
      </c>
      <c r="J1202" s="2100">
        <f>VLOOKUP(A1202,'Trial Balance - FPer'!$A$7:$I$1126,3,FALSE)</f>
        <v>81609.69</v>
      </c>
    </row>
    <row r="1203" spans="1:10" ht="14.25" hidden="1" x14ac:dyDescent="0.2">
      <c r="A1203" s="2236"/>
      <c r="B1203" s="2243" t="s">
        <v>6773</v>
      </c>
      <c r="C1203" s="2244"/>
      <c r="D1203" s="2245"/>
      <c r="E1203" s="2244"/>
      <c r="F1203" s="2246"/>
      <c r="G1203" s="2244"/>
      <c r="H1203" s="2100"/>
      <c r="I1203" s="2238"/>
      <c r="J1203" s="2100"/>
    </row>
    <row r="1204" spans="1:10" ht="14.25" hidden="1" x14ac:dyDescent="0.2">
      <c r="A1204" s="2236" t="s">
        <v>5475</v>
      </c>
      <c r="B1204" s="2243" t="s">
        <v>6609</v>
      </c>
      <c r="C1204" s="2244">
        <f>'[2]Data File'!$C$1007</f>
        <v>53802.68</v>
      </c>
      <c r="D1204" s="2245">
        <v>27838.69</v>
      </c>
      <c r="E1204" s="2244">
        <v>10497.05</v>
      </c>
      <c r="F1204" s="2246">
        <v>27838.69</v>
      </c>
      <c r="G1204" s="2244">
        <v>22772.06</v>
      </c>
      <c r="H1204" s="2100">
        <v>14566.1</v>
      </c>
      <c r="I1204" s="2238">
        <f>VLOOKUP(A1204,'Trial Balance - FPer'!$A$7:$I$1107,7,FALSE)</f>
        <v>41416.21</v>
      </c>
      <c r="J1204" s="2100">
        <f>VLOOKUP(A1204,'Trial Balance - FPer'!$A$7:$I$1126,3,FALSE)</f>
        <v>53802.68</v>
      </c>
    </row>
    <row r="1205" spans="1:10" ht="14.25" hidden="1" x14ac:dyDescent="0.2">
      <c r="A1205" s="2236"/>
      <c r="B1205" s="2243" t="s">
        <v>6774</v>
      </c>
      <c r="C1205" s="2244"/>
      <c r="D1205" s="2245"/>
      <c r="E1205" s="2244"/>
      <c r="F1205" s="2246"/>
      <c r="G1205" s="2244"/>
      <c r="H1205" s="2100"/>
      <c r="I1205" s="2238"/>
      <c r="J1205" s="2100"/>
    </row>
    <row r="1206" spans="1:10" ht="14.25" hidden="1" x14ac:dyDescent="0.2">
      <c r="A1206" s="2236" t="s">
        <v>5476</v>
      </c>
      <c r="B1206" s="2243" t="s">
        <v>6610</v>
      </c>
      <c r="C1206" s="2244">
        <f>'[2]Data File'!$C$1008</f>
        <v>0</v>
      </c>
      <c r="D1206" s="2245">
        <v>827.71</v>
      </c>
      <c r="E1206" s="2244">
        <v>0</v>
      </c>
      <c r="F1206" s="2246">
        <v>0</v>
      </c>
      <c r="G1206" s="2244">
        <v>206.86</v>
      </c>
      <c r="H1206" s="2100">
        <v>0</v>
      </c>
      <c r="I1206" s="2238">
        <f>VLOOKUP(A1206,'Trial Balance - FPer'!$A$7:$I$1107,7,FALSE)</f>
        <v>9034.5600000000013</v>
      </c>
      <c r="J1206" s="2100" t="str">
        <f>VLOOKUP(A1206,'Trial Balance - FPer'!$A$7:$I$1126,3,FALSE)</f>
        <v xml:space="preserve">                               -  </v>
      </c>
    </row>
    <row r="1207" spans="1:10" ht="14.25" hidden="1" x14ac:dyDescent="0.2">
      <c r="A1207" s="2236"/>
      <c r="B1207" s="2243" t="s">
        <v>6774</v>
      </c>
      <c r="C1207" s="2244"/>
      <c r="D1207" s="2245"/>
      <c r="E1207" s="2244"/>
      <c r="F1207" s="2246"/>
      <c r="G1207" s="2244"/>
      <c r="H1207" s="2100"/>
      <c r="I1207" s="2238"/>
      <c r="J1207" s="2100"/>
    </row>
    <row r="1208" spans="1:10" ht="14.25" hidden="1" x14ac:dyDescent="0.2">
      <c r="A1208" s="2236" t="s">
        <v>5477</v>
      </c>
      <c r="B1208" s="2243" t="s">
        <v>6778</v>
      </c>
      <c r="C1208" s="2244">
        <f>'[2]Data File'!$C$2097</f>
        <v>3167.78</v>
      </c>
      <c r="D1208" s="2245">
        <v>7827.61</v>
      </c>
      <c r="E1208" s="2244">
        <v>431.49</v>
      </c>
      <c r="F1208" s="2246">
        <v>3500</v>
      </c>
      <c r="G1208" s="2244">
        <v>2612.4899999999998</v>
      </c>
      <c r="H1208" s="2100">
        <v>431.49</v>
      </c>
      <c r="I1208" s="2238">
        <f>VLOOKUP(A1208,'Trial Balance - FPer'!$A$7:$I$1107,7,FALSE)</f>
        <v>431.49</v>
      </c>
      <c r="J1208" s="2100">
        <f>VLOOKUP(A1208,'Trial Balance - FPer'!$A$7:$I$1126,3,FALSE)</f>
        <v>3167.78</v>
      </c>
    </row>
    <row r="1209" spans="1:10" ht="14.25" hidden="1" x14ac:dyDescent="0.2">
      <c r="A1209" s="2236"/>
      <c r="B1209" s="2243" t="s">
        <v>6776</v>
      </c>
      <c r="C1209" s="2244"/>
      <c r="D1209" s="2245"/>
      <c r="E1209" s="2244"/>
      <c r="F1209" s="2246"/>
      <c r="G1209" s="2244"/>
      <c r="H1209" s="2100"/>
      <c r="I1209" s="2238"/>
      <c r="J1209" s="2100"/>
    </row>
    <row r="1210" spans="1:10" ht="14.25" hidden="1" x14ac:dyDescent="0.2">
      <c r="A1210" s="2236" t="s">
        <v>5479</v>
      </c>
      <c r="B1210" s="2243" t="s">
        <v>6033</v>
      </c>
      <c r="C1210" s="2244">
        <f>'[2]Data File'!$C$1009</f>
        <v>344.28</v>
      </c>
      <c r="D1210" s="2245">
        <v>556.07000000000005</v>
      </c>
      <c r="E1210" s="2244">
        <v>0</v>
      </c>
      <c r="F1210" s="2246">
        <v>5000</v>
      </c>
      <c r="G1210" s="2244">
        <v>140.04</v>
      </c>
      <c r="H1210" s="2100">
        <v>2254.31</v>
      </c>
      <c r="I1210" s="2238">
        <f>VLOOKUP(A1210,'Trial Balance - FPer'!$A$7:$I$1107,7,FALSE)</f>
        <v>0</v>
      </c>
      <c r="J1210" s="2100">
        <f>VLOOKUP(A1210,'Trial Balance - FPer'!$A$7:$I$1126,3,FALSE)</f>
        <v>0</v>
      </c>
    </row>
    <row r="1211" spans="1:10" ht="14.25" hidden="1" x14ac:dyDescent="0.2">
      <c r="A1211" s="2236"/>
      <c r="B1211" s="2247" t="s">
        <v>6774</v>
      </c>
      <c r="C1211" s="2248"/>
      <c r="D1211" s="2249"/>
      <c r="E1211" s="2248"/>
      <c r="F1211" s="2250"/>
      <c r="G1211" s="2248"/>
      <c r="H1211" s="2244"/>
      <c r="I1211" s="2238"/>
      <c r="J1211" s="2100"/>
    </row>
    <row r="1212" spans="1:10" s="2615" customFormat="1" hidden="1" x14ac:dyDescent="0.2">
      <c r="A1212" s="2612"/>
      <c r="B1212" s="2613" t="s">
        <v>6779</v>
      </c>
      <c r="C1212" s="2614">
        <f>SUM(C1184:C1211)</f>
        <v>157185.99</v>
      </c>
      <c r="D1212" s="2614">
        <f>SUM(D1184:D1211)</f>
        <v>125733.04000000002</v>
      </c>
      <c r="E1212" s="2614">
        <f>SUM(E1184:E1211)</f>
        <v>47071.329999999994</v>
      </c>
      <c r="F1212" s="2614">
        <f>SUM(F1184:F1211)</f>
        <v>94893.119999999995</v>
      </c>
      <c r="G1212" s="2614">
        <f>SUM(G1184:G1211)</f>
        <v>102361.65000000001</v>
      </c>
      <c r="H1212" s="2614">
        <f t="shared" ref="H1212" si="111">SUM(H1184:H1211)</f>
        <v>55120.81</v>
      </c>
      <c r="I1212" s="2614">
        <f>SUM(I1184:I1211)</f>
        <v>93246.51</v>
      </c>
      <c r="J1212" s="2614">
        <f>SUM(J1184:J1211)</f>
        <v>153401.13</v>
      </c>
    </row>
    <row r="1213" spans="1:10" ht="14.25" hidden="1" x14ac:dyDescent="0.2">
      <c r="A1213" s="2236"/>
      <c r="B1213" s="2243"/>
      <c r="C1213" s="2244"/>
      <c r="D1213" s="2245"/>
      <c r="E1213" s="2244"/>
      <c r="F1213" s="2246"/>
      <c r="G1213" s="2244"/>
      <c r="H1213" s="2244"/>
      <c r="I1213" s="2238" t="e">
        <f>VLOOKUP(A1213,'Trial Balance - FPer'!$A$7:$I$1107,7,FALSE)</f>
        <v>#N/A</v>
      </c>
      <c r="J1213" s="2100" t="e">
        <f>VLOOKUP(A1213,'Trial Balance - FPer'!$A$7:$I$1126,3,FALSE)</f>
        <v>#N/A</v>
      </c>
    </row>
    <row r="1214" spans="1:10" ht="14.25" hidden="1" x14ac:dyDescent="0.2">
      <c r="A1214" s="2236"/>
      <c r="B1214" s="2242" t="s">
        <v>6615</v>
      </c>
      <c r="C1214" s="2244"/>
      <c r="D1214" s="2245"/>
      <c r="E1214" s="2244"/>
      <c r="F1214" s="2246"/>
      <c r="G1214" s="2244"/>
      <c r="H1214" s="2244"/>
      <c r="I1214" s="2238"/>
      <c r="J1214" s="2100"/>
    </row>
    <row r="1215" spans="1:10" ht="14.25" hidden="1" x14ac:dyDescent="0.2">
      <c r="A1215" s="2236" t="s">
        <v>5480</v>
      </c>
      <c r="B1215" s="2243" t="s">
        <v>6780</v>
      </c>
      <c r="C1215" s="2244">
        <v>0</v>
      </c>
      <c r="D1215" s="2245">
        <v>0</v>
      </c>
      <c r="E1215" s="2244">
        <v>0</v>
      </c>
      <c r="F1215" s="2246">
        <v>0</v>
      </c>
      <c r="G1215" s="2244">
        <v>0</v>
      </c>
      <c r="H1215" s="2100">
        <v>0</v>
      </c>
      <c r="I1215" s="2238"/>
      <c r="J1215" s="2100">
        <f>VLOOKUP(A1215,'Trial Balance - FPer'!$A$7:$I$1126,3,FALSE)</f>
        <v>0</v>
      </c>
    </row>
    <row r="1216" spans="1:10" ht="14.25" hidden="1" x14ac:dyDescent="0.2">
      <c r="A1216" s="2236"/>
      <c r="B1216" s="2243" t="s">
        <v>6774</v>
      </c>
      <c r="C1216" s="2244"/>
      <c r="D1216" s="2245"/>
      <c r="E1216" s="2244"/>
      <c r="F1216" s="2246"/>
      <c r="G1216" s="2244"/>
      <c r="H1216" s="2100"/>
      <c r="I1216" s="2238"/>
      <c r="J1216" s="2100"/>
    </row>
    <row r="1217" spans="1:10" ht="14.25" hidden="1" x14ac:dyDescent="0.2">
      <c r="A1217" s="2236" t="s">
        <v>5481</v>
      </c>
      <c r="B1217" s="2243" t="s">
        <v>6616</v>
      </c>
      <c r="C1217" s="2244">
        <f>'[2]Data File'!$C$1015</f>
        <v>57.98</v>
      </c>
      <c r="D1217" s="2245">
        <v>127.56</v>
      </c>
      <c r="E1217" s="2244">
        <v>0</v>
      </c>
      <c r="F1217" s="2246">
        <v>0</v>
      </c>
      <c r="G1217" s="2244">
        <v>30.78</v>
      </c>
      <c r="H1217" s="2100">
        <v>0</v>
      </c>
      <c r="I1217" s="2238">
        <f>VLOOKUP(A1217,'Trial Balance - FPer'!$A$7:$I$1107,7,FALSE)</f>
        <v>0</v>
      </c>
      <c r="J1217" s="2100">
        <f>VLOOKUP(A1217,'Trial Balance - FPer'!$A$7:$I$1126,3,FALSE)</f>
        <v>57.98</v>
      </c>
    </row>
    <row r="1218" spans="1:10" ht="14.25" hidden="1" x14ac:dyDescent="0.2">
      <c r="A1218" s="2236"/>
      <c r="B1218" s="2243" t="s">
        <v>6774</v>
      </c>
      <c r="C1218" s="2244"/>
      <c r="D1218" s="2245"/>
      <c r="E1218" s="2244"/>
      <c r="F1218" s="2246"/>
      <c r="G1218" s="2244"/>
      <c r="H1218" s="2100"/>
      <c r="I1218" s="2238"/>
      <c r="J1218" s="2100"/>
    </row>
    <row r="1219" spans="1:10" ht="14.25" hidden="1" x14ac:dyDescent="0.2">
      <c r="A1219" s="2236" t="s">
        <v>5482</v>
      </c>
      <c r="B1219" s="2243" t="s">
        <v>6177</v>
      </c>
      <c r="C1219" s="2244">
        <f>'[2]Data File'!$C$2103</f>
        <v>0</v>
      </c>
      <c r="D1219" s="2245">
        <v>131306.51</v>
      </c>
      <c r="E1219" s="2244">
        <v>0</v>
      </c>
      <c r="F1219" s="2246">
        <v>131306.5</v>
      </c>
      <c r="G1219" s="2244">
        <v>32959.25</v>
      </c>
      <c r="H1219" s="2100">
        <v>0</v>
      </c>
      <c r="I1219" s="2238">
        <f>VLOOKUP(A1219,'Trial Balance - FPer'!$A$7:$I$1107,7,FALSE)</f>
        <v>0</v>
      </c>
      <c r="J1219" s="2100" t="str">
        <f>VLOOKUP(A1219,'Trial Balance - FPer'!$A$7:$I$1126,3,FALSE)</f>
        <v xml:space="preserve">                               -  </v>
      </c>
    </row>
    <row r="1220" spans="1:10" ht="14.25" hidden="1" x14ac:dyDescent="0.2">
      <c r="A1220" s="2236"/>
      <c r="B1220" s="2247" t="s">
        <v>6776</v>
      </c>
      <c r="C1220" s="2248"/>
      <c r="D1220" s="2249"/>
      <c r="E1220" s="2248"/>
      <c r="F1220" s="2250"/>
      <c r="G1220" s="2248"/>
      <c r="H1220" s="2244"/>
      <c r="I1220" s="2238"/>
      <c r="J1220" s="2100"/>
    </row>
    <row r="1221" spans="1:10" s="2615" customFormat="1" hidden="1" x14ac:dyDescent="0.2">
      <c r="A1221" s="2612"/>
      <c r="B1221" s="2613" t="s">
        <v>6618</v>
      </c>
      <c r="C1221" s="2614">
        <f>SUM(C1215:C1220)</f>
        <v>57.98</v>
      </c>
      <c r="D1221" s="2614">
        <f>SUM(D1215:D1220)</f>
        <v>131434.07</v>
      </c>
      <c r="E1221" s="2614">
        <f>SUM(E1215:E1220)</f>
        <v>0</v>
      </c>
      <c r="F1221" s="2614">
        <f>SUM(F1215:F1220)</f>
        <v>131306.5</v>
      </c>
      <c r="G1221" s="2614">
        <f>SUM(G1215:G1220)</f>
        <v>32990.03</v>
      </c>
      <c r="H1221" s="2614">
        <f t="shared" ref="H1221" si="112">SUM(H1215:H1220)</f>
        <v>0</v>
      </c>
      <c r="I1221" s="2614">
        <f>SUM(I1215:I1220)</f>
        <v>0</v>
      </c>
      <c r="J1221" s="2614">
        <f>SUM(J1215:J1220)</f>
        <v>57.98</v>
      </c>
    </row>
    <row r="1222" spans="1:10" ht="14.25" hidden="1" x14ac:dyDescent="0.2">
      <c r="A1222" s="2236"/>
      <c r="B1222" s="2243"/>
      <c r="C1222" s="2244"/>
      <c r="D1222" s="2245"/>
      <c r="E1222" s="2244"/>
      <c r="F1222" s="2246"/>
      <c r="G1222" s="2244"/>
      <c r="H1222" s="2244"/>
      <c r="I1222" s="2238"/>
      <c r="J1222" s="2100" t="e">
        <f>VLOOKUP(A1222,'Trial Balance - FPer'!$A$7:$I$1126,3,FALSE)</f>
        <v>#N/A</v>
      </c>
    </row>
    <row r="1223" spans="1:10" ht="14.25" hidden="1" x14ac:dyDescent="0.2">
      <c r="A1223" s="2236"/>
      <c r="B1223" s="2242" t="s">
        <v>6619</v>
      </c>
      <c r="C1223" s="2244"/>
      <c r="D1223" s="2245"/>
      <c r="E1223" s="2244"/>
      <c r="F1223" s="2246"/>
      <c r="G1223" s="2244"/>
      <c r="H1223" s="2244"/>
      <c r="I1223" s="2238"/>
      <c r="J1223" s="2100"/>
    </row>
    <row r="1224" spans="1:10" ht="14.25" hidden="1" x14ac:dyDescent="0.2">
      <c r="A1224" s="2236" t="s">
        <v>5483</v>
      </c>
      <c r="B1224" s="2243" t="s">
        <v>6620</v>
      </c>
      <c r="C1224" s="2244">
        <f>'[2]Data File'!$C$1019</f>
        <v>100010.43</v>
      </c>
      <c r="D1224" s="2245">
        <v>20000</v>
      </c>
      <c r="E1224" s="2244">
        <v>8426.3799999999992</v>
      </c>
      <c r="F1224" s="2246">
        <v>20000</v>
      </c>
      <c r="G1224" s="2244">
        <v>17693.3</v>
      </c>
      <c r="H1224" s="2100">
        <v>8426.3799999999992</v>
      </c>
      <c r="I1224" s="2238">
        <f>VLOOKUP(A1224,'Trial Balance - FPer'!$A$7:$I$1107,7,FALSE)</f>
        <v>8426.3799999999992</v>
      </c>
      <c r="J1224" s="2100">
        <f>VLOOKUP(A1224,'Trial Balance - FPer'!$A$7:$I$1126,3,FALSE)</f>
        <v>100010.43</v>
      </c>
    </row>
    <row r="1225" spans="1:10" ht="14.25" hidden="1" x14ac:dyDescent="0.2">
      <c r="A1225" s="2236"/>
      <c r="B1225" s="2243" t="s">
        <v>6774</v>
      </c>
      <c r="C1225" s="2244"/>
      <c r="D1225" s="2245"/>
      <c r="E1225" s="2244"/>
      <c r="F1225" s="2246"/>
      <c r="G1225" s="2244"/>
      <c r="H1225" s="2100"/>
      <c r="I1225" s="2238"/>
      <c r="J1225" s="2100"/>
    </row>
    <row r="1226" spans="1:10" ht="14.25" hidden="1" x14ac:dyDescent="0.2">
      <c r="A1226" s="2236" t="s">
        <v>5484</v>
      </c>
      <c r="B1226" s="2243" t="s">
        <v>6621</v>
      </c>
      <c r="C1226" s="2244">
        <f>'[2]Data File'!$C$1020</f>
        <v>-100010.43</v>
      </c>
      <c r="D1226" s="2245">
        <v>28310.21</v>
      </c>
      <c r="E1226" s="2244">
        <v>0</v>
      </c>
      <c r="F1226" s="2246">
        <v>28310.21</v>
      </c>
      <c r="G1226" s="2244">
        <v>7105.11</v>
      </c>
      <c r="H1226" s="2100">
        <v>0</v>
      </c>
      <c r="I1226" s="2238">
        <f>VLOOKUP(A1226,'Trial Balance - FPer'!$A$7:$I$1107,7,FALSE)</f>
        <v>0</v>
      </c>
      <c r="J1226" s="2100">
        <f>VLOOKUP(A1226,'Trial Balance - FPer'!$A$7:$I$1126,3,FALSE)</f>
        <v>-100010.43</v>
      </c>
    </row>
    <row r="1227" spans="1:10" ht="14.25" hidden="1" x14ac:dyDescent="0.2">
      <c r="A1227" s="2236"/>
      <c r="B1227" s="2247" t="s">
        <v>6774</v>
      </c>
      <c r="C1227" s="2248"/>
      <c r="D1227" s="2249"/>
      <c r="E1227" s="2248"/>
      <c r="F1227" s="2250"/>
      <c r="G1227" s="2248"/>
      <c r="H1227" s="2244"/>
      <c r="I1227" s="2238"/>
      <c r="J1227" s="2100"/>
    </row>
    <row r="1228" spans="1:10" s="2615" customFormat="1" hidden="1" x14ac:dyDescent="0.2">
      <c r="A1228" s="2612"/>
      <c r="B1228" s="2613" t="s">
        <v>6622</v>
      </c>
      <c r="C1228" s="2614">
        <f>SUM(C1224:C1227)</f>
        <v>0</v>
      </c>
      <c r="D1228" s="2614">
        <f>SUM(D1224:D1227)</f>
        <v>48310.21</v>
      </c>
      <c r="E1228" s="2614">
        <f>SUM(E1224:E1227)</f>
        <v>8426.3799999999992</v>
      </c>
      <c r="F1228" s="2614">
        <f>SUM(F1224:F1227)</f>
        <v>48310.21</v>
      </c>
      <c r="G1228" s="2614">
        <f>SUM(G1224:G1227)</f>
        <v>24798.41</v>
      </c>
      <c r="H1228" s="2614">
        <f t="shared" ref="H1228" si="113">SUM(H1224:H1227)</f>
        <v>8426.3799999999992</v>
      </c>
      <c r="I1228" s="2614">
        <f>SUM(I1224:I1227)</f>
        <v>8426.3799999999992</v>
      </c>
      <c r="J1228" s="2614">
        <f>SUM(J1224:J1227)</f>
        <v>0</v>
      </c>
    </row>
    <row r="1229" spans="1:10" ht="14.25" hidden="1" x14ac:dyDescent="0.2">
      <c r="A1229" s="2236"/>
      <c r="B1229" s="2243"/>
      <c r="C1229" s="2244"/>
      <c r="D1229" s="2245"/>
      <c r="E1229" s="2244"/>
      <c r="F1229" s="2246"/>
      <c r="G1229" s="2244"/>
      <c r="H1229" s="2244"/>
      <c r="I1229" s="2238" t="e">
        <f>VLOOKUP(A1229,'Trial Balance - FPer'!$A$7:$I$1107,7,FALSE)</f>
        <v>#N/A</v>
      </c>
      <c r="J1229" s="2100" t="e">
        <f>VLOOKUP(A1229,'Trial Balance - FPer'!$A$7:$I$1126,3,FALSE)</f>
        <v>#N/A</v>
      </c>
    </row>
    <row r="1230" spans="1:10" s="2615" customFormat="1" ht="13.5" thickBot="1" x14ac:dyDescent="0.25">
      <c r="A1230" s="2612"/>
      <c r="B1230" s="2616" t="s">
        <v>6623</v>
      </c>
      <c r="C1230" s="2617">
        <f>C1228+C1221+C1212+C1181</f>
        <v>1137861.47</v>
      </c>
      <c r="D1230" s="2617">
        <f>D1228+D1221+D1212+D1181</f>
        <v>1958074</v>
      </c>
      <c r="E1230" s="2617">
        <f>E1228+E1221+E1212+E1181</f>
        <v>729849.7</v>
      </c>
      <c r="F1230" s="2617">
        <f>F1228+F1221+F1212+F1181</f>
        <v>1534936.21</v>
      </c>
      <c r="G1230" s="2617">
        <f>G1228+G1221+G1212+G1181</f>
        <v>1588917.5900000003</v>
      </c>
      <c r="H1230" s="2617">
        <f t="shared" ref="H1230" si="114">H1228+H1221+H1212+H1181</f>
        <v>843986.52</v>
      </c>
      <c r="I1230" s="2617">
        <f>I1228+I1221+I1212+I1181</f>
        <v>1429125.8499999996</v>
      </c>
      <c r="J1230" s="2617">
        <f>J1228+J1221+J1212+J1181</f>
        <v>1134076.6100000001</v>
      </c>
    </row>
    <row r="1231" spans="1:10" ht="15" thickTop="1" x14ac:dyDescent="0.2">
      <c r="A1231" s="2236"/>
      <c r="B1231" s="2243"/>
      <c r="C1231" s="2244"/>
      <c r="D1231" s="2245"/>
      <c r="E1231" s="2244"/>
      <c r="F1231" s="2246"/>
      <c r="G1231" s="2244"/>
      <c r="H1231" s="2244"/>
      <c r="I1231" s="2238" t="e">
        <f>VLOOKUP(A1231,'Trial Balance - FPer'!$A$7:$I$1107,7,FALSE)</f>
        <v>#N/A</v>
      </c>
      <c r="J1231" s="2100" t="e">
        <f>VLOOKUP(A1231,'Trial Balance - FPer'!$A$7:$I$1126,3,FALSE)</f>
        <v>#N/A</v>
      </c>
    </row>
    <row r="1232" spans="1:10" s="2615" customFormat="1" ht="13.5" thickBot="1" x14ac:dyDescent="0.25">
      <c r="A1232" s="2612"/>
      <c r="B1232" s="2616" t="s">
        <v>6624</v>
      </c>
      <c r="C1232" s="2617">
        <f>C1113-C1230</f>
        <v>-1137861.47</v>
      </c>
      <c r="D1232" s="2617">
        <f>D1113-D1230</f>
        <v>-330879.57000000007</v>
      </c>
      <c r="E1232" s="2617">
        <f>E1113-E1230</f>
        <v>-729849.7</v>
      </c>
      <c r="F1232" s="2617">
        <f>F1113-F1230</f>
        <v>-131079.85999999987</v>
      </c>
      <c r="G1232" s="2617">
        <f>G1113-G1230</f>
        <v>-772065.16000000038</v>
      </c>
      <c r="H1232" s="2617">
        <f t="shared" ref="H1232:J1232" si="115">H1113-H1230</f>
        <v>-843986.52</v>
      </c>
      <c r="I1232" s="2617">
        <f t="shared" si="115"/>
        <v>-1429125.8499999996</v>
      </c>
      <c r="J1232" s="2617">
        <f t="shared" si="115"/>
        <v>-1134076.6100000001</v>
      </c>
    </row>
    <row r="1233" spans="1:10" ht="15" thickTop="1" x14ac:dyDescent="0.2">
      <c r="A1233" s="2236"/>
      <c r="B1233" s="2243"/>
      <c r="C1233" s="2244"/>
      <c r="D1233" s="2245"/>
      <c r="E1233" s="2244"/>
      <c r="F1233" s="2246"/>
      <c r="G1233" s="2244"/>
      <c r="H1233" s="2244"/>
      <c r="I1233" s="2238" t="e">
        <f>VLOOKUP(A1233,'Trial Balance - FPer'!$A$7:$I$1107,7,FALSE)</f>
        <v>#N/A</v>
      </c>
      <c r="J1233" s="2100" t="e">
        <f>VLOOKUP(A1233,'Trial Balance - FPer'!$A$7:$I$1126,3,FALSE)</f>
        <v>#N/A</v>
      </c>
    </row>
    <row r="1234" spans="1:10" ht="15" x14ac:dyDescent="0.25">
      <c r="A1234" s="2241" t="s">
        <v>6781</v>
      </c>
      <c r="B1234" s="2237" t="s">
        <v>1734</v>
      </c>
      <c r="C1234" s="2244"/>
      <c r="D1234" s="2245"/>
      <c r="E1234" s="2244"/>
      <c r="F1234" s="2246"/>
      <c r="G1234" s="2244"/>
      <c r="H1234" s="2244"/>
      <c r="I1234" s="2238" t="e">
        <f>VLOOKUP(A1234,'Trial Balance - FPer'!$A$7:$I$1107,7,FALSE)</f>
        <v>#N/A</v>
      </c>
      <c r="J1234" s="2100" t="e">
        <f>VLOOKUP(A1234,'Trial Balance - FPer'!$A$7:$I$1126,3,FALSE)</f>
        <v>#N/A</v>
      </c>
    </row>
    <row r="1235" spans="1:10" ht="14.25" x14ac:dyDescent="0.2">
      <c r="A1235" s="2236"/>
      <c r="B1235" s="2243"/>
      <c r="C1235" s="2244"/>
      <c r="D1235" s="2245"/>
      <c r="E1235" s="2244"/>
      <c r="F1235" s="2246"/>
      <c r="G1235" s="2244"/>
      <c r="H1235" s="2244"/>
      <c r="I1235" s="2238" t="e">
        <f>VLOOKUP(A1235,'Trial Balance - FPer'!$A$7:$I$1107,7,FALSE)</f>
        <v>#N/A</v>
      </c>
      <c r="J1235" s="2100" t="e">
        <f>VLOOKUP(A1235,'Trial Balance - FPer'!$A$7:$I$1126,3,FALSE)</f>
        <v>#N/A</v>
      </c>
    </row>
    <row r="1236" spans="1:10" ht="14.25" x14ac:dyDescent="0.2">
      <c r="A1236" s="2236"/>
      <c r="B1236" s="2242" t="s">
        <v>247</v>
      </c>
      <c r="C1236" s="2244"/>
      <c r="D1236" s="2245"/>
      <c r="E1236" s="2244"/>
      <c r="F1236" s="2246"/>
      <c r="G1236" s="2244"/>
      <c r="H1236" s="2244"/>
      <c r="I1236" s="2238" t="e">
        <f>VLOOKUP(A1236,'Trial Balance - FPer'!$A$7:$I$1107,7,FALSE)</f>
        <v>#N/A</v>
      </c>
      <c r="J1236" s="2100" t="e">
        <f>VLOOKUP(A1236,'Trial Balance - FPer'!$A$7:$I$1126,3,FALSE)</f>
        <v>#N/A</v>
      </c>
    </row>
    <row r="1237" spans="1:10" ht="14.25" hidden="1" x14ac:dyDescent="0.2">
      <c r="A1237" s="2236"/>
      <c r="B1237" s="2242" t="s">
        <v>6644</v>
      </c>
      <c r="C1237" s="2244"/>
      <c r="D1237" s="2245"/>
      <c r="E1237" s="2244"/>
      <c r="F1237" s="2246"/>
      <c r="G1237" s="2244"/>
      <c r="H1237" s="2244"/>
      <c r="I1237" s="2238" t="e">
        <f>VLOOKUP(A1237,'Trial Balance - FPer'!$A$7:$I$1107,7,FALSE)</f>
        <v>#N/A</v>
      </c>
      <c r="J1237" s="2100" t="e">
        <f>VLOOKUP(A1237,'Trial Balance - FPer'!$A$7:$I$1126,3,FALSE)</f>
        <v>#N/A</v>
      </c>
    </row>
    <row r="1238" spans="1:10" ht="14.25" hidden="1" x14ac:dyDescent="0.2">
      <c r="A1238" s="2236" t="s">
        <v>5510</v>
      </c>
      <c r="B1238" s="2247" t="s">
        <v>6203</v>
      </c>
      <c r="C1238" s="2248">
        <f>'[2]Data File'!$C$1204</f>
        <v>447060.25</v>
      </c>
      <c r="D1238" s="2249">
        <v>275185.94</v>
      </c>
      <c r="E1238" s="2248">
        <v>156980.85</v>
      </c>
      <c r="F1238" s="2250">
        <v>275185.94</v>
      </c>
      <c r="G1238" s="2248">
        <v>295126.78999999998</v>
      </c>
      <c r="H1238" s="2244"/>
      <c r="I1238" s="2238">
        <f>VLOOKUP(A1238,'Trial Balance - FPer'!$A$7:$I$1107,7,FALSE)</f>
        <v>-358201.7</v>
      </c>
      <c r="J1238" s="2100">
        <f>VLOOKUP(A1238,'Trial Balance - FPer'!$A$7:$I$1126,3,FALSE)</f>
        <v>-447060.25</v>
      </c>
    </row>
    <row r="1239" spans="1:10" s="2615" customFormat="1" hidden="1" x14ac:dyDescent="0.2">
      <c r="A1239" s="2612"/>
      <c r="B1239" s="2613" t="s">
        <v>6646</v>
      </c>
      <c r="C1239" s="2614">
        <f>SUM(C1238)</f>
        <v>447060.25</v>
      </c>
      <c r="D1239" s="2614">
        <f>SUM(D1238)</f>
        <v>275185.94</v>
      </c>
      <c r="E1239" s="2614">
        <f>SUM(E1238)</f>
        <v>156980.85</v>
      </c>
      <c r="F1239" s="2614">
        <f>SUM(F1238)</f>
        <v>275185.94</v>
      </c>
      <c r="G1239" s="2614">
        <f>SUM(G1238)</f>
        <v>295126.78999999998</v>
      </c>
      <c r="H1239" s="2614">
        <f t="shared" ref="H1239:J1239" si="116">SUM(H1238)</f>
        <v>0</v>
      </c>
      <c r="I1239" s="2614">
        <f t="shared" si="116"/>
        <v>-358201.7</v>
      </c>
      <c r="J1239" s="2614">
        <f t="shared" si="116"/>
        <v>-447060.25</v>
      </c>
    </row>
    <row r="1240" spans="1:10" ht="14.25" hidden="1" x14ac:dyDescent="0.2">
      <c r="A1240" s="2236"/>
      <c r="B1240" s="2243"/>
      <c r="C1240" s="2244"/>
      <c r="D1240" s="2245"/>
      <c r="E1240" s="2244"/>
      <c r="F1240" s="2246"/>
      <c r="G1240" s="2244"/>
      <c r="H1240" s="2244"/>
      <c r="I1240" s="2238" t="e">
        <f>VLOOKUP(A1240,'Trial Balance - FPer'!$A$7:$I$1107,7,FALSE)</f>
        <v>#N/A</v>
      </c>
      <c r="J1240" s="2100" t="e">
        <f>VLOOKUP(A1240,'Trial Balance - FPer'!$A$7:$I$1126,3,FALSE)</f>
        <v>#N/A</v>
      </c>
    </row>
    <row r="1241" spans="1:10" ht="14.25" hidden="1" x14ac:dyDescent="0.2">
      <c r="A1241" s="2236"/>
      <c r="B1241" s="2242" t="s">
        <v>6782</v>
      </c>
      <c r="C1241" s="2244"/>
      <c r="D1241" s="2245"/>
      <c r="E1241" s="2244"/>
      <c r="F1241" s="2246"/>
      <c r="G1241" s="2244"/>
      <c r="H1241" s="2244"/>
      <c r="I1241" s="2238" t="e">
        <f>VLOOKUP(A1241,'Trial Balance - FPer'!$A$7:$I$1107,7,FALSE)</f>
        <v>#N/A</v>
      </c>
      <c r="J1241" s="2100" t="e">
        <f>VLOOKUP(A1241,'Trial Balance - FPer'!$A$7:$I$1126,3,FALSE)</f>
        <v>#N/A</v>
      </c>
    </row>
    <row r="1242" spans="1:10" ht="14.25" hidden="1" x14ac:dyDescent="0.2">
      <c r="A1242" s="2236" t="s">
        <v>5512</v>
      </c>
      <c r="B1242" s="2247" t="s">
        <v>6204</v>
      </c>
      <c r="C1242" s="2248">
        <f>'[2]Data File'!$C$1208</f>
        <v>4152.66</v>
      </c>
      <c r="D1242" s="2249">
        <v>110</v>
      </c>
      <c r="E1242" s="2248">
        <v>438.6</v>
      </c>
      <c r="F1242" s="2250">
        <v>1000</v>
      </c>
      <c r="G1242" s="2248">
        <v>494.6</v>
      </c>
      <c r="H1242" s="2244"/>
      <c r="I1242" s="2238">
        <f>VLOOKUP(A1242,'Trial Balance - FPer'!$A$7:$I$1107,7,FALSE)</f>
        <v>-438.6</v>
      </c>
      <c r="J1242" s="2100">
        <f>VLOOKUP(A1242,'Trial Balance - FPer'!$A$7:$I$1126,3,FALSE)</f>
        <v>-4152.66</v>
      </c>
    </row>
    <row r="1243" spans="1:10" s="2615" customFormat="1" hidden="1" x14ac:dyDescent="0.2">
      <c r="A1243" s="2612"/>
      <c r="B1243" s="2613" t="s">
        <v>6783</v>
      </c>
      <c r="C1243" s="2614">
        <f>SUM(C1242)</f>
        <v>4152.66</v>
      </c>
      <c r="D1243" s="2614">
        <f>SUM(D1242)</f>
        <v>110</v>
      </c>
      <c r="E1243" s="2614">
        <f>SUM(E1242)</f>
        <v>438.6</v>
      </c>
      <c r="F1243" s="2614">
        <f>SUM(F1242)</f>
        <v>1000</v>
      </c>
      <c r="G1243" s="2614">
        <f>SUM(G1242)</f>
        <v>494.6</v>
      </c>
      <c r="H1243" s="2614">
        <f t="shared" ref="H1243:J1243" si="117">SUM(H1242)</f>
        <v>0</v>
      </c>
      <c r="I1243" s="2614">
        <f t="shared" si="117"/>
        <v>-438.6</v>
      </c>
      <c r="J1243" s="2614">
        <f t="shared" si="117"/>
        <v>-4152.66</v>
      </c>
    </row>
    <row r="1244" spans="1:10" ht="14.25" hidden="1" x14ac:dyDescent="0.2">
      <c r="A1244" s="2236"/>
      <c r="B1244" s="2243"/>
      <c r="C1244" s="2244"/>
      <c r="D1244" s="2245"/>
      <c r="E1244" s="2244"/>
      <c r="F1244" s="2246"/>
      <c r="G1244" s="2244"/>
      <c r="H1244" s="2244"/>
      <c r="I1244" s="2238" t="e">
        <f>VLOOKUP(A1244,'Trial Balance - FPer'!$A$7:$I$1107,7,FALSE)</f>
        <v>#N/A</v>
      </c>
      <c r="J1244" s="2100" t="e">
        <f>VLOOKUP(A1244,'Trial Balance - FPer'!$A$7:$I$1126,3,FALSE)</f>
        <v>#N/A</v>
      </c>
    </row>
    <row r="1245" spans="1:10" ht="14.25" hidden="1" x14ac:dyDescent="0.2">
      <c r="A1245" s="2236"/>
      <c r="B1245" s="2242" t="s">
        <v>6784</v>
      </c>
      <c r="C1245" s="2244"/>
      <c r="D1245" s="2245"/>
      <c r="E1245" s="2244"/>
      <c r="F1245" s="2246"/>
      <c r="G1245" s="2244"/>
      <c r="H1245" s="2244"/>
      <c r="I1245" s="2238" t="e">
        <f>VLOOKUP(A1245,'Trial Balance - FPer'!$A$7:$I$1107,7,FALSE)</f>
        <v>#N/A</v>
      </c>
      <c r="J1245" s="2100" t="e">
        <f>VLOOKUP(A1245,'Trial Balance - FPer'!$A$7:$I$1126,3,FALSE)</f>
        <v>#N/A</v>
      </c>
    </row>
    <row r="1246" spans="1:10" ht="14.25" hidden="1" x14ac:dyDescent="0.2">
      <c r="A1246" s="2236" t="s">
        <v>5514</v>
      </c>
      <c r="B1246" s="2247" t="s">
        <v>6659</v>
      </c>
      <c r="C1246" s="2248">
        <f>'[2]Data File'!$C$1213</f>
        <v>0</v>
      </c>
      <c r="D1246" s="2249">
        <v>479141.02</v>
      </c>
      <c r="E1246" s="2248">
        <v>0</v>
      </c>
      <c r="F1246" s="2250">
        <v>407201.11</v>
      </c>
      <c r="G1246" s="2248">
        <v>240527.02</v>
      </c>
      <c r="H1246" s="2244"/>
      <c r="I1246" s="2238">
        <f>VLOOKUP(A1246,'Trial Balance - FPer'!$A$7:$I$1107,7,FALSE)</f>
        <v>0</v>
      </c>
      <c r="J1246" s="2100">
        <f>VLOOKUP(A1246,'Trial Balance - FPer'!$A$7:$I$1126,3,FALSE)</f>
        <v>0</v>
      </c>
    </row>
    <row r="1247" spans="1:10" s="2615" customFormat="1" hidden="1" x14ac:dyDescent="0.2">
      <c r="A1247" s="2612"/>
      <c r="B1247" s="2613" t="s">
        <v>6785</v>
      </c>
      <c r="C1247" s="2614">
        <f>SUM(C1246)</f>
        <v>0</v>
      </c>
      <c r="D1247" s="2614">
        <f>SUM(D1246)</f>
        <v>479141.02</v>
      </c>
      <c r="E1247" s="2614">
        <f>SUM(E1246)</f>
        <v>0</v>
      </c>
      <c r="F1247" s="2614">
        <f>SUM(F1246)</f>
        <v>407201.11</v>
      </c>
      <c r="G1247" s="2614">
        <f>SUM(G1246)</f>
        <v>240527.02</v>
      </c>
      <c r="H1247" s="2614">
        <f t="shared" ref="H1247:J1247" si="118">SUM(H1246)</f>
        <v>0</v>
      </c>
      <c r="I1247" s="2614">
        <f t="shared" si="118"/>
        <v>0</v>
      </c>
      <c r="J1247" s="2614">
        <f t="shared" si="118"/>
        <v>0</v>
      </c>
    </row>
    <row r="1248" spans="1:10" ht="14.25" hidden="1" x14ac:dyDescent="0.2">
      <c r="A1248" s="2236"/>
      <c r="B1248" s="2243"/>
      <c r="C1248" s="2244"/>
      <c r="D1248" s="2245"/>
      <c r="E1248" s="2244"/>
      <c r="F1248" s="2246"/>
      <c r="G1248" s="2244"/>
      <c r="H1248" s="2244"/>
      <c r="I1248" s="2238" t="e">
        <f>VLOOKUP(A1248,'Trial Balance - FPer'!$A$7:$I$1107,7,FALSE)</f>
        <v>#N/A</v>
      </c>
      <c r="J1248" s="2100" t="e">
        <f>VLOOKUP(A1248,'Trial Balance - FPer'!$A$7:$I$1126,3,FALSE)</f>
        <v>#N/A</v>
      </c>
    </row>
    <row r="1249" spans="1:10" ht="14.25" hidden="1" x14ac:dyDescent="0.2">
      <c r="A1249" s="2236"/>
      <c r="B1249" s="2242" t="s">
        <v>1637</v>
      </c>
      <c r="C1249" s="2244"/>
      <c r="D1249" s="2245"/>
      <c r="E1249" s="2244"/>
      <c r="F1249" s="2246"/>
      <c r="G1249" s="2244"/>
      <c r="H1249" s="2244"/>
      <c r="I1249" s="2238" t="e">
        <f>VLOOKUP(A1249,'Trial Balance - FPer'!$A$7:$I$1107,7,FALSE)</f>
        <v>#N/A</v>
      </c>
      <c r="J1249" s="2100" t="e">
        <f>VLOOKUP(A1249,'Trial Balance - FPer'!$A$7:$I$1126,3,FALSE)</f>
        <v>#N/A</v>
      </c>
    </row>
    <row r="1250" spans="1:10" ht="14.25" hidden="1" x14ac:dyDescent="0.2">
      <c r="A1250" s="2236" t="s">
        <v>5515</v>
      </c>
      <c r="B1250" s="2247" t="s">
        <v>6786</v>
      </c>
      <c r="C1250" s="2248">
        <f>'[2]Data File'!$C$1209</f>
        <v>584.28</v>
      </c>
      <c r="D1250" s="2249">
        <v>3743.77</v>
      </c>
      <c r="E1250" s="2248">
        <v>972.62</v>
      </c>
      <c r="F1250" s="2250">
        <v>2850.39</v>
      </c>
      <c r="G1250" s="2248">
        <v>2850.39</v>
      </c>
      <c r="H1250" s="2244"/>
      <c r="I1250" s="2238">
        <f>VLOOKUP(A1250,'Trial Balance - FPer'!$A$7:$I$1107,7,FALSE)</f>
        <v>-2350.16</v>
      </c>
      <c r="J1250" s="2100">
        <f>VLOOKUP(A1250,'Trial Balance - FPer'!$A$7:$I$1126,3,FALSE)</f>
        <v>-584.28</v>
      </c>
    </row>
    <row r="1251" spans="1:10" s="2615" customFormat="1" hidden="1" x14ac:dyDescent="0.2">
      <c r="A1251" s="2612"/>
      <c r="B1251" s="2613" t="s">
        <v>6670</v>
      </c>
      <c r="C1251" s="2614">
        <f>SUM(C1250)</f>
        <v>584.28</v>
      </c>
      <c r="D1251" s="2614">
        <f>SUM(D1250)</f>
        <v>3743.77</v>
      </c>
      <c r="E1251" s="2614">
        <f>SUM(E1250)</f>
        <v>972.62</v>
      </c>
      <c r="F1251" s="2614">
        <f>SUM(F1250)</f>
        <v>2850.39</v>
      </c>
      <c r="G1251" s="2614">
        <f>SUM(G1250)</f>
        <v>2850.39</v>
      </c>
      <c r="H1251" s="2614">
        <f t="shared" ref="H1251:J1251" si="119">SUM(H1250)</f>
        <v>0</v>
      </c>
      <c r="I1251" s="2614">
        <f t="shared" si="119"/>
        <v>-2350.16</v>
      </c>
      <c r="J1251" s="2614">
        <f t="shared" si="119"/>
        <v>-584.28</v>
      </c>
    </row>
    <row r="1252" spans="1:10" ht="14.25" hidden="1" x14ac:dyDescent="0.2">
      <c r="A1252" s="2236"/>
      <c r="B1252" s="2243"/>
      <c r="C1252" s="2244"/>
      <c r="D1252" s="2245"/>
      <c r="E1252" s="2244"/>
      <c r="F1252" s="2246"/>
      <c r="G1252" s="2244"/>
      <c r="H1252" s="2244"/>
      <c r="I1252" s="2238" t="e">
        <f>VLOOKUP(A1252,'Trial Balance - FPer'!$A$7:$I$1107,7,FALSE)</f>
        <v>#N/A</v>
      </c>
      <c r="J1252" s="2100" t="e">
        <f>VLOOKUP(A1252,'Trial Balance - FPer'!$A$7:$I$1126,3,FALSE)</f>
        <v>#N/A</v>
      </c>
    </row>
    <row r="1253" spans="1:10" s="2615" customFormat="1" ht="13.5" thickBot="1" x14ac:dyDescent="0.25">
      <c r="A1253" s="2612"/>
      <c r="B1253" s="2616" t="s">
        <v>6579</v>
      </c>
      <c r="C1253" s="2617">
        <f>C1251+C1247+C1243+C1239</f>
        <v>451797.19</v>
      </c>
      <c r="D1253" s="2617">
        <f>D1251+D1247+D1243+D1239</f>
        <v>758180.73</v>
      </c>
      <c r="E1253" s="2617">
        <f>E1251+E1247+E1243+E1239</f>
        <v>158392.07</v>
      </c>
      <c r="F1253" s="2617">
        <f>F1251+F1247+F1243+F1239</f>
        <v>686237.44</v>
      </c>
      <c r="G1253" s="2617">
        <f>G1251+G1247+G1243+G1239</f>
        <v>538998.80000000005</v>
      </c>
      <c r="H1253" s="2617">
        <f t="shared" ref="H1253" si="120">H1251+H1247+H1243+H1239</f>
        <v>0</v>
      </c>
      <c r="I1253" s="2617">
        <f>I1251+I1247+I1243+I1239</f>
        <v>-360990.46</v>
      </c>
      <c r="J1253" s="2617">
        <f>J1251+J1247+J1243+J1239</f>
        <v>-451797.19</v>
      </c>
    </row>
    <row r="1254" spans="1:10" ht="15" thickTop="1" x14ac:dyDescent="0.2">
      <c r="A1254" s="2236"/>
      <c r="B1254" s="2243"/>
      <c r="C1254" s="2244"/>
      <c r="D1254" s="2245"/>
      <c r="E1254" s="2244"/>
      <c r="F1254" s="2246"/>
      <c r="G1254" s="2244"/>
      <c r="H1254" s="2244"/>
      <c r="I1254" s="2238" t="e">
        <f>VLOOKUP(A1254,'Trial Balance - FPer'!$A$7:$I$1107,7,FALSE)</f>
        <v>#N/A</v>
      </c>
      <c r="J1254" s="2100" t="e">
        <f>VLOOKUP(A1254,'Trial Balance - FPer'!$A$7:$I$1126,3,FALSE)</f>
        <v>#N/A</v>
      </c>
    </row>
    <row r="1255" spans="1:10" ht="14.25" x14ac:dyDescent="0.2">
      <c r="A1255" s="2236"/>
      <c r="B1255" s="2242" t="s">
        <v>235</v>
      </c>
      <c r="C1255" s="2244"/>
      <c r="D1255" s="2245"/>
      <c r="E1255" s="2244"/>
      <c r="F1255" s="2246"/>
      <c r="G1255" s="2244"/>
      <c r="H1255" s="2244"/>
      <c r="I1255" s="2238" t="e">
        <f>VLOOKUP(A1255,'Trial Balance - FPer'!$A$7:$I$1107,7,FALSE)</f>
        <v>#N/A</v>
      </c>
      <c r="J1255" s="2100" t="e">
        <f>VLOOKUP(A1255,'Trial Balance - FPer'!$A$7:$I$1126,3,FALSE)</f>
        <v>#N/A</v>
      </c>
    </row>
    <row r="1256" spans="1:10" ht="14.25" hidden="1" x14ac:dyDescent="0.2">
      <c r="A1256" s="2236"/>
      <c r="B1256" s="2242" t="s">
        <v>387</v>
      </c>
      <c r="C1256" s="2244"/>
      <c r="D1256" s="2245"/>
      <c r="E1256" s="2244"/>
      <c r="F1256" s="2246"/>
      <c r="G1256" s="2244"/>
      <c r="H1256" s="2244"/>
      <c r="I1256" s="2238" t="e">
        <f>VLOOKUP(A1256,'Trial Balance - FPer'!$A$7:$I$1107,7,FALSE)</f>
        <v>#N/A</v>
      </c>
      <c r="J1256" s="2100" t="e">
        <f>VLOOKUP(A1256,'Trial Balance - FPer'!$A$7:$I$1126,3,FALSE)</f>
        <v>#N/A</v>
      </c>
    </row>
    <row r="1257" spans="1:10" ht="14.25" hidden="1" x14ac:dyDescent="0.2">
      <c r="A1257" s="2236" t="s">
        <v>5490</v>
      </c>
      <c r="B1257" s="2243" t="s">
        <v>6003</v>
      </c>
      <c r="C1257" s="2244">
        <f>'[2]Data File'!$C$1221</f>
        <v>383154.4</v>
      </c>
      <c r="D1257" s="2245">
        <v>487354.04</v>
      </c>
      <c r="E1257" s="2244">
        <v>183629.7</v>
      </c>
      <c r="F1257" s="2246">
        <v>411439.92</v>
      </c>
      <c r="G1257" s="2253">
        <v>398509.34</v>
      </c>
      <c r="H1257" s="2100">
        <v>221598.07</v>
      </c>
      <c r="I1257" s="2238">
        <f>VLOOKUP(A1257,'Trial Balance - FPer'!$A$7:$I$1107,7,FALSE)</f>
        <v>413116.26</v>
      </c>
      <c r="J1257" s="2100">
        <f>VLOOKUP(A1257,'Trial Balance - FPer'!$A$7:$I$1126,3,FALSE)</f>
        <v>383154.4</v>
      </c>
    </row>
    <row r="1258" spans="1:10" ht="14.25" hidden="1" x14ac:dyDescent="0.2">
      <c r="A1258" s="2236" t="s">
        <v>5491</v>
      </c>
      <c r="B1258" s="2243" t="s">
        <v>6004</v>
      </c>
      <c r="C1258" s="2244">
        <f>'[2]Data File'!$C$1226</f>
        <v>28478</v>
      </c>
      <c r="D1258" s="2245">
        <v>43782.75</v>
      </c>
      <c r="E1258" s="2244">
        <v>19986.14</v>
      </c>
      <c r="F1258" s="2246">
        <v>43782.75</v>
      </c>
      <c r="G1258" s="2253">
        <v>40468.339999999997</v>
      </c>
      <c r="H1258" s="2100">
        <v>40051.14</v>
      </c>
      <c r="I1258" s="2238">
        <f>VLOOKUP(A1258,'Trial Balance - FPer'!$A$7:$I$1107,7,FALSE)</f>
        <v>40051.14</v>
      </c>
      <c r="J1258" s="2100">
        <f>VLOOKUP(A1258,'Trial Balance - FPer'!$A$7:$I$1126,3,FALSE)</f>
        <v>28478</v>
      </c>
    </row>
    <row r="1259" spans="1:10" ht="14.25" hidden="1" x14ac:dyDescent="0.2">
      <c r="A1259" s="2236" t="s">
        <v>5492</v>
      </c>
      <c r="B1259" s="2243" t="s">
        <v>6582</v>
      </c>
      <c r="C1259" s="2244">
        <f>'[2]Data File'!$C$1230</f>
        <v>526.63</v>
      </c>
      <c r="D1259" s="2245">
        <v>51277.120000000003</v>
      </c>
      <c r="E1259" s="2244">
        <v>2500</v>
      </c>
      <c r="F1259" s="2246">
        <v>2500</v>
      </c>
      <c r="G1259" s="2253">
        <v>16631.87</v>
      </c>
      <c r="H1259" s="2100">
        <v>2500</v>
      </c>
      <c r="I1259" s="2238">
        <f>VLOOKUP(A1259,'Trial Balance - FPer'!$A$7:$I$1107,7,FALSE)</f>
        <v>2500</v>
      </c>
      <c r="J1259" s="2100">
        <f>VLOOKUP(A1259,'Trial Balance - FPer'!$A$7:$I$1126,3,FALSE)</f>
        <v>526.63</v>
      </c>
    </row>
    <row r="1260" spans="1:10" ht="14.25" hidden="1" x14ac:dyDescent="0.2">
      <c r="A1260" s="2236" t="s">
        <v>5493</v>
      </c>
      <c r="B1260" s="2243" t="s">
        <v>6583</v>
      </c>
      <c r="C1260" s="2244">
        <f>'[2]Data File'!$C$1232</f>
        <v>30000</v>
      </c>
      <c r="D1260" s="2245">
        <v>37852.5</v>
      </c>
      <c r="E1260" s="2244">
        <v>10000</v>
      </c>
      <c r="F1260" s="2246">
        <v>40000</v>
      </c>
      <c r="G1260" s="2253">
        <v>24539.18</v>
      </c>
      <c r="H1260" s="2100">
        <v>15000</v>
      </c>
      <c r="I1260" s="2238">
        <f>VLOOKUP(A1260,'Trial Balance - FPer'!$A$7:$I$1107,7,FALSE)</f>
        <v>40000</v>
      </c>
      <c r="J1260" s="2100">
        <f>VLOOKUP(A1260,'Trial Balance - FPer'!$A$7:$I$1126,3,FALSE)</f>
        <v>30000</v>
      </c>
    </row>
    <row r="1261" spans="1:10" ht="14.25" hidden="1" x14ac:dyDescent="0.2">
      <c r="A1261" s="2236" t="s">
        <v>5494</v>
      </c>
      <c r="B1261" s="2243" t="s">
        <v>6584</v>
      </c>
      <c r="C1261" s="2244">
        <f>'[2]Data File'!$C$1225</f>
        <v>196.8</v>
      </c>
      <c r="D1261" s="2245">
        <v>248.31</v>
      </c>
      <c r="E1261" s="2244">
        <v>90.2</v>
      </c>
      <c r="F1261" s="2246">
        <v>188.6</v>
      </c>
      <c r="G1261" s="2253">
        <v>195.14</v>
      </c>
      <c r="H1261" s="2100">
        <v>106.6</v>
      </c>
      <c r="I1261" s="2238">
        <f>VLOOKUP(A1261,'Trial Balance - FPer'!$A$7:$I$1107,7,FALSE)</f>
        <v>188.6</v>
      </c>
      <c r="J1261" s="2100">
        <f>VLOOKUP(A1261,'Trial Balance - FPer'!$A$7:$I$1126,3,FALSE)</f>
        <v>196.8</v>
      </c>
    </row>
    <row r="1262" spans="1:10" ht="14.25" hidden="1" x14ac:dyDescent="0.2">
      <c r="A1262" s="2236" t="s">
        <v>5495</v>
      </c>
      <c r="B1262" s="2243" t="s">
        <v>6585</v>
      </c>
      <c r="C1262" s="2244">
        <f>'[2]Data File'!$C$1231</f>
        <v>5064.57</v>
      </c>
      <c r="D1262" s="2245">
        <v>6313.58</v>
      </c>
      <c r="E1262" s="2244">
        <v>2601.79</v>
      </c>
      <c r="F1262" s="2246">
        <v>6313.58</v>
      </c>
      <c r="G1262" s="2253">
        <v>5498.15</v>
      </c>
      <c r="H1262" s="2100">
        <v>3187.09</v>
      </c>
      <c r="I1262" s="2238">
        <f>VLOOKUP(A1262,'Trial Balance - FPer'!$A$7:$I$1107,7,FALSE)</f>
        <v>5236.16</v>
      </c>
      <c r="J1262" s="2100">
        <f>VLOOKUP(A1262,'Trial Balance - FPer'!$A$7:$I$1126,3,FALSE)</f>
        <v>5064.57</v>
      </c>
    </row>
    <row r="1263" spans="1:10" ht="14.25" hidden="1" x14ac:dyDescent="0.2">
      <c r="A1263" s="2236" t="s">
        <v>5496</v>
      </c>
      <c r="B1263" s="2243" t="s">
        <v>6586</v>
      </c>
      <c r="C1263" s="2244">
        <f>'[2]Data File'!$C$1233</f>
        <v>0</v>
      </c>
      <c r="D1263" s="2245">
        <v>3538.38</v>
      </c>
      <c r="E1263" s="2244">
        <v>0</v>
      </c>
      <c r="F1263" s="2246">
        <v>0</v>
      </c>
      <c r="G1263" s="2253">
        <v>887.19</v>
      </c>
      <c r="H1263" s="2100">
        <v>0</v>
      </c>
      <c r="I1263" s="2238">
        <f>VLOOKUP(A1263,'Trial Balance - FPer'!$A$7:$I$1107,7,FALSE)</f>
        <v>0</v>
      </c>
      <c r="J1263" s="2100" t="str">
        <f>VLOOKUP(A1263,'Trial Balance - FPer'!$A$7:$I$1126,3,FALSE)</f>
        <v xml:space="preserve">                               -  </v>
      </c>
    </row>
    <row r="1264" spans="1:10" ht="14.25" hidden="1" x14ac:dyDescent="0.2">
      <c r="A1264" s="2236" t="s">
        <v>5497</v>
      </c>
      <c r="B1264" s="2243" t="s">
        <v>6587</v>
      </c>
      <c r="C1264" s="2244">
        <f>'[2]Data File'!$C$1222</f>
        <v>24547.200000000001</v>
      </c>
      <c r="D1264" s="2245">
        <v>34367.040000000001</v>
      </c>
      <c r="E1264" s="2244">
        <v>6144</v>
      </c>
      <c r="F1264" s="2246">
        <v>15961.2</v>
      </c>
      <c r="G1264" s="2253">
        <v>17868.8</v>
      </c>
      <c r="H1264" s="2100">
        <v>7780.2</v>
      </c>
      <c r="I1264" s="2238">
        <f>VLOOKUP(A1264,'Trial Balance - FPer'!$A$7:$I$1107,7,FALSE)</f>
        <v>15961.2</v>
      </c>
      <c r="J1264" s="2100">
        <f>VLOOKUP(A1264,'Trial Balance - FPer'!$A$7:$I$1126,3,FALSE)</f>
        <v>24547.200000000001</v>
      </c>
    </row>
    <row r="1265" spans="1:10" ht="14.25" hidden="1" x14ac:dyDescent="0.2">
      <c r="A1265" s="2236" t="s">
        <v>5498</v>
      </c>
      <c r="B1265" s="2243" t="s">
        <v>6013</v>
      </c>
      <c r="C1265" s="2244">
        <f>'[2]Data File'!$C$1223</f>
        <v>62746.64</v>
      </c>
      <c r="D1265" s="2245">
        <v>69721.69</v>
      </c>
      <c r="E1265" s="2244">
        <v>35482.15</v>
      </c>
      <c r="F1265" s="2246">
        <v>82485.31</v>
      </c>
      <c r="G1265" s="2253">
        <v>70866.84</v>
      </c>
      <c r="H1265" s="2100">
        <v>43316.01</v>
      </c>
      <c r="I1265" s="2238">
        <f>VLOOKUP(A1265,'Trial Balance - FPer'!$A$7:$I$1107,7,FALSE)</f>
        <v>82485.31</v>
      </c>
      <c r="J1265" s="2100">
        <f>VLOOKUP(A1265,'Trial Balance - FPer'!$A$7:$I$1126,3,FALSE)</f>
        <v>62746.64</v>
      </c>
    </row>
    <row r="1266" spans="1:10" ht="14.25" hidden="1" x14ac:dyDescent="0.2">
      <c r="A1266" s="2236" t="s">
        <v>5499</v>
      </c>
      <c r="B1266" s="2247" t="s">
        <v>6014</v>
      </c>
      <c r="C1266" s="2248">
        <f>'[2]Data File'!$C$1224</f>
        <v>3848.31</v>
      </c>
      <c r="D1266" s="2249">
        <v>5008.21</v>
      </c>
      <c r="E1266" s="2248">
        <v>1829.55</v>
      </c>
      <c r="F1266" s="2250">
        <v>4006.38</v>
      </c>
      <c r="G1266" s="2248">
        <v>4006.38</v>
      </c>
      <c r="H1266" s="2100">
        <v>2133.36</v>
      </c>
      <c r="I1266" s="2238">
        <f>VLOOKUP(A1266,'Trial Balance - FPer'!$A$7:$I$1107,7,FALSE)</f>
        <v>3669.18</v>
      </c>
      <c r="J1266" s="2100">
        <f>VLOOKUP(A1266,'Trial Balance - FPer'!$A$7:$I$1126,3,FALSE)</f>
        <v>3848.31</v>
      </c>
    </row>
    <row r="1267" spans="1:10" s="2615" customFormat="1" hidden="1" x14ac:dyDescent="0.2">
      <c r="A1267" s="2612"/>
      <c r="B1267" s="2613" t="s">
        <v>6588</v>
      </c>
      <c r="C1267" s="2614">
        <f>SUM(C1257:C1266)</f>
        <v>538562.55000000005</v>
      </c>
      <c r="D1267" s="2614">
        <f>SUM(D1257:D1266)</f>
        <v>739463.62000000011</v>
      </c>
      <c r="E1267" s="2614">
        <f>SUM(E1257:E1266)</f>
        <v>262263.53000000003</v>
      </c>
      <c r="F1267" s="2614">
        <f>SUM(F1257:F1266)</f>
        <v>606677.74</v>
      </c>
      <c r="G1267" s="2614">
        <f>SUM(G1257:G1266)</f>
        <v>579471.2300000001</v>
      </c>
      <c r="H1267" s="2614">
        <f t="shared" ref="H1267" si="121">SUM(H1257:H1266)</f>
        <v>335672.47000000003</v>
      </c>
      <c r="I1267" s="2614">
        <f>SUM(I1257:I1266)</f>
        <v>603207.85</v>
      </c>
      <c r="J1267" s="2614">
        <f>SUM(J1257:J1266)</f>
        <v>538562.55000000005</v>
      </c>
    </row>
    <row r="1268" spans="1:10" ht="14.25" hidden="1" x14ac:dyDescent="0.2">
      <c r="A1268" s="2236"/>
      <c r="B1268" s="2243"/>
      <c r="C1268" s="2244"/>
      <c r="D1268" s="2245"/>
      <c r="E1268" s="2244"/>
      <c r="F1268" s="2246"/>
      <c r="G1268" s="2244"/>
      <c r="H1268" s="2244"/>
      <c r="I1268" s="2238" t="e">
        <f>VLOOKUP(A1268,'Trial Balance - FPer'!$A$7:$I$1107,7,FALSE)</f>
        <v>#N/A</v>
      </c>
      <c r="J1268" s="2100" t="e">
        <f>VLOOKUP(A1268,'Trial Balance - FPer'!$A$7:$I$1126,3,FALSE)</f>
        <v>#N/A</v>
      </c>
    </row>
    <row r="1269" spans="1:10" ht="14.25" hidden="1" x14ac:dyDescent="0.2">
      <c r="A1269" s="2236"/>
      <c r="B1269" s="2242" t="s">
        <v>6738</v>
      </c>
      <c r="C1269" s="2244"/>
      <c r="D1269" s="2245"/>
      <c r="E1269" s="2244"/>
      <c r="F1269" s="2246"/>
      <c r="G1269" s="2244"/>
      <c r="H1269" s="2244"/>
      <c r="I1269" s="2238" t="e">
        <f>VLOOKUP(A1269,'Trial Balance - FPer'!$A$7:$I$1107,7,FALSE)</f>
        <v>#N/A</v>
      </c>
      <c r="J1269" s="2100" t="e">
        <f>VLOOKUP(A1269,'Trial Balance - FPer'!$A$7:$I$1126,3,FALSE)</f>
        <v>#N/A</v>
      </c>
    </row>
    <row r="1270" spans="1:10" ht="14.25" hidden="1" x14ac:dyDescent="0.2">
      <c r="A1270" s="2236" t="s">
        <v>5500</v>
      </c>
      <c r="B1270" s="2243" t="s">
        <v>6601</v>
      </c>
      <c r="C1270" s="2244">
        <f>'[2]Data File'!$C$1237</f>
        <v>171.05</v>
      </c>
      <c r="D1270" s="2245">
        <v>337.72</v>
      </c>
      <c r="E1270" s="2244">
        <v>0</v>
      </c>
      <c r="F1270" s="2246">
        <v>0</v>
      </c>
      <c r="G1270" s="2253">
        <v>84.86</v>
      </c>
      <c r="H1270" s="2100">
        <v>0</v>
      </c>
      <c r="I1270" s="2238">
        <f>VLOOKUP(A1270,'Trial Balance - FPer'!$A$7:$I$1107,7,FALSE)</f>
        <v>0</v>
      </c>
      <c r="J1270" s="2100">
        <f>VLOOKUP(A1270,'Trial Balance - FPer'!$A$7:$I$1126,3,FALSE)</f>
        <v>171.05</v>
      </c>
    </row>
    <row r="1271" spans="1:10" ht="14.25" hidden="1" x14ac:dyDescent="0.2">
      <c r="A1271" s="2236" t="s">
        <v>5501</v>
      </c>
      <c r="B1271" s="2243" t="s">
        <v>6105</v>
      </c>
      <c r="C1271" s="2244">
        <f>'[2]Data File'!$C$1239</f>
        <v>0</v>
      </c>
      <c r="D1271" s="2245">
        <v>0</v>
      </c>
      <c r="E1271" s="2244">
        <v>0</v>
      </c>
      <c r="F1271" s="2246">
        <v>0</v>
      </c>
      <c r="G1271" s="2253">
        <v>0</v>
      </c>
      <c r="H1271" s="2100">
        <v>0</v>
      </c>
      <c r="I1271" s="2238">
        <f>VLOOKUP(A1271,'Trial Balance - FPer'!$A$7:$I$1107,7,FALSE)</f>
        <v>0</v>
      </c>
      <c r="J1271" s="2100">
        <f>VLOOKUP(A1271,'Trial Balance - FPer'!$A$7:$I$1126,3,FALSE)</f>
        <v>0</v>
      </c>
    </row>
    <row r="1272" spans="1:10" ht="14.25" hidden="1" x14ac:dyDescent="0.2">
      <c r="A1272" s="2236" t="s">
        <v>5502</v>
      </c>
      <c r="B1272" s="2243" t="s">
        <v>6608</v>
      </c>
      <c r="C1272" s="2244">
        <f>'[2]Data File'!$C$1240</f>
        <v>0</v>
      </c>
      <c r="D1272" s="2245">
        <v>205.96</v>
      </c>
      <c r="E1272" s="2244">
        <v>0</v>
      </c>
      <c r="F1272" s="2246">
        <v>0</v>
      </c>
      <c r="G1272" s="2253">
        <v>51.98</v>
      </c>
      <c r="H1272" s="2100">
        <v>0</v>
      </c>
      <c r="I1272" s="2238">
        <f>VLOOKUP(A1272,'Trial Balance - FPer'!$A$7:$I$1107,7,FALSE)</f>
        <v>0</v>
      </c>
      <c r="J1272" s="2100" t="str">
        <f>VLOOKUP(A1272,'Trial Balance - FPer'!$A$7:$I$1126,3,FALSE)</f>
        <v xml:space="preserve">                               -  </v>
      </c>
    </row>
    <row r="1273" spans="1:10" ht="14.25" hidden="1" x14ac:dyDescent="0.2">
      <c r="A1273" s="2236" t="s">
        <v>5503</v>
      </c>
      <c r="B1273" s="2243" t="s">
        <v>6028</v>
      </c>
      <c r="C1273" s="2244">
        <f>'[2]Data File'!$C$1241</f>
        <v>0</v>
      </c>
      <c r="D1273" s="2245">
        <v>0</v>
      </c>
      <c r="E1273" s="2244">
        <v>0</v>
      </c>
      <c r="F1273" s="2246">
        <v>0</v>
      </c>
      <c r="G1273" s="2253">
        <v>0</v>
      </c>
      <c r="H1273" s="2100">
        <v>0</v>
      </c>
      <c r="I1273" s="2238">
        <f>VLOOKUP(A1273,'Trial Balance - FPer'!$A$7:$I$1107,7,FALSE)</f>
        <v>0</v>
      </c>
      <c r="J1273" s="2100">
        <f>VLOOKUP(A1273,'Trial Balance - FPer'!$A$7:$I$1126,3,FALSE)</f>
        <v>0</v>
      </c>
    </row>
    <row r="1274" spans="1:10" ht="14.25" hidden="1" x14ac:dyDescent="0.2">
      <c r="A1274" s="2236" t="s">
        <v>5504</v>
      </c>
      <c r="B1274" s="2243" t="s">
        <v>6609</v>
      </c>
      <c r="C1274" s="2244">
        <f>'[2]Data File'!$C$1242</f>
        <v>5280.2</v>
      </c>
      <c r="D1274" s="2245">
        <v>528</v>
      </c>
      <c r="E1274" s="2244">
        <v>24463.200000000001</v>
      </c>
      <c r="F1274" s="2246">
        <v>40000</v>
      </c>
      <c r="G1274" s="2253">
        <v>36826.800000000003</v>
      </c>
      <c r="H1274" s="2100">
        <v>24639.200000000001</v>
      </c>
      <c r="I1274" s="2238">
        <f>VLOOKUP(A1274,'Trial Balance - FPer'!$A$7:$I$1107,7,FALSE)</f>
        <v>56055.77</v>
      </c>
      <c r="J1274" s="2100">
        <f>VLOOKUP(A1274,'Trial Balance - FPer'!$A$7:$I$1126,3,FALSE)</f>
        <v>5280.2</v>
      </c>
    </row>
    <row r="1275" spans="1:10" ht="14.25" hidden="1" x14ac:dyDescent="0.2">
      <c r="A1275" s="2236" t="s">
        <v>5505</v>
      </c>
      <c r="B1275" s="2243" t="s">
        <v>6610</v>
      </c>
      <c r="C1275" s="2244">
        <f>'[2]Data File'!$C$1243</f>
        <v>58159.32</v>
      </c>
      <c r="D1275" s="2245">
        <v>12260.6</v>
      </c>
      <c r="E1275" s="2244">
        <v>10188.98</v>
      </c>
      <c r="F1275" s="2246">
        <v>35000</v>
      </c>
      <c r="G1275" s="2253">
        <v>18396.55</v>
      </c>
      <c r="H1275" s="2100">
        <v>20990.79</v>
      </c>
      <c r="I1275" s="2238">
        <f>VLOOKUP(A1275,'Trial Balance - FPer'!$A$7:$I$1107,7,FALSE)</f>
        <v>29969.58</v>
      </c>
      <c r="J1275" s="2100">
        <f>VLOOKUP(A1275,'Trial Balance - FPer'!$A$7:$I$1126,3,FALSE)</f>
        <v>58159.32</v>
      </c>
    </row>
    <row r="1276" spans="1:10" ht="14.25" hidden="1" x14ac:dyDescent="0.2">
      <c r="A1276" s="2236" t="s">
        <v>5506</v>
      </c>
      <c r="B1276" s="2247" t="s">
        <v>6033</v>
      </c>
      <c r="C1276" s="2248">
        <f>'[2]Data File'!$C$1244</f>
        <v>375</v>
      </c>
      <c r="D1276" s="2249">
        <v>412.57</v>
      </c>
      <c r="E1276" s="2248">
        <v>0</v>
      </c>
      <c r="F1276" s="2250">
        <v>0</v>
      </c>
      <c r="G1276" s="2248">
        <v>104.29</v>
      </c>
      <c r="H1276" s="2100">
        <v>0</v>
      </c>
      <c r="I1276" s="2238">
        <f>VLOOKUP(A1276,'Trial Balance - FPer'!$A$7:$I$1107,7,FALSE)</f>
        <v>0</v>
      </c>
      <c r="J1276" s="2100">
        <f>VLOOKUP(A1276,'Trial Balance - FPer'!$A$7:$I$1126,3,FALSE)</f>
        <v>0</v>
      </c>
    </row>
    <row r="1277" spans="1:10" s="2615" customFormat="1" hidden="1" x14ac:dyDescent="0.2">
      <c r="A1277" s="2612"/>
      <c r="B1277" s="2613" t="s">
        <v>6779</v>
      </c>
      <c r="C1277" s="2614">
        <f>SUM(C1270:C1276)</f>
        <v>63985.57</v>
      </c>
      <c r="D1277" s="2614">
        <f>SUM(D1270:D1276)</f>
        <v>13744.85</v>
      </c>
      <c r="E1277" s="2614">
        <f>SUM(E1270:E1276)</f>
        <v>34652.18</v>
      </c>
      <c r="F1277" s="2614">
        <f>SUM(F1270:F1276)</f>
        <v>75000</v>
      </c>
      <c r="G1277" s="2614">
        <f>SUM(G1270:G1276)</f>
        <v>55464.480000000003</v>
      </c>
      <c r="H1277" s="2614">
        <f t="shared" ref="H1277" si="122">SUM(H1270:H1276)</f>
        <v>45629.990000000005</v>
      </c>
      <c r="I1277" s="2614">
        <f>SUM(I1270:I1276)</f>
        <v>86025.35</v>
      </c>
      <c r="J1277" s="2614">
        <f>SUM(J1270:J1276)</f>
        <v>63610.57</v>
      </c>
    </row>
    <row r="1278" spans="1:10" ht="14.25" hidden="1" x14ac:dyDescent="0.2">
      <c r="A1278" s="2236"/>
      <c r="B1278" s="2243"/>
      <c r="C1278" s="2244"/>
      <c r="D1278" s="2245"/>
      <c r="E1278" s="2244"/>
      <c r="F1278" s="2246"/>
      <c r="G1278" s="2244"/>
      <c r="H1278" s="2244"/>
      <c r="I1278" s="2238" t="e">
        <f>VLOOKUP(A1278,'Trial Balance - FPer'!$A$7:$I$1107,7,FALSE)</f>
        <v>#N/A</v>
      </c>
      <c r="J1278" s="2100" t="e">
        <f>VLOOKUP(A1278,'Trial Balance - FPer'!$A$7:$I$1126,3,FALSE)</f>
        <v>#N/A</v>
      </c>
    </row>
    <row r="1279" spans="1:10" ht="14.25" hidden="1" x14ac:dyDescent="0.2">
      <c r="A1279" s="2236"/>
      <c r="B1279" s="2242" t="s">
        <v>6615</v>
      </c>
      <c r="C1279" s="2244"/>
      <c r="D1279" s="2245"/>
      <c r="E1279" s="2244"/>
      <c r="F1279" s="2246"/>
      <c r="G1279" s="2244"/>
      <c r="H1279" s="2244"/>
      <c r="I1279" s="2238" t="e">
        <f>VLOOKUP(A1279,'Trial Balance - FPer'!$A$7:$I$1107,7,FALSE)</f>
        <v>#N/A</v>
      </c>
      <c r="J1279" s="2100" t="e">
        <f>VLOOKUP(A1279,'Trial Balance - FPer'!$A$7:$I$1126,3,FALSE)</f>
        <v>#N/A</v>
      </c>
    </row>
    <row r="1280" spans="1:10" ht="14.25" hidden="1" x14ac:dyDescent="0.2">
      <c r="A1280" s="2236" t="s">
        <v>5507</v>
      </c>
      <c r="B1280" s="2247" t="s">
        <v>6616</v>
      </c>
      <c r="C1280" s="2248">
        <f>'[2]Data File'!$C$1250</f>
        <v>0</v>
      </c>
      <c r="D1280" s="2249">
        <v>412.57</v>
      </c>
      <c r="E1280" s="2248">
        <v>0</v>
      </c>
      <c r="F1280" s="2250">
        <v>0</v>
      </c>
      <c r="G1280" s="2248">
        <v>104.29</v>
      </c>
      <c r="H1280" s="2244">
        <v>0</v>
      </c>
      <c r="I1280" s="2238">
        <f>VLOOKUP(A1280,'Trial Balance - FPer'!$A$7:$I$1107,7,FALSE)</f>
        <v>0</v>
      </c>
      <c r="J1280" s="2100" t="str">
        <f>VLOOKUP(A1280,'Trial Balance - FPer'!$A$7:$I$1126,3,FALSE)</f>
        <v xml:space="preserve">                               -  </v>
      </c>
    </row>
    <row r="1281" spans="1:10" s="2615" customFormat="1" hidden="1" x14ac:dyDescent="0.2">
      <c r="A1281" s="2612"/>
      <c r="B1281" s="2613" t="s">
        <v>6618</v>
      </c>
      <c r="C1281" s="2614">
        <f>SUM(C1280)</f>
        <v>0</v>
      </c>
      <c r="D1281" s="2614">
        <f>SUM(D1280)</f>
        <v>412.57</v>
      </c>
      <c r="E1281" s="2614">
        <f>SUM(E1280)</f>
        <v>0</v>
      </c>
      <c r="F1281" s="2614">
        <f>SUM(F1280)</f>
        <v>0</v>
      </c>
      <c r="G1281" s="2614">
        <f>SUM(G1280)</f>
        <v>104.29</v>
      </c>
      <c r="H1281" s="2614">
        <f t="shared" ref="H1281" si="123">SUM(H1280)</f>
        <v>0</v>
      </c>
      <c r="I1281" s="2614">
        <f>SUM(I1280)</f>
        <v>0</v>
      </c>
      <c r="J1281" s="2614">
        <f>SUM(J1280)</f>
        <v>0</v>
      </c>
    </row>
    <row r="1282" spans="1:10" ht="14.25" hidden="1" x14ac:dyDescent="0.2">
      <c r="A1282" s="2236"/>
      <c r="B1282" s="2243"/>
      <c r="C1282" s="2244"/>
      <c r="D1282" s="2245"/>
      <c r="E1282" s="2244"/>
      <c r="F1282" s="2246"/>
      <c r="G1282" s="2244"/>
      <c r="H1282" s="2244"/>
      <c r="I1282" s="2238" t="e">
        <f>VLOOKUP(A1282,'Trial Balance - FPer'!$A$7:$I$1107,7,FALSE)</f>
        <v>#N/A</v>
      </c>
      <c r="J1282" s="2100" t="e">
        <f>VLOOKUP(A1282,'Trial Balance - FPer'!$A$7:$I$1126,3,FALSE)</f>
        <v>#N/A</v>
      </c>
    </row>
    <row r="1283" spans="1:10" ht="14.25" hidden="1" x14ac:dyDescent="0.2">
      <c r="A1283" s="2236"/>
      <c r="B1283" s="2242" t="s">
        <v>6619</v>
      </c>
      <c r="C1283" s="2244"/>
      <c r="D1283" s="2245"/>
      <c r="E1283" s="2244"/>
      <c r="F1283" s="2246"/>
      <c r="G1283" s="2244"/>
      <c r="H1283" s="2244"/>
      <c r="I1283" s="2238" t="e">
        <f>VLOOKUP(A1283,'Trial Balance - FPer'!$A$7:$I$1107,7,FALSE)</f>
        <v>#N/A</v>
      </c>
      <c r="J1283" s="2100" t="e">
        <f>VLOOKUP(A1283,'Trial Balance - FPer'!$A$7:$I$1126,3,FALSE)</f>
        <v>#N/A</v>
      </c>
    </row>
    <row r="1284" spans="1:10" ht="14.25" hidden="1" x14ac:dyDescent="0.2">
      <c r="A1284" s="2236" t="s">
        <v>5508</v>
      </c>
      <c r="B1284" s="2243" t="s">
        <v>6620</v>
      </c>
      <c r="C1284" s="2244">
        <f>'[2]Data File'!$C$1254</f>
        <v>79636.91</v>
      </c>
      <c r="D1284" s="2245">
        <v>2993.96</v>
      </c>
      <c r="E1284" s="2244">
        <v>0</v>
      </c>
      <c r="F1284" s="2246">
        <v>2993.96</v>
      </c>
      <c r="G1284" s="2244">
        <v>752.98</v>
      </c>
      <c r="H1284" s="2244">
        <v>0</v>
      </c>
      <c r="I1284" s="2238">
        <f>VLOOKUP(A1284,'Trial Balance - FPer'!$A$7:$I$1107,7,FALSE)</f>
        <v>0</v>
      </c>
      <c r="J1284" s="2100">
        <f>VLOOKUP(A1284,'Trial Balance - FPer'!$A$7:$I$1126,3,FALSE)</f>
        <v>79636.91</v>
      </c>
    </row>
    <row r="1285" spans="1:10" ht="14.25" hidden="1" x14ac:dyDescent="0.2">
      <c r="A1285" s="2236" t="s">
        <v>5509</v>
      </c>
      <c r="B1285" s="2247" t="s">
        <v>6621</v>
      </c>
      <c r="C1285" s="2248">
        <f>'[2]Data File'!$C$1257</f>
        <v>10661.5</v>
      </c>
      <c r="D1285" s="2249">
        <v>1565.74</v>
      </c>
      <c r="E1285" s="2248">
        <v>0</v>
      </c>
      <c r="F1285" s="2250">
        <v>1565.74</v>
      </c>
      <c r="G1285" s="2248">
        <v>392.87</v>
      </c>
      <c r="H1285" s="2244">
        <v>0</v>
      </c>
      <c r="I1285" s="2238">
        <f>VLOOKUP(A1285,'Trial Balance - FPer'!$A$7:$I$1107,7,FALSE)</f>
        <v>0</v>
      </c>
      <c r="J1285" s="2100">
        <f>VLOOKUP(A1285,'Trial Balance - FPer'!$A$7:$I$1126,3,FALSE)</f>
        <v>10661.5</v>
      </c>
    </row>
    <row r="1286" spans="1:10" s="2615" customFormat="1" hidden="1" x14ac:dyDescent="0.2">
      <c r="A1286" s="2612"/>
      <c r="B1286" s="2613" t="s">
        <v>6622</v>
      </c>
      <c r="C1286" s="2614">
        <f>SUM(C1284:C1285)</f>
        <v>90298.41</v>
      </c>
      <c r="D1286" s="2614">
        <f>SUM(D1284:D1285)</f>
        <v>4559.7</v>
      </c>
      <c r="E1286" s="2614">
        <f>SUM(E1284:E1285)</f>
        <v>0</v>
      </c>
      <c r="F1286" s="2614">
        <f>SUM(F1284:F1285)</f>
        <v>4559.7</v>
      </c>
      <c r="G1286" s="2614">
        <f>SUM(G1284:G1285)</f>
        <v>1145.8499999999999</v>
      </c>
      <c r="H1286" s="2614">
        <f t="shared" ref="H1286" si="124">SUM(H1284:H1285)</f>
        <v>0</v>
      </c>
      <c r="I1286" s="2614">
        <f>SUM(I1284:I1285)</f>
        <v>0</v>
      </c>
      <c r="J1286" s="2614">
        <f>SUM(J1284:J1285)</f>
        <v>90298.41</v>
      </c>
    </row>
    <row r="1287" spans="1:10" ht="14.25" hidden="1" x14ac:dyDescent="0.2">
      <c r="A1287" s="2236"/>
      <c r="B1287" s="2243"/>
      <c r="C1287" s="2244"/>
      <c r="D1287" s="2245"/>
      <c r="E1287" s="2244"/>
      <c r="F1287" s="2246"/>
      <c r="G1287" s="2244"/>
      <c r="H1287" s="2244"/>
      <c r="I1287" s="2238" t="e">
        <f>VLOOKUP(A1287,'Trial Balance - FPer'!$A$7:$I$1107,7,FALSE)</f>
        <v>#N/A</v>
      </c>
      <c r="J1287" s="2100" t="e">
        <f>VLOOKUP(A1287,'Trial Balance - FPer'!$A$7:$I$1126,3,FALSE)</f>
        <v>#N/A</v>
      </c>
    </row>
    <row r="1288" spans="1:10" s="2615" customFormat="1" ht="13.5" thickBot="1" x14ac:dyDescent="0.25">
      <c r="A1288" s="2612"/>
      <c r="B1288" s="2616" t="s">
        <v>6623</v>
      </c>
      <c r="C1288" s="2617">
        <f>C1286+C1281+C1277+C1267</f>
        <v>692846.53</v>
      </c>
      <c r="D1288" s="2617">
        <f>D1286+D1281+D1277+D1267</f>
        <v>758180.74000000011</v>
      </c>
      <c r="E1288" s="2617">
        <f>E1286+E1281+E1277+E1267</f>
        <v>296915.71000000002</v>
      </c>
      <c r="F1288" s="2617">
        <f>F1286+F1281+F1277+F1267</f>
        <v>686237.44</v>
      </c>
      <c r="G1288" s="2617">
        <f>G1286+G1281+G1277+G1267</f>
        <v>636185.85000000009</v>
      </c>
      <c r="H1288" s="2617">
        <f t="shared" ref="H1288" si="125">H1286+H1281+H1277+H1267</f>
        <v>381302.46</v>
      </c>
      <c r="I1288" s="2617">
        <f>I1286+I1281+I1277+I1267</f>
        <v>689233.2</v>
      </c>
      <c r="J1288" s="2617">
        <f>J1286+J1281+J1277+J1267</f>
        <v>692471.53</v>
      </c>
    </row>
    <row r="1289" spans="1:10" ht="15" thickTop="1" x14ac:dyDescent="0.2">
      <c r="A1289" s="2236"/>
      <c r="B1289" s="2243"/>
      <c r="C1289" s="2244"/>
      <c r="D1289" s="2245"/>
      <c r="E1289" s="2244"/>
      <c r="F1289" s="2246"/>
      <c r="G1289" s="2244"/>
      <c r="H1289" s="2244"/>
      <c r="I1289" s="2238" t="e">
        <f>VLOOKUP(A1289,'Trial Balance - FPer'!$A$7:$I$1107,7,FALSE)</f>
        <v>#N/A</v>
      </c>
      <c r="J1289" s="2100" t="e">
        <f>VLOOKUP(A1289,'Trial Balance - FPer'!$A$7:$I$1126,3,FALSE)</f>
        <v>#N/A</v>
      </c>
    </row>
    <row r="1290" spans="1:10" s="2615" customFormat="1" ht="13.5" thickBot="1" x14ac:dyDescent="0.25">
      <c r="A1290" s="2612"/>
      <c r="B1290" s="2616" t="s">
        <v>6624</v>
      </c>
      <c r="C1290" s="2617">
        <f>C1253-C1288</f>
        <v>-241049.34000000003</v>
      </c>
      <c r="D1290" s="2617">
        <f>D1253-D1288</f>
        <v>-1.0000000125728548E-2</v>
      </c>
      <c r="E1290" s="2617">
        <f>E1253-E1288</f>
        <v>-138523.64000000001</v>
      </c>
      <c r="F1290" s="2617">
        <f>F1253-F1288</f>
        <v>0</v>
      </c>
      <c r="G1290" s="2617">
        <f>G1253-G1288</f>
        <v>-97187.050000000047</v>
      </c>
      <c r="H1290" s="2617">
        <f t="shared" ref="H1290:J1290" si="126">H1253-H1288</f>
        <v>-381302.46</v>
      </c>
      <c r="I1290" s="2617">
        <f t="shared" si="126"/>
        <v>-1050223.6599999999</v>
      </c>
      <c r="J1290" s="2617">
        <f t="shared" si="126"/>
        <v>-1144268.72</v>
      </c>
    </row>
    <row r="1291" spans="1:10" ht="15" thickTop="1" x14ac:dyDescent="0.2">
      <c r="A1291" s="2236"/>
      <c r="B1291" s="2243"/>
      <c r="C1291" s="2244"/>
      <c r="D1291" s="2245"/>
      <c r="E1291" s="2244"/>
      <c r="F1291" s="2246"/>
      <c r="G1291" s="2244"/>
      <c r="H1291" s="2244"/>
      <c r="I1291" s="2238" t="e">
        <f>VLOOKUP(A1291,'Trial Balance - FPer'!$A$7:$I$1107,7,FALSE)</f>
        <v>#N/A</v>
      </c>
      <c r="J1291" s="2100" t="e">
        <f>VLOOKUP(A1291,'Trial Balance - FPer'!$A$7:$I$1126,3,FALSE)</f>
        <v>#N/A</v>
      </c>
    </row>
    <row r="1292" spans="1:10" ht="15" x14ac:dyDescent="0.25">
      <c r="A1292" s="2241" t="s">
        <v>6787</v>
      </c>
      <c r="B1292" s="2237" t="s">
        <v>6788</v>
      </c>
      <c r="C1292" s="2244"/>
      <c r="D1292" s="2245"/>
      <c r="E1292" s="2244"/>
      <c r="F1292" s="2246"/>
      <c r="G1292" s="2244"/>
      <c r="H1292" s="2244"/>
      <c r="I1292" s="2238" t="e">
        <f>VLOOKUP(A1292,'Trial Balance - FPer'!$A$7:$I$1107,7,FALSE)</f>
        <v>#N/A</v>
      </c>
      <c r="J1292" s="2100" t="e">
        <f>VLOOKUP(A1292,'Trial Balance - FPer'!$A$7:$I$1126,3,FALSE)</f>
        <v>#N/A</v>
      </c>
    </row>
    <row r="1293" spans="1:10" ht="14.25" x14ac:dyDescent="0.2">
      <c r="A1293" s="2236"/>
      <c r="B1293" s="2243"/>
      <c r="C1293" s="2244"/>
      <c r="D1293" s="2245"/>
      <c r="E1293" s="2244"/>
      <c r="F1293" s="2246"/>
      <c r="G1293" s="2244"/>
      <c r="H1293" s="2244"/>
      <c r="I1293" s="2238" t="e">
        <f>VLOOKUP(A1293,'Trial Balance - FPer'!$A$7:$I$1107,7,FALSE)</f>
        <v>#N/A</v>
      </c>
      <c r="J1293" s="2100" t="e">
        <f>VLOOKUP(A1293,'Trial Balance - FPer'!$A$7:$I$1126,3,FALSE)</f>
        <v>#N/A</v>
      </c>
    </row>
    <row r="1294" spans="1:10" ht="14.25" x14ac:dyDescent="0.2">
      <c r="A1294" s="2236"/>
      <c r="B1294" s="2242" t="s">
        <v>247</v>
      </c>
      <c r="C1294" s="2244"/>
      <c r="D1294" s="2245"/>
      <c r="E1294" s="2244"/>
      <c r="F1294" s="2246"/>
      <c r="G1294" s="2244"/>
      <c r="H1294" s="2244"/>
      <c r="I1294" s="2238" t="e">
        <f>VLOOKUP(A1294,'Trial Balance - FPer'!$A$7:$I$1107,7,FALSE)</f>
        <v>#N/A</v>
      </c>
      <c r="J1294" s="2100" t="e">
        <f>VLOOKUP(A1294,'Trial Balance - FPer'!$A$7:$I$1126,3,FALSE)</f>
        <v>#N/A</v>
      </c>
    </row>
    <row r="1295" spans="1:10" ht="14.25" hidden="1" x14ac:dyDescent="0.2">
      <c r="A1295" s="2236"/>
      <c r="B1295" s="2242" t="s">
        <v>6789</v>
      </c>
      <c r="C1295" s="2244"/>
      <c r="D1295" s="2245"/>
      <c r="E1295" s="2244"/>
      <c r="F1295" s="2246"/>
      <c r="G1295" s="2244"/>
      <c r="H1295" s="2244"/>
      <c r="I1295" s="2238" t="e">
        <f>VLOOKUP(A1295,'Trial Balance - FPer'!$A$7:$I$1107,7,FALSE)</f>
        <v>#N/A</v>
      </c>
      <c r="J1295" s="2100" t="e">
        <f>VLOOKUP(A1295,'Trial Balance - FPer'!$A$7:$I$1126,3,FALSE)</f>
        <v>#N/A</v>
      </c>
    </row>
    <row r="1296" spans="1:10" ht="14.25" hidden="1" x14ac:dyDescent="0.2">
      <c r="A1296" s="2236" t="s">
        <v>5549</v>
      </c>
      <c r="B1296" s="2247" t="s">
        <v>6207</v>
      </c>
      <c r="C1296" s="2248">
        <f>'[2]Data File'!$C$1275</f>
        <v>156055.32</v>
      </c>
      <c r="D1296" s="2249">
        <v>1210000</v>
      </c>
      <c r="E1296" s="2248">
        <v>95593</v>
      </c>
      <c r="F1296" s="2250">
        <v>50000</v>
      </c>
      <c r="G1296" s="2248">
        <v>703013</v>
      </c>
      <c r="H1296" s="2244"/>
      <c r="I1296" s="2238">
        <f>VLOOKUP(A1296,'Trial Balance - FPer'!$A$7:$I$1107,7,FALSE)</f>
        <v>-157143</v>
      </c>
      <c r="J1296" s="2100">
        <f>VLOOKUP(A1296,'Trial Balance - FPer'!$A$7:$I$1126,3,FALSE)</f>
        <v>-156055.32</v>
      </c>
    </row>
    <row r="1297" spans="1:10" s="2615" customFormat="1" hidden="1" x14ac:dyDescent="0.2">
      <c r="A1297" s="2612"/>
      <c r="B1297" s="2613" t="s">
        <v>6749</v>
      </c>
      <c r="C1297" s="2614">
        <f>SUM(C1296)</f>
        <v>156055.32</v>
      </c>
      <c r="D1297" s="2614">
        <f>SUM(D1296)</f>
        <v>1210000</v>
      </c>
      <c r="E1297" s="2614">
        <f>SUM(E1296)</f>
        <v>95593</v>
      </c>
      <c r="F1297" s="2614">
        <f>SUM(F1296)</f>
        <v>50000</v>
      </c>
      <c r="G1297" s="2614">
        <f>SUM(G1296)</f>
        <v>703013</v>
      </c>
      <c r="H1297" s="2614">
        <f t="shared" ref="H1297:J1297" si="127">SUM(H1296)</f>
        <v>0</v>
      </c>
      <c r="I1297" s="2614">
        <f t="shared" si="127"/>
        <v>-157143</v>
      </c>
      <c r="J1297" s="2614">
        <f t="shared" si="127"/>
        <v>-156055.32</v>
      </c>
    </row>
    <row r="1298" spans="1:10" ht="14.25" hidden="1" x14ac:dyDescent="0.2">
      <c r="A1298" s="2236"/>
      <c r="B1298" s="2243"/>
      <c r="C1298" s="2244"/>
      <c r="D1298" s="2245"/>
      <c r="E1298" s="2244"/>
      <c r="F1298" s="2246"/>
      <c r="G1298" s="2244"/>
      <c r="H1298" s="2244"/>
      <c r="I1298" s="2238" t="e">
        <f>VLOOKUP(A1298,'Trial Balance - FPer'!$A$7:$I$1107,7,FALSE)</f>
        <v>#N/A</v>
      </c>
      <c r="J1298" s="2100" t="e">
        <f>VLOOKUP(A1298,'Trial Balance - FPer'!$A$7:$I$1126,3,FALSE)</f>
        <v>#N/A</v>
      </c>
    </row>
    <row r="1299" spans="1:10" ht="14.25" hidden="1" x14ac:dyDescent="0.2">
      <c r="A1299" s="2236"/>
      <c r="B1299" s="2242" t="s">
        <v>6628</v>
      </c>
      <c r="C1299" s="2244"/>
      <c r="D1299" s="2245"/>
      <c r="E1299" s="2244"/>
      <c r="F1299" s="2246"/>
      <c r="G1299" s="2244"/>
      <c r="H1299" s="2244"/>
      <c r="I1299" s="2238" t="e">
        <f>VLOOKUP(A1299,'Trial Balance - FPer'!$A$7:$I$1107,7,FALSE)</f>
        <v>#N/A</v>
      </c>
      <c r="J1299" s="2100" t="e">
        <f>VLOOKUP(A1299,'Trial Balance - FPer'!$A$7:$I$1126,3,FALSE)</f>
        <v>#N/A</v>
      </c>
    </row>
    <row r="1300" spans="1:10" ht="14.25" hidden="1" x14ac:dyDescent="0.2">
      <c r="A1300" s="2236" t="s">
        <v>5550</v>
      </c>
      <c r="B1300" s="2247" t="s">
        <v>6659</v>
      </c>
      <c r="C1300" s="2248">
        <f>'[2]Data File'!$C$1271</f>
        <v>0</v>
      </c>
      <c r="D1300" s="2249">
        <v>915745.23</v>
      </c>
      <c r="E1300" s="2248">
        <v>0</v>
      </c>
      <c r="F1300" s="2250">
        <v>1113936.5</v>
      </c>
      <c r="G1300" s="2248">
        <v>459703.23</v>
      </c>
      <c r="H1300" s="2244"/>
      <c r="I1300" s="2238">
        <f>VLOOKUP(A1300,'Trial Balance - FPer'!$A$7:$I$1107,7,FALSE)</f>
        <v>0</v>
      </c>
      <c r="J1300" s="2100">
        <f>VLOOKUP(A1300,'Trial Balance - FPer'!$A$7:$I$1126,3,FALSE)</f>
        <v>0</v>
      </c>
    </row>
    <row r="1301" spans="1:10" s="2615" customFormat="1" hidden="1" x14ac:dyDescent="0.2">
      <c r="A1301" s="2612"/>
      <c r="B1301" s="2613" t="s">
        <v>6631</v>
      </c>
      <c r="C1301" s="2614">
        <f>SUM(C1300)</f>
        <v>0</v>
      </c>
      <c r="D1301" s="2614">
        <f>SUM(D1300)</f>
        <v>915745.23</v>
      </c>
      <c r="E1301" s="2614">
        <f>SUM(E1300)</f>
        <v>0</v>
      </c>
      <c r="F1301" s="2614">
        <f>SUM(F1300)</f>
        <v>1113936.5</v>
      </c>
      <c r="G1301" s="2614">
        <f>SUM(G1300)</f>
        <v>459703.23</v>
      </c>
      <c r="H1301" s="2614">
        <f t="shared" ref="H1301:J1301" si="128">SUM(H1300)</f>
        <v>0</v>
      </c>
      <c r="I1301" s="2614">
        <f t="shared" si="128"/>
        <v>0</v>
      </c>
      <c r="J1301" s="2614">
        <f t="shared" si="128"/>
        <v>0</v>
      </c>
    </row>
    <row r="1302" spans="1:10" ht="14.25" hidden="1" x14ac:dyDescent="0.2">
      <c r="A1302" s="2236"/>
      <c r="B1302" s="2243"/>
      <c r="C1302" s="2244"/>
      <c r="D1302" s="2245"/>
      <c r="E1302" s="2244"/>
      <c r="F1302" s="2246"/>
      <c r="G1302" s="2244"/>
      <c r="H1302" s="2244"/>
      <c r="I1302" s="2238" t="e">
        <f>VLOOKUP(A1302,'Trial Balance - FPer'!$A$7:$I$1107,7,FALSE)</f>
        <v>#N/A</v>
      </c>
      <c r="J1302" s="2100" t="e">
        <f>VLOOKUP(A1302,'Trial Balance - FPer'!$A$7:$I$1126,3,FALSE)</f>
        <v>#N/A</v>
      </c>
    </row>
    <row r="1303" spans="1:10" ht="14.25" hidden="1" x14ac:dyDescent="0.2">
      <c r="A1303" s="2236"/>
      <c r="B1303" s="2242" t="s">
        <v>1637</v>
      </c>
      <c r="C1303" s="2244"/>
      <c r="D1303" s="2245"/>
      <c r="E1303" s="2244"/>
      <c r="F1303" s="2246"/>
      <c r="G1303" s="2244"/>
      <c r="H1303" s="2244"/>
      <c r="I1303" s="2238" t="e">
        <f>VLOOKUP(A1303,'Trial Balance - FPer'!$A$7:$I$1107,7,FALSE)</f>
        <v>#N/A</v>
      </c>
      <c r="J1303" s="2100" t="e">
        <f>VLOOKUP(A1303,'Trial Balance - FPer'!$A$7:$I$1126,3,FALSE)</f>
        <v>#N/A</v>
      </c>
    </row>
    <row r="1304" spans="1:10" ht="14.25" hidden="1" x14ac:dyDescent="0.2">
      <c r="A1304" s="2236" t="s">
        <v>5551</v>
      </c>
      <c r="B1304" s="2247" t="s">
        <v>6666</v>
      </c>
      <c r="C1304" s="2248">
        <v>0</v>
      </c>
      <c r="D1304" s="2249">
        <v>0</v>
      </c>
      <c r="E1304" s="2248">
        <v>0</v>
      </c>
      <c r="F1304" s="2250"/>
      <c r="G1304" s="2248">
        <v>0</v>
      </c>
      <c r="H1304" s="2244"/>
      <c r="I1304" s="2238">
        <f>VLOOKUP(A1304,'Trial Balance - FPer'!$A$7:$I$1107,7,FALSE)</f>
        <v>0</v>
      </c>
      <c r="J1304" s="2100">
        <f>VLOOKUP(A1304,'Trial Balance - FPer'!$A$7:$I$1126,3,FALSE)</f>
        <v>0</v>
      </c>
    </row>
    <row r="1305" spans="1:10" s="2615" customFormat="1" hidden="1" x14ac:dyDescent="0.2">
      <c r="A1305" s="2612"/>
      <c r="B1305" s="2613" t="s">
        <v>6670</v>
      </c>
      <c r="C1305" s="2614">
        <f>SUM(C1304)</f>
        <v>0</v>
      </c>
      <c r="D1305" s="2614">
        <f>SUM(D1304)</f>
        <v>0</v>
      </c>
      <c r="E1305" s="2614">
        <f>SUM(E1304)</f>
        <v>0</v>
      </c>
      <c r="F1305" s="2614">
        <f>SUM(F1304)</f>
        <v>0</v>
      </c>
      <c r="G1305" s="2614">
        <f>SUM(G1304)</f>
        <v>0</v>
      </c>
      <c r="H1305" s="2614">
        <f t="shared" ref="H1305:J1305" si="129">SUM(H1304)</f>
        <v>0</v>
      </c>
      <c r="I1305" s="2614">
        <f t="shared" si="129"/>
        <v>0</v>
      </c>
      <c r="J1305" s="2614">
        <f t="shared" si="129"/>
        <v>0</v>
      </c>
    </row>
    <row r="1306" spans="1:10" ht="14.25" hidden="1" x14ac:dyDescent="0.2">
      <c r="A1306" s="2236"/>
      <c r="B1306" s="2243"/>
      <c r="C1306" s="2244"/>
      <c r="D1306" s="2245"/>
      <c r="E1306" s="2244"/>
      <c r="F1306" s="2246"/>
      <c r="G1306" s="2244"/>
      <c r="H1306" s="2244"/>
      <c r="I1306" s="2238" t="e">
        <f>VLOOKUP(A1306,'Trial Balance - FPer'!$A$7:$I$1107,7,FALSE)</f>
        <v>#N/A</v>
      </c>
      <c r="J1306" s="2100" t="e">
        <f>VLOOKUP(A1306,'Trial Balance - FPer'!$A$7:$I$1126,3,FALSE)</f>
        <v>#N/A</v>
      </c>
    </row>
    <row r="1307" spans="1:10" s="2615" customFormat="1" ht="13.5" thickBot="1" x14ac:dyDescent="0.25">
      <c r="A1307" s="2612"/>
      <c r="B1307" s="2616" t="s">
        <v>6579</v>
      </c>
      <c r="C1307" s="2617">
        <f>C1305+C1301+C1297</f>
        <v>156055.32</v>
      </c>
      <c r="D1307" s="2617">
        <f>D1305+D1301+D1297</f>
        <v>2125745.23</v>
      </c>
      <c r="E1307" s="2617">
        <f>E1305+E1301+E1297</f>
        <v>95593</v>
      </c>
      <c r="F1307" s="2617">
        <f>F1305+F1301+F1297</f>
        <v>1163936.5</v>
      </c>
      <c r="G1307" s="2617">
        <f>G1305+G1301+G1297</f>
        <v>1162716.23</v>
      </c>
      <c r="H1307" s="2617">
        <f t="shared" ref="H1307" si="130">H1305+H1301+H1297</f>
        <v>0</v>
      </c>
      <c r="I1307" s="2617">
        <f>I1305+I1301+I1297</f>
        <v>-157143</v>
      </c>
      <c r="J1307" s="2617">
        <f>J1305+J1301+J1297</f>
        <v>-156055.32</v>
      </c>
    </row>
    <row r="1308" spans="1:10" ht="15" thickTop="1" x14ac:dyDescent="0.2">
      <c r="A1308" s="2236"/>
      <c r="B1308" s="2243"/>
      <c r="C1308" s="2244"/>
      <c r="D1308" s="2245"/>
      <c r="E1308" s="2244"/>
      <c r="F1308" s="2246"/>
      <c r="G1308" s="2244"/>
      <c r="H1308" s="2244"/>
      <c r="I1308" s="2238" t="e">
        <f>VLOOKUP(A1308,'Trial Balance - FPer'!$A$7:$I$1107,7,FALSE)</f>
        <v>#N/A</v>
      </c>
      <c r="J1308" s="2100" t="e">
        <f>VLOOKUP(A1308,'Trial Balance - FPer'!$A$7:$I$1126,3,FALSE)</f>
        <v>#N/A</v>
      </c>
    </row>
    <row r="1309" spans="1:10" ht="14.25" x14ac:dyDescent="0.2">
      <c r="A1309" s="2236"/>
      <c r="B1309" s="2242" t="s">
        <v>235</v>
      </c>
      <c r="C1309" s="2244"/>
      <c r="D1309" s="2245"/>
      <c r="E1309" s="2244"/>
      <c r="F1309" s="2246"/>
      <c r="G1309" s="2244"/>
      <c r="H1309" s="2244"/>
      <c r="I1309" s="2238" t="e">
        <f>VLOOKUP(A1309,'Trial Balance - FPer'!$A$7:$I$1107,7,FALSE)</f>
        <v>#N/A</v>
      </c>
      <c r="J1309" s="2100" t="e">
        <f>VLOOKUP(A1309,'Trial Balance - FPer'!$A$7:$I$1126,3,FALSE)</f>
        <v>#N/A</v>
      </c>
    </row>
    <row r="1310" spans="1:10" ht="14.25" hidden="1" x14ac:dyDescent="0.2">
      <c r="A1310" s="2236"/>
      <c r="B1310" s="2242" t="s">
        <v>387</v>
      </c>
      <c r="C1310" s="2244"/>
      <c r="D1310" s="2245"/>
      <c r="E1310" s="2244"/>
      <c r="F1310" s="2246"/>
      <c r="G1310" s="2244"/>
      <c r="H1310" s="2244"/>
      <c r="I1310" s="2238" t="e">
        <f>VLOOKUP(A1310,'Trial Balance - FPer'!$A$7:$I$1107,7,FALSE)</f>
        <v>#N/A</v>
      </c>
      <c r="J1310" s="2100" t="e">
        <f>VLOOKUP(A1310,'Trial Balance - FPer'!$A$7:$I$1126,3,FALSE)</f>
        <v>#N/A</v>
      </c>
    </row>
    <row r="1311" spans="1:10" ht="14.25" hidden="1" x14ac:dyDescent="0.2">
      <c r="A1311" s="2236" t="s">
        <v>5517</v>
      </c>
      <c r="B1311" s="2243" t="s">
        <v>6003</v>
      </c>
      <c r="C1311" s="2244">
        <f>'[2]Data File'!$C$1283</f>
        <v>438970.21</v>
      </c>
      <c r="D1311" s="2245">
        <v>533057.55000000005</v>
      </c>
      <c r="E1311" s="2244">
        <v>247712.7</v>
      </c>
      <c r="F1311" s="2246">
        <v>491962.08</v>
      </c>
      <c r="G1311" s="2253">
        <v>506368.63</v>
      </c>
      <c r="H1311" s="2100">
        <v>288420.93</v>
      </c>
      <c r="I1311" s="2238">
        <f>VLOOKUP(A1311,'Trial Balance - FPer'!$A$7:$I$1107,7,FALSE)</f>
        <v>494294.58</v>
      </c>
      <c r="J1311" s="2100">
        <f>VLOOKUP(A1311,'Trial Balance - FPer'!$A$7:$I$1126,3,FALSE)</f>
        <v>438970.21</v>
      </c>
    </row>
    <row r="1312" spans="1:10" ht="14.25" hidden="1" x14ac:dyDescent="0.2">
      <c r="A1312" s="2236" t="s">
        <v>5518</v>
      </c>
      <c r="B1312" s="2243" t="s">
        <v>6004</v>
      </c>
      <c r="C1312" s="2244">
        <f>'[2]Data File'!$C$1288</f>
        <v>35005.360000000001</v>
      </c>
      <c r="D1312" s="2245">
        <v>75021.919999999998</v>
      </c>
      <c r="E1312" s="2244">
        <v>23297.67</v>
      </c>
      <c r="F1312" s="2246">
        <v>54098.2</v>
      </c>
      <c r="G1312" s="2253">
        <v>53869.99</v>
      </c>
      <c r="H1312" s="2100">
        <v>35633.71</v>
      </c>
      <c r="I1312" s="2238">
        <f>VLOOKUP(A1312,'Trial Balance - FPer'!$A$7:$I$1107,7,FALSE)</f>
        <v>43648.25</v>
      </c>
      <c r="J1312" s="2100">
        <f>VLOOKUP(A1312,'Trial Balance - FPer'!$A$7:$I$1126,3,FALSE)</f>
        <v>35005.360000000001</v>
      </c>
    </row>
    <row r="1313" spans="1:10" ht="14.25" hidden="1" x14ac:dyDescent="0.2">
      <c r="A1313" s="2236" t="s">
        <v>5519</v>
      </c>
      <c r="B1313" s="2243" t="s">
        <v>6581</v>
      </c>
      <c r="C1313" s="2244">
        <f>'[2]Data File'!$C$1289</f>
        <v>2400</v>
      </c>
      <c r="D1313" s="2245">
        <v>0</v>
      </c>
      <c r="E1313" s="2244">
        <v>3000</v>
      </c>
      <c r="F1313" s="2246">
        <v>6600</v>
      </c>
      <c r="G1313" s="2253">
        <v>3000</v>
      </c>
      <c r="H1313" s="2100">
        <v>3600</v>
      </c>
      <c r="I1313" s="2238">
        <f>VLOOKUP(A1313,'Trial Balance - FPer'!$A$7:$I$1107,7,FALSE)</f>
        <v>6600</v>
      </c>
      <c r="J1313" s="2100">
        <f>VLOOKUP(A1313,'Trial Balance - FPer'!$A$7:$I$1126,3,FALSE)</f>
        <v>2400</v>
      </c>
    </row>
    <row r="1314" spans="1:10" ht="14.25" hidden="1" x14ac:dyDescent="0.2">
      <c r="A1314" s="2236" t="s">
        <v>5520</v>
      </c>
      <c r="B1314" s="2243" t="s">
        <v>6632</v>
      </c>
      <c r="C1314" s="2244">
        <f>'[2]Data File'!$C$1290</f>
        <v>3725.5</v>
      </c>
      <c r="D1314" s="2245">
        <v>6416.11</v>
      </c>
      <c r="E1314" s="2244">
        <v>1164</v>
      </c>
      <c r="F1314" s="2246">
        <v>2328</v>
      </c>
      <c r="G1314" s="2253">
        <v>3358.75</v>
      </c>
      <c r="H1314" s="2100">
        <v>1358</v>
      </c>
      <c r="I1314" s="2238">
        <f>VLOOKUP(A1314,'Trial Balance - FPer'!$A$7:$I$1107,7,FALSE)</f>
        <v>2328</v>
      </c>
      <c r="J1314" s="2100">
        <f>VLOOKUP(A1314,'Trial Balance - FPer'!$A$7:$I$1126,3,FALSE)</f>
        <v>3725.5</v>
      </c>
    </row>
    <row r="1315" spans="1:10" ht="14.25" hidden="1" x14ac:dyDescent="0.2">
      <c r="A1315" s="2236" t="s">
        <v>5521</v>
      </c>
      <c r="B1315" s="2243" t="s">
        <v>6007</v>
      </c>
      <c r="C1315" s="2244">
        <f>'[2]Data File'!$C$1291</f>
        <v>51852.54</v>
      </c>
      <c r="D1315" s="2245">
        <v>60136.61</v>
      </c>
      <c r="E1315" s="2244">
        <v>34417.589999999997</v>
      </c>
      <c r="F1315" s="2246">
        <v>79807.95</v>
      </c>
      <c r="G1315" s="2253">
        <v>66860.42</v>
      </c>
      <c r="H1315" s="2100">
        <v>41982.65</v>
      </c>
      <c r="I1315" s="2238">
        <f>VLOOKUP(A1315,'Trial Balance - FPer'!$A$7:$I$1107,7,FALSE)</f>
        <v>55247.48</v>
      </c>
      <c r="J1315" s="2100">
        <f>VLOOKUP(A1315,'Trial Balance - FPer'!$A$7:$I$1126,3,FALSE)</f>
        <v>51852.54</v>
      </c>
    </row>
    <row r="1316" spans="1:10" ht="14.25" hidden="1" x14ac:dyDescent="0.2">
      <c r="A1316" s="2236" t="s">
        <v>5522</v>
      </c>
      <c r="B1316" s="2243" t="s">
        <v>6582</v>
      </c>
      <c r="C1316" s="2244">
        <f>'[2]Data File'!$C$1292</f>
        <v>392.34</v>
      </c>
      <c r="D1316" s="2245">
        <v>1423.81</v>
      </c>
      <c r="E1316" s="2244">
        <v>600</v>
      </c>
      <c r="F1316" s="2246">
        <v>600</v>
      </c>
      <c r="G1316" s="2253">
        <v>1261.27</v>
      </c>
      <c r="H1316" s="2100">
        <v>600</v>
      </c>
      <c r="I1316" s="2238">
        <f>VLOOKUP(A1316,'Trial Balance - FPer'!$A$7:$I$1107,7,FALSE)</f>
        <v>600</v>
      </c>
      <c r="J1316" s="2100">
        <f>VLOOKUP(A1316,'Trial Balance - FPer'!$A$7:$I$1126,3,FALSE)</f>
        <v>392.34</v>
      </c>
    </row>
    <row r="1317" spans="1:10" ht="14.25" hidden="1" x14ac:dyDescent="0.2">
      <c r="A1317" s="2236" t="s">
        <v>5523</v>
      </c>
      <c r="B1317" s="2243" t="s">
        <v>6583</v>
      </c>
      <c r="C1317" s="2244">
        <f>'[2]Data File'!$C$1294</f>
        <v>61400</v>
      </c>
      <c r="D1317" s="2245">
        <v>42394.8</v>
      </c>
      <c r="E1317" s="2244">
        <v>126336.96000000001</v>
      </c>
      <c r="F1317" s="2246">
        <v>189336.95999999999</v>
      </c>
      <c r="G1317" s="2253">
        <v>200645.26</v>
      </c>
      <c r="H1317" s="2100">
        <v>136836.96</v>
      </c>
      <c r="I1317" s="2238">
        <f>VLOOKUP(A1317,'Trial Balance - FPer'!$A$7:$I$1107,7,FALSE)</f>
        <v>189336.95999999999</v>
      </c>
      <c r="J1317" s="2100">
        <f>VLOOKUP(A1317,'Trial Balance - FPer'!$A$7:$I$1126,3,FALSE)</f>
        <v>61400</v>
      </c>
    </row>
    <row r="1318" spans="1:10" ht="14.25" hidden="1" x14ac:dyDescent="0.2">
      <c r="A1318" s="2236" t="s">
        <v>5524</v>
      </c>
      <c r="B1318" s="2243" t="s">
        <v>6584</v>
      </c>
      <c r="C1318" s="2244">
        <f>'[2]Data File'!$C$1287</f>
        <v>246</v>
      </c>
      <c r="D1318" s="2245">
        <v>310.39</v>
      </c>
      <c r="E1318" s="2244">
        <v>123</v>
      </c>
      <c r="F1318" s="2246">
        <v>246</v>
      </c>
      <c r="G1318" s="2253">
        <v>261.06</v>
      </c>
      <c r="H1318" s="2100">
        <v>143.5</v>
      </c>
      <c r="I1318" s="2238">
        <f>VLOOKUP(A1318,'Trial Balance - FPer'!$A$7:$I$1107,7,FALSE)</f>
        <v>246</v>
      </c>
      <c r="J1318" s="2100">
        <f>VLOOKUP(A1318,'Trial Balance - FPer'!$A$7:$I$1126,3,FALSE)</f>
        <v>246</v>
      </c>
    </row>
    <row r="1319" spans="1:10" ht="14.25" hidden="1" x14ac:dyDescent="0.2">
      <c r="A1319" s="2236" t="s">
        <v>5525</v>
      </c>
      <c r="B1319" s="2243" t="s">
        <v>6585</v>
      </c>
      <c r="C1319" s="2244">
        <f>'[2]Data File'!$C$1293</f>
        <v>5625.52</v>
      </c>
      <c r="D1319" s="2245">
        <v>6253.64</v>
      </c>
      <c r="E1319" s="2244">
        <v>3435.4</v>
      </c>
      <c r="F1319" s="2246">
        <v>7530.76</v>
      </c>
      <c r="G1319" s="2253">
        <v>6737.05</v>
      </c>
      <c r="H1319" s="2100">
        <v>4117.96</v>
      </c>
      <c r="I1319" s="2238">
        <f>VLOOKUP(A1319,'Trial Balance - FPer'!$A$7:$I$1107,7,FALSE)</f>
        <v>7022.02</v>
      </c>
      <c r="J1319" s="2100">
        <f>VLOOKUP(A1319,'Trial Balance - FPer'!$A$7:$I$1126,3,FALSE)</f>
        <v>5625.52</v>
      </c>
    </row>
    <row r="1320" spans="1:10" ht="14.25" hidden="1" x14ac:dyDescent="0.2">
      <c r="A1320" s="2236" t="s">
        <v>5526</v>
      </c>
      <c r="B1320" s="2243" t="s">
        <v>6586</v>
      </c>
      <c r="C1320" s="2244">
        <f>'[2]Data File'!$C$1295</f>
        <v>0</v>
      </c>
      <c r="D1320" s="2245">
        <v>2721.44</v>
      </c>
      <c r="E1320" s="2244">
        <v>0</v>
      </c>
      <c r="F1320" s="2246">
        <v>0</v>
      </c>
      <c r="G1320" s="2253">
        <v>682.72</v>
      </c>
      <c r="H1320" s="2100">
        <v>0</v>
      </c>
      <c r="I1320" s="2238">
        <f>VLOOKUP(A1320,'Trial Balance - FPer'!$A$7:$I$1107,7,FALSE)</f>
        <v>0</v>
      </c>
      <c r="J1320" s="2100" t="str">
        <f>VLOOKUP(A1320,'Trial Balance - FPer'!$A$7:$I$1126,3,FALSE)</f>
        <v xml:space="preserve">                               -  </v>
      </c>
    </row>
    <row r="1321" spans="1:10" ht="14.25" hidden="1" x14ac:dyDescent="0.2">
      <c r="A1321" s="2236" t="s">
        <v>5527</v>
      </c>
      <c r="B1321" s="2243" t="s">
        <v>6587</v>
      </c>
      <c r="C1321" s="2244">
        <f>'[2]Data File'!$C$1284</f>
        <v>63013.9</v>
      </c>
      <c r="D1321" s="2245">
        <v>69856.570000000007</v>
      </c>
      <c r="E1321" s="2244">
        <v>37037.699999999997</v>
      </c>
      <c r="F1321" s="2246">
        <v>81681.3</v>
      </c>
      <c r="G1321" s="2253">
        <v>73242.490000000005</v>
      </c>
      <c r="H1321" s="2100">
        <v>44478.3</v>
      </c>
      <c r="I1321" s="2238">
        <f>VLOOKUP(A1321,'Trial Balance - FPer'!$A$7:$I$1107,7,FALSE)</f>
        <v>81519.3</v>
      </c>
      <c r="J1321" s="2100">
        <f>VLOOKUP(A1321,'Trial Balance - FPer'!$A$7:$I$1126,3,FALSE)</f>
        <v>63013.9</v>
      </c>
    </row>
    <row r="1322" spans="1:10" ht="14.25" hidden="1" x14ac:dyDescent="0.2">
      <c r="A1322" s="2236" t="s">
        <v>5528</v>
      </c>
      <c r="B1322" s="2257" t="s">
        <v>6013</v>
      </c>
      <c r="C1322" s="2253">
        <f>'[2]Data File'!$C$1285</f>
        <v>87733.6</v>
      </c>
      <c r="D1322" s="2245">
        <v>108516.46</v>
      </c>
      <c r="E1322" s="2253">
        <v>49033.5</v>
      </c>
      <c r="F1322" s="2255">
        <v>99513.66</v>
      </c>
      <c r="G1322" s="2253">
        <v>100980.35</v>
      </c>
      <c r="H1322" s="2100">
        <v>57446.86</v>
      </c>
      <c r="I1322" s="2238">
        <f>VLOOKUP(A1322,'Trial Balance - FPer'!$A$7:$I$1107,7,FALSE)</f>
        <v>99513.66</v>
      </c>
      <c r="J1322" s="2100">
        <f>VLOOKUP(A1322,'Trial Balance - FPer'!$A$7:$I$1126,3,FALSE)</f>
        <v>87733.6</v>
      </c>
    </row>
    <row r="1323" spans="1:10" ht="14.25" hidden="1" x14ac:dyDescent="0.2">
      <c r="A1323" s="2236" t="s">
        <v>5529</v>
      </c>
      <c r="B1323" s="2247" t="s">
        <v>6014</v>
      </c>
      <c r="C1323" s="2248">
        <f>'[2]Data File'!$C$1286</f>
        <v>5401.79</v>
      </c>
      <c r="D1323" s="2249">
        <v>6558.41</v>
      </c>
      <c r="E1323" s="2248">
        <v>2941.56</v>
      </c>
      <c r="F1323" s="2250">
        <v>6558.41</v>
      </c>
      <c r="G1323" s="2248">
        <v>6073.23</v>
      </c>
      <c r="H1323" s="2100">
        <v>3423.67</v>
      </c>
      <c r="I1323" s="2238">
        <f>VLOOKUP(A1323,'Trial Balance - FPer'!$A$7:$I$1107,7,FALSE)</f>
        <v>5908.92</v>
      </c>
      <c r="J1323" s="2100">
        <f>VLOOKUP(A1323,'Trial Balance - FPer'!$A$7:$I$1126,3,FALSE)</f>
        <v>5401.79</v>
      </c>
    </row>
    <row r="1324" spans="1:10" s="2615" customFormat="1" hidden="1" x14ac:dyDescent="0.2">
      <c r="A1324" s="2612"/>
      <c r="B1324" s="2613" t="s">
        <v>6588</v>
      </c>
      <c r="C1324" s="2614">
        <f>SUM(C1311:C1323)</f>
        <v>755766.76</v>
      </c>
      <c r="D1324" s="2614">
        <f>SUM(D1311:D1323)</f>
        <v>912667.71000000008</v>
      </c>
      <c r="E1324" s="2614">
        <f>SUM(E1311:E1323)</f>
        <v>529100.08000000007</v>
      </c>
      <c r="F1324" s="2614">
        <f>SUM(F1311:F1323)</f>
        <v>1020263.3200000001</v>
      </c>
      <c r="G1324" s="2614">
        <f>SUM(G1311:G1323)</f>
        <v>1023341.2200000001</v>
      </c>
      <c r="H1324" s="2614">
        <f t="shared" ref="H1324" si="131">SUM(H1311:H1323)</f>
        <v>618042.54</v>
      </c>
      <c r="I1324" s="2614">
        <f>SUM(I1311:I1323)</f>
        <v>986265.17000000016</v>
      </c>
      <c r="J1324" s="2614">
        <f>SUM(J1311:J1323)</f>
        <v>755766.76</v>
      </c>
    </row>
    <row r="1325" spans="1:10" ht="14.25" hidden="1" x14ac:dyDescent="0.2">
      <c r="A1325" s="2236"/>
      <c r="B1325" s="2243"/>
      <c r="C1325" s="2244"/>
      <c r="D1325" s="2245"/>
      <c r="E1325" s="2244"/>
      <c r="F1325" s="2246"/>
      <c r="G1325" s="2244"/>
      <c r="H1325" s="2244"/>
      <c r="I1325" s="2238" t="e">
        <f>VLOOKUP(A1325,'Trial Balance - FPer'!$A$7:$I$1107,7,FALSE)</f>
        <v>#N/A</v>
      </c>
      <c r="J1325" s="2100" t="e">
        <f>VLOOKUP(A1325,'Trial Balance - FPer'!$A$7:$I$1126,3,FALSE)</f>
        <v>#N/A</v>
      </c>
    </row>
    <row r="1326" spans="1:10" ht="14.25" hidden="1" x14ac:dyDescent="0.2">
      <c r="A1326" s="2236"/>
      <c r="B1326" s="2242" t="s">
        <v>6599</v>
      </c>
      <c r="C1326" s="2244"/>
      <c r="D1326" s="2245"/>
      <c r="E1326" s="2244"/>
      <c r="F1326" s="2246"/>
      <c r="G1326" s="2244"/>
      <c r="H1326" s="2244"/>
      <c r="I1326" s="2238" t="e">
        <f>VLOOKUP(A1326,'Trial Balance - FPer'!$A$7:$I$1107,7,FALSE)</f>
        <v>#N/A</v>
      </c>
      <c r="J1326" s="2100" t="e">
        <f>VLOOKUP(A1326,'Trial Balance - FPer'!$A$7:$I$1126,3,FALSE)</f>
        <v>#N/A</v>
      </c>
    </row>
    <row r="1327" spans="1:10" ht="14.25" hidden="1" x14ac:dyDescent="0.2">
      <c r="A1327" s="2236" t="s">
        <v>5530</v>
      </c>
      <c r="B1327" s="2243" t="s">
        <v>6601</v>
      </c>
      <c r="C1327" s="2244">
        <f>'[2]Data File'!$C$1300</f>
        <v>7609</v>
      </c>
      <c r="D1327" s="2245">
        <v>6672.55</v>
      </c>
      <c r="E1327" s="2244">
        <v>0</v>
      </c>
      <c r="F1327" s="2246">
        <v>0</v>
      </c>
      <c r="G1327" s="2244">
        <v>1674.28</v>
      </c>
      <c r="H1327" s="2100">
        <v>0</v>
      </c>
      <c r="I1327" s="2238">
        <f>VLOOKUP(A1327,'Trial Balance - FPer'!$A$7:$I$1107,7,FALSE)</f>
        <v>0</v>
      </c>
      <c r="J1327" s="2100">
        <f>VLOOKUP(A1327,'Trial Balance - FPer'!$A$7:$I$1126,3,FALSE)</f>
        <v>7609</v>
      </c>
    </row>
    <row r="1328" spans="1:10" ht="14.25" hidden="1" x14ac:dyDescent="0.2">
      <c r="A1328" s="2236" t="s">
        <v>5531</v>
      </c>
      <c r="B1328" s="2243" t="s">
        <v>6105</v>
      </c>
      <c r="C1328" s="2244">
        <f>'[2]Data File'!$C$1301</f>
        <v>0</v>
      </c>
      <c r="D1328" s="2245">
        <v>0</v>
      </c>
      <c r="E1328" s="2244">
        <v>0</v>
      </c>
      <c r="F1328" s="2246">
        <v>0</v>
      </c>
      <c r="G1328" s="2244">
        <v>0</v>
      </c>
      <c r="H1328" s="2100">
        <v>0</v>
      </c>
      <c r="I1328" s="2238">
        <f>VLOOKUP(A1328,'Trial Balance - FPer'!$A$7:$I$1107,7,FALSE)</f>
        <v>0</v>
      </c>
      <c r="J1328" s="2100">
        <f>VLOOKUP(A1328,'Trial Balance - FPer'!$A$7:$I$1126,3,FALSE)</f>
        <v>0</v>
      </c>
    </row>
    <row r="1329" spans="1:10" ht="14.25" hidden="1" x14ac:dyDescent="0.2">
      <c r="A1329" s="2236" t="s">
        <v>5532</v>
      </c>
      <c r="B1329" s="2243" t="s">
        <v>6693</v>
      </c>
      <c r="C1329" s="2244">
        <v>0</v>
      </c>
      <c r="D1329" s="2245">
        <v>0</v>
      </c>
      <c r="E1329" s="2244">
        <v>0</v>
      </c>
      <c r="F1329" s="2246">
        <v>0</v>
      </c>
      <c r="G1329" s="2244">
        <v>0</v>
      </c>
      <c r="H1329" s="2100">
        <v>0</v>
      </c>
      <c r="I1329" s="2238">
        <f>VLOOKUP(A1329,'Trial Balance - FPer'!$A$7:$I$1107,7,FALSE)</f>
        <v>0</v>
      </c>
      <c r="J1329" s="2100">
        <f>VLOOKUP(A1329,'Trial Balance - FPer'!$A$7:$I$1126,3,FALSE)</f>
        <v>0</v>
      </c>
    </row>
    <row r="1330" spans="1:10" ht="14.25" hidden="1" x14ac:dyDescent="0.2">
      <c r="A1330" s="2236" t="s">
        <v>5533</v>
      </c>
      <c r="B1330" s="2243" t="s">
        <v>6605</v>
      </c>
      <c r="C1330" s="2244">
        <f>'[2]Data File'!$C$1311</f>
        <v>0</v>
      </c>
      <c r="D1330" s="2245">
        <v>0</v>
      </c>
      <c r="E1330" s="2244">
        <v>0</v>
      </c>
      <c r="F1330" s="2246">
        <v>0</v>
      </c>
      <c r="G1330" s="2244">
        <v>0</v>
      </c>
      <c r="H1330" s="2100">
        <v>0</v>
      </c>
      <c r="I1330" s="2238">
        <f>VLOOKUP(A1330,'Trial Balance - FPer'!$A$7:$I$1107,7,FALSE)</f>
        <v>0</v>
      </c>
      <c r="J1330" s="2100">
        <f>VLOOKUP(A1330,'Trial Balance - FPer'!$A$7:$I$1126,3,FALSE)</f>
        <v>0</v>
      </c>
    </row>
    <row r="1331" spans="1:10" ht="14.25" hidden="1" x14ac:dyDescent="0.2">
      <c r="A1331" s="2236" t="s">
        <v>5534</v>
      </c>
      <c r="B1331" s="2243" t="s">
        <v>6607</v>
      </c>
      <c r="C1331" s="2244">
        <f>'[2]Data File'!$C$1303</f>
        <v>0</v>
      </c>
      <c r="D1331" s="2245">
        <v>0</v>
      </c>
      <c r="E1331" s="2244">
        <v>0</v>
      </c>
      <c r="F1331" s="2246">
        <v>0</v>
      </c>
      <c r="G1331" s="2244">
        <v>0</v>
      </c>
      <c r="H1331" s="2100">
        <v>0</v>
      </c>
      <c r="I1331" s="2238">
        <f>VLOOKUP(A1331,'Trial Balance - FPer'!$A$7:$I$1107,7,FALSE)</f>
        <v>0</v>
      </c>
      <c r="J1331" s="2100">
        <f>VLOOKUP(A1331,'Trial Balance - FPer'!$A$7:$I$1126,3,FALSE)</f>
        <v>0</v>
      </c>
    </row>
    <row r="1332" spans="1:10" ht="14.25" hidden="1" x14ac:dyDescent="0.2">
      <c r="A1332" s="2236" t="s">
        <v>5535</v>
      </c>
      <c r="B1332" s="2243" t="s">
        <v>6608</v>
      </c>
      <c r="C1332" s="2244">
        <f>'[2]Data File'!$C$1304</f>
        <v>0</v>
      </c>
      <c r="D1332" s="2245">
        <v>0</v>
      </c>
      <c r="E1332" s="2244">
        <v>0</v>
      </c>
      <c r="F1332" s="2246">
        <v>0</v>
      </c>
      <c r="G1332" s="2244">
        <v>0</v>
      </c>
      <c r="H1332" s="2100">
        <v>0</v>
      </c>
      <c r="I1332" s="2238">
        <f>VLOOKUP(A1332,'Trial Balance - FPer'!$A$7:$I$1107,7,FALSE)</f>
        <v>0</v>
      </c>
      <c r="J1332" s="2100">
        <f>VLOOKUP(A1332,'Trial Balance - FPer'!$A$7:$I$1126,3,FALSE)</f>
        <v>0</v>
      </c>
    </row>
    <row r="1333" spans="1:10" ht="14.25" hidden="1" x14ac:dyDescent="0.2">
      <c r="A1333" s="2236" t="s">
        <v>5536</v>
      </c>
      <c r="B1333" s="2243" t="s">
        <v>6027</v>
      </c>
      <c r="C1333" s="2244">
        <f>'[2]Data File'!$C$1305</f>
        <v>0</v>
      </c>
      <c r="D1333" s="2245">
        <v>0</v>
      </c>
      <c r="E1333" s="2244">
        <v>0</v>
      </c>
      <c r="F1333" s="2246">
        <v>0</v>
      </c>
      <c r="G1333" s="2244">
        <v>0</v>
      </c>
      <c r="H1333" s="2100">
        <v>0</v>
      </c>
      <c r="I1333" s="2238">
        <f>VLOOKUP(A1333,'Trial Balance - FPer'!$A$7:$I$1107,7,FALSE)</f>
        <v>0</v>
      </c>
      <c r="J1333" s="2100">
        <f>VLOOKUP(A1333,'Trial Balance - FPer'!$A$7:$I$1126,3,FALSE)</f>
        <v>0</v>
      </c>
    </row>
    <row r="1334" spans="1:10" ht="14.25" hidden="1" x14ac:dyDescent="0.2">
      <c r="A1334" s="2236" t="s">
        <v>5537</v>
      </c>
      <c r="B1334" s="2243" t="s">
        <v>6028</v>
      </c>
      <c r="C1334" s="2244">
        <f>'[2]Data File'!$C$1306</f>
        <v>0</v>
      </c>
      <c r="D1334" s="2245">
        <v>4950</v>
      </c>
      <c r="E1334" s="2244">
        <v>0</v>
      </c>
      <c r="F1334" s="2246">
        <v>0</v>
      </c>
      <c r="G1334" s="2244">
        <v>1242</v>
      </c>
      <c r="H1334" s="2100">
        <v>0</v>
      </c>
      <c r="I1334" s="2238">
        <f>VLOOKUP(A1334,'Trial Balance - FPer'!$A$7:$I$1107,7,FALSE)</f>
        <v>0</v>
      </c>
      <c r="J1334" s="2100">
        <f>VLOOKUP(A1334,'Trial Balance - FPer'!$A$7:$I$1126,3,FALSE)</f>
        <v>0</v>
      </c>
    </row>
    <row r="1335" spans="1:10" ht="14.25" hidden="1" x14ac:dyDescent="0.2">
      <c r="A1335" s="2236" t="s">
        <v>5538</v>
      </c>
      <c r="B1335" s="2243" t="s">
        <v>6609</v>
      </c>
      <c r="C1335" s="2244">
        <f>'[2]Data File'!$C$1307</f>
        <v>48006.68</v>
      </c>
      <c r="D1335" s="2245">
        <v>8656.23</v>
      </c>
      <c r="E1335" s="2244">
        <v>12006.5</v>
      </c>
      <c r="F1335" s="2246">
        <v>45000</v>
      </c>
      <c r="G1335" s="2244">
        <v>20239.87</v>
      </c>
      <c r="H1335" s="2100">
        <v>26643</v>
      </c>
      <c r="I1335" s="2238">
        <f>VLOOKUP(A1335,'Trial Balance - FPer'!$A$7:$I$1107,7,FALSE)</f>
        <v>93152.16</v>
      </c>
      <c r="J1335" s="2100">
        <f>VLOOKUP(A1335,'Trial Balance - FPer'!$A$7:$I$1126,3,FALSE)</f>
        <v>48006.68</v>
      </c>
    </row>
    <row r="1336" spans="1:10" ht="14.25" hidden="1" x14ac:dyDescent="0.2">
      <c r="A1336" s="2236" t="s">
        <v>5539</v>
      </c>
      <c r="B1336" s="2243" t="s">
        <v>6110</v>
      </c>
      <c r="C1336" s="2244">
        <f>'[2]Data File'!$C$1308</f>
        <v>0</v>
      </c>
      <c r="D1336" s="2245">
        <v>0</v>
      </c>
      <c r="E1336" s="2244">
        <v>0</v>
      </c>
      <c r="F1336" s="2246">
        <v>0</v>
      </c>
      <c r="G1336" s="2244">
        <v>0</v>
      </c>
      <c r="H1336" s="2100">
        <v>0</v>
      </c>
      <c r="I1336" s="2238">
        <f>VLOOKUP(A1336,'Trial Balance - FPer'!$A$7:$I$1107,7,FALSE)</f>
        <v>0</v>
      </c>
      <c r="J1336" s="2100">
        <f>VLOOKUP(A1336,'Trial Balance - FPer'!$A$7:$I$1126,3,FALSE)</f>
        <v>0</v>
      </c>
    </row>
    <row r="1337" spans="1:10" ht="14.25" hidden="1" x14ac:dyDescent="0.2">
      <c r="A1337" s="2236" t="s">
        <v>5540</v>
      </c>
      <c r="B1337" s="2243" t="s">
        <v>6610</v>
      </c>
      <c r="C1337" s="2244">
        <f>'[2]Data File'!$C$1309</f>
        <v>14291.94</v>
      </c>
      <c r="D1337" s="2245">
        <v>-66.59</v>
      </c>
      <c r="E1337" s="2244">
        <v>0</v>
      </c>
      <c r="F1337" s="2246">
        <v>0</v>
      </c>
      <c r="G1337" s="2244">
        <v>-30.59</v>
      </c>
      <c r="H1337" s="2100">
        <v>0</v>
      </c>
      <c r="I1337" s="2238">
        <f>VLOOKUP(A1337,'Trial Balance - FPer'!$A$7:$I$1107,7,FALSE)</f>
        <v>0</v>
      </c>
      <c r="J1337" s="2100">
        <f>VLOOKUP(A1337,'Trial Balance - FPer'!$A$7:$I$1126,3,FALSE)</f>
        <v>14291.94</v>
      </c>
    </row>
    <row r="1338" spans="1:10" ht="14.25" hidden="1" x14ac:dyDescent="0.2">
      <c r="A1338" s="2236" t="s">
        <v>5541</v>
      </c>
      <c r="B1338" s="2243" t="s">
        <v>6732</v>
      </c>
      <c r="C1338" s="2244">
        <f>'[2]Data File'!$C$1310</f>
        <v>0</v>
      </c>
      <c r="D1338" s="2245">
        <v>9849.75</v>
      </c>
      <c r="E1338" s="2244">
        <v>0</v>
      </c>
      <c r="F1338" s="2246">
        <v>0</v>
      </c>
      <c r="G1338" s="2244">
        <v>2470.88</v>
      </c>
      <c r="H1338" s="2100">
        <v>0</v>
      </c>
      <c r="I1338" s="2238">
        <f>VLOOKUP(A1338,'Trial Balance - FPer'!$A$7:$I$1107,7,FALSE)</f>
        <v>0</v>
      </c>
      <c r="J1338" s="2100" t="str">
        <f>VLOOKUP(A1338,'Trial Balance - FPer'!$A$7:$I$1126,3,FALSE)</f>
        <v xml:space="preserve">                               -  </v>
      </c>
    </row>
    <row r="1339" spans="1:10" ht="14.25" hidden="1" x14ac:dyDescent="0.2">
      <c r="A1339" s="2236" t="s">
        <v>5542</v>
      </c>
      <c r="B1339" s="2243" t="s">
        <v>6613</v>
      </c>
      <c r="C1339" s="2244">
        <f>'[2]Data File'!$C$1311</f>
        <v>0</v>
      </c>
      <c r="D1339" s="2245">
        <v>0</v>
      </c>
      <c r="E1339" s="2244">
        <v>0</v>
      </c>
      <c r="F1339" s="2246">
        <v>0</v>
      </c>
      <c r="G1339" s="2244">
        <v>0</v>
      </c>
      <c r="H1339" s="2100">
        <v>0</v>
      </c>
      <c r="I1339" s="2238">
        <f>VLOOKUP(A1339,'Trial Balance - FPer'!$A$7:$I$1107,7,FALSE)</f>
        <v>0</v>
      </c>
      <c r="J1339" s="2100">
        <f>VLOOKUP(A1339,'Trial Balance - FPer'!$A$7:$I$1126,3,FALSE)</f>
        <v>0</v>
      </c>
    </row>
    <row r="1340" spans="1:10" ht="14.25" hidden="1" x14ac:dyDescent="0.2">
      <c r="A1340" s="2236" t="s">
        <v>5543</v>
      </c>
      <c r="B1340" s="2243" t="s">
        <v>6033</v>
      </c>
      <c r="C1340" s="2244">
        <f>'[2]Data File'!$C$1312</f>
        <v>76.47</v>
      </c>
      <c r="D1340" s="2245">
        <v>0</v>
      </c>
      <c r="E1340" s="2244">
        <v>0</v>
      </c>
      <c r="F1340" s="2246">
        <v>0</v>
      </c>
      <c r="G1340" s="2244">
        <v>0</v>
      </c>
      <c r="H1340" s="2100">
        <v>0</v>
      </c>
      <c r="I1340" s="2238">
        <f>VLOOKUP(A1340,'Trial Balance - FPer'!$A$7:$I$1107,7,FALSE)</f>
        <v>0</v>
      </c>
      <c r="J1340" s="2100">
        <f>VLOOKUP(A1340,'Trial Balance - FPer'!$A$7:$I$1126,3,FALSE)</f>
        <v>0</v>
      </c>
    </row>
    <row r="1341" spans="1:10" ht="14.25" hidden="1" x14ac:dyDescent="0.2">
      <c r="A1341" s="2236" t="s">
        <v>5544</v>
      </c>
      <c r="B1341" s="2247" t="s">
        <v>6636</v>
      </c>
      <c r="C1341" s="2248">
        <f>'[2]Data File'!$C$1299</f>
        <v>698245.42</v>
      </c>
      <c r="D1341" s="2249">
        <v>1101926.8700000001</v>
      </c>
      <c r="E1341" s="2248">
        <v>11400</v>
      </c>
      <c r="F1341" s="2250">
        <v>30000</v>
      </c>
      <c r="G1341" s="2248">
        <v>293736.37</v>
      </c>
      <c r="H1341" s="2100">
        <v>11400</v>
      </c>
      <c r="I1341" s="2238">
        <f>VLOOKUP(A1341,'Trial Balance - FPer'!$A$7:$I$1107,7,FALSE)</f>
        <v>5700</v>
      </c>
      <c r="J1341" s="2100">
        <f>VLOOKUP(A1341,'Trial Balance - FPer'!$A$7:$I$1126,3,FALSE)</f>
        <v>698245.42</v>
      </c>
    </row>
    <row r="1342" spans="1:10" s="2615" customFormat="1" hidden="1" x14ac:dyDescent="0.2">
      <c r="A1342" s="2612"/>
      <c r="B1342" s="2613" t="s">
        <v>6614</v>
      </c>
      <c r="C1342" s="2614">
        <f>SUM(C1327:C1341)</f>
        <v>768229.51</v>
      </c>
      <c r="D1342" s="2614">
        <f>SUM(D1327:D1341)</f>
        <v>1131988.81</v>
      </c>
      <c r="E1342" s="2614">
        <f>SUM(E1327:E1341)</f>
        <v>23406.5</v>
      </c>
      <c r="F1342" s="2614">
        <f>SUM(F1327:F1341)</f>
        <v>75000</v>
      </c>
      <c r="G1342" s="2614">
        <f>SUM(G1327:G1341)</f>
        <v>319332.81</v>
      </c>
      <c r="H1342" s="2614">
        <f t="shared" ref="H1342" si="132">SUM(H1327:H1341)</f>
        <v>38043</v>
      </c>
      <c r="I1342" s="2614">
        <f>SUM(I1327:I1341)</f>
        <v>98852.160000000003</v>
      </c>
      <c r="J1342" s="2614">
        <f>SUM(J1327:J1341)</f>
        <v>768153.04</v>
      </c>
    </row>
    <row r="1343" spans="1:10" ht="14.25" hidden="1" x14ac:dyDescent="0.2">
      <c r="A1343" s="2236"/>
      <c r="B1343" s="2243"/>
      <c r="C1343" s="2244"/>
      <c r="D1343" s="2245"/>
      <c r="E1343" s="2244"/>
      <c r="F1343" s="2246"/>
      <c r="G1343" s="2244"/>
      <c r="H1343" s="2244"/>
      <c r="I1343" s="2238" t="e">
        <f>VLOOKUP(A1343,'Trial Balance - FPer'!$A$7:$I$1107,7,FALSE)</f>
        <v>#N/A</v>
      </c>
      <c r="J1343" s="2100" t="e">
        <f>VLOOKUP(A1343,'Trial Balance - FPer'!$A$7:$I$1126,3,FALSE)</f>
        <v>#N/A</v>
      </c>
    </row>
    <row r="1344" spans="1:10" ht="14.25" hidden="1" x14ac:dyDescent="0.2">
      <c r="A1344" s="2236"/>
      <c r="B1344" s="2242" t="s">
        <v>6615</v>
      </c>
      <c r="C1344" s="2244"/>
      <c r="D1344" s="2245"/>
      <c r="E1344" s="2244"/>
      <c r="F1344" s="2246"/>
      <c r="G1344" s="2244"/>
      <c r="H1344" s="2244"/>
      <c r="I1344" s="2238" t="e">
        <f>VLOOKUP(A1344,'Trial Balance - FPer'!$A$7:$I$1107,7,FALSE)</f>
        <v>#N/A</v>
      </c>
      <c r="J1344" s="2100" t="e">
        <f>VLOOKUP(A1344,'Trial Balance - FPer'!$A$7:$I$1126,3,FALSE)</f>
        <v>#N/A</v>
      </c>
    </row>
    <row r="1345" spans="1:10" ht="14.25" hidden="1" x14ac:dyDescent="0.2">
      <c r="A1345" s="2236" t="s">
        <v>5545</v>
      </c>
      <c r="B1345" s="2243" t="s">
        <v>6700</v>
      </c>
      <c r="C1345" s="2244">
        <f>'[2]Data File'!$C$1318</f>
        <v>0</v>
      </c>
      <c r="D1345" s="2245">
        <v>12415.54</v>
      </c>
      <c r="E1345" s="2244">
        <v>0</v>
      </c>
      <c r="F1345" s="2246">
        <v>0</v>
      </c>
      <c r="G1345" s="2244">
        <v>3117.77</v>
      </c>
      <c r="H1345" s="2244">
        <v>0</v>
      </c>
      <c r="I1345" s="2238">
        <f>VLOOKUP(A1345,'Trial Balance - FPer'!$A$7:$I$1107,7,FALSE)</f>
        <v>6540</v>
      </c>
      <c r="J1345" s="2100" t="str">
        <f>VLOOKUP(A1345,'Trial Balance - FPer'!$A$7:$I$1126,3,FALSE)</f>
        <v xml:space="preserve">                               -  </v>
      </c>
    </row>
    <row r="1346" spans="1:10" ht="14.25" hidden="1" x14ac:dyDescent="0.2">
      <c r="A1346" s="2236" t="s">
        <v>5546</v>
      </c>
      <c r="B1346" s="2247" t="s">
        <v>6790</v>
      </c>
      <c r="C1346" s="2248">
        <f>'[2]Data File'!$C$1319</f>
        <v>0</v>
      </c>
      <c r="D1346" s="2249">
        <v>59116.59</v>
      </c>
      <c r="E1346" s="2248">
        <v>0</v>
      </c>
      <c r="F1346" s="2250">
        <v>59116.59</v>
      </c>
      <c r="G1346" s="2248">
        <v>14837.3</v>
      </c>
      <c r="H1346" s="2244">
        <v>0</v>
      </c>
      <c r="I1346" s="2238">
        <f>VLOOKUP(A1346,'Trial Balance - FPer'!$A$7:$I$1107,7,FALSE)</f>
        <v>0</v>
      </c>
      <c r="J1346" s="2100" t="str">
        <f>VLOOKUP(A1346,'Trial Balance - FPer'!$A$7:$I$1126,3,FALSE)</f>
        <v xml:space="preserve">                               -  </v>
      </c>
    </row>
    <row r="1347" spans="1:10" s="2615" customFormat="1" hidden="1" x14ac:dyDescent="0.2">
      <c r="A1347" s="2612"/>
      <c r="B1347" s="2613" t="s">
        <v>6618</v>
      </c>
      <c r="C1347" s="2614">
        <f>SUM(C1345:C1346)</f>
        <v>0</v>
      </c>
      <c r="D1347" s="2614">
        <f>SUM(D1345:D1346)</f>
        <v>71532.13</v>
      </c>
      <c r="E1347" s="2614">
        <f>SUM(E1345:E1346)</f>
        <v>0</v>
      </c>
      <c r="F1347" s="2614">
        <f>SUM(F1345:F1346)</f>
        <v>59116.59</v>
      </c>
      <c r="G1347" s="2614">
        <f>SUM(G1345:G1346)</f>
        <v>17955.07</v>
      </c>
      <c r="H1347" s="2614">
        <f t="shared" ref="H1347:J1347" si="133">SUM(H1345:H1346)</f>
        <v>0</v>
      </c>
      <c r="I1347" s="2614">
        <f t="shared" si="133"/>
        <v>6540</v>
      </c>
      <c r="J1347" s="2614">
        <f t="shared" si="133"/>
        <v>0</v>
      </c>
    </row>
    <row r="1348" spans="1:10" ht="14.25" hidden="1" x14ac:dyDescent="0.2">
      <c r="A1348" s="2236"/>
      <c r="B1348" s="2243"/>
      <c r="C1348" s="2244"/>
      <c r="D1348" s="2245"/>
      <c r="E1348" s="2244"/>
      <c r="F1348" s="2246"/>
      <c r="G1348" s="2244"/>
      <c r="H1348" s="2244"/>
      <c r="I1348" s="2238" t="e">
        <f>VLOOKUP(A1348,'Trial Balance - FPer'!$A$7:$I$1107,7,FALSE)</f>
        <v>#N/A</v>
      </c>
      <c r="J1348" s="2100" t="e">
        <f>VLOOKUP(A1348,'Trial Balance - FPer'!$A$7:$I$1126,3,FALSE)</f>
        <v>#N/A</v>
      </c>
    </row>
    <row r="1349" spans="1:10" ht="14.25" hidden="1" x14ac:dyDescent="0.2">
      <c r="A1349" s="2236"/>
      <c r="B1349" s="2242" t="s">
        <v>6619</v>
      </c>
      <c r="C1349" s="2244"/>
      <c r="D1349" s="2245"/>
      <c r="E1349" s="2244"/>
      <c r="F1349" s="2246"/>
      <c r="G1349" s="2244"/>
      <c r="H1349" s="2244"/>
      <c r="I1349" s="2238" t="e">
        <f>VLOOKUP(A1349,'Trial Balance - FPer'!$A$7:$I$1107,7,FALSE)</f>
        <v>#N/A</v>
      </c>
      <c r="J1349" s="2100" t="e">
        <f>VLOOKUP(A1349,'Trial Balance - FPer'!$A$7:$I$1126,3,FALSE)</f>
        <v>#N/A</v>
      </c>
    </row>
    <row r="1350" spans="1:10" ht="14.25" hidden="1" x14ac:dyDescent="0.2">
      <c r="A1350" s="2236" t="s">
        <v>5547</v>
      </c>
      <c r="B1350" s="2243" t="s">
        <v>6620</v>
      </c>
      <c r="C1350" s="2244">
        <f>'[2]Data File'!$C$1323</f>
        <v>37600.89</v>
      </c>
      <c r="D1350" s="2245">
        <v>4885.22</v>
      </c>
      <c r="E1350" s="2244">
        <v>0</v>
      </c>
      <c r="F1350" s="2246">
        <v>4885.22</v>
      </c>
      <c r="G1350" s="2244">
        <v>1227.6099999999999</v>
      </c>
      <c r="H1350" s="2244">
        <v>0</v>
      </c>
      <c r="I1350" s="2238">
        <f>VLOOKUP(A1350,'Trial Balance - FPer'!$A$7:$I$1107,7,FALSE)</f>
        <v>0</v>
      </c>
      <c r="J1350" s="2100">
        <f>VLOOKUP(A1350,'Trial Balance - FPer'!$A$7:$I$1126,3,FALSE)</f>
        <v>37600.89</v>
      </c>
    </row>
    <row r="1351" spans="1:10" ht="14.25" hidden="1" x14ac:dyDescent="0.2">
      <c r="A1351" s="2236" t="s">
        <v>5548</v>
      </c>
      <c r="B1351" s="2247" t="s">
        <v>6621</v>
      </c>
      <c r="C1351" s="2248">
        <f>'[2]Data File'!$C$1325</f>
        <v>0</v>
      </c>
      <c r="D1351" s="2249">
        <v>4671.37</v>
      </c>
      <c r="E1351" s="2248">
        <v>0</v>
      </c>
      <c r="F1351" s="2250">
        <v>4671.37</v>
      </c>
      <c r="G1351" s="2248">
        <v>1171.68</v>
      </c>
      <c r="H1351" s="2244">
        <v>0</v>
      </c>
      <c r="I1351" s="2238">
        <f>VLOOKUP(A1351,'Trial Balance - FPer'!$A$7:$I$1107,7,FALSE)</f>
        <v>0</v>
      </c>
      <c r="J1351" s="2100" t="str">
        <f>VLOOKUP(A1351,'Trial Balance - FPer'!$A$7:$I$1126,3,FALSE)</f>
        <v xml:space="preserve">                               -  </v>
      </c>
    </row>
    <row r="1352" spans="1:10" s="2615" customFormat="1" hidden="1" x14ac:dyDescent="0.2">
      <c r="A1352" s="2612"/>
      <c r="B1352" s="2613" t="s">
        <v>6622</v>
      </c>
      <c r="C1352" s="2614">
        <f>SUM(C1350:C1351)</f>
        <v>37600.89</v>
      </c>
      <c r="D1352" s="2614">
        <f>SUM(D1350:D1351)</f>
        <v>9556.59</v>
      </c>
      <c r="E1352" s="2614">
        <f>SUM(E1350:E1351)</f>
        <v>0</v>
      </c>
      <c r="F1352" s="2614">
        <f>SUM(F1350:F1351)</f>
        <v>9556.59</v>
      </c>
      <c r="G1352" s="2614">
        <f>SUM(G1350:G1351)</f>
        <v>2399.29</v>
      </c>
      <c r="H1352" s="2614">
        <f t="shared" ref="H1352:J1352" si="134">SUM(H1350:H1351)</f>
        <v>0</v>
      </c>
      <c r="I1352" s="2614">
        <f t="shared" si="134"/>
        <v>0</v>
      </c>
      <c r="J1352" s="2614">
        <f t="shared" si="134"/>
        <v>37600.89</v>
      </c>
    </row>
    <row r="1353" spans="1:10" ht="14.25" hidden="1" x14ac:dyDescent="0.2">
      <c r="A1353" s="2236"/>
      <c r="B1353" s="2243"/>
      <c r="C1353" s="2244"/>
      <c r="D1353" s="2245"/>
      <c r="E1353" s="2244"/>
      <c r="F1353" s="2246"/>
      <c r="G1353" s="2244"/>
      <c r="H1353" s="2244"/>
      <c r="I1353" s="2238" t="e">
        <f>VLOOKUP(A1353,'Trial Balance - FPer'!$A$7:$I$1107,7,FALSE)</f>
        <v>#N/A</v>
      </c>
      <c r="J1353" s="2100" t="e">
        <f>VLOOKUP(A1353,'Trial Balance - FPer'!$A$7:$I$1126,3,FALSE)</f>
        <v>#N/A</v>
      </c>
    </row>
    <row r="1354" spans="1:10" s="2615" customFormat="1" ht="13.5" thickBot="1" x14ac:dyDescent="0.25">
      <c r="A1354" s="2612"/>
      <c r="B1354" s="2616" t="s">
        <v>6623</v>
      </c>
      <c r="C1354" s="2617">
        <f>C1352+C1347+C1342+C1324</f>
        <v>1561597.1600000001</v>
      </c>
      <c r="D1354" s="2617">
        <f>D1352+D1347+D1342+D1324</f>
        <v>2125745.2400000002</v>
      </c>
      <c r="E1354" s="2617">
        <f>E1352+E1347+E1342+E1324</f>
        <v>552506.58000000007</v>
      </c>
      <c r="F1354" s="2617">
        <f>F1352+F1347+F1342+F1324</f>
        <v>1163936.5</v>
      </c>
      <c r="G1354" s="2617">
        <f>G1352+G1347+G1342+G1324</f>
        <v>1363028.3900000001</v>
      </c>
      <c r="H1354" s="2617">
        <f t="shared" ref="H1354" si="135">H1352+H1347+H1342+H1324</f>
        <v>656085.54</v>
      </c>
      <c r="I1354" s="2617">
        <f>I1352+I1347+I1342+I1324</f>
        <v>1091657.33</v>
      </c>
      <c r="J1354" s="2617">
        <f>J1352+J1347+J1342+J1324</f>
        <v>1561520.69</v>
      </c>
    </row>
    <row r="1355" spans="1:10" ht="15" thickTop="1" x14ac:dyDescent="0.2">
      <c r="A1355" s="2236"/>
      <c r="B1355" s="2243"/>
      <c r="C1355" s="2244"/>
      <c r="D1355" s="2245"/>
      <c r="E1355" s="2244"/>
      <c r="F1355" s="2246"/>
      <c r="G1355" s="2244"/>
      <c r="H1355" s="2244"/>
      <c r="I1355" s="2238" t="e">
        <f>VLOOKUP(A1355,'Trial Balance - FPer'!$A$7:$I$1107,7,FALSE)</f>
        <v>#N/A</v>
      </c>
      <c r="J1355" s="2100" t="e">
        <f>VLOOKUP(A1355,'Trial Balance - FPer'!$A$7:$I$1126,3,FALSE)</f>
        <v>#N/A</v>
      </c>
    </row>
    <row r="1356" spans="1:10" s="2615" customFormat="1" ht="13.5" thickBot="1" x14ac:dyDescent="0.25">
      <c r="A1356" s="2612"/>
      <c r="B1356" s="2616" t="s">
        <v>6624</v>
      </c>
      <c r="C1356" s="2617">
        <f>C1307-C1354</f>
        <v>-1405541.84</v>
      </c>
      <c r="D1356" s="2617">
        <f>D1307-D1354</f>
        <v>-1.0000000242143869E-2</v>
      </c>
      <c r="E1356" s="2617">
        <f>E1307-E1354</f>
        <v>-456913.58000000007</v>
      </c>
      <c r="F1356" s="2617">
        <f>F1307-F1354</f>
        <v>0</v>
      </c>
      <c r="G1356" s="2617">
        <f>G1307-G1354</f>
        <v>-200312.16000000015</v>
      </c>
      <c r="H1356" s="2617">
        <f t="shared" ref="H1356:J1356" si="136">H1307-H1354</f>
        <v>-656085.54</v>
      </c>
      <c r="I1356" s="2617">
        <f t="shared" si="136"/>
        <v>-1248800.33</v>
      </c>
      <c r="J1356" s="2617">
        <f t="shared" si="136"/>
        <v>-1717576.01</v>
      </c>
    </row>
    <row r="1357" spans="1:10" ht="15" thickTop="1" x14ac:dyDescent="0.2">
      <c r="A1357" s="2236"/>
      <c r="B1357" s="2243"/>
      <c r="C1357" s="2244"/>
      <c r="D1357" s="2245"/>
      <c r="E1357" s="2244"/>
      <c r="F1357" s="2246"/>
      <c r="G1357" s="2244"/>
      <c r="H1357" s="2244"/>
      <c r="I1357" s="2238" t="e">
        <f>VLOOKUP(A1357,'Trial Balance - FPer'!$A$7:$I$1107,7,FALSE)</f>
        <v>#N/A</v>
      </c>
      <c r="J1357" s="2100" t="e">
        <f>VLOOKUP(A1357,'Trial Balance - FPer'!$A$7:$I$1126,3,FALSE)</f>
        <v>#N/A</v>
      </c>
    </row>
    <row r="1358" spans="1:10" ht="15" x14ac:dyDescent="0.25">
      <c r="A1358" s="2241" t="s">
        <v>6791</v>
      </c>
      <c r="B1358" s="2237" t="s">
        <v>6792</v>
      </c>
      <c r="C1358" s="2244"/>
      <c r="D1358" s="2245"/>
      <c r="E1358" s="2244"/>
      <c r="F1358" s="2246"/>
      <c r="G1358" s="2244"/>
      <c r="H1358" s="2244"/>
      <c r="I1358" s="2238" t="e">
        <f>VLOOKUP(A1358,'Trial Balance - FPer'!$A$7:$I$1107,7,FALSE)</f>
        <v>#N/A</v>
      </c>
      <c r="J1358" s="2100" t="e">
        <f>VLOOKUP(A1358,'Trial Balance - FPer'!$A$7:$I$1126,3,FALSE)</f>
        <v>#N/A</v>
      </c>
    </row>
    <row r="1359" spans="1:10" ht="14.25" x14ac:dyDescent="0.2">
      <c r="A1359" s="2236"/>
      <c r="B1359" s="2243"/>
      <c r="C1359" s="2244"/>
      <c r="D1359" s="2245"/>
      <c r="E1359" s="2244"/>
      <c r="F1359" s="2246"/>
      <c r="G1359" s="2244"/>
      <c r="H1359" s="2244"/>
      <c r="I1359" s="2238" t="e">
        <f>VLOOKUP(A1359,'Trial Balance - FPer'!$A$7:$I$1107,7,FALSE)</f>
        <v>#N/A</v>
      </c>
      <c r="J1359" s="2100" t="e">
        <f>VLOOKUP(A1359,'Trial Balance - FPer'!$A$7:$I$1126,3,FALSE)</f>
        <v>#N/A</v>
      </c>
    </row>
    <row r="1360" spans="1:10" ht="14.25" x14ac:dyDescent="0.2">
      <c r="A1360" s="2236"/>
      <c r="B1360" s="2242" t="s">
        <v>247</v>
      </c>
      <c r="C1360" s="2244"/>
      <c r="D1360" s="2245"/>
      <c r="E1360" s="2244"/>
      <c r="F1360" s="2246"/>
      <c r="G1360" s="2244"/>
      <c r="H1360" s="2244"/>
      <c r="I1360" s="2238" t="e">
        <f>VLOOKUP(A1360,'Trial Balance - FPer'!$A$7:$I$1107,7,FALSE)</f>
        <v>#N/A</v>
      </c>
      <c r="J1360" s="2100" t="e">
        <f>VLOOKUP(A1360,'Trial Balance - FPer'!$A$7:$I$1126,3,FALSE)</f>
        <v>#N/A</v>
      </c>
    </row>
    <row r="1361" spans="1:10" ht="14.25" hidden="1" x14ac:dyDescent="0.2">
      <c r="A1361" s="2236"/>
      <c r="B1361" s="2242" t="s">
        <v>6628</v>
      </c>
      <c r="C1361" s="2244"/>
      <c r="D1361" s="2245"/>
      <c r="E1361" s="2244"/>
      <c r="F1361" s="2246"/>
      <c r="G1361" s="2244"/>
      <c r="H1361" s="2244"/>
      <c r="I1361" s="2238" t="e">
        <f>VLOOKUP(A1361,'Trial Balance - FPer'!$A$7:$I$1107,7,FALSE)</f>
        <v>#N/A</v>
      </c>
      <c r="J1361" s="2100" t="e">
        <f>VLOOKUP(A1361,'Trial Balance - FPer'!$A$7:$I$1126,3,FALSE)</f>
        <v>#N/A</v>
      </c>
    </row>
    <row r="1362" spans="1:10" ht="14.25" hidden="1" x14ac:dyDescent="0.2">
      <c r="A1362" s="2236" t="s">
        <v>5564</v>
      </c>
      <c r="B1362" s="2247" t="s">
        <v>6659</v>
      </c>
      <c r="C1362" s="2248">
        <f>'[2]Data File'!$C$1338</f>
        <v>0</v>
      </c>
      <c r="D1362" s="2249">
        <v>79420.070000000007</v>
      </c>
      <c r="E1362" s="2248">
        <v>0</v>
      </c>
      <c r="F1362" s="2250"/>
      <c r="G1362" s="2248">
        <v>39868.07</v>
      </c>
      <c r="H1362" s="2244"/>
      <c r="I1362" s="2238">
        <f>VLOOKUP(A1362,'Trial Balance - FPer'!$A$7:$I$1107,7,FALSE)</f>
        <v>0</v>
      </c>
      <c r="J1362" s="2100">
        <f>VLOOKUP(A1362,'Trial Balance - FPer'!$A$7:$I$1126,3,FALSE)</f>
        <v>0</v>
      </c>
    </row>
    <row r="1363" spans="1:10" s="2615" customFormat="1" hidden="1" x14ac:dyDescent="0.2">
      <c r="A1363" s="2612"/>
      <c r="B1363" s="2613" t="s">
        <v>6631</v>
      </c>
      <c r="C1363" s="2614">
        <f>SUM(C1362)</f>
        <v>0</v>
      </c>
      <c r="D1363" s="2614">
        <f>SUM(D1362)</f>
        <v>79420.070000000007</v>
      </c>
      <c r="E1363" s="2614">
        <f>SUM(E1362)</f>
        <v>0</v>
      </c>
      <c r="F1363" s="2614">
        <f>SUM(F1362)</f>
        <v>0</v>
      </c>
      <c r="G1363" s="2614">
        <f>SUM(G1362)</f>
        <v>39868.07</v>
      </c>
      <c r="H1363" s="2614">
        <f t="shared" ref="H1363:J1363" si="137">SUM(H1362)</f>
        <v>0</v>
      </c>
      <c r="I1363" s="2614">
        <f t="shared" si="137"/>
        <v>0</v>
      </c>
      <c r="J1363" s="2614">
        <f t="shared" si="137"/>
        <v>0</v>
      </c>
    </row>
    <row r="1364" spans="1:10" ht="14.25" hidden="1" x14ac:dyDescent="0.2">
      <c r="A1364" s="2236"/>
      <c r="B1364" s="2243"/>
      <c r="C1364" s="2244"/>
      <c r="D1364" s="2245"/>
      <c r="E1364" s="2244"/>
      <c r="F1364" s="2246"/>
      <c r="G1364" s="2244"/>
      <c r="H1364" s="2244"/>
      <c r="I1364" s="2238" t="e">
        <f>VLOOKUP(A1364,'Trial Balance - FPer'!$A$7:$I$1107,7,FALSE)</f>
        <v>#N/A</v>
      </c>
      <c r="J1364" s="2100" t="e">
        <f>VLOOKUP(A1364,'Trial Balance - FPer'!$A$7:$I$1126,3,FALSE)</f>
        <v>#N/A</v>
      </c>
    </row>
    <row r="1365" spans="1:10" s="2615" customFormat="1" ht="13.5" thickBot="1" x14ac:dyDescent="0.25">
      <c r="A1365" s="2612"/>
      <c r="B1365" s="2616" t="s">
        <v>6579</v>
      </c>
      <c r="C1365" s="2617">
        <f>C1363</f>
        <v>0</v>
      </c>
      <c r="D1365" s="2617">
        <f>D1363</f>
        <v>79420.070000000007</v>
      </c>
      <c r="E1365" s="2617">
        <f>E1363</f>
        <v>0</v>
      </c>
      <c r="F1365" s="2617">
        <f>F1363</f>
        <v>0</v>
      </c>
      <c r="G1365" s="2617">
        <f>G1363</f>
        <v>39868.07</v>
      </c>
      <c r="H1365" s="2617">
        <f t="shared" ref="H1365:J1365" si="138">H1363</f>
        <v>0</v>
      </c>
      <c r="I1365" s="2617">
        <f t="shared" si="138"/>
        <v>0</v>
      </c>
      <c r="J1365" s="2617">
        <f t="shared" si="138"/>
        <v>0</v>
      </c>
    </row>
    <row r="1366" spans="1:10" ht="15" thickTop="1" x14ac:dyDescent="0.2">
      <c r="A1366" s="2236"/>
      <c r="B1366" s="2243"/>
      <c r="C1366" s="2244"/>
      <c r="D1366" s="2245"/>
      <c r="E1366" s="2244"/>
      <c r="F1366" s="2246"/>
      <c r="G1366" s="2244"/>
      <c r="H1366" s="2244"/>
      <c r="I1366" s="2238" t="e">
        <f>VLOOKUP(A1366,'Trial Balance - FPer'!$A$7:$I$1107,7,FALSE)</f>
        <v>#N/A</v>
      </c>
      <c r="J1366" s="2100" t="e">
        <f>VLOOKUP(A1366,'Trial Balance - FPer'!$A$7:$I$1126,3,FALSE)</f>
        <v>#N/A</v>
      </c>
    </row>
    <row r="1367" spans="1:10" ht="14.25" x14ac:dyDescent="0.2">
      <c r="A1367" s="2236"/>
      <c r="B1367" s="2242" t="s">
        <v>235</v>
      </c>
      <c r="C1367" s="2244"/>
      <c r="D1367" s="2245"/>
      <c r="E1367" s="2244"/>
      <c r="F1367" s="2246"/>
      <c r="G1367" s="2244"/>
      <c r="H1367" s="2244"/>
      <c r="I1367" s="2238" t="e">
        <f>VLOOKUP(A1367,'Trial Balance - FPer'!$A$7:$I$1107,7,FALSE)</f>
        <v>#N/A</v>
      </c>
      <c r="J1367" s="2100" t="e">
        <f>VLOOKUP(A1367,'Trial Balance - FPer'!$A$7:$I$1126,3,FALSE)</f>
        <v>#N/A</v>
      </c>
    </row>
    <row r="1368" spans="1:10" ht="14.25" hidden="1" x14ac:dyDescent="0.2">
      <c r="A1368" s="2236"/>
      <c r="B1368" s="2242" t="s">
        <v>387</v>
      </c>
      <c r="C1368" s="2244"/>
      <c r="D1368" s="2245"/>
      <c r="E1368" s="2244"/>
      <c r="F1368" s="2246"/>
      <c r="G1368" s="2244"/>
      <c r="H1368" s="2244"/>
      <c r="I1368" s="2238" t="e">
        <f>VLOOKUP(A1368,'Trial Balance - FPer'!$A$7:$I$1107,7,FALSE)</f>
        <v>#N/A</v>
      </c>
      <c r="J1368" s="2100" t="e">
        <f>VLOOKUP(A1368,'Trial Balance - FPer'!$A$7:$I$1126,3,FALSE)</f>
        <v>#N/A</v>
      </c>
    </row>
    <row r="1369" spans="1:10" ht="14.25" hidden="1" x14ac:dyDescent="0.2">
      <c r="A1369" s="2236" t="s">
        <v>5552</v>
      </c>
      <c r="B1369" s="2243" t="s">
        <v>6003</v>
      </c>
      <c r="C1369" s="2244">
        <f>'[2]Data File'!$C$1346</f>
        <v>0</v>
      </c>
      <c r="D1369" s="2245">
        <v>25065.200000000001</v>
      </c>
      <c r="E1369" s="2244">
        <v>0</v>
      </c>
      <c r="F1369" s="2246">
        <v>0</v>
      </c>
      <c r="G1369" s="2244">
        <v>6292.6</v>
      </c>
      <c r="H1369" s="2244"/>
      <c r="I1369" s="2238">
        <f>VLOOKUP(A1369,'Trial Balance - FPer'!$A$7:$I$1107,7,FALSE)</f>
        <v>0</v>
      </c>
      <c r="J1369" s="2100" t="str">
        <f>VLOOKUP(A1369,'Trial Balance - FPer'!$A$7:$I$1126,3,FALSE)</f>
        <v xml:space="preserve">                               -  </v>
      </c>
    </row>
    <row r="1370" spans="1:10" ht="14.25" hidden="1" x14ac:dyDescent="0.2">
      <c r="A1370" s="2236" t="s">
        <v>5553</v>
      </c>
      <c r="B1370" s="2243" t="s">
        <v>6581</v>
      </c>
      <c r="C1370" s="2244">
        <v>0</v>
      </c>
      <c r="D1370" s="2245">
        <v>0</v>
      </c>
      <c r="E1370" s="2244">
        <v>0</v>
      </c>
      <c r="F1370" s="2246">
        <v>0</v>
      </c>
      <c r="G1370" s="2244">
        <v>0</v>
      </c>
      <c r="H1370" s="2244"/>
      <c r="I1370" s="2238">
        <f>VLOOKUP(A1370,'Trial Balance - FPer'!$A$7:$I$1107,7,FALSE)</f>
        <v>0</v>
      </c>
      <c r="J1370" s="2100">
        <f>VLOOKUP(A1370,'Trial Balance - FPer'!$A$7:$I$1126,3,FALSE)</f>
        <v>0</v>
      </c>
    </row>
    <row r="1371" spans="1:10" ht="14.25" hidden="1" x14ac:dyDescent="0.2">
      <c r="A1371" s="2236" t="s">
        <v>5554</v>
      </c>
      <c r="B1371" s="2243" t="s">
        <v>6582</v>
      </c>
      <c r="C1371" s="2244">
        <v>0</v>
      </c>
      <c r="D1371" s="2245">
        <v>0</v>
      </c>
      <c r="E1371" s="2244">
        <v>0</v>
      </c>
      <c r="F1371" s="2246">
        <v>0</v>
      </c>
      <c r="G1371" s="2244">
        <v>0</v>
      </c>
      <c r="H1371" s="2244"/>
      <c r="I1371" s="2238">
        <f>VLOOKUP(A1371,'Trial Balance - FPer'!$A$7:$I$1107,7,FALSE)</f>
        <v>0</v>
      </c>
      <c r="J1371" s="2100">
        <f>VLOOKUP(A1371,'Trial Balance - FPer'!$A$7:$I$1126,3,FALSE)</f>
        <v>0</v>
      </c>
    </row>
    <row r="1372" spans="1:10" ht="14.25" hidden="1" x14ac:dyDescent="0.2">
      <c r="A1372" s="2236" t="s">
        <v>5555</v>
      </c>
      <c r="B1372" s="2243" t="s">
        <v>6584</v>
      </c>
      <c r="C1372" s="2244">
        <v>0</v>
      </c>
      <c r="D1372" s="2245">
        <v>0</v>
      </c>
      <c r="E1372" s="2244">
        <v>0</v>
      </c>
      <c r="F1372" s="2246">
        <v>0</v>
      </c>
      <c r="G1372" s="2244">
        <v>0</v>
      </c>
      <c r="H1372" s="2244"/>
      <c r="I1372" s="2238">
        <f>VLOOKUP(A1372,'Trial Balance - FPer'!$A$7:$I$1107,7,FALSE)</f>
        <v>0</v>
      </c>
      <c r="J1372" s="2100">
        <f>VLOOKUP(A1372,'Trial Balance - FPer'!$A$7:$I$1126,3,FALSE)</f>
        <v>0</v>
      </c>
    </row>
    <row r="1373" spans="1:10" ht="14.25" hidden="1" x14ac:dyDescent="0.2">
      <c r="A1373" s="2236" t="s">
        <v>5556</v>
      </c>
      <c r="B1373" s="2243" t="s">
        <v>6587</v>
      </c>
      <c r="C1373" s="2244">
        <v>0</v>
      </c>
      <c r="D1373" s="2245">
        <v>0</v>
      </c>
      <c r="E1373" s="2244">
        <v>0</v>
      </c>
      <c r="F1373" s="2246">
        <v>0</v>
      </c>
      <c r="G1373" s="2244">
        <v>0</v>
      </c>
      <c r="H1373" s="2244"/>
      <c r="I1373" s="2238">
        <f>VLOOKUP(A1373,'Trial Balance - FPer'!$A$7:$I$1107,7,FALSE)</f>
        <v>0</v>
      </c>
      <c r="J1373" s="2100">
        <f>VLOOKUP(A1373,'Trial Balance - FPer'!$A$7:$I$1126,3,FALSE)</f>
        <v>0</v>
      </c>
    </row>
    <row r="1374" spans="1:10" ht="14.25" hidden="1" x14ac:dyDescent="0.2">
      <c r="A1374" s="2236" t="s">
        <v>5557</v>
      </c>
      <c r="B1374" s="2243" t="s">
        <v>6013</v>
      </c>
      <c r="C1374" s="2244">
        <v>0</v>
      </c>
      <c r="D1374" s="2245">
        <v>0</v>
      </c>
      <c r="E1374" s="2244">
        <v>0</v>
      </c>
      <c r="F1374" s="2246">
        <v>0</v>
      </c>
      <c r="G1374" s="2244">
        <v>0</v>
      </c>
      <c r="H1374" s="2244"/>
      <c r="I1374" s="2238">
        <f>VLOOKUP(A1374,'Trial Balance - FPer'!$A$7:$I$1107,7,FALSE)</f>
        <v>0</v>
      </c>
      <c r="J1374" s="2100">
        <f>VLOOKUP(A1374,'Trial Balance - FPer'!$A$7:$I$1126,3,FALSE)</f>
        <v>0</v>
      </c>
    </row>
    <row r="1375" spans="1:10" ht="14.25" hidden="1" x14ac:dyDescent="0.2">
      <c r="A1375" s="2236" t="s">
        <v>5558</v>
      </c>
      <c r="B1375" s="2247" t="s">
        <v>6014</v>
      </c>
      <c r="C1375" s="2248">
        <v>0</v>
      </c>
      <c r="D1375" s="2249">
        <v>0</v>
      </c>
      <c r="E1375" s="2248">
        <v>0</v>
      </c>
      <c r="F1375" s="2250">
        <v>0</v>
      </c>
      <c r="G1375" s="2248">
        <v>0</v>
      </c>
      <c r="H1375" s="2244"/>
      <c r="I1375" s="2238">
        <f>VLOOKUP(A1375,'Trial Balance - FPer'!$A$7:$I$1107,7,FALSE)</f>
        <v>0</v>
      </c>
      <c r="J1375" s="2100">
        <f>VLOOKUP(A1375,'Trial Balance - FPer'!$A$7:$I$1126,3,FALSE)</f>
        <v>0</v>
      </c>
    </row>
    <row r="1376" spans="1:10" s="2615" customFormat="1" hidden="1" x14ac:dyDescent="0.2">
      <c r="A1376" s="2612"/>
      <c r="B1376" s="2613" t="s">
        <v>6588</v>
      </c>
      <c r="C1376" s="2614">
        <f>SUM(C1369:C1375)</f>
        <v>0</v>
      </c>
      <c r="D1376" s="2614">
        <f>SUM(D1369:D1375)</f>
        <v>25065.200000000001</v>
      </c>
      <c r="E1376" s="2614">
        <f>SUM(E1369:E1375)</f>
        <v>0</v>
      </c>
      <c r="F1376" s="2614">
        <f>SUM(F1369:F1375)</f>
        <v>0</v>
      </c>
      <c r="G1376" s="2614">
        <f>SUM(G1369:G1375)</f>
        <v>6292.6</v>
      </c>
      <c r="H1376" s="2614">
        <f t="shared" ref="H1376:J1376" si="139">SUM(H1369:H1375)</f>
        <v>0</v>
      </c>
      <c r="I1376" s="2614">
        <f t="shared" si="139"/>
        <v>0</v>
      </c>
      <c r="J1376" s="2614">
        <f t="shared" si="139"/>
        <v>0</v>
      </c>
    </row>
    <row r="1377" spans="1:10" ht="14.25" hidden="1" x14ac:dyDescent="0.2">
      <c r="A1377" s="2236"/>
      <c r="B1377" s="2243"/>
      <c r="C1377" s="2244"/>
      <c r="D1377" s="2245"/>
      <c r="E1377" s="2244"/>
      <c r="F1377" s="2246"/>
      <c r="G1377" s="2244"/>
      <c r="H1377" s="2244"/>
      <c r="I1377" s="2238" t="e">
        <f>VLOOKUP(A1377,'Trial Balance - FPer'!$A$7:$I$1107,7,FALSE)</f>
        <v>#N/A</v>
      </c>
      <c r="J1377" s="2100" t="e">
        <f>VLOOKUP(A1377,'Trial Balance - FPer'!$A$7:$I$1126,3,FALSE)</f>
        <v>#N/A</v>
      </c>
    </row>
    <row r="1378" spans="1:10" ht="14.25" hidden="1" x14ac:dyDescent="0.2">
      <c r="A1378" s="2236"/>
      <c r="B1378" s="2242" t="s">
        <v>6599</v>
      </c>
      <c r="C1378" s="2244"/>
      <c r="D1378" s="2245"/>
      <c r="E1378" s="2244"/>
      <c r="F1378" s="2246"/>
      <c r="G1378" s="2244"/>
      <c r="H1378" s="2244"/>
      <c r="I1378" s="2238" t="e">
        <f>VLOOKUP(A1378,'Trial Balance - FPer'!$A$7:$I$1107,7,FALSE)</f>
        <v>#N/A</v>
      </c>
      <c r="J1378" s="2100" t="e">
        <f>VLOOKUP(A1378,'Trial Balance - FPer'!$A$7:$I$1126,3,FALSE)</f>
        <v>#N/A</v>
      </c>
    </row>
    <row r="1379" spans="1:10" ht="14.25" hidden="1" x14ac:dyDescent="0.2">
      <c r="A1379" s="2236" t="s">
        <v>5559</v>
      </c>
      <c r="B1379" s="2243" t="s">
        <v>6608</v>
      </c>
      <c r="C1379" s="2244">
        <f>'[2]Data File'!$C$1350</f>
        <v>0</v>
      </c>
      <c r="D1379" s="2245">
        <v>4138.5200000000004</v>
      </c>
      <c r="E1379" s="2244">
        <v>0</v>
      </c>
      <c r="F1379" s="2246">
        <v>0</v>
      </c>
      <c r="G1379" s="2244">
        <v>1040.26</v>
      </c>
      <c r="H1379" s="2244"/>
      <c r="I1379" s="2238">
        <f>VLOOKUP(A1379,'Trial Balance - FPer'!$A$7:$I$1107,7,FALSE)</f>
        <v>0</v>
      </c>
      <c r="J1379" s="2100" t="str">
        <f>VLOOKUP(A1379,'Trial Balance - FPer'!$A$7:$I$1126,3,FALSE)</f>
        <v xml:space="preserve">                               -  </v>
      </c>
    </row>
    <row r="1380" spans="1:10" ht="14.25" hidden="1" x14ac:dyDescent="0.2">
      <c r="A1380" s="2236" t="s">
        <v>5560</v>
      </c>
      <c r="B1380" s="2247" t="s">
        <v>6732</v>
      </c>
      <c r="C1380" s="2248">
        <f>'[2]Data File'!$C$1352</f>
        <v>8242</v>
      </c>
      <c r="D1380" s="2249">
        <v>9066.23</v>
      </c>
      <c r="E1380" s="2248">
        <v>0</v>
      </c>
      <c r="F1380" s="2250">
        <v>0</v>
      </c>
      <c r="G1380" s="2248">
        <v>2277.11</v>
      </c>
      <c r="H1380" s="2244"/>
      <c r="I1380" s="2238">
        <f>VLOOKUP(A1380,'Trial Balance - FPer'!$A$7:$I$1107,7,FALSE)</f>
        <v>0</v>
      </c>
      <c r="J1380" s="2100">
        <f>VLOOKUP(A1380,'Trial Balance - FPer'!$A$7:$I$1126,3,FALSE)</f>
        <v>8242</v>
      </c>
    </row>
    <row r="1381" spans="1:10" s="2615" customFormat="1" hidden="1" x14ac:dyDescent="0.2">
      <c r="A1381" s="2612"/>
      <c r="B1381" s="2613" t="s">
        <v>6614</v>
      </c>
      <c r="C1381" s="2614">
        <f>SUM(C1379:C1380)</f>
        <v>8242</v>
      </c>
      <c r="D1381" s="2614">
        <f>SUM(D1379:D1380)</f>
        <v>13204.75</v>
      </c>
      <c r="E1381" s="2614">
        <f>SUM(E1379:E1380)</f>
        <v>0</v>
      </c>
      <c r="F1381" s="2614">
        <f>SUM(F1379:F1380)</f>
        <v>0</v>
      </c>
      <c r="G1381" s="2614">
        <f>SUM(G1379:G1380)</f>
        <v>3317.37</v>
      </c>
      <c r="H1381" s="2614">
        <f t="shared" ref="H1381:J1381" si="140">SUM(H1379:H1380)</f>
        <v>0</v>
      </c>
      <c r="I1381" s="2614">
        <f t="shared" si="140"/>
        <v>0</v>
      </c>
      <c r="J1381" s="2614">
        <f t="shared" si="140"/>
        <v>8242</v>
      </c>
    </row>
    <row r="1382" spans="1:10" ht="14.25" hidden="1" x14ac:dyDescent="0.2">
      <c r="A1382" s="2236"/>
      <c r="B1382" s="2243"/>
      <c r="C1382" s="2244"/>
      <c r="D1382" s="2245"/>
      <c r="E1382" s="2244"/>
      <c r="F1382" s="2246"/>
      <c r="G1382" s="2244"/>
      <c r="H1382" s="2244"/>
      <c r="I1382" s="2238" t="e">
        <f>VLOOKUP(A1382,'Trial Balance - FPer'!$A$7:$I$1107,7,FALSE)</f>
        <v>#N/A</v>
      </c>
      <c r="J1382" s="2100" t="e">
        <f>VLOOKUP(A1382,'Trial Balance - FPer'!$A$7:$I$1126,3,FALSE)</f>
        <v>#N/A</v>
      </c>
    </row>
    <row r="1383" spans="1:10" ht="14.25" hidden="1" x14ac:dyDescent="0.2">
      <c r="A1383" s="2236"/>
      <c r="B1383" s="2242" t="s">
        <v>6615</v>
      </c>
      <c r="C1383" s="2244"/>
      <c r="D1383" s="2245"/>
      <c r="E1383" s="2244"/>
      <c r="F1383" s="2246"/>
      <c r="G1383" s="2244"/>
      <c r="H1383" s="2244"/>
      <c r="I1383" s="2238" t="e">
        <f>VLOOKUP(A1383,'Trial Balance - FPer'!$A$7:$I$1107,7,FALSE)</f>
        <v>#N/A</v>
      </c>
      <c r="J1383" s="2100" t="e">
        <f>VLOOKUP(A1383,'Trial Balance - FPer'!$A$7:$I$1126,3,FALSE)</f>
        <v>#N/A</v>
      </c>
    </row>
    <row r="1384" spans="1:10" ht="14.25" hidden="1" x14ac:dyDescent="0.2">
      <c r="A1384" s="2236" t="s">
        <v>5561</v>
      </c>
      <c r="B1384" s="2243" t="s">
        <v>6700</v>
      </c>
      <c r="C1384" s="2244">
        <f>'[2]Data File'!$C$1356</f>
        <v>2470</v>
      </c>
      <c r="D1384" s="2245">
        <v>39412.120000000003</v>
      </c>
      <c r="E1384" s="2244">
        <v>0</v>
      </c>
      <c r="F1384" s="2246">
        <v>0</v>
      </c>
      <c r="G1384" s="2244">
        <v>9893.06</v>
      </c>
      <c r="H1384" s="2244"/>
      <c r="I1384" s="2238">
        <f>VLOOKUP(A1384,'Trial Balance - FPer'!$A$7:$I$1107,7,FALSE)</f>
        <v>0</v>
      </c>
      <c r="J1384" s="2100">
        <f>VLOOKUP(A1384,'Trial Balance - FPer'!$A$7:$I$1126,3,FALSE)</f>
        <v>2470</v>
      </c>
    </row>
    <row r="1385" spans="1:10" ht="14.25" hidden="1" x14ac:dyDescent="0.2">
      <c r="A1385" s="2236" t="s">
        <v>5562</v>
      </c>
      <c r="B1385" s="2243" t="s">
        <v>6616</v>
      </c>
      <c r="C1385" s="2244">
        <v>0</v>
      </c>
      <c r="D1385" s="2245">
        <v>0</v>
      </c>
      <c r="E1385" s="2244">
        <v>0</v>
      </c>
      <c r="F1385" s="2246">
        <v>0</v>
      </c>
      <c r="G1385" s="2244">
        <v>0</v>
      </c>
      <c r="H1385" s="2244"/>
      <c r="I1385" s="2238">
        <f>VLOOKUP(A1385,'Trial Balance - FPer'!$A$7:$I$1107,7,FALSE)</f>
        <v>0</v>
      </c>
      <c r="J1385" s="2100" t="str">
        <f>VLOOKUP(A1385,'Trial Balance - FPer'!$A$7:$I$1126,3,FALSE)</f>
        <v xml:space="preserve">                               -  </v>
      </c>
    </row>
    <row r="1386" spans="1:10" ht="14.25" hidden="1" x14ac:dyDescent="0.2">
      <c r="A1386" s="2236" t="s">
        <v>5563</v>
      </c>
      <c r="B1386" s="2247" t="s">
        <v>6617</v>
      </c>
      <c r="C1386" s="2248">
        <f>'[2]Data File'!$C$1357</f>
        <v>790</v>
      </c>
      <c r="D1386" s="2249">
        <v>1738</v>
      </c>
      <c r="E1386" s="2248">
        <v>0</v>
      </c>
      <c r="F1386" s="2250">
        <v>0</v>
      </c>
      <c r="G1386" s="2248">
        <v>437</v>
      </c>
      <c r="H1386" s="2244"/>
      <c r="I1386" s="2238">
        <f>VLOOKUP(A1386,'Trial Balance - FPer'!$A$7:$I$1107,7,FALSE)</f>
        <v>0</v>
      </c>
      <c r="J1386" s="2100">
        <f>VLOOKUP(A1386,'Trial Balance - FPer'!$A$7:$I$1126,3,FALSE)</f>
        <v>790</v>
      </c>
    </row>
    <row r="1387" spans="1:10" s="2615" customFormat="1" hidden="1" x14ac:dyDescent="0.2">
      <c r="A1387" s="2612"/>
      <c r="B1387" s="2613" t="s">
        <v>6618</v>
      </c>
      <c r="C1387" s="2614">
        <f>SUM(C1384:C1386)</f>
        <v>3260</v>
      </c>
      <c r="D1387" s="2614">
        <f>SUM(D1384:D1386)</f>
        <v>41150.120000000003</v>
      </c>
      <c r="E1387" s="2614">
        <f>SUM(E1384:E1386)</f>
        <v>0</v>
      </c>
      <c r="F1387" s="2614">
        <f>SUM(F1384:F1386)</f>
        <v>0</v>
      </c>
      <c r="G1387" s="2614">
        <f>SUM(G1384:G1386)</f>
        <v>10330.06</v>
      </c>
      <c r="H1387" s="2614">
        <f t="shared" ref="H1387:J1387" si="141">SUM(H1384:H1386)</f>
        <v>0</v>
      </c>
      <c r="I1387" s="2614">
        <f t="shared" si="141"/>
        <v>0</v>
      </c>
      <c r="J1387" s="2614">
        <f t="shared" si="141"/>
        <v>3260</v>
      </c>
    </row>
    <row r="1388" spans="1:10" ht="14.25" hidden="1" x14ac:dyDescent="0.2">
      <c r="A1388" s="2236"/>
      <c r="B1388" s="2243"/>
      <c r="C1388" s="2244"/>
      <c r="D1388" s="2245"/>
      <c r="E1388" s="2244"/>
      <c r="F1388" s="2246"/>
      <c r="G1388" s="2244"/>
      <c r="H1388" s="2244"/>
      <c r="I1388" s="2238" t="e">
        <f>VLOOKUP(A1388,'Trial Balance - FPer'!$A$7:$I$1107,7,FALSE)</f>
        <v>#N/A</v>
      </c>
      <c r="J1388" s="2100" t="e">
        <f>VLOOKUP(A1388,'Trial Balance - FPer'!$A$7:$I$1126,3,FALSE)</f>
        <v>#N/A</v>
      </c>
    </row>
    <row r="1389" spans="1:10" s="2615" customFormat="1" ht="13.5" thickBot="1" x14ac:dyDescent="0.25">
      <c r="A1389" s="2612"/>
      <c r="B1389" s="2616" t="s">
        <v>6623</v>
      </c>
      <c r="C1389" s="2617">
        <f>C1387+C1381+C1376</f>
        <v>11502</v>
      </c>
      <c r="D1389" s="2617">
        <f>D1387+D1381+D1376</f>
        <v>79420.070000000007</v>
      </c>
      <c r="E1389" s="2617">
        <f>E1387+E1381+E1376</f>
        <v>0</v>
      </c>
      <c r="F1389" s="2617">
        <f>F1387+F1381+F1376</f>
        <v>0</v>
      </c>
      <c r="G1389" s="2617">
        <f>G1387+G1381+G1376</f>
        <v>19940.03</v>
      </c>
      <c r="H1389" s="2617">
        <f t="shared" ref="H1389" si="142">H1387+H1381+H1376</f>
        <v>0</v>
      </c>
      <c r="I1389" s="2617">
        <f>I1387+I1381+I1376</f>
        <v>0</v>
      </c>
      <c r="J1389" s="2617">
        <f>J1387+J1381+J1376</f>
        <v>11502</v>
      </c>
    </row>
    <row r="1390" spans="1:10" ht="15" thickTop="1" x14ac:dyDescent="0.2">
      <c r="A1390" s="2236"/>
      <c r="B1390" s="2243"/>
      <c r="C1390" s="2244"/>
      <c r="D1390" s="2245"/>
      <c r="E1390" s="2244"/>
      <c r="F1390" s="2246"/>
      <c r="G1390" s="2244"/>
      <c r="H1390" s="2244"/>
      <c r="I1390" s="2238" t="e">
        <f>VLOOKUP(A1390,'Trial Balance - FPer'!$A$7:$I$1107,7,FALSE)</f>
        <v>#N/A</v>
      </c>
      <c r="J1390" s="2100" t="e">
        <f>VLOOKUP(A1390,'Trial Balance - FPer'!$A$7:$I$1126,3,FALSE)</f>
        <v>#N/A</v>
      </c>
    </row>
    <row r="1391" spans="1:10" s="2615" customFormat="1" ht="13.5" thickBot="1" x14ac:dyDescent="0.25">
      <c r="A1391" s="2612"/>
      <c r="B1391" s="2616" t="s">
        <v>6624</v>
      </c>
      <c r="C1391" s="2617">
        <f>C1365-C1389</f>
        <v>-11502</v>
      </c>
      <c r="D1391" s="2617">
        <f>D1365-D1389</f>
        <v>0</v>
      </c>
      <c r="E1391" s="2617">
        <f>E1365-E1389</f>
        <v>0</v>
      </c>
      <c r="F1391" s="2617">
        <f>F1365-F1389</f>
        <v>0</v>
      </c>
      <c r="G1391" s="2617">
        <f>G1365-G1389</f>
        <v>19928.04</v>
      </c>
      <c r="H1391" s="2617">
        <f t="shared" ref="H1391:J1391" si="143">H1365-H1389</f>
        <v>0</v>
      </c>
      <c r="I1391" s="2617">
        <f t="shared" si="143"/>
        <v>0</v>
      </c>
      <c r="J1391" s="2617">
        <f t="shared" si="143"/>
        <v>-11502</v>
      </c>
    </row>
    <row r="1392" spans="1:10" ht="15" thickTop="1" x14ac:dyDescent="0.2">
      <c r="A1392" s="2236"/>
      <c r="B1392" s="2243"/>
      <c r="C1392" s="2244"/>
      <c r="D1392" s="2245"/>
      <c r="E1392" s="2244"/>
      <c r="F1392" s="2246"/>
      <c r="G1392" s="2244"/>
      <c r="H1392" s="2244"/>
      <c r="I1392" s="2238" t="e">
        <f>VLOOKUP(A1392,'Trial Balance - FPer'!$A$7:$I$1107,7,FALSE)</f>
        <v>#N/A</v>
      </c>
      <c r="J1392" s="2100" t="e">
        <f>VLOOKUP(A1392,'Trial Balance - FPer'!$A$7:$I$1126,3,FALSE)</f>
        <v>#N/A</v>
      </c>
    </row>
    <row r="1393" spans="1:10" ht="15" x14ac:dyDescent="0.25">
      <c r="A1393" s="2241" t="s">
        <v>6793</v>
      </c>
      <c r="B1393" s="2237" t="s">
        <v>6794</v>
      </c>
      <c r="C1393" s="2244"/>
      <c r="D1393" s="2245"/>
      <c r="E1393" s="2244"/>
      <c r="F1393" s="2246"/>
      <c r="G1393" s="2244"/>
      <c r="H1393" s="2244"/>
      <c r="I1393" s="2238" t="e">
        <f>VLOOKUP(A1393,'Trial Balance - FPer'!$A$7:$I$1107,7,FALSE)</f>
        <v>#N/A</v>
      </c>
      <c r="J1393" s="2100" t="e">
        <f>VLOOKUP(A1393,'Trial Balance - FPer'!$A$7:$I$1126,3,FALSE)</f>
        <v>#N/A</v>
      </c>
    </row>
    <row r="1394" spans="1:10" ht="14.25" x14ac:dyDescent="0.2">
      <c r="A1394" s="2236"/>
      <c r="B1394" s="2243"/>
      <c r="C1394" s="2244"/>
      <c r="D1394" s="2245"/>
      <c r="E1394" s="2244"/>
      <c r="F1394" s="2246"/>
      <c r="G1394" s="2244"/>
      <c r="H1394" s="2244"/>
      <c r="I1394" s="2238" t="e">
        <f>VLOOKUP(A1394,'Trial Balance - FPer'!$A$7:$I$1107,7,FALSE)</f>
        <v>#N/A</v>
      </c>
      <c r="J1394" s="2100" t="e">
        <f>VLOOKUP(A1394,'Trial Balance - FPer'!$A$7:$I$1126,3,FALSE)</f>
        <v>#N/A</v>
      </c>
    </row>
    <row r="1395" spans="1:10" ht="14.25" x14ac:dyDescent="0.2">
      <c r="A1395" s="2236"/>
      <c r="B1395" s="2242" t="s">
        <v>6628</v>
      </c>
      <c r="C1395" s="2244"/>
      <c r="D1395" s="2245"/>
      <c r="E1395" s="2244"/>
      <c r="F1395" s="2246"/>
      <c r="G1395" s="2244"/>
      <c r="H1395" s="2244"/>
      <c r="I1395" s="2238" t="e">
        <f>VLOOKUP(A1395,'Trial Balance - FPer'!$A$7:$I$1107,7,FALSE)</f>
        <v>#N/A</v>
      </c>
      <c r="J1395" s="2100" t="e">
        <f>VLOOKUP(A1395,'Trial Balance - FPer'!$A$7:$I$1126,3,FALSE)</f>
        <v>#N/A</v>
      </c>
    </row>
    <row r="1396" spans="1:10" ht="14.25" hidden="1" x14ac:dyDescent="0.2">
      <c r="A1396" s="2236" t="s">
        <v>5584</v>
      </c>
      <c r="B1396" s="2247" t="s">
        <v>6659</v>
      </c>
      <c r="C1396" s="2248">
        <f>'[2]Data File'!$C$1372</f>
        <v>0</v>
      </c>
      <c r="D1396" s="2249">
        <v>221327.92</v>
      </c>
      <c r="E1396" s="2248">
        <v>0</v>
      </c>
      <c r="F1396" s="2250">
        <v>185105.96</v>
      </c>
      <c r="G1396" s="2248">
        <v>111107.92</v>
      </c>
      <c r="H1396" s="2244"/>
      <c r="I1396" s="2238">
        <f>VLOOKUP(A1396,'Trial Balance - FPer'!$A$7:$I$1107,7,FALSE)</f>
        <v>0</v>
      </c>
      <c r="J1396" s="2100">
        <f>VLOOKUP(A1396,'Trial Balance - FPer'!$A$7:$I$1126,3,FALSE)</f>
        <v>0</v>
      </c>
    </row>
    <row r="1397" spans="1:10" s="2615" customFormat="1" hidden="1" x14ac:dyDescent="0.2">
      <c r="A1397" s="2612"/>
      <c r="B1397" s="2613" t="s">
        <v>6631</v>
      </c>
      <c r="C1397" s="2614">
        <f>SUM(C1396)</f>
        <v>0</v>
      </c>
      <c r="D1397" s="2614">
        <f>SUM(D1396)</f>
        <v>221327.92</v>
      </c>
      <c r="E1397" s="2614">
        <f>SUM(E1396)</f>
        <v>0</v>
      </c>
      <c r="F1397" s="2614">
        <f>SUM(F1396)</f>
        <v>185105.96</v>
      </c>
      <c r="G1397" s="2614">
        <f>SUM(G1396)</f>
        <v>111107.92</v>
      </c>
      <c r="H1397" s="2614">
        <f t="shared" ref="H1397:J1397" si="144">SUM(H1396)</f>
        <v>0</v>
      </c>
      <c r="I1397" s="2614">
        <f t="shared" si="144"/>
        <v>0</v>
      </c>
      <c r="J1397" s="2614">
        <f t="shared" si="144"/>
        <v>0</v>
      </c>
    </row>
    <row r="1398" spans="1:10" ht="14.25" hidden="1" x14ac:dyDescent="0.2">
      <c r="A1398" s="2236"/>
      <c r="B1398" s="2243"/>
      <c r="C1398" s="2244"/>
      <c r="D1398" s="2245"/>
      <c r="E1398" s="2244"/>
      <c r="F1398" s="2246"/>
      <c r="G1398" s="2244"/>
      <c r="H1398" s="2244"/>
      <c r="I1398" s="2238" t="e">
        <f>VLOOKUP(A1398,'Trial Balance - FPer'!$A$7:$I$1107,7,FALSE)</f>
        <v>#N/A</v>
      </c>
      <c r="J1398" s="2100" t="e">
        <f>VLOOKUP(A1398,'Trial Balance - FPer'!$A$7:$I$1126,3,FALSE)</f>
        <v>#N/A</v>
      </c>
    </row>
    <row r="1399" spans="1:10" ht="14.25" hidden="1" x14ac:dyDescent="0.2">
      <c r="A1399" s="2236"/>
      <c r="B1399" s="2242" t="s">
        <v>1637</v>
      </c>
      <c r="C1399" s="2244"/>
      <c r="D1399" s="2245"/>
      <c r="E1399" s="2244"/>
      <c r="F1399" s="2246"/>
      <c r="G1399" s="2244"/>
      <c r="H1399" s="2244"/>
      <c r="I1399" s="2238" t="e">
        <f>VLOOKUP(A1399,'Trial Balance - FPer'!$A$7:$I$1107,7,FALSE)</f>
        <v>#N/A</v>
      </c>
      <c r="J1399" s="2100" t="e">
        <f>VLOOKUP(A1399,'Trial Balance - FPer'!$A$7:$I$1126,3,FALSE)</f>
        <v>#N/A</v>
      </c>
    </row>
    <row r="1400" spans="1:10" ht="14.25" hidden="1" x14ac:dyDescent="0.2">
      <c r="A1400" s="2236" t="s">
        <v>5585</v>
      </c>
      <c r="B1400" s="2243" t="s">
        <v>6795</v>
      </c>
      <c r="C1400" s="2244">
        <f>'[2]Data File'!$C$1376</f>
        <v>0</v>
      </c>
      <c r="D1400" s="2245">
        <v>0</v>
      </c>
      <c r="E1400" s="2244">
        <v>0</v>
      </c>
      <c r="F1400" s="2246"/>
      <c r="G1400" s="2244">
        <v>0</v>
      </c>
      <c r="H1400" s="2244"/>
      <c r="I1400" s="2238">
        <f>VLOOKUP(A1400,'Trial Balance - FPer'!$A$7:$I$1107,7,FALSE)</f>
        <v>0</v>
      </c>
      <c r="J1400" s="2100">
        <f>VLOOKUP(A1400,'Trial Balance - FPer'!$A$7:$I$1126,3,FALSE)</f>
        <v>0</v>
      </c>
    </row>
    <row r="1401" spans="1:10" ht="14.25" hidden="1" x14ac:dyDescent="0.2">
      <c r="A1401" s="2236" t="s">
        <v>5586</v>
      </c>
      <c r="B1401" s="2247" t="s">
        <v>6208</v>
      </c>
      <c r="C1401" s="2248">
        <f>'[2]Data File'!$C$1377</f>
        <v>638.55999999999995</v>
      </c>
      <c r="D1401" s="2249">
        <v>7597.15</v>
      </c>
      <c r="E1401" s="2248">
        <v>730.92</v>
      </c>
      <c r="F1401" s="2250">
        <v>4542.07</v>
      </c>
      <c r="G1401" s="2248">
        <v>4542.07</v>
      </c>
      <c r="H1401" s="2244"/>
      <c r="I1401" s="2238">
        <f>VLOOKUP(A1401,'Trial Balance - FPer'!$A$7:$I$1107,7,FALSE)</f>
        <v>-1171.27</v>
      </c>
      <c r="J1401" s="2100">
        <f>VLOOKUP(A1401,'Trial Balance - FPer'!$A$7:$I$1126,3,FALSE)</f>
        <v>-638.55999999999995</v>
      </c>
    </row>
    <row r="1402" spans="1:10" s="2615" customFormat="1" hidden="1" x14ac:dyDescent="0.2">
      <c r="A1402" s="2612"/>
      <c r="B1402" s="2613" t="s">
        <v>6670</v>
      </c>
      <c r="C1402" s="2614">
        <f>SUM(C1400:C1401)</f>
        <v>638.55999999999995</v>
      </c>
      <c r="D1402" s="2614">
        <f>SUM(D1400:D1401)</f>
        <v>7597.15</v>
      </c>
      <c r="E1402" s="2614">
        <f>SUM(E1400:E1401)</f>
        <v>730.92</v>
      </c>
      <c r="F1402" s="2614">
        <f>SUM(F1400:F1401)</f>
        <v>4542.07</v>
      </c>
      <c r="G1402" s="2614">
        <f>SUM(G1400:G1401)</f>
        <v>4542.07</v>
      </c>
      <c r="H1402" s="2614">
        <f t="shared" ref="H1402:J1402" si="145">SUM(H1400:H1401)</f>
        <v>0</v>
      </c>
      <c r="I1402" s="2614">
        <f t="shared" si="145"/>
        <v>-1171.27</v>
      </c>
      <c r="J1402" s="2614">
        <f t="shared" si="145"/>
        <v>-638.55999999999995</v>
      </c>
    </row>
    <row r="1403" spans="1:10" ht="14.25" hidden="1" x14ac:dyDescent="0.2">
      <c r="A1403" s="2236"/>
      <c r="B1403" s="2242"/>
      <c r="C1403" s="2244"/>
      <c r="D1403" s="2245"/>
      <c r="E1403" s="2244"/>
      <c r="F1403" s="2246"/>
      <c r="G1403" s="2244"/>
      <c r="H1403" s="2244"/>
      <c r="I1403" s="2238" t="e">
        <f>VLOOKUP(A1403,'Trial Balance - FPer'!$A$7:$I$1107,7,FALSE)</f>
        <v>#N/A</v>
      </c>
      <c r="J1403" s="2100" t="e">
        <f>VLOOKUP(A1403,'Trial Balance - FPer'!$A$7:$I$1126,3,FALSE)</f>
        <v>#N/A</v>
      </c>
    </row>
    <row r="1404" spans="1:10" s="2615" customFormat="1" ht="13.5" thickBot="1" x14ac:dyDescent="0.25">
      <c r="A1404" s="2612"/>
      <c r="B1404" s="2616" t="s">
        <v>6579</v>
      </c>
      <c r="C1404" s="2617">
        <f>C1402+C1397</f>
        <v>638.55999999999995</v>
      </c>
      <c r="D1404" s="2617">
        <f>D1402+D1397</f>
        <v>228925.07</v>
      </c>
      <c r="E1404" s="2617">
        <f>E1402+E1397</f>
        <v>730.92</v>
      </c>
      <c r="F1404" s="2617">
        <f>F1402+F1397</f>
        <v>189648.03</v>
      </c>
      <c r="G1404" s="2617">
        <f>G1402+G1397</f>
        <v>115649.98999999999</v>
      </c>
      <c r="H1404" s="2617">
        <f t="shared" ref="H1404" si="146">H1402+H1397</f>
        <v>0</v>
      </c>
      <c r="I1404" s="2617">
        <f>I1402+I1397</f>
        <v>-1171.27</v>
      </c>
      <c r="J1404" s="2617">
        <f>J1402+J1397</f>
        <v>-638.55999999999995</v>
      </c>
    </row>
    <row r="1405" spans="1:10" ht="15" thickTop="1" x14ac:dyDescent="0.2">
      <c r="A1405" s="2236"/>
      <c r="B1405" s="2243"/>
      <c r="C1405" s="2244"/>
      <c r="D1405" s="2245"/>
      <c r="E1405" s="2244"/>
      <c r="F1405" s="2246"/>
      <c r="G1405" s="2244"/>
      <c r="H1405" s="2244"/>
      <c r="I1405" s="2238" t="e">
        <f>VLOOKUP(A1405,'Trial Balance - FPer'!$A$7:$I$1107,7,FALSE)</f>
        <v>#N/A</v>
      </c>
      <c r="J1405" s="2100" t="e">
        <f>VLOOKUP(A1405,'Trial Balance - FPer'!$A$7:$I$1126,3,FALSE)</f>
        <v>#N/A</v>
      </c>
    </row>
    <row r="1406" spans="1:10" ht="14.25" x14ac:dyDescent="0.2">
      <c r="A1406" s="2236"/>
      <c r="B1406" s="2242" t="s">
        <v>235</v>
      </c>
      <c r="C1406" s="2244"/>
      <c r="D1406" s="2245"/>
      <c r="E1406" s="2244"/>
      <c r="F1406" s="2246"/>
      <c r="G1406" s="2244"/>
      <c r="H1406" s="2244"/>
      <c r="I1406" s="2238" t="e">
        <f>VLOOKUP(A1406,'Trial Balance - FPer'!$A$7:$I$1107,7,FALSE)</f>
        <v>#N/A</v>
      </c>
      <c r="J1406" s="2100" t="e">
        <f>VLOOKUP(A1406,'Trial Balance - FPer'!$A$7:$I$1126,3,FALSE)</f>
        <v>#N/A</v>
      </c>
    </row>
    <row r="1407" spans="1:10" ht="14.25" hidden="1" x14ac:dyDescent="0.2">
      <c r="A1407" s="2236"/>
      <c r="B1407" s="2242" t="s">
        <v>387</v>
      </c>
      <c r="C1407" s="2244"/>
      <c r="D1407" s="2245"/>
      <c r="E1407" s="2244"/>
      <c r="F1407" s="2246"/>
      <c r="G1407" s="2244"/>
      <c r="H1407" s="2244"/>
      <c r="I1407" s="2238" t="e">
        <f>VLOOKUP(A1407,'Trial Balance - FPer'!$A$7:$I$1107,7,FALSE)</f>
        <v>#N/A</v>
      </c>
      <c r="J1407" s="2100" t="e">
        <f>VLOOKUP(A1407,'Trial Balance - FPer'!$A$7:$I$1126,3,FALSE)</f>
        <v>#N/A</v>
      </c>
    </row>
    <row r="1408" spans="1:10" ht="14.25" hidden="1" x14ac:dyDescent="0.2">
      <c r="A1408" s="2236" t="s">
        <v>5565</v>
      </c>
      <c r="B1408" s="2243" t="s">
        <v>6003</v>
      </c>
      <c r="C1408" s="2244">
        <f>'[2]Data File'!$C$1385</f>
        <v>110274.2</v>
      </c>
      <c r="D1408" s="2245">
        <v>137205.01999999999</v>
      </c>
      <c r="E1408" s="2244">
        <v>60240.39</v>
      </c>
      <c r="F1408" s="2246">
        <v>118961.97</v>
      </c>
      <c r="G1408" s="2253">
        <v>125039.89</v>
      </c>
      <c r="H1408" s="2100">
        <v>70027.320000000007</v>
      </c>
      <c r="I1408" s="2238">
        <f>VLOOKUP(A1408,'Trial Balance - FPer'!$A$7:$I$1107,7,FALSE)</f>
        <v>118961.97</v>
      </c>
      <c r="J1408" s="2100">
        <f>VLOOKUP(A1408,'Trial Balance - FPer'!$A$7:$I$1126,3,FALSE)</f>
        <v>110274.2</v>
      </c>
    </row>
    <row r="1409" spans="1:10" ht="14.25" hidden="1" x14ac:dyDescent="0.2">
      <c r="A1409" s="2236" t="s">
        <v>5566</v>
      </c>
      <c r="B1409" s="2243" t="s">
        <v>6004</v>
      </c>
      <c r="C1409" s="2244">
        <f>'[2]Data File'!$C$1394</f>
        <v>9061.82</v>
      </c>
      <c r="D1409" s="2245">
        <v>9596.76</v>
      </c>
      <c r="E1409" s="2244">
        <v>4504</v>
      </c>
      <c r="F1409" s="2246">
        <v>9786.93</v>
      </c>
      <c r="G1409" s="2253">
        <v>9179.1299999999992</v>
      </c>
      <c r="H1409" s="2100">
        <v>4504</v>
      </c>
      <c r="I1409" s="2238">
        <f>VLOOKUP(A1409,'Trial Balance - FPer'!$A$7:$I$1107,7,FALSE)</f>
        <v>9513.09</v>
      </c>
      <c r="J1409" s="2100">
        <f>VLOOKUP(A1409,'Trial Balance - FPer'!$A$7:$I$1126,3,FALSE)</f>
        <v>9061.82</v>
      </c>
    </row>
    <row r="1410" spans="1:10" ht="14.25" hidden="1" x14ac:dyDescent="0.2">
      <c r="A1410" s="2236" t="s">
        <v>5567</v>
      </c>
      <c r="B1410" s="2243" t="s">
        <v>6007</v>
      </c>
      <c r="C1410" s="2244">
        <f>'[2]Data File'!$C$1395</f>
        <v>190</v>
      </c>
      <c r="D1410" s="2245">
        <v>205.18</v>
      </c>
      <c r="E1410" s="2244">
        <v>0</v>
      </c>
      <c r="F1410" s="2246">
        <v>500</v>
      </c>
      <c r="G1410" s="2253">
        <v>51.59</v>
      </c>
      <c r="H1410" s="2100">
        <v>247.94</v>
      </c>
      <c r="I1410" s="2238">
        <f>VLOOKUP(A1410,'Trial Balance - FPer'!$A$7:$I$1107,7,FALSE)</f>
        <v>1525.69</v>
      </c>
      <c r="J1410" s="2100">
        <f>VLOOKUP(A1410,'Trial Balance - FPer'!$A$7:$I$1126,3,FALSE)</f>
        <v>190</v>
      </c>
    </row>
    <row r="1411" spans="1:10" ht="14.25" hidden="1" x14ac:dyDescent="0.2">
      <c r="A1411" s="2236" t="s">
        <v>5568</v>
      </c>
      <c r="B1411" s="2243" t="s">
        <v>6582</v>
      </c>
      <c r="C1411" s="2244">
        <f>'[2]Data File'!$C$1391</f>
        <v>184.28</v>
      </c>
      <c r="D1411" s="2245">
        <v>1311.51</v>
      </c>
      <c r="E1411" s="2244">
        <v>0</v>
      </c>
      <c r="F1411" s="2246">
        <v>0</v>
      </c>
      <c r="G1411" s="2253">
        <v>328.76</v>
      </c>
      <c r="H1411" s="2100">
        <v>0</v>
      </c>
      <c r="I1411" s="2238">
        <f>VLOOKUP(A1411,'Trial Balance - FPer'!$A$7:$I$1107,7,FALSE)</f>
        <v>0</v>
      </c>
      <c r="J1411" s="2100">
        <f>VLOOKUP(A1411,'Trial Balance - FPer'!$A$7:$I$1126,3,FALSE)</f>
        <v>184.28</v>
      </c>
    </row>
    <row r="1412" spans="1:10" ht="14.25" hidden="1" x14ac:dyDescent="0.2">
      <c r="A1412" s="2236" t="s">
        <v>5569</v>
      </c>
      <c r="B1412" s="2243" t="s">
        <v>6584</v>
      </c>
      <c r="C1412" s="2244">
        <f>'[2]Data File'!$C$1389</f>
        <v>98.4</v>
      </c>
      <c r="D1412" s="2245">
        <v>124.16</v>
      </c>
      <c r="E1412" s="2244">
        <v>49.2</v>
      </c>
      <c r="F1412" s="2246">
        <v>98.4</v>
      </c>
      <c r="G1412" s="2253">
        <v>107.59</v>
      </c>
      <c r="H1412" s="2100">
        <v>57.4</v>
      </c>
      <c r="I1412" s="2238">
        <f>VLOOKUP(A1412,'Trial Balance - FPer'!$A$7:$I$1107,7,FALSE)</f>
        <v>98.4</v>
      </c>
      <c r="J1412" s="2100">
        <f>VLOOKUP(A1412,'Trial Balance - FPer'!$A$7:$I$1126,3,FALSE)</f>
        <v>98.4</v>
      </c>
    </row>
    <row r="1413" spans="1:10" ht="14.25" hidden="1" x14ac:dyDescent="0.2">
      <c r="A1413" s="2236" t="s">
        <v>5570</v>
      </c>
      <c r="B1413" s="2243" t="s">
        <v>6585</v>
      </c>
      <c r="C1413" s="2244">
        <f>'[2]Data File'!$C$1396</f>
        <v>1154.21</v>
      </c>
      <c r="D1413" s="2245">
        <v>1417.54</v>
      </c>
      <c r="E1413" s="2244">
        <v>625.54999999999995</v>
      </c>
      <c r="F1413" s="2246">
        <v>1417.54</v>
      </c>
      <c r="G1413" s="2253">
        <v>1293.79</v>
      </c>
      <c r="H1413" s="2100">
        <v>722.15</v>
      </c>
      <c r="I1413" s="2238">
        <f>VLOOKUP(A1413,'Trial Balance - FPer'!$A$7:$I$1107,7,FALSE)</f>
        <v>1255.57</v>
      </c>
      <c r="J1413" s="2100">
        <f>VLOOKUP(A1413,'Trial Balance - FPer'!$A$7:$I$1126,3,FALSE)</f>
        <v>1154.21</v>
      </c>
    </row>
    <row r="1414" spans="1:10" ht="14.25" hidden="1" x14ac:dyDescent="0.2">
      <c r="A1414" s="2236" t="s">
        <v>5571</v>
      </c>
      <c r="B1414" s="2243" t="s">
        <v>6586</v>
      </c>
      <c r="C1414" s="2244">
        <f>'[2]Data File'!$C$1397</f>
        <v>0</v>
      </c>
      <c r="D1414" s="2245">
        <v>1118.48</v>
      </c>
      <c r="E1414" s="2244">
        <v>0</v>
      </c>
      <c r="F1414" s="2246">
        <v>0</v>
      </c>
      <c r="G1414" s="2253">
        <v>280.24</v>
      </c>
      <c r="H1414" s="2100">
        <v>0</v>
      </c>
      <c r="I1414" s="2238">
        <f>VLOOKUP(A1414,'Trial Balance - FPer'!$A$7:$I$1107,7,FALSE)</f>
        <v>0</v>
      </c>
      <c r="J1414" s="2100" t="str">
        <f>VLOOKUP(A1414,'Trial Balance - FPer'!$A$7:$I$1126,3,FALSE)</f>
        <v xml:space="preserve">                               -  </v>
      </c>
    </row>
    <row r="1415" spans="1:10" ht="14.25" hidden="1" x14ac:dyDescent="0.2">
      <c r="A1415" s="2236" t="s">
        <v>5572</v>
      </c>
      <c r="B1415" s="2243" t="s">
        <v>6587</v>
      </c>
      <c r="C1415" s="2244">
        <f>'[2]Data File'!$C$1386</f>
        <v>0</v>
      </c>
      <c r="D1415" s="2245">
        <v>0</v>
      </c>
      <c r="E1415" s="2244">
        <v>0</v>
      </c>
      <c r="F1415" s="2246">
        <v>0</v>
      </c>
      <c r="G1415" s="2253">
        <v>0</v>
      </c>
      <c r="H1415" s="2100">
        <v>0</v>
      </c>
      <c r="I1415" s="2238">
        <f>VLOOKUP(A1415,'Trial Balance - FPer'!$A$7:$I$1107,7,FALSE)</f>
        <v>0</v>
      </c>
      <c r="J1415" s="2100">
        <f>VLOOKUP(A1415,'Trial Balance - FPer'!$A$7:$I$1126,3,FALSE)</f>
        <v>0</v>
      </c>
    </row>
    <row r="1416" spans="1:10" ht="14.25" hidden="1" x14ac:dyDescent="0.2">
      <c r="A1416" s="2236" t="s">
        <v>5573</v>
      </c>
      <c r="B1416" s="2243" t="s">
        <v>6013</v>
      </c>
      <c r="C1416" s="2244">
        <f>'[2]Data File'!$C$1387</f>
        <v>21282.880000000001</v>
      </c>
      <c r="D1416" s="2245">
        <v>26690.71</v>
      </c>
      <c r="E1416" s="2244">
        <v>11098.05</v>
      </c>
      <c r="F1416" s="2246">
        <v>22523.55</v>
      </c>
      <c r="G1416" s="2253">
        <v>23394.54</v>
      </c>
      <c r="H1416" s="2100">
        <v>13002.3</v>
      </c>
      <c r="I1416" s="2238">
        <f>VLOOKUP(A1416,'Trial Balance - FPer'!$A$7:$I$1107,7,FALSE)</f>
        <v>22523.55</v>
      </c>
      <c r="J1416" s="2100">
        <f>VLOOKUP(A1416,'Trial Balance - FPer'!$A$7:$I$1126,3,FALSE)</f>
        <v>21282.880000000001</v>
      </c>
    </row>
    <row r="1417" spans="1:10" ht="14.25" hidden="1" x14ac:dyDescent="0.2">
      <c r="A1417" s="2236" t="s">
        <v>5574</v>
      </c>
      <c r="B1417" s="2247" t="s">
        <v>6014</v>
      </c>
      <c r="C1417" s="2248">
        <f>'[2]Data File'!$C$1388</f>
        <v>1196.18</v>
      </c>
      <c r="D1417" s="2249">
        <v>1470.1</v>
      </c>
      <c r="E1417" s="2248">
        <v>647.44000000000005</v>
      </c>
      <c r="F1417" s="2250">
        <v>1470.1</v>
      </c>
      <c r="G1417" s="2248">
        <v>1342.88</v>
      </c>
      <c r="H1417" s="2100">
        <v>747.79</v>
      </c>
      <c r="I1417" s="2238">
        <f>VLOOKUP(A1417,'Trial Balance - FPer'!$A$7:$I$1107,7,FALSE)</f>
        <v>1300</v>
      </c>
      <c r="J1417" s="2100">
        <f>VLOOKUP(A1417,'Trial Balance - FPer'!$A$7:$I$1126,3,FALSE)</f>
        <v>1196.18</v>
      </c>
    </row>
    <row r="1418" spans="1:10" s="2615" customFormat="1" hidden="1" x14ac:dyDescent="0.2">
      <c r="A1418" s="2612"/>
      <c r="B1418" s="2613" t="s">
        <v>6588</v>
      </c>
      <c r="C1418" s="2614">
        <f>SUM(C1408:C1417)</f>
        <v>143441.96999999997</v>
      </c>
      <c r="D1418" s="2614">
        <f>SUM(D1408:D1417)</f>
        <v>179139.46000000002</v>
      </c>
      <c r="E1418" s="2614">
        <f>SUM(E1408:E1417)</f>
        <v>77164.63</v>
      </c>
      <c r="F1418" s="2614">
        <f>SUM(F1408:F1417)</f>
        <v>154758.49</v>
      </c>
      <c r="G1418" s="2614">
        <f>SUM(G1408:G1417)</f>
        <v>161018.41</v>
      </c>
      <c r="H1418" s="2614">
        <f t="shared" ref="H1418" si="147">SUM(H1408:H1417)</f>
        <v>89308.9</v>
      </c>
      <c r="I1418" s="2614">
        <f>SUM(I1408:I1417)</f>
        <v>155178.26999999999</v>
      </c>
      <c r="J1418" s="2614">
        <f>SUM(J1408:J1417)</f>
        <v>143441.96999999997</v>
      </c>
    </row>
    <row r="1419" spans="1:10" ht="14.25" hidden="1" x14ac:dyDescent="0.2">
      <c r="A1419" s="2236"/>
      <c r="B1419" s="2243"/>
      <c r="C1419" s="2244"/>
      <c r="D1419" s="2245"/>
      <c r="E1419" s="2244"/>
      <c r="F1419" s="2246"/>
      <c r="G1419" s="2244"/>
      <c r="H1419" s="2244"/>
      <c r="I1419" s="2238" t="e">
        <f>VLOOKUP(A1419,'Trial Balance - FPer'!$A$7:$I$1107,7,FALSE)</f>
        <v>#N/A</v>
      </c>
      <c r="J1419" s="2100" t="e">
        <f>VLOOKUP(A1419,'Trial Balance - FPer'!$A$7:$I$1126,3,FALSE)</f>
        <v>#N/A</v>
      </c>
    </row>
    <row r="1420" spans="1:10" ht="14.25" hidden="1" x14ac:dyDescent="0.2">
      <c r="A1420" s="2236"/>
      <c r="B1420" s="2242" t="s">
        <v>6599</v>
      </c>
      <c r="C1420" s="2244"/>
      <c r="D1420" s="2245"/>
      <c r="E1420" s="2244"/>
      <c r="F1420" s="2246"/>
      <c r="G1420" s="2244"/>
      <c r="H1420" s="2244"/>
      <c r="I1420" s="2238" t="e">
        <f>VLOOKUP(A1420,'Trial Balance - FPer'!$A$7:$I$1107,7,FALSE)</f>
        <v>#N/A</v>
      </c>
      <c r="J1420" s="2100" t="e">
        <f>VLOOKUP(A1420,'Trial Balance - FPer'!$A$7:$I$1126,3,FALSE)</f>
        <v>#N/A</v>
      </c>
    </row>
    <row r="1421" spans="1:10" ht="14.25" hidden="1" x14ac:dyDescent="0.2">
      <c r="A1421" s="2236" t="s">
        <v>5575</v>
      </c>
      <c r="B1421" s="2243" t="s">
        <v>6104</v>
      </c>
      <c r="C1421" s="2244">
        <f>'[2]Data File'!$C$1403</f>
        <v>0</v>
      </c>
      <c r="D1421" s="2245">
        <v>0</v>
      </c>
      <c r="E1421" s="2244">
        <v>0</v>
      </c>
      <c r="F1421" s="2246">
        <v>0</v>
      </c>
      <c r="G1421" s="2244">
        <v>0</v>
      </c>
      <c r="H1421" s="2100">
        <v>0</v>
      </c>
      <c r="I1421" s="2238">
        <f>VLOOKUP(A1421,'Trial Balance - FPer'!$A$7:$I$1107,7,FALSE)</f>
        <v>0</v>
      </c>
      <c r="J1421" s="2100">
        <f>VLOOKUP(A1421,'Trial Balance - FPer'!$A$7:$I$1126,3,FALSE)</f>
        <v>0</v>
      </c>
    </row>
    <row r="1422" spans="1:10" ht="14.25" hidden="1" x14ac:dyDescent="0.2">
      <c r="A1422" s="2236" t="s">
        <v>5576</v>
      </c>
      <c r="B1422" s="2243" t="s">
        <v>1101</v>
      </c>
      <c r="C1422" s="2244">
        <f>'[2]Data File'!$C$1401</f>
        <v>0</v>
      </c>
      <c r="D1422" s="2245">
        <v>412.57</v>
      </c>
      <c r="E1422" s="2244">
        <v>0</v>
      </c>
      <c r="F1422" s="2246">
        <v>0</v>
      </c>
      <c r="G1422" s="2253">
        <v>104.29</v>
      </c>
      <c r="H1422" s="2100">
        <v>0</v>
      </c>
      <c r="I1422" s="2238">
        <f>VLOOKUP(A1422,'Trial Balance - FPer'!$A$7:$I$1107,7,FALSE)</f>
        <v>0</v>
      </c>
      <c r="J1422" s="2100" t="str">
        <f>VLOOKUP(A1422,'Trial Balance - FPer'!$A$7:$I$1126,3,FALSE)</f>
        <v xml:space="preserve">                               -  </v>
      </c>
    </row>
    <row r="1423" spans="1:10" ht="14.25" hidden="1" x14ac:dyDescent="0.2">
      <c r="A1423" s="2236" t="s">
        <v>5577</v>
      </c>
      <c r="B1423" s="2243" t="s">
        <v>6694</v>
      </c>
      <c r="C1423" s="2244">
        <f>'[2]Data File'!$C$1402</f>
        <v>0</v>
      </c>
      <c r="D1423" s="2245">
        <v>0</v>
      </c>
      <c r="E1423" s="2244">
        <v>0</v>
      </c>
      <c r="F1423" s="2246">
        <v>0</v>
      </c>
      <c r="G1423" s="2253">
        <v>0</v>
      </c>
      <c r="H1423" s="2100">
        <v>0</v>
      </c>
      <c r="I1423" s="2238">
        <f>VLOOKUP(A1423,'Trial Balance - FPer'!$A$7:$I$1107,7,FALSE)</f>
        <v>0</v>
      </c>
      <c r="J1423" s="2100">
        <f>VLOOKUP(A1423,'Trial Balance - FPer'!$A$7:$I$1126,3,FALSE)</f>
        <v>0</v>
      </c>
    </row>
    <row r="1424" spans="1:10" ht="14.25" hidden="1" x14ac:dyDescent="0.2">
      <c r="A1424" s="2236" t="s">
        <v>5578</v>
      </c>
      <c r="B1424" s="2243" t="s">
        <v>6609</v>
      </c>
      <c r="C1424" s="2244">
        <v>0</v>
      </c>
      <c r="D1424" s="2245">
        <v>0</v>
      </c>
      <c r="E1424" s="2244">
        <v>0</v>
      </c>
      <c r="F1424" s="2246">
        <v>0</v>
      </c>
      <c r="G1424" s="2253">
        <v>0</v>
      </c>
      <c r="H1424" s="2100">
        <v>0</v>
      </c>
      <c r="I1424" s="2238">
        <f>VLOOKUP(A1424,'Trial Balance - FPer'!$A$7:$I$1107,7,FALSE)</f>
        <v>0</v>
      </c>
      <c r="J1424" s="2100">
        <f>VLOOKUP(A1424,'Trial Balance - FPer'!$A$7:$I$1126,3,FALSE)</f>
        <v>0</v>
      </c>
    </row>
    <row r="1425" spans="1:10" ht="14.25" hidden="1" x14ac:dyDescent="0.2">
      <c r="A1425" s="2236" t="s">
        <v>5579</v>
      </c>
      <c r="B1425" s="2243" t="s">
        <v>6778</v>
      </c>
      <c r="C1425" s="2244">
        <f>'[2]Data File'!$C$1404</f>
        <v>0</v>
      </c>
      <c r="D1425" s="2245">
        <v>12415.54</v>
      </c>
      <c r="E1425" s="2244">
        <v>0</v>
      </c>
      <c r="F1425" s="2246">
        <v>0</v>
      </c>
      <c r="G1425" s="2253">
        <v>3117.77</v>
      </c>
      <c r="H1425" s="2100">
        <v>0</v>
      </c>
      <c r="I1425" s="2238">
        <f>VLOOKUP(A1425,'Trial Balance - FPer'!$A$7:$I$1107,7,FALSE)</f>
        <v>92250</v>
      </c>
      <c r="J1425" s="2100">
        <f>VLOOKUP(A1425,'Trial Balance - FPer'!$A$7:$I$1126,3,FALSE)</f>
        <v>0</v>
      </c>
    </row>
    <row r="1426" spans="1:10" ht="14.25" hidden="1" x14ac:dyDescent="0.2">
      <c r="A1426" s="2236" t="s">
        <v>5580</v>
      </c>
      <c r="B1426" s="2247" t="s">
        <v>6033</v>
      </c>
      <c r="C1426" s="2248">
        <f>'[2]Data File'!$C$1405</f>
        <v>1880</v>
      </c>
      <c r="D1426" s="2249">
        <v>2067.98</v>
      </c>
      <c r="E1426" s="2248">
        <v>0</v>
      </c>
      <c r="F1426" s="2250">
        <v>0</v>
      </c>
      <c r="G1426" s="2248">
        <v>517.99</v>
      </c>
      <c r="H1426" s="2100">
        <v>0</v>
      </c>
      <c r="I1426" s="2238">
        <f>VLOOKUP(A1426,'Trial Balance - FPer'!$A$7:$I$1107,7,FALSE)</f>
        <v>0</v>
      </c>
      <c r="J1426" s="2100">
        <f>VLOOKUP(A1426,'Trial Balance - FPer'!$A$7:$I$1126,3,FALSE)</f>
        <v>0</v>
      </c>
    </row>
    <row r="1427" spans="1:10" s="2615" customFormat="1" hidden="1" x14ac:dyDescent="0.2">
      <c r="A1427" s="2612"/>
      <c r="B1427" s="2613" t="s">
        <v>6614</v>
      </c>
      <c r="C1427" s="2614">
        <f>SUM(C1421:C1426)</f>
        <v>1880</v>
      </c>
      <c r="D1427" s="2614">
        <f>SUM(D1421:D1426)</f>
        <v>14896.09</v>
      </c>
      <c r="E1427" s="2614">
        <f>SUM(E1421:E1426)</f>
        <v>0</v>
      </c>
      <c r="F1427" s="2614">
        <f>SUM(F1421:F1426)</f>
        <v>0</v>
      </c>
      <c r="G1427" s="2614">
        <f>SUM(G1421:G1426)</f>
        <v>3740.05</v>
      </c>
      <c r="H1427" s="2614">
        <f t="shared" ref="H1427:J1427" si="148">SUM(H1421:H1426)</f>
        <v>0</v>
      </c>
      <c r="I1427" s="2614">
        <f t="shared" si="148"/>
        <v>92250</v>
      </c>
      <c r="J1427" s="2614">
        <f t="shared" si="148"/>
        <v>0</v>
      </c>
    </row>
    <row r="1428" spans="1:10" ht="14.25" hidden="1" x14ac:dyDescent="0.2">
      <c r="A1428" s="2236"/>
      <c r="B1428" s="2243"/>
      <c r="C1428" s="2244"/>
      <c r="D1428" s="2245"/>
      <c r="E1428" s="2244"/>
      <c r="F1428" s="2246"/>
      <c r="G1428" s="2244"/>
      <c r="H1428" s="2244"/>
      <c r="I1428" s="2238" t="e">
        <f>VLOOKUP(A1428,'Trial Balance - FPer'!$A$7:$I$1107,7,FALSE)</f>
        <v>#N/A</v>
      </c>
      <c r="J1428" s="2100" t="e">
        <f>VLOOKUP(A1428,'Trial Balance - FPer'!$A$7:$I$1126,3,FALSE)</f>
        <v>#N/A</v>
      </c>
    </row>
    <row r="1429" spans="1:10" ht="14.25" hidden="1" x14ac:dyDescent="0.2">
      <c r="A1429" s="2236"/>
      <c r="B1429" s="2242" t="s">
        <v>6615</v>
      </c>
      <c r="C1429" s="2244"/>
      <c r="D1429" s="2245"/>
      <c r="E1429" s="2244"/>
      <c r="F1429" s="2246"/>
      <c r="G1429" s="2244"/>
      <c r="H1429" s="2244"/>
      <c r="I1429" s="2238" t="e">
        <f>VLOOKUP(A1429,'Trial Balance - FPer'!$A$7:$I$1107,7,FALSE)</f>
        <v>#N/A</v>
      </c>
      <c r="J1429" s="2100" t="e">
        <f>VLOOKUP(A1429,'Trial Balance - FPer'!$A$7:$I$1126,3,FALSE)</f>
        <v>#N/A</v>
      </c>
    </row>
    <row r="1430" spans="1:10" ht="14.25" hidden="1" x14ac:dyDescent="0.2">
      <c r="A1430" s="2236" t="s">
        <v>5581</v>
      </c>
      <c r="B1430" s="2247" t="s">
        <v>6177</v>
      </c>
      <c r="C1430" s="2248">
        <f>'[2]Data File'!$C$1411</f>
        <v>0</v>
      </c>
      <c r="D1430" s="2249">
        <v>31529.7</v>
      </c>
      <c r="E1430" s="2248">
        <v>0</v>
      </c>
      <c r="F1430" s="2250">
        <v>31529.7</v>
      </c>
      <c r="G1430" s="2248">
        <v>7913.85</v>
      </c>
      <c r="H1430" s="2244"/>
      <c r="I1430" s="2238">
        <f>VLOOKUP(A1430,'Trial Balance - FPer'!$A$7:$I$1107,7,FALSE)</f>
        <v>0</v>
      </c>
      <c r="J1430" s="2100" t="str">
        <f>VLOOKUP(A1430,'Trial Balance - FPer'!$A$7:$I$1126,3,FALSE)</f>
        <v xml:space="preserve">                               -  </v>
      </c>
    </row>
    <row r="1431" spans="1:10" s="2615" customFormat="1" hidden="1" x14ac:dyDescent="0.2">
      <c r="A1431" s="2612"/>
      <c r="B1431" s="2613" t="s">
        <v>6618</v>
      </c>
      <c r="C1431" s="2614">
        <f>SUM(C1430)</f>
        <v>0</v>
      </c>
      <c r="D1431" s="2614">
        <f>SUM(D1430)</f>
        <v>31529.7</v>
      </c>
      <c r="E1431" s="2614">
        <f>SUM(E1430)</f>
        <v>0</v>
      </c>
      <c r="F1431" s="2614">
        <f>SUM(F1430)</f>
        <v>31529.7</v>
      </c>
      <c r="G1431" s="2614">
        <f>SUM(G1430)</f>
        <v>7913.85</v>
      </c>
      <c r="H1431" s="2614">
        <f t="shared" ref="H1431:J1431" si="149">SUM(H1430)</f>
        <v>0</v>
      </c>
      <c r="I1431" s="2614">
        <f t="shared" si="149"/>
        <v>0</v>
      </c>
      <c r="J1431" s="2614">
        <f t="shared" si="149"/>
        <v>0</v>
      </c>
    </row>
    <row r="1432" spans="1:10" ht="14.25" hidden="1" x14ac:dyDescent="0.2">
      <c r="A1432" s="2236"/>
      <c r="B1432" s="2243"/>
      <c r="C1432" s="2244"/>
      <c r="D1432" s="2245"/>
      <c r="E1432" s="2244"/>
      <c r="F1432" s="2246"/>
      <c r="G1432" s="2244"/>
      <c r="H1432" s="2244"/>
      <c r="I1432" s="2238" t="e">
        <f>VLOOKUP(A1432,'Trial Balance - FPer'!$A$7:$I$1107,7,FALSE)</f>
        <v>#N/A</v>
      </c>
      <c r="J1432" s="2100" t="e">
        <f>VLOOKUP(A1432,'Trial Balance - FPer'!$A$7:$I$1126,3,FALSE)</f>
        <v>#N/A</v>
      </c>
    </row>
    <row r="1433" spans="1:10" ht="14.25" hidden="1" x14ac:dyDescent="0.2">
      <c r="A1433" s="2236"/>
      <c r="B1433" s="2242" t="s">
        <v>6619</v>
      </c>
      <c r="C1433" s="2244"/>
      <c r="D1433" s="2245"/>
      <c r="E1433" s="2244"/>
      <c r="F1433" s="2246"/>
      <c r="G1433" s="2244"/>
      <c r="H1433" s="2244"/>
      <c r="I1433" s="2238" t="e">
        <f>VLOOKUP(A1433,'Trial Balance - FPer'!$A$7:$I$1107,7,FALSE)</f>
        <v>#N/A</v>
      </c>
      <c r="J1433" s="2100" t="e">
        <f>VLOOKUP(A1433,'Trial Balance - FPer'!$A$7:$I$1126,3,FALSE)</f>
        <v>#N/A</v>
      </c>
    </row>
    <row r="1434" spans="1:10" ht="14.25" hidden="1" x14ac:dyDescent="0.2">
      <c r="A1434" s="2236" t="s">
        <v>5582</v>
      </c>
      <c r="B1434" s="2243" t="s">
        <v>6620</v>
      </c>
      <c r="C1434" s="2244">
        <f>'[2]Data File'!$C$1415</f>
        <v>7945.94</v>
      </c>
      <c r="D1434" s="2245">
        <v>1300.1600000000001</v>
      </c>
      <c r="E1434" s="2244">
        <v>0</v>
      </c>
      <c r="F1434" s="2246">
        <v>1300.1600000000001</v>
      </c>
      <c r="G1434" s="2244">
        <v>326.08</v>
      </c>
      <c r="H1434" s="2244"/>
      <c r="I1434" s="2238">
        <f>VLOOKUP(A1434,'Trial Balance - FPer'!$A$7:$I$1107,7,FALSE)</f>
        <v>0</v>
      </c>
      <c r="J1434" s="2100">
        <f>VLOOKUP(A1434,'Trial Balance - FPer'!$A$7:$I$1126,3,FALSE)</f>
        <v>7945.94</v>
      </c>
    </row>
    <row r="1435" spans="1:10" ht="14.25" hidden="1" x14ac:dyDescent="0.2">
      <c r="A1435" s="2236" t="s">
        <v>5583</v>
      </c>
      <c r="B1435" s="2247" t="s">
        <v>6621</v>
      </c>
      <c r="C1435" s="2248">
        <f>'[2]Data File'!$C$1417</f>
        <v>3173.9</v>
      </c>
      <c r="D1435" s="2249">
        <v>2059.6799999999998</v>
      </c>
      <c r="E1435" s="2248">
        <v>0</v>
      </c>
      <c r="F1435" s="2250">
        <v>2059.6799999999998</v>
      </c>
      <c r="G1435" s="2248">
        <v>516.84</v>
      </c>
      <c r="H1435" s="2244"/>
      <c r="I1435" s="2238">
        <f>VLOOKUP(A1435,'Trial Balance - FPer'!$A$7:$I$1107,7,FALSE)</f>
        <v>0</v>
      </c>
      <c r="J1435" s="2100">
        <f>VLOOKUP(A1435,'Trial Balance - FPer'!$A$7:$I$1126,3,FALSE)</f>
        <v>3173.9</v>
      </c>
    </row>
    <row r="1436" spans="1:10" s="2615" customFormat="1" hidden="1" x14ac:dyDescent="0.2">
      <c r="A1436" s="2612"/>
      <c r="B1436" s="2613" t="s">
        <v>6622</v>
      </c>
      <c r="C1436" s="2614">
        <f>SUM(C1434:C1435)</f>
        <v>11119.84</v>
      </c>
      <c r="D1436" s="2614">
        <f>SUM(D1434:D1435)</f>
        <v>3359.84</v>
      </c>
      <c r="E1436" s="2614">
        <f>SUM(E1434:E1435)</f>
        <v>0</v>
      </c>
      <c r="F1436" s="2614">
        <f>SUM(F1434:F1435)</f>
        <v>3359.84</v>
      </c>
      <c r="G1436" s="2614">
        <f>SUM(G1434:G1435)</f>
        <v>842.92000000000007</v>
      </c>
      <c r="H1436" s="2614">
        <f t="shared" ref="H1436" si="150">SUM(H1434:H1435)</f>
        <v>0</v>
      </c>
      <c r="I1436" s="2614">
        <f>SUM(I1434:I1435)</f>
        <v>0</v>
      </c>
      <c r="J1436" s="2614">
        <f>SUM(J1434:J1435)</f>
        <v>11119.84</v>
      </c>
    </row>
    <row r="1437" spans="1:10" ht="14.25" hidden="1" x14ac:dyDescent="0.2">
      <c r="A1437" s="2236"/>
      <c r="B1437" s="2243"/>
      <c r="C1437" s="2244"/>
      <c r="D1437" s="2245"/>
      <c r="E1437" s="2244"/>
      <c r="F1437" s="2246"/>
      <c r="G1437" s="2244"/>
      <c r="H1437" s="2244"/>
      <c r="I1437" s="2238" t="e">
        <f>VLOOKUP(A1437,'Trial Balance - FPer'!$A$7:$I$1107,7,FALSE)</f>
        <v>#N/A</v>
      </c>
      <c r="J1437" s="2100" t="e">
        <f>VLOOKUP(A1437,'Trial Balance - FPer'!$A$7:$I$1126,3,FALSE)</f>
        <v>#N/A</v>
      </c>
    </row>
    <row r="1438" spans="1:10" s="2615" customFormat="1" ht="13.5" thickBot="1" x14ac:dyDescent="0.25">
      <c r="A1438" s="2612"/>
      <c r="B1438" s="2616" t="s">
        <v>6796</v>
      </c>
      <c r="C1438" s="2617">
        <f>C1436+C1431+C1427+C1418</f>
        <v>156441.80999999997</v>
      </c>
      <c r="D1438" s="2617">
        <f>D1436+D1431+D1427+D1418</f>
        <v>228925.09000000003</v>
      </c>
      <c r="E1438" s="2617">
        <f>E1436+E1431+E1427+E1418</f>
        <v>77164.63</v>
      </c>
      <c r="F1438" s="2617">
        <f>F1436+F1431+F1427+F1418</f>
        <v>189648.03</v>
      </c>
      <c r="G1438" s="2617">
        <f>G1436+G1431+G1427+G1418</f>
        <v>173515.23</v>
      </c>
      <c r="H1438" s="2617">
        <f t="shared" ref="H1438" si="151">H1436+H1431+H1427+H1418</f>
        <v>89308.9</v>
      </c>
      <c r="I1438" s="2617">
        <f>I1436+I1431+I1427+I1418</f>
        <v>247428.27</v>
      </c>
      <c r="J1438" s="2617">
        <f>J1436+J1431+J1427+J1418</f>
        <v>154561.80999999997</v>
      </c>
    </row>
    <row r="1439" spans="1:10" ht="15" thickTop="1" x14ac:dyDescent="0.2">
      <c r="A1439" s="2236"/>
      <c r="B1439" s="2243"/>
      <c r="C1439" s="2244"/>
      <c r="D1439" s="2245"/>
      <c r="E1439" s="2244"/>
      <c r="F1439" s="2246"/>
      <c r="G1439" s="2244"/>
      <c r="H1439" s="2244"/>
      <c r="I1439" s="2238" t="e">
        <f>VLOOKUP(A1439,'Trial Balance - FPer'!$A$7:$I$1107,7,FALSE)</f>
        <v>#N/A</v>
      </c>
      <c r="J1439" s="2100" t="e">
        <f>VLOOKUP(A1439,'Trial Balance - FPer'!$A$7:$I$1126,3,FALSE)</f>
        <v>#N/A</v>
      </c>
    </row>
    <row r="1440" spans="1:10" s="2615" customFormat="1" ht="13.5" thickBot="1" x14ac:dyDescent="0.25">
      <c r="A1440" s="2612"/>
      <c r="B1440" s="2616" t="s">
        <v>6624</v>
      </c>
      <c r="C1440" s="2617">
        <f>C1404-C1438</f>
        <v>-155803.24999999997</v>
      </c>
      <c r="D1440" s="2617">
        <f>D1404-D1438</f>
        <v>-2.0000000018626451E-2</v>
      </c>
      <c r="E1440" s="2617">
        <f>E1404-E1438</f>
        <v>-76433.710000000006</v>
      </c>
      <c r="F1440" s="2617">
        <f>F1404-F1438</f>
        <v>0</v>
      </c>
      <c r="G1440" s="2617">
        <f>G1404-G1438</f>
        <v>-57865.24000000002</v>
      </c>
      <c r="H1440" s="2617">
        <f t="shared" ref="H1440:J1440" si="152">H1404-H1438</f>
        <v>-89308.9</v>
      </c>
      <c r="I1440" s="2617">
        <f t="shared" si="152"/>
        <v>-248599.53999999998</v>
      </c>
      <c r="J1440" s="2617">
        <f t="shared" si="152"/>
        <v>-155200.36999999997</v>
      </c>
    </row>
    <row r="1441" spans="1:10" ht="15" thickTop="1" x14ac:dyDescent="0.2">
      <c r="A1441" s="2236"/>
      <c r="B1441" s="2243"/>
      <c r="C1441" s="2244"/>
      <c r="D1441" s="2245"/>
      <c r="E1441" s="2244"/>
      <c r="F1441" s="2246"/>
      <c r="G1441" s="2244"/>
      <c r="H1441" s="2244"/>
      <c r="I1441" s="2238" t="e">
        <f>VLOOKUP(A1441,'Trial Balance - FPer'!$A$7:$I$1107,7,FALSE)</f>
        <v>#N/A</v>
      </c>
      <c r="J1441" s="2100" t="e">
        <f>VLOOKUP(A1441,'Trial Balance - FPer'!$A$7:$I$1126,3,FALSE)</f>
        <v>#N/A</v>
      </c>
    </row>
    <row r="1442" spans="1:10" ht="15" x14ac:dyDescent="0.25">
      <c r="A1442" s="2241" t="s">
        <v>6797</v>
      </c>
      <c r="B1442" s="2237" t="s">
        <v>6798</v>
      </c>
      <c r="C1442" s="2244"/>
      <c r="D1442" s="2245"/>
      <c r="E1442" s="2244"/>
      <c r="F1442" s="2246"/>
      <c r="G1442" s="2244"/>
      <c r="H1442" s="2244"/>
      <c r="I1442" s="2238" t="e">
        <f>VLOOKUP(A1442,'Trial Balance - FPer'!$A$7:$I$1107,7,FALSE)</f>
        <v>#N/A</v>
      </c>
      <c r="J1442" s="2100"/>
    </row>
    <row r="1443" spans="1:10" ht="14.25" x14ac:dyDescent="0.2">
      <c r="A1443" s="2236"/>
      <c r="B1443" s="2243"/>
      <c r="C1443" s="2244"/>
      <c r="D1443" s="2245"/>
      <c r="E1443" s="2244"/>
      <c r="F1443" s="2246"/>
      <c r="G1443" s="2244"/>
      <c r="H1443" s="2244"/>
      <c r="I1443" s="2238" t="e">
        <f>VLOOKUP(A1443,'Trial Balance - FPer'!$A$7:$I$1107,7,FALSE)</f>
        <v>#N/A</v>
      </c>
      <c r="J1443" s="2100"/>
    </row>
    <row r="1444" spans="1:10" ht="14.25" x14ac:dyDescent="0.2">
      <c r="A1444" s="2236"/>
      <c r="B1444" s="2242" t="s">
        <v>247</v>
      </c>
      <c r="C1444" s="2244"/>
      <c r="D1444" s="2245"/>
      <c r="E1444" s="2244"/>
      <c r="F1444" s="2246"/>
      <c r="G1444" s="2244"/>
      <c r="H1444" s="2244"/>
      <c r="I1444" s="2238" t="e">
        <f>VLOOKUP(A1444,'Trial Balance - FPer'!$A$7:$I$1107,7,FALSE)</f>
        <v>#N/A</v>
      </c>
      <c r="J1444" s="2100"/>
    </row>
    <row r="1445" spans="1:10" ht="14.25" hidden="1" x14ac:dyDescent="0.2">
      <c r="A1445" s="2236"/>
      <c r="B1445" s="2242" t="s">
        <v>6644</v>
      </c>
      <c r="C1445" s="2244"/>
      <c r="D1445" s="2245"/>
      <c r="E1445" s="2244"/>
      <c r="F1445" s="2246"/>
      <c r="G1445" s="2244"/>
      <c r="H1445" s="2244"/>
      <c r="I1445" s="2238" t="e">
        <f>VLOOKUP(A1445,'Trial Balance - FPer'!$A$7:$I$1107,7,FALSE)</f>
        <v>#N/A</v>
      </c>
      <c r="J1445" s="2100"/>
    </row>
    <row r="1446" spans="1:10" ht="14.25" hidden="1" x14ac:dyDescent="0.2">
      <c r="A1446" s="2236" t="s">
        <v>5637</v>
      </c>
      <c r="B1446" s="2243" t="s">
        <v>6799</v>
      </c>
      <c r="C1446" s="2244"/>
      <c r="D1446" s="2245">
        <v>0</v>
      </c>
      <c r="E1446" s="2244">
        <v>0</v>
      </c>
      <c r="F1446" s="2246"/>
      <c r="G1446" s="2244">
        <v>0</v>
      </c>
      <c r="H1446" s="2244"/>
      <c r="I1446" s="2238">
        <f>VLOOKUP(A1446,'Trial Balance - FPer'!$A$7:$I$1107,7,FALSE)</f>
        <v>0</v>
      </c>
      <c r="J1446" s="2100">
        <f>VLOOKUP(A1446,'Trial Balance - FPer'!$A$7:$I$1126,3,FALSE)</f>
        <v>0</v>
      </c>
    </row>
    <row r="1447" spans="1:10" ht="14.25" hidden="1" x14ac:dyDescent="0.2">
      <c r="A1447" s="2236"/>
      <c r="B1447" s="2243" t="s">
        <v>6800</v>
      </c>
      <c r="C1447" s="2244"/>
      <c r="D1447" s="2245"/>
      <c r="E1447" s="2244"/>
      <c r="F1447" s="2246"/>
      <c r="G1447" s="2244"/>
      <c r="H1447" s="2244"/>
      <c r="I1447" s="2238"/>
      <c r="J1447" s="2100"/>
    </row>
    <row r="1448" spans="1:10" ht="14.25" hidden="1" x14ac:dyDescent="0.2">
      <c r="A1448" s="2236" t="s">
        <v>5638</v>
      </c>
      <c r="B1448" s="2243" t="s">
        <v>6801</v>
      </c>
      <c r="C1448" s="2244">
        <f>'[2]Data File'!$C$1436</f>
        <v>400.88</v>
      </c>
      <c r="D1448" s="2245">
        <v>0</v>
      </c>
      <c r="E1448" s="2244">
        <v>1702.17</v>
      </c>
      <c r="F1448" s="2246">
        <v>1702.17</v>
      </c>
      <c r="G1448" s="2244">
        <v>1702.17</v>
      </c>
      <c r="H1448" s="2244"/>
      <c r="I1448" s="2238">
        <f>VLOOKUP(A1448,'Trial Balance - FPer'!$A$7:$I$1107,7,FALSE)</f>
        <v>-2493.39</v>
      </c>
      <c r="J1448" s="2100">
        <f>VLOOKUP(A1448,'Trial Balance - FPer'!$A$7:$I$1126,3,FALSE)</f>
        <v>-400.88</v>
      </c>
    </row>
    <row r="1449" spans="1:10" ht="14.25" hidden="1" x14ac:dyDescent="0.2">
      <c r="A1449" s="2236"/>
      <c r="B1449" s="2243" t="s">
        <v>693</v>
      </c>
      <c r="C1449" s="2244"/>
      <c r="D1449" s="2245"/>
      <c r="E1449" s="2244"/>
      <c r="F1449" s="2246"/>
      <c r="G1449" s="2244"/>
      <c r="H1449" s="2244"/>
      <c r="I1449" s="2238"/>
      <c r="J1449" s="2100"/>
    </row>
    <row r="1450" spans="1:10" ht="14.25" hidden="1" x14ac:dyDescent="0.2">
      <c r="A1450" s="2236" t="s">
        <v>5640</v>
      </c>
      <c r="B1450" s="2243" t="s">
        <v>6801</v>
      </c>
      <c r="C1450" s="2244">
        <f>'[2]Data File'!$C$1503</f>
        <v>227.64</v>
      </c>
      <c r="D1450" s="2245">
        <v>4855.08</v>
      </c>
      <c r="E1450" s="2244">
        <v>0</v>
      </c>
      <c r="F1450" s="2246">
        <v>3152.91</v>
      </c>
      <c r="G1450" s="2244">
        <v>2437.08</v>
      </c>
      <c r="H1450" s="2244"/>
      <c r="I1450" s="2238">
        <f>VLOOKUP(A1450,'Trial Balance - FPer'!$A$7:$I$1107,7,FALSE)</f>
        <v>0</v>
      </c>
      <c r="J1450" s="2100">
        <f>VLOOKUP(A1450,'Trial Balance - FPer'!$A$7:$I$1126,3,FALSE)</f>
        <v>-227.64</v>
      </c>
    </row>
    <row r="1451" spans="1:10" ht="14.25" hidden="1" x14ac:dyDescent="0.2">
      <c r="A1451" s="2236"/>
      <c r="B1451" s="2247" t="s">
        <v>6800</v>
      </c>
      <c r="C1451" s="2248"/>
      <c r="D1451" s="2249"/>
      <c r="E1451" s="2248"/>
      <c r="F1451" s="2250"/>
      <c r="G1451" s="2248"/>
      <c r="H1451" s="2244"/>
      <c r="I1451" s="2238"/>
      <c r="J1451" s="2100"/>
    </row>
    <row r="1452" spans="1:10" s="2615" customFormat="1" hidden="1" x14ac:dyDescent="0.2">
      <c r="A1452" s="2612"/>
      <c r="B1452" s="2613" t="s">
        <v>6646</v>
      </c>
      <c r="C1452" s="2614">
        <f>SUM(C1446:C1451)</f>
        <v>628.52</v>
      </c>
      <c r="D1452" s="2614">
        <f>SUM(D1446:D1451)</f>
        <v>4855.08</v>
      </c>
      <c r="E1452" s="2614">
        <f>SUM(E1446:E1451)</f>
        <v>1702.17</v>
      </c>
      <c r="F1452" s="2614">
        <f>SUM(F1446:F1451)</f>
        <v>4855.08</v>
      </c>
      <c r="G1452" s="2614">
        <f>SUM(G1446:G1451)</f>
        <v>4139.25</v>
      </c>
      <c r="H1452" s="2614">
        <f t="shared" ref="H1452" si="153">SUM(H1446:H1451)</f>
        <v>0</v>
      </c>
      <c r="I1452" s="2614">
        <f>SUM(I1446:I1451)</f>
        <v>-2493.39</v>
      </c>
      <c r="J1452" s="2614">
        <f>SUM(J1446:J1451)</f>
        <v>-628.52</v>
      </c>
    </row>
    <row r="1453" spans="1:10" ht="14.25" hidden="1" x14ac:dyDescent="0.2">
      <c r="A1453" s="2236"/>
      <c r="B1453" s="2243"/>
      <c r="C1453" s="2244"/>
      <c r="D1453" s="2245"/>
      <c r="E1453" s="2244"/>
      <c r="F1453" s="2246"/>
      <c r="G1453" s="2244"/>
      <c r="H1453" s="2244"/>
      <c r="I1453" s="2238"/>
      <c r="J1453" s="2100" t="e">
        <f>VLOOKUP(A1453,'Trial Balance - FPer'!$A$7:$I$1126,3,FALSE)</f>
        <v>#N/A</v>
      </c>
    </row>
    <row r="1454" spans="1:10" ht="14.25" hidden="1" x14ac:dyDescent="0.2">
      <c r="A1454" s="2236"/>
      <c r="B1454" s="2242" t="s">
        <v>6628</v>
      </c>
      <c r="C1454" s="2244"/>
      <c r="D1454" s="2245"/>
      <c r="E1454" s="2244"/>
      <c r="F1454" s="2246"/>
      <c r="G1454" s="2244"/>
      <c r="H1454" s="2244"/>
      <c r="I1454" s="2238"/>
      <c r="J1454" s="2100"/>
    </row>
    <row r="1455" spans="1:10" ht="14.25" hidden="1" x14ac:dyDescent="0.2">
      <c r="A1455" s="2236" t="s">
        <v>5641</v>
      </c>
      <c r="B1455" s="2243" t="s">
        <v>6659</v>
      </c>
      <c r="C1455" s="2244">
        <f>'[2]Data File'!$C$1431</f>
        <v>0</v>
      </c>
      <c r="D1455" s="2245">
        <v>1509096.74</v>
      </c>
      <c r="E1455" s="2244">
        <v>0</v>
      </c>
      <c r="F1455" s="2246">
        <v>1262335.96</v>
      </c>
      <c r="G1455" s="2244">
        <v>757566.74</v>
      </c>
      <c r="H1455" s="2244"/>
      <c r="I1455" s="2238"/>
      <c r="J1455" s="2100">
        <f>VLOOKUP(A1455,'Trial Balance - FPer'!$A$7:$I$1126,3,FALSE)</f>
        <v>0</v>
      </c>
    </row>
    <row r="1456" spans="1:10" ht="14.25" hidden="1" x14ac:dyDescent="0.2">
      <c r="A1456" s="2236"/>
      <c r="B1456" s="2243" t="s">
        <v>693</v>
      </c>
      <c r="C1456" s="2244"/>
      <c r="D1456" s="2245"/>
      <c r="E1456" s="2244"/>
      <c r="F1456" s="2246"/>
      <c r="G1456" s="2244"/>
      <c r="H1456" s="2244"/>
      <c r="I1456" s="2238"/>
      <c r="J1456" s="2100"/>
    </row>
    <row r="1457" spans="1:10" ht="14.25" hidden="1" x14ac:dyDescent="0.2">
      <c r="A1457" s="2236" t="s">
        <v>5642</v>
      </c>
      <c r="B1457" s="2243" t="s">
        <v>6659</v>
      </c>
      <c r="C1457" s="2244">
        <f>'[2]Data File'!$C$1498</f>
        <v>0</v>
      </c>
      <c r="D1457" s="2245">
        <v>590584.38</v>
      </c>
      <c r="E1457" s="2244">
        <v>0</v>
      </c>
      <c r="F1457" s="2246">
        <v>474032.35</v>
      </c>
      <c r="G1457" s="2244">
        <v>296470.38</v>
      </c>
      <c r="H1457" s="2244"/>
      <c r="I1457" s="2238"/>
      <c r="J1457" s="2100">
        <f>VLOOKUP(A1457,'Trial Balance - FPer'!$A$7:$I$1126,3,FALSE)</f>
        <v>0</v>
      </c>
    </row>
    <row r="1458" spans="1:10" ht="14.25" hidden="1" x14ac:dyDescent="0.2">
      <c r="A1458" s="2236"/>
      <c r="B1458" s="2247" t="s">
        <v>6800</v>
      </c>
      <c r="C1458" s="2248"/>
      <c r="D1458" s="2249"/>
      <c r="E1458" s="2248"/>
      <c r="F1458" s="2250"/>
      <c r="G1458" s="2248"/>
      <c r="H1458" s="2244"/>
      <c r="I1458" s="2238"/>
      <c r="J1458" s="2100"/>
    </row>
    <row r="1459" spans="1:10" s="2615" customFormat="1" hidden="1" x14ac:dyDescent="0.2">
      <c r="A1459" s="2612"/>
      <c r="B1459" s="2613" t="s">
        <v>6631</v>
      </c>
      <c r="C1459" s="2614">
        <f>SUM(C1455:C1458)</f>
        <v>0</v>
      </c>
      <c r="D1459" s="2614">
        <f>SUM(D1455:D1458)</f>
        <v>2099681.12</v>
      </c>
      <c r="E1459" s="2614">
        <f>SUM(E1455:E1458)</f>
        <v>0</v>
      </c>
      <c r="F1459" s="2614">
        <f>SUM(F1455:F1458)</f>
        <v>1736368.31</v>
      </c>
      <c r="G1459" s="2614">
        <f>SUM(G1455:G1458)</f>
        <v>1054037.1200000001</v>
      </c>
      <c r="H1459" s="2614">
        <f t="shared" ref="H1459:J1459" si="154">SUM(H1455:H1458)</f>
        <v>0</v>
      </c>
      <c r="I1459" s="2614">
        <f t="shared" si="154"/>
        <v>0</v>
      </c>
      <c r="J1459" s="2614">
        <f t="shared" si="154"/>
        <v>0</v>
      </c>
    </row>
    <row r="1460" spans="1:10" ht="14.25" hidden="1" x14ac:dyDescent="0.2">
      <c r="A1460" s="2236"/>
      <c r="B1460" s="2243"/>
      <c r="C1460" s="2244"/>
      <c r="D1460" s="2245"/>
      <c r="E1460" s="2244"/>
      <c r="F1460" s="2246"/>
      <c r="G1460" s="2244"/>
      <c r="H1460" s="2244"/>
      <c r="I1460" s="2238"/>
      <c r="J1460" s="2100" t="e">
        <f>VLOOKUP(A1460,'Trial Balance - FPer'!$A$7:$I$1126,3,FALSE)</f>
        <v>#N/A</v>
      </c>
    </row>
    <row r="1461" spans="1:10" ht="14.25" hidden="1" x14ac:dyDescent="0.2">
      <c r="A1461" s="2236"/>
      <c r="B1461" s="2242" t="s">
        <v>1637</v>
      </c>
      <c r="C1461" s="2244"/>
      <c r="D1461" s="2245"/>
      <c r="E1461" s="2244"/>
      <c r="F1461" s="2246"/>
      <c r="G1461" s="2244"/>
      <c r="H1461" s="2244"/>
      <c r="I1461" s="2238"/>
      <c r="J1461" s="2100" t="e">
        <f>VLOOKUP(A1461,'Trial Balance - FPer'!$A$7:$I$1126,3,FALSE)</f>
        <v>#N/A</v>
      </c>
    </row>
    <row r="1462" spans="1:10" ht="14.25" hidden="1" x14ac:dyDescent="0.2">
      <c r="A1462" s="2236" t="s">
        <v>5643</v>
      </c>
      <c r="B1462" s="2243" t="s">
        <v>6666</v>
      </c>
      <c r="C1462" s="2244">
        <v>0</v>
      </c>
      <c r="D1462" s="2245">
        <v>11133.16</v>
      </c>
      <c r="E1462" s="2244">
        <v>0</v>
      </c>
      <c r="F1462" s="2246">
        <v>0</v>
      </c>
      <c r="G1462" s="2244">
        <v>5589.16</v>
      </c>
      <c r="H1462" s="2244"/>
      <c r="I1462" s="2238">
        <f>VLOOKUP(A1462,'Trial Balance - FPer'!$A$7:$I$1107,7,FALSE)</f>
        <v>0</v>
      </c>
      <c r="J1462" s="2100">
        <f>VLOOKUP(A1462,'Trial Balance - FPer'!$A$7:$I$1126,3,FALSE)</f>
        <v>0</v>
      </c>
    </row>
    <row r="1463" spans="1:10" ht="14.25" hidden="1" x14ac:dyDescent="0.2">
      <c r="A1463" s="2236"/>
      <c r="B1463" s="2247" t="s">
        <v>693</v>
      </c>
      <c r="C1463" s="2248"/>
      <c r="D1463" s="2249"/>
      <c r="E1463" s="2248"/>
      <c r="F1463" s="2250"/>
      <c r="G1463" s="2248"/>
      <c r="H1463" s="2244"/>
      <c r="I1463" s="2238"/>
      <c r="J1463" s="2100"/>
    </row>
    <row r="1464" spans="1:10" s="2615" customFormat="1" hidden="1" x14ac:dyDescent="0.2">
      <c r="A1464" s="2612"/>
      <c r="B1464" s="2613" t="s">
        <v>6670</v>
      </c>
      <c r="C1464" s="2614">
        <f>SUM(C1462:C1463)</f>
        <v>0</v>
      </c>
      <c r="D1464" s="2614">
        <f>SUM(D1462:D1463)</f>
        <v>11133.16</v>
      </c>
      <c r="E1464" s="2614">
        <f>SUM(E1462:E1463)</f>
        <v>0</v>
      </c>
      <c r="F1464" s="2614">
        <f>SUM(F1462:F1463)</f>
        <v>0</v>
      </c>
      <c r="G1464" s="2614">
        <f>SUM(G1462:G1463)</f>
        <v>5589.16</v>
      </c>
      <c r="H1464" s="2614">
        <f t="shared" ref="H1464:J1464" si="155">SUM(H1462:H1463)</f>
        <v>0</v>
      </c>
      <c r="I1464" s="2614">
        <f t="shared" si="155"/>
        <v>0</v>
      </c>
      <c r="J1464" s="2614">
        <f t="shared" si="155"/>
        <v>0</v>
      </c>
    </row>
    <row r="1465" spans="1:10" ht="14.25" hidden="1" x14ac:dyDescent="0.2">
      <c r="A1465" s="2236"/>
      <c r="B1465" s="2243"/>
      <c r="C1465" s="2244"/>
      <c r="D1465" s="2245"/>
      <c r="E1465" s="2244"/>
      <c r="F1465" s="2246"/>
      <c r="G1465" s="2244"/>
      <c r="H1465" s="2244"/>
      <c r="I1465" s="2238"/>
      <c r="J1465" s="2100" t="e">
        <f>VLOOKUP(A1465,'Trial Balance - FPer'!$A$7:$I$1126,3,FALSE)</f>
        <v>#N/A</v>
      </c>
    </row>
    <row r="1466" spans="1:10" s="2615" customFormat="1" ht="13.5" thickBot="1" x14ac:dyDescent="0.25">
      <c r="A1466" s="2612"/>
      <c r="B1466" s="2616" t="s">
        <v>6579</v>
      </c>
      <c r="C1466" s="2617">
        <f>C1464+C1459+C1452</f>
        <v>628.52</v>
      </c>
      <c r="D1466" s="2617">
        <f>D1464+D1459+D1452</f>
        <v>2115669.3600000003</v>
      </c>
      <c r="E1466" s="2617">
        <f>E1464+E1459+E1452</f>
        <v>1702.17</v>
      </c>
      <c r="F1466" s="2617">
        <f>F1464+F1459+F1452</f>
        <v>1741223.3900000001</v>
      </c>
      <c r="G1466" s="2617">
        <f>G1464+G1459+G1452</f>
        <v>1063765.53</v>
      </c>
      <c r="H1466" s="2617">
        <f t="shared" ref="H1466" si="156">H1464+H1459+H1452</f>
        <v>0</v>
      </c>
      <c r="I1466" s="2617">
        <f>I1464+I1459+I1452</f>
        <v>-2493.39</v>
      </c>
      <c r="J1466" s="2617">
        <f>J1464+J1459+J1452</f>
        <v>-628.52</v>
      </c>
    </row>
    <row r="1467" spans="1:10" ht="15" thickTop="1" x14ac:dyDescent="0.2">
      <c r="A1467" s="2236"/>
      <c r="B1467" s="2243"/>
      <c r="C1467" s="2244"/>
      <c r="D1467" s="2245"/>
      <c r="E1467" s="2244"/>
      <c r="F1467" s="2246"/>
      <c r="G1467" s="2244"/>
      <c r="H1467" s="2244"/>
      <c r="I1467" s="2238"/>
      <c r="J1467" s="2100" t="e">
        <f>VLOOKUP(A1467,'Trial Balance - FPer'!$A$7:$I$1126,3,FALSE)</f>
        <v>#N/A</v>
      </c>
    </row>
    <row r="1468" spans="1:10" ht="14.25" x14ac:dyDescent="0.2">
      <c r="A1468" s="2236"/>
      <c r="B1468" s="2242" t="s">
        <v>235</v>
      </c>
      <c r="C1468" s="2244"/>
      <c r="D1468" s="2245"/>
      <c r="E1468" s="2244"/>
      <c r="F1468" s="2246"/>
      <c r="G1468" s="2244"/>
      <c r="H1468" s="2244"/>
      <c r="I1468" s="2238"/>
      <c r="J1468" s="2100" t="e">
        <f>VLOOKUP(A1468,'Trial Balance - FPer'!$A$7:$I$1126,3,FALSE)</f>
        <v>#N/A</v>
      </c>
    </row>
    <row r="1469" spans="1:10" ht="14.25" hidden="1" x14ac:dyDescent="0.2">
      <c r="A1469" s="2236"/>
      <c r="B1469" s="2242" t="s">
        <v>387</v>
      </c>
      <c r="C1469" s="2244"/>
      <c r="D1469" s="2245"/>
      <c r="E1469" s="2244"/>
      <c r="F1469" s="2246"/>
      <c r="G1469" s="2244"/>
      <c r="H1469" s="2244"/>
      <c r="I1469" s="2238"/>
      <c r="J1469" s="2100"/>
    </row>
    <row r="1470" spans="1:10" ht="14.25" hidden="1" x14ac:dyDescent="0.2">
      <c r="A1470" s="2236" t="s">
        <v>5587</v>
      </c>
      <c r="B1470" s="2243" t="s">
        <v>6003</v>
      </c>
      <c r="C1470" s="2244">
        <f>'[2]Data File'!$C$1444</f>
        <v>734262.59</v>
      </c>
      <c r="D1470" s="2245">
        <v>969320.34</v>
      </c>
      <c r="E1470" s="2244">
        <v>359877.11</v>
      </c>
      <c r="F1470" s="2246">
        <v>793707.59</v>
      </c>
      <c r="G1470" s="2244">
        <v>784578.4</v>
      </c>
      <c r="H1470" s="2100">
        <v>432182.19</v>
      </c>
      <c r="I1470" s="2238">
        <f>VLOOKUP(A1470,'Trial Balance - FPer'!$A$7:$I$1107,7,FALSE)</f>
        <v>761193.25</v>
      </c>
      <c r="J1470" s="2100">
        <f>VLOOKUP(A1470,'Trial Balance - FPer'!$A$7:$I$1126,3,FALSE)</f>
        <v>734262.59</v>
      </c>
    </row>
    <row r="1471" spans="1:10" ht="14.25" hidden="1" x14ac:dyDescent="0.2">
      <c r="A1471" s="2236"/>
      <c r="B1471" s="2243" t="s">
        <v>693</v>
      </c>
      <c r="C1471" s="2244"/>
      <c r="D1471" s="2245"/>
      <c r="E1471" s="2244"/>
      <c r="F1471" s="2246"/>
      <c r="G1471" s="2244"/>
      <c r="H1471" s="2100"/>
      <c r="I1471" s="2238"/>
      <c r="J1471" s="2100"/>
    </row>
    <row r="1472" spans="1:10" ht="14.25" hidden="1" x14ac:dyDescent="0.2">
      <c r="A1472" s="2236" t="s">
        <v>5588</v>
      </c>
      <c r="B1472" s="2243" t="s">
        <v>6003</v>
      </c>
      <c r="C1472" s="2244">
        <f>'[2]Data File'!$C$1511</f>
        <v>298051.44</v>
      </c>
      <c r="D1472" s="2245">
        <v>398717.9</v>
      </c>
      <c r="E1472" s="2244">
        <v>147912.91</v>
      </c>
      <c r="F1472" s="2246">
        <v>295540.87</v>
      </c>
      <c r="G1472" s="2244">
        <v>322527.17</v>
      </c>
      <c r="H1472" s="2100">
        <v>172517.57</v>
      </c>
      <c r="I1472" s="2238">
        <f>VLOOKUP(A1472,'Trial Balance - FPer'!$A$7:$I$1107,7,FALSE)</f>
        <v>291854.15000000002</v>
      </c>
      <c r="J1472" s="2100">
        <f>VLOOKUP(A1472,'Trial Balance - FPer'!$A$7:$I$1126,3,FALSE)</f>
        <v>298051.44</v>
      </c>
    </row>
    <row r="1473" spans="1:10" ht="14.25" hidden="1" x14ac:dyDescent="0.2">
      <c r="A1473" s="2236"/>
      <c r="B1473" s="2243" t="s">
        <v>6800</v>
      </c>
      <c r="C1473" s="2244"/>
      <c r="D1473" s="2245"/>
      <c r="E1473" s="2244"/>
      <c r="F1473" s="2246"/>
      <c r="G1473" s="2244"/>
      <c r="H1473" s="2100"/>
      <c r="I1473" s="2238"/>
      <c r="J1473" s="2100"/>
    </row>
    <row r="1474" spans="1:10" ht="14.25" hidden="1" x14ac:dyDescent="0.2">
      <c r="A1474" s="2236" t="s">
        <v>5589</v>
      </c>
      <c r="B1474" s="2243" t="s">
        <v>6004</v>
      </c>
      <c r="C1474" s="2244">
        <f>'[2]Data File'!$C$1449</f>
        <v>56254.79</v>
      </c>
      <c r="D1474" s="2245">
        <v>51889.07</v>
      </c>
      <c r="E1474" s="2244">
        <v>19177.68</v>
      </c>
      <c r="F1474" s="2246">
        <v>72305.08</v>
      </c>
      <c r="G1474" s="2244">
        <v>41864.68</v>
      </c>
      <c r="H1474" s="2100">
        <v>34915.99</v>
      </c>
      <c r="I1474" s="2238">
        <f>VLOOKUP(A1474,'Trial Balance - FPer'!$A$7:$I$1107,7,FALSE)</f>
        <v>69184.06</v>
      </c>
      <c r="J1474" s="2100">
        <f>VLOOKUP(A1474,'Trial Balance - FPer'!$A$7:$I$1126,3,FALSE)</f>
        <v>56254.79</v>
      </c>
    </row>
    <row r="1475" spans="1:10" ht="14.25" hidden="1" x14ac:dyDescent="0.2">
      <c r="A1475" s="2236"/>
      <c r="B1475" s="2243" t="s">
        <v>693</v>
      </c>
      <c r="C1475" s="2244"/>
      <c r="D1475" s="2245"/>
      <c r="E1475" s="2244"/>
      <c r="F1475" s="2246"/>
      <c r="G1475" s="2244"/>
      <c r="H1475" s="2100"/>
      <c r="I1475" s="2238"/>
      <c r="J1475" s="2100"/>
    </row>
    <row r="1476" spans="1:10" ht="14.25" hidden="1" x14ac:dyDescent="0.2">
      <c r="A1476" s="2236" t="s">
        <v>5590</v>
      </c>
      <c r="B1476" s="2243" t="s">
        <v>6004</v>
      </c>
      <c r="C1476" s="2244">
        <f>'[2]Data File'!$C$1516</f>
        <v>23222.16</v>
      </c>
      <c r="D1476" s="2245">
        <v>60023.77</v>
      </c>
      <c r="E1476" s="2244">
        <v>20036.36</v>
      </c>
      <c r="F1476" s="2246">
        <v>24604.66</v>
      </c>
      <c r="G1476" s="2244">
        <v>45202.41</v>
      </c>
      <c r="H1476" s="2100">
        <v>20036.36</v>
      </c>
      <c r="I1476" s="2238">
        <f>VLOOKUP(A1476,'Trial Balance - FPer'!$A$7:$I$1107,7,FALSE)</f>
        <v>25045.45</v>
      </c>
      <c r="J1476" s="2100">
        <f>VLOOKUP(A1476,'Trial Balance - FPer'!$A$7:$I$1126,3,FALSE)</f>
        <v>23222.16</v>
      </c>
    </row>
    <row r="1477" spans="1:10" ht="14.25" hidden="1" x14ac:dyDescent="0.2">
      <c r="A1477" s="2236"/>
      <c r="B1477" s="2243" t="s">
        <v>6800</v>
      </c>
      <c r="C1477" s="2244"/>
      <c r="D1477" s="2245"/>
      <c r="E1477" s="2244"/>
      <c r="F1477" s="2246"/>
      <c r="G1477" s="2244"/>
      <c r="H1477" s="2100"/>
      <c r="I1477" s="2238"/>
      <c r="J1477" s="2100"/>
    </row>
    <row r="1478" spans="1:10" ht="14.25" hidden="1" x14ac:dyDescent="0.2">
      <c r="A1478" s="2236" t="s">
        <v>5591</v>
      </c>
      <c r="B1478" s="2243" t="s">
        <v>6581</v>
      </c>
      <c r="C1478" s="2244">
        <f>'[2]Data File'!$C$1450</f>
        <v>0</v>
      </c>
      <c r="D1478" s="2245">
        <v>0</v>
      </c>
      <c r="E1478" s="2244">
        <v>0</v>
      </c>
      <c r="F1478" s="2246">
        <v>0</v>
      </c>
      <c r="G1478" s="2244">
        <v>0</v>
      </c>
      <c r="H1478" s="2100">
        <v>0</v>
      </c>
      <c r="I1478" s="2238">
        <f>VLOOKUP(A1478,'Trial Balance - FPer'!$A$7:$I$1107,7,FALSE)</f>
        <v>0</v>
      </c>
      <c r="J1478" s="2100">
        <f>VLOOKUP(A1478,'Trial Balance - FPer'!$A$7:$I$1126,3,FALSE)</f>
        <v>0</v>
      </c>
    </row>
    <row r="1479" spans="1:10" ht="14.25" hidden="1" x14ac:dyDescent="0.2">
      <c r="A1479" s="2236"/>
      <c r="B1479" s="2243" t="s">
        <v>693</v>
      </c>
      <c r="C1479" s="2244"/>
      <c r="D1479" s="2245"/>
      <c r="E1479" s="2244"/>
      <c r="F1479" s="2246"/>
      <c r="G1479" s="2244"/>
      <c r="H1479" s="2100"/>
      <c r="I1479" s="2238"/>
      <c r="J1479" s="2100"/>
    </row>
    <row r="1480" spans="1:10" ht="14.25" hidden="1" x14ac:dyDescent="0.2">
      <c r="A1480" s="2236" t="s">
        <v>5592</v>
      </c>
      <c r="B1480" s="2243" t="s">
        <v>6632</v>
      </c>
      <c r="C1480" s="2244">
        <f>'[2]Data File'!$C$1451</f>
        <v>5786.28</v>
      </c>
      <c r="D1480" s="2245">
        <v>7599.87</v>
      </c>
      <c r="E1480" s="2244">
        <v>2683.56</v>
      </c>
      <c r="F1480" s="2246">
        <v>5367.12</v>
      </c>
      <c r="G1480" s="2244">
        <v>5942.13</v>
      </c>
      <c r="H1480" s="2100">
        <v>3130.82</v>
      </c>
      <c r="I1480" s="2238">
        <f>VLOOKUP(A1480,'Trial Balance - FPer'!$A$7:$I$1107,7,FALSE)</f>
        <v>5367.12</v>
      </c>
      <c r="J1480" s="2100">
        <f>VLOOKUP(A1480,'Trial Balance - FPer'!$A$7:$I$1126,3,FALSE)</f>
        <v>5786.28</v>
      </c>
    </row>
    <row r="1481" spans="1:10" ht="14.25" hidden="1" x14ac:dyDescent="0.2">
      <c r="A1481" s="2236"/>
      <c r="B1481" s="2243" t="s">
        <v>693</v>
      </c>
      <c r="C1481" s="2244"/>
      <c r="D1481" s="2245"/>
      <c r="E1481" s="2244"/>
      <c r="F1481" s="2246"/>
      <c r="G1481" s="2244"/>
      <c r="H1481" s="2100"/>
      <c r="I1481" s="2238"/>
      <c r="J1481" s="2100"/>
    </row>
    <row r="1482" spans="1:10" ht="14.25" hidden="1" x14ac:dyDescent="0.2">
      <c r="A1482" s="2236" t="s">
        <v>5593</v>
      </c>
      <c r="B1482" s="2243" t="s">
        <v>6632</v>
      </c>
      <c r="C1482" s="2244">
        <f>'[2]Data File'!$C$1519</f>
        <v>0</v>
      </c>
      <c r="D1482" s="2245">
        <v>1957.49</v>
      </c>
      <c r="E1482" s="2244">
        <v>0</v>
      </c>
      <c r="F1482" s="2246">
        <v>0</v>
      </c>
      <c r="G1482" s="2244">
        <v>492.75</v>
      </c>
      <c r="H1482" s="2100">
        <v>0</v>
      </c>
      <c r="I1482" s="2238">
        <f>VLOOKUP(A1482,'Trial Balance - FPer'!$A$7:$I$1107,7,FALSE)</f>
        <v>0</v>
      </c>
      <c r="J1482" s="2100" t="str">
        <f>VLOOKUP(A1482,'Trial Balance - FPer'!$A$7:$I$1126,3,FALSE)</f>
        <v xml:space="preserve">                               -  </v>
      </c>
    </row>
    <row r="1483" spans="1:10" ht="14.25" hidden="1" x14ac:dyDescent="0.2">
      <c r="A1483" s="2236"/>
      <c r="B1483" s="2243" t="s">
        <v>6800</v>
      </c>
      <c r="C1483" s="2244"/>
      <c r="D1483" s="2245"/>
      <c r="E1483" s="2244"/>
      <c r="F1483" s="2246"/>
      <c r="G1483" s="2244"/>
      <c r="H1483" s="2100"/>
      <c r="I1483" s="2238"/>
      <c r="J1483" s="2100"/>
    </row>
    <row r="1484" spans="1:10" ht="14.25" hidden="1" x14ac:dyDescent="0.2">
      <c r="A1484" s="2236" t="s">
        <v>5594</v>
      </c>
      <c r="B1484" s="2243" t="s">
        <v>6007</v>
      </c>
      <c r="C1484" s="2244">
        <f>'[2]Data File'!$C$1452</f>
        <v>77456.039999999994</v>
      </c>
      <c r="D1484" s="2245">
        <v>100080.04</v>
      </c>
      <c r="E1484" s="2244">
        <v>38673.53</v>
      </c>
      <c r="F1484" s="2246">
        <v>100080.04</v>
      </c>
      <c r="G1484" s="2244">
        <v>83284.91</v>
      </c>
      <c r="H1484" s="2100">
        <v>45558.98</v>
      </c>
      <c r="I1484" s="2238">
        <f>VLOOKUP(A1484,'Trial Balance - FPer'!$A$7:$I$1107,7,FALSE)</f>
        <v>69656.789999999994</v>
      </c>
      <c r="J1484" s="2100">
        <f>VLOOKUP(A1484,'Trial Balance - FPer'!$A$7:$I$1126,3,FALSE)</f>
        <v>77456.039999999994</v>
      </c>
    </row>
    <row r="1485" spans="1:10" ht="14.25" hidden="1" x14ac:dyDescent="0.2">
      <c r="A1485" s="2236"/>
      <c r="B1485" s="2243" t="s">
        <v>693</v>
      </c>
      <c r="C1485" s="2244"/>
      <c r="D1485" s="2245"/>
      <c r="E1485" s="2244"/>
      <c r="F1485" s="2246"/>
      <c r="G1485" s="2244"/>
      <c r="H1485" s="2100"/>
      <c r="I1485" s="2238"/>
      <c r="J1485" s="2100"/>
    </row>
    <row r="1486" spans="1:10" ht="14.25" hidden="1" x14ac:dyDescent="0.2">
      <c r="A1486" s="2236" t="s">
        <v>5595</v>
      </c>
      <c r="B1486" s="2243" t="s">
        <v>6007</v>
      </c>
      <c r="C1486" s="2244">
        <f>'[2]Data File'!$C$1521</f>
        <v>3552</v>
      </c>
      <c r="D1486" s="2245">
        <v>3841.53</v>
      </c>
      <c r="E1486" s="2244">
        <v>0</v>
      </c>
      <c r="F1486" s="2246">
        <v>3841.53</v>
      </c>
      <c r="G1486" s="2244">
        <v>963.77</v>
      </c>
      <c r="H1486" s="2100">
        <v>247.94</v>
      </c>
      <c r="I1486" s="2238">
        <f>VLOOKUP(A1486,'Trial Balance - FPer'!$A$7:$I$1107,7,FALSE)</f>
        <v>833.99</v>
      </c>
      <c r="J1486" s="2100">
        <f>VLOOKUP(A1486,'Trial Balance - FPer'!$A$7:$I$1126,3,FALSE)</f>
        <v>3552</v>
      </c>
    </row>
    <row r="1487" spans="1:10" ht="14.25" hidden="1" x14ac:dyDescent="0.2">
      <c r="A1487" s="2236"/>
      <c r="B1487" s="2243" t="s">
        <v>6800</v>
      </c>
      <c r="C1487" s="2244"/>
      <c r="D1487" s="2245"/>
      <c r="E1487" s="2244"/>
      <c r="F1487" s="2246"/>
      <c r="G1487" s="2244"/>
      <c r="H1487" s="2100"/>
      <c r="I1487" s="2238"/>
      <c r="J1487" s="2100"/>
    </row>
    <row r="1488" spans="1:10" ht="14.25" hidden="1" x14ac:dyDescent="0.2">
      <c r="A1488" s="2236" t="s">
        <v>5596</v>
      </c>
      <c r="B1488" s="2243" t="s">
        <v>6582</v>
      </c>
      <c r="C1488" s="2244">
        <f>'[2]Data File'!$C$1453</f>
        <v>975.54</v>
      </c>
      <c r="D1488" s="2245">
        <v>20685.84</v>
      </c>
      <c r="E1488" s="2244">
        <v>6182.35</v>
      </c>
      <c r="F1488" s="2246">
        <v>6182.35</v>
      </c>
      <c r="G1488" s="2244">
        <v>14489.42</v>
      </c>
      <c r="H1488" s="2100">
        <v>6182.35</v>
      </c>
      <c r="I1488" s="2238">
        <f>VLOOKUP(A1488,'Trial Balance - FPer'!$A$7:$I$1107,7,FALSE)</f>
        <v>6182.35</v>
      </c>
      <c r="J1488" s="2100">
        <f>VLOOKUP(A1488,'Trial Balance - FPer'!$A$7:$I$1126,3,FALSE)</f>
        <v>975.54</v>
      </c>
    </row>
    <row r="1489" spans="1:10" ht="14.25" hidden="1" x14ac:dyDescent="0.2">
      <c r="A1489" s="2236"/>
      <c r="B1489" s="2243" t="s">
        <v>693</v>
      </c>
      <c r="C1489" s="2244"/>
      <c r="D1489" s="2245"/>
      <c r="E1489" s="2244"/>
      <c r="F1489" s="2246"/>
      <c r="G1489" s="2244"/>
      <c r="H1489" s="2100"/>
      <c r="I1489" s="2238"/>
      <c r="J1489" s="2100"/>
    </row>
    <row r="1490" spans="1:10" ht="14.25" hidden="1" x14ac:dyDescent="0.2">
      <c r="A1490" s="2236" t="s">
        <v>5597</v>
      </c>
      <c r="B1490" s="2243" t="s">
        <v>6582</v>
      </c>
      <c r="C1490" s="2244">
        <f>'[2]Data File'!$C$1518</f>
        <v>471.65</v>
      </c>
      <c r="D1490" s="2245">
        <v>3135.9</v>
      </c>
      <c r="E1490" s="2244">
        <v>0</v>
      </c>
      <c r="F1490" s="2246">
        <v>0</v>
      </c>
      <c r="G1490" s="2244">
        <v>787.95</v>
      </c>
      <c r="H1490" s="2100">
        <v>0</v>
      </c>
      <c r="I1490" s="2238">
        <f>VLOOKUP(A1490,'Trial Balance - FPer'!$A$7:$I$1107,7,FALSE)</f>
        <v>0</v>
      </c>
      <c r="J1490" s="2100">
        <f>VLOOKUP(A1490,'Trial Balance - FPer'!$A$7:$I$1126,3,FALSE)</f>
        <v>471.65</v>
      </c>
    </row>
    <row r="1491" spans="1:10" ht="14.25" hidden="1" x14ac:dyDescent="0.2">
      <c r="A1491" s="2236"/>
      <c r="B1491" s="2243" t="s">
        <v>6800</v>
      </c>
      <c r="C1491" s="2244"/>
      <c r="D1491" s="2245"/>
      <c r="E1491" s="2244"/>
      <c r="F1491" s="2246"/>
      <c r="G1491" s="2244"/>
      <c r="H1491" s="2100"/>
      <c r="I1491" s="2238"/>
      <c r="J1491" s="2100"/>
    </row>
    <row r="1492" spans="1:10" ht="14.25" hidden="1" x14ac:dyDescent="0.2">
      <c r="A1492" s="2236" t="s">
        <v>5598</v>
      </c>
      <c r="B1492" s="2243" t="s">
        <v>6672</v>
      </c>
      <c r="C1492" s="2244">
        <f>'[2]Data File'!$C$1456</f>
        <v>-304774.82</v>
      </c>
      <c r="D1492" s="2245">
        <v>0</v>
      </c>
      <c r="E1492" s="2244">
        <v>0</v>
      </c>
      <c r="F1492" s="2246">
        <v>0</v>
      </c>
      <c r="G1492" s="2244">
        <v>0</v>
      </c>
      <c r="H1492" s="2100">
        <v>0</v>
      </c>
      <c r="I1492" s="2238">
        <f>VLOOKUP(A1492,'Trial Balance - FPer'!$A$7:$I$1107,7,FALSE)</f>
        <v>0</v>
      </c>
      <c r="J1492" s="2100">
        <f>VLOOKUP(A1492,'Trial Balance - FPer'!$A$7:$I$1126,3,FALSE)</f>
        <v>-304774.82</v>
      </c>
    </row>
    <row r="1493" spans="1:10" ht="14.25" hidden="1" x14ac:dyDescent="0.2">
      <c r="A1493" s="2236"/>
      <c r="B1493" s="2243" t="s">
        <v>693</v>
      </c>
      <c r="C1493" s="2244"/>
      <c r="D1493" s="2245"/>
      <c r="E1493" s="2244"/>
      <c r="F1493" s="2246"/>
      <c r="G1493" s="2244"/>
      <c r="H1493" s="2100"/>
      <c r="I1493" s="2238"/>
      <c r="J1493" s="2100"/>
    </row>
    <row r="1494" spans="1:10" ht="14.25" hidden="1" x14ac:dyDescent="0.2">
      <c r="A1494" s="2236" t="s">
        <v>5599</v>
      </c>
      <c r="B1494" s="2243" t="s">
        <v>6584</v>
      </c>
      <c r="C1494" s="2244">
        <f>'[2]Data File'!$C$1448</f>
        <v>533</v>
      </c>
      <c r="D1494" s="2245">
        <v>700.6</v>
      </c>
      <c r="E1494" s="2244">
        <v>266.5</v>
      </c>
      <c r="F1494" s="2246">
        <v>561.70000000000005</v>
      </c>
      <c r="G1494" s="2244">
        <v>577.80999999999995</v>
      </c>
      <c r="H1494" s="2100">
        <v>315.7</v>
      </c>
      <c r="I1494" s="2238">
        <f>VLOOKUP(A1494,'Trial Balance - FPer'!$A$7:$I$1107,7,FALSE)</f>
        <v>533</v>
      </c>
      <c r="J1494" s="2100">
        <f>VLOOKUP(A1494,'Trial Balance - FPer'!$A$7:$I$1126,3,FALSE)</f>
        <v>533</v>
      </c>
    </row>
    <row r="1495" spans="1:10" ht="14.25" hidden="1" x14ac:dyDescent="0.2">
      <c r="A1495" s="2236"/>
      <c r="B1495" s="2243" t="s">
        <v>693</v>
      </c>
      <c r="C1495" s="2244"/>
      <c r="D1495" s="2245"/>
      <c r="E1495" s="2244"/>
      <c r="F1495" s="2246"/>
      <c r="G1495" s="2244"/>
      <c r="H1495" s="2100"/>
      <c r="I1495" s="2238"/>
      <c r="J1495" s="2100"/>
    </row>
    <row r="1496" spans="1:10" ht="14.25" hidden="1" x14ac:dyDescent="0.2">
      <c r="A1496" s="2236" t="s">
        <v>5600</v>
      </c>
      <c r="B1496" s="2243" t="s">
        <v>6584</v>
      </c>
      <c r="C1496" s="2244">
        <f>'[2]Data File'!$C$1515</f>
        <v>258.3</v>
      </c>
      <c r="D1496" s="2245">
        <v>337</v>
      </c>
      <c r="E1496" s="2244">
        <v>102.5</v>
      </c>
      <c r="F1496" s="2246">
        <v>225.5</v>
      </c>
      <c r="G1496" s="2244">
        <v>238.55</v>
      </c>
      <c r="H1496" s="2100">
        <v>123</v>
      </c>
      <c r="I1496" s="2238">
        <f>VLOOKUP(A1496,'Trial Balance - FPer'!$A$7:$I$1107,7,FALSE)</f>
        <v>221.4</v>
      </c>
      <c r="J1496" s="2100">
        <f>VLOOKUP(A1496,'Trial Balance - FPer'!$A$7:$I$1126,3,FALSE)</f>
        <v>258.3</v>
      </c>
    </row>
    <row r="1497" spans="1:10" ht="14.25" hidden="1" x14ac:dyDescent="0.2">
      <c r="A1497" s="2236"/>
      <c r="B1497" s="2243" t="s">
        <v>6800</v>
      </c>
      <c r="C1497" s="2244"/>
      <c r="D1497" s="2245"/>
      <c r="E1497" s="2244"/>
      <c r="F1497" s="2246"/>
      <c r="G1497" s="2244"/>
      <c r="H1497" s="2100"/>
      <c r="I1497" s="2238"/>
      <c r="J1497" s="2100"/>
    </row>
    <row r="1498" spans="1:10" ht="14.25" hidden="1" x14ac:dyDescent="0.2">
      <c r="A1498" s="2236" t="s">
        <v>5601</v>
      </c>
      <c r="B1498" s="2243" t="s">
        <v>6585</v>
      </c>
      <c r="C1498" s="2244">
        <f>'[2]Data File'!$C$1454</f>
        <v>8498.0400000000009</v>
      </c>
      <c r="D1498" s="2245">
        <v>10663.63</v>
      </c>
      <c r="E1498" s="2244">
        <v>4134.87</v>
      </c>
      <c r="F1498" s="2246">
        <v>10663.63</v>
      </c>
      <c r="G1498" s="2244">
        <v>8896.39</v>
      </c>
      <c r="H1498" s="2100">
        <v>5068.62</v>
      </c>
      <c r="I1498" s="2238">
        <f>VLOOKUP(A1498,'Trial Balance - FPer'!$A$7:$I$1107,7,FALSE)</f>
        <v>9076.34</v>
      </c>
      <c r="J1498" s="2100">
        <f>VLOOKUP(A1498,'Trial Balance - FPer'!$A$7:$I$1126,3,FALSE)</f>
        <v>8498.0400000000009</v>
      </c>
    </row>
    <row r="1499" spans="1:10" ht="14.25" hidden="1" x14ac:dyDescent="0.2">
      <c r="A1499" s="2236"/>
      <c r="B1499" s="2243" t="s">
        <v>693</v>
      </c>
      <c r="C1499" s="2244"/>
      <c r="D1499" s="2245"/>
      <c r="E1499" s="2244"/>
      <c r="F1499" s="2246"/>
      <c r="G1499" s="2244"/>
      <c r="H1499" s="2100"/>
      <c r="I1499" s="2238"/>
      <c r="J1499" s="2100"/>
    </row>
    <row r="1500" spans="1:10" ht="14.25" hidden="1" x14ac:dyDescent="0.2">
      <c r="A1500" s="2236" t="s">
        <v>5602</v>
      </c>
      <c r="B1500" s="2243" t="s">
        <v>6585</v>
      </c>
      <c r="C1500" s="2244">
        <f>'[2]Data File'!$C$1522</f>
        <v>3128.95</v>
      </c>
      <c r="D1500" s="2245">
        <v>4953.75</v>
      </c>
      <c r="E1500" s="2244">
        <v>1584.36</v>
      </c>
      <c r="F1500" s="2246">
        <v>4953.75</v>
      </c>
      <c r="G1500" s="2244">
        <v>3627.3</v>
      </c>
      <c r="H1500" s="2100">
        <v>1811.86</v>
      </c>
      <c r="I1500" s="2238">
        <f>VLOOKUP(A1500,'Trial Balance - FPer'!$A$7:$I$1107,7,FALSE)</f>
        <v>3002.56</v>
      </c>
      <c r="J1500" s="2100">
        <f>VLOOKUP(A1500,'Trial Balance - FPer'!$A$7:$I$1126,3,FALSE)</f>
        <v>3128.95</v>
      </c>
    </row>
    <row r="1501" spans="1:10" ht="14.25" hidden="1" x14ac:dyDescent="0.2">
      <c r="A1501" s="2236"/>
      <c r="B1501" s="2243" t="s">
        <v>6800</v>
      </c>
      <c r="C1501" s="2244"/>
      <c r="D1501" s="2245"/>
      <c r="E1501" s="2244"/>
      <c r="F1501" s="2246"/>
      <c r="G1501" s="2244"/>
      <c r="H1501" s="2100"/>
      <c r="I1501" s="2238"/>
      <c r="J1501" s="2100"/>
    </row>
    <row r="1502" spans="1:10" ht="14.25" hidden="1" x14ac:dyDescent="0.2">
      <c r="A1502" s="2236" t="s">
        <v>5603</v>
      </c>
      <c r="B1502" s="2243" t="s">
        <v>6586</v>
      </c>
      <c r="C1502" s="2244">
        <f>'[2]Data File'!$C$1457</f>
        <v>0</v>
      </c>
      <c r="D1502" s="2245">
        <v>10769.69</v>
      </c>
      <c r="E1502" s="2244">
        <v>0</v>
      </c>
      <c r="F1502" s="2246">
        <v>0</v>
      </c>
      <c r="G1502" s="2244">
        <v>2702.85</v>
      </c>
      <c r="H1502" s="2100">
        <v>0</v>
      </c>
      <c r="I1502" s="2238">
        <f>VLOOKUP(A1502,'Trial Balance - FPer'!$A$7:$I$1107,7,FALSE)</f>
        <v>0</v>
      </c>
      <c r="J1502" s="2100" t="str">
        <f>VLOOKUP(A1502,'Trial Balance - FPer'!$A$7:$I$1126,3,FALSE)</f>
        <v xml:space="preserve">                               -  </v>
      </c>
    </row>
    <row r="1503" spans="1:10" ht="14.25" hidden="1" x14ac:dyDescent="0.2">
      <c r="A1503" s="2236"/>
      <c r="B1503" s="2243" t="s">
        <v>693</v>
      </c>
      <c r="C1503" s="2244"/>
      <c r="D1503" s="2245"/>
      <c r="E1503" s="2244"/>
      <c r="F1503" s="2246"/>
      <c r="G1503" s="2244"/>
      <c r="H1503" s="2100"/>
      <c r="I1503" s="2238"/>
      <c r="J1503" s="2100"/>
    </row>
    <row r="1504" spans="1:10" ht="14.25" hidden="1" x14ac:dyDescent="0.2">
      <c r="A1504" s="2236" t="s">
        <v>5604</v>
      </c>
      <c r="B1504" s="2243" t="s">
        <v>6586</v>
      </c>
      <c r="C1504" s="2244">
        <f>'[2]Data File'!$C$1523</f>
        <v>0</v>
      </c>
      <c r="D1504" s="2245">
        <v>2640.06</v>
      </c>
      <c r="E1504" s="2244">
        <v>0</v>
      </c>
      <c r="F1504" s="2246">
        <v>0</v>
      </c>
      <c r="G1504" s="2244">
        <v>663.03</v>
      </c>
      <c r="H1504" s="2100">
        <v>0</v>
      </c>
      <c r="I1504" s="2238">
        <f>VLOOKUP(A1504,'Trial Balance - FPer'!$A$7:$I$1107,7,FALSE)</f>
        <v>0</v>
      </c>
      <c r="J1504" s="2100" t="str">
        <f>VLOOKUP(A1504,'Trial Balance - FPer'!$A$7:$I$1126,3,FALSE)</f>
        <v xml:space="preserve">                               -  </v>
      </c>
    </row>
    <row r="1505" spans="1:10" ht="14.25" hidden="1" x14ac:dyDescent="0.2">
      <c r="A1505" s="2236"/>
      <c r="B1505" s="2243" t="s">
        <v>6800</v>
      </c>
      <c r="C1505" s="2244"/>
      <c r="D1505" s="2245"/>
      <c r="E1505" s="2244"/>
      <c r="F1505" s="2246"/>
      <c r="G1505" s="2244"/>
      <c r="H1505" s="2100"/>
      <c r="I1505" s="2238"/>
      <c r="J1505" s="2100"/>
    </row>
    <row r="1506" spans="1:10" ht="14.25" hidden="1" x14ac:dyDescent="0.2">
      <c r="A1506" s="2236" t="s">
        <v>5605</v>
      </c>
      <c r="B1506" s="2243" t="s">
        <v>6587</v>
      </c>
      <c r="C1506" s="2244">
        <f>'[2]Data File'!$C$1445</f>
        <v>50259.199999999997</v>
      </c>
      <c r="D1506" s="2245">
        <v>70191.08</v>
      </c>
      <c r="E1506" s="2244">
        <v>24976.799999999999</v>
      </c>
      <c r="F1506" s="2246">
        <v>51606</v>
      </c>
      <c r="G1506" s="2244">
        <v>55180.31</v>
      </c>
      <c r="H1506" s="2100">
        <v>29415</v>
      </c>
      <c r="I1506" s="2238">
        <f>VLOOKUP(A1506,'Trial Balance - FPer'!$A$7:$I$1107,7,FALSE)</f>
        <v>52092</v>
      </c>
      <c r="J1506" s="2100">
        <f>VLOOKUP(A1506,'Trial Balance - FPer'!$A$7:$I$1126,3,FALSE)</f>
        <v>50259.199999999997</v>
      </c>
    </row>
    <row r="1507" spans="1:10" ht="14.25" hidden="1" x14ac:dyDescent="0.2">
      <c r="A1507" s="2236"/>
      <c r="B1507" s="2243" t="s">
        <v>693</v>
      </c>
      <c r="C1507" s="2244"/>
      <c r="D1507" s="2245"/>
      <c r="E1507" s="2244"/>
      <c r="F1507" s="2246"/>
      <c r="G1507" s="2244"/>
      <c r="H1507" s="2100"/>
      <c r="I1507" s="2238"/>
      <c r="J1507" s="2100"/>
    </row>
    <row r="1508" spans="1:10" ht="14.25" hidden="1" x14ac:dyDescent="0.2">
      <c r="A1508" s="2236" t="s">
        <v>5606</v>
      </c>
      <c r="B1508" s="2243" t="s">
        <v>6587</v>
      </c>
      <c r="C1508" s="2244">
        <f>'[2]Data File'!$C$1512</f>
        <v>9770.4</v>
      </c>
      <c r="D1508" s="2245">
        <v>12519.88</v>
      </c>
      <c r="E1508" s="2244">
        <v>3877.2</v>
      </c>
      <c r="F1508" s="2246">
        <v>7930.8</v>
      </c>
      <c r="G1508" s="2244">
        <v>8975.0499999999993</v>
      </c>
      <c r="H1508" s="2100">
        <v>4552.8</v>
      </c>
      <c r="I1508" s="2238">
        <f>VLOOKUP(A1508,'Trial Balance - FPer'!$A$7:$I$1107,7,FALSE)</f>
        <v>7930.8</v>
      </c>
      <c r="J1508" s="2100">
        <f>VLOOKUP(A1508,'Trial Balance - FPer'!$A$7:$I$1126,3,FALSE)</f>
        <v>9770.4</v>
      </c>
    </row>
    <row r="1509" spans="1:10" ht="14.25" hidden="1" x14ac:dyDescent="0.2">
      <c r="A1509" s="2236"/>
      <c r="B1509" s="2243" t="s">
        <v>6800</v>
      </c>
      <c r="C1509" s="2244"/>
      <c r="D1509" s="2245"/>
      <c r="E1509" s="2244"/>
      <c r="F1509" s="2246"/>
      <c r="G1509" s="2244"/>
      <c r="H1509" s="2100"/>
      <c r="I1509" s="2238"/>
      <c r="J1509" s="2100"/>
    </row>
    <row r="1510" spans="1:10" ht="14.25" hidden="1" x14ac:dyDescent="0.2">
      <c r="A1510" s="2236" t="s">
        <v>5607</v>
      </c>
      <c r="B1510" s="2243" t="s">
        <v>6013</v>
      </c>
      <c r="C1510" s="2244">
        <f>'[2]Data File'!$C$1446</f>
        <v>125638.99</v>
      </c>
      <c r="D1510" s="2245">
        <v>157675.78</v>
      </c>
      <c r="E1510" s="2244">
        <v>64360.68</v>
      </c>
      <c r="F1510" s="2246">
        <v>141008.57999999999</v>
      </c>
      <c r="G1510" s="2244">
        <v>136374.79</v>
      </c>
      <c r="H1510" s="2100">
        <v>77135.33</v>
      </c>
      <c r="I1510" s="2238">
        <f>VLOOKUP(A1510,'Trial Balance - FPer'!$A$7:$I$1107,7,FALSE)</f>
        <v>135306.48000000001</v>
      </c>
      <c r="J1510" s="2100">
        <f>VLOOKUP(A1510,'Trial Balance - FPer'!$A$7:$I$1126,3,FALSE)</f>
        <v>125638.99</v>
      </c>
    </row>
    <row r="1511" spans="1:10" ht="14.25" hidden="1" x14ac:dyDescent="0.2">
      <c r="A1511" s="2236"/>
      <c r="B1511" s="2243" t="s">
        <v>693</v>
      </c>
      <c r="C1511" s="2244"/>
      <c r="D1511" s="2245"/>
      <c r="E1511" s="2244"/>
      <c r="F1511" s="2246"/>
      <c r="G1511" s="2244"/>
      <c r="H1511" s="2100"/>
      <c r="I1511" s="2238"/>
      <c r="J1511" s="2100"/>
    </row>
    <row r="1512" spans="1:10" ht="14.25" hidden="1" x14ac:dyDescent="0.2">
      <c r="A1512" s="2236" t="s">
        <v>5608</v>
      </c>
      <c r="B1512" s="2243" t="s">
        <v>6013</v>
      </c>
      <c r="C1512" s="2244">
        <f>'[2]Data File'!$C$1513</f>
        <v>57405.66</v>
      </c>
      <c r="D1512" s="2245">
        <v>74386.13</v>
      </c>
      <c r="E1512" s="2244">
        <v>28749.54</v>
      </c>
      <c r="F1512" s="2246">
        <v>58347.24</v>
      </c>
      <c r="G1512" s="2244">
        <v>61909.35</v>
      </c>
      <c r="H1512" s="2100">
        <v>33682.49</v>
      </c>
      <c r="I1512" s="2238">
        <f>VLOOKUP(A1512,'Trial Balance - FPer'!$A$7:$I$1107,7,FALSE)</f>
        <v>57442.1</v>
      </c>
      <c r="J1512" s="2100">
        <f>VLOOKUP(A1512,'Trial Balance - FPer'!$A$7:$I$1126,3,FALSE)</f>
        <v>57405.66</v>
      </c>
    </row>
    <row r="1513" spans="1:10" ht="14.25" hidden="1" x14ac:dyDescent="0.2">
      <c r="A1513" s="2236"/>
      <c r="B1513" s="2243" t="s">
        <v>6800</v>
      </c>
      <c r="C1513" s="2244"/>
      <c r="D1513" s="2245"/>
      <c r="E1513" s="2244"/>
      <c r="F1513" s="2246"/>
      <c r="G1513" s="2244"/>
      <c r="H1513" s="2100"/>
      <c r="I1513" s="2238"/>
      <c r="J1513" s="2100"/>
    </row>
    <row r="1514" spans="1:10" ht="14.25" hidden="1" x14ac:dyDescent="0.2">
      <c r="A1514" s="2236" t="s">
        <v>5609</v>
      </c>
      <c r="B1514" s="2243" t="s">
        <v>6014</v>
      </c>
      <c r="C1514" s="2244">
        <f>'[2]Data File'!$C$1447</f>
        <v>8418.5499999999993</v>
      </c>
      <c r="D1514" s="2245">
        <v>10700.56</v>
      </c>
      <c r="E1514" s="2244">
        <v>4056.42</v>
      </c>
      <c r="F1514" s="2246">
        <v>10700.56</v>
      </c>
      <c r="G1514" s="2244">
        <v>8787.5</v>
      </c>
      <c r="H1514" s="2100">
        <v>4887.72</v>
      </c>
      <c r="I1514" s="2238">
        <f>VLOOKUP(A1514,'Trial Balance - FPer'!$A$7:$I$1107,7,FALSE)</f>
        <v>8756.4</v>
      </c>
      <c r="J1514" s="2100">
        <f>VLOOKUP(A1514,'Trial Balance - FPer'!$A$7:$I$1126,3,FALSE)</f>
        <v>8418.5499999999993</v>
      </c>
    </row>
    <row r="1515" spans="1:10" ht="14.25" hidden="1" x14ac:dyDescent="0.2">
      <c r="A1515" s="2236"/>
      <c r="B1515" s="2243" t="s">
        <v>693</v>
      </c>
      <c r="C1515" s="2244"/>
      <c r="D1515" s="2245"/>
      <c r="E1515" s="2244"/>
      <c r="F1515" s="2246"/>
      <c r="G1515" s="2244"/>
      <c r="H1515" s="2100"/>
      <c r="I1515" s="2238"/>
      <c r="J1515" s="2100"/>
    </row>
    <row r="1516" spans="1:10" ht="14.25" hidden="1" x14ac:dyDescent="0.2">
      <c r="A1516" s="2236" t="s">
        <v>5610</v>
      </c>
      <c r="B1516" s="2243" t="s">
        <v>6014</v>
      </c>
      <c r="C1516" s="2244">
        <f>'[2]Data File'!$C$1514</f>
        <v>3411.43</v>
      </c>
      <c r="D1516" s="2245">
        <v>5090.82</v>
      </c>
      <c r="E1516" s="2244">
        <v>1690.94</v>
      </c>
      <c r="F1516" s="2246">
        <v>5090.82</v>
      </c>
      <c r="G1516" s="2244">
        <v>3817.69</v>
      </c>
      <c r="H1516" s="2100">
        <v>1946.22</v>
      </c>
      <c r="I1516" s="2238">
        <f>VLOOKUP(A1516,'Trial Balance - FPer'!$A$7:$I$1107,7,FALSE)</f>
        <v>3229.3</v>
      </c>
      <c r="J1516" s="2100">
        <f>VLOOKUP(A1516,'Trial Balance - FPer'!$A$7:$I$1126,3,FALSE)</f>
        <v>3411.43</v>
      </c>
    </row>
    <row r="1517" spans="1:10" ht="14.25" hidden="1" x14ac:dyDescent="0.2">
      <c r="A1517" s="2236"/>
      <c r="B1517" s="2247" t="s">
        <v>6800</v>
      </c>
      <c r="C1517" s="2248"/>
      <c r="D1517" s="2249"/>
      <c r="E1517" s="2248"/>
      <c r="F1517" s="2250"/>
      <c r="G1517" s="2248"/>
      <c r="H1517" s="2244"/>
      <c r="I1517" s="2238"/>
      <c r="J1517" s="2100"/>
    </row>
    <row r="1518" spans="1:10" s="2615" customFormat="1" hidden="1" x14ac:dyDescent="0.2">
      <c r="A1518" s="2612"/>
      <c r="B1518" s="2613" t="s">
        <v>6588</v>
      </c>
      <c r="C1518" s="2614">
        <f>SUM(C1470:C1517)</f>
        <v>1162580.19</v>
      </c>
      <c r="D1518" s="2614">
        <f>SUM(D1470:D1517)</f>
        <v>1977880.7300000002</v>
      </c>
      <c r="E1518" s="2614">
        <f>SUM(E1470:E1517)</f>
        <v>728343.31000000017</v>
      </c>
      <c r="F1518" s="2614">
        <f>SUM(F1470:F1517)</f>
        <v>1592717.8200000003</v>
      </c>
      <c r="G1518" s="2614">
        <f>SUM(G1470:G1517)</f>
        <v>1591884.21</v>
      </c>
      <c r="H1518" s="2614">
        <f t="shared" ref="H1518" si="157">SUM(H1470:H1517)</f>
        <v>873710.93999999971</v>
      </c>
      <c r="I1518" s="2614">
        <f>SUM(I1470:I1517)</f>
        <v>1506907.5400000003</v>
      </c>
      <c r="J1518" s="2614">
        <f>SUM(J1470:J1517)</f>
        <v>1162580.19</v>
      </c>
    </row>
    <row r="1519" spans="1:10" ht="14.25" hidden="1" x14ac:dyDescent="0.2">
      <c r="A1519" s="2236"/>
      <c r="B1519" s="2243"/>
      <c r="C1519" s="2244"/>
      <c r="D1519" s="2245"/>
      <c r="E1519" s="2244"/>
      <c r="F1519" s="2246"/>
      <c r="G1519" s="2244"/>
      <c r="H1519" s="2244"/>
      <c r="I1519" s="2238" t="e">
        <f>VLOOKUP(A1519,'Trial Balance - FPer'!$A$7:$I$1107,7,FALSE)</f>
        <v>#N/A</v>
      </c>
      <c r="J1519" s="2100" t="e">
        <f>VLOOKUP(A1519,'Trial Balance - FPer'!$A$7:$I$1126,3,FALSE)</f>
        <v>#N/A</v>
      </c>
    </row>
    <row r="1520" spans="1:10" ht="14.25" hidden="1" x14ac:dyDescent="0.2">
      <c r="A1520" s="2236"/>
      <c r="B1520" s="2242" t="s">
        <v>6802</v>
      </c>
      <c r="C1520" s="2244"/>
      <c r="D1520" s="2245"/>
      <c r="E1520" s="2244"/>
      <c r="F1520" s="2246"/>
      <c r="G1520" s="2244"/>
      <c r="H1520" s="2244"/>
      <c r="I1520" s="2238" t="e">
        <f>VLOOKUP(A1520,'Trial Balance - FPer'!$A$7:$I$1107,7,FALSE)</f>
        <v>#N/A</v>
      </c>
      <c r="J1520" s="2100"/>
    </row>
    <row r="1521" spans="1:10" ht="14.25" hidden="1" x14ac:dyDescent="0.2">
      <c r="A1521" s="2236" t="s">
        <v>5611</v>
      </c>
      <c r="B1521" s="2243" t="s">
        <v>6760</v>
      </c>
      <c r="C1521" s="2244">
        <v>0</v>
      </c>
      <c r="D1521" s="2245">
        <v>0</v>
      </c>
      <c r="E1521" s="2244">
        <v>0</v>
      </c>
      <c r="F1521" s="2246">
        <v>0</v>
      </c>
      <c r="G1521" s="2244">
        <v>0</v>
      </c>
      <c r="H1521" s="2244"/>
      <c r="I1521" s="2238">
        <f>VLOOKUP(A1521,'Trial Balance - FPer'!$A$7:$I$1107,7,FALSE)</f>
        <v>1486936.5</v>
      </c>
      <c r="J1521" s="2100">
        <f>VLOOKUP(A1521,'Trial Balance - FPer'!$A$7:$I$1126,3,FALSE)</f>
        <v>1357259.82</v>
      </c>
    </row>
    <row r="1522" spans="1:10" ht="14.25" hidden="1" x14ac:dyDescent="0.2">
      <c r="A1522" s="2236"/>
      <c r="B1522" s="2247" t="s">
        <v>693</v>
      </c>
      <c r="C1522" s="2248"/>
      <c r="D1522" s="2249"/>
      <c r="E1522" s="2248"/>
      <c r="F1522" s="2250"/>
      <c r="G1522" s="2248"/>
      <c r="H1522" s="2244"/>
      <c r="I1522" s="2238"/>
      <c r="J1522" s="2100"/>
    </row>
    <row r="1523" spans="1:10" s="2615" customFormat="1" hidden="1" x14ac:dyDescent="0.2">
      <c r="A1523" s="2612"/>
      <c r="B1523" s="2613" t="s">
        <v>6803</v>
      </c>
      <c r="C1523" s="2614">
        <f>SUM(C1521:C1522)</f>
        <v>0</v>
      </c>
      <c r="D1523" s="2614">
        <f>SUM(D1521:D1522)</f>
        <v>0</v>
      </c>
      <c r="E1523" s="2614">
        <f>SUM(E1521:E1522)</f>
        <v>0</v>
      </c>
      <c r="F1523" s="2614">
        <f>SUM(F1521:F1522)</f>
        <v>0</v>
      </c>
      <c r="G1523" s="2614">
        <f>SUM(G1521:G1522)</f>
        <v>0</v>
      </c>
      <c r="H1523" s="2614">
        <f t="shared" ref="H1523" si="158">SUM(H1521:H1522)</f>
        <v>0</v>
      </c>
      <c r="I1523" s="2614">
        <f>SUM(I1521:I1522)</f>
        <v>1486936.5</v>
      </c>
      <c r="J1523" s="2614">
        <f>SUM(J1521:J1522)</f>
        <v>1357259.82</v>
      </c>
    </row>
    <row r="1524" spans="1:10" ht="14.25" hidden="1" x14ac:dyDescent="0.2">
      <c r="A1524" s="2236"/>
      <c r="B1524" s="2243"/>
      <c r="C1524" s="2244"/>
      <c r="D1524" s="2245"/>
      <c r="E1524" s="2244"/>
      <c r="F1524" s="2246"/>
      <c r="G1524" s="2244"/>
      <c r="H1524" s="2244"/>
      <c r="I1524" s="2238" t="e">
        <f>VLOOKUP(A1524,'Trial Balance - FPer'!$A$7:$I$1107,7,FALSE)</f>
        <v>#N/A</v>
      </c>
      <c r="J1524" s="2100" t="e">
        <f>VLOOKUP(A1524,'Trial Balance - FPer'!$A$7:$I$1126,3,FALSE)</f>
        <v>#N/A</v>
      </c>
    </row>
    <row r="1525" spans="1:10" ht="14.25" hidden="1" x14ac:dyDescent="0.2">
      <c r="A1525" s="2236"/>
      <c r="B1525" s="2242" t="s">
        <v>6599</v>
      </c>
      <c r="C1525" s="2244"/>
      <c r="D1525" s="2245"/>
      <c r="E1525" s="2244"/>
      <c r="F1525" s="2246"/>
      <c r="G1525" s="2244"/>
      <c r="H1525" s="2244"/>
      <c r="I1525" s="2238"/>
      <c r="J1525" s="2100"/>
    </row>
    <row r="1526" spans="1:10" ht="14.25" hidden="1" x14ac:dyDescent="0.2">
      <c r="A1526" s="2236" t="s">
        <v>5612</v>
      </c>
      <c r="B1526" s="2243" t="s">
        <v>6104</v>
      </c>
      <c r="C1526" s="2244">
        <v>0</v>
      </c>
      <c r="D1526" s="2245">
        <v>0</v>
      </c>
      <c r="E1526" s="2244">
        <v>0</v>
      </c>
      <c r="F1526" s="2246">
        <v>0</v>
      </c>
      <c r="G1526" s="2244">
        <v>0</v>
      </c>
      <c r="H1526" s="2100">
        <v>0</v>
      </c>
      <c r="I1526" s="2238">
        <f>VLOOKUP(A1526,'Trial Balance - FPer'!$A$7:$I$1107,7,FALSE)</f>
        <v>0</v>
      </c>
      <c r="J1526" s="2100">
        <f>VLOOKUP(A1526,'Trial Balance - FPer'!$A$7:$I$1126,3,FALSE)</f>
        <v>0</v>
      </c>
    </row>
    <row r="1527" spans="1:10" ht="14.25" hidden="1" x14ac:dyDescent="0.2">
      <c r="A1527" s="2236"/>
      <c r="B1527" s="2243" t="s">
        <v>693</v>
      </c>
      <c r="C1527" s="2244"/>
      <c r="D1527" s="2245"/>
      <c r="E1527" s="2244"/>
      <c r="F1527" s="2246"/>
      <c r="G1527" s="2244"/>
      <c r="H1527" s="2100"/>
      <c r="I1527" s="2238"/>
      <c r="J1527" s="2100"/>
    </row>
    <row r="1528" spans="1:10" ht="14.25" hidden="1" x14ac:dyDescent="0.2">
      <c r="A1528" s="2236" t="s">
        <v>5613</v>
      </c>
      <c r="B1528" s="2243" t="s">
        <v>6601</v>
      </c>
      <c r="C1528" s="2244">
        <f>'[2]Data File'!$C$1463</f>
        <v>0</v>
      </c>
      <c r="D1528" s="2245">
        <v>0</v>
      </c>
      <c r="E1528" s="2244">
        <v>0</v>
      </c>
      <c r="F1528" s="2246">
        <v>0</v>
      </c>
      <c r="G1528" s="2244">
        <v>0</v>
      </c>
      <c r="H1528" s="2100">
        <v>0</v>
      </c>
      <c r="I1528" s="2238">
        <f>VLOOKUP(A1528,'Trial Balance - FPer'!$A$7:$I$1107,7,FALSE)</f>
        <v>0</v>
      </c>
      <c r="J1528" s="2100">
        <f>VLOOKUP(A1528,'Trial Balance - FPer'!$A$7:$I$1126,3,FALSE)</f>
        <v>0</v>
      </c>
    </row>
    <row r="1529" spans="1:10" ht="14.25" hidden="1" x14ac:dyDescent="0.2">
      <c r="A1529" s="2236"/>
      <c r="B1529" s="2243" t="s">
        <v>693</v>
      </c>
      <c r="C1529" s="2244"/>
      <c r="D1529" s="2245"/>
      <c r="E1529" s="2244"/>
      <c r="F1529" s="2246"/>
      <c r="G1529" s="2244"/>
      <c r="H1529" s="2100"/>
      <c r="I1529" s="2238"/>
      <c r="J1529" s="2100"/>
    </row>
    <row r="1530" spans="1:10" ht="14.25" hidden="1" x14ac:dyDescent="0.2">
      <c r="A1530" s="2236" t="s">
        <v>5614</v>
      </c>
      <c r="B1530" s="2243" t="s">
        <v>6692</v>
      </c>
      <c r="C1530" s="2244">
        <v>0</v>
      </c>
      <c r="D1530" s="2245">
        <v>0</v>
      </c>
      <c r="E1530" s="2244">
        <v>0</v>
      </c>
      <c r="F1530" s="2246">
        <v>0</v>
      </c>
      <c r="G1530" s="2244">
        <v>0</v>
      </c>
      <c r="H1530" s="2100">
        <v>0</v>
      </c>
      <c r="I1530" s="2238">
        <f>VLOOKUP(A1530,'Trial Balance - FPer'!$A$7:$I$1107,7,FALSE)</f>
        <v>0</v>
      </c>
      <c r="J1530" s="2100">
        <f>VLOOKUP(A1530,'Trial Balance - FPer'!$A$7:$I$1126,3,FALSE)</f>
        <v>0</v>
      </c>
    </row>
    <row r="1531" spans="1:10" ht="14.25" hidden="1" x14ac:dyDescent="0.2">
      <c r="A1531" s="2236"/>
      <c r="B1531" s="2243" t="s">
        <v>693</v>
      </c>
      <c r="C1531" s="2244"/>
      <c r="D1531" s="2245"/>
      <c r="E1531" s="2244"/>
      <c r="F1531" s="2246"/>
      <c r="G1531" s="2244"/>
      <c r="H1531" s="2100"/>
      <c r="I1531" s="2238"/>
      <c r="J1531" s="2100"/>
    </row>
    <row r="1532" spans="1:10" ht="14.25" hidden="1" x14ac:dyDescent="0.2">
      <c r="A1532" s="2236" t="s">
        <v>5615</v>
      </c>
      <c r="B1532" s="2243" t="s">
        <v>6608</v>
      </c>
      <c r="C1532" s="2244">
        <f>'[2]Data File'!$C$1465</f>
        <v>0</v>
      </c>
      <c r="D1532" s="2245">
        <v>0</v>
      </c>
      <c r="E1532" s="2244">
        <v>0</v>
      </c>
      <c r="F1532" s="2246">
        <v>0</v>
      </c>
      <c r="G1532" s="2244">
        <v>0</v>
      </c>
      <c r="H1532" s="2100">
        <v>0</v>
      </c>
      <c r="I1532" s="2238">
        <f>VLOOKUP(A1532,'Trial Balance - FPer'!$A$7:$I$1107,7,FALSE)</f>
        <v>0</v>
      </c>
      <c r="J1532" s="2100">
        <f>VLOOKUP(A1532,'Trial Balance - FPer'!$A$7:$I$1126,3,FALSE)</f>
        <v>0</v>
      </c>
    </row>
    <row r="1533" spans="1:10" ht="14.25" hidden="1" x14ac:dyDescent="0.2">
      <c r="A1533" s="2236"/>
      <c r="B1533" s="2243" t="s">
        <v>693</v>
      </c>
      <c r="C1533" s="2244"/>
      <c r="D1533" s="2245"/>
      <c r="E1533" s="2244"/>
      <c r="F1533" s="2246"/>
      <c r="G1533" s="2244"/>
      <c r="H1533" s="2100"/>
      <c r="I1533" s="2238"/>
      <c r="J1533" s="2100"/>
    </row>
    <row r="1534" spans="1:10" ht="14.25" hidden="1" x14ac:dyDescent="0.2">
      <c r="A1534" s="2236" t="s">
        <v>5616</v>
      </c>
      <c r="B1534" s="2243" t="s">
        <v>6028</v>
      </c>
      <c r="C1534" s="2244">
        <f>'[2]Data File'!$C$1462</f>
        <v>0</v>
      </c>
      <c r="D1534" s="2245">
        <v>0</v>
      </c>
      <c r="E1534" s="2244">
        <v>0</v>
      </c>
      <c r="F1534" s="2246">
        <v>0</v>
      </c>
      <c r="G1534" s="2244">
        <v>0</v>
      </c>
      <c r="H1534" s="2100">
        <v>0</v>
      </c>
      <c r="I1534" s="2238">
        <f>VLOOKUP(A1534,'Trial Balance - FPer'!$A$7:$I$1107,7,FALSE)</f>
        <v>0</v>
      </c>
      <c r="J1534" s="2100">
        <f>VLOOKUP(A1534,'Trial Balance - FPer'!$A$7:$I$1126,3,FALSE)</f>
        <v>0</v>
      </c>
    </row>
    <row r="1535" spans="1:10" ht="14.25" hidden="1" x14ac:dyDescent="0.2">
      <c r="A1535" s="2236"/>
      <c r="B1535" s="2243" t="s">
        <v>693</v>
      </c>
      <c r="C1535" s="2244"/>
      <c r="D1535" s="2245"/>
      <c r="E1535" s="2244"/>
      <c r="F1535" s="2246"/>
      <c r="G1535" s="2244"/>
      <c r="H1535" s="2100"/>
      <c r="I1535" s="2238"/>
      <c r="J1535" s="2100"/>
    </row>
    <row r="1536" spans="1:10" ht="14.25" hidden="1" x14ac:dyDescent="0.2">
      <c r="A1536" s="2236" t="s">
        <v>5617</v>
      </c>
      <c r="B1536" s="2243" t="s">
        <v>6609</v>
      </c>
      <c r="C1536" s="2244">
        <f>'[2]Data File'!$C$1464</f>
        <v>0</v>
      </c>
      <c r="D1536" s="2245">
        <v>412.57</v>
      </c>
      <c r="E1536" s="2244">
        <v>15473.84</v>
      </c>
      <c r="F1536" s="2246">
        <v>50000</v>
      </c>
      <c r="G1536" s="2244">
        <v>23488.37</v>
      </c>
      <c r="H1536" s="2100">
        <v>25014.75</v>
      </c>
      <c r="I1536" s="2238">
        <f>VLOOKUP(A1536,'Trial Balance - FPer'!$A$7:$I$1107,7,FALSE)</f>
        <v>25014.75</v>
      </c>
      <c r="J1536" s="2100" t="str">
        <f>VLOOKUP(A1536,'Trial Balance - FPer'!$A$7:$I$1126,3,FALSE)</f>
        <v xml:space="preserve">                               -  </v>
      </c>
    </row>
    <row r="1537" spans="1:10" ht="14.25" hidden="1" x14ac:dyDescent="0.2">
      <c r="A1537" s="2236"/>
      <c r="B1537" s="2243" t="s">
        <v>693</v>
      </c>
      <c r="C1537" s="2244"/>
      <c r="D1537" s="2245"/>
      <c r="E1537" s="2244"/>
      <c r="F1537" s="2246"/>
      <c r="G1537" s="2244"/>
      <c r="H1537" s="2100"/>
      <c r="I1537" s="2238"/>
      <c r="J1537" s="2100"/>
    </row>
    <row r="1538" spans="1:10" ht="14.25" hidden="1" x14ac:dyDescent="0.2">
      <c r="A1538" s="2236" t="s">
        <v>5618</v>
      </c>
      <c r="B1538" s="2243" t="s">
        <v>6732</v>
      </c>
      <c r="C1538" s="2244">
        <f>'[2]Data File'!$C$1466</f>
        <v>0</v>
      </c>
      <c r="D1538" s="2245">
        <v>0</v>
      </c>
      <c r="E1538" s="2244">
        <v>0</v>
      </c>
      <c r="F1538" s="2246">
        <v>0</v>
      </c>
      <c r="G1538" s="2244">
        <v>0</v>
      </c>
      <c r="H1538" s="2100">
        <v>0</v>
      </c>
      <c r="I1538" s="2238">
        <f>VLOOKUP(A1538,'Trial Balance - FPer'!$A$7:$I$1107,7,FALSE)</f>
        <v>0</v>
      </c>
      <c r="J1538" s="2100">
        <f>VLOOKUP(A1538,'Trial Balance - FPer'!$A$7:$I$1126,3,FALSE)</f>
        <v>0</v>
      </c>
    </row>
    <row r="1539" spans="1:10" ht="14.25" hidden="1" x14ac:dyDescent="0.2">
      <c r="A1539" s="2236"/>
      <c r="B1539" s="2243" t="s">
        <v>693</v>
      </c>
      <c r="C1539" s="2244"/>
      <c r="D1539" s="2245"/>
      <c r="E1539" s="2244"/>
      <c r="F1539" s="2246"/>
      <c r="G1539" s="2244"/>
      <c r="H1539" s="2100"/>
      <c r="I1539" s="2238"/>
      <c r="J1539" s="2100"/>
    </row>
    <row r="1540" spans="1:10" ht="14.25" hidden="1" x14ac:dyDescent="0.2">
      <c r="A1540" s="2236" t="s">
        <v>5619</v>
      </c>
      <c r="B1540" s="2243" t="s">
        <v>6612</v>
      </c>
      <c r="C1540" s="2244">
        <f>'[2]Data File'!$C$1467</f>
        <v>0</v>
      </c>
      <c r="D1540" s="2245">
        <v>2266.88</v>
      </c>
      <c r="E1540" s="2244">
        <v>0</v>
      </c>
      <c r="F1540" s="2246">
        <v>0</v>
      </c>
      <c r="G1540" s="2244">
        <v>569.44000000000005</v>
      </c>
      <c r="H1540" s="2100">
        <v>0</v>
      </c>
      <c r="I1540" s="2238">
        <f>VLOOKUP(A1540,'Trial Balance - FPer'!$A$7:$I$1107,7,FALSE)</f>
        <v>0</v>
      </c>
      <c r="J1540" s="2100">
        <f>VLOOKUP(A1540,'Trial Balance - FPer'!$A$7:$I$1126,3,FALSE)</f>
        <v>0</v>
      </c>
    </row>
    <row r="1541" spans="1:10" ht="14.25" hidden="1" x14ac:dyDescent="0.2">
      <c r="A1541" s="2236"/>
      <c r="B1541" s="2243" t="s">
        <v>693</v>
      </c>
      <c r="C1541" s="2244"/>
      <c r="D1541" s="2245"/>
      <c r="E1541" s="2244"/>
      <c r="F1541" s="2246"/>
      <c r="G1541" s="2244"/>
      <c r="H1541" s="2100"/>
      <c r="I1541" s="2238"/>
      <c r="J1541" s="2100"/>
    </row>
    <row r="1542" spans="1:10" ht="14.25" hidden="1" x14ac:dyDescent="0.2">
      <c r="A1542" s="2236" t="s">
        <v>5620</v>
      </c>
      <c r="B1542" s="2243" t="s">
        <v>6613</v>
      </c>
      <c r="C1542" s="2244">
        <f>'[2]Data File'!$C$1469</f>
        <v>7567.95</v>
      </c>
      <c r="D1542" s="2245">
        <v>7912.59</v>
      </c>
      <c r="E1542" s="2244">
        <v>0</v>
      </c>
      <c r="F1542" s="2246">
        <v>0</v>
      </c>
      <c r="G1542" s="2244">
        <v>1985.3</v>
      </c>
      <c r="H1542" s="2100">
        <v>0</v>
      </c>
      <c r="I1542" s="2238">
        <f>VLOOKUP(A1542,'Trial Balance - FPer'!$A$7:$I$1107,7,FALSE)</f>
        <v>0</v>
      </c>
      <c r="J1542" s="2100">
        <f>VLOOKUP(A1542,'Trial Balance - FPer'!$A$7:$I$1126,3,FALSE)</f>
        <v>7567.95</v>
      </c>
    </row>
    <row r="1543" spans="1:10" ht="14.25" hidden="1" x14ac:dyDescent="0.2">
      <c r="A1543" s="2236"/>
      <c r="B1543" s="2243" t="s">
        <v>693</v>
      </c>
      <c r="C1543" s="2244"/>
      <c r="D1543" s="2245"/>
      <c r="E1543" s="2244"/>
      <c r="F1543" s="2246"/>
      <c r="G1543" s="2244"/>
      <c r="H1543" s="2100"/>
      <c r="I1543" s="2238"/>
      <c r="J1543" s="2100"/>
    </row>
    <row r="1544" spans="1:10" ht="14.25" hidden="1" x14ac:dyDescent="0.2">
      <c r="A1544" s="2236" t="s">
        <v>5621</v>
      </c>
      <c r="B1544" s="2243" t="s">
        <v>6033</v>
      </c>
      <c r="C1544" s="2244">
        <f>'[2]Data File'!$C$1470</f>
        <v>25</v>
      </c>
      <c r="D1544" s="2245">
        <v>27.02</v>
      </c>
      <c r="E1544" s="2244">
        <v>0</v>
      </c>
      <c r="F1544" s="2246">
        <v>0</v>
      </c>
      <c r="G1544" s="2244">
        <v>7.51</v>
      </c>
      <c r="H1544" s="2100">
        <v>0</v>
      </c>
      <c r="I1544" s="2238">
        <f>VLOOKUP(A1544,'Trial Balance - FPer'!$A$7:$I$1107,7,FALSE)</f>
        <v>0</v>
      </c>
      <c r="J1544" s="2100">
        <f>VLOOKUP(A1544,'Trial Balance - FPer'!$A$7:$I$1126,3,FALSE)</f>
        <v>0</v>
      </c>
    </row>
    <row r="1545" spans="1:10" ht="14.25" hidden="1" x14ac:dyDescent="0.2">
      <c r="A1545" s="2236"/>
      <c r="B1545" s="2243" t="s">
        <v>693</v>
      </c>
      <c r="C1545" s="2244"/>
      <c r="D1545" s="2245"/>
      <c r="E1545" s="2244"/>
      <c r="F1545" s="2246"/>
      <c r="G1545" s="2244"/>
      <c r="H1545" s="2100"/>
      <c r="I1545" s="2238"/>
      <c r="J1545" s="2100"/>
    </row>
    <row r="1546" spans="1:10" ht="14.25" hidden="1" x14ac:dyDescent="0.2">
      <c r="A1546" s="2236" t="s">
        <v>5622</v>
      </c>
      <c r="B1546" s="2243" t="s">
        <v>6763</v>
      </c>
      <c r="C1546" s="2244">
        <f>'[2]Data File'!$C$1461</f>
        <v>0</v>
      </c>
      <c r="D1546" s="2245">
        <v>23585.67</v>
      </c>
      <c r="E1546" s="2244">
        <v>0</v>
      </c>
      <c r="F1546" s="2246">
        <v>0</v>
      </c>
      <c r="G1546" s="2244">
        <v>5918.84</v>
      </c>
      <c r="H1546" s="2100">
        <v>0</v>
      </c>
      <c r="I1546" s="2238">
        <f>VLOOKUP(A1546,'Trial Balance - FPer'!$A$7:$I$1107,7,FALSE)</f>
        <v>0</v>
      </c>
      <c r="J1546" s="2100" t="str">
        <f>VLOOKUP(A1546,'Trial Balance - FPer'!$A$7:$I$1126,3,FALSE)</f>
        <v xml:space="preserve">                               -  </v>
      </c>
    </row>
    <row r="1547" spans="1:10" ht="14.25" hidden="1" x14ac:dyDescent="0.2">
      <c r="A1547" s="2236"/>
      <c r="B1547" s="2243" t="s">
        <v>693</v>
      </c>
      <c r="C1547" s="2244"/>
      <c r="D1547" s="2245"/>
      <c r="E1547" s="2244"/>
      <c r="F1547" s="2246"/>
      <c r="G1547" s="2244"/>
      <c r="H1547" s="2100"/>
      <c r="I1547" s="2238"/>
      <c r="J1547" s="2100"/>
    </row>
    <row r="1548" spans="1:10" ht="14.25" hidden="1" x14ac:dyDescent="0.2">
      <c r="A1548" s="2236" t="s">
        <v>5623</v>
      </c>
      <c r="B1548" s="2243" t="s">
        <v>6804</v>
      </c>
      <c r="C1548" s="2244">
        <v>0</v>
      </c>
      <c r="D1548" s="2245">
        <v>0</v>
      </c>
      <c r="E1548" s="2244">
        <v>0</v>
      </c>
      <c r="F1548" s="2246">
        <v>0</v>
      </c>
      <c r="G1548" s="2244">
        <v>0</v>
      </c>
      <c r="H1548" s="2100">
        <v>0</v>
      </c>
      <c r="I1548" s="2238">
        <f>VLOOKUP(A1548,'Trial Balance - FPer'!$A$7:$I$1107,7,FALSE)</f>
        <v>14183362.850000001</v>
      </c>
      <c r="J1548" s="2100">
        <f>VLOOKUP(A1548,'Trial Balance - FPer'!$A$7:$I$1126,3,FALSE)</f>
        <v>0</v>
      </c>
    </row>
    <row r="1549" spans="1:10" ht="14.25" hidden="1" x14ac:dyDescent="0.2">
      <c r="A1549" s="2236"/>
      <c r="B1549" s="2243" t="s">
        <v>6800</v>
      </c>
      <c r="C1549" s="2244"/>
      <c r="D1549" s="2245"/>
      <c r="E1549" s="2244"/>
      <c r="F1549" s="2246"/>
      <c r="G1549" s="2244"/>
      <c r="H1549" s="2100"/>
      <c r="I1549" s="2238"/>
      <c r="J1549" s="2100"/>
    </row>
    <row r="1550" spans="1:10" ht="14.25" hidden="1" x14ac:dyDescent="0.2">
      <c r="A1550" s="2236" t="s">
        <v>5624</v>
      </c>
      <c r="B1550" s="2243" t="s">
        <v>6635</v>
      </c>
      <c r="C1550" s="2244">
        <v>0</v>
      </c>
      <c r="D1550" s="2245">
        <v>0</v>
      </c>
      <c r="E1550" s="2244">
        <v>0</v>
      </c>
      <c r="F1550" s="2246">
        <v>0</v>
      </c>
      <c r="G1550" s="2244">
        <v>0</v>
      </c>
      <c r="H1550" s="2100">
        <v>0</v>
      </c>
      <c r="I1550" s="2238"/>
      <c r="J1550" s="2100"/>
    </row>
    <row r="1551" spans="1:10" ht="14.25" hidden="1" x14ac:dyDescent="0.2">
      <c r="A1551" s="2236"/>
      <c r="B1551" s="2247" t="s">
        <v>693</v>
      </c>
      <c r="C1551" s="2248"/>
      <c r="D1551" s="2249"/>
      <c r="E1551" s="2248"/>
      <c r="F1551" s="2250"/>
      <c r="G1551" s="2248"/>
      <c r="H1551" s="2244"/>
      <c r="I1551" s="2238"/>
      <c r="J1551" s="2100"/>
    </row>
    <row r="1552" spans="1:10" s="2615" customFormat="1" hidden="1" x14ac:dyDescent="0.2">
      <c r="A1552" s="2612"/>
      <c r="B1552" s="2613" t="s">
        <v>6614</v>
      </c>
      <c r="C1552" s="2614">
        <f>SUM(C1526:C1551)</f>
        <v>7592.95</v>
      </c>
      <c r="D1552" s="2614">
        <f>SUM(D1526:D1551)</f>
        <v>34204.729999999996</v>
      </c>
      <c r="E1552" s="2614">
        <f>SUM(E1526:E1551)</f>
        <v>15473.84</v>
      </c>
      <c r="F1552" s="2614">
        <f>SUM(F1526:F1551)</f>
        <v>50000</v>
      </c>
      <c r="G1552" s="2614">
        <f>SUM(G1526:G1551)</f>
        <v>31969.459999999995</v>
      </c>
      <c r="H1552" s="2614">
        <f t="shared" ref="H1552" si="159">SUM(H1526:H1551)</f>
        <v>25014.75</v>
      </c>
      <c r="I1552" s="2614">
        <f>SUM(I1526:I1551)</f>
        <v>14208377.600000001</v>
      </c>
      <c r="J1552" s="2614">
        <f>SUM(J1526:J1551)</f>
        <v>7567.95</v>
      </c>
    </row>
    <row r="1553" spans="1:10" ht="14.25" hidden="1" x14ac:dyDescent="0.2">
      <c r="A1553" s="2236"/>
      <c r="B1553" s="2243"/>
      <c r="C1553" s="2244"/>
      <c r="D1553" s="2245"/>
      <c r="E1553" s="2244"/>
      <c r="F1553" s="2246"/>
      <c r="G1553" s="2244"/>
      <c r="H1553" s="2244"/>
      <c r="I1553" s="2238"/>
      <c r="J1553" s="2100" t="e">
        <f>VLOOKUP(A1553,'Trial Balance - FPer'!$A$7:$I$1126,3,FALSE)</f>
        <v>#N/A</v>
      </c>
    </row>
    <row r="1554" spans="1:10" ht="14.25" hidden="1" x14ac:dyDescent="0.2">
      <c r="A1554" s="2236"/>
      <c r="B1554" s="2242" t="s">
        <v>6615</v>
      </c>
      <c r="C1554" s="2244"/>
      <c r="D1554" s="2245"/>
      <c r="E1554" s="2244"/>
      <c r="F1554" s="2246"/>
      <c r="G1554" s="2244"/>
      <c r="H1554" s="2244"/>
      <c r="I1554" s="2238"/>
      <c r="J1554" s="2100"/>
    </row>
    <row r="1555" spans="1:10" ht="14.25" hidden="1" x14ac:dyDescent="0.2">
      <c r="A1555" s="2236" t="s">
        <v>5625</v>
      </c>
      <c r="B1555" s="2243" t="s">
        <v>6715</v>
      </c>
      <c r="C1555" s="2244">
        <f>'[2]Data File'!$C$1476</f>
        <v>0</v>
      </c>
      <c r="D1555" s="2245">
        <v>4138.5200000000004</v>
      </c>
      <c r="E1555" s="2244">
        <v>0</v>
      </c>
      <c r="F1555" s="2246">
        <v>0</v>
      </c>
      <c r="G1555" s="2244">
        <v>1040.26</v>
      </c>
      <c r="H1555" s="2100">
        <v>0</v>
      </c>
      <c r="I1555" s="2238">
        <f>VLOOKUP(A1555,'Trial Balance - FPer'!$A$7:$I$1107,7,FALSE)</f>
        <v>0</v>
      </c>
      <c r="J1555" s="2100" t="str">
        <f>VLOOKUP(A1555,'Trial Balance - FPer'!$A$7:$I$1126,3,FALSE)</f>
        <v xml:space="preserve">                               -  </v>
      </c>
    </row>
    <row r="1556" spans="1:10" ht="14.25" hidden="1" x14ac:dyDescent="0.2">
      <c r="A1556" s="2236"/>
      <c r="B1556" s="2243" t="s">
        <v>693</v>
      </c>
      <c r="C1556" s="2244"/>
      <c r="D1556" s="2245"/>
      <c r="E1556" s="2244"/>
      <c r="F1556" s="2246"/>
      <c r="G1556" s="2244"/>
      <c r="H1556" s="2100"/>
      <c r="I1556" s="2238"/>
      <c r="J1556" s="2100"/>
    </row>
    <row r="1557" spans="1:10" ht="14.25" hidden="1" x14ac:dyDescent="0.2">
      <c r="A1557" s="2236" t="s">
        <v>5626</v>
      </c>
      <c r="B1557" s="2243" t="s">
        <v>6715</v>
      </c>
      <c r="C1557" s="2244">
        <f>'[2]Data File'!$C$1533</f>
        <v>0</v>
      </c>
      <c r="D1557" s="2245">
        <v>8689.59</v>
      </c>
      <c r="E1557" s="2244">
        <v>2314.9699999999998</v>
      </c>
      <c r="F1557" s="2246">
        <v>8689.59</v>
      </c>
      <c r="G1557" s="2244">
        <v>5664.46</v>
      </c>
      <c r="H1557" s="2100">
        <v>2314.9699999999998</v>
      </c>
      <c r="I1557" s="2238">
        <f>VLOOKUP(A1557,'Trial Balance - FPer'!$A$7:$I$1107,7,FALSE)</f>
        <v>2027.9799999999998</v>
      </c>
      <c r="J1557" s="2100" t="str">
        <f>VLOOKUP(A1557,'Trial Balance - FPer'!$A$7:$I$1126,3,FALSE)</f>
        <v xml:space="preserve">                               -  </v>
      </c>
    </row>
    <row r="1558" spans="1:10" ht="14.25" hidden="1" x14ac:dyDescent="0.2">
      <c r="A1558" s="2236"/>
      <c r="B1558" s="2243" t="s">
        <v>6800</v>
      </c>
      <c r="C1558" s="2244"/>
      <c r="D1558" s="2245"/>
      <c r="E1558" s="2244"/>
      <c r="F1558" s="2246"/>
      <c r="G1558" s="2244"/>
      <c r="H1558" s="2100"/>
      <c r="I1558" s="2238"/>
      <c r="J1558" s="2100"/>
    </row>
    <row r="1559" spans="1:10" ht="14.25" hidden="1" x14ac:dyDescent="0.2">
      <c r="A1559" s="2236" t="s">
        <v>5627</v>
      </c>
      <c r="B1559" s="2243" t="s">
        <v>6700</v>
      </c>
      <c r="C1559" s="2244">
        <f>'[2]Data File'!$C$1477</f>
        <v>7307.89</v>
      </c>
      <c r="D1559" s="2245">
        <v>14875.65</v>
      </c>
      <c r="E1559" s="2244">
        <v>2880.14</v>
      </c>
      <c r="F1559" s="2246">
        <v>14875.65</v>
      </c>
      <c r="G1559" s="2244">
        <v>8064.29</v>
      </c>
      <c r="H1559" s="2100">
        <v>2880.14</v>
      </c>
      <c r="I1559" s="2238">
        <f>VLOOKUP(A1559,'Trial Balance - FPer'!$A$7:$I$1107,7,FALSE)</f>
        <v>4360.7700000000004</v>
      </c>
      <c r="J1559" s="2100">
        <f>VLOOKUP(A1559,'Trial Balance - FPer'!$A$7:$I$1126,3,FALSE)</f>
        <v>7307.89</v>
      </c>
    </row>
    <row r="1560" spans="1:10" ht="14.25" hidden="1" x14ac:dyDescent="0.2">
      <c r="A1560" s="2236"/>
      <c r="B1560" s="2243" t="s">
        <v>693</v>
      </c>
      <c r="C1560" s="2244"/>
      <c r="D1560" s="2245"/>
      <c r="E1560" s="2244"/>
      <c r="F1560" s="2246"/>
      <c r="G1560" s="2244"/>
      <c r="H1560" s="2100"/>
      <c r="I1560" s="2238"/>
      <c r="J1560" s="2100"/>
    </row>
    <row r="1561" spans="1:10" ht="14.25" hidden="1" x14ac:dyDescent="0.2">
      <c r="A1561" s="2236" t="s">
        <v>5628</v>
      </c>
      <c r="B1561" s="2243" t="s">
        <v>6700</v>
      </c>
      <c r="C1561" s="2244">
        <f>'[2]Data File'!$C$1534</f>
        <v>6.14</v>
      </c>
      <c r="D1561" s="2245">
        <v>13.51</v>
      </c>
      <c r="E1561" s="2244">
        <v>0</v>
      </c>
      <c r="F1561" s="2246">
        <v>0</v>
      </c>
      <c r="G1561" s="2244">
        <v>3.76</v>
      </c>
      <c r="H1561" s="2100">
        <v>0</v>
      </c>
      <c r="I1561" s="2238">
        <f>VLOOKUP(A1561,'Trial Balance - FPer'!$A$7:$I$1107,7,FALSE)</f>
        <v>0</v>
      </c>
      <c r="J1561" s="2100">
        <f>VLOOKUP(A1561,'Trial Balance - FPer'!$A$7:$I$1126,3,FALSE)</f>
        <v>6.14</v>
      </c>
    </row>
    <row r="1562" spans="1:10" ht="14.25" hidden="1" x14ac:dyDescent="0.2">
      <c r="A1562" s="2236"/>
      <c r="B1562" s="2243" t="s">
        <v>6800</v>
      </c>
      <c r="C1562" s="2244"/>
      <c r="D1562" s="2245"/>
      <c r="E1562" s="2244"/>
      <c r="F1562" s="2246"/>
      <c r="G1562" s="2244"/>
      <c r="H1562" s="2100"/>
      <c r="I1562" s="2238"/>
      <c r="J1562" s="2100"/>
    </row>
    <row r="1563" spans="1:10" ht="14.25" hidden="1" x14ac:dyDescent="0.2">
      <c r="A1563" s="2236" t="s">
        <v>5629</v>
      </c>
      <c r="B1563" s="2243" t="s">
        <v>6177</v>
      </c>
      <c r="C1563" s="2244">
        <f>'[2]Data File'!$C$1478</f>
        <v>0</v>
      </c>
      <c r="D1563" s="2245">
        <v>132</v>
      </c>
      <c r="E1563" s="2244">
        <v>1273.6600000000001</v>
      </c>
      <c r="F1563" s="2246">
        <v>1273.6600000000001</v>
      </c>
      <c r="G1563" s="2244">
        <v>1943.49</v>
      </c>
      <c r="H1563" s="2100">
        <v>1273.6600000000001</v>
      </c>
      <c r="I1563" s="2238">
        <f>VLOOKUP(A1563,'Trial Balance - FPer'!$A$7:$I$1107,7,FALSE)</f>
        <v>1273.6600000000001</v>
      </c>
      <c r="J1563" s="2100" t="str">
        <f>VLOOKUP(A1563,'Trial Balance - FPer'!$A$7:$I$1126,3,FALSE)</f>
        <v xml:space="preserve">                               -  </v>
      </c>
    </row>
    <row r="1564" spans="1:10" ht="14.25" hidden="1" x14ac:dyDescent="0.2">
      <c r="A1564" s="2236"/>
      <c r="B1564" s="2243" t="s">
        <v>693</v>
      </c>
      <c r="C1564" s="2244"/>
      <c r="D1564" s="2245"/>
      <c r="E1564" s="2244"/>
      <c r="F1564" s="2246"/>
      <c r="G1564" s="2244"/>
      <c r="H1564" s="2100"/>
      <c r="I1564" s="2238"/>
      <c r="J1564" s="2100"/>
    </row>
    <row r="1565" spans="1:10" ht="14.25" hidden="1" x14ac:dyDescent="0.2">
      <c r="A1565" s="2236" t="s">
        <v>5630</v>
      </c>
      <c r="B1565" s="2243" t="s">
        <v>6805</v>
      </c>
      <c r="C1565" s="2244">
        <f>'[2]Data File'!$C$1535</f>
        <v>174.79</v>
      </c>
      <c r="D1565" s="2245">
        <v>2067.98</v>
      </c>
      <c r="E1565" s="2244">
        <v>0</v>
      </c>
      <c r="F1565" s="2246">
        <v>0</v>
      </c>
      <c r="G1565" s="2244">
        <v>517.99</v>
      </c>
      <c r="H1565" s="2100">
        <v>0</v>
      </c>
      <c r="I1565" s="2238">
        <f>VLOOKUP(A1565,'Trial Balance - FPer'!$A$7:$I$1107,7,FALSE)</f>
        <v>1913.36</v>
      </c>
      <c r="J1565" s="2100">
        <f>VLOOKUP(A1565,'Trial Balance - FPer'!$A$7:$I$1126,3,FALSE)</f>
        <v>174.79</v>
      </c>
    </row>
    <row r="1566" spans="1:10" ht="14.25" hidden="1" x14ac:dyDescent="0.2">
      <c r="A1566" s="2236"/>
      <c r="B1566" s="2243" t="s">
        <v>6800</v>
      </c>
      <c r="C1566" s="2244"/>
      <c r="D1566" s="2245"/>
      <c r="E1566" s="2244"/>
      <c r="F1566" s="2246"/>
      <c r="G1566" s="2244"/>
      <c r="H1566" s="2100"/>
      <c r="I1566" s="2238"/>
      <c r="J1566" s="2100"/>
    </row>
    <row r="1567" spans="1:10" ht="14.25" hidden="1" x14ac:dyDescent="0.2">
      <c r="A1567" s="2236" t="s">
        <v>5631</v>
      </c>
      <c r="B1567" s="2243" t="s">
        <v>6617</v>
      </c>
      <c r="C1567" s="2244">
        <f>'[2]Data File'!$C$1479</f>
        <v>1820</v>
      </c>
      <c r="D1567" s="2245">
        <v>4004</v>
      </c>
      <c r="E1567" s="2244">
        <v>0</v>
      </c>
      <c r="F1567" s="2246">
        <v>4004</v>
      </c>
      <c r="G1567" s="2244">
        <v>1006</v>
      </c>
      <c r="H1567" s="2100">
        <v>0</v>
      </c>
      <c r="I1567" s="2238">
        <f>VLOOKUP(A1567,'Trial Balance - FPer'!$A$7:$I$1107,7,FALSE)</f>
        <v>0</v>
      </c>
      <c r="J1567" s="2100">
        <f>VLOOKUP(A1567,'Trial Balance - FPer'!$A$7:$I$1126,3,FALSE)</f>
        <v>1820</v>
      </c>
    </row>
    <row r="1568" spans="1:10" ht="14.25" hidden="1" x14ac:dyDescent="0.2">
      <c r="A1568" s="2236"/>
      <c r="B1568" s="2243" t="s">
        <v>693</v>
      </c>
      <c r="C1568" s="2244"/>
      <c r="D1568" s="2245"/>
      <c r="E1568" s="2244"/>
      <c r="F1568" s="2246"/>
      <c r="G1568" s="2244"/>
      <c r="H1568" s="2100"/>
      <c r="I1568" s="2238"/>
      <c r="J1568" s="2100"/>
    </row>
    <row r="1569" spans="1:10" ht="14.25" hidden="1" x14ac:dyDescent="0.2">
      <c r="A1569" s="2236" t="s">
        <v>5632</v>
      </c>
      <c r="B1569" s="2243" t="s">
        <v>6174</v>
      </c>
      <c r="C1569" s="2244">
        <v>0</v>
      </c>
      <c r="D1569" s="2245">
        <v>0</v>
      </c>
      <c r="E1569" s="2244">
        <v>0</v>
      </c>
      <c r="F1569" s="2246">
        <v>0</v>
      </c>
      <c r="G1569" s="2244">
        <v>0</v>
      </c>
      <c r="H1569" s="2100">
        <v>0</v>
      </c>
      <c r="I1569" s="2238">
        <f>VLOOKUP(A1569,'Trial Balance - FPer'!$A$7:$I$1107,7,FALSE)</f>
        <v>0</v>
      </c>
      <c r="J1569" s="2100" t="str">
        <f>VLOOKUP(A1569,'Trial Balance - FPer'!$A$7:$I$1126,3,FALSE)</f>
        <v xml:space="preserve">                               -  </v>
      </c>
    </row>
    <row r="1570" spans="1:10" ht="14.25" hidden="1" x14ac:dyDescent="0.2">
      <c r="A1570" s="2236"/>
      <c r="B1570" s="2247" t="s">
        <v>693</v>
      </c>
      <c r="C1570" s="2248"/>
      <c r="D1570" s="2249"/>
      <c r="E1570" s="2248"/>
      <c r="F1570" s="2250"/>
      <c r="G1570" s="2248"/>
      <c r="H1570" s="2100"/>
      <c r="I1570" s="2238"/>
      <c r="J1570" s="2100"/>
    </row>
    <row r="1571" spans="1:10" s="2615" customFormat="1" hidden="1" x14ac:dyDescent="0.2">
      <c r="A1571" s="2612"/>
      <c r="B1571" s="2613" t="s">
        <v>6618</v>
      </c>
      <c r="C1571" s="2614">
        <f>SUM(C1555:C1570)</f>
        <v>9308.82</v>
      </c>
      <c r="D1571" s="2614">
        <f>SUM(D1555:D1570)</f>
        <v>33921.25</v>
      </c>
      <c r="E1571" s="2614">
        <f>SUM(E1555:E1570)</f>
        <v>6468.7699999999995</v>
      </c>
      <c r="F1571" s="2614">
        <f>SUM(F1555:F1570)</f>
        <v>28842.899999999998</v>
      </c>
      <c r="G1571" s="2614">
        <f>SUM(G1555:G1570)</f>
        <v>18240.250000000004</v>
      </c>
      <c r="H1571" s="2614">
        <f t="shared" ref="H1571" si="160">SUM(H1555:H1570)</f>
        <v>6468.7699999999995</v>
      </c>
      <c r="I1571" s="2614">
        <f>SUM(I1555:I1570)</f>
        <v>9575.77</v>
      </c>
      <c r="J1571" s="2614">
        <f>SUM(J1555:J1570)</f>
        <v>9308.82</v>
      </c>
    </row>
    <row r="1572" spans="1:10" ht="14.25" hidden="1" x14ac:dyDescent="0.2">
      <c r="A1572" s="2236"/>
      <c r="B1572" s="2243"/>
      <c r="C1572" s="2244"/>
      <c r="D1572" s="2245"/>
      <c r="E1572" s="2244"/>
      <c r="F1572" s="2246"/>
      <c r="G1572" s="2244"/>
      <c r="H1572" s="2244"/>
      <c r="I1572" s="2238"/>
      <c r="J1572" s="2100" t="e">
        <f>VLOOKUP(A1572,'Trial Balance - FPer'!$A$7:$I$1126,3,FALSE)</f>
        <v>#N/A</v>
      </c>
    </row>
    <row r="1573" spans="1:10" ht="14.25" hidden="1" x14ac:dyDescent="0.2">
      <c r="A1573" s="2236"/>
      <c r="B1573" s="2242" t="s">
        <v>6619</v>
      </c>
      <c r="C1573" s="2244"/>
      <c r="D1573" s="2245"/>
      <c r="E1573" s="2244"/>
      <c r="F1573" s="2246"/>
      <c r="G1573" s="2244"/>
      <c r="H1573" s="2244"/>
      <c r="I1573" s="2238"/>
      <c r="J1573" s="2100"/>
    </row>
    <row r="1574" spans="1:10" ht="14.25" hidden="1" x14ac:dyDescent="0.2">
      <c r="A1574" s="2236" t="s">
        <v>5633</v>
      </c>
      <c r="B1574" s="2243" t="s">
        <v>6620</v>
      </c>
      <c r="C1574" s="2244">
        <f>'[2]Data File'!$C$1483</f>
        <v>115293.37</v>
      </c>
      <c r="D1574" s="2245">
        <v>45841.58</v>
      </c>
      <c r="E1574" s="2244">
        <v>0</v>
      </c>
      <c r="F1574" s="2246">
        <v>45841.58</v>
      </c>
      <c r="G1574" s="2244">
        <v>11505.79</v>
      </c>
      <c r="H1574" s="2256">
        <v>0</v>
      </c>
      <c r="I1574" s="2238">
        <f>VLOOKUP(A1574,'Trial Balance - FPer'!$A$7:$I$1107,7,FALSE)</f>
        <v>0</v>
      </c>
      <c r="J1574" s="2100">
        <f>VLOOKUP(A1574,'Trial Balance - FPer'!$A$7:$I$1126,3,FALSE)</f>
        <v>115293.37</v>
      </c>
    </row>
    <row r="1575" spans="1:10" ht="14.25" hidden="1" x14ac:dyDescent="0.2">
      <c r="A1575" s="2236"/>
      <c r="B1575" s="2243" t="s">
        <v>693</v>
      </c>
      <c r="C1575" s="2244"/>
      <c r="D1575" s="2245"/>
      <c r="E1575" s="2244"/>
      <c r="F1575" s="2246"/>
      <c r="G1575" s="2244"/>
      <c r="H1575" s="2256"/>
      <c r="I1575" s="2238"/>
      <c r="J1575" s="2100"/>
    </row>
    <row r="1576" spans="1:10" ht="14.25" hidden="1" x14ac:dyDescent="0.2">
      <c r="A1576" s="2236" t="s">
        <v>5634</v>
      </c>
      <c r="B1576" s="2243" t="s">
        <v>6620</v>
      </c>
      <c r="C1576" s="2244">
        <f>'[2]Data File'!$C$1539</f>
        <v>0</v>
      </c>
      <c r="D1576" s="2245">
        <v>12162.55</v>
      </c>
      <c r="E1576" s="2244">
        <v>0</v>
      </c>
      <c r="F1576" s="2246">
        <v>12162.55</v>
      </c>
      <c r="G1576" s="2244">
        <v>3054.28</v>
      </c>
      <c r="H1576" s="2256">
        <v>0</v>
      </c>
      <c r="I1576" s="2238">
        <f>VLOOKUP(A1576,'Trial Balance - FPer'!$A$7:$I$1107,7,FALSE)</f>
        <v>0</v>
      </c>
      <c r="J1576" s="2100" t="str">
        <f>VLOOKUP(A1576,'Trial Balance - FPer'!$A$7:$I$1126,3,FALSE)</f>
        <v xml:space="preserve">                               -  </v>
      </c>
    </row>
    <row r="1577" spans="1:10" ht="14.25" hidden="1" x14ac:dyDescent="0.2">
      <c r="A1577" s="2236"/>
      <c r="B1577" s="2243" t="s">
        <v>6800</v>
      </c>
      <c r="C1577" s="2244"/>
      <c r="D1577" s="2245"/>
      <c r="E1577" s="2244"/>
      <c r="F1577" s="2246"/>
      <c r="G1577" s="2244"/>
      <c r="H1577" s="2256"/>
      <c r="I1577" s="2238"/>
      <c r="J1577" s="2100"/>
    </row>
    <row r="1578" spans="1:10" ht="14.25" hidden="1" x14ac:dyDescent="0.2">
      <c r="A1578" s="2236" t="s">
        <v>5635</v>
      </c>
      <c r="B1578" s="2243" t="s">
        <v>6621</v>
      </c>
      <c r="C1578" s="2244">
        <f>'[2]Data File'!$C$1485</f>
        <v>1838.1</v>
      </c>
      <c r="D1578" s="2245">
        <v>6756.92</v>
      </c>
      <c r="E1578" s="2244">
        <v>0</v>
      </c>
      <c r="F1578" s="2246">
        <v>6756.92</v>
      </c>
      <c r="G1578" s="2244">
        <v>1695.46</v>
      </c>
      <c r="H1578" s="2256">
        <v>0</v>
      </c>
      <c r="I1578" s="2238">
        <f>VLOOKUP(A1578,'Trial Balance - FPer'!$A$7:$I$1107,7,FALSE)</f>
        <v>0</v>
      </c>
      <c r="J1578" s="2100">
        <f>VLOOKUP(A1578,'Trial Balance - FPer'!$A$7:$I$1126,3,FALSE)</f>
        <v>1838.1</v>
      </c>
    </row>
    <row r="1579" spans="1:10" ht="14.25" hidden="1" x14ac:dyDescent="0.2">
      <c r="A1579" s="2236"/>
      <c r="B1579" s="2243" t="s">
        <v>693</v>
      </c>
      <c r="C1579" s="2244"/>
      <c r="D1579" s="2245"/>
      <c r="E1579" s="2244"/>
      <c r="F1579" s="2246"/>
      <c r="G1579" s="2244"/>
      <c r="H1579" s="2256"/>
      <c r="I1579" s="2238"/>
      <c r="J1579" s="2100"/>
    </row>
    <row r="1580" spans="1:10" ht="14.25" hidden="1" x14ac:dyDescent="0.2">
      <c r="A1580" s="2236" t="s">
        <v>5636</v>
      </c>
      <c r="B1580" s="2243" t="s">
        <v>6621</v>
      </c>
      <c r="C1580" s="2244">
        <f>'[2]Data File'!$C$1541</f>
        <v>13187.24</v>
      </c>
      <c r="D1580" s="2245">
        <v>4901.62</v>
      </c>
      <c r="E1580" s="2244">
        <v>0</v>
      </c>
      <c r="F1580" s="2246">
        <v>4901.62</v>
      </c>
      <c r="G1580" s="2244">
        <v>1229.81</v>
      </c>
      <c r="H1580" s="2256">
        <v>0</v>
      </c>
      <c r="I1580" s="2238">
        <f>VLOOKUP(A1580,'Trial Balance - FPer'!$A$7:$I$1107,7,FALSE)</f>
        <v>0</v>
      </c>
      <c r="J1580" s="2100">
        <f>VLOOKUP(A1580,'Trial Balance - FPer'!$A$7:$I$1126,3,FALSE)</f>
        <v>13187.24</v>
      </c>
    </row>
    <row r="1581" spans="1:10" ht="14.25" hidden="1" x14ac:dyDescent="0.2">
      <c r="A1581" s="2236"/>
      <c r="B1581" s="2247" t="s">
        <v>6800</v>
      </c>
      <c r="C1581" s="2248"/>
      <c r="D1581" s="2249"/>
      <c r="E1581" s="2248"/>
      <c r="F1581" s="2250"/>
      <c r="G1581" s="2248"/>
      <c r="H1581" s="2244"/>
      <c r="I1581" s="2238"/>
      <c r="J1581" s="2100"/>
    </row>
    <row r="1582" spans="1:10" s="2615" customFormat="1" hidden="1" x14ac:dyDescent="0.2">
      <c r="A1582" s="2612"/>
      <c r="B1582" s="2613" t="s">
        <v>6622</v>
      </c>
      <c r="C1582" s="2614">
        <f>SUM(C1574:C1581)</f>
        <v>130318.71</v>
      </c>
      <c r="D1582" s="2614">
        <f>SUM(D1574:D1581)</f>
        <v>69662.67</v>
      </c>
      <c r="E1582" s="2614">
        <f>SUM(E1574:E1581)</f>
        <v>0</v>
      </c>
      <c r="F1582" s="2614">
        <f>SUM(F1574:F1581)</f>
        <v>69662.67</v>
      </c>
      <c r="G1582" s="2614">
        <f>SUM(G1574:G1581)</f>
        <v>17485.340000000004</v>
      </c>
      <c r="H1582" s="2614">
        <f t="shared" ref="H1582" si="161">SUM(H1574:H1581)</f>
        <v>0</v>
      </c>
      <c r="I1582" s="2614">
        <f>SUM(I1574:I1581)</f>
        <v>0</v>
      </c>
      <c r="J1582" s="2614">
        <f>SUM(J1574:J1581)</f>
        <v>130318.71</v>
      </c>
    </row>
    <row r="1583" spans="1:10" ht="14.25" hidden="1" x14ac:dyDescent="0.2">
      <c r="A1583" s="2236"/>
      <c r="B1583" s="2243"/>
      <c r="C1583" s="2244"/>
      <c r="D1583" s="2245"/>
      <c r="E1583" s="2244"/>
      <c r="F1583" s="2246"/>
      <c r="G1583" s="2244"/>
      <c r="H1583" s="2244"/>
      <c r="I1583" s="2238"/>
      <c r="J1583" s="2100" t="e">
        <f>VLOOKUP(A1583,'Trial Balance - FPer'!$A$7:$I$1126,3,FALSE)</f>
        <v>#N/A</v>
      </c>
    </row>
    <row r="1584" spans="1:10" s="2615" customFormat="1" ht="13.5" thickBot="1" x14ac:dyDescent="0.25">
      <c r="A1584" s="2612"/>
      <c r="B1584" s="2616" t="s">
        <v>6623</v>
      </c>
      <c r="C1584" s="2617">
        <f>C1582++C1571+C1552+C1523+C1518</f>
        <v>1309800.67</v>
      </c>
      <c r="D1584" s="2617">
        <f>D1582++D1571+D1552+D1523+D1518</f>
        <v>2115669.3800000004</v>
      </c>
      <c r="E1584" s="2617">
        <f>E1582++E1571+E1552+E1523+E1518</f>
        <v>750285.92000000016</v>
      </c>
      <c r="F1584" s="2617">
        <f>F1582++F1571+F1552+F1523+F1518</f>
        <v>1741223.3900000004</v>
      </c>
      <c r="G1584" s="2617">
        <f>G1582++G1571+G1552+G1523+G1518</f>
        <v>1659579.26</v>
      </c>
      <c r="H1584" s="2617">
        <f t="shared" ref="H1584" si="162">H1582++H1571+H1552+H1523+H1518</f>
        <v>905194.45999999973</v>
      </c>
      <c r="I1584" s="2617">
        <f>I1582++I1571+I1552+I1523+I1518</f>
        <v>17211797.41</v>
      </c>
      <c r="J1584" s="2617">
        <f>J1582++J1571+J1552+J1523+J1518</f>
        <v>2667035.4900000002</v>
      </c>
    </row>
    <row r="1585" spans="1:10" ht="15" thickTop="1" x14ac:dyDescent="0.2">
      <c r="A1585" s="2236"/>
      <c r="B1585" s="2243"/>
      <c r="C1585" s="2244"/>
      <c r="D1585" s="2245"/>
      <c r="E1585" s="2244"/>
      <c r="F1585" s="2246"/>
      <c r="G1585" s="2244"/>
      <c r="H1585" s="2244"/>
      <c r="I1585" s="2238"/>
      <c r="J1585" s="2100" t="e">
        <f>VLOOKUP(A1585,'Trial Balance - FPer'!$A$7:$I$1126,3,FALSE)</f>
        <v>#N/A</v>
      </c>
    </row>
    <row r="1586" spans="1:10" s="2615" customFormat="1" ht="13.5" thickBot="1" x14ac:dyDescent="0.25">
      <c r="A1586" s="2612"/>
      <c r="B1586" s="2616" t="s">
        <v>6624</v>
      </c>
      <c r="C1586" s="2617">
        <f>C1466-C1584</f>
        <v>-1309172.1499999999</v>
      </c>
      <c r="D1586" s="2617">
        <f>D1466-D1584</f>
        <v>-2.0000000018626451E-2</v>
      </c>
      <c r="E1586" s="2617">
        <f>E1466-E1584</f>
        <v>-748583.75000000012</v>
      </c>
      <c r="F1586" s="2617">
        <f>F1466-F1584</f>
        <v>0</v>
      </c>
      <c r="G1586" s="2617">
        <f>G1466-G1584</f>
        <v>-595813.73</v>
      </c>
      <c r="H1586" s="2617">
        <f t="shared" ref="H1586:J1586" si="163">H1466-H1584</f>
        <v>-905194.45999999973</v>
      </c>
      <c r="I1586" s="2617">
        <f t="shared" si="163"/>
        <v>-17214290.800000001</v>
      </c>
      <c r="J1586" s="2617">
        <f t="shared" si="163"/>
        <v>-2667664.0100000002</v>
      </c>
    </row>
    <row r="1587" spans="1:10" ht="15" thickTop="1" x14ac:dyDescent="0.2">
      <c r="A1587" s="2236"/>
      <c r="B1587" s="2243"/>
      <c r="C1587" s="2244"/>
      <c r="D1587" s="2245"/>
      <c r="E1587" s="2244"/>
      <c r="F1587" s="2246"/>
      <c r="G1587" s="2244"/>
      <c r="H1587" s="2244"/>
      <c r="I1587" s="2238"/>
      <c r="J1587" s="2100" t="e">
        <f>VLOOKUP(A1587,'Trial Balance - FPer'!$A$7:$I$1126,3,FALSE)</f>
        <v>#N/A</v>
      </c>
    </row>
    <row r="1588" spans="1:10" ht="15" x14ac:dyDescent="0.25">
      <c r="A1588" s="2241" t="s">
        <v>6806</v>
      </c>
      <c r="B1588" s="2237" t="s">
        <v>6807</v>
      </c>
      <c r="C1588" s="2244"/>
      <c r="D1588" s="2245"/>
      <c r="E1588" s="2244"/>
      <c r="F1588" s="2246"/>
      <c r="G1588" s="2244"/>
      <c r="H1588" s="2244"/>
      <c r="I1588" s="2238"/>
      <c r="J1588" s="2100" t="e">
        <f>VLOOKUP(A1588,'Trial Balance - FPer'!$A$7:$I$1126,3,FALSE)</f>
        <v>#N/A</v>
      </c>
    </row>
    <row r="1589" spans="1:10" ht="14.25" x14ac:dyDescent="0.2">
      <c r="A1589" s="2236"/>
      <c r="B1589" s="2243"/>
      <c r="C1589" s="2244"/>
      <c r="D1589" s="2245"/>
      <c r="E1589" s="2244"/>
      <c r="F1589" s="2246"/>
      <c r="G1589" s="2244"/>
      <c r="H1589" s="2244"/>
      <c r="I1589" s="2238"/>
      <c r="J1589" s="2100" t="e">
        <f>VLOOKUP(A1589,'Trial Balance - FPer'!$A$7:$I$1126,3,FALSE)</f>
        <v>#N/A</v>
      </c>
    </row>
    <row r="1590" spans="1:10" ht="14.25" x14ac:dyDescent="0.2">
      <c r="A1590" s="2236"/>
      <c r="B1590" s="2242" t="s">
        <v>247</v>
      </c>
      <c r="C1590" s="2244"/>
      <c r="D1590" s="2245"/>
      <c r="E1590" s="2244"/>
      <c r="F1590" s="2246"/>
      <c r="G1590" s="2244"/>
      <c r="H1590" s="2244"/>
      <c r="I1590" s="2238"/>
      <c r="J1590" s="2100" t="e">
        <f>VLOOKUP(A1590,'Trial Balance - FPer'!$A$7:$I$1126,3,FALSE)</f>
        <v>#N/A</v>
      </c>
    </row>
    <row r="1591" spans="1:10" ht="14.25" hidden="1" x14ac:dyDescent="0.2">
      <c r="A1591" s="2236"/>
      <c r="B1591" s="2242" t="s">
        <v>6658</v>
      </c>
      <c r="C1591" s="2244"/>
      <c r="D1591" s="2245"/>
      <c r="E1591" s="2244"/>
      <c r="F1591" s="2246"/>
      <c r="G1591" s="2244"/>
      <c r="H1591" s="2244"/>
      <c r="I1591" s="2238"/>
      <c r="J1591" s="2100" t="e">
        <f>VLOOKUP(A1591,'Trial Balance - FPer'!$A$7:$I$1126,3,FALSE)</f>
        <v>#N/A</v>
      </c>
    </row>
    <row r="1592" spans="1:10" hidden="1" x14ac:dyDescent="0.2">
      <c r="A1592" s="2236" t="s">
        <v>5661</v>
      </c>
      <c r="B1592" s="2247" t="s">
        <v>6808</v>
      </c>
      <c r="C1592" s="2248">
        <f>'[2]Data File'!$C$937</f>
        <v>0</v>
      </c>
      <c r="D1592" s="2249">
        <v>0</v>
      </c>
      <c r="E1592" s="2248">
        <v>0</v>
      </c>
      <c r="F1592" s="2250"/>
      <c r="G1592" s="2248">
        <v>0</v>
      </c>
      <c r="H1592" s="2248">
        <v>0</v>
      </c>
      <c r="I1592" s="2248">
        <v>0</v>
      </c>
      <c r="J1592" s="2100">
        <f>VLOOKUP(A1592,'Trial Balance - FPer'!$A$7:$I$1126,3,FALSE)</f>
        <v>0</v>
      </c>
    </row>
    <row r="1593" spans="1:10" s="2615" customFormat="1" ht="14.25" hidden="1" x14ac:dyDescent="0.2">
      <c r="A1593" s="2612"/>
      <c r="B1593" s="2613" t="s">
        <v>6663</v>
      </c>
      <c r="C1593" s="2614">
        <f>SUM(C1592)</f>
        <v>0</v>
      </c>
      <c r="D1593" s="2614">
        <f>SUM(D1592)</f>
        <v>0</v>
      </c>
      <c r="E1593" s="2614">
        <f>SUM(E1592)</f>
        <v>0</v>
      </c>
      <c r="F1593" s="2614">
        <f>SUM(F1592)</f>
        <v>0</v>
      </c>
      <c r="G1593" s="2614">
        <f>SUM(G1592)</f>
        <v>0</v>
      </c>
      <c r="H1593" s="2614"/>
      <c r="I1593" s="2618"/>
      <c r="J1593" s="2618"/>
    </row>
    <row r="1594" spans="1:10" ht="14.25" hidden="1" x14ac:dyDescent="0.2">
      <c r="A1594" s="2236"/>
      <c r="B1594" s="2243"/>
      <c r="C1594" s="2244"/>
      <c r="D1594" s="2245"/>
      <c r="E1594" s="2244"/>
      <c r="F1594" s="2246"/>
      <c r="G1594" s="2244"/>
      <c r="H1594" s="2244"/>
      <c r="I1594" s="2238"/>
      <c r="J1594" s="2100" t="e">
        <f>VLOOKUP(A1594,'Trial Balance - FPer'!$A$7:$I$1126,3,FALSE)</f>
        <v>#N/A</v>
      </c>
    </row>
    <row r="1595" spans="1:10" s="2615" customFormat="1" ht="13.5" thickBot="1" x14ac:dyDescent="0.25">
      <c r="A1595" s="2612"/>
      <c r="B1595" s="2616" t="s">
        <v>6579</v>
      </c>
      <c r="C1595" s="2617">
        <f>C1593</f>
        <v>0</v>
      </c>
      <c r="D1595" s="2617">
        <f>D1593</f>
        <v>0</v>
      </c>
      <c r="E1595" s="2617">
        <f>E1593</f>
        <v>0</v>
      </c>
      <c r="F1595" s="2617">
        <f>F1593</f>
        <v>0</v>
      </c>
      <c r="G1595" s="2617">
        <f>G1593</f>
        <v>0</v>
      </c>
      <c r="H1595" s="2617">
        <f t="shared" ref="H1595:J1595" si="164">H1593</f>
        <v>0</v>
      </c>
      <c r="I1595" s="2617">
        <f t="shared" si="164"/>
        <v>0</v>
      </c>
      <c r="J1595" s="2617">
        <f t="shared" si="164"/>
        <v>0</v>
      </c>
    </row>
    <row r="1596" spans="1:10" ht="15" thickTop="1" x14ac:dyDescent="0.2">
      <c r="A1596" s="2236"/>
      <c r="B1596" s="2243"/>
      <c r="C1596" s="2244"/>
      <c r="D1596" s="2245"/>
      <c r="E1596" s="2244"/>
      <c r="F1596" s="2246"/>
      <c r="G1596" s="2244"/>
      <c r="H1596" s="2244"/>
      <c r="I1596" s="2238"/>
      <c r="J1596" s="2100" t="e">
        <f>VLOOKUP(A1596,'Trial Balance - FPer'!$A$7:$I$1126,3,FALSE)</f>
        <v>#N/A</v>
      </c>
    </row>
    <row r="1597" spans="1:10" ht="14.25" x14ac:dyDescent="0.2">
      <c r="A1597" s="2236"/>
      <c r="B1597" s="2242" t="s">
        <v>235</v>
      </c>
      <c r="C1597" s="2244"/>
      <c r="D1597" s="2245"/>
      <c r="E1597" s="2244"/>
      <c r="F1597" s="2246"/>
      <c r="G1597" s="2244"/>
      <c r="H1597" s="2244"/>
      <c r="I1597" s="2238"/>
      <c r="J1597" s="2100" t="e">
        <f>VLOOKUP(A1597,'Trial Balance - FPer'!$A$7:$I$1126,3,FALSE)</f>
        <v>#N/A</v>
      </c>
    </row>
    <row r="1598" spans="1:10" ht="14.25" hidden="1" x14ac:dyDescent="0.2">
      <c r="A1598" s="2236"/>
      <c r="B1598" s="2242" t="s">
        <v>387</v>
      </c>
      <c r="C1598" s="2244"/>
      <c r="D1598" s="2245"/>
      <c r="E1598" s="2244"/>
      <c r="F1598" s="2246"/>
      <c r="G1598" s="2244"/>
      <c r="H1598" s="2244"/>
      <c r="I1598" s="2238" t="e">
        <f>VLOOKUP(A1598,'Trial Balance - FPer'!$A$7:$I$1107,7,FALSE)</f>
        <v>#N/A</v>
      </c>
      <c r="J1598" s="2100" t="e">
        <f>VLOOKUP(A1598,'Trial Balance - FPer'!$A$7:$I$1126,3,FALSE)</f>
        <v>#N/A</v>
      </c>
    </row>
    <row r="1599" spans="1:10" ht="14.25" hidden="1" x14ac:dyDescent="0.2">
      <c r="A1599" s="2236" t="s">
        <v>5644</v>
      </c>
      <c r="B1599" s="2243" t="s">
        <v>6003</v>
      </c>
      <c r="C1599" s="2244">
        <f>'[2]Data File'!$C$945</f>
        <v>-135173.82999999999</v>
      </c>
      <c r="D1599" s="2245">
        <v>0</v>
      </c>
      <c r="E1599" s="2244">
        <v>0</v>
      </c>
      <c r="F1599" s="2246"/>
      <c r="G1599" s="2244">
        <v>0</v>
      </c>
      <c r="H1599" s="2244"/>
      <c r="I1599" s="2238">
        <f>VLOOKUP(A1599,'Trial Balance - FPer'!$A$7:$I$1107,7,FALSE)</f>
        <v>0</v>
      </c>
      <c r="J1599" s="2100">
        <f>VLOOKUP(A1599,'Trial Balance - FPer'!$A$7:$I$1126,3,FALSE)</f>
        <v>-135173.82999999999</v>
      </c>
    </row>
    <row r="1600" spans="1:10" ht="14.25" hidden="1" x14ac:dyDescent="0.2">
      <c r="A1600" s="2236" t="s">
        <v>5645</v>
      </c>
      <c r="B1600" s="2243" t="s">
        <v>6004</v>
      </c>
      <c r="C1600" s="2244">
        <f>'[2]Data File'!$C$950</f>
        <v>8578.98</v>
      </c>
      <c r="D1600" s="2245">
        <v>0</v>
      </c>
      <c r="E1600" s="2244">
        <v>0</v>
      </c>
      <c r="F1600" s="2246"/>
      <c r="G1600" s="2244">
        <v>0</v>
      </c>
      <c r="H1600" s="2244"/>
      <c r="I1600" s="2238">
        <f>VLOOKUP(A1600,'Trial Balance - FPer'!$A$7:$I$1107,7,FALSE)</f>
        <v>0</v>
      </c>
      <c r="J1600" s="2100">
        <f>VLOOKUP(A1600,'Trial Balance - FPer'!$A$7:$I$1126,3,FALSE)</f>
        <v>8578.98</v>
      </c>
    </row>
    <row r="1601" spans="1:10" ht="14.25" hidden="1" x14ac:dyDescent="0.2">
      <c r="A1601" s="2236" t="s">
        <v>5646</v>
      </c>
      <c r="B1601" s="2243" t="s">
        <v>6581</v>
      </c>
      <c r="C1601" s="2244">
        <f>'[2]Data File'!$C$951</f>
        <v>0</v>
      </c>
      <c r="D1601" s="2245">
        <v>0</v>
      </c>
      <c r="E1601" s="2244">
        <v>0</v>
      </c>
      <c r="F1601" s="2246"/>
      <c r="G1601" s="2244">
        <v>0</v>
      </c>
      <c r="H1601" s="2244"/>
      <c r="I1601" s="2238">
        <f>VLOOKUP(A1601,'Trial Balance - FPer'!$A$7:$I$1107,7,FALSE)</f>
        <v>0</v>
      </c>
      <c r="J1601" s="2100">
        <f>VLOOKUP(A1601,'Trial Balance - FPer'!$A$7:$I$1126,3,FALSE)</f>
        <v>0</v>
      </c>
    </row>
    <row r="1602" spans="1:10" ht="14.25" hidden="1" x14ac:dyDescent="0.2">
      <c r="A1602" s="2236" t="s">
        <v>5647</v>
      </c>
      <c r="B1602" s="2243" t="s">
        <v>6584</v>
      </c>
      <c r="C1602" s="2244">
        <f>'[2]Data File'!$C$949</f>
        <v>8.1999999999999993</v>
      </c>
      <c r="D1602" s="2245">
        <v>0</v>
      </c>
      <c r="E1602" s="2244">
        <v>0</v>
      </c>
      <c r="F1602" s="2246"/>
      <c r="G1602" s="2244">
        <v>0</v>
      </c>
      <c r="H1602" s="2244"/>
      <c r="I1602" s="2238">
        <f>VLOOKUP(A1602,'Trial Balance - FPer'!$A$7:$I$1107,7,FALSE)</f>
        <v>0</v>
      </c>
      <c r="J1602" s="2100">
        <f>VLOOKUP(A1602,'Trial Balance - FPer'!$A$7:$I$1126,3,FALSE)</f>
        <v>8.1999999999999993</v>
      </c>
    </row>
    <row r="1603" spans="1:10" ht="14.25" hidden="1" x14ac:dyDescent="0.2">
      <c r="A1603" s="2236" t="s">
        <v>5648</v>
      </c>
      <c r="B1603" s="2243" t="s">
        <v>6585</v>
      </c>
      <c r="C1603" s="2244">
        <f>'[2]Data File'!$C$955</f>
        <v>379.93</v>
      </c>
      <c r="D1603" s="2245">
        <v>0</v>
      </c>
      <c r="E1603" s="2244">
        <v>0</v>
      </c>
      <c r="F1603" s="2246"/>
      <c r="G1603" s="2244">
        <v>0</v>
      </c>
      <c r="H1603" s="2244"/>
      <c r="I1603" s="2238">
        <f>VLOOKUP(A1603,'Trial Balance - FPer'!$A$7:$I$1107,7,FALSE)</f>
        <v>0</v>
      </c>
      <c r="J1603" s="2100">
        <f>VLOOKUP(A1603,'Trial Balance - FPer'!$A$7:$I$1126,3,FALSE)</f>
        <v>379.93</v>
      </c>
    </row>
    <row r="1604" spans="1:10" ht="14.25" hidden="1" x14ac:dyDescent="0.2">
      <c r="A1604" s="2236" t="s">
        <v>5649</v>
      </c>
      <c r="B1604" s="2243" t="s">
        <v>6586</v>
      </c>
      <c r="C1604" s="2244">
        <f>'[2]Data File'!$C$957</f>
        <v>0</v>
      </c>
      <c r="D1604" s="2245">
        <v>0</v>
      </c>
      <c r="E1604" s="2244">
        <v>0</v>
      </c>
      <c r="F1604" s="2246"/>
      <c r="G1604" s="2244">
        <v>0</v>
      </c>
      <c r="H1604" s="2244"/>
      <c r="I1604" s="2238">
        <f>VLOOKUP(A1604,'Trial Balance - FPer'!$A$7:$I$1107,7,FALSE)</f>
        <v>0</v>
      </c>
      <c r="J1604" s="2100" t="str">
        <f>VLOOKUP(A1604,'Trial Balance - FPer'!$A$7:$I$1126,3,FALSE)</f>
        <v xml:space="preserve">                               -  </v>
      </c>
    </row>
    <row r="1605" spans="1:10" ht="14.25" hidden="1" x14ac:dyDescent="0.2">
      <c r="A1605" s="2236" t="s">
        <v>5650</v>
      </c>
      <c r="B1605" s="2243" t="s">
        <v>6587</v>
      </c>
      <c r="C1605" s="2244">
        <f>'[2]Data File'!$C$946</f>
        <v>0</v>
      </c>
      <c r="D1605" s="2245">
        <v>0</v>
      </c>
      <c r="E1605" s="2244">
        <v>0</v>
      </c>
      <c r="F1605" s="2246"/>
      <c r="G1605" s="2244">
        <v>0</v>
      </c>
      <c r="H1605" s="2244"/>
      <c r="I1605" s="2238">
        <f>VLOOKUP(A1605,'Trial Balance - FPer'!$A$7:$I$1107,7,FALSE)</f>
        <v>0</v>
      </c>
      <c r="J1605" s="2100">
        <f>VLOOKUP(A1605,'Trial Balance - FPer'!$A$7:$I$1126,3,FALSE)</f>
        <v>0</v>
      </c>
    </row>
    <row r="1606" spans="1:10" ht="14.25" hidden="1" x14ac:dyDescent="0.2">
      <c r="A1606" s="2236" t="s">
        <v>5651</v>
      </c>
      <c r="B1606" s="2243" t="s">
        <v>6013</v>
      </c>
      <c r="C1606" s="2244">
        <f>'[2]Data File'!$C$947</f>
        <v>0</v>
      </c>
      <c r="D1606" s="2245">
        <v>0</v>
      </c>
      <c r="E1606" s="2244">
        <v>0</v>
      </c>
      <c r="F1606" s="2246"/>
      <c r="G1606" s="2244">
        <v>0</v>
      </c>
      <c r="H1606" s="2244"/>
      <c r="I1606" s="2238">
        <f>VLOOKUP(A1606,'Trial Balance - FPer'!$A$7:$I$1107,7,FALSE)</f>
        <v>0</v>
      </c>
      <c r="J1606" s="2100">
        <f>VLOOKUP(A1606,'Trial Balance - FPer'!$A$7:$I$1126,3,FALSE)</f>
        <v>0</v>
      </c>
    </row>
    <row r="1607" spans="1:10" ht="14.25" hidden="1" x14ac:dyDescent="0.2">
      <c r="A1607" s="2236" t="s">
        <v>5652</v>
      </c>
      <c r="B1607" s="2247" t="s">
        <v>6014</v>
      </c>
      <c r="C1607" s="2248">
        <f>'[2]Data File'!$C$948</f>
        <v>249.56</v>
      </c>
      <c r="D1607" s="2249">
        <v>0</v>
      </c>
      <c r="E1607" s="2248">
        <v>0</v>
      </c>
      <c r="F1607" s="2250"/>
      <c r="G1607" s="2248">
        <v>0</v>
      </c>
      <c r="H1607" s="2244"/>
      <c r="I1607" s="2238">
        <f>VLOOKUP(A1607,'Trial Balance - FPer'!$A$7:$I$1107,7,FALSE)</f>
        <v>0</v>
      </c>
      <c r="J1607" s="2100">
        <f>VLOOKUP(A1607,'Trial Balance - FPer'!$A$7:$I$1126,3,FALSE)</f>
        <v>249.56</v>
      </c>
    </row>
    <row r="1608" spans="1:10" s="2615" customFormat="1" hidden="1" x14ac:dyDescent="0.2">
      <c r="A1608" s="2612"/>
      <c r="B1608" s="2613" t="s">
        <v>6588</v>
      </c>
      <c r="C1608" s="2614">
        <f>SUM(C1599:C1607)</f>
        <v>-125957.16</v>
      </c>
      <c r="D1608" s="2614">
        <f>SUM(D1599:D1607)</f>
        <v>0</v>
      </c>
      <c r="E1608" s="2614">
        <f>SUM(E1599:E1607)</f>
        <v>0</v>
      </c>
      <c r="F1608" s="2614">
        <f>SUM(F1599:F1607)</f>
        <v>0</v>
      </c>
      <c r="G1608" s="2614">
        <f>SUM(G1599:G1607)</f>
        <v>0</v>
      </c>
      <c r="H1608" s="2614">
        <f t="shared" ref="H1608" si="165">SUM(H1599:H1607)</f>
        <v>0</v>
      </c>
      <c r="I1608" s="2614">
        <f>SUM(I1599:I1607)</f>
        <v>0</v>
      </c>
      <c r="J1608" s="2614">
        <f>SUM(J1599:J1607)</f>
        <v>-125957.16</v>
      </c>
    </row>
    <row r="1609" spans="1:10" ht="14.25" hidden="1" x14ac:dyDescent="0.2">
      <c r="A1609" s="2236"/>
      <c r="B1609" s="2243"/>
      <c r="C1609" s="2244"/>
      <c r="D1609" s="2245"/>
      <c r="E1609" s="2244"/>
      <c r="F1609" s="2246"/>
      <c r="G1609" s="2244"/>
      <c r="H1609" s="2244"/>
      <c r="I1609" s="2238" t="e">
        <f>VLOOKUP(A1609,'Trial Balance - FPer'!$A$7:$I$1107,7,FALSE)</f>
        <v>#N/A</v>
      </c>
      <c r="J1609" s="2100" t="e">
        <f>VLOOKUP(A1609,'Trial Balance - FPer'!$A$7:$I$1126,3,FALSE)</f>
        <v>#N/A</v>
      </c>
    </row>
    <row r="1610" spans="1:10" ht="14.25" hidden="1" x14ac:dyDescent="0.2">
      <c r="A1610" s="2236"/>
      <c r="B1610" s="2242" t="s">
        <v>6599</v>
      </c>
      <c r="C1610" s="2244"/>
      <c r="D1610" s="2245"/>
      <c r="E1610" s="2244"/>
      <c r="F1610" s="2246"/>
      <c r="G1610" s="2244"/>
      <c r="H1610" s="2244"/>
      <c r="I1610" s="2238" t="e">
        <f>VLOOKUP(A1610,'Trial Balance - FPer'!$A$7:$I$1107,7,FALSE)</f>
        <v>#N/A</v>
      </c>
      <c r="J1610" s="2100" t="e">
        <f>VLOOKUP(A1610,'Trial Balance - FPer'!$A$7:$I$1126,3,FALSE)</f>
        <v>#N/A</v>
      </c>
    </row>
    <row r="1611" spans="1:10" ht="14.25" hidden="1" x14ac:dyDescent="0.2">
      <c r="A1611" s="2236" t="s">
        <v>5653</v>
      </c>
      <c r="B1611" s="2243" t="s">
        <v>6601</v>
      </c>
      <c r="C1611" s="2244">
        <v>0</v>
      </c>
      <c r="D1611" s="2245">
        <v>0</v>
      </c>
      <c r="E1611" s="2244">
        <v>0</v>
      </c>
      <c r="F1611" s="2246"/>
      <c r="G1611" s="2244">
        <v>0</v>
      </c>
      <c r="H1611" s="2244"/>
      <c r="I1611" s="2238">
        <f>VLOOKUP(A1611,'Trial Balance - FPer'!$A$7:$I$1107,7,FALSE)</f>
        <v>0</v>
      </c>
      <c r="J1611" s="2100">
        <f>VLOOKUP(A1611,'Trial Balance - FPer'!$A$7:$I$1126,3,FALSE)</f>
        <v>0</v>
      </c>
    </row>
    <row r="1612" spans="1:10" ht="14.25" hidden="1" x14ac:dyDescent="0.2">
      <c r="A1612" s="2236" t="s">
        <v>5654</v>
      </c>
      <c r="B1612" s="2243" t="s">
        <v>6743</v>
      </c>
      <c r="C1612" s="2244">
        <v>0</v>
      </c>
      <c r="D1612" s="2245">
        <v>0</v>
      </c>
      <c r="E1612" s="2244">
        <v>0</v>
      </c>
      <c r="F1612" s="2246"/>
      <c r="G1612" s="2244">
        <v>0</v>
      </c>
      <c r="H1612" s="2244"/>
      <c r="I1612" s="2238">
        <f>VLOOKUP(A1612,'Trial Balance - FPer'!$A$7:$I$1107,7,FALSE)</f>
        <v>0</v>
      </c>
      <c r="J1612" s="2100">
        <f>VLOOKUP(A1612,'Trial Balance - FPer'!$A$7:$I$1126,3,FALSE)</f>
        <v>0</v>
      </c>
    </row>
    <row r="1613" spans="1:10" ht="14.25" hidden="1" x14ac:dyDescent="0.2">
      <c r="A1613" s="2236" t="s">
        <v>5655</v>
      </c>
      <c r="B1613" s="2243" t="s">
        <v>6028</v>
      </c>
      <c r="C1613" s="2244">
        <v>0</v>
      </c>
      <c r="D1613" s="2245">
        <v>0</v>
      </c>
      <c r="E1613" s="2244">
        <v>0</v>
      </c>
      <c r="F1613" s="2246"/>
      <c r="G1613" s="2244">
        <v>0</v>
      </c>
      <c r="H1613" s="2244"/>
      <c r="I1613" s="2238">
        <f>VLOOKUP(A1613,'Trial Balance - FPer'!$A$7:$I$1107,7,FALSE)</f>
        <v>0</v>
      </c>
      <c r="J1613" s="2100">
        <f>VLOOKUP(A1613,'Trial Balance - FPer'!$A$7:$I$1126,3,FALSE)</f>
        <v>0</v>
      </c>
    </row>
    <row r="1614" spans="1:10" ht="14.25" hidden="1" x14ac:dyDescent="0.2">
      <c r="A1614" s="2236" t="s">
        <v>5656</v>
      </c>
      <c r="B1614" s="2243" t="s">
        <v>6609</v>
      </c>
      <c r="C1614" s="2244">
        <f>'[2]Data File'!$C$961</f>
        <v>12342.93</v>
      </c>
      <c r="D1614" s="2245">
        <v>0</v>
      </c>
      <c r="E1614" s="2244">
        <v>0</v>
      </c>
      <c r="F1614" s="2246"/>
      <c r="G1614" s="2244">
        <v>0</v>
      </c>
      <c r="H1614" s="2244"/>
      <c r="I1614" s="2238">
        <f>VLOOKUP(A1614,'Trial Balance - FPer'!$A$7:$I$1107,7,FALSE)</f>
        <v>0</v>
      </c>
      <c r="J1614" s="2100">
        <f>VLOOKUP(A1614,'Trial Balance - FPer'!$A$7:$I$1126,3,FALSE)</f>
        <v>12342.93</v>
      </c>
    </row>
    <row r="1615" spans="1:10" ht="14.25" hidden="1" x14ac:dyDescent="0.2">
      <c r="A1615" s="2236" t="s">
        <v>5657</v>
      </c>
      <c r="B1615" s="2243" t="s">
        <v>6731</v>
      </c>
      <c r="C1615" s="2244">
        <v>0</v>
      </c>
      <c r="D1615" s="2245">
        <v>0</v>
      </c>
      <c r="E1615" s="2244">
        <v>0</v>
      </c>
      <c r="F1615" s="2246"/>
      <c r="G1615" s="2244">
        <v>0</v>
      </c>
      <c r="H1615" s="2244"/>
      <c r="I1615" s="2238">
        <f>VLOOKUP(A1615,'Trial Balance - FPer'!$A$7:$I$1107,7,FALSE)</f>
        <v>0</v>
      </c>
      <c r="J1615" s="2100">
        <f>VLOOKUP(A1615,'Trial Balance - FPer'!$A$7:$I$1126,3,FALSE)</f>
        <v>0</v>
      </c>
    </row>
    <row r="1616" spans="1:10" ht="14.25" hidden="1" x14ac:dyDescent="0.2">
      <c r="A1616" s="2236" t="s">
        <v>5658</v>
      </c>
      <c r="B1616" s="2243" t="s">
        <v>6732</v>
      </c>
      <c r="C1616" s="2244">
        <v>0</v>
      </c>
      <c r="D1616" s="2245">
        <v>0</v>
      </c>
      <c r="E1616" s="2244">
        <v>0</v>
      </c>
      <c r="F1616" s="2246"/>
      <c r="G1616" s="2244">
        <v>0</v>
      </c>
      <c r="H1616" s="2244"/>
      <c r="I1616" s="2238">
        <f>VLOOKUP(A1616,'Trial Balance - FPer'!$A$7:$I$1107,7,FALSE)</f>
        <v>0</v>
      </c>
      <c r="J1616" s="2100">
        <f>VLOOKUP(A1616,'Trial Balance - FPer'!$A$7:$I$1126,3,FALSE)</f>
        <v>0</v>
      </c>
    </row>
    <row r="1617" spans="1:10" ht="14.25" hidden="1" x14ac:dyDescent="0.2">
      <c r="A1617" s="2236" t="s">
        <v>5659</v>
      </c>
      <c r="B1617" s="2247" t="s">
        <v>6612</v>
      </c>
      <c r="C1617" s="2248">
        <v>0</v>
      </c>
      <c r="D1617" s="2249">
        <v>0</v>
      </c>
      <c r="E1617" s="2248">
        <v>0</v>
      </c>
      <c r="F1617" s="2250"/>
      <c r="G1617" s="2248">
        <v>0</v>
      </c>
      <c r="H1617" s="2244"/>
      <c r="I1617" s="2238">
        <f>VLOOKUP(A1617,'Trial Balance - FPer'!$A$7:$I$1107,7,FALSE)</f>
        <v>0</v>
      </c>
      <c r="J1617" s="2100">
        <f>VLOOKUP(A1617,'Trial Balance - FPer'!$A$7:$I$1126,3,FALSE)</f>
        <v>0</v>
      </c>
    </row>
    <row r="1618" spans="1:10" s="2615" customFormat="1" hidden="1" x14ac:dyDescent="0.2">
      <c r="A1618" s="2612"/>
      <c r="B1618" s="2613" t="s">
        <v>6614</v>
      </c>
      <c r="C1618" s="2614">
        <f>SUM(C1611:C1617)</f>
        <v>12342.93</v>
      </c>
      <c r="D1618" s="2614">
        <f>SUM(D1611:D1617)</f>
        <v>0</v>
      </c>
      <c r="E1618" s="2614">
        <f>SUM(E1611:E1617)</f>
        <v>0</v>
      </c>
      <c r="F1618" s="2614">
        <f>SUM(F1611:F1617)</f>
        <v>0</v>
      </c>
      <c r="G1618" s="2614">
        <f>SUM(G1611:G1617)</f>
        <v>0</v>
      </c>
      <c r="H1618" s="2614">
        <f t="shared" ref="H1618" si="166">SUM(H1611:H1617)</f>
        <v>0</v>
      </c>
      <c r="I1618" s="2614">
        <f>SUM(I1611:I1617)</f>
        <v>0</v>
      </c>
      <c r="J1618" s="2614">
        <f>SUM(J1611:J1617)</f>
        <v>12342.93</v>
      </c>
    </row>
    <row r="1619" spans="1:10" ht="14.25" hidden="1" x14ac:dyDescent="0.2">
      <c r="A1619" s="2236"/>
      <c r="B1619" s="2243"/>
      <c r="C1619" s="2244"/>
      <c r="D1619" s="2245"/>
      <c r="E1619" s="2244"/>
      <c r="F1619" s="2246"/>
      <c r="G1619" s="2244"/>
      <c r="H1619" s="2244"/>
      <c r="I1619" s="2238" t="e">
        <f>VLOOKUP(A1619,'Trial Balance - FPer'!$A$7:$I$1107,7,FALSE)</f>
        <v>#N/A</v>
      </c>
      <c r="J1619" s="2100" t="e">
        <f>VLOOKUP(A1619,'Trial Balance - FPer'!$A$7:$I$1126,3,FALSE)</f>
        <v>#N/A</v>
      </c>
    </row>
    <row r="1620" spans="1:10" ht="14.25" hidden="1" x14ac:dyDescent="0.2">
      <c r="A1620" s="2236"/>
      <c r="B1620" s="2242" t="s">
        <v>6615</v>
      </c>
      <c r="C1620" s="2244"/>
      <c r="D1620" s="2245"/>
      <c r="E1620" s="2244"/>
      <c r="F1620" s="2246"/>
      <c r="G1620" s="2244"/>
      <c r="H1620" s="2244"/>
      <c r="I1620" s="2238" t="e">
        <f>VLOOKUP(A1620,'Trial Balance - FPer'!$A$7:$I$1107,7,FALSE)</f>
        <v>#N/A</v>
      </c>
      <c r="J1620" s="2100" t="e">
        <f>VLOOKUP(A1620,'Trial Balance - FPer'!$A$7:$I$1126,3,FALSE)</f>
        <v>#N/A</v>
      </c>
    </row>
    <row r="1621" spans="1:10" ht="14.25" hidden="1" x14ac:dyDescent="0.2">
      <c r="A1621" s="2236" t="s">
        <v>5660</v>
      </c>
      <c r="B1621" s="2247" t="s">
        <v>6700</v>
      </c>
      <c r="C1621" s="2248">
        <v>0</v>
      </c>
      <c r="D1621" s="2249">
        <v>0</v>
      </c>
      <c r="E1621" s="2248">
        <v>0</v>
      </c>
      <c r="F1621" s="2250"/>
      <c r="G1621" s="2248">
        <v>0</v>
      </c>
      <c r="H1621" s="2244"/>
      <c r="I1621" s="2238">
        <f>VLOOKUP(A1621,'Trial Balance - FPer'!$A$7:$I$1107,7,FALSE)</f>
        <v>0</v>
      </c>
      <c r="J1621" s="2100" t="str">
        <f>VLOOKUP(A1621,'Trial Balance - FPer'!$A$7:$I$1126,3,FALSE)</f>
        <v xml:space="preserve">                               -  </v>
      </c>
    </row>
    <row r="1622" spans="1:10" s="2615" customFormat="1" hidden="1" x14ac:dyDescent="0.2">
      <c r="A1622" s="2612"/>
      <c r="B1622" s="2613" t="s">
        <v>6618</v>
      </c>
      <c r="C1622" s="2614">
        <f>SUM(C1621)</f>
        <v>0</v>
      </c>
      <c r="D1622" s="2614">
        <f>SUM(D1621)</f>
        <v>0</v>
      </c>
      <c r="E1622" s="2614">
        <f>SUM(E1621)</f>
        <v>0</v>
      </c>
      <c r="F1622" s="2614">
        <f>SUM(F1621)</f>
        <v>0</v>
      </c>
      <c r="G1622" s="2614">
        <f>SUM(G1621)</f>
        <v>0</v>
      </c>
      <c r="H1622" s="2614">
        <f t="shared" ref="H1622:J1622" si="167">SUM(H1621)</f>
        <v>0</v>
      </c>
      <c r="I1622" s="2614">
        <f t="shared" si="167"/>
        <v>0</v>
      </c>
      <c r="J1622" s="2614">
        <f t="shared" si="167"/>
        <v>0</v>
      </c>
    </row>
    <row r="1623" spans="1:10" ht="14.25" hidden="1" x14ac:dyDescent="0.2">
      <c r="A1623" s="2236"/>
      <c r="B1623" s="2243"/>
      <c r="C1623" s="2244"/>
      <c r="D1623" s="2245"/>
      <c r="E1623" s="2244"/>
      <c r="F1623" s="2246"/>
      <c r="G1623" s="2244"/>
      <c r="H1623" s="2244"/>
      <c r="I1623" s="2238" t="e">
        <f>VLOOKUP(A1623,'Trial Balance - FPer'!$A$7:$I$1107,7,FALSE)</f>
        <v>#N/A</v>
      </c>
      <c r="J1623" s="2100" t="e">
        <f>VLOOKUP(A1623,'Trial Balance - FPer'!$A$7:$I$1126,3,FALSE)</f>
        <v>#N/A</v>
      </c>
    </row>
    <row r="1624" spans="1:10" s="2615" customFormat="1" ht="13.5" thickBot="1" x14ac:dyDescent="0.25">
      <c r="A1624" s="2612"/>
      <c r="B1624" s="2616" t="s">
        <v>6623</v>
      </c>
      <c r="C1624" s="2617">
        <f>C1622+C1618+C1608</f>
        <v>-113614.23000000001</v>
      </c>
      <c r="D1624" s="2617">
        <f>D1622+D1618+D1608</f>
        <v>0</v>
      </c>
      <c r="E1624" s="2617">
        <f>E1622+E1618+E1608</f>
        <v>0</v>
      </c>
      <c r="F1624" s="2617">
        <f>F1622+F1618+F1608</f>
        <v>0</v>
      </c>
      <c r="G1624" s="2617">
        <f>G1622+G1618+G1608</f>
        <v>0</v>
      </c>
      <c r="H1624" s="2617">
        <f t="shared" ref="H1624" si="168">H1622+H1618+H1608</f>
        <v>0</v>
      </c>
      <c r="I1624" s="2617">
        <f>I1622+I1618+I1608</f>
        <v>0</v>
      </c>
      <c r="J1624" s="2617">
        <f>J1622+J1618+J1608</f>
        <v>-113614.23000000001</v>
      </c>
    </row>
    <row r="1625" spans="1:10" ht="15" thickTop="1" x14ac:dyDescent="0.2">
      <c r="A1625" s="2236"/>
      <c r="B1625" s="2243"/>
      <c r="C1625" s="2244"/>
      <c r="D1625" s="2245"/>
      <c r="E1625" s="2244"/>
      <c r="F1625" s="2246"/>
      <c r="G1625" s="2244"/>
      <c r="H1625" s="2244"/>
      <c r="I1625" s="2238" t="e">
        <f>VLOOKUP(A1625,'Trial Balance - FPer'!$A$7:$I$1107,7,FALSE)</f>
        <v>#N/A</v>
      </c>
      <c r="J1625" s="2100" t="e">
        <f>VLOOKUP(A1625,'Trial Balance - FPer'!$A$7:$I$1126,3,FALSE)</f>
        <v>#N/A</v>
      </c>
    </row>
    <row r="1626" spans="1:10" s="2615" customFormat="1" ht="13.5" thickBot="1" x14ac:dyDescent="0.25">
      <c r="A1626" s="2612"/>
      <c r="B1626" s="2616" t="s">
        <v>6624</v>
      </c>
      <c r="C1626" s="2617">
        <f>C1595-C1624</f>
        <v>113614.23000000001</v>
      </c>
      <c r="D1626" s="2617">
        <f>D1595-D1624</f>
        <v>0</v>
      </c>
      <c r="E1626" s="2617">
        <f>E1595-E1624</f>
        <v>0</v>
      </c>
      <c r="F1626" s="2617">
        <f>F1595-F1624</f>
        <v>0</v>
      </c>
      <c r="G1626" s="2617">
        <f>G1595-G1624</f>
        <v>0</v>
      </c>
      <c r="H1626" s="2617">
        <f t="shared" ref="H1626:J1626" si="169">H1595-H1624</f>
        <v>0</v>
      </c>
      <c r="I1626" s="2617">
        <f t="shared" si="169"/>
        <v>0</v>
      </c>
      <c r="J1626" s="2617">
        <f t="shared" si="169"/>
        <v>113614.23000000001</v>
      </c>
    </row>
    <row r="1627" spans="1:10" ht="15" thickTop="1" x14ac:dyDescent="0.2">
      <c r="A1627" s="2236"/>
      <c r="B1627" s="2243"/>
      <c r="C1627" s="2244"/>
      <c r="D1627" s="2245"/>
      <c r="E1627" s="2244"/>
      <c r="F1627" s="2246"/>
      <c r="G1627" s="2244"/>
      <c r="H1627" s="2244"/>
      <c r="I1627" s="2238" t="e">
        <f>VLOOKUP(A1627,'Trial Balance - FPer'!$A$7:$I$1107,7,FALSE)</f>
        <v>#N/A</v>
      </c>
      <c r="J1627" s="2100" t="e">
        <f>VLOOKUP(A1627,'Trial Balance - FPer'!$A$7:$I$1126,3,FALSE)</f>
        <v>#N/A</v>
      </c>
    </row>
    <row r="1628" spans="1:10" ht="15" x14ac:dyDescent="0.25">
      <c r="A1628" s="2241">
        <v>1001</v>
      </c>
      <c r="B1628" s="2237" t="s">
        <v>6809</v>
      </c>
      <c r="C1628" s="2244"/>
      <c r="D1628" s="2245"/>
      <c r="E1628" s="2244"/>
      <c r="F1628" s="2246"/>
      <c r="G1628" s="2244"/>
      <c r="H1628" s="2244"/>
      <c r="I1628" s="2238" t="e">
        <f>VLOOKUP(A1628,'Trial Balance - FPer'!$A$7:$I$1107,7,FALSE)</f>
        <v>#N/A</v>
      </c>
      <c r="J1628" s="2100" t="e">
        <f>VLOOKUP(A1628,'Trial Balance - FPer'!$A$7:$I$1126,3,FALSE)</f>
        <v>#N/A</v>
      </c>
    </row>
    <row r="1629" spans="1:10" ht="14.25" x14ac:dyDescent="0.2">
      <c r="A1629" s="2236"/>
      <c r="B1629" s="2243"/>
      <c r="C1629" s="2244"/>
      <c r="D1629" s="2245"/>
      <c r="E1629" s="2244"/>
      <c r="F1629" s="2246"/>
      <c r="G1629" s="2244"/>
      <c r="H1629" s="2244"/>
      <c r="I1629" s="2238" t="e">
        <f>VLOOKUP(A1629,'Trial Balance - FPer'!$A$7:$I$1107,7,FALSE)</f>
        <v>#N/A</v>
      </c>
      <c r="J1629" s="2100" t="e">
        <f>VLOOKUP(A1629,'Trial Balance - FPer'!$A$7:$I$1126,3,FALSE)</f>
        <v>#N/A</v>
      </c>
    </row>
    <row r="1630" spans="1:10" ht="14.25" x14ac:dyDescent="0.2">
      <c r="A1630" s="2236"/>
      <c r="B1630" s="2242" t="s">
        <v>247</v>
      </c>
      <c r="C1630" s="2244"/>
      <c r="D1630" s="2245"/>
      <c r="E1630" s="2244"/>
      <c r="F1630" s="2246"/>
      <c r="G1630" s="2244"/>
      <c r="H1630" s="2244"/>
      <c r="I1630" s="2238" t="e">
        <f>VLOOKUP(A1630,'Trial Balance - FPer'!$A$7:$I$1107,7,FALSE)</f>
        <v>#N/A</v>
      </c>
      <c r="J1630" s="2100" t="e">
        <f>VLOOKUP(A1630,'Trial Balance - FPer'!$A$7:$I$1126,3,FALSE)</f>
        <v>#N/A</v>
      </c>
    </row>
    <row r="1631" spans="1:10" ht="14.25" hidden="1" x14ac:dyDescent="0.2">
      <c r="A1631" s="2236"/>
      <c r="B1631" s="2242" t="s">
        <v>120</v>
      </c>
      <c r="C1631" s="2244"/>
      <c r="D1631" s="2245"/>
      <c r="E1631" s="2244"/>
      <c r="F1631" s="2246"/>
      <c r="G1631" s="2244"/>
      <c r="H1631" s="2244"/>
      <c r="I1631" s="2238" t="e">
        <f>VLOOKUP(A1631,'Trial Balance - FPer'!$A$7:$I$1107,7,FALSE)</f>
        <v>#N/A</v>
      </c>
      <c r="J1631" s="2100" t="e">
        <f>VLOOKUP(A1631,'Trial Balance - FPer'!$A$7:$I$1126,3,FALSE)</f>
        <v>#N/A</v>
      </c>
    </row>
    <row r="1632" spans="1:10" ht="14.25" hidden="1" x14ac:dyDescent="0.2">
      <c r="A1632" s="2236" t="s">
        <v>5715</v>
      </c>
      <c r="B1632" s="2247" t="s">
        <v>6810</v>
      </c>
      <c r="C1632" s="2248">
        <f>'[2]Data File'!$C$1650</f>
        <v>5720801.6100000003</v>
      </c>
      <c r="D1632" s="2249">
        <v>1832984.08</v>
      </c>
      <c r="E1632" s="2248">
        <v>3263802.47</v>
      </c>
      <c r="F1632" s="2250">
        <v>4183958.55</v>
      </c>
      <c r="G1632" s="2248">
        <v>4183958.55</v>
      </c>
      <c r="H1632" s="2244"/>
      <c r="I1632" s="2238">
        <f>VLOOKUP(A1632,'Trial Balance - FPer'!$A$7:$I$1107,7,FALSE)</f>
        <v>-6346756.1999999993</v>
      </c>
      <c r="J1632" s="2100">
        <f>VLOOKUP(A1632,'Trial Balance - FPer'!$A$7:$I$1126,3,FALSE)</f>
        <v>-5720801.6100000003</v>
      </c>
    </row>
    <row r="1633" spans="1:10" s="2615" customFormat="1" hidden="1" x14ac:dyDescent="0.2">
      <c r="A1633" s="2612"/>
      <c r="B1633" s="2613" t="s">
        <v>6811</v>
      </c>
      <c r="C1633" s="2614">
        <f>SUM(C1632)</f>
        <v>5720801.6100000003</v>
      </c>
      <c r="D1633" s="2614">
        <f>SUM(D1632)</f>
        <v>1832984.08</v>
      </c>
      <c r="E1633" s="2614">
        <f>SUM(E1632)</f>
        <v>3263802.47</v>
      </c>
      <c r="F1633" s="2614">
        <f>SUM(F1632)</f>
        <v>4183958.55</v>
      </c>
      <c r="G1633" s="2614">
        <f>SUM(G1632)</f>
        <v>4183958.55</v>
      </c>
      <c r="H1633" s="2614">
        <f t="shared" ref="H1633" si="170">SUM(H1632)</f>
        <v>0</v>
      </c>
      <c r="I1633" s="2614">
        <f>SUM(I1632)</f>
        <v>-6346756.1999999993</v>
      </c>
      <c r="J1633" s="2614">
        <f>SUM(J1632)</f>
        <v>-5720801.6100000003</v>
      </c>
    </row>
    <row r="1634" spans="1:10" ht="14.25" hidden="1" x14ac:dyDescent="0.2">
      <c r="A1634" s="2236"/>
      <c r="B1634" s="2243"/>
      <c r="C1634" s="2244"/>
      <c r="D1634" s="2245"/>
      <c r="E1634" s="2244"/>
      <c r="F1634" s="2246"/>
      <c r="G1634" s="2244"/>
      <c r="H1634" s="2244"/>
      <c r="I1634" s="2238" t="e">
        <f>VLOOKUP(A1634,'Trial Balance - FPer'!$A$7:$I$1107,7,FALSE)</f>
        <v>#N/A</v>
      </c>
      <c r="J1634" s="2100" t="e">
        <f>VLOOKUP(A1634,'Trial Balance - FPer'!$A$7:$I$1126,3,FALSE)</f>
        <v>#N/A</v>
      </c>
    </row>
    <row r="1635" spans="1:10" ht="14.25" hidden="1" x14ac:dyDescent="0.2">
      <c r="A1635" s="2236"/>
      <c r="B1635" s="2242" t="s">
        <v>6628</v>
      </c>
      <c r="C1635" s="2244"/>
      <c r="D1635" s="2245"/>
      <c r="E1635" s="2244"/>
      <c r="F1635" s="2246"/>
      <c r="G1635" s="2244"/>
      <c r="H1635" s="2244"/>
      <c r="I1635" s="2238" t="e">
        <f>VLOOKUP(A1635,'Trial Balance - FPer'!$A$7:$I$1107,7,FALSE)</f>
        <v>#N/A</v>
      </c>
      <c r="J1635" s="2100" t="e">
        <f>VLOOKUP(A1635,'Trial Balance - FPer'!$A$7:$I$1126,3,FALSE)</f>
        <v>#N/A</v>
      </c>
    </row>
    <row r="1636" spans="1:10" ht="14.25" hidden="1" x14ac:dyDescent="0.2">
      <c r="A1636" s="2236" t="s">
        <v>5717</v>
      </c>
      <c r="B1636" s="2247" t="s">
        <v>6659</v>
      </c>
      <c r="C1636" s="2248">
        <f>'[2]Data File'!$C$1665</f>
        <v>0</v>
      </c>
      <c r="D1636" s="2249">
        <v>6785739.3300000001</v>
      </c>
      <c r="E1636" s="2248">
        <v>0</v>
      </c>
      <c r="F1636" s="2250">
        <v>3507626.86</v>
      </c>
      <c r="G1636" s="2248">
        <v>3406443.33</v>
      </c>
      <c r="H1636" s="2244"/>
      <c r="I1636" s="2238">
        <f>VLOOKUP(A1636,'Trial Balance - FPer'!$A$7:$I$1107,7,FALSE)</f>
        <v>0</v>
      </c>
      <c r="J1636" s="2100">
        <f>VLOOKUP(A1636,'Trial Balance - FPer'!$A$7:$I$1126,3,FALSE)</f>
        <v>0</v>
      </c>
    </row>
    <row r="1637" spans="1:10" s="2615" customFormat="1" hidden="1" x14ac:dyDescent="0.2">
      <c r="A1637" s="2612"/>
      <c r="B1637" s="2613" t="s">
        <v>6631</v>
      </c>
      <c r="C1637" s="2614">
        <f>SUM(C1636)</f>
        <v>0</v>
      </c>
      <c r="D1637" s="2614">
        <f>SUM(D1636)</f>
        <v>6785739.3300000001</v>
      </c>
      <c r="E1637" s="2614">
        <f>SUM(E1636)</f>
        <v>0</v>
      </c>
      <c r="F1637" s="2614">
        <f>SUM(F1636)</f>
        <v>3507626.86</v>
      </c>
      <c r="G1637" s="2614">
        <f>SUM(G1636)</f>
        <v>3406443.33</v>
      </c>
      <c r="H1637" s="2614">
        <f t="shared" ref="H1637:J1637" si="171">SUM(H1636)</f>
        <v>0</v>
      </c>
      <c r="I1637" s="2614">
        <f t="shared" si="171"/>
        <v>0</v>
      </c>
      <c r="J1637" s="2614">
        <f t="shared" si="171"/>
        <v>0</v>
      </c>
    </row>
    <row r="1638" spans="1:10" ht="14.25" hidden="1" x14ac:dyDescent="0.2">
      <c r="A1638" s="2236"/>
      <c r="B1638" s="2243"/>
      <c r="C1638" s="2244"/>
      <c r="D1638" s="2245"/>
      <c r="E1638" s="2244"/>
      <c r="F1638" s="2246"/>
      <c r="G1638" s="2244"/>
      <c r="H1638" s="2244"/>
      <c r="I1638" s="2238" t="e">
        <f>VLOOKUP(A1638,'Trial Balance - FPer'!$A$7:$I$1107,7,FALSE)</f>
        <v>#N/A</v>
      </c>
      <c r="J1638" s="2100" t="e">
        <f>VLOOKUP(A1638,'Trial Balance - FPer'!$A$7:$I$1126,3,FALSE)</f>
        <v>#N/A</v>
      </c>
    </row>
    <row r="1639" spans="1:10" ht="14.25" hidden="1" x14ac:dyDescent="0.2">
      <c r="A1639" s="2236"/>
      <c r="B1639" s="2242" t="s">
        <v>6722</v>
      </c>
      <c r="C1639" s="2244"/>
      <c r="D1639" s="2245"/>
      <c r="E1639" s="2244"/>
      <c r="F1639" s="2246"/>
      <c r="G1639" s="2244"/>
      <c r="H1639" s="2244"/>
      <c r="I1639" s="2238" t="e">
        <f>VLOOKUP(A1639,'Trial Balance - FPer'!$A$7:$I$1107,7,FALSE)</f>
        <v>#N/A</v>
      </c>
      <c r="J1639" s="2100" t="e">
        <f>VLOOKUP(A1639,'Trial Balance - FPer'!$A$7:$I$1126,3,FALSE)</f>
        <v>#N/A</v>
      </c>
    </row>
    <row r="1640" spans="1:10" ht="14.25" hidden="1" x14ac:dyDescent="0.2">
      <c r="A1640" s="2251" t="s">
        <v>5718</v>
      </c>
      <c r="B1640" s="2257" t="s">
        <v>6244</v>
      </c>
      <c r="C1640" s="2253">
        <f>'[2]Data File'!$C$1661</f>
        <v>0</v>
      </c>
      <c r="D1640" s="2254">
        <v>971006.85</v>
      </c>
      <c r="E1640" s="2253">
        <v>0</v>
      </c>
      <c r="F1640" s="2255">
        <v>3798397.58</v>
      </c>
      <c r="G1640" s="2253">
        <v>487442.85</v>
      </c>
      <c r="H1640" s="2253"/>
      <c r="I1640" s="2238">
        <f>VLOOKUP(A1640,'Trial Balance - FPer'!$A$7:$I$1107,7,FALSE)</f>
        <v>0</v>
      </c>
      <c r="J1640" s="2100">
        <f>VLOOKUP(A1640,'Trial Balance - FPer'!$A$7:$I$1126,3,FALSE)</f>
        <v>0</v>
      </c>
    </row>
    <row r="1641" spans="1:10" ht="14.25" hidden="1" x14ac:dyDescent="0.2">
      <c r="A1641" s="2236"/>
      <c r="B1641" s="2247" t="s">
        <v>6812</v>
      </c>
      <c r="C1641" s="2248"/>
      <c r="D1641" s="2249">
        <v>10894000</v>
      </c>
      <c r="E1641" s="2248"/>
      <c r="F1641" s="2250">
        <v>8094000</v>
      </c>
      <c r="G1641" s="2248"/>
      <c r="H1641" s="2244"/>
      <c r="I1641" s="2238" t="e">
        <f>VLOOKUP(A1641,'Trial Balance - FPer'!$A$7:$I$1107,7,FALSE)</f>
        <v>#N/A</v>
      </c>
      <c r="J1641" s="2100" t="e">
        <f>VLOOKUP(A1641,'Trial Balance - FPer'!$A$7:$I$1126,3,FALSE)</f>
        <v>#N/A</v>
      </c>
    </row>
    <row r="1642" spans="1:10" s="2615" customFormat="1" hidden="1" x14ac:dyDescent="0.2">
      <c r="A1642" s="2612"/>
      <c r="B1642" s="2613" t="s">
        <v>6724</v>
      </c>
      <c r="C1642" s="2614">
        <f>SUM(C1640)</f>
        <v>0</v>
      </c>
      <c r="D1642" s="2614">
        <f>SUM(D1640:D1641)</f>
        <v>11865006.85</v>
      </c>
      <c r="E1642" s="2614">
        <f>SUM(E1640:E1641)</f>
        <v>0</v>
      </c>
      <c r="F1642" s="2614">
        <f>SUM(F1640:F1641)</f>
        <v>11892397.58</v>
      </c>
      <c r="G1642" s="2614">
        <f>SUM(G1640)</f>
        <v>487442.85</v>
      </c>
      <c r="H1642" s="2614">
        <f t="shared" ref="H1642:J1642" si="172">SUM(H1640)</f>
        <v>0</v>
      </c>
      <c r="I1642" s="2614">
        <f t="shared" si="172"/>
        <v>0</v>
      </c>
      <c r="J1642" s="2614">
        <f t="shared" si="172"/>
        <v>0</v>
      </c>
    </row>
    <row r="1643" spans="1:10" ht="14.25" hidden="1" x14ac:dyDescent="0.2">
      <c r="A1643" s="2236"/>
      <c r="B1643" s="2243"/>
      <c r="C1643" s="2244"/>
      <c r="D1643" s="2245"/>
      <c r="E1643" s="2244"/>
      <c r="F1643" s="2246"/>
      <c r="G1643" s="2244"/>
      <c r="H1643" s="2244"/>
      <c r="I1643" s="2238" t="e">
        <f>VLOOKUP(A1643,'Trial Balance - FPer'!$A$7:$I$1107,7,FALSE)</f>
        <v>#N/A</v>
      </c>
      <c r="J1643" s="2100" t="e">
        <f>VLOOKUP(A1643,'Trial Balance - FPer'!$A$7:$I$1126,3,FALSE)</f>
        <v>#N/A</v>
      </c>
    </row>
    <row r="1644" spans="1:10" ht="14.25" hidden="1" x14ac:dyDescent="0.2">
      <c r="A1644" s="2236"/>
      <c r="B1644" s="2242" t="s">
        <v>1637</v>
      </c>
      <c r="C1644" s="2244"/>
      <c r="D1644" s="2245"/>
      <c r="E1644" s="2244"/>
      <c r="F1644" s="2246"/>
      <c r="G1644" s="2244"/>
      <c r="H1644" s="2244"/>
      <c r="I1644" s="2238" t="e">
        <f>VLOOKUP(A1644,'Trial Balance - FPer'!$A$7:$I$1107,7,FALSE)</f>
        <v>#N/A</v>
      </c>
      <c r="J1644" s="2100" t="e">
        <f>VLOOKUP(A1644,'Trial Balance - FPer'!$A$7:$I$1126,3,FALSE)</f>
        <v>#N/A</v>
      </c>
    </row>
    <row r="1645" spans="1:10" ht="14.25" hidden="1" x14ac:dyDescent="0.2">
      <c r="A1645" s="2236" t="s">
        <v>5721</v>
      </c>
      <c r="B1645" s="2243" t="s">
        <v>1797</v>
      </c>
      <c r="C1645" s="2244">
        <f>'[2]Data File'!$C$1654</f>
        <v>7155.43</v>
      </c>
      <c r="D1645" s="2245">
        <v>2180.6999999999998</v>
      </c>
      <c r="E1645" s="2244">
        <v>5513.59</v>
      </c>
      <c r="F1645" s="2246">
        <v>6608.29</v>
      </c>
      <c r="G1645" s="2244">
        <v>6608.29</v>
      </c>
      <c r="H1645" s="2244"/>
      <c r="I1645" s="2238">
        <f>VLOOKUP(A1645,'Trial Balance - FPer'!$A$7:$I$1107,7,FALSE)</f>
        <v>-18166.39</v>
      </c>
      <c r="J1645" s="2100">
        <f>VLOOKUP(A1645,'Trial Balance - FPer'!$A$7:$I$1126,3,FALSE)</f>
        <v>-7155.43</v>
      </c>
    </row>
    <row r="1646" spans="1:10" ht="14.25" hidden="1" x14ac:dyDescent="0.2">
      <c r="A1646" s="2236" t="s">
        <v>5723</v>
      </c>
      <c r="B1646" s="2247" t="s">
        <v>6813</v>
      </c>
      <c r="C1646" s="2248">
        <f>'[2]Data File'!$C$1655</f>
        <v>6909.84</v>
      </c>
      <c r="D1646" s="2249">
        <v>6672.72</v>
      </c>
      <c r="E1646" s="2248">
        <v>2709.29</v>
      </c>
      <c r="F1646" s="2250">
        <v>6058.01</v>
      </c>
      <c r="G1646" s="2248">
        <v>6058.01</v>
      </c>
      <c r="H1646" s="2244"/>
      <c r="I1646" s="2238">
        <f>VLOOKUP(A1646,'Trial Balance - FPer'!$A$7:$I$1107,7,FALSE)</f>
        <v>-4157.72</v>
      </c>
      <c r="J1646" s="2100">
        <f>VLOOKUP(A1646,'Trial Balance - FPer'!$A$7:$I$1126,3,FALSE)</f>
        <v>-6909.84</v>
      </c>
    </row>
    <row r="1647" spans="1:10" s="2615" customFormat="1" hidden="1" x14ac:dyDescent="0.2">
      <c r="A1647" s="2612"/>
      <c r="B1647" s="2613" t="s">
        <v>6670</v>
      </c>
      <c r="C1647" s="2614">
        <f>SUM(C1645:C1646)</f>
        <v>14065.27</v>
      </c>
      <c r="D1647" s="2614">
        <f>SUM(D1645:D1646)</f>
        <v>8853.42</v>
      </c>
      <c r="E1647" s="2614">
        <f>SUM(E1645:E1646)</f>
        <v>8222.880000000001</v>
      </c>
      <c r="F1647" s="2614">
        <f>SUM(F1645:F1646)</f>
        <v>12666.3</v>
      </c>
      <c r="G1647" s="2614">
        <f>SUM(G1645:G1646)</f>
        <v>12666.3</v>
      </c>
      <c r="H1647" s="2614">
        <f t="shared" ref="H1647" si="173">SUM(H1645:H1646)</f>
        <v>0</v>
      </c>
      <c r="I1647" s="2614">
        <f>SUM(I1645:I1646)</f>
        <v>-22324.11</v>
      </c>
      <c r="J1647" s="2614">
        <f>SUM(J1645:J1646)</f>
        <v>-14065.27</v>
      </c>
    </row>
    <row r="1648" spans="1:10" ht="14.25" hidden="1" x14ac:dyDescent="0.2">
      <c r="A1648" s="2236"/>
      <c r="B1648" s="2243"/>
      <c r="C1648" s="2244"/>
      <c r="D1648" s="2245"/>
      <c r="E1648" s="2244"/>
      <c r="F1648" s="2246"/>
      <c r="G1648" s="2244"/>
      <c r="H1648" s="2244"/>
      <c r="I1648" s="2238" t="e">
        <f>VLOOKUP(A1648,'Trial Balance - FPer'!$A$7:$I$1107,7,FALSE)</f>
        <v>#N/A</v>
      </c>
      <c r="J1648" s="2100" t="e">
        <f>VLOOKUP(A1648,'Trial Balance - FPer'!$A$7:$I$1126,3,FALSE)</f>
        <v>#N/A</v>
      </c>
    </row>
    <row r="1649" spans="1:10" s="2615" customFormat="1" ht="13.5" thickBot="1" x14ac:dyDescent="0.25">
      <c r="A1649" s="2612"/>
      <c r="B1649" s="2616" t="s">
        <v>6579</v>
      </c>
      <c r="C1649" s="2617">
        <f>C1647+C1642+C1637+C1633</f>
        <v>5734866.8799999999</v>
      </c>
      <c r="D1649" s="2617">
        <f>D1647+D1642+D1637+D1633</f>
        <v>20492583.68</v>
      </c>
      <c r="E1649" s="2617">
        <f>E1647+E1642+E1637+E1633</f>
        <v>3272025.35</v>
      </c>
      <c r="F1649" s="2617">
        <f>F1647+F1642+F1637+F1633</f>
        <v>19596649.289999999</v>
      </c>
      <c r="G1649" s="2617">
        <f>G1647+G1642+G1637+G1633</f>
        <v>8090511.0299999993</v>
      </c>
      <c r="H1649" s="2617">
        <f t="shared" ref="H1649" si="174">H1647+H1642+H1637+H1633</f>
        <v>0</v>
      </c>
      <c r="I1649" s="2617">
        <f>I1647+I1642+I1637+I1633</f>
        <v>-6369080.3099999996</v>
      </c>
      <c r="J1649" s="2617">
        <f>J1647+J1642+J1637+J1633</f>
        <v>-5734866.8799999999</v>
      </c>
    </row>
    <row r="1650" spans="1:10" ht="15" thickTop="1" x14ac:dyDescent="0.2">
      <c r="A1650" s="2236"/>
      <c r="B1650" s="2243"/>
      <c r="C1650" s="2244"/>
      <c r="D1650" s="2245"/>
      <c r="E1650" s="2244"/>
      <c r="F1650" s="2246"/>
      <c r="G1650" s="2244"/>
      <c r="H1650" s="2244"/>
      <c r="I1650" s="2238" t="e">
        <f>VLOOKUP(A1650,'Trial Balance - FPer'!$A$7:$I$1107,7,FALSE)</f>
        <v>#N/A</v>
      </c>
      <c r="J1650" s="2100" t="e">
        <f>VLOOKUP(A1650,'Trial Balance - FPer'!$A$7:$I$1126,3,FALSE)</f>
        <v>#N/A</v>
      </c>
    </row>
    <row r="1651" spans="1:10" ht="14.25" x14ac:dyDescent="0.2">
      <c r="A1651" s="2236"/>
      <c r="B1651" s="2242" t="s">
        <v>235</v>
      </c>
      <c r="C1651" s="2244"/>
      <c r="D1651" s="2245"/>
      <c r="E1651" s="2244"/>
      <c r="F1651" s="2246"/>
      <c r="G1651" s="2244"/>
      <c r="H1651" s="2244"/>
      <c r="I1651" s="2238" t="e">
        <f>VLOOKUP(A1651,'Trial Balance - FPer'!$A$7:$I$1107,7,FALSE)</f>
        <v>#N/A</v>
      </c>
      <c r="J1651" s="2100" t="e">
        <f>VLOOKUP(A1651,'Trial Balance - FPer'!$A$7:$I$1126,3,FALSE)</f>
        <v>#N/A</v>
      </c>
    </row>
    <row r="1652" spans="1:10" ht="14.25" hidden="1" x14ac:dyDescent="0.2">
      <c r="A1652" s="2236"/>
      <c r="B1652" s="2242" t="s">
        <v>387</v>
      </c>
      <c r="C1652" s="2244"/>
      <c r="D1652" s="2245"/>
      <c r="E1652" s="2244"/>
      <c r="F1652" s="2246"/>
      <c r="G1652" s="2244"/>
      <c r="H1652" s="2244"/>
      <c r="I1652" s="2238" t="e">
        <f>VLOOKUP(A1652,'Trial Balance - FPer'!$A$7:$I$1107,7,FALSE)</f>
        <v>#N/A</v>
      </c>
      <c r="J1652" s="2100" t="e">
        <f>VLOOKUP(A1652,'Trial Balance - FPer'!$A$7:$I$1126,3,FALSE)</f>
        <v>#N/A</v>
      </c>
    </row>
    <row r="1653" spans="1:10" ht="14.25" hidden="1" x14ac:dyDescent="0.2">
      <c r="A1653" s="2236" t="s">
        <v>5662</v>
      </c>
      <c r="B1653" s="2243" t="s">
        <v>6003</v>
      </c>
      <c r="C1653" s="2244">
        <f>'[2]Data File'!$C$1673</f>
        <v>3944861.38</v>
      </c>
      <c r="D1653" s="2245">
        <v>4712758.28</v>
      </c>
      <c r="E1653" s="2244">
        <v>2062198.74</v>
      </c>
      <c r="F1653" s="2246">
        <v>4029160.26</v>
      </c>
      <c r="G1653" s="2253">
        <v>4284635.28</v>
      </c>
      <c r="H1653" s="2100">
        <v>2390025.66</v>
      </c>
      <c r="I1653" s="2238">
        <f>VLOOKUP(A1653,'Trial Balance - FPer'!$A$7:$I$1107,7,FALSE)</f>
        <v>4063543.37</v>
      </c>
      <c r="J1653" s="2100">
        <f>VLOOKUP(A1653,'Trial Balance - FPer'!$A$7:$I$1126,3,FALSE)</f>
        <v>3944861.38</v>
      </c>
    </row>
    <row r="1654" spans="1:10" ht="14.25" hidden="1" x14ac:dyDescent="0.2">
      <c r="A1654" s="2236" t="s">
        <v>5663</v>
      </c>
      <c r="B1654" s="2243" t="s">
        <v>6004</v>
      </c>
      <c r="C1654" s="2244">
        <f>'[2]Data File'!$C$1678</f>
        <v>292565.01</v>
      </c>
      <c r="D1654" s="2245">
        <v>258689.26</v>
      </c>
      <c r="E1654" s="2244">
        <v>120386.19</v>
      </c>
      <c r="F1654" s="2246">
        <v>327826.92</v>
      </c>
      <c r="G1654" s="2253">
        <v>245989.94</v>
      </c>
      <c r="H1654" s="2100">
        <v>166097.17000000001</v>
      </c>
      <c r="I1654" s="2238">
        <f>VLOOKUP(A1654,'Trial Balance - FPer'!$A$7:$I$1107,7,FALSE)</f>
        <v>336735.39</v>
      </c>
      <c r="J1654" s="2100">
        <f>VLOOKUP(A1654,'Trial Balance - FPer'!$A$7:$I$1126,3,FALSE)</f>
        <v>292565.01</v>
      </c>
    </row>
    <row r="1655" spans="1:10" ht="14.25" hidden="1" x14ac:dyDescent="0.2">
      <c r="A1655" s="2236" t="s">
        <v>5664</v>
      </c>
      <c r="B1655" s="2243" t="s">
        <v>6581</v>
      </c>
      <c r="C1655" s="2244">
        <f>'[2]Data File'!$C$1679</f>
        <v>2400</v>
      </c>
      <c r="D1655" s="2245">
        <v>3028.2</v>
      </c>
      <c r="E1655" s="2244">
        <v>1000</v>
      </c>
      <c r="F1655" s="2246">
        <v>1000</v>
      </c>
      <c r="G1655" s="2253">
        <v>2266.4699999999998</v>
      </c>
      <c r="H1655" s="2100">
        <v>1000</v>
      </c>
      <c r="I1655" s="2238">
        <f>VLOOKUP(A1655,'Trial Balance - FPer'!$A$7:$I$1107,7,FALSE)</f>
        <v>1000</v>
      </c>
      <c r="J1655" s="2100">
        <f>VLOOKUP(A1655,'Trial Balance - FPer'!$A$7:$I$1126,3,FALSE)</f>
        <v>2400</v>
      </c>
    </row>
    <row r="1656" spans="1:10" ht="14.25" hidden="1" x14ac:dyDescent="0.2">
      <c r="A1656" s="2236" t="s">
        <v>5665</v>
      </c>
      <c r="B1656" s="2243" t="s">
        <v>6814</v>
      </c>
      <c r="C1656" s="2244">
        <v>0</v>
      </c>
      <c r="D1656" s="2245">
        <v>0</v>
      </c>
      <c r="E1656" s="2244">
        <v>16345.51</v>
      </c>
      <c r="F1656" s="2246">
        <v>16354.51</v>
      </c>
      <c r="G1656" s="2253">
        <v>16345.51</v>
      </c>
      <c r="H1656" s="2100">
        <v>16345.51</v>
      </c>
      <c r="I1656" s="2238">
        <f>VLOOKUP(A1656,'Trial Balance - FPer'!$A$7:$I$1107,7,FALSE)</f>
        <v>30631.510000000002</v>
      </c>
      <c r="J1656" s="2100">
        <f>VLOOKUP(A1656,'Trial Balance - FPer'!$A$7:$I$1126,3,FALSE)</f>
        <v>0</v>
      </c>
    </row>
    <row r="1657" spans="1:10" ht="14.25" hidden="1" x14ac:dyDescent="0.2">
      <c r="A1657" s="2236" t="s">
        <v>5667</v>
      </c>
      <c r="B1657" s="2243" t="s">
        <v>6007</v>
      </c>
      <c r="C1657" s="2244">
        <f>'[2]Data File'!$C$1680</f>
        <v>619245.18000000005</v>
      </c>
      <c r="D1657" s="2245">
        <v>633942.36</v>
      </c>
      <c r="E1657" s="2244">
        <v>365812.64</v>
      </c>
      <c r="F1657" s="2246">
        <v>747701.48</v>
      </c>
      <c r="G1657" s="2253">
        <v>709321.28</v>
      </c>
      <c r="H1657" s="2100">
        <v>429460.78</v>
      </c>
      <c r="I1657" s="2238">
        <f>VLOOKUP(A1657,'Trial Balance - FPer'!$A$7:$I$1107,7,FALSE)</f>
        <v>787881.85</v>
      </c>
      <c r="J1657" s="2100">
        <f>VLOOKUP(A1657,'Trial Balance - FPer'!$A$7:$I$1126,3,FALSE)</f>
        <v>619245.18000000005</v>
      </c>
    </row>
    <row r="1658" spans="1:10" ht="14.25" hidden="1" x14ac:dyDescent="0.2">
      <c r="A1658" s="2236" t="s">
        <v>5668</v>
      </c>
      <c r="B1658" s="2243" t="s">
        <v>6582</v>
      </c>
      <c r="C1658" s="2244">
        <f>'[2]Data File'!$C$1681</f>
        <v>10310.719999999999</v>
      </c>
      <c r="D1658" s="2245">
        <v>5156.42</v>
      </c>
      <c r="E1658" s="2244">
        <v>76741.95</v>
      </c>
      <c r="F1658" s="2246">
        <v>97741.95</v>
      </c>
      <c r="G1658" s="2253">
        <v>116712.33</v>
      </c>
      <c r="H1658" s="2100">
        <v>80241.95</v>
      </c>
      <c r="I1658" s="2238">
        <f>VLOOKUP(A1658,'Trial Balance - FPer'!$A$7:$I$1107,7,FALSE)</f>
        <v>97741.95</v>
      </c>
      <c r="J1658" s="2100">
        <f>VLOOKUP(A1658,'Trial Balance - FPer'!$A$7:$I$1126,3,FALSE)</f>
        <v>10310.719999999999</v>
      </c>
    </row>
    <row r="1659" spans="1:10" ht="14.25" hidden="1" x14ac:dyDescent="0.2">
      <c r="A1659" s="2236" t="s">
        <v>5669</v>
      </c>
      <c r="B1659" s="2243" t="s">
        <v>6672</v>
      </c>
      <c r="C1659" s="2244">
        <f>'[2]Data File'!$C$1684</f>
        <v>-187220.93</v>
      </c>
      <c r="D1659" s="2245">
        <v>0</v>
      </c>
      <c r="E1659" s="2244">
        <v>0</v>
      </c>
      <c r="F1659" s="2246">
        <v>0</v>
      </c>
      <c r="G1659" s="2253">
        <v>0</v>
      </c>
      <c r="H1659" s="2100">
        <v>0</v>
      </c>
      <c r="I1659" s="2238">
        <f>VLOOKUP(A1659,'Trial Balance - FPer'!$A$7:$I$1107,7,FALSE)</f>
        <v>0</v>
      </c>
      <c r="J1659" s="2100">
        <f>VLOOKUP(A1659,'Trial Balance - FPer'!$A$7:$I$1126,3,FALSE)</f>
        <v>-187220.93</v>
      </c>
    </row>
    <row r="1660" spans="1:10" ht="14.25" hidden="1" x14ac:dyDescent="0.2">
      <c r="A1660" s="2236" t="s">
        <v>5670</v>
      </c>
      <c r="B1660" s="2243" t="s">
        <v>6584</v>
      </c>
      <c r="C1660" s="2244">
        <f>'[2]Data File'!$C$1677</f>
        <v>2484.6</v>
      </c>
      <c r="D1660" s="2245">
        <v>3139.38</v>
      </c>
      <c r="E1660" s="2244">
        <v>1254.5999999999999</v>
      </c>
      <c r="F1660" s="2246">
        <v>2460</v>
      </c>
      <c r="G1660" s="2253">
        <v>2671.59</v>
      </c>
      <c r="H1660" s="2100">
        <v>1455.5</v>
      </c>
      <c r="I1660" s="2238">
        <f>VLOOKUP(A1660,'Trial Balance - FPer'!$A$7:$I$1107,7,FALSE)</f>
        <v>2484.6</v>
      </c>
      <c r="J1660" s="2100">
        <f>VLOOKUP(A1660,'Trial Balance - FPer'!$A$7:$I$1126,3,FALSE)</f>
        <v>2484.6</v>
      </c>
    </row>
    <row r="1661" spans="1:10" ht="14.25" hidden="1" x14ac:dyDescent="0.2">
      <c r="A1661" s="2236" t="s">
        <v>5671</v>
      </c>
      <c r="B1661" s="2243" t="s">
        <v>6585</v>
      </c>
      <c r="C1661" s="2244">
        <f>'[2]Data File'!$C$1682</f>
        <v>46640.56</v>
      </c>
      <c r="D1661" s="2245">
        <v>54094.7</v>
      </c>
      <c r="E1661" s="2244">
        <v>25595.71</v>
      </c>
      <c r="F1661" s="2246">
        <v>54094.7</v>
      </c>
      <c r="G1661" s="2253">
        <v>52071.54</v>
      </c>
      <c r="H1661" s="2100">
        <v>29813.45</v>
      </c>
      <c r="I1661" s="2238">
        <f>VLOOKUP(A1661,'Trial Balance - FPer'!$A$7:$I$1107,7,FALSE)</f>
        <v>52271.94</v>
      </c>
      <c r="J1661" s="2100">
        <f>VLOOKUP(A1661,'Trial Balance - FPer'!$A$7:$I$1126,3,FALSE)</f>
        <v>46640.56</v>
      </c>
    </row>
    <row r="1662" spans="1:10" ht="14.25" hidden="1" x14ac:dyDescent="0.2">
      <c r="A1662" s="2236" t="s">
        <v>5672</v>
      </c>
      <c r="B1662" s="2243" t="s">
        <v>6586</v>
      </c>
      <c r="C1662" s="2244">
        <f>'[2]Data File'!$C$1685</f>
        <v>-14154.6</v>
      </c>
      <c r="D1662" s="2245">
        <v>16065.57</v>
      </c>
      <c r="E1662" s="2244">
        <v>0</v>
      </c>
      <c r="F1662" s="2246">
        <v>0</v>
      </c>
      <c r="G1662" s="2253">
        <v>4033.79</v>
      </c>
      <c r="H1662" s="2100">
        <v>0</v>
      </c>
      <c r="I1662" s="2238">
        <f>VLOOKUP(A1662,'Trial Balance - FPer'!$A$7:$I$1107,7,FALSE)</f>
        <v>0</v>
      </c>
      <c r="J1662" s="2100">
        <f>VLOOKUP(A1662,'Trial Balance - FPer'!$A$7:$I$1126,3,FALSE)</f>
        <v>-14154.6</v>
      </c>
    </row>
    <row r="1663" spans="1:10" ht="14.25" hidden="1" x14ac:dyDescent="0.2">
      <c r="A1663" s="2236" t="s">
        <v>5673</v>
      </c>
      <c r="B1663" s="2243" t="s">
        <v>6587</v>
      </c>
      <c r="C1663" s="2244">
        <f>'[2]Data File'!$C$1674</f>
        <v>182283</v>
      </c>
      <c r="D1663" s="2245">
        <v>199003.35</v>
      </c>
      <c r="E1663" s="2244">
        <v>101148.6</v>
      </c>
      <c r="F1663" s="2246">
        <v>211330.2</v>
      </c>
      <c r="G1663" s="2253">
        <v>202088.92</v>
      </c>
      <c r="H1663" s="2100">
        <v>119512.2</v>
      </c>
      <c r="I1663" s="2238">
        <f>VLOOKUP(A1663,'Trial Balance - FPer'!$A$7:$I$1107,7,FALSE)</f>
        <v>220489.92</v>
      </c>
      <c r="J1663" s="2100">
        <f>VLOOKUP(A1663,'Trial Balance - FPer'!$A$7:$I$1126,3,FALSE)</f>
        <v>182283</v>
      </c>
    </row>
    <row r="1664" spans="1:10" ht="14.25" hidden="1" x14ac:dyDescent="0.2">
      <c r="A1664" s="2236" t="s">
        <v>5674</v>
      </c>
      <c r="B1664" s="2243" t="s">
        <v>6013</v>
      </c>
      <c r="C1664" s="2244">
        <f>'[2]Data File'!$C$1675</f>
        <v>658983.28</v>
      </c>
      <c r="D1664" s="2245">
        <v>802015.37</v>
      </c>
      <c r="E1664" s="2244">
        <v>363216.8</v>
      </c>
      <c r="F1664" s="2246">
        <v>721907.36</v>
      </c>
      <c r="G1664" s="2253">
        <v>747591.78</v>
      </c>
      <c r="H1664" s="2100">
        <v>422998.56</v>
      </c>
      <c r="I1664" s="2238">
        <f>VLOOKUP(A1664,'Trial Balance - FPer'!$A$7:$I$1107,7,FALSE)</f>
        <v>729481.12</v>
      </c>
      <c r="J1664" s="2100">
        <f>VLOOKUP(A1664,'Trial Balance - FPer'!$A$7:$I$1126,3,FALSE)</f>
        <v>658983.28</v>
      </c>
    </row>
    <row r="1665" spans="1:10" ht="14.25" hidden="1" x14ac:dyDescent="0.2">
      <c r="A1665" s="2236" t="s">
        <v>5675</v>
      </c>
      <c r="B1665" s="2247" t="s">
        <v>6014</v>
      </c>
      <c r="C1665" s="2248">
        <f>'[2]Data File'!$C$1676</f>
        <v>45507.44</v>
      </c>
      <c r="D1665" s="2249">
        <v>54331.92</v>
      </c>
      <c r="E1665" s="2248">
        <v>24431.09</v>
      </c>
      <c r="F1665" s="2250">
        <v>54331.92</v>
      </c>
      <c r="G1665" s="2248">
        <v>50377.59</v>
      </c>
      <c r="H1665" s="2100">
        <v>28547.69</v>
      </c>
      <c r="I1665" s="2238">
        <f>VLOOKUP(A1665,'Trial Balance - FPer'!$A$7:$I$1107,7,FALSE)</f>
        <v>48939.96</v>
      </c>
      <c r="J1665" s="2100">
        <f>VLOOKUP(A1665,'Trial Balance - FPer'!$A$7:$I$1126,3,FALSE)</f>
        <v>45507.44</v>
      </c>
    </row>
    <row r="1666" spans="1:10" s="2615" customFormat="1" hidden="1" x14ac:dyDescent="0.2">
      <c r="A1666" s="2612"/>
      <c r="B1666" s="2613" t="s">
        <v>6588</v>
      </c>
      <c r="C1666" s="2614">
        <f>SUM(C1653:C1665)</f>
        <v>5603905.6399999997</v>
      </c>
      <c r="D1666" s="2614">
        <f>SUM(D1653:D1665)</f>
        <v>6742224.8100000005</v>
      </c>
      <c r="E1666" s="2614">
        <f>SUM(E1653:E1665)</f>
        <v>3158131.83</v>
      </c>
      <c r="F1666" s="2614">
        <f>SUM(F1653:F1665)</f>
        <v>6263909.3000000007</v>
      </c>
      <c r="G1666" s="2614">
        <f>SUM(G1653:G1665)</f>
        <v>6434106.0200000005</v>
      </c>
      <c r="H1666" s="2614">
        <f t="shared" ref="H1666" si="175">SUM(H1653:H1665)</f>
        <v>3685498.4700000007</v>
      </c>
      <c r="I1666" s="2614">
        <f>SUM(I1653:I1665)</f>
        <v>6371201.6099999994</v>
      </c>
      <c r="J1666" s="2614">
        <f>SUM(J1653:J1665)</f>
        <v>5603905.6399999997</v>
      </c>
    </row>
    <row r="1667" spans="1:10" ht="14.25" hidden="1" x14ac:dyDescent="0.2">
      <c r="A1667" s="2236"/>
      <c r="B1667" s="2243"/>
      <c r="C1667" s="2244"/>
      <c r="D1667" s="2245"/>
      <c r="E1667" s="2244"/>
      <c r="F1667" s="2246"/>
      <c r="G1667" s="2244"/>
      <c r="H1667" s="2244"/>
      <c r="I1667" s="2238" t="e">
        <f>VLOOKUP(A1667,'Trial Balance - FPer'!$A$7:$I$1107,7,FALSE)</f>
        <v>#N/A</v>
      </c>
      <c r="J1667" s="2100" t="e">
        <f>VLOOKUP(A1667,'Trial Balance - FPer'!$A$7:$I$1126,3,FALSE)</f>
        <v>#N/A</v>
      </c>
    </row>
    <row r="1668" spans="1:10" ht="14.25" hidden="1" x14ac:dyDescent="0.2">
      <c r="A1668" s="2236"/>
      <c r="B1668" s="2242" t="s">
        <v>6673</v>
      </c>
      <c r="C1668" s="2244"/>
      <c r="D1668" s="2245"/>
      <c r="E1668" s="2244"/>
      <c r="F1668" s="2246"/>
      <c r="G1668" s="2244"/>
      <c r="H1668" s="2244"/>
      <c r="I1668" s="2238" t="e">
        <f>VLOOKUP(A1668,'Trial Balance - FPer'!$A$7:$I$1107,7,FALSE)</f>
        <v>#N/A</v>
      </c>
      <c r="J1668" s="2100" t="e">
        <f>VLOOKUP(A1668,'Trial Balance - FPer'!$A$7:$I$1126,3,FALSE)</f>
        <v>#N/A</v>
      </c>
    </row>
    <row r="1669" spans="1:10" ht="14.25" hidden="1" x14ac:dyDescent="0.2">
      <c r="A1669" s="2236" t="s">
        <v>5676</v>
      </c>
      <c r="B1669" s="2247" t="s">
        <v>6237</v>
      </c>
      <c r="C1669" s="2248">
        <f>'[2]Data File'!$C$1689</f>
        <v>0</v>
      </c>
      <c r="D1669" s="2249">
        <v>400000</v>
      </c>
      <c r="E1669" s="2248">
        <v>0</v>
      </c>
      <c r="F1669" s="2250">
        <v>400000</v>
      </c>
      <c r="G1669" s="2248">
        <v>100400</v>
      </c>
      <c r="H1669" s="2244"/>
      <c r="I1669" s="2238">
        <f>VLOOKUP(A1669,'Trial Balance - FPer'!$A$7:$I$1107,7,FALSE)</f>
        <v>0</v>
      </c>
      <c r="J1669" s="2100">
        <f>VLOOKUP(A1669,'Trial Balance - FPer'!$A$7:$I$1126,3,FALSE)</f>
        <v>0</v>
      </c>
    </row>
    <row r="1670" spans="1:10" s="2615" customFormat="1" hidden="1" x14ac:dyDescent="0.2">
      <c r="A1670" s="2612"/>
      <c r="B1670" s="2613" t="s">
        <v>6674</v>
      </c>
      <c r="C1670" s="2614">
        <f>SUM(C1669)</f>
        <v>0</v>
      </c>
      <c r="D1670" s="2614">
        <f>SUM(D1669)</f>
        <v>400000</v>
      </c>
      <c r="E1670" s="2614">
        <f>SUM(E1669)</f>
        <v>0</v>
      </c>
      <c r="F1670" s="2614">
        <f>SUM(F1669)</f>
        <v>400000</v>
      </c>
      <c r="G1670" s="2614">
        <f>SUM(G1669)</f>
        <v>100400</v>
      </c>
      <c r="H1670" s="2614">
        <f t="shared" ref="H1670:J1670" si="176">SUM(H1669)</f>
        <v>0</v>
      </c>
      <c r="I1670" s="2614">
        <f t="shared" si="176"/>
        <v>0</v>
      </c>
      <c r="J1670" s="2614">
        <f t="shared" si="176"/>
        <v>0</v>
      </c>
    </row>
    <row r="1671" spans="1:10" ht="14.25" hidden="1" x14ac:dyDescent="0.2">
      <c r="A1671" s="2236"/>
      <c r="B1671" s="2243"/>
      <c r="C1671" s="2244"/>
      <c r="D1671" s="2245"/>
      <c r="E1671" s="2244"/>
      <c r="F1671" s="2246"/>
      <c r="G1671" s="2244"/>
      <c r="H1671" s="2244"/>
      <c r="I1671" s="2238" t="e">
        <f>VLOOKUP(A1671,'Trial Balance - FPer'!$A$7:$I$1107,7,FALSE)</f>
        <v>#N/A</v>
      </c>
      <c r="J1671" s="2100" t="e">
        <f>VLOOKUP(A1671,'Trial Balance - FPer'!$A$7:$I$1126,3,FALSE)</f>
        <v>#N/A</v>
      </c>
    </row>
    <row r="1672" spans="1:10" ht="14.25" hidden="1" x14ac:dyDescent="0.2">
      <c r="A1672" s="2236"/>
      <c r="B1672" s="2242" t="s">
        <v>6815</v>
      </c>
      <c r="C1672" s="2244"/>
      <c r="D1672" s="2245"/>
      <c r="E1672" s="2244"/>
      <c r="F1672" s="2246"/>
      <c r="G1672" s="2244"/>
      <c r="H1672" s="2244"/>
      <c r="I1672" s="2238" t="e">
        <f>VLOOKUP(A1672,'Trial Balance - FPer'!$A$7:$I$1107,7,FALSE)</f>
        <v>#N/A</v>
      </c>
      <c r="J1672" s="2100" t="e">
        <f>VLOOKUP(A1672,'Trial Balance - FPer'!$A$7:$I$1126,3,FALSE)</f>
        <v>#N/A</v>
      </c>
    </row>
    <row r="1673" spans="1:10" ht="14.25" hidden="1" x14ac:dyDescent="0.2">
      <c r="A1673" s="2236" t="s">
        <v>5677</v>
      </c>
      <c r="B1673" s="2247" t="s">
        <v>6676</v>
      </c>
      <c r="C1673" s="2248">
        <f>'[2]Data File'!$C$1725</f>
        <v>0</v>
      </c>
      <c r="D1673" s="2249">
        <v>0</v>
      </c>
      <c r="E1673" s="2248">
        <v>0</v>
      </c>
      <c r="F1673" s="2250">
        <v>0</v>
      </c>
      <c r="G1673" s="2248">
        <v>0</v>
      </c>
      <c r="H1673" s="2244"/>
      <c r="I1673" s="2238">
        <f>VLOOKUP(A1673,'Trial Balance - FPer'!$A$7:$I$1107,7,FALSE)</f>
        <v>0</v>
      </c>
      <c r="J1673" s="2100">
        <f>VLOOKUP(A1673,'Trial Balance - FPer'!$A$7:$I$1126,3,FALSE)</f>
        <v>0</v>
      </c>
    </row>
    <row r="1674" spans="1:10" s="2615" customFormat="1" hidden="1" x14ac:dyDescent="0.2">
      <c r="A1674" s="2612"/>
      <c r="B1674" s="2613" t="s">
        <v>6816</v>
      </c>
      <c r="C1674" s="2614">
        <f>SUM(C1673)</f>
        <v>0</v>
      </c>
      <c r="D1674" s="2614">
        <f>SUM(D1673)</f>
        <v>0</v>
      </c>
      <c r="E1674" s="2614">
        <f>SUM(E1673)</f>
        <v>0</v>
      </c>
      <c r="F1674" s="2614">
        <f>SUM(F1673)</f>
        <v>0</v>
      </c>
      <c r="G1674" s="2614">
        <f>SUM(G1673)</f>
        <v>0</v>
      </c>
      <c r="H1674" s="2614">
        <f t="shared" ref="H1674:J1674" si="177">SUM(H1673)</f>
        <v>0</v>
      </c>
      <c r="I1674" s="2614">
        <f t="shared" si="177"/>
        <v>0</v>
      </c>
      <c r="J1674" s="2614">
        <f t="shared" si="177"/>
        <v>0</v>
      </c>
    </row>
    <row r="1675" spans="1:10" ht="14.25" hidden="1" x14ac:dyDescent="0.2">
      <c r="A1675" s="2236"/>
      <c r="B1675" s="2243"/>
      <c r="C1675" s="2244"/>
      <c r="D1675" s="2245"/>
      <c r="E1675" s="2244"/>
      <c r="F1675" s="2246"/>
      <c r="G1675" s="2244"/>
      <c r="H1675" s="2244"/>
      <c r="I1675" s="2238" t="e">
        <f>VLOOKUP(A1675,'Trial Balance - FPer'!$A$7:$I$1107,7,FALSE)</f>
        <v>#N/A</v>
      </c>
      <c r="J1675" s="2100" t="e">
        <f>VLOOKUP(A1675,'Trial Balance - FPer'!$A$7:$I$1126,3,FALSE)</f>
        <v>#N/A</v>
      </c>
    </row>
    <row r="1676" spans="1:10" ht="14.25" hidden="1" x14ac:dyDescent="0.2">
      <c r="A1676" s="2236"/>
      <c r="B1676" s="2242" t="s">
        <v>6757</v>
      </c>
      <c r="C1676" s="2244"/>
      <c r="D1676" s="2245"/>
      <c r="E1676" s="2244"/>
      <c r="F1676" s="2246"/>
      <c r="G1676" s="2244"/>
      <c r="H1676" s="2244"/>
      <c r="I1676" s="2238" t="e">
        <f>VLOOKUP(A1676,'Trial Balance - FPer'!$A$7:$I$1107,7,FALSE)</f>
        <v>#N/A</v>
      </c>
      <c r="J1676" s="2100" t="e">
        <f>VLOOKUP(A1676,'Trial Balance - FPer'!$A$7:$I$1126,3,FALSE)</f>
        <v>#N/A</v>
      </c>
    </row>
    <row r="1677" spans="1:10" ht="14.25" hidden="1" x14ac:dyDescent="0.2">
      <c r="A1677" s="2236" t="s">
        <v>5678</v>
      </c>
      <c r="B1677" s="2247" t="s">
        <v>6817</v>
      </c>
      <c r="C1677" s="2248">
        <f>'[2]Data File'!$C$1693</f>
        <v>167857.19</v>
      </c>
      <c r="D1677" s="2249">
        <v>73956.2</v>
      </c>
      <c r="E1677" s="2248">
        <v>0</v>
      </c>
      <c r="F1677" s="2250">
        <v>77497.2</v>
      </c>
      <c r="G1677" s="2248">
        <v>18564.099999999999</v>
      </c>
      <c r="H1677" s="2244"/>
      <c r="I1677" s="2238">
        <f>VLOOKUP(A1677,'Trial Balance - FPer'!$A$7:$I$1107,7,FALSE)</f>
        <v>187530.31</v>
      </c>
      <c r="J1677" s="2100">
        <f>VLOOKUP(A1677,'Trial Balance - FPer'!$A$7:$I$1126,3,FALSE)</f>
        <v>167857.19</v>
      </c>
    </row>
    <row r="1678" spans="1:10" s="2615" customFormat="1" hidden="1" x14ac:dyDescent="0.2">
      <c r="A1678" s="2612"/>
      <c r="B1678" s="2613" t="s">
        <v>6758</v>
      </c>
      <c r="C1678" s="2614">
        <f>SUM(C1677)</f>
        <v>167857.19</v>
      </c>
      <c r="D1678" s="2614">
        <f>SUM(D1677)</f>
        <v>73956.2</v>
      </c>
      <c r="E1678" s="2614">
        <f>SUM(E1677)</f>
        <v>0</v>
      </c>
      <c r="F1678" s="2614">
        <f>SUM(F1677)</f>
        <v>77497.2</v>
      </c>
      <c r="G1678" s="2614">
        <f>SUM(G1677)</f>
        <v>18564.099999999999</v>
      </c>
      <c r="H1678" s="2614">
        <f t="shared" ref="H1678" si="178">SUM(H1677)</f>
        <v>0</v>
      </c>
      <c r="I1678" s="2614">
        <f>SUM(I1677)</f>
        <v>187530.31</v>
      </c>
      <c r="J1678" s="2614">
        <f>SUM(J1677)</f>
        <v>167857.19</v>
      </c>
    </row>
    <row r="1679" spans="1:10" ht="14.25" hidden="1" x14ac:dyDescent="0.2">
      <c r="A1679" s="2236"/>
      <c r="B1679" s="2243"/>
      <c r="C1679" s="2244"/>
      <c r="D1679" s="2245"/>
      <c r="E1679" s="2244"/>
      <c r="F1679" s="2246"/>
      <c r="G1679" s="2244"/>
      <c r="H1679" s="2244"/>
      <c r="I1679" s="2238" t="e">
        <f>VLOOKUP(A1679,'Trial Balance - FPer'!$A$7:$I$1107,7,FALSE)</f>
        <v>#N/A</v>
      </c>
      <c r="J1679" s="2100" t="e">
        <f>VLOOKUP(A1679,'Trial Balance - FPer'!$A$7:$I$1126,3,FALSE)</f>
        <v>#N/A</v>
      </c>
    </row>
    <row r="1680" spans="1:10" ht="14.25" hidden="1" x14ac:dyDescent="0.2">
      <c r="A1680" s="2236"/>
      <c r="B1680" s="2242" t="s">
        <v>6802</v>
      </c>
      <c r="C1680" s="2244"/>
      <c r="D1680" s="2245"/>
      <c r="E1680" s="2244"/>
      <c r="F1680" s="2246"/>
      <c r="G1680" s="2244"/>
      <c r="H1680" s="2244"/>
      <c r="I1680" s="2238" t="e">
        <f>VLOOKUP(A1680,'Trial Balance - FPer'!$A$7:$I$1107,7,FALSE)</f>
        <v>#N/A</v>
      </c>
      <c r="J1680" s="2100" t="e">
        <f>VLOOKUP(A1680,'Trial Balance - FPer'!$A$7:$I$1126,3,FALSE)</f>
        <v>#N/A</v>
      </c>
    </row>
    <row r="1681" spans="1:10" ht="14.25" hidden="1" x14ac:dyDescent="0.2">
      <c r="A1681" s="2599" t="s">
        <v>5679</v>
      </c>
      <c r="B1681" s="2603" t="s">
        <v>6818</v>
      </c>
      <c r="C1681" s="2604">
        <f>'[2]Data File'!$C$1697</f>
        <v>0</v>
      </c>
      <c r="D1681" s="2604">
        <v>0</v>
      </c>
      <c r="E1681" s="2604">
        <v>0</v>
      </c>
      <c r="F1681" s="2604">
        <v>549502.80000000005</v>
      </c>
      <c r="G1681" s="2604">
        <v>0</v>
      </c>
      <c r="H1681" s="2604">
        <v>0</v>
      </c>
      <c r="I1681" s="2238"/>
      <c r="J1681" s="2100">
        <f>VLOOKUP(A1681,'Trial Balance - FPer'!$A$7:$I$1126,3,FALSE)</f>
        <v>0</v>
      </c>
    </row>
    <row r="1682" spans="1:10" s="2615" customFormat="1" hidden="1" x14ac:dyDescent="0.2">
      <c r="A1682" s="2612"/>
      <c r="B1682" s="2613" t="s">
        <v>6803</v>
      </c>
      <c r="C1682" s="2614">
        <f>SUM(C1681)</f>
        <v>0</v>
      </c>
      <c r="D1682" s="2614">
        <f>SUM(D1681)</f>
        <v>0</v>
      </c>
      <c r="E1682" s="2614">
        <f>SUM(E1681)</f>
        <v>0</v>
      </c>
      <c r="F1682" s="2614">
        <f>SUM(F1681)</f>
        <v>549502.80000000005</v>
      </c>
      <c r="G1682" s="2614">
        <f>SUM(G1681)</f>
        <v>0</v>
      </c>
      <c r="H1682" s="2614">
        <f t="shared" ref="H1682:J1682" si="179">SUM(H1681)</f>
        <v>0</v>
      </c>
      <c r="I1682" s="2614">
        <f t="shared" si="179"/>
        <v>0</v>
      </c>
      <c r="J1682" s="2614">
        <f t="shared" si="179"/>
        <v>0</v>
      </c>
    </row>
    <row r="1683" spans="1:10" ht="14.25" hidden="1" x14ac:dyDescent="0.2">
      <c r="A1683" s="2236"/>
      <c r="B1683" s="2243"/>
      <c r="C1683" s="2244"/>
      <c r="D1683" s="2245"/>
      <c r="E1683" s="2244"/>
      <c r="F1683" s="2246"/>
      <c r="G1683" s="2244"/>
      <c r="H1683" s="2244"/>
      <c r="I1683" s="2238" t="e">
        <f>VLOOKUP(A1683,'Trial Balance - FPer'!$A$7:$I$1107,7,FALSE)</f>
        <v>#N/A</v>
      </c>
      <c r="J1683" s="2100" t="e">
        <f>VLOOKUP(A1683,'Trial Balance - FPer'!$A$7:$I$1126,3,FALSE)</f>
        <v>#N/A</v>
      </c>
    </row>
    <row r="1684" spans="1:10" ht="14.25" hidden="1" x14ac:dyDescent="0.2">
      <c r="A1684" s="2236"/>
      <c r="B1684" s="2242" t="s">
        <v>6681</v>
      </c>
      <c r="C1684" s="2244"/>
      <c r="D1684" s="2245"/>
      <c r="E1684" s="2244"/>
      <c r="F1684" s="2246"/>
      <c r="G1684" s="2244"/>
      <c r="H1684" s="2244"/>
      <c r="I1684" s="2238" t="e">
        <f>VLOOKUP(A1684,'Trial Balance - FPer'!$A$7:$I$1107,7,FALSE)</f>
        <v>#N/A</v>
      </c>
      <c r="J1684" s="2100" t="e">
        <f>VLOOKUP(A1684,'Trial Balance - FPer'!$A$7:$I$1126,3,FALSE)</f>
        <v>#N/A</v>
      </c>
    </row>
    <row r="1685" spans="1:10" ht="14.25" hidden="1" x14ac:dyDescent="0.2">
      <c r="A1685" s="2599" t="s">
        <v>5681</v>
      </c>
      <c r="B1685" s="2600" t="s">
        <v>595</v>
      </c>
      <c r="C1685" s="2601">
        <f>'[2]Data File'!$C$1718</f>
        <v>1848158.53</v>
      </c>
      <c r="D1685" s="2601">
        <v>0</v>
      </c>
      <c r="E1685" s="2601">
        <v>0</v>
      </c>
      <c r="F1685" s="2601">
        <v>0</v>
      </c>
      <c r="G1685" s="2601">
        <v>0</v>
      </c>
      <c r="H1685" s="2601"/>
      <c r="I1685" s="2238"/>
      <c r="J1685" s="2100">
        <f>VLOOKUP(A1685,'Trial Balance - FPer'!$A$7:$I$1126,3,FALSE)</f>
        <v>1848158.53</v>
      </c>
    </row>
    <row r="1686" spans="1:10" ht="14.25" hidden="1" x14ac:dyDescent="0.2">
      <c r="A1686" s="2605" t="s">
        <v>5682</v>
      </c>
      <c r="B1686" s="2606" t="s">
        <v>6240</v>
      </c>
      <c r="C1686" s="2602">
        <f>'[2]Data File'!$C$1745</f>
        <v>0</v>
      </c>
      <c r="D1686" s="2602">
        <v>12453006.85</v>
      </c>
      <c r="E1686" s="2602">
        <v>0</v>
      </c>
      <c r="F1686" s="2602">
        <v>3798397.58</v>
      </c>
      <c r="G1686" s="2602">
        <v>3125703.43</v>
      </c>
      <c r="H1686" s="2602"/>
      <c r="I1686" s="2238"/>
      <c r="J1686" s="2100">
        <f>VLOOKUP(A1686,'Trial Balance - FPer'!$A$7:$I$1126,3,FALSE)</f>
        <v>0</v>
      </c>
    </row>
    <row r="1687" spans="1:10" ht="14.25" hidden="1" x14ac:dyDescent="0.2">
      <c r="A1687" s="2599"/>
      <c r="B1687" s="2603" t="s">
        <v>6819</v>
      </c>
      <c r="C1687" s="2604"/>
      <c r="D1687" s="2604">
        <v>10894000</v>
      </c>
      <c r="E1687" s="2604"/>
      <c r="F1687" s="2604">
        <v>8094000</v>
      </c>
      <c r="G1687" s="2604"/>
      <c r="H1687" s="2601"/>
      <c r="I1687" s="2238"/>
      <c r="J1687" s="2100" t="e">
        <f>VLOOKUP(A1687,'Trial Balance - FPer'!$A$7:$I$1126,3,FALSE)</f>
        <v>#N/A</v>
      </c>
    </row>
    <row r="1688" spans="1:10" s="2615" customFormat="1" hidden="1" x14ac:dyDescent="0.2">
      <c r="A1688" s="2612"/>
      <c r="B1688" s="2613" t="s">
        <v>6684</v>
      </c>
      <c r="C1688" s="2614">
        <f>SUM(C1685:C1686)</f>
        <v>1848158.53</v>
      </c>
      <c r="D1688" s="2614">
        <f>SUM(D1685:D1687)</f>
        <v>23347006.850000001</v>
      </c>
      <c r="E1688" s="2614">
        <f>SUM(E1685:E1687)</f>
        <v>0</v>
      </c>
      <c r="F1688" s="2614">
        <f>SUM(F1685:F1687)</f>
        <v>11892397.58</v>
      </c>
      <c r="G1688" s="2614">
        <f>SUM(G1685:G1686)</f>
        <v>3125703.43</v>
      </c>
      <c r="H1688" s="2614">
        <f t="shared" ref="H1688" si="180">SUM(H1685:H1686)</f>
        <v>0</v>
      </c>
      <c r="I1688" s="2614">
        <f>SUM(I1685:I1686)</f>
        <v>0</v>
      </c>
      <c r="J1688" s="2614">
        <f>SUM(J1685:J1686)</f>
        <v>1848158.53</v>
      </c>
    </row>
    <row r="1689" spans="1:10" ht="14.25" hidden="1" x14ac:dyDescent="0.2">
      <c r="A1689" s="2236"/>
      <c r="B1689" s="2243"/>
      <c r="C1689" s="2244"/>
      <c r="D1689" s="2245"/>
      <c r="E1689" s="2244"/>
      <c r="F1689" s="2246"/>
      <c r="G1689" s="2244"/>
      <c r="H1689" s="2244"/>
      <c r="I1689" s="2238" t="e">
        <f>VLOOKUP(A1689,'Trial Balance - FPer'!$A$7:$I$1107,7,FALSE)</f>
        <v>#N/A</v>
      </c>
      <c r="J1689" s="2100" t="e">
        <f>VLOOKUP(A1689,'Trial Balance - FPer'!$A$7:$I$1126,3,FALSE)</f>
        <v>#N/A</v>
      </c>
    </row>
    <row r="1690" spans="1:10" ht="14.25" hidden="1" x14ac:dyDescent="0.2">
      <c r="A1690" s="2236"/>
      <c r="B1690" s="2242" t="s">
        <v>6599</v>
      </c>
      <c r="C1690" s="2244"/>
      <c r="D1690" s="2245"/>
      <c r="E1690" s="2244"/>
      <c r="F1690" s="2246"/>
      <c r="G1690" s="2244"/>
      <c r="H1690" s="2244"/>
      <c r="I1690" s="2238" t="e">
        <f>VLOOKUP(A1690,'Trial Balance - FPer'!$A$7:$I$1107,7,FALSE)</f>
        <v>#N/A</v>
      </c>
      <c r="J1690" s="2100" t="e">
        <f>VLOOKUP(A1690,'Trial Balance - FPer'!$A$7:$I$1126,3,FALSE)</f>
        <v>#N/A</v>
      </c>
    </row>
    <row r="1691" spans="1:10" ht="14.25" hidden="1" x14ac:dyDescent="0.2">
      <c r="A1691" s="2236" t="s">
        <v>5686</v>
      </c>
      <c r="B1691" s="2243" t="s">
        <v>6601</v>
      </c>
      <c r="C1691" s="2244">
        <f>'[2]Data File'!$C$1704</f>
        <v>0</v>
      </c>
      <c r="D1691" s="2245">
        <v>4138.5200000000004</v>
      </c>
      <c r="E1691" s="2244">
        <v>0</v>
      </c>
      <c r="F1691" s="2246">
        <v>0</v>
      </c>
      <c r="G1691" s="2244">
        <v>1040.26</v>
      </c>
      <c r="H1691" s="2100">
        <v>0</v>
      </c>
      <c r="I1691" s="2238">
        <f>VLOOKUP(A1691,'Trial Balance - FPer'!$A$7:$I$1107,7,FALSE)</f>
        <v>0</v>
      </c>
      <c r="J1691" s="2100" t="str">
        <f>VLOOKUP(A1691,'Trial Balance - FPer'!$A$7:$I$1126,3,FALSE)</f>
        <v xml:space="preserve">                               -  </v>
      </c>
    </row>
    <row r="1692" spans="1:10" ht="14.25" hidden="1" x14ac:dyDescent="0.2">
      <c r="A1692" s="2236" t="s">
        <v>5687</v>
      </c>
      <c r="B1692" s="2243" t="s">
        <v>6105</v>
      </c>
      <c r="C1692" s="2244">
        <f>'[2]Data File'!$C$1706</f>
        <v>0</v>
      </c>
      <c r="D1692" s="2245">
        <v>827.71</v>
      </c>
      <c r="E1692" s="2244">
        <v>0</v>
      </c>
      <c r="F1692" s="2246">
        <v>0</v>
      </c>
      <c r="G1692" s="2244">
        <v>206.86</v>
      </c>
      <c r="H1692" s="2100">
        <v>0</v>
      </c>
      <c r="I1692" s="2238">
        <f>VLOOKUP(A1692,'Trial Balance - FPer'!$A$7:$I$1107,7,FALSE)</f>
        <v>0</v>
      </c>
      <c r="J1692" s="2100">
        <f>VLOOKUP(A1692,'Trial Balance - FPer'!$A$7:$I$1126,3,FALSE)</f>
        <v>0</v>
      </c>
    </row>
    <row r="1693" spans="1:10" ht="14.25" hidden="1" x14ac:dyDescent="0.2">
      <c r="A1693" s="2236" t="s">
        <v>5688</v>
      </c>
      <c r="B1693" s="2243" t="s">
        <v>1101</v>
      </c>
      <c r="C1693" s="2244">
        <f>'[2]Data File'!$C$1707</f>
        <v>13244</v>
      </c>
      <c r="D1693" s="2245">
        <v>19872.599999999999</v>
      </c>
      <c r="E1693" s="2244">
        <v>0</v>
      </c>
      <c r="F1693" s="2246">
        <v>19872.599999999999</v>
      </c>
      <c r="G1693" s="2244">
        <v>4989.3</v>
      </c>
      <c r="H1693" s="2100">
        <v>0</v>
      </c>
      <c r="I1693" s="2238">
        <f>VLOOKUP(A1693,'Trial Balance - FPer'!$A$7:$I$1107,7,FALSE)</f>
        <v>30097.07</v>
      </c>
      <c r="J1693" s="2100">
        <f>VLOOKUP(A1693,'Trial Balance - FPer'!$A$7:$I$1126,3,FALSE)</f>
        <v>13244</v>
      </c>
    </row>
    <row r="1694" spans="1:10" ht="14.25" hidden="1" x14ac:dyDescent="0.2">
      <c r="A1694" s="2236" t="s">
        <v>5689</v>
      </c>
      <c r="B1694" s="2243" t="s">
        <v>6762</v>
      </c>
      <c r="C1694" s="2244">
        <f>'[2]Data File'!$C$1719</f>
        <v>0</v>
      </c>
      <c r="D1694" s="2245">
        <v>0</v>
      </c>
      <c r="E1694" s="2244">
        <v>0</v>
      </c>
      <c r="F1694" s="2246">
        <v>0</v>
      </c>
      <c r="G1694" s="2244">
        <v>0</v>
      </c>
      <c r="H1694" s="2100">
        <v>0</v>
      </c>
      <c r="I1694" s="2238">
        <f>VLOOKUP(A1694,'Trial Balance - FPer'!$A$7:$I$1107,7,FALSE)</f>
        <v>0</v>
      </c>
      <c r="J1694" s="2100" t="str">
        <f>VLOOKUP(A1694,'Trial Balance - FPer'!$A$7:$I$1126,3,FALSE)</f>
        <v xml:space="preserve">                               -  </v>
      </c>
    </row>
    <row r="1695" spans="1:10" ht="14.25" hidden="1" x14ac:dyDescent="0.2">
      <c r="A1695" s="2236" t="s">
        <v>5690</v>
      </c>
      <c r="B1695" s="2243" t="s">
        <v>6605</v>
      </c>
      <c r="C1695" s="2244">
        <f>'[2]Data File'!$C$1708</f>
        <v>593</v>
      </c>
      <c r="D1695" s="2245">
        <v>652.54</v>
      </c>
      <c r="E1695" s="2244">
        <v>0</v>
      </c>
      <c r="F1695" s="2246">
        <v>0</v>
      </c>
      <c r="G1695" s="2244">
        <v>164.27</v>
      </c>
      <c r="H1695" s="2100">
        <v>0</v>
      </c>
      <c r="I1695" s="2238">
        <f>VLOOKUP(A1695,'Trial Balance - FPer'!$A$7:$I$1107,7,FALSE)</f>
        <v>0</v>
      </c>
      <c r="J1695" s="2100">
        <f>VLOOKUP(A1695,'Trial Balance - FPer'!$A$7:$I$1126,3,FALSE)</f>
        <v>593</v>
      </c>
    </row>
    <row r="1696" spans="1:10" ht="14.25" hidden="1" x14ac:dyDescent="0.2">
      <c r="A1696" s="2236" t="s">
        <v>5691</v>
      </c>
      <c r="B1696" s="2243" t="s">
        <v>6606</v>
      </c>
      <c r="C1696" s="2244">
        <v>0</v>
      </c>
      <c r="D1696" s="2245">
        <v>0</v>
      </c>
      <c r="E1696" s="2244">
        <v>0</v>
      </c>
      <c r="F1696" s="2246">
        <v>0</v>
      </c>
      <c r="G1696" s="2244">
        <v>0</v>
      </c>
      <c r="H1696" s="2100">
        <v>0</v>
      </c>
      <c r="I1696" s="2238">
        <f>VLOOKUP(A1696,'Trial Balance - FPer'!$A$7:$I$1107,7,FALSE)</f>
        <v>0</v>
      </c>
      <c r="J1696" s="2100">
        <f>VLOOKUP(A1696,'Trial Balance - FPer'!$A$7:$I$1126,3,FALSE)</f>
        <v>0</v>
      </c>
    </row>
    <row r="1697" spans="1:10" ht="14.25" hidden="1" x14ac:dyDescent="0.2">
      <c r="A1697" s="2236" t="s">
        <v>5692</v>
      </c>
      <c r="B1697" s="2243" t="s">
        <v>6608</v>
      </c>
      <c r="C1697" s="2244">
        <f>'[2]Data File'!$C$1709</f>
        <v>4911.63</v>
      </c>
      <c r="D1697" s="2245">
        <v>6604.27</v>
      </c>
      <c r="E1697" s="2244">
        <v>5031.2</v>
      </c>
      <c r="F1697" s="2246">
        <v>24529.7</v>
      </c>
      <c r="G1697" s="2244">
        <v>9226.61</v>
      </c>
      <c r="H1697" s="2100">
        <v>24529.7</v>
      </c>
      <c r="I1697" s="2238">
        <f>VLOOKUP(A1697,'Trial Balance - FPer'!$A$7:$I$1107,7,FALSE)</f>
        <v>0</v>
      </c>
      <c r="J1697" s="2100">
        <f>VLOOKUP(A1697,'Trial Balance - FPer'!$A$7:$I$1126,3,FALSE)</f>
        <v>0</v>
      </c>
    </row>
    <row r="1698" spans="1:10" ht="14.25" hidden="1" x14ac:dyDescent="0.2">
      <c r="A1698" s="2236" t="s">
        <v>5693</v>
      </c>
      <c r="B1698" s="2243" t="s">
        <v>6028</v>
      </c>
      <c r="C1698" s="2244">
        <f>'[2]Data File'!$C$1710</f>
        <v>0</v>
      </c>
      <c r="D1698" s="2245">
        <v>0</v>
      </c>
      <c r="E1698" s="2244">
        <v>0</v>
      </c>
      <c r="F1698" s="2246">
        <v>0</v>
      </c>
      <c r="G1698" s="2244">
        <v>0</v>
      </c>
      <c r="H1698" s="2100">
        <v>0</v>
      </c>
      <c r="I1698" s="2238">
        <f>VLOOKUP(A1698,'Trial Balance - FPer'!$A$7:$I$1107,7,FALSE)</f>
        <v>0</v>
      </c>
      <c r="J1698" s="2100">
        <f>VLOOKUP(A1698,'Trial Balance - FPer'!$A$7:$I$1126,3,FALSE)</f>
        <v>0</v>
      </c>
    </row>
    <row r="1699" spans="1:10" ht="14.25" hidden="1" x14ac:dyDescent="0.2">
      <c r="A1699" s="2236" t="s">
        <v>5694</v>
      </c>
      <c r="B1699" s="2243" t="s">
        <v>6609</v>
      </c>
      <c r="C1699" s="2244">
        <f>'[2]Data File'!$C$1711</f>
        <v>33639.919999999998</v>
      </c>
      <c r="D1699" s="2245">
        <v>12127.5</v>
      </c>
      <c r="E1699" s="2244">
        <v>23827.759999999998</v>
      </c>
      <c r="F1699" s="2246">
        <v>80000</v>
      </c>
      <c r="G1699" s="2244">
        <v>38869.9</v>
      </c>
      <c r="H1699" s="2100">
        <v>42589.01</v>
      </c>
      <c r="I1699" s="2238">
        <f>VLOOKUP(A1699,'Trial Balance - FPer'!$A$7:$I$1107,7,FALSE)</f>
        <v>136742.37</v>
      </c>
      <c r="J1699" s="2100">
        <f>VLOOKUP(A1699,'Trial Balance - FPer'!$A$7:$I$1126,3,FALSE)</f>
        <v>33639.919999999998</v>
      </c>
    </row>
    <row r="1700" spans="1:10" ht="14.25" hidden="1" x14ac:dyDescent="0.2">
      <c r="A1700" s="2236" t="s">
        <v>5695</v>
      </c>
      <c r="B1700" s="2243" t="s">
        <v>6731</v>
      </c>
      <c r="C1700" s="2244">
        <f>'[2]Data File'!$C$1712</f>
        <v>502.98</v>
      </c>
      <c r="D1700" s="2245">
        <v>454.28</v>
      </c>
      <c r="E1700" s="2244">
        <v>232.6</v>
      </c>
      <c r="F1700" s="2246">
        <v>454.28</v>
      </c>
      <c r="G1700" s="2244">
        <v>461.17</v>
      </c>
      <c r="H1700" s="2100">
        <v>232.6</v>
      </c>
      <c r="I1700" s="2238">
        <f>VLOOKUP(A1700,'Trial Balance - FPer'!$A$7:$I$1107,7,FALSE)</f>
        <v>1976.28</v>
      </c>
      <c r="J1700" s="2100">
        <f>VLOOKUP(A1700,'Trial Balance - FPer'!$A$7:$I$1126,3,FALSE)</f>
        <v>502.98</v>
      </c>
    </row>
    <row r="1701" spans="1:10" ht="14.25" hidden="1" x14ac:dyDescent="0.2">
      <c r="A1701" s="2236" t="s">
        <v>5696</v>
      </c>
      <c r="B1701" s="2243" t="s">
        <v>6610</v>
      </c>
      <c r="C1701" s="2244">
        <f>'[2]Data File'!$C$1713</f>
        <v>6892.04</v>
      </c>
      <c r="D1701" s="2245">
        <v>15162.49</v>
      </c>
      <c r="E1701" s="2244">
        <v>1319.59</v>
      </c>
      <c r="F1701" s="2246">
        <v>10000</v>
      </c>
      <c r="G1701" s="2244">
        <v>5792.34</v>
      </c>
      <c r="H1701" s="2100">
        <v>3958.77</v>
      </c>
      <c r="I1701" s="2238">
        <f>VLOOKUP(A1701,'Trial Balance - FPer'!$A$7:$I$1107,7,FALSE)</f>
        <v>5278.07</v>
      </c>
      <c r="J1701" s="2100">
        <f>VLOOKUP(A1701,'Trial Balance - FPer'!$A$7:$I$1126,3,FALSE)</f>
        <v>6892.04</v>
      </c>
    </row>
    <row r="1702" spans="1:10" ht="14.25" hidden="1" x14ac:dyDescent="0.2">
      <c r="A1702" s="2236" t="s">
        <v>5697</v>
      </c>
      <c r="B1702" s="2243" t="s">
        <v>6732</v>
      </c>
      <c r="C1702" s="2244">
        <f>'[2]Data File'!$C$1714</f>
        <v>13498.27</v>
      </c>
      <c r="D1702" s="2245">
        <v>6615.18</v>
      </c>
      <c r="E1702" s="2244">
        <v>23978.9</v>
      </c>
      <c r="F1702" s="2246">
        <v>80000</v>
      </c>
      <c r="G1702" s="2244">
        <v>37727.919999999998</v>
      </c>
      <c r="H1702" s="2100">
        <v>57978.9</v>
      </c>
      <c r="I1702" s="2238">
        <f>VLOOKUP(A1702,'Trial Balance - FPer'!$A$7:$I$1107,7,FALSE)</f>
        <v>58520.3</v>
      </c>
      <c r="J1702" s="2100">
        <f>VLOOKUP(A1702,'Trial Balance - FPer'!$A$7:$I$1126,3,FALSE)</f>
        <v>13498.27</v>
      </c>
    </row>
    <row r="1703" spans="1:10" ht="14.25" hidden="1" x14ac:dyDescent="0.2">
      <c r="A1703" s="2236" t="s">
        <v>5698</v>
      </c>
      <c r="B1703" s="2243" t="s">
        <v>6612</v>
      </c>
      <c r="C1703" s="2244">
        <f>'[2]Data File'!$C$1715</f>
        <v>0</v>
      </c>
      <c r="D1703" s="2245">
        <v>9517.2999999999993</v>
      </c>
      <c r="E1703" s="2244">
        <v>0</v>
      </c>
      <c r="F1703" s="2246">
        <v>0</v>
      </c>
      <c r="G1703" s="2244">
        <v>2388.65</v>
      </c>
      <c r="H1703" s="2100">
        <v>0</v>
      </c>
      <c r="I1703" s="2238">
        <f>VLOOKUP(A1703,'Trial Balance - FPer'!$A$7:$I$1107,7,FALSE)</f>
        <v>0</v>
      </c>
      <c r="J1703" s="2100">
        <f>VLOOKUP(A1703,'Trial Balance - FPer'!$A$7:$I$1126,3,FALSE)</f>
        <v>0</v>
      </c>
    </row>
    <row r="1704" spans="1:10" ht="14.25" hidden="1" x14ac:dyDescent="0.2">
      <c r="A1704" s="2236" t="s">
        <v>5699</v>
      </c>
      <c r="B1704" s="2243" t="s">
        <v>6613</v>
      </c>
      <c r="C1704" s="2244">
        <f>'[2]Data File'!$C$1717</f>
        <v>53576.69</v>
      </c>
      <c r="D1704" s="2245">
        <v>484714.8</v>
      </c>
      <c r="E1704" s="2244">
        <v>9752.65</v>
      </c>
      <c r="F1704" s="2246">
        <v>65000</v>
      </c>
      <c r="G1704" s="2244">
        <v>136332.29</v>
      </c>
      <c r="H1704" s="2100">
        <v>9752.65</v>
      </c>
      <c r="I1704" s="2238">
        <f>VLOOKUP(A1704,'Trial Balance - FPer'!$A$7:$I$1107,7,FALSE)</f>
        <v>10270.65</v>
      </c>
      <c r="J1704" s="2100">
        <f>VLOOKUP(A1704,'Trial Balance - FPer'!$A$7:$I$1126,3,FALSE)</f>
        <v>53576.69</v>
      </c>
    </row>
    <row r="1705" spans="1:10" ht="14.25" hidden="1" x14ac:dyDescent="0.2">
      <c r="A1705" s="2236" t="s">
        <v>5700</v>
      </c>
      <c r="B1705" s="2243" t="s">
        <v>6033</v>
      </c>
      <c r="C1705" s="2244">
        <f>'[2]Data File'!$C$1716</f>
        <v>57</v>
      </c>
      <c r="D1705" s="2245">
        <v>62.57</v>
      </c>
      <c r="E1705" s="2244">
        <v>0</v>
      </c>
      <c r="F1705" s="2246">
        <v>0</v>
      </c>
      <c r="G1705" s="2244">
        <v>16.29</v>
      </c>
      <c r="H1705" s="2100">
        <v>0</v>
      </c>
      <c r="I1705" s="2238">
        <f>VLOOKUP(A1705,'Trial Balance - FPer'!$A$7:$I$1107,7,FALSE)</f>
        <v>0</v>
      </c>
      <c r="J1705" s="2100">
        <f>VLOOKUP(A1705,'Trial Balance - FPer'!$A$7:$I$1126,3,FALSE)</f>
        <v>0</v>
      </c>
    </row>
    <row r="1706" spans="1:10" ht="14.25" hidden="1" x14ac:dyDescent="0.2">
      <c r="A1706" s="2236" t="s">
        <v>5701</v>
      </c>
      <c r="B1706" s="2243" t="s">
        <v>6763</v>
      </c>
      <c r="C1706" s="2244">
        <f>'[2]Data File'!$C$1705</f>
        <v>0</v>
      </c>
      <c r="D1706" s="2245">
        <v>316854.44</v>
      </c>
      <c r="E1706" s="2244">
        <v>0</v>
      </c>
      <c r="F1706" s="2246">
        <v>0</v>
      </c>
      <c r="G1706" s="2244">
        <v>79530.22</v>
      </c>
      <c r="H1706" s="2100">
        <v>0</v>
      </c>
      <c r="I1706" s="2238">
        <f>VLOOKUP(A1706,'Trial Balance - FPer'!$A$7:$I$1107,7,FALSE)</f>
        <v>0</v>
      </c>
      <c r="J1706" s="2100" t="str">
        <f>VLOOKUP(A1706,'Trial Balance - FPer'!$A$7:$I$1126,3,FALSE)</f>
        <v xml:space="preserve">                               -  </v>
      </c>
    </row>
    <row r="1707" spans="1:10" ht="14.25" hidden="1" x14ac:dyDescent="0.2">
      <c r="A1707" s="2236" t="s">
        <v>5702</v>
      </c>
      <c r="B1707" s="2243" t="s">
        <v>6804</v>
      </c>
      <c r="C1707" s="2244">
        <v>0</v>
      </c>
      <c r="D1707" s="2245">
        <v>0</v>
      </c>
      <c r="E1707" s="2244">
        <v>0</v>
      </c>
      <c r="F1707" s="2246">
        <v>0</v>
      </c>
      <c r="G1707" s="2244">
        <v>0</v>
      </c>
      <c r="H1707" s="2100">
        <v>0</v>
      </c>
      <c r="I1707" s="2238">
        <f>VLOOKUP(A1707,'Trial Balance - FPer'!$A$7:$I$1107,7,FALSE)</f>
        <v>0</v>
      </c>
      <c r="J1707" s="2100">
        <f>VLOOKUP(A1707,'Trial Balance - FPer'!$A$7:$I$1126,3,FALSE)</f>
        <v>0</v>
      </c>
    </row>
    <row r="1708" spans="1:10" ht="14.25" hidden="1" x14ac:dyDescent="0.2">
      <c r="A1708" s="2236" t="s">
        <v>5703</v>
      </c>
      <c r="B1708" s="2243" t="s">
        <v>6764</v>
      </c>
      <c r="C1708" s="2244">
        <v>0</v>
      </c>
      <c r="D1708" s="2245">
        <v>0</v>
      </c>
      <c r="E1708" s="2244">
        <v>0</v>
      </c>
      <c r="F1708" s="2246">
        <v>0</v>
      </c>
      <c r="G1708" s="2244">
        <v>0</v>
      </c>
      <c r="H1708" s="2100">
        <v>0</v>
      </c>
      <c r="I1708" s="2238"/>
      <c r="J1708" s="2100"/>
    </row>
    <row r="1709" spans="1:10" ht="14.25" hidden="1" x14ac:dyDescent="0.2">
      <c r="A1709" s="2236" t="s">
        <v>5704</v>
      </c>
      <c r="B1709" s="2243" t="s">
        <v>6635</v>
      </c>
      <c r="C1709" s="2244">
        <v>0</v>
      </c>
      <c r="D1709" s="2245">
        <v>0</v>
      </c>
      <c r="E1709" s="2244">
        <v>0</v>
      </c>
      <c r="F1709" s="2246">
        <v>0</v>
      </c>
      <c r="G1709" s="2244">
        <v>0</v>
      </c>
      <c r="H1709" s="2100">
        <v>0</v>
      </c>
      <c r="I1709" s="2238"/>
      <c r="J1709" s="2100"/>
    </row>
    <row r="1710" spans="1:10" ht="14.25" hidden="1" x14ac:dyDescent="0.2">
      <c r="A1710" s="2236" t="s">
        <v>5705</v>
      </c>
      <c r="B1710" s="2247" t="s">
        <v>6820</v>
      </c>
      <c r="C1710" s="2248">
        <v>0</v>
      </c>
      <c r="D1710" s="2249">
        <v>0</v>
      </c>
      <c r="E1710" s="2248">
        <v>0</v>
      </c>
      <c r="F1710" s="2250">
        <v>0</v>
      </c>
      <c r="G1710" s="2248">
        <v>0</v>
      </c>
      <c r="H1710" s="2100">
        <v>0</v>
      </c>
      <c r="I1710" s="2238">
        <f>VLOOKUP(A1710,'Trial Balance - FPer'!$A$7:$I$1107,7,FALSE)</f>
        <v>0</v>
      </c>
      <c r="J1710" s="2100">
        <f>VLOOKUP(A1710,'Trial Balance - FPer'!$A$7:$I$1126,3,FALSE)</f>
        <v>0</v>
      </c>
    </row>
    <row r="1711" spans="1:10" s="2615" customFormat="1" hidden="1" x14ac:dyDescent="0.2">
      <c r="A1711" s="2612"/>
      <c r="B1711" s="2613" t="s">
        <v>6614</v>
      </c>
      <c r="C1711" s="2614">
        <f>SUM(C1691:C1710)</f>
        <v>126915.53000000001</v>
      </c>
      <c r="D1711" s="2614">
        <f>SUM(D1691:D1710)</f>
        <v>877604.2</v>
      </c>
      <c r="E1711" s="2614">
        <f>SUM(E1691:E1710)</f>
        <v>64142.700000000004</v>
      </c>
      <c r="F1711" s="2614">
        <f>SUM(F1691:F1710)</f>
        <v>279856.58</v>
      </c>
      <c r="G1711" s="2614">
        <f>SUM(G1691:G1710)</f>
        <v>316746.08</v>
      </c>
      <c r="H1711" s="2614">
        <f t="shared" ref="H1711" si="181">SUM(H1691:H1710)</f>
        <v>139041.63</v>
      </c>
      <c r="I1711" s="2614">
        <f>SUM(I1691:I1710)</f>
        <v>242884.74000000002</v>
      </c>
      <c r="J1711" s="2614">
        <f>SUM(J1691:J1710)</f>
        <v>121946.90000000001</v>
      </c>
    </row>
    <row r="1712" spans="1:10" ht="14.25" hidden="1" x14ac:dyDescent="0.2">
      <c r="A1712" s="2236"/>
      <c r="B1712" s="2243"/>
      <c r="C1712" s="2244"/>
      <c r="D1712" s="2245"/>
      <c r="E1712" s="2244"/>
      <c r="F1712" s="2246"/>
      <c r="G1712" s="2244"/>
      <c r="H1712" s="2244"/>
      <c r="I1712" s="2238" t="e">
        <f>VLOOKUP(A1712,'Trial Balance - FPer'!$A$7:$I$1107,7,FALSE)</f>
        <v>#N/A</v>
      </c>
      <c r="J1712" s="2100" t="e">
        <f>VLOOKUP(A1712,'Trial Balance - FPer'!$A$7:$I$1126,3,FALSE)</f>
        <v>#N/A</v>
      </c>
    </row>
    <row r="1713" spans="1:10" ht="14.25" hidden="1" x14ac:dyDescent="0.2">
      <c r="A1713" s="2236"/>
      <c r="B1713" s="2242" t="s">
        <v>6615</v>
      </c>
      <c r="C1713" s="2244"/>
      <c r="D1713" s="2245"/>
      <c r="E1713" s="2244"/>
      <c r="F1713" s="2246"/>
      <c r="G1713" s="2244"/>
      <c r="H1713" s="2244"/>
      <c r="I1713" s="2238" t="e">
        <f>VLOOKUP(A1713,'Trial Balance - FPer'!$A$7:$I$1107,7,FALSE)</f>
        <v>#N/A</v>
      </c>
      <c r="J1713" s="2100" t="e">
        <f>VLOOKUP(A1713,'Trial Balance - FPer'!$A$7:$I$1126,3,FALSE)</f>
        <v>#N/A</v>
      </c>
    </row>
    <row r="1714" spans="1:10" ht="14.25" hidden="1" x14ac:dyDescent="0.2">
      <c r="A1714" s="2236" t="s">
        <v>5706</v>
      </c>
      <c r="B1714" s="2243" t="s">
        <v>6715</v>
      </c>
      <c r="C1714" s="2244">
        <f>'[2]Data File'!$C$1729</f>
        <v>0</v>
      </c>
      <c r="D1714" s="2245">
        <v>8277.0300000000007</v>
      </c>
      <c r="E1714" s="2244">
        <v>6710.35</v>
      </c>
      <c r="F1714" s="2246">
        <v>8277.0300000000007</v>
      </c>
      <c r="G1714" s="2253">
        <v>12170.06</v>
      </c>
      <c r="H1714" s="2100">
        <v>6710.35</v>
      </c>
      <c r="I1714" s="2238">
        <f>VLOOKUP(A1714,'Trial Balance - FPer'!$A$7:$I$1107,7,FALSE)</f>
        <v>6710.35</v>
      </c>
      <c r="J1714" s="2100" t="str">
        <f>VLOOKUP(A1714,'Trial Balance - FPer'!$A$7:$I$1126,3,FALSE)</f>
        <v xml:space="preserve">                               -  </v>
      </c>
    </row>
    <row r="1715" spans="1:10" ht="14.25" hidden="1" x14ac:dyDescent="0.2">
      <c r="A1715" s="2236" t="s">
        <v>5707</v>
      </c>
      <c r="B1715" s="2243" t="s">
        <v>6700</v>
      </c>
      <c r="C1715" s="2244">
        <f>'[2]Data File'!$C$1730</f>
        <v>9252.6299999999992</v>
      </c>
      <c r="D1715" s="2245">
        <v>9517.2999999999993</v>
      </c>
      <c r="E1715" s="2244">
        <v>7807.02</v>
      </c>
      <c r="F1715" s="2246">
        <v>15000</v>
      </c>
      <c r="G1715" s="2253">
        <v>14130.25</v>
      </c>
      <c r="H1715" s="2100">
        <v>9007.02</v>
      </c>
      <c r="I1715" s="2238">
        <f>VLOOKUP(A1715,'Trial Balance - FPer'!$A$7:$I$1107,7,FALSE)</f>
        <v>9765.5300000000007</v>
      </c>
      <c r="J1715" s="2100">
        <f>VLOOKUP(A1715,'Trial Balance - FPer'!$A$7:$I$1126,3,FALSE)</f>
        <v>9252.6299999999992</v>
      </c>
    </row>
    <row r="1716" spans="1:10" ht="14.25" hidden="1" x14ac:dyDescent="0.2">
      <c r="A1716" s="2236" t="s">
        <v>5708</v>
      </c>
      <c r="B1716" s="2243" t="s">
        <v>6617</v>
      </c>
      <c r="C1716" s="2244">
        <f>'[2]Data File'!$C$1731</f>
        <v>14990.13</v>
      </c>
      <c r="D1716" s="2245">
        <v>0</v>
      </c>
      <c r="E1716" s="2244">
        <v>1995</v>
      </c>
      <c r="F1716" s="2246">
        <v>5000</v>
      </c>
      <c r="G1716" s="2253">
        <v>1995</v>
      </c>
      <c r="H1716" s="2100">
        <v>2085</v>
      </c>
      <c r="I1716" s="2238">
        <f>VLOOKUP(A1716,'Trial Balance - FPer'!$A$7:$I$1107,7,FALSE)</f>
        <v>9741.3700000000008</v>
      </c>
      <c r="J1716" s="2100">
        <f>VLOOKUP(A1716,'Trial Balance - FPer'!$A$7:$I$1126,3,FALSE)</f>
        <v>14990.13</v>
      </c>
    </row>
    <row r="1717" spans="1:10" ht="14.25" hidden="1" x14ac:dyDescent="0.2">
      <c r="A1717" s="2236" t="s">
        <v>5710</v>
      </c>
      <c r="B1717" s="2243" t="s">
        <v>6821</v>
      </c>
      <c r="C1717" s="2244">
        <f>'[2]Data File'!$C$1733</f>
        <v>54163</v>
      </c>
      <c r="D1717" s="2245">
        <v>29640.09</v>
      </c>
      <c r="E1717" s="2244">
        <v>17922.18</v>
      </c>
      <c r="F1717" s="2246">
        <v>40000</v>
      </c>
      <c r="G1717" s="2253">
        <v>34395.93</v>
      </c>
      <c r="H1717" s="2100">
        <v>20985.83</v>
      </c>
      <c r="I1717" s="2238">
        <f>VLOOKUP(A1717,'Trial Balance - FPer'!$A$7:$I$1107,7,FALSE)</f>
        <v>22057.68</v>
      </c>
      <c r="J1717" s="2100">
        <f>VLOOKUP(A1717,'Trial Balance - FPer'!$A$7:$I$1126,3,FALSE)</f>
        <v>54163</v>
      </c>
    </row>
    <row r="1718" spans="1:10" ht="14.25" hidden="1" x14ac:dyDescent="0.2">
      <c r="A1718" s="2236"/>
      <c r="B1718" s="2243" t="s">
        <v>6822</v>
      </c>
      <c r="C1718" s="2244">
        <f>'[2]Data File'!$C$1732</f>
        <v>7969.36</v>
      </c>
      <c r="D1718" s="2245"/>
      <c r="E1718" s="2244"/>
      <c r="F1718" s="2246">
        <v>0</v>
      </c>
      <c r="G1718" s="2253"/>
      <c r="H1718" s="2100">
        <v>0</v>
      </c>
      <c r="I1718" s="2238"/>
      <c r="J1718" s="2100"/>
    </row>
    <row r="1719" spans="1:10" ht="14.25" hidden="1" x14ac:dyDescent="0.2">
      <c r="A1719" s="2236" t="s">
        <v>5711</v>
      </c>
      <c r="B1719" s="2247" t="s">
        <v>6769</v>
      </c>
      <c r="C1719" s="2248">
        <f>'[2]Data File'!$C$1734</f>
        <v>0</v>
      </c>
      <c r="D1719" s="2249">
        <v>17532.59</v>
      </c>
      <c r="E1719" s="2248">
        <v>0</v>
      </c>
      <c r="F1719" s="2250">
        <v>0</v>
      </c>
      <c r="G1719" s="2248">
        <v>4401.3</v>
      </c>
      <c r="H1719" s="2256"/>
      <c r="I1719" s="2238">
        <f>VLOOKUP(A1719,'Trial Balance - FPer'!$A$7:$I$1107,7,FALSE)</f>
        <v>0</v>
      </c>
      <c r="J1719" s="2100">
        <f>VLOOKUP(A1719,'Trial Balance - FPer'!$A$7:$I$1126,3,FALSE)</f>
        <v>7969.36</v>
      </c>
    </row>
    <row r="1720" spans="1:10" s="2615" customFormat="1" hidden="1" x14ac:dyDescent="0.2">
      <c r="A1720" s="2612"/>
      <c r="B1720" s="2613" t="s">
        <v>6618</v>
      </c>
      <c r="C1720" s="2614">
        <f>SUM(C1714:C1719)</f>
        <v>86375.12</v>
      </c>
      <c r="D1720" s="2614">
        <f>SUM(D1714:D1719)</f>
        <v>64967.009999999995</v>
      </c>
      <c r="E1720" s="2614">
        <f>SUM(E1714:E1719)</f>
        <v>34434.550000000003</v>
      </c>
      <c r="F1720" s="2614">
        <f>SUM(F1714:F1719)</f>
        <v>68277.03</v>
      </c>
      <c r="G1720" s="2614">
        <f>SUM(G1714:G1719)</f>
        <v>67092.539999999994</v>
      </c>
      <c r="H1720" s="2614">
        <f t="shared" ref="H1720" si="182">SUM(H1714:H1719)</f>
        <v>38788.200000000004</v>
      </c>
      <c r="I1720" s="2614">
        <f>SUM(I1714:I1719)</f>
        <v>48274.93</v>
      </c>
      <c r="J1720" s="2614">
        <f>SUM(J1714:J1719)</f>
        <v>86375.12</v>
      </c>
    </row>
    <row r="1721" spans="1:10" ht="14.25" hidden="1" x14ac:dyDescent="0.2">
      <c r="A1721" s="2236"/>
      <c r="B1721" s="2243"/>
      <c r="C1721" s="2244"/>
      <c r="D1721" s="2245"/>
      <c r="E1721" s="2244"/>
      <c r="F1721" s="2246"/>
      <c r="G1721" s="2244"/>
      <c r="H1721" s="2244"/>
      <c r="I1721" s="2238" t="e">
        <f>VLOOKUP(A1721,'Trial Balance - FPer'!$A$7:$I$1107,7,FALSE)</f>
        <v>#N/A</v>
      </c>
      <c r="J1721" s="2100" t="e">
        <f>VLOOKUP(A1721,'Trial Balance - FPer'!$A$7:$I$1126,3,FALSE)</f>
        <v>#N/A</v>
      </c>
    </row>
    <row r="1722" spans="1:10" ht="14.25" hidden="1" x14ac:dyDescent="0.2">
      <c r="A1722" s="2236"/>
      <c r="B1722" s="2242" t="s">
        <v>6619</v>
      </c>
      <c r="C1722" s="2244"/>
      <c r="D1722" s="2245"/>
      <c r="E1722" s="2244"/>
      <c r="F1722" s="2246"/>
      <c r="G1722" s="2244"/>
      <c r="H1722" s="2244"/>
      <c r="I1722" s="2238" t="e">
        <f>VLOOKUP(A1722,'Trial Balance - FPer'!$A$7:$I$1107,7,FALSE)</f>
        <v>#N/A</v>
      </c>
      <c r="J1722" s="2100" t="e">
        <f>VLOOKUP(A1722,'Trial Balance - FPer'!$A$7:$I$1126,3,FALSE)</f>
        <v>#N/A</v>
      </c>
    </row>
    <row r="1723" spans="1:10" ht="14.25" hidden="1" x14ac:dyDescent="0.2">
      <c r="A1723" s="2236" t="s">
        <v>5712</v>
      </c>
      <c r="B1723" s="2243" t="s">
        <v>6701</v>
      </c>
      <c r="C1723" s="2244">
        <v>0</v>
      </c>
      <c r="D1723" s="2245">
        <v>0</v>
      </c>
      <c r="E1723" s="2244">
        <v>0</v>
      </c>
      <c r="F1723" s="2246">
        <v>0</v>
      </c>
      <c r="G1723" s="2244">
        <v>0</v>
      </c>
      <c r="H1723" s="2100">
        <v>0</v>
      </c>
      <c r="I1723" s="2238">
        <f>VLOOKUP(A1723,'Trial Balance - FPer'!$A$7:$I$1107,7,FALSE)</f>
        <v>0</v>
      </c>
      <c r="J1723" s="2100">
        <f>VLOOKUP(A1723,'Trial Balance - FPer'!$A$7:$I$1126,3,FALSE)</f>
        <v>0</v>
      </c>
    </row>
    <row r="1724" spans="1:10" ht="14.25" hidden="1" x14ac:dyDescent="0.2">
      <c r="A1724" s="2236" t="s">
        <v>5713</v>
      </c>
      <c r="B1724" s="2243" t="s">
        <v>6620</v>
      </c>
      <c r="C1724" s="2244">
        <f>'[2]Data File'!$C$1738</f>
        <v>0</v>
      </c>
      <c r="D1724" s="2245">
        <v>44121.35</v>
      </c>
      <c r="E1724" s="2244">
        <v>4656.53</v>
      </c>
      <c r="F1724" s="2246">
        <v>44121.35</v>
      </c>
      <c r="G1724" s="2244">
        <v>18079.04</v>
      </c>
      <c r="H1724" s="2100">
        <v>4656.53</v>
      </c>
      <c r="I1724" s="2238">
        <f>VLOOKUP(A1724,'Trial Balance - FPer'!$A$7:$I$1107,7,FALSE)</f>
        <v>23403.22</v>
      </c>
      <c r="J1724" s="2100" t="str">
        <f>VLOOKUP(A1724,'Trial Balance - FPer'!$A$7:$I$1126,3,FALSE)</f>
        <v xml:space="preserve">                               -  </v>
      </c>
    </row>
    <row r="1725" spans="1:10" ht="14.25" hidden="1" x14ac:dyDescent="0.2">
      <c r="A1725" s="2236" t="s">
        <v>5714</v>
      </c>
      <c r="B1725" s="2247" t="s">
        <v>6621</v>
      </c>
      <c r="C1725" s="2248">
        <f>'[2]Data File'!$C$1740</f>
        <v>4625.04</v>
      </c>
      <c r="D1725" s="2249">
        <v>21087.45</v>
      </c>
      <c r="E1725" s="2248">
        <v>0</v>
      </c>
      <c r="F1725" s="2250">
        <v>21087.45</v>
      </c>
      <c r="G1725" s="2248">
        <v>5293.73</v>
      </c>
      <c r="H1725" s="2100">
        <v>0</v>
      </c>
      <c r="I1725" s="2238">
        <f>VLOOKUP(A1725,'Trial Balance - FPer'!$A$7:$I$1107,7,FALSE)</f>
        <v>0</v>
      </c>
      <c r="J1725" s="2100">
        <f>VLOOKUP(A1725,'Trial Balance - FPer'!$A$7:$I$1126,3,FALSE)</f>
        <v>4625.04</v>
      </c>
    </row>
    <row r="1726" spans="1:10" s="2615" customFormat="1" hidden="1" x14ac:dyDescent="0.2">
      <c r="A1726" s="2612"/>
      <c r="B1726" s="2613" t="s">
        <v>6622</v>
      </c>
      <c r="C1726" s="2614">
        <f>SUM(C1723:C1725)</f>
        <v>4625.04</v>
      </c>
      <c r="D1726" s="2614">
        <f>SUM(D1723:D1725)</f>
        <v>65208.800000000003</v>
      </c>
      <c r="E1726" s="2614">
        <f>SUM(E1723:E1725)</f>
        <v>4656.53</v>
      </c>
      <c r="F1726" s="2614">
        <f>SUM(F1723:F1725)</f>
        <v>65208.800000000003</v>
      </c>
      <c r="G1726" s="2614">
        <f>SUM(G1723:G1725)</f>
        <v>23372.77</v>
      </c>
      <c r="H1726" s="2614">
        <f t="shared" ref="H1726" si="183">SUM(H1723:H1725)</f>
        <v>4656.53</v>
      </c>
      <c r="I1726" s="2614">
        <f>SUM(I1723:I1725)</f>
        <v>23403.22</v>
      </c>
      <c r="J1726" s="2614">
        <f>SUM(J1723:J1725)</f>
        <v>4625.04</v>
      </c>
    </row>
    <row r="1727" spans="1:10" ht="14.25" hidden="1" x14ac:dyDescent="0.2">
      <c r="A1727" s="2236"/>
      <c r="B1727" s="2243"/>
      <c r="C1727" s="2244"/>
      <c r="D1727" s="2245"/>
      <c r="E1727" s="2244"/>
      <c r="F1727" s="2246"/>
      <c r="G1727" s="2244"/>
      <c r="H1727" s="2244"/>
      <c r="I1727" s="2238" t="e">
        <f>VLOOKUP(A1727,'Trial Balance - FPer'!$A$7:$I$1107,7,FALSE)</f>
        <v>#N/A</v>
      </c>
      <c r="J1727" s="2100" t="e">
        <f>VLOOKUP(A1727,'Trial Balance - FPer'!$A$7:$I$1126,3,FALSE)</f>
        <v>#N/A</v>
      </c>
    </row>
    <row r="1728" spans="1:10" s="2615" customFormat="1" ht="13.5" thickBot="1" x14ac:dyDescent="0.25">
      <c r="A1728" s="2612"/>
      <c r="B1728" s="2616" t="s">
        <v>6623</v>
      </c>
      <c r="C1728" s="2617">
        <f>C1726+C1720+C1711+C1688+C1682+C1678+C1674+C1670+C1666</f>
        <v>7837837.0499999998</v>
      </c>
      <c r="D1728" s="2617">
        <f>D1726+D1720+D1711+D1688+D1682+D1678+D1674+D1670+D1666</f>
        <v>31570967.870000005</v>
      </c>
      <c r="E1728" s="2617">
        <f>E1726+E1720+E1711+E1688+E1682+E1678+E1674+E1670+E1666</f>
        <v>3261365.61</v>
      </c>
      <c r="F1728" s="2617">
        <f>F1726+F1720+F1711+F1688+F1682+F1678+F1674+F1670+F1666</f>
        <v>19596649.289999999</v>
      </c>
      <c r="G1728" s="2617">
        <f>G1726+G1720+G1711+G1688+G1682+G1678+G1674+G1670+G1666</f>
        <v>10085984.940000001</v>
      </c>
      <c r="H1728" s="2617">
        <f t="shared" ref="H1728" si="184">H1726+H1720+H1711+H1688+H1682+H1678+H1674+H1670+H1666</f>
        <v>3867984.8300000005</v>
      </c>
      <c r="I1728" s="2617">
        <f>I1726+I1720+I1711+I1688+I1682+I1678+I1674+I1670+I1666</f>
        <v>6873294.8099999996</v>
      </c>
      <c r="J1728" s="2617">
        <f>J1726+J1720+J1711+J1688+J1682+J1678+J1674+J1670+J1666</f>
        <v>7832868.4199999999</v>
      </c>
    </row>
    <row r="1729" spans="1:10" ht="15" thickTop="1" x14ac:dyDescent="0.2">
      <c r="A1729" s="2236"/>
      <c r="B1729" s="2243"/>
      <c r="C1729" s="2244"/>
      <c r="D1729" s="2245"/>
      <c r="E1729" s="2244"/>
      <c r="F1729" s="2246"/>
      <c r="G1729" s="2244"/>
      <c r="H1729" s="2244"/>
      <c r="I1729" s="2238" t="e">
        <f>VLOOKUP(A1729,'Trial Balance - FPer'!$A$7:$I$1107,7,FALSE)</f>
        <v>#N/A</v>
      </c>
      <c r="J1729" s="2100" t="e">
        <f>VLOOKUP(A1729,'Trial Balance - FPer'!$A$7:$I$1126,3,FALSE)</f>
        <v>#N/A</v>
      </c>
    </row>
    <row r="1730" spans="1:10" s="2615" customFormat="1" ht="13.5" thickBot="1" x14ac:dyDescent="0.25">
      <c r="A1730" s="2612"/>
      <c r="B1730" s="2616" t="s">
        <v>6624</v>
      </c>
      <c r="C1730" s="2617">
        <f>C1649-C1728</f>
        <v>-2102970.17</v>
      </c>
      <c r="D1730" s="2617">
        <f>D1649-D1728</f>
        <v>-11078384.190000005</v>
      </c>
      <c r="E1730" s="2617">
        <f>E1649-E1728</f>
        <v>10659.740000000224</v>
      </c>
      <c r="F1730" s="2617">
        <f>F1649-F1728</f>
        <v>0</v>
      </c>
      <c r="G1730" s="2617">
        <f>G1649-G1728</f>
        <v>-1995473.910000002</v>
      </c>
      <c r="H1730" s="2617">
        <f t="shared" ref="H1730:J1730" si="185">H1649-H1728</f>
        <v>-3867984.8300000005</v>
      </c>
      <c r="I1730" s="2617">
        <f t="shared" si="185"/>
        <v>-13242375.119999999</v>
      </c>
      <c r="J1730" s="2617">
        <f t="shared" si="185"/>
        <v>-13567735.300000001</v>
      </c>
    </row>
    <row r="1731" spans="1:10" ht="15" thickTop="1" x14ac:dyDescent="0.2">
      <c r="A1731" s="2236"/>
      <c r="B1731" s="2243"/>
      <c r="C1731" s="2244"/>
      <c r="D1731" s="2245"/>
      <c r="E1731" s="2244"/>
      <c r="F1731" s="2246"/>
      <c r="G1731" s="2244"/>
      <c r="H1731" s="2244"/>
      <c r="I1731" s="2238" t="e">
        <f>VLOOKUP(A1731,'Trial Balance - FPer'!$A$7:$I$1107,7,FALSE)</f>
        <v>#N/A</v>
      </c>
      <c r="J1731" s="2100" t="e">
        <f>VLOOKUP(A1731,'Trial Balance - FPer'!$A$7:$I$1126,3,FALSE)</f>
        <v>#N/A</v>
      </c>
    </row>
    <row r="1732" spans="1:10" ht="14.25" x14ac:dyDescent="0.2">
      <c r="A1732" s="2261">
        <v>1010</v>
      </c>
      <c r="B1732" s="2242" t="s">
        <v>6823</v>
      </c>
      <c r="C1732" s="2244"/>
      <c r="D1732" s="2245"/>
      <c r="E1732" s="2244"/>
      <c r="F1732" s="2246"/>
      <c r="G1732" s="2244"/>
      <c r="H1732" s="2244"/>
      <c r="I1732" s="2238" t="e">
        <f>VLOOKUP(A1732,'Trial Balance - FPer'!$A$7:$I$1107,7,FALSE)</f>
        <v>#N/A</v>
      </c>
      <c r="J1732" s="2100" t="e">
        <f>VLOOKUP(A1732,'Trial Balance - FPer'!$A$7:$I$1126,3,FALSE)</f>
        <v>#N/A</v>
      </c>
    </row>
    <row r="1733" spans="1:10" ht="14.25" x14ac:dyDescent="0.2">
      <c r="A1733" s="2236"/>
      <c r="B1733" s="2242" t="s">
        <v>387</v>
      </c>
      <c r="C1733" s="2244"/>
      <c r="D1733" s="2245"/>
      <c r="E1733" s="2244"/>
      <c r="F1733" s="2246"/>
      <c r="G1733" s="2244"/>
      <c r="H1733" s="2244"/>
      <c r="I1733" s="2238" t="e">
        <f>VLOOKUP(A1733,'Trial Balance - FPer'!$A$7:$I$1107,7,FALSE)</f>
        <v>#N/A</v>
      </c>
      <c r="J1733" s="2100" t="e">
        <f>VLOOKUP(A1733,'Trial Balance - FPer'!$A$7:$I$1126,3,FALSE)</f>
        <v>#N/A</v>
      </c>
    </row>
    <row r="1734" spans="1:10" ht="14.25" x14ac:dyDescent="0.2">
      <c r="A1734" s="2236" t="s">
        <v>5725</v>
      </c>
      <c r="B1734" s="2247" t="s">
        <v>6580</v>
      </c>
      <c r="C1734" s="2248">
        <f>'[2]Data File'!$C$1573</f>
        <v>63347.68</v>
      </c>
      <c r="D1734" s="2249">
        <v>0</v>
      </c>
      <c r="E1734" s="2248">
        <v>-152978.01999999999</v>
      </c>
      <c r="F1734" s="2250">
        <v>0</v>
      </c>
      <c r="G1734" s="2248">
        <v>-152978.01999999999</v>
      </c>
      <c r="H1734" s="2100">
        <v>-193395.22</v>
      </c>
      <c r="I1734" s="2238">
        <f>VLOOKUP(A1734,'Trial Balance - FPer'!$A$7:$I$1107,7,FALSE)</f>
        <v>-2.0000000018626451E-2</v>
      </c>
      <c r="J1734" s="2100">
        <f>VLOOKUP(A1734,'Trial Balance - FPer'!$A$7:$I$1126,3,FALSE)</f>
        <v>63347.68</v>
      </c>
    </row>
    <row r="1735" spans="1:10" s="2615" customFormat="1" x14ac:dyDescent="0.2">
      <c r="A1735" s="2612"/>
      <c r="B1735" s="2619" t="s">
        <v>6824</v>
      </c>
      <c r="C1735" s="2614">
        <f>SUM(C1734)</f>
        <v>63347.68</v>
      </c>
      <c r="D1735" s="2614">
        <f>SUM(D1734)</f>
        <v>0</v>
      </c>
      <c r="E1735" s="2614">
        <f>SUM(E1734)</f>
        <v>-152978.01999999999</v>
      </c>
      <c r="F1735" s="2614">
        <f>SUM(F1734)</f>
        <v>0</v>
      </c>
      <c r="G1735" s="2614">
        <f>SUM(G1734)</f>
        <v>-152978.01999999999</v>
      </c>
      <c r="H1735" s="2614">
        <f t="shared" ref="H1735:J1735" si="186">SUM(H1734)</f>
        <v>-193395.22</v>
      </c>
      <c r="I1735" s="2614">
        <f t="shared" si="186"/>
        <v>-2.0000000018626451E-2</v>
      </c>
      <c r="J1735" s="2614">
        <f t="shared" si="186"/>
        <v>63347.68</v>
      </c>
    </row>
    <row r="1736" spans="1:10" ht="14.25" x14ac:dyDescent="0.2">
      <c r="A1736" s="2236"/>
      <c r="B1736" s="2243"/>
      <c r="C1736" s="2244"/>
      <c r="D1736" s="2245"/>
      <c r="E1736" s="2244"/>
      <c r="F1736" s="2246"/>
      <c r="G1736" s="2244"/>
      <c r="H1736" s="2244"/>
      <c r="I1736" s="2238" t="e">
        <f>VLOOKUP(A1736,'Trial Balance - FPer'!$A$7:$I$1107,7,FALSE)</f>
        <v>#N/A</v>
      </c>
      <c r="J1736" s="2100" t="e">
        <f>VLOOKUP(A1736,'Trial Balance - FPer'!$A$7:$I$1126,3,FALSE)</f>
        <v>#N/A</v>
      </c>
    </row>
    <row r="1737" spans="1:10" ht="15" x14ac:dyDescent="0.25">
      <c r="A1737" s="2241">
        <v>1011</v>
      </c>
      <c r="B1737" s="2237" t="s">
        <v>6825</v>
      </c>
      <c r="C1737" s="2244"/>
      <c r="D1737" s="2245"/>
      <c r="E1737" s="2244"/>
      <c r="F1737" s="2246"/>
      <c r="G1737" s="2244"/>
      <c r="H1737" s="2244"/>
      <c r="I1737" s="2238" t="e">
        <f>VLOOKUP(A1737,'Trial Balance - FPer'!$A$7:$I$1107,7,FALSE)</f>
        <v>#N/A</v>
      </c>
      <c r="J1737" s="2100" t="e">
        <f>VLOOKUP(A1737,'Trial Balance - FPer'!$A$7:$I$1126,3,FALSE)</f>
        <v>#N/A</v>
      </c>
    </row>
    <row r="1738" spans="1:10" ht="14.25" x14ac:dyDescent="0.2">
      <c r="A1738" s="2236"/>
      <c r="B1738" s="2243"/>
      <c r="C1738" s="2244"/>
      <c r="D1738" s="2245"/>
      <c r="E1738" s="2244"/>
      <c r="F1738" s="2246"/>
      <c r="G1738" s="2244"/>
      <c r="H1738" s="2244"/>
      <c r="I1738" s="2238" t="e">
        <f>VLOOKUP(A1738,'Trial Balance - FPer'!$A$7:$I$1107,7,FALSE)</f>
        <v>#N/A</v>
      </c>
      <c r="J1738" s="2100" t="e">
        <f>VLOOKUP(A1738,'Trial Balance - FPer'!$A$7:$I$1126,3,FALSE)</f>
        <v>#N/A</v>
      </c>
    </row>
    <row r="1739" spans="1:10" ht="14.25" x14ac:dyDescent="0.2">
      <c r="A1739" s="2236"/>
      <c r="B1739" s="2242" t="s">
        <v>247</v>
      </c>
      <c r="C1739" s="2244"/>
      <c r="D1739" s="2245"/>
      <c r="E1739" s="2244"/>
      <c r="F1739" s="2246"/>
      <c r="G1739" s="2244"/>
      <c r="H1739" s="2244"/>
      <c r="I1739" s="2238" t="e">
        <f>VLOOKUP(A1739,'Trial Balance - FPer'!$A$7:$I$1107,7,FALSE)</f>
        <v>#N/A</v>
      </c>
      <c r="J1739" s="2100" t="e">
        <f>VLOOKUP(A1739,'Trial Balance - FPer'!$A$7:$I$1126,3,FALSE)</f>
        <v>#N/A</v>
      </c>
    </row>
    <row r="1740" spans="1:10" ht="14.25" hidden="1" x14ac:dyDescent="0.2">
      <c r="A1740" s="2236"/>
      <c r="B1740" s="2242" t="s">
        <v>120</v>
      </c>
      <c r="C1740" s="2244"/>
      <c r="D1740" s="2245"/>
      <c r="E1740" s="2244"/>
      <c r="F1740" s="2246"/>
      <c r="G1740" s="2244"/>
      <c r="H1740" s="2244"/>
      <c r="I1740" s="2238" t="e">
        <f>VLOOKUP(A1740,'Trial Balance - FPer'!$A$7:$I$1107,7,FALSE)</f>
        <v>#N/A</v>
      </c>
      <c r="J1740" s="2100" t="e">
        <f>VLOOKUP(A1740,'Trial Balance - FPer'!$A$7:$I$1126,3,FALSE)</f>
        <v>#N/A</v>
      </c>
    </row>
    <row r="1741" spans="1:10" ht="14.25" hidden="1" x14ac:dyDescent="0.2">
      <c r="A1741" s="2236" t="s">
        <v>5768</v>
      </c>
      <c r="B1741" s="2247" t="s">
        <v>21</v>
      </c>
      <c r="C1741" s="2248">
        <f>'[2]Data File'!$C$1558</f>
        <v>3786978.14</v>
      </c>
      <c r="D1741" s="2249">
        <v>694560.48</v>
      </c>
      <c r="E1741" s="2248">
        <v>2166601.88</v>
      </c>
      <c r="F1741" s="2250">
        <v>694560.48</v>
      </c>
      <c r="G1741" s="2248">
        <v>2515268.36</v>
      </c>
      <c r="H1741" s="2244"/>
      <c r="I1741" s="2238">
        <f>VLOOKUP(A1741,'Trial Balance - FPer'!$A$7:$I$1107,7,FALSE)</f>
        <v>-4221847.9099999992</v>
      </c>
      <c r="J1741" s="2100">
        <f>VLOOKUP(A1741,'Trial Balance - FPer'!$A$7:$I$1126,3,FALSE)</f>
        <v>-3786978.14</v>
      </c>
    </row>
    <row r="1742" spans="1:10" s="2615" customFormat="1" hidden="1" x14ac:dyDescent="0.2">
      <c r="A1742" s="2612"/>
      <c r="B1742" s="2613" t="s">
        <v>6811</v>
      </c>
      <c r="C1742" s="2614">
        <f>SUM(C1741)</f>
        <v>3786978.14</v>
      </c>
      <c r="D1742" s="2614">
        <f>SUM(D1741)</f>
        <v>694560.48</v>
      </c>
      <c r="E1742" s="2614">
        <f>SUM(E1741)</f>
        <v>2166601.88</v>
      </c>
      <c r="F1742" s="2614">
        <f>SUM(F1741)</f>
        <v>694560.48</v>
      </c>
      <c r="G1742" s="2614">
        <f>SUM(G1741)</f>
        <v>2515268.36</v>
      </c>
      <c r="H1742" s="2614">
        <f t="shared" ref="H1742:J1742" si="187">SUM(H1741)</f>
        <v>0</v>
      </c>
      <c r="I1742" s="2614">
        <f t="shared" si="187"/>
        <v>-4221847.9099999992</v>
      </c>
      <c r="J1742" s="2614">
        <f t="shared" si="187"/>
        <v>-3786978.14</v>
      </c>
    </row>
    <row r="1743" spans="1:10" ht="14.25" hidden="1" x14ac:dyDescent="0.2">
      <c r="A1743" s="2236"/>
      <c r="B1743" s="2243"/>
      <c r="C1743" s="2244"/>
      <c r="D1743" s="2245"/>
      <c r="E1743" s="2244"/>
      <c r="F1743" s="2246"/>
      <c r="G1743" s="2244"/>
      <c r="H1743" s="2244"/>
      <c r="I1743" s="2238" t="e">
        <f>VLOOKUP(A1743,'Trial Balance - FPer'!$A$7:$I$1107,7,FALSE)</f>
        <v>#N/A</v>
      </c>
      <c r="J1743" s="2100" t="e">
        <f>VLOOKUP(A1743,'Trial Balance - FPer'!$A$7:$I$1126,3,FALSE)</f>
        <v>#N/A</v>
      </c>
    </row>
    <row r="1744" spans="1:10" ht="14.25" hidden="1" x14ac:dyDescent="0.2">
      <c r="A1744" s="2236"/>
      <c r="B1744" s="2242" t="s">
        <v>6628</v>
      </c>
      <c r="C1744" s="2244"/>
      <c r="D1744" s="2245"/>
      <c r="E1744" s="2244"/>
      <c r="F1744" s="2246"/>
      <c r="G1744" s="2244"/>
      <c r="H1744" s="2244"/>
      <c r="I1744" s="2238" t="e">
        <f>VLOOKUP(A1744,'Trial Balance - FPer'!$A$7:$I$1107,7,FALSE)</f>
        <v>#N/A</v>
      </c>
      <c r="J1744" s="2100" t="e">
        <f>VLOOKUP(A1744,'Trial Balance - FPer'!$A$7:$I$1126,3,FALSE)</f>
        <v>#N/A</v>
      </c>
    </row>
    <row r="1745" spans="1:10" ht="14.25" hidden="1" x14ac:dyDescent="0.2">
      <c r="A1745" s="2236" t="s">
        <v>5770</v>
      </c>
      <c r="B1745" s="2247" t="s">
        <v>6659</v>
      </c>
      <c r="C1745" s="2248">
        <f>'[2]Data File'!$C$1564</f>
        <v>0</v>
      </c>
      <c r="D1745" s="2249">
        <v>3236445.3</v>
      </c>
      <c r="E1745" s="2248">
        <v>0</v>
      </c>
      <c r="F1745" s="2250">
        <v>3165581.42</v>
      </c>
      <c r="G1745" s="2248">
        <v>1624695.3</v>
      </c>
      <c r="H1745" s="2244"/>
      <c r="I1745" s="2238">
        <f>VLOOKUP(A1745,'Trial Balance - FPer'!$A$7:$I$1107,7,FALSE)</f>
        <v>0</v>
      </c>
      <c r="J1745" s="2100">
        <f>VLOOKUP(A1745,'Trial Balance - FPer'!$A$7:$I$1126,3,FALSE)</f>
        <v>0</v>
      </c>
    </row>
    <row r="1746" spans="1:10" s="2615" customFormat="1" hidden="1" x14ac:dyDescent="0.2">
      <c r="A1746" s="2612"/>
      <c r="B1746" s="2613" t="s">
        <v>6631</v>
      </c>
      <c r="C1746" s="2614">
        <f>SUM(C1745)</f>
        <v>0</v>
      </c>
      <c r="D1746" s="2614">
        <f>SUM(D1745)</f>
        <v>3236445.3</v>
      </c>
      <c r="E1746" s="2614">
        <f>SUM(E1745)</f>
        <v>0</v>
      </c>
      <c r="F1746" s="2614">
        <f>SUM(F1745)</f>
        <v>3165581.42</v>
      </c>
      <c r="G1746" s="2614">
        <f>SUM(G1745)</f>
        <v>1624695.3</v>
      </c>
      <c r="H1746" s="2614">
        <f t="shared" ref="H1746:J1746" si="188">SUM(H1745)</f>
        <v>0</v>
      </c>
      <c r="I1746" s="2614">
        <f t="shared" si="188"/>
        <v>0</v>
      </c>
      <c r="J1746" s="2614">
        <f t="shared" si="188"/>
        <v>0</v>
      </c>
    </row>
    <row r="1747" spans="1:10" ht="14.25" hidden="1" x14ac:dyDescent="0.2">
      <c r="A1747" s="2236"/>
      <c r="B1747" s="2243"/>
      <c r="C1747" s="2244"/>
      <c r="D1747" s="2245"/>
      <c r="E1747" s="2244"/>
      <c r="F1747" s="2246"/>
      <c r="G1747" s="2244"/>
      <c r="H1747" s="2244"/>
      <c r="I1747" s="2238" t="e">
        <f>VLOOKUP(A1747,'Trial Balance - FPer'!$A$7:$I$1107,7,FALSE)</f>
        <v>#N/A</v>
      </c>
      <c r="J1747" s="2100" t="e">
        <f>VLOOKUP(A1747,'Trial Balance - FPer'!$A$7:$I$1126,3,FALSE)</f>
        <v>#N/A</v>
      </c>
    </row>
    <row r="1748" spans="1:10" s="2615" customFormat="1" ht="13.5" thickBot="1" x14ac:dyDescent="0.25">
      <c r="A1748" s="2612"/>
      <c r="B1748" s="2616" t="s">
        <v>6579</v>
      </c>
      <c r="C1748" s="2617">
        <f>C1746+C1742</f>
        <v>3786978.14</v>
      </c>
      <c r="D1748" s="2617">
        <f>D1746+D1742</f>
        <v>3931005.78</v>
      </c>
      <c r="E1748" s="2617">
        <f>E1746+E1742</f>
        <v>2166601.88</v>
      </c>
      <c r="F1748" s="2617">
        <f>F1746+F1742</f>
        <v>3860141.9</v>
      </c>
      <c r="G1748" s="2617">
        <f>G1746+G1742</f>
        <v>4139963.66</v>
      </c>
      <c r="H1748" s="2617">
        <f t="shared" ref="H1748" si="189">H1746+H1742</f>
        <v>0</v>
      </c>
      <c r="I1748" s="2617">
        <f>I1746+I1742</f>
        <v>-4221847.9099999992</v>
      </c>
      <c r="J1748" s="2617">
        <f>J1746+J1742</f>
        <v>-3786978.14</v>
      </c>
    </row>
    <row r="1749" spans="1:10" ht="15" thickTop="1" x14ac:dyDescent="0.2">
      <c r="A1749" s="2236"/>
      <c r="B1749" s="2243"/>
      <c r="C1749" s="2244"/>
      <c r="D1749" s="2245"/>
      <c r="E1749" s="2244"/>
      <c r="F1749" s="2246"/>
      <c r="G1749" s="2244"/>
      <c r="H1749" s="2244"/>
      <c r="I1749" s="2238" t="e">
        <f>VLOOKUP(A1749,'Trial Balance - FPer'!$A$7:$I$1107,7,FALSE)</f>
        <v>#N/A</v>
      </c>
      <c r="J1749" s="2100" t="e">
        <f>VLOOKUP(A1749,'Trial Balance - FPer'!$A$7:$I$1126,3,FALSE)</f>
        <v>#N/A</v>
      </c>
    </row>
    <row r="1750" spans="1:10" ht="14.25" x14ac:dyDescent="0.2">
      <c r="A1750" s="2236"/>
      <c r="B1750" s="2242" t="s">
        <v>235</v>
      </c>
      <c r="C1750" s="2244"/>
      <c r="D1750" s="2245"/>
      <c r="E1750" s="2244"/>
      <c r="F1750" s="2246"/>
      <c r="G1750" s="2244"/>
      <c r="H1750" s="2244"/>
      <c r="I1750" s="2238" t="e">
        <f>VLOOKUP(A1750,'Trial Balance - FPer'!$A$7:$I$1107,7,FALSE)</f>
        <v>#N/A</v>
      </c>
      <c r="J1750" s="2100" t="e">
        <f>VLOOKUP(A1750,'Trial Balance - FPer'!$A$7:$I$1126,3,FALSE)</f>
        <v>#N/A</v>
      </c>
    </row>
    <row r="1751" spans="1:10" ht="14.25" hidden="1" x14ac:dyDescent="0.2">
      <c r="A1751" s="2236"/>
      <c r="B1751" s="2242" t="s">
        <v>387</v>
      </c>
      <c r="C1751" s="2244"/>
      <c r="D1751" s="2245"/>
      <c r="E1751" s="2244"/>
      <c r="F1751" s="2246"/>
      <c r="G1751" s="2244"/>
      <c r="H1751" s="2244"/>
      <c r="I1751" s="2238" t="e">
        <f>VLOOKUP(A1751,'Trial Balance - FPer'!$A$7:$I$1107,7,FALSE)</f>
        <v>#N/A</v>
      </c>
      <c r="J1751" s="2100" t="e">
        <f>VLOOKUP(A1751,'Trial Balance - FPer'!$A$7:$I$1126,3,FALSE)</f>
        <v>#N/A</v>
      </c>
    </row>
    <row r="1752" spans="1:10" ht="14.25" hidden="1" x14ac:dyDescent="0.2">
      <c r="A1752" s="2236" t="s">
        <v>5726</v>
      </c>
      <c r="B1752" s="2243" t="s">
        <v>6003</v>
      </c>
      <c r="C1752" s="2244">
        <f>'[2]Data File'!$C$1572</f>
        <v>2165312.7400000002</v>
      </c>
      <c r="D1752" s="2245">
        <v>2580260</v>
      </c>
      <c r="E1752" s="2244">
        <v>1010139.99</v>
      </c>
      <c r="F1752" s="2246">
        <v>2070118.11</v>
      </c>
      <c r="G1752" s="2253">
        <v>2166832.17</v>
      </c>
      <c r="H1752" s="2100">
        <v>1186803.01</v>
      </c>
      <c r="I1752" s="2238">
        <f>VLOOKUP(A1752,'Trial Balance - FPer'!$A$7:$I$1107,7,FALSE)</f>
        <v>1980197.5</v>
      </c>
      <c r="J1752" s="2100">
        <f>VLOOKUP(A1752,'Trial Balance - FPer'!$A$7:$I$1126,3,FALSE)</f>
        <v>2165312.7400000002</v>
      </c>
    </row>
    <row r="1753" spans="1:10" ht="14.25" hidden="1" x14ac:dyDescent="0.2">
      <c r="A1753" s="2236" t="s">
        <v>5727</v>
      </c>
      <c r="B1753" s="2243" t="s">
        <v>6004</v>
      </c>
      <c r="C1753" s="2244">
        <f>'[2]Data File'!$C$1578</f>
        <v>124701.19</v>
      </c>
      <c r="D1753" s="2245">
        <v>147624.57999999999</v>
      </c>
      <c r="E1753" s="2244">
        <v>98280.2</v>
      </c>
      <c r="F1753" s="2246">
        <v>176663.02</v>
      </c>
      <c r="G1753" s="2253">
        <v>184866.33</v>
      </c>
      <c r="H1753" s="2100">
        <v>125663.66</v>
      </c>
      <c r="I1753" s="2238">
        <f>VLOOKUP(A1753,'Trial Balance - FPer'!$A$7:$I$1107,7,FALSE)</f>
        <v>181280.98</v>
      </c>
      <c r="J1753" s="2100">
        <f>VLOOKUP(A1753,'Trial Balance - FPer'!$A$7:$I$1126,3,FALSE)</f>
        <v>124701.19</v>
      </c>
    </row>
    <row r="1754" spans="1:10" ht="14.25" hidden="1" x14ac:dyDescent="0.2">
      <c r="A1754" s="2236" t="s">
        <v>5728</v>
      </c>
      <c r="B1754" s="2243" t="s">
        <v>6581</v>
      </c>
      <c r="C1754" s="2244">
        <f>'[2]Data File'!$C$1579</f>
        <v>0</v>
      </c>
      <c r="D1754" s="2245">
        <v>0</v>
      </c>
      <c r="E1754" s="2244">
        <v>0</v>
      </c>
      <c r="F1754" s="2246">
        <v>0</v>
      </c>
      <c r="G1754" s="2253">
        <v>0</v>
      </c>
      <c r="H1754" s="2100">
        <v>0</v>
      </c>
      <c r="I1754" s="2238">
        <f>VLOOKUP(A1754,'Trial Balance - FPer'!$A$7:$I$1107,7,FALSE)</f>
        <v>0</v>
      </c>
      <c r="J1754" s="2100">
        <f>VLOOKUP(A1754,'Trial Balance - FPer'!$A$7:$I$1126,3,FALSE)</f>
        <v>0</v>
      </c>
    </row>
    <row r="1755" spans="1:10" ht="14.25" hidden="1" x14ac:dyDescent="0.2">
      <c r="A1755" s="2236" t="s">
        <v>5729</v>
      </c>
      <c r="B1755" s="2243" t="s">
        <v>6814</v>
      </c>
      <c r="C1755" s="2244">
        <v>0</v>
      </c>
      <c r="D1755" s="2245">
        <v>0</v>
      </c>
      <c r="E1755" s="2244">
        <v>8167.03</v>
      </c>
      <c r="F1755" s="2246">
        <v>8167.03</v>
      </c>
      <c r="G1755" s="2253">
        <v>8167.03</v>
      </c>
      <c r="H1755" s="2100">
        <v>8167.03</v>
      </c>
      <c r="I1755" s="2238">
        <f>VLOOKUP(A1755,'Trial Balance - FPer'!$A$7:$I$1107,7,FALSE)</f>
        <v>8167.03</v>
      </c>
      <c r="J1755" s="2100">
        <f>VLOOKUP(A1755,'Trial Balance - FPer'!$A$7:$I$1126,3,FALSE)</f>
        <v>0</v>
      </c>
    </row>
    <row r="1756" spans="1:10" ht="14.25" hidden="1" x14ac:dyDescent="0.2">
      <c r="A1756" s="2236" t="s">
        <v>5730</v>
      </c>
      <c r="B1756" s="2243" t="s">
        <v>6632</v>
      </c>
      <c r="C1756" s="2244">
        <f>'[2]Data File'!$C$1580</f>
        <v>2367.12</v>
      </c>
      <c r="D1756" s="2245">
        <v>3109.05</v>
      </c>
      <c r="E1756" s="2244">
        <v>1044</v>
      </c>
      <c r="F1756" s="2246">
        <v>2088</v>
      </c>
      <c r="G1756" s="2253">
        <v>2350.91</v>
      </c>
      <c r="H1756" s="2100">
        <v>1218</v>
      </c>
      <c r="I1756" s="2238">
        <f>VLOOKUP(A1756,'Trial Balance - FPer'!$A$7:$I$1107,7,FALSE)</f>
        <v>2088</v>
      </c>
      <c r="J1756" s="2100">
        <f>VLOOKUP(A1756,'Trial Balance - FPer'!$A$7:$I$1126,3,FALSE)</f>
        <v>2367.12</v>
      </c>
    </row>
    <row r="1757" spans="1:10" ht="14.25" hidden="1" x14ac:dyDescent="0.2">
      <c r="A1757" s="2236" t="s">
        <v>5731</v>
      </c>
      <c r="B1757" s="2243" t="s">
        <v>6007</v>
      </c>
      <c r="C1757" s="2244">
        <f>'[2]Data File'!$C$1581</f>
        <v>149902.82999999999</v>
      </c>
      <c r="D1757" s="2245">
        <v>165277.17000000001</v>
      </c>
      <c r="E1757" s="2244">
        <v>70877.81</v>
      </c>
      <c r="F1757" s="2246">
        <v>165277.17000000001</v>
      </c>
      <c r="G1757" s="2253">
        <v>148088.92000000001</v>
      </c>
      <c r="H1757" s="2100">
        <v>87091.41</v>
      </c>
      <c r="I1757" s="2238">
        <f>VLOOKUP(A1757,'Trial Balance - FPer'!$A$7:$I$1107,7,FALSE)</f>
        <v>168718.77</v>
      </c>
      <c r="J1757" s="2100">
        <f>VLOOKUP(A1757,'Trial Balance - FPer'!$A$7:$I$1126,3,FALSE)</f>
        <v>149902.82999999999</v>
      </c>
    </row>
    <row r="1758" spans="1:10" ht="14.25" hidden="1" x14ac:dyDescent="0.2">
      <c r="A1758" s="2236" t="s">
        <v>5732</v>
      </c>
      <c r="B1758" s="2243" t="s">
        <v>6582</v>
      </c>
      <c r="C1758" s="2244">
        <f>'[2]Data File'!$C$1582</f>
        <v>2105.0700000000002</v>
      </c>
      <c r="D1758" s="2245">
        <v>18409.77</v>
      </c>
      <c r="E1758" s="2244">
        <v>0</v>
      </c>
      <c r="F1758" s="2246">
        <v>0</v>
      </c>
      <c r="G1758" s="2253">
        <v>4620.8900000000003</v>
      </c>
      <c r="H1758" s="2100">
        <v>0</v>
      </c>
      <c r="I1758" s="2238">
        <f>VLOOKUP(A1758,'Trial Balance - FPer'!$A$7:$I$1107,7,FALSE)</f>
        <v>0</v>
      </c>
      <c r="J1758" s="2100">
        <f>VLOOKUP(A1758,'Trial Balance - FPer'!$A$7:$I$1126,3,FALSE)</f>
        <v>2105.0700000000002</v>
      </c>
    </row>
    <row r="1759" spans="1:10" ht="14.25" hidden="1" x14ac:dyDescent="0.2">
      <c r="A1759" s="2236" t="s">
        <v>5733</v>
      </c>
      <c r="B1759" s="2243" t="s">
        <v>6672</v>
      </c>
      <c r="C1759" s="2244">
        <f>'[2]Data File'!$C$1585</f>
        <v>0</v>
      </c>
      <c r="D1759" s="2245">
        <v>0</v>
      </c>
      <c r="E1759" s="2244">
        <v>0</v>
      </c>
      <c r="F1759" s="2246">
        <v>0</v>
      </c>
      <c r="G1759" s="2253">
        <v>0</v>
      </c>
      <c r="H1759" s="2100">
        <v>0</v>
      </c>
      <c r="I1759" s="2238">
        <f>VLOOKUP(A1759,'Trial Balance - FPer'!$A$7:$I$1107,7,FALSE)</f>
        <v>0</v>
      </c>
      <c r="J1759" s="2100">
        <f>VLOOKUP(A1759,'Trial Balance - FPer'!$A$7:$I$1126,3,FALSE)</f>
        <v>0</v>
      </c>
    </row>
    <row r="1760" spans="1:10" ht="14.25" hidden="1" x14ac:dyDescent="0.2">
      <c r="A1760" s="2236" t="s">
        <v>5734</v>
      </c>
      <c r="B1760" s="2243" t="s">
        <v>6584</v>
      </c>
      <c r="C1760" s="2244">
        <f>'[2]Data File'!$C$1577</f>
        <v>1631.8</v>
      </c>
      <c r="D1760" s="2245">
        <v>2128.39</v>
      </c>
      <c r="E1760" s="2244">
        <v>803.6</v>
      </c>
      <c r="F1760" s="2246">
        <v>1664.6</v>
      </c>
      <c r="G1760" s="2253">
        <v>1740.32</v>
      </c>
      <c r="H1760" s="2100">
        <v>947.1</v>
      </c>
      <c r="I1760" s="2238">
        <f>VLOOKUP(A1760,'Trial Balance - FPer'!$A$7:$I$1107,7,FALSE)</f>
        <v>1574.4</v>
      </c>
      <c r="J1760" s="2100">
        <f>VLOOKUP(A1760,'Trial Balance - FPer'!$A$7:$I$1126,3,FALSE)</f>
        <v>1631.8</v>
      </c>
    </row>
    <row r="1761" spans="1:10" ht="14.25" hidden="1" x14ac:dyDescent="0.2">
      <c r="A1761" s="2236" t="s">
        <v>5735</v>
      </c>
      <c r="B1761" s="2243" t="s">
        <v>6585</v>
      </c>
      <c r="C1761" s="2244">
        <f>'[2]Data File'!$C$1583</f>
        <v>22058.720000000001</v>
      </c>
      <c r="D1761" s="2245">
        <v>27883.34</v>
      </c>
      <c r="E1761" s="2244">
        <v>11606.19</v>
      </c>
      <c r="F1761" s="2246">
        <v>27883.34</v>
      </c>
      <c r="G1761" s="2253">
        <v>24457.58</v>
      </c>
      <c r="H1761" s="2100">
        <v>13735.6</v>
      </c>
      <c r="I1761" s="2238">
        <f>VLOOKUP(A1761,'Trial Balance - FPer'!$A$7:$I$1107,7,FALSE)</f>
        <v>23420.06</v>
      </c>
      <c r="J1761" s="2100">
        <f>VLOOKUP(A1761,'Trial Balance - FPer'!$A$7:$I$1126,3,FALSE)</f>
        <v>22058.720000000001</v>
      </c>
    </row>
    <row r="1762" spans="1:10" ht="14.25" hidden="1" x14ac:dyDescent="0.2">
      <c r="A1762" s="2236" t="s">
        <v>5736</v>
      </c>
      <c r="B1762" s="2243" t="s">
        <v>6586</v>
      </c>
      <c r="C1762" s="2244">
        <f>'[2]Data File'!$C$1586</f>
        <v>0</v>
      </c>
      <c r="D1762" s="2245">
        <v>21912.82</v>
      </c>
      <c r="E1762" s="2244">
        <v>0</v>
      </c>
      <c r="F1762" s="2246">
        <v>0</v>
      </c>
      <c r="G1762" s="2253">
        <v>5499.41</v>
      </c>
      <c r="H1762" s="2100">
        <v>0</v>
      </c>
      <c r="I1762" s="2238">
        <f>VLOOKUP(A1762,'Trial Balance - FPer'!$A$7:$I$1107,7,FALSE)</f>
        <v>0</v>
      </c>
      <c r="J1762" s="2100" t="str">
        <f>VLOOKUP(A1762,'Trial Balance - FPer'!$A$7:$I$1126,3,FALSE)</f>
        <v xml:space="preserve">                               -  </v>
      </c>
    </row>
    <row r="1763" spans="1:10" ht="14.25" hidden="1" x14ac:dyDescent="0.2">
      <c r="A1763" s="2236" t="s">
        <v>5737</v>
      </c>
      <c r="B1763" s="2243" t="s">
        <v>6587</v>
      </c>
      <c r="C1763" s="2244">
        <f>'[2]Data File'!$C$1574</f>
        <v>85645.8</v>
      </c>
      <c r="D1763" s="2245">
        <v>114650.25</v>
      </c>
      <c r="E1763" s="2244">
        <v>39826.800000000003</v>
      </c>
      <c r="F1763" s="2246">
        <v>81997.2</v>
      </c>
      <c r="G1763" s="2253">
        <v>88678.85</v>
      </c>
      <c r="H1763" s="2100">
        <v>46855.199999999997</v>
      </c>
      <c r="I1763" s="2238">
        <f>VLOOKUP(A1763,'Trial Balance - FPer'!$A$7:$I$1107,7,FALSE)</f>
        <v>78663.600000000006</v>
      </c>
      <c r="J1763" s="2100">
        <f>VLOOKUP(A1763,'Trial Balance - FPer'!$A$7:$I$1126,3,FALSE)</f>
        <v>85645.8</v>
      </c>
    </row>
    <row r="1764" spans="1:10" ht="14.25" hidden="1" x14ac:dyDescent="0.2">
      <c r="A1764" s="2236" t="s">
        <v>5738</v>
      </c>
      <c r="B1764" s="2243" t="s">
        <v>6013</v>
      </c>
      <c r="C1764" s="2244">
        <f>'[2]Data File'!$C$1575</f>
        <v>297598.28000000003</v>
      </c>
      <c r="D1764" s="2245">
        <v>344443.02</v>
      </c>
      <c r="E1764" s="2244">
        <v>181800.02</v>
      </c>
      <c r="F1764" s="2246">
        <v>387237.56</v>
      </c>
      <c r="G1764" s="2253">
        <v>359879.02</v>
      </c>
      <c r="H1764" s="2100">
        <v>216039.61</v>
      </c>
      <c r="I1764" s="2238">
        <f>VLOOKUP(A1764,'Trial Balance - FPer'!$A$7:$I$1107,7,FALSE)</f>
        <v>364086.82</v>
      </c>
      <c r="J1764" s="2100">
        <f>VLOOKUP(A1764,'Trial Balance - FPer'!$A$7:$I$1126,3,FALSE)</f>
        <v>297598.28000000003</v>
      </c>
    </row>
    <row r="1765" spans="1:10" ht="14.25" hidden="1" x14ac:dyDescent="0.2">
      <c r="A1765" s="2236" t="s">
        <v>5739</v>
      </c>
      <c r="B1765" s="2247" t="s">
        <v>6014</v>
      </c>
      <c r="C1765" s="2248">
        <f>'[2]Data File'!$C$1576</f>
        <v>22999.599999999999</v>
      </c>
      <c r="D1765" s="2249">
        <v>29289.96</v>
      </c>
      <c r="E1765" s="2248">
        <v>11935.81</v>
      </c>
      <c r="F1765" s="2250">
        <v>29289.96</v>
      </c>
      <c r="G1765" s="2248">
        <v>25304.65</v>
      </c>
      <c r="H1765" s="2100">
        <v>14150.14</v>
      </c>
      <c r="I1765" s="2238">
        <f>VLOOKUP(A1765,'Trial Balance - FPer'!$A$7:$I$1107,7,FALSE)</f>
        <v>23704.13</v>
      </c>
      <c r="J1765" s="2100">
        <f>VLOOKUP(A1765,'Trial Balance - FPer'!$A$7:$I$1126,3,FALSE)</f>
        <v>22999.599999999999</v>
      </c>
    </row>
    <row r="1766" spans="1:10" s="2615" customFormat="1" hidden="1" x14ac:dyDescent="0.2">
      <c r="A1766" s="2612"/>
      <c r="B1766" s="2613" t="s">
        <v>6588</v>
      </c>
      <c r="C1766" s="2614">
        <f>SUM(C1752:C1765)</f>
        <v>2874323.15</v>
      </c>
      <c r="D1766" s="2614">
        <f>SUM(D1752:D1765)</f>
        <v>3454988.3499999996</v>
      </c>
      <c r="E1766" s="2614">
        <f>SUM(E1752:E1765)</f>
        <v>1434481.4500000002</v>
      </c>
      <c r="F1766" s="2614">
        <f>SUM(F1752:F1765)</f>
        <v>2950385.9899999998</v>
      </c>
      <c r="G1766" s="2614">
        <f>SUM(G1752:G1765)</f>
        <v>3020486.08</v>
      </c>
      <c r="H1766" s="2614">
        <f t="shared" ref="H1766" si="190">SUM(H1752:H1765)</f>
        <v>1700670.76</v>
      </c>
      <c r="I1766" s="2614">
        <f>SUM(I1752:I1765)</f>
        <v>2831901.2899999996</v>
      </c>
      <c r="J1766" s="2614">
        <f>SUM(J1752:J1765)</f>
        <v>2874323.15</v>
      </c>
    </row>
    <row r="1767" spans="1:10" ht="14.25" hidden="1" x14ac:dyDescent="0.2">
      <c r="A1767" s="2236"/>
      <c r="B1767" s="2243"/>
      <c r="C1767" s="2244"/>
      <c r="D1767" s="2245"/>
      <c r="E1767" s="2244"/>
      <c r="F1767" s="2246"/>
      <c r="G1767" s="2244"/>
      <c r="H1767" s="2244"/>
      <c r="I1767" s="2238" t="e">
        <f>VLOOKUP(A1767,'Trial Balance - FPer'!$A$7:$I$1107,7,FALSE)</f>
        <v>#N/A</v>
      </c>
      <c r="J1767" s="2100" t="e">
        <f>VLOOKUP(A1767,'Trial Balance - FPer'!$A$7:$I$1126,3,FALSE)</f>
        <v>#N/A</v>
      </c>
    </row>
    <row r="1768" spans="1:10" ht="14.25" hidden="1" x14ac:dyDescent="0.2">
      <c r="A1768" s="2236"/>
      <c r="B1768" s="2242" t="s">
        <v>6673</v>
      </c>
      <c r="C1768" s="2244"/>
      <c r="D1768" s="2245"/>
      <c r="E1768" s="2244"/>
      <c r="F1768" s="2246"/>
      <c r="G1768" s="2244"/>
      <c r="H1768" s="2244"/>
      <c r="I1768" s="2238" t="e">
        <f>VLOOKUP(A1768,'Trial Balance - FPer'!$A$7:$I$1107,7,FALSE)</f>
        <v>#N/A</v>
      </c>
      <c r="J1768" s="2100" t="e">
        <f>VLOOKUP(A1768,'Trial Balance - FPer'!$A$7:$I$1126,3,FALSE)</f>
        <v>#N/A</v>
      </c>
    </row>
    <row r="1769" spans="1:10" ht="14.25" hidden="1" x14ac:dyDescent="0.2">
      <c r="A1769" s="2236" t="s">
        <v>5740</v>
      </c>
      <c r="B1769" s="2247" t="s">
        <v>6237</v>
      </c>
      <c r="C1769" s="2248">
        <f>'[2]Data File'!$C$1590</f>
        <v>0</v>
      </c>
      <c r="D1769" s="2249">
        <v>389410.38</v>
      </c>
      <c r="E1769" s="2248">
        <v>0</v>
      </c>
      <c r="F1769" s="2250">
        <v>389410.38</v>
      </c>
      <c r="G1769" s="2248">
        <v>97742.19</v>
      </c>
      <c r="H1769" s="2244"/>
      <c r="I1769" s="2238">
        <f>VLOOKUP(A1769,'Trial Balance - FPer'!$A$7:$I$1107,7,FALSE)</f>
        <v>0</v>
      </c>
      <c r="J1769" s="2100">
        <f>VLOOKUP(A1769,'Trial Balance - FPer'!$A$7:$I$1126,3,FALSE)</f>
        <v>0</v>
      </c>
    </row>
    <row r="1770" spans="1:10" s="2615" customFormat="1" hidden="1" x14ac:dyDescent="0.2">
      <c r="A1770" s="2612"/>
      <c r="B1770" s="2613" t="s">
        <v>6674</v>
      </c>
      <c r="C1770" s="2614">
        <f>SUM(C1769)</f>
        <v>0</v>
      </c>
      <c r="D1770" s="2614">
        <f>SUM(D1769)</f>
        <v>389410.38</v>
      </c>
      <c r="E1770" s="2614">
        <f>SUM(E1769)</f>
        <v>0</v>
      </c>
      <c r="F1770" s="2614">
        <f>SUM(F1769)</f>
        <v>389410.38</v>
      </c>
      <c r="G1770" s="2614">
        <f>SUM(G1769)</f>
        <v>97742.19</v>
      </c>
      <c r="H1770" s="2614">
        <f t="shared" ref="H1770:J1770" si="191">SUM(H1769)</f>
        <v>0</v>
      </c>
      <c r="I1770" s="2614">
        <f t="shared" si="191"/>
        <v>0</v>
      </c>
      <c r="J1770" s="2614">
        <f t="shared" si="191"/>
        <v>0</v>
      </c>
    </row>
    <row r="1771" spans="1:10" ht="14.25" hidden="1" x14ac:dyDescent="0.2">
      <c r="A1771" s="2236"/>
      <c r="B1771" s="2243"/>
      <c r="C1771" s="2244"/>
      <c r="D1771" s="2245"/>
      <c r="E1771" s="2244"/>
      <c r="F1771" s="2246"/>
      <c r="G1771" s="2244"/>
      <c r="H1771" s="2244"/>
      <c r="I1771" s="2238" t="e">
        <f>VLOOKUP(A1771,'Trial Balance - FPer'!$A$7:$I$1107,7,FALSE)</f>
        <v>#N/A</v>
      </c>
      <c r="J1771" s="2100" t="e">
        <f>VLOOKUP(A1771,'Trial Balance - FPer'!$A$7:$I$1126,3,FALSE)</f>
        <v>#N/A</v>
      </c>
    </row>
    <row r="1772" spans="1:10" ht="14.25" hidden="1" x14ac:dyDescent="0.2">
      <c r="A1772" s="2236"/>
      <c r="B1772" s="2242" t="s">
        <v>6675</v>
      </c>
      <c r="C1772" s="2244"/>
      <c r="D1772" s="2245"/>
      <c r="E1772" s="2244"/>
      <c r="F1772" s="2246"/>
      <c r="G1772" s="2244"/>
      <c r="H1772" s="2244"/>
      <c r="I1772" s="2238" t="e">
        <f>VLOOKUP(A1772,'Trial Balance - FPer'!$A$7:$I$1107,7,FALSE)</f>
        <v>#N/A</v>
      </c>
      <c r="J1772" s="2100" t="e">
        <f>VLOOKUP(A1772,'Trial Balance - FPer'!$A$7:$I$1126,3,FALSE)</f>
        <v>#N/A</v>
      </c>
    </row>
    <row r="1773" spans="1:10" ht="14.25" hidden="1" x14ac:dyDescent="0.2">
      <c r="A1773" s="2236" t="s">
        <v>5741</v>
      </c>
      <c r="B1773" s="2247" t="s">
        <v>6676</v>
      </c>
      <c r="C1773" s="2248">
        <f>'[2]Data File'!$C$1620</f>
        <v>0</v>
      </c>
      <c r="D1773" s="2249">
        <v>0</v>
      </c>
      <c r="E1773" s="2248">
        <v>0</v>
      </c>
      <c r="F1773" s="2250">
        <v>0</v>
      </c>
      <c r="G1773" s="2248">
        <v>0</v>
      </c>
      <c r="H1773" s="2244"/>
      <c r="I1773" s="2238">
        <f>VLOOKUP(A1773,'Trial Balance - FPer'!$A$7:$I$1107,7,FALSE)</f>
        <v>0</v>
      </c>
      <c r="J1773" s="2100">
        <f>VLOOKUP(A1773,'Trial Balance - FPer'!$A$7:$I$1126,3,FALSE)</f>
        <v>0</v>
      </c>
    </row>
    <row r="1774" spans="1:10" s="2615" customFormat="1" hidden="1" x14ac:dyDescent="0.2">
      <c r="A1774" s="2612"/>
      <c r="B1774" s="2613" t="s">
        <v>6677</v>
      </c>
      <c r="C1774" s="2614">
        <f>SUM(C1773)</f>
        <v>0</v>
      </c>
      <c r="D1774" s="2614">
        <f>SUM(D1773)</f>
        <v>0</v>
      </c>
      <c r="E1774" s="2614">
        <f>SUM(E1773)</f>
        <v>0</v>
      </c>
      <c r="F1774" s="2614">
        <f>SUM(F1773)</f>
        <v>0</v>
      </c>
      <c r="G1774" s="2614">
        <f>SUM(G1773)</f>
        <v>0</v>
      </c>
      <c r="H1774" s="2614">
        <f t="shared" ref="H1774:J1774" si="192">SUM(H1773)</f>
        <v>0</v>
      </c>
      <c r="I1774" s="2614">
        <f t="shared" si="192"/>
        <v>0</v>
      </c>
      <c r="J1774" s="2614">
        <f t="shared" si="192"/>
        <v>0</v>
      </c>
    </row>
    <row r="1775" spans="1:10" ht="14.25" hidden="1" x14ac:dyDescent="0.2">
      <c r="A1775" s="2236"/>
      <c r="B1775" s="2243"/>
      <c r="C1775" s="2244"/>
      <c r="D1775" s="2245"/>
      <c r="E1775" s="2244"/>
      <c r="F1775" s="2246"/>
      <c r="G1775" s="2244"/>
      <c r="H1775" s="2244"/>
      <c r="I1775" s="2238" t="e">
        <f>VLOOKUP(A1775,'Trial Balance - FPer'!$A$7:$I$1107,7,FALSE)</f>
        <v>#N/A</v>
      </c>
      <c r="J1775" s="2100" t="e">
        <f>VLOOKUP(A1775,'Trial Balance - FPer'!$A$7:$I$1126,3,FALSE)</f>
        <v>#N/A</v>
      </c>
    </row>
    <row r="1776" spans="1:10" ht="14.25" hidden="1" x14ac:dyDescent="0.2">
      <c r="A1776" s="2236"/>
      <c r="B1776" s="2242" t="s">
        <v>6757</v>
      </c>
      <c r="C1776" s="2244"/>
      <c r="D1776" s="2245"/>
      <c r="E1776" s="2244"/>
      <c r="F1776" s="2246"/>
      <c r="G1776" s="2244"/>
      <c r="H1776" s="2244"/>
      <c r="I1776" s="2238" t="e">
        <f>VLOOKUP(A1776,'Trial Balance - FPer'!$A$7:$I$1107,7,FALSE)</f>
        <v>#N/A</v>
      </c>
      <c r="J1776" s="2100" t="e">
        <f>VLOOKUP(A1776,'Trial Balance - FPer'!$A$7:$I$1126,3,FALSE)</f>
        <v>#N/A</v>
      </c>
    </row>
    <row r="1777" spans="1:10" ht="14.25" hidden="1" x14ac:dyDescent="0.2">
      <c r="A1777" s="2236" t="s">
        <v>5742</v>
      </c>
      <c r="B1777" s="2247" t="s">
        <v>6679</v>
      </c>
      <c r="C1777" s="2248">
        <f>'[2]Data File'!$C$1594</f>
        <v>0</v>
      </c>
      <c r="D1777" s="2249">
        <v>0</v>
      </c>
      <c r="E1777" s="2248">
        <v>0</v>
      </c>
      <c r="F1777" s="2250">
        <v>0</v>
      </c>
      <c r="G1777" s="2248">
        <v>0</v>
      </c>
      <c r="H1777" s="2244"/>
      <c r="I1777" s="2238">
        <f>VLOOKUP(A1777,'Trial Balance - FPer'!$A$7:$I$1107,7,FALSE)</f>
        <v>0</v>
      </c>
      <c r="J1777" s="2100">
        <f>VLOOKUP(A1777,'Trial Balance - FPer'!$A$7:$I$1126,3,FALSE)</f>
        <v>0</v>
      </c>
    </row>
    <row r="1778" spans="1:10" s="2615" customFormat="1" hidden="1" x14ac:dyDescent="0.2">
      <c r="A1778" s="2612"/>
      <c r="B1778" s="2613" t="s">
        <v>6758</v>
      </c>
      <c r="C1778" s="2614">
        <f>SUM(C1777)</f>
        <v>0</v>
      </c>
      <c r="D1778" s="2614">
        <f>SUM(D1777)</f>
        <v>0</v>
      </c>
      <c r="E1778" s="2614">
        <f>SUM(E1777)</f>
        <v>0</v>
      </c>
      <c r="F1778" s="2614">
        <f>SUM(F1777)</f>
        <v>0</v>
      </c>
      <c r="G1778" s="2614">
        <f>SUM(G1777)</f>
        <v>0</v>
      </c>
      <c r="H1778" s="2614">
        <f t="shared" ref="H1778:J1778" si="193">SUM(H1777)</f>
        <v>0</v>
      </c>
      <c r="I1778" s="2614">
        <f t="shared" si="193"/>
        <v>0</v>
      </c>
      <c r="J1778" s="2614">
        <f t="shared" si="193"/>
        <v>0</v>
      </c>
    </row>
    <row r="1779" spans="1:10" ht="14.25" hidden="1" x14ac:dyDescent="0.2">
      <c r="A1779" s="2236"/>
      <c r="B1779" s="2243"/>
      <c r="C1779" s="2244"/>
      <c r="D1779" s="2245"/>
      <c r="E1779" s="2244"/>
      <c r="F1779" s="2246"/>
      <c r="G1779" s="2244"/>
      <c r="H1779" s="2244"/>
      <c r="I1779" s="2238" t="e">
        <f>VLOOKUP(A1779,'Trial Balance - FPer'!$A$7:$I$1107,7,FALSE)</f>
        <v>#N/A</v>
      </c>
      <c r="J1779" s="2100" t="e">
        <f>VLOOKUP(A1779,'Trial Balance - FPer'!$A$7:$I$1126,3,FALSE)</f>
        <v>#N/A</v>
      </c>
    </row>
    <row r="1780" spans="1:10" ht="14.25" hidden="1" x14ac:dyDescent="0.2">
      <c r="A1780" s="2236"/>
      <c r="B1780" s="2242" t="s">
        <v>6802</v>
      </c>
      <c r="C1780" s="2244"/>
      <c r="D1780" s="2245"/>
      <c r="E1780" s="2244"/>
      <c r="F1780" s="2246"/>
      <c r="G1780" s="2244"/>
      <c r="H1780" s="2244"/>
      <c r="I1780" s="2238" t="e">
        <f>VLOOKUP(A1780,'Trial Balance - FPer'!$A$7:$I$1107,7,FALSE)</f>
        <v>#N/A</v>
      </c>
      <c r="J1780" s="2100" t="e">
        <f>VLOOKUP(A1780,'Trial Balance - FPer'!$A$7:$I$1126,3,FALSE)</f>
        <v>#N/A</v>
      </c>
    </row>
    <row r="1781" spans="1:10" ht="14.25" hidden="1" x14ac:dyDescent="0.2">
      <c r="A1781" s="2236" t="s">
        <v>5743</v>
      </c>
      <c r="B1781" s="2247" t="s">
        <v>6760</v>
      </c>
      <c r="C1781" s="2248">
        <v>0</v>
      </c>
      <c r="D1781" s="2249">
        <v>0</v>
      </c>
      <c r="E1781" s="2248">
        <v>0</v>
      </c>
      <c r="F1781" s="2250">
        <v>0</v>
      </c>
      <c r="G1781" s="2248">
        <v>0</v>
      </c>
      <c r="H1781" s="2244"/>
      <c r="I1781" s="2238">
        <f>VLOOKUP(A1781,'Trial Balance - FPer'!$A$7:$I$1107,7,FALSE)</f>
        <v>201397.04</v>
      </c>
      <c r="J1781" s="2100">
        <f>VLOOKUP(A1781,'Trial Balance - FPer'!$A$7:$I$1126,3,FALSE)</f>
        <v>813827.59</v>
      </c>
    </row>
    <row r="1782" spans="1:10" s="2615" customFormat="1" hidden="1" x14ac:dyDescent="0.2">
      <c r="A1782" s="2612"/>
      <c r="B1782" s="2613" t="s">
        <v>6803</v>
      </c>
      <c r="C1782" s="2614">
        <f>SUM(C1781)</f>
        <v>0</v>
      </c>
      <c r="D1782" s="2614">
        <f>SUM(D1781)</f>
        <v>0</v>
      </c>
      <c r="E1782" s="2614">
        <f>SUM(E1781)</f>
        <v>0</v>
      </c>
      <c r="F1782" s="2614">
        <f>SUM(F1781)</f>
        <v>0</v>
      </c>
      <c r="G1782" s="2614">
        <f>SUM(G1781)</f>
        <v>0</v>
      </c>
      <c r="H1782" s="2614">
        <f t="shared" ref="H1782:J1782" si="194">SUM(H1781)</f>
        <v>0</v>
      </c>
      <c r="I1782" s="2614">
        <f t="shared" si="194"/>
        <v>201397.04</v>
      </c>
      <c r="J1782" s="2614">
        <f t="shared" si="194"/>
        <v>813827.59</v>
      </c>
    </row>
    <row r="1783" spans="1:10" ht="14.25" hidden="1" x14ac:dyDescent="0.2">
      <c r="A1783" s="2236"/>
      <c r="B1783" s="2243"/>
      <c r="C1783" s="2244"/>
      <c r="D1783" s="2245"/>
      <c r="E1783" s="2244"/>
      <c r="F1783" s="2246"/>
      <c r="G1783" s="2244"/>
      <c r="H1783" s="2244"/>
      <c r="I1783" s="2238" t="e">
        <f>VLOOKUP(A1783,'Trial Balance - FPer'!$A$7:$I$1107,7,FALSE)</f>
        <v>#N/A</v>
      </c>
      <c r="J1783" s="2100" t="e">
        <f>VLOOKUP(A1783,'Trial Balance - FPer'!$A$7:$I$1126,3,FALSE)</f>
        <v>#N/A</v>
      </c>
    </row>
    <row r="1784" spans="1:10" ht="14.25" hidden="1" x14ac:dyDescent="0.2">
      <c r="A1784" s="2236"/>
      <c r="B1784" s="2242" t="s">
        <v>6681</v>
      </c>
      <c r="C1784" s="2244"/>
      <c r="D1784" s="2245"/>
      <c r="E1784" s="2244"/>
      <c r="F1784" s="2246"/>
      <c r="G1784" s="2244"/>
      <c r="H1784" s="2244"/>
      <c r="I1784" s="2238" t="e">
        <f>VLOOKUP(A1784,'Trial Balance - FPer'!$A$7:$I$1107,7,FALSE)</f>
        <v>#N/A</v>
      </c>
      <c r="J1784" s="2100" t="e">
        <f>VLOOKUP(A1784,'Trial Balance - FPer'!$A$7:$I$1126,3,FALSE)</f>
        <v>#N/A</v>
      </c>
    </row>
    <row r="1785" spans="1:10" ht="14.25" hidden="1" x14ac:dyDescent="0.2">
      <c r="A1785" s="2236" t="s">
        <v>5744</v>
      </c>
      <c r="B1785" s="2247" t="s">
        <v>595</v>
      </c>
      <c r="C1785" s="2248">
        <f>'[2]Data File'!$C$1610</f>
        <v>1390060.57</v>
      </c>
      <c r="D1785" s="2249">
        <v>0</v>
      </c>
      <c r="E1785" s="2248">
        <v>0</v>
      </c>
      <c r="F1785" s="2250">
        <v>0</v>
      </c>
      <c r="G1785" s="2248">
        <v>0</v>
      </c>
      <c r="H1785" s="2244"/>
      <c r="I1785" s="2238">
        <f>VLOOKUP(A1785,'Trial Balance - FPer'!$A$7:$I$1107,7,FALSE)</f>
        <v>0</v>
      </c>
      <c r="J1785" s="2100">
        <f>VLOOKUP(A1785,'Trial Balance - FPer'!$A$7:$I$1126,3,FALSE)</f>
        <v>1390060.57</v>
      </c>
    </row>
    <row r="1786" spans="1:10" s="2615" customFormat="1" hidden="1" x14ac:dyDescent="0.2">
      <c r="A1786" s="2612"/>
      <c r="B1786" s="2613" t="s">
        <v>6684</v>
      </c>
      <c r="C1786" s="2614">
        <f>SUM(C1785)</f>
        <v>1390060.57</v>
      </c>
      <c r="D1786" s="2614">
        <f>SUM(D1785)</f>
        <v>0</v>
      </c>
      <c r="E1786" s="2614">
        <f>SUM(E1785)</f>
        <v>0</v>
      </c>
      <c r="F1786" s="2614">
        <f>SUM(F1785)</f>
        <v>0</v>
      </c>
      <c r="G1786" s="2614">
        <f>SUM(G1785)</f>
        <v>0</v>
      </c>
      <c r="H1786" s="2614">
        <f t="shared" ref="H1786:J1786" si="195">SUM(H1785)</f>
        <v>0</v>
      </c>
      <c r="I1786" s="2614">
        <f t="shared" si="195"/>
        <v>0</v>
      </c>
      <c r="J1786" s="2614">
        <f t="shared" si="195"/>
        <v>1390060.57</v>
      </c>
    </row>
    <row r="1787" spans="1:10" ht="14.25" hidden="1" x14ac:dyDescent="0.2">
      <c r="A1787" s="2236"/>
      <c r="B1787" s="2243"/>
      <c r="C1787" s="2244"/>
      <c r="D1787" s="2245"/>
      <c r="E1787" s="2244"/>
      <c r="F1787" s="2246"/>
      <c r="G1787" s="2244"/>
      <c r="H1787" s="2244"/>
      <c r="I1787" s="2238" t="e">
        <f>VLOOKUP(A1787,'Trial Balance - FPer'!$A$7:$I$1107,7,FALSE)</f>
        <v>#N/A</v>
      </c>
      <c r="J1787" s="2100" t="e">
        <f>VLOOKUP(A1787,'Trial Balance - FPer'!$A$7:$I$1126,3,FALSE)</f>
        <v>#N/A</v>
      </c>
    </row>
    <row r="1788" spans="1:10" ht="14.25" hidden="1" x14ac:dyDescent="0.2">
      <c r="A1788" s="2236"/>
      <c r="B1788" s="2242" t="s">
        <v>6599</v>
      </c>
      <c r="C1788" s="2244"/>
      <c r="D1788" s="2245"/>
      <c r="E1788" s="2244"/>
      <c r="F1788" s="2246"/>
      <c r="G1788" s="2244"/>
      <c r="H1788" s="2244"/>
      <c r="I1788" s="2238" t="e">
        <f>VLOOKUP(A1788,'Trial Balance - FPer'!$A$7:$I$1107,7,FALSE)</f>
        <v>#N/A</v>
      </c>
      <c r="J1788" s="2100" t="e">
        <f>VLOOKUP(A1788,'Trial Balance - FPer'!$A$7:$I$1126,3,FALSE)</f>
        <v>#N/A</v>
      </c>
    </row>
    <row r="1789" spans="1:10" ht="14.25" hidden="1" x14ac:dyDescent="0.2">
      <c r="A1789" s="2236" t="s">
        <v>5745</v>
      </c>
      <c r="B1789" s="2243" t="s">
        <v>6826</v>
      </c>
      <c r="C1789" s="2244">
        <v>0</v>
      </c>
      <c r="D1789" s="2245">
        <v>0</v>
      </c>
      <c r="E1789" s="2244">
        <v>0</v>
      </c>
      <c r="F1789" s="2246">
        <v>0</v>
      </c>
      <c r="G1789" s="2244">
        <v>0</v>
      </c>
      <c r="H1789" s="2100">
        <v>0</v>
      </c>
      <c r="I1789" s="2238">
        <f>VLOOKUP(A1789,'Trial Balance - FPer'!$A$7:$I$1107,7,FALSE)</f>
        <v>0</v>
      </c>
      <c r="J1789" s="2100">
        <f>VLOOKUP(A1789,'Trial Balance - FPer'!$A$7:$I$1126,3,FALSE)</f>
        <v>0</v>
      </c>
    </row>
    <row r="1790" spans="1:10" ht="14.25" hidden="1" x14ac:dyDescent="0.2">
      <c r="A1790" s="2236" t="s">
        <v>5746</v>
      </c>
      <c r="B1790" s="2243" t="s">
        <v>6694</v>
      </c>
      <c r="C1790" s="2244">
        <f>'[2]Data File'!$C$1599</f>
        <v>0</v>
      </c>
      <c r="D1790" s="2245">
        <v>0</v>
      </c>
      <c r="E1790" s="2244">
        <v>0</v>
      </c>
      <c r="F1790" s="2246">
        <v>0</v>
      </c>
      <c r="G1790" s="2244">
        <v>0</v>
      </c>
      <c r="H1790" s="2100">
        <v>0</v>
      </c>
      <c r="I1790" s="2238">
        <f>VLOOKUP(A1790,'Trial Balance - FPer'!$A$7:$I$1107,7,FALSE)</f>
        <v>0</v>
      </c>
      <c r="J1790" s="2100">
        <f>VLOOKUP(A1790,'Trial Balance - FPer'!$A$7:$I$1126,3,FALSE)</f>
        <v>0</v>
      </c>
    </row>
    <row r="1791" spans="1:10" ht="14.25" hidden="1" x14ac:dyDescent="0.2">
      <c r="A1791" s="2236" t="s">
        <v>5747</v>
      </c>
      <c r="B1791" s="2243" t="s">
        <v>6762</v>
      </c>
      <c r="C1791" s="2244">
        <f>'[2]Data File'!$C$1611</f>
        <v>0</v>
      </c>
      <c r="D1791" s="2245">
        <v>0</v>
      </c>
      <c r="E1791" s="2244">
        <v>0</v>
      </c>
      <c r="F1791" s="2246">
        <v>0</v>
      </c>
      <c r="G1791" s="2244">
        <v>0</v>
      </c>
      <c r="H1791" s="2100">
        <v>0</v>
      </c>
      <c r="I1791" s="2238">
        <f>VLOOKUP(A1791,'Trial Balance - FPer'!$A$7:$I$1107,7,FALSE)</f>
        <v>0</v>
      </c>
      <c r="J1791" s="2100" t="str">
        <f>VLOOKUP(A1791,'Trial Balance - FPer'!$A$7:$I$1126,3,FALSE)</f>
        <v xml:space="preserve">                               -  </v>
      </c>
    </row>
    <row r="1792" spans="1:10" ht="14.25" hidden="1" x14ac:dyDescent="0.2">
      <c r="A1792" s="2236" t="s">
        <v>5748</v>
      </c>
      <c r="B1792" s="2243" t="s">
        <v>6605</v>
      </c>
      <c r="C1792" s="2244">
        <f>'[2]Data File'!$C$1600</f>
        <v>866.4</v>
      </c>
      <c r="D1792" s="2245">
        <v>3529.57</v>
      </c>
      <c r="E1792" s="2244">
        <v>10722</v>
      </c>
      <c r="F1792" s="2246">
        <v>10722</v>
      </c>
      <c r="G1792" s="2244">
        <v>17010.189999999999</v>
      </c>
      <c r="H1792" s="2100">
        <v>10722</v>
      </c>
      <c r="I1792" s="2238">
        <f>VLOOKUP(A1792,'Trial Balance - FPer'!$A$7:$I$1107,7,FALSE)</f>
        <v>10722</v>
      </c>
      <c r="J1792" s="2100">
        <f>VLOOKUP(A1792,'Trial Balance - FPer'!$A$7:$I$1126,3,FALSE)</f>
        <v>866.4</v>
      </c>
    </row>
    <row r="1793" spans="1:10" ht="14.25" hidden="1" x14ac:dyDescent="0.2">
      <c r="A1793" s="2236" t="s">
        <v>5749</v>
      </c>
      <c r="B1793" s="2243" t="s">
        <v>6606</v>
      </c>
      <c r="C1793" s="2244">
        <v>0</v>
      </c>
      <c r="D1793" s="2245">
        <v>0</v>
      </c>
      <c r="E1793" s="2244">
        <v>0</v>
      </c>
      <c r="F1793" s="2246">
        <v>0</v>
      </c>
      <c r="G1793" s="2244">
        <v>0</v>
      </c>
      <c r="H1793" s="2100">
        <v>0</v>
      </c>
      <c r="I1793" s="2238">
        <f>VLOOKUP(A1793,'Trial Balance - FPer'!$A$7:$I$1107,7,FALSE)</f>
        <v>0</v>
      </c>
      <c r="J1793" s="2100">
        <f>VLOOKUP(A1793,'Trial Balance - FPer'!$A$7:$I$1126,3,FALSE)</f>
        <v>0</v>
      </c>
    </row>
    <row r="1794" spans="1:10" ht="14.25" hidden="1" x14ac:dyDescent="0.2">
      <c r="A1794" s="2236" t="s">
        <v>5750</v>
      </c>
      <c r="B1794" s="2243" t="s">
        <v>6608</v>
      </c>
      <c r="C1794" s="2244">
        <f>'[2]Data File'!$C$1601</f>
        <v>3935</v>
      </c>
      <c r="D1794" s="2245">
        <v>31695.25</v>
      </c>
      <c r="E1794" s="2244">
        <v>722.83</v>
      </c>
      <c r="F1794" s="2246">
        <v>15000</v>
      </c>
      <c r="G1794" s="2244">
        <v>9041.7800000000007</v>
      </c>
      <c r="H1794" s="2100">
        <v>6556.41</v>
      </c>
      <c r="I1794" s="2238">
        <f>VLOOKUP(A1794,'Trial Balance - FPer'!$A$7:$I$1107,7,FALSE)</f>
        <v>0</v>
      </c>
      <c r="J1794" s="2100">
        <f>VLOOKUP(A1794,'Trial Balance - FPer'!$A$7:$I$1126,3,FALSE)</f>
        <v>0</v>
      </c>
    </row>
    <row r="1795" spans="1:10" ht="14.25" hidden="1" x14ac:dyDescent="0.2">
      <c r="A1795" s="2236" t="s">
        <v>5751</v>
      </c>
      <c r="B1795" s="2243" t="s">
        <v>6028</v>
      </c>
      <c r="C1795" s="2244">
        <f>'[2]Data File'!$C$1602</f>
        <v>0</v>
      </c>
      <c r="D1795" s="2245">
        <v>0</v>
      </c>
      <c r="E1795" s="2244">
        <v>0</v>
      </c>
      <c r="F1795" s="2246">
        <v>0</v>
      </c>
      <c r="G1795" s="2244">
        <v>0</v>
      </c>
      <c r="H1795" s="2100">
        <v>0</v>
      </c>
      <c r="I1795" s="2238">
        <f>VLOOKUP(A1795,'Trial Balance - FPer'!$A$7:$I$1107,7,FALSE)</f>
        <v>0</v>
      </c>
      <c r="J1795" s="2100">
        <f>VLOOKUP(A1795,'Trial Balance - FPer'!$A$7:$I$1126,3,FALSE)</f>
        <v>0</v>
      </c>
    </row>
    <row r="1796" spans="1:10" ht="14.25" hidden="1" x14ac:dyDescent="0.2">
      <c r="A1796" s="2236" t="s">
        <v>5752</v>
      </c>
      <c r="B1796" s="2243" t="s">
        <v>6609</v>
      </c>
      <c r="C1796" s="2244">
        <f>'[2]Data File'!$C$1603</f>
        <v>478.67</v>
      </c>
      <c r="D1796" s="2245">
        <v>176</v>
      </c>
      <c r="E1796" s="2244">
        <v>3913.34</v>
      </c>
      <c r="F1796" s="2246">
        <v>10000</v>
      </c>
      <c r="G1796" s="2244">
        <v>5826.05</v>
      </c>
      <c r="H1796" s="2100">
        <v>4818.58</v>
      </c>
      <c r="I1796" s="2238">
        <f>VLOOKUP(A1796,'Trial Balance - FPer'!$A$7:$I$1107,7,FALSE)</f>
        <v>13067.5</v>
      </c>
      <c r="J1796" s="2100">
        <f>VLOOKUP(A1796,'Trial Balance - FPer'!$A$7:$I$1126,3,FALSE)</f>
        <v>478.67</v>
      </c>
    </row>
    <row r="1797" spans="1:10" ht="14.25" hidden="1" x14ac:dyDescent="0.2">
      <c r="A1797" s="2236" t="s">
        <v>5753</v>
      </c>
      <c r="B1797" s="2243" t="s">
        <v>6731</v>
      </c>
      <c r="C1797" s="2244">
        <f>'[2]Data File'!$C$1604</f>
        <v>1551.13</v>
      </c>
      <c r="D1797" s="2245">
        <v>2074.8200000000002</v>
      </c>
      <c r="E1797" s="2244">
        <v>1327.42</v>
      </c>
      <c r="F1797" s="2246">
        <v>2500</v>
      </c>
      <c r="G1797" s="2244">
        <v>2519.5700000000002</v>
      </c>
      <c r="H1797" s="2100">
        <v>1408.82</v>
      </c>
      <c r="I1797" s="2238">
        <f>VLOOKUP(A1797,'Trial Balance - FPer'!$A$7:$I$1107,7,FALSE)</f>
        <v>1408.82</v>
      </c>
      <c r="J1797" s="2100">
        <f>VLOOKUP(A1797,'Trial Balance - FPer'!$A$7:$I$1126,3,FALSE)</f>
        <v>1551.13</v>
      </c>
    </row>
    <row r="1798" spans="1:10" ht="14.25" hidden="1" x14ac:dyDescent="0.2">
      <c r="A1798" s="2236" t="s">
        <v>5754</v>
      </c>
      <c r="B1798" s="2243" t="s">
        <v>6610</v>
      </c>
      <c r="C1798" s="2244">
        <f>'[2]Data File'!$C$1605</f>
        <v>0</v>
      </c>
      <c r="D1798" s="2245">
        <v>0</v>
      </c>
      <c r="E1798" s="2244">
        <v>0</v>
      </c>
      <c r="F1798" s="2246">
        <v>5902.83</v>
      </c>
      <c r="G1798" s="2244">
        <v>0</v>
      </c>
      <c r="H1798" s="2100">
        <v>5902.83</v>
      </c>
      <c r="I1798" s="2238">
        <f>VLOOKUP(A1798,'Trial Balance - FPer'!$A$7:$I$1107,7,FALSE)</f>
        <v>5902.83</v>
      </c>
      <c r="J1798" s="2100" t="str">
        <f>VLOOKUP(A1798,'Trial Balance - FPer'!$A$7:$I$1126,3,FALSE)</f>
        <v xml:space="preserve">                               -  </v>
      </c>
    </row>
    <row r="1799" spans="1:10" ht="14.25" hidden="1" x14ac:dyDescent="0.2">
      <c r="A1799" s="2236" t="s">
        <v>5755</v>
      </c>
      <c r="B1799" s="2243" t="s">
        <v>6732</v>
      </c>
      <c r="C1799" s="2244">
        <f>'[2]Data File'!$C$1606</f>
        <v>19003.02</v>
      </c>
      <c r="D1799" s="2245">
        <v>63267.23</v>
      </c>
      <c r="E1799" s="2244">
        <v>111849.29</v>
      </c>
      <c r="F1799" s="2246">
        <v>150000</v>
      </c>
      <c r="G1799" s="2244">
        <v>184106.09</v>
      </c>
      <c r="H1799" s="2100">
        <v>113249.21</v>
      </c>
      <c r="I1799" s="2238">
        <f>VLOOKUP(A1799,'Trial Balance - FPer'!$A$7:$I$1107,7,FALSE)</f>
        <v>113249.21</v>
      </c>
      <c r="J1799" s="2100">
        <f>VLOOKUP(A1799,'Trial Balance - FPer'!$A$7:$I$1126,3,FALSE)</f>
        <v>19003.02</v>
      </c>
    </row>
    <row r="1800" spans="1:10" ht="14.25" hidden="1" x14ac:dyDescent="0.2">
      <c r="A1800" s="2236" t="s">
        <v>5756</v>
      </c>
      <c r="B1800" s="2243" t="s">
        <v>6612</v>
      </c>
      <c r="C1800" s="2244">
        <f>'[2]Data File'!$C$1607</f>
        <v>0</v>
      </c>
      <c r="D1800" s="2245">
        <v>0</v>
      </c>
      <c r="E1800" s="2244">
        <v>0</v>
      </c>
      <c r="F1800" s="2246">
        <v>0</v>
      </c>
      <c r="G1800" s="2244">
        <v>0</v>
      </c>
      <c r="H1800" s="2100">
        <v>0</v>
      </c>
      <c r="I1800" s="2238">
        <f>VLOOKUP(A1800,'Trial Balance - FPer'!$A$7:$I$1107,7,FALSE)</f>
        <v>0</v>
      </c>
      <c r="J1800" s="2100">
        <f>VLOOKUP(A1800,'Trial Balance - FPer'!$A$7:$I$1126,3,FALSE)</f>
        <v>0</v>
      </c>
    </row>
    <row r="1801" spans="1:10" ht="14.25" hidden="1" x14ac:dyDescent="0.2">
      <c r="A1801" s="2236" t="s">
        <v>5757</v>
      </c>
      <c r="B1801" s="2243" t="s">
        <v>6613</v>
      </c>
      <c r="C1801" s="2244">
        <f>'[2]Data File'!$C$1609</f>
        <v>11791.35</v>
      </c>
      <c r="D1801" s="2245">
        <v>17477.830000000002</v>
      </c>
      <c r="E1801" s="2244">
        <v>5353.25</v>
      </c>
      <c r="F1801" s="2246">
        <v>17477.830000000002</v>
      </c>
      <c r="G1801" s="2244">
        <v>12435.63</v>
      </c>
      <c r="H1801" s="2100">
        <v>9111.41</v>
      </c>
      <c r="I1801" s="2238">
        <f>VLOOKUP(A1801,'Trial Balance - FPer'!$A$7:$I$1107,7,FALSE)</f>
        <v>9111.41</v>
      </c>
      <c r="J1801" s="2100">
        <f>VLOOKUP(A1801,'Trial Balance - FPer'!$A$7:$I$1126,3,FALSE)</f>
        <v>11791.35</v>
      </c>
    </row>
    <row r="1802" spans="1:10" ht="14.25" hidden="1" x14ac:dyDescent="0.2">
      <c r="A1802" s="2236" t="s">
        <v>5758</v>
      </c>
      <c r="B1802" s="2243" t="s">
        <v>6033</v>
      </c>
      <c r="C1802" s="2244">
        <f>'[2]Data File'!$C$1608</f>
        <v>0</v>
      </c>
      <c r="D1802" s="2245">
        <v>0</v>
      </c>
      <c r="E1802" s="2244">
        <v>0</v>
      </c>
      <c r="F1802" s="2246">
        <v>0</v>
      </c>
      <c r="G1802" s="2244">
        <v>0</v>
      </c>
      <c r="H1802" s="2100">
        <v>0</v>
      </c>
      <c r="I1802" s="2238">
        <f>VLOOKUP(A1802,'Trial Balance - FPer'!$A$7:$I$1107,7,FALSE)</f>
        <v>0</v>
      </c>
      <c r="J1802" s="2100">
        <f>VLOOKUP(A1802,'Trial Balance - FPer'!$A$7:$I$1126,3,FALSE)</f>
        <v>0</v>
      </c>
    </row>
    <row r="1803" spans="1:10" ht="14.25" hidden="1" x14ac:dyDescent="0.2">
      <c r="A1803" s="2236" t="s">
        <v>5759</v>
      </c>
      <c r="B1803" s="2247" t="s">
        <v>6764</v>
      </c>
      <c r="C1803" s="2248">
        <v>0</v>
      </c>
      <c r="D1803" s="2249">
        <v>0</v>
      </c>
      <c r="E1803" s="2248">
        <v>0</v>
      </c>
      <c r="F1803" s="2250">
        <v>0</v>
      </c>
      <c r="G1803" s="2248">
        <v>0</v>
      </c>
      <c r="H1803" s="2100">
        <v>0</v>
      </c>
      <c r="I1803" s="2238"/>
      <c r="J1803" s="2100"/>
    </row>
    <row r="1804" spans="1:10" s="2615" customFormat="1" hidden="1" x14ac:dyDescent="0.2">
      <c r="A1804" s="2612"/>
      <c r="B1804" s="2613" t="s">
        <v>6614</v>
      </c>
      <c r="C1804" s="2614">
        <f>SUM(C1789:C1803)</f>
        <v>37625.57</v>
      </c>
      <c r="D1804" s="2614">
        <f>SUM(D1789:D1803)</f>
        <v>118220.7</v>
      </c>
      <c r="E1804" s="2614">
        <f>SUM(E1789:E1803)</f>
        <v>133888.13</v>
      </c>
      <c r="F1804" s="2614">
        <f>SUM(F1789:F1803)</f>
        <v>211602.66000000003</v>
      </c>
      <c r="G1804" s="2614">
        <f>SUM(G1789:G1803)</f>
        <v>230939.31</v>
      </c>
      <c r="H1804" s="2614">
        <f t="shared" ref="H1804" si="196">SUM(H1789:H1803)</f>
        <v>151769.26</v>
      </c>
      <c r="I1804" s="2614">
        <f>SUM(I1789:I1803)</f>
        <v>153461.77000000002</v>
      </c>
      <c r="J1804" s="2614">
        <f>SUM(J1789:J1803)</f>
        <v>33690.57</v>
      </c>
    </row>
    <row r="1805" spans="1:10" ht="14.25" hidden="1" x14ac:dyDescent="0.2">
      <c r="A1805" s="2236"/>
      <c r="B1805" s="2243"/>
      <c r="C1805" s="2244"/>
      <c r="D1805" s="2245"/>
      <c r="E1805" s="2244"/>
      <c r="F1805" s="2246"/>
      <c r="G1805" s="2244"/>
      <c r="H1805" s="2244"/>
      <c r="I1805" s="2238" t="e">
        <f>VLOOKUP(A1805,'Trial Balance - FPer'!$A$7:$I$1107,7,FALSE)</f>
        <v>#N/A</v>
      </c>
      <c r="J1805" s="2100" t="e">
        <f>VLOOKUP(A1805,'Trial Balance - FPer'!$A$7:$I$1126,3,FALSE)</f>
        <v>#N/A</v>
      </c>
    </row>
    <row r="1806" spans="1:10" ht="14.25" hidden="1" x14ac:dyDescent="0.2">
      <c r="A1806" s="2236"/>
      <c r="B1806" s="2242" t="s">
        <v>6615</v>
      </c>
      <c r="C1806" s="2244"/>
      <c r="D1806" s="2245"/>
      <c r="E1806" s="2244"/>
      <c r="F1806" s="2246"/>
      <c r="G1806" s="2244"/>
      <c r="H1806" s="2244"/>
      <c r="I1806" s="2238" t="e">
        <f>VLOOKUP(A1806,'Trial Balance - FPer'!$A$7:$I$1107,7,FALSE)</f>
        <v>#N/A</v>
      </c>
      <c r="J1806" s="2100" t="e">
        <f>VLOOKUP(A1806,'Trial Balance - FPer'!$A$7:$I$1126,3,FALSE)</f>
        <v>#N/A</v>
      </c>
    </row>
    <row r="1807" spans="1:10" ht="14.25" hidden="1" x14ac:dyDescent="0.2">
      <c r="A1807" s="2236" t="s">
        <v>5760</v>
      </c>
      <c r="B1807" s="2243" t="s">
        <v>6700</v>
      </c>
      <c r="C1807" s="2244">
        <f>'[2]Data File'!$C$1624</f>
        <v>209.9</v>
      </c>
      <c r="D1807" s="2245">
        <v>461.78</v>
      </c>
      <c r="E1807" s="2244">
        <v>0</v>
      </c>
      <c r="F1807" s="2246">
        <v>0</v>
      </c>
      <c r="G1807" s="2253">
        <v>116.89</v>
      </c>
      <c r="H1807" s="2100">
        <v>0</v>
      </c>
      <c r="I1807" s="2238">
        <f>VLOOKUP(A1807,'Trial Balance - FPer'!$A$7:$I$1107,7,FALSE)</f>
        <v>0</v>
      </c>
      <c r="J1807" s="2100">
        <f>VLOOKUP(A1807,'Trial Balance - FPer'!$A$7:$I$1126,3,FALSE)</f>
        <v>209.9</v>
      </c>
    </row>
    <row r="1808" spans="1:10" ht="14.25" hidden="1" x14ac:dyDescent="0.2">
      <c r="A1808" s="2236" t="s">
        <v>5761</v>
      </c>
      <c r="B1808" s="2243" t="s">
        <v>6177</v>
      </c>
      <c r="C1808" s="2244">
        <f>'[2]Data File'!$C$1625</f>
        <v>141325.46</v>
      </c>
      <c r="D1808" s="2245">
        <v>121275</v>
      </c>
      <c r="E1808" s="2244">
        <v>1500</v>
      </c>
      <c r="F1808" s="2246">
        <v>35000</v>
      </c>
      <c r="G1808" s="2253">
        <v>32971.08</v>
      </c>
      <c r="H1808" s="2100">
        <v>1500</v>
      </c>
      <c r="I1808" s="2238">
        <f>VLOOKUP(A1808,'Trial Balance - FPer'!$A$7:$I$1107,7,FALSE)</f>
        <v>1500</v>
      </c>
      <c r="J1808" s="2100">
        <f>VLOOKUP(A1808,'Trial Balance - FPer'!$A$7:$I$1126,3,FALSE)</f>
        <v>141325.46</v>
      </c>
    </row>
    <row r="1809" spans="1:10" ht="14.25" hidden="1" x14ac:dyDescent="0.2">
      <c r="A1809" s="2236" t="s">
        <v>5762</v>
      </c>
      <c r="B1809" s="2243" t="s">
        <v>6617</v>
      </c>
      <c r="C1809" s="2244">
        <f>'[2]Data File'!$C$1626</f>
        <v>148706.35999999999</v>
      </c>
      <c r="D1809" s="2245">
        <v>92612.63</v>
      </c>
      <c r="E1809" s="2244">
        <v>75678.38</v>
      </c>
      <c r="F1809" s="2246">
        <v>150000</v>
      </c>
      <c r="G1809" s="2253">
        <v>137064.60999999999</v>
      </c>
      <c r="H1809" s="2100">
        <v>117591.31</v>
      </c>
      <c r="I1809" s="2238">
        <f>VLOOKUP(A1809,'Trial Balance - FPer'!$A$7:$I$1107,7,FALSE)</f>
        <v>163602.32</v>
      </c>
      <c r="J1809" s="2100">
        <f>VLOOKUP(A1809,'Trial Balance - FPer'!$A$7:$I$1126,3,FALSE)</f>
        <v>148706.35999999999</v>
      </c>
    </row>
    <row r="1810" spans="1:10" ht="14.25" hidden="1" x14ac:dyDescent="0.2">
      <c r="A1810" s="2236" t="s">
        <v>5763</v>
      </c>
      <c r="B1810" s="2243" t="s">
        <v>6827</v>
      </c>
      <c r="C1810" s="2244">
        <f>'[2]Data File'!$C$1627</f>
        <v>0</v>
      </c>
      <c r="D1810" s="2245">
        <v>19704.45</v>
      </c>
      <c r="E1810" s="2244">
        <v>0</v>
      </c>
      <c r="F1810" s="2246">
        <v>0</v>
      </c>
      <c r="G1810" s="2253">
        <v>4947.2299999999996</v>
      </c>
      <c r="H1810" s="2100">
        <v>0</v>
      </c>
      <c r="I1810" s="2238">
        <f>VLOOKUP(A1810,'Trial Balance - FPer'!$A$7:$I$1107,7,FALSE)</f>
        <v>0</v>
      </c>
      <c r="J1810" s="2100" t="str">
        <f>VLOOKUP(A1810,'Trial Balance - FPer'!$A$7:$I$1126,3,FALSE)</f>
        <v xml:space="preserve">                               -  </v>
      </c>
    </row>
    <row r="1811" spans="1:10" ht="14.25" hidden="1" x14ac:dyDescent="0.2">
      <c r="A1811" s="2236" t="s">
        <v>5764</v>
      </c>
      <c r="B1811" s="2247" t="s">
        <v>6821</v>
      </c>
      <c r="C1811" s="2248">
        <f>'[2]Data File'!$C$1628</f>
        <v>22574</v>
      </c>
      <c r="D1811" s="2249">
        <v>24831.08</v>
      </c>
      <c r="E1811" s="2248">
        <v>491.4</v>
      </c>
      <c r="F1811" s="2250">
        <v>24831.08</v>
      </c>
      <c r="G1811" s="2248">
        <v>6970.75</v>
      </c>
      <c r="H1811" s="2100">
        <v>491.4</v>
      </c>
      <c r="I1811" s="2238">
        <f>VLOOKUP(A1811,'Trial Balance - FPer'!$A$7:$I$1107,7,FALSE)</f>
        <v>491.4</v>
      </c>
      <c r="J1811" s="2100">
        <f>VLOOKUP(A1811,'Trial Balance - FPer'!$A$7:$I$1126,3,FALSE)</f>
        <v>22574</v>
      </c>
    </row>
    <row r="1812" spans="1:10" s="2615" customFormat="1" hidden="1" x14ac:dyDescent="0.2">
      <c r="A1812" s="2612"/>
      <c r="B1812" s="2613" t="s">
        <v>6618</v>
      </c>
      <c r="C1812" s="2614">
        <f>SUM(C1807:C1811)</f>
        <v>312815.71999999997</v>
      </c>
      <c r="D1812" s="2614">
        <f>SUM(D1807:D1811)</f>
        <v>258884.94</v>
      </c>
      <c r="E1812" s="2614">
        <f>SUM(E1807:E1811)</f>
        <v>77669.78</v>
      </c>
      <c r="F1812" s="2614">
        <f>SUM(F1807:F1811)</f>
        <v>209831.08000000002</v>
      </c>
      <c r="G1812" s="2614">
        <f>SUM(G1807:G1811)</f>
        <v>182070.56</v>
      </c>
      <c r="H1812" s="2614">
        <f t="shared" ref="H1812" si="197">SUM(H1807:H1811)</f>
        <v>119582.70999999999</v>
      </c>
      <c r="I1812" s="2614">
        <f>SUM(I1807:I1811)</f>
        <v>165593.72</v>
      </c>
      <c r="J1812" s="2614">
        <f>SUM(J1807:J1811)</f>
        <v>312815.71999999997</v>
      </c>
    </row>
    <row r="1813" spans="1:10" ht="14.25" hidden="1" x14ac:dyDescent="0.2">
      <c r="A1813" s="2236"/>
      <c r="B1813" s="2243"/>
      <c r="C1813" s="2244"/>
      <c r="D1813" s="2245"/>
      <c r="E1813" s="2244"/>
      <c r="F1813" s="2246"/>
      <c r="G1813" s="2244"/>
      <c r="H1813" s="2244"/>
      <c r="I1813" s="2238" t="e">
        <f>VLOOKUP(A1813,'Trial Balance - FPer'!$A$7:$I$1107,7,FALSE)</f>
        <v>#N/A</v>
      </c>
      <c r="J1813" s="2100" t="e">
        <f>VLOOKUP(A1813,'Trial Balance - FPer'!$A$7:$I$1126,3,FALSE)</f>
        <v>#N/A</v>
      </c>
    </row>
    <row r="1814" spans="1:10" ht="14.25" hidden="1" x14ac:dyDescent="0.2">
      <c r="A1814" s="2236"/>
      <c r="B1814" s="2242" t="s">
        <v>6619</v>
      </c>
      <c r="C1814" s="2244"/>
      <c r="D1814" s="2245"/>
      <c r="E1814" s="2244"/>
      <c r="F1814" s="2246"/>
      <c r="G1814" s="2244"/>
      <c r="H1814" s="2244"/>
      <c r="I1814" s="2238" t="e">
        <f>VLOOKUP(A1814,'Trial Balance - FPer'!$A$7:$I$1107,7,FALSE)</f>
        <v>#N/A</v>
      </c>
      <c r="J1814" s="2100" t="e">
        <f>VLOOKUP(A1814,'Trial Balance - FPer'!$A$7:$I$1126,3,FALSE)</f>
        <v>#N/A</v>
      </c>
    </row>
    <row r="1815" spans="1:10" ht="14.25" hidden="1" x14ac:dyDescent="0.2">
      <c r="A1815" s="2236" t="s">
        <v>5765</v>
      </c>
      <c r="B1815" s="2243" t="s">
        <v>6701</v>
      </c>
      <c r="C1815" s="2244">
        <v>0</v>
      </c>
      <c r="D1815" s="2245">
        <v>0</v>
      </c>
      <c r="E1815" s="2244">
        <v>0</v>
      </c>
      <c r="F1815" s="2246">
        <v>0</v>
      </c>
      <c r="G1815" s="2244">
        <v>0</v>
      </c>
      <c r="H1815" s="2244"/>
      <c r="I1815" s="2238">
        <f>VLOOKUP(A1815,'Trial Balance - FPer'!$A$7:$I$1107,7,FALSE)</f>
        <v>0</v>
      </c>
      <c r="J1815" s="2100">
        <f>VLOOKUP(A1815,'Trial Balance - FPer'!$A$7:$I$1126,3,FALSE)</f>
        <v>0</v>
      </c>
    </row>
    <row r="1816" spans="1:10" ht="14.25" hidden="1" x14ac:dyDescent="0.2">
      <c r="A1816" s="2236" t="s">
        <v>5766</v>
      </c>
      <c r="B1816" s="2243" t="s">
        <v>6620</v>
      </c>
      <c r="C1816" s="2244">
        <f>'[2]Data File'!$C$1632</f>
        <v>152565.95000000001</v>
      </c>
      <c r="D1816" s="2245">
        <v>76930.649999999994</v>
      </c>
      <c r="E1816" s="2244">
        <v>0</v>
      </c>
      <c r="F1816" s="2246">
        <v>76930.649999999994</v>
      </c>
      <c r="G1816" s="2244">
        <v>19310.330000000002</v>
      </c>
      <c r="H1816" s="2244"/>
      <c r="I1816" s="2238">
        <f>VLOOKUP(A1816,'Trial Balance - FPer'!$A$7:$I$1107,7,FALSE)</f>
        <v>24106.94</v>
      </c>
      <c r="J1816" s="2100">
        <f>VLOOKUP(A1816,'Trial Balance - FPer'!$A$7:$I$1126,3,FALSE)</f>
        <v>152565.95000000001</v>
      </c>
    </row>
    <row r="1817" spans="1:10" ht="14.25" hidden="1" x14ac:dyDescent="0.2">
      <c r="A1817" s="2236" t="s">
        <v>5767</v>
      </c>
      <c r="B1817" s="2247" t="s">
        <v>6621</v>
      </c>
      <c r="C1817" s="2248">
        <f>'[2]Data File'!$C$1634</f>
        <v>22835.57</v>
      </c>
      <c r="D1817" s="2249">
        <v>21981.14</v>
      </c>
      <c r="E1817" s="2248">
        <v>0</v>
      </c>
      <c r="F1817" s="2250">
        <v>21981.14</v>
      </c>
      <c r="G1817" s="2248">
        <v>5518.57</v>
      </c>
      <c r="H1817" s="2244"/>
      <c r="I1817" s="2238">
        <f>VLOOKUP(A1817,'Trial Balance - FPer'!$A$7:$I$1107,7,FALSE)</f>
        <v>2082.21</v>
      </c>
      <c r="J1817" s="2100">
        <f>VLOOKUP(A1817,'Trial Balance - FPer'!$A$7:$I$1126,3,FALSE)</f>
        <v>22835.57</v>
      </c>
    </row>
    <row r="1818" spans="1:10" s="2615" customFormat="1" hidden="1" x14ac:dyDescent="0.2">
      <c r="A1818" s="2612"/>
      <c r="B1818" s="2613" t="s">
        <v>6622</v>
      </c>
      <c r="C1818" s="2614">
        <f>SUM(C1815:C1817)</f>
        <v>175401.52000000002</v>
      </c>
      <c r="D1818" s="2614">
        <f>SUM(D1815:D1817)</f>
        <v>98911.79</v>
      </c>
      <c r="E1818" s="2614">
        <f>SUM(E1815:E1817)</f>
        <v>0</v>
      </c>
      <c r="F1818" s="2614">
        <f>SUM(F1815:F1817)</f>
        <v>98911.79</v>
      </c>
      <c r="G1818" s="2614">
        <f>SUM(G1815:G1817)</f>
        <v>24828.9</v>
      </c>
      <c r="H1818" s="2614">
        <f t="shared" ref="H1818" si="198">SUM(H1815:H1817)</f>
        <v>0</v>
      </c>
      <c r="I1818" s="2614">
        <f>SUM(I1815:I1817)</f>
        <v>26189.149999999998</v>
      </c>
      <c r="J1818" s="2614">
        <f>SUM(J1815:J1817)</f>
        <v>175401.52000000002</v>
      </c>
    </row>
    <row r="1819" spans="1:10" ht="14.25" hidden="1" x14ac:dyDescent="0.2">
      <c r="A1819" s="2236"/>
      <c r="B1819" s="2243"/>
      <c r="C1819" s="2244"/>
      <c r="D1819" s="2245"/>
      <c r="E1819" s="2244"/>
      <c r="F1819" s="2246"/>
      <c r="G1819" s="2244"/>
      <c r="H1819" s="2244"/>
      <c r="I1819" s="2238" t="e">
        <f>VLOOKUP(A1819,'Trial Balance - FPer'!$A$7:$I$1107,7,FALSE)</f>
        <v>#N/A</v>
      </c>
      <c r="J1819" s="2100" t="e">
        <f>VLOOKUP(A1819,'Trial Balance - FPer'!$A$7:$I$1126,3,FALSE)</f>
        <v>#N/A</v>
      </c>
    </row>
    <row r="1820" spans="1:10" s="2615" customFormat="1" ht="13.5" thickBot="1" x14ac:dyDescent="0.25">
      <c r="A1820" s="2612"/>
      <c r="B1820" s="2616" t="s">
        <v>6623</v>
      </c>
      <c r="C1820" s="2617">
        <f>C1818+C1812+C1804+C1786+C1782+C1778+C1774+C1770+C1766</f>
        <v>4790226.5299999993</v>
      </c>
      <c r="D1820" s="2617">
        <f>D1818+D1812+D1804+D1786+D1782+D1778+D1774+D1770+D1766</f>
        <v>4320416.16</v>
      </c>
      <c r="E1820" s="2617">
        <f>E1818+E1812+E1804+E1786+E1782+E1778+E1774+E1770+E1766</f>
        <v>1646039.36</v>
      </c>
      <c r="F1820" s="2617">
        <f>F1818+F1812+F1804+F1786+F1782+F1778+F1774+F1770+F1766</f>
        <v>3860141.9</v>
      </c>
      <c r="G1820" s="2617">
        <f>G1818+G1812+G1804+G1786+G1782+G1778+G1774+G1770+G1766</f>
        <v>3556067.04</v>
      </c>
      <c r="H1820" s="2617">
        <f t="shared" ref="H1820" si="199">H1818+H1812+H1804+H1786+H1782+H1778+H1774+H1770+H1766</f>
        <v>1972022.73</v>
      </c>
      <c r="I1820" s="2617">
        <f>I1818+I1812+I1804+I1786+I1782+I1778+I1774+I1770+I1766</f>
        <v>3378542.9699999997</v>
      </c>
      <c r="J1820" s="2617">
        <f>J1818+J1812+J1804+J1786+J1782+J1778+J1774+J1770+J1766</f>
        <v>5600119.1200000001</v>
      </c>
    </row>
    <row r="1821" spans="1:10" ht="15" thickTop="1" x14ac:dyDescent="0.2">
      <c r="A1821" s="2236"/>
      <c r="B1821" s="2243"/>
      <c r="C1821" s="2244"/>
      <c r="D1821" s="2245"/>
      <c r="E1821" s="2244"/>
      <c r="F1821" s="2246"/>
      <c r="G1821" s="2244"/>
      <c r="H1821" s="2244"/>
      <c r="I1821" s="2238" t="e">
        <f>VLOOKUP(A1821,'Trial Balance - FPer'!$A$7:$I$1107,7,FALSE)</f>
        <v>#N/A</v>
      </c>
      <c r="J1821" s="2100" t="e">
        <f>VLOOKUP(A1821,'Trial Balance - FPer'!$A$7:$I$1126,3,FALSE)</f>
        <v>#N/A</v>
      </c>
    </row>
    <row r="1822" spans="1:10" s="2615" customFormat="1" ht="13.5" thickBot="1" x14ac:dyDescent="0.25">
      <c r="A1822" s="2612"/>
      <c r="B1822" s="2616" t="s">
        <v>6624</v>
      </c>
      <c r="C1822" s="2617">
        <f>C1748-C1820</f>
        <v>-1003248.3899999992</v>
      </c>
      <c r="D1822" s="2617">
        <f>D1748-D1820</f>
        <v>-389410.38000000035</v>
      </c>
      <c r="E1822" s="2617">
        <f>E1748-E1820</f>
        <v>520562.51999999979</v>
      </c>
      <c r="F1822" s="2617">
        <f>F1748-F1820</f>
        <v>0</v>
      </c>
      <c r="G1822" s="2617">
        <f>G1748-G1820</f>
        <v>583896.62000000011</v>
      </c>
      <c r="H1822" s="2617">
        <f t="shared" ref="H1822:J1822" si="200">H1748-H1820</f>
        <v>-1972022.73</v>
      </c>
      <c r="I1822" s="2617">
        <f t="shared" si="200"/>
        <v>-7600390.879999999</v>
      </c>
      <c r="J1822" s="2617">
        <f t="shared" si="200"/>
        <v>-9387097.2599999998</v>
      </c>
    </row>
    <row r="1823" spans="1:10" ht="15" thickTop="1" x14ac:dyDescent="0.2">
      <c r="A1823" s="2236"/>
      <c r="B1823" s="2243"/>
      <c r="C1823" s="2244"/>
      <c r="D1823" s="2245"/>
      <c r="E1823" s="2244"/>
      <c r="F1823" s="2246"/>
      <c r="G1823" s="2244"/>
      <c r="H1823" s="2244"/>
      <c r="I1823" s="2238"/>
      <c r="J1823" s="2100" t="e">
        <f>VLOOKUP(A1823,'Trial Balance - FPer'!$A$7:$I$1126,3,FALSE)</f>
        <v>#N/A</v>
      </c>
    </row>
    <row r="1824" spans="1:10" ht="15" x14ac:dyDescent="0.25">
      <c r="A1824" s="2241">
        <v>1101</v>
      </c>
      <c r="B1824" s="2237" t="s">
        <v>6828</v>
      </c>
      <c r="C1824" s="2244"/>
      <c r="D1824" s="2245"/>
      <c r="E1824" s="2244"/>
      <c r="F1824" s="2246"/>
      <c r="G1824" s="2244"/>
      <c r="H1824" s="2244"/>
      <c r="I1824" s="2238"/>
      <c r="J1824" s="2100" t="e">
        <f>VLOOKUP(A1824,'Trial Balance - FPer'!$A$7:$I$1126,3,FALSE)</f>
        <v>#N/A</v>
      </c>
    </row>
    <row r="1825" spans="1:10" ht="14.25" x14ac:dyDescent="0.2">
      <c r="A1825" s="2236"/>
      <c r="B1825" s="2243"/>
      <c r="C1825" s="2244"/>
      <c r="D1825" s="2245"/>
      <c r="E1825" s="2244"/>
      <c r="F1825" s="2246"/>
      <c r="G1825" s="2244"/>
      <c r="H1825" s="2244"/>
      <c r="I1825" s="2238"/>
      <c r="J1825" s="2100" t="e">
        <f>VLOOKUP(A1825,'Trial Balance - FPer'!$A$7:$I$1126,3,FALSE)</f>
        <v>#N/A</v>
      </c>
    </row>
    <row r="1826" spans="1:10" ht="14.25" x14ac:dyDescent="0.2">
      <c r="A1826" s="2236"/>
      <c r="B1826" s="2242" t="s">
        <v>247</v>
      </c>
      <c r="C1826" s="2244"/>
      <c r="D1826" s="2245"/>
      <c r="E1826" s="2244"/>
      <c r="F1826" s="2246"/>
      <c r="G1826" s="2244"/>
      <c r="H1826" s="2244"/>
      <c r="I1826" s="2238"/>
      <c r="J1826" s="2100" t="e">
        <f>VLOOKUP(A1826,'Trial Balance - FPer'!$A$7:$I$1126,3,FALSE)</f>
        <v>#N/A</v>
      </c>
    </row>
    <row r="1827" spans="1:10" ht="14.25" hidden="1" x14ac:dyDescent="0.2">
      <c r="A1827" s="2236"/>
      <c r="B1827" s="2242" t="s">
        <v>6644</v>
      </c>
      <c r="C1827" s="2244"/>
      <c r="D1827" s="2245"/>
      <c r="E1827" s="2244"/>
      <c r="F1827" s="2246"/>
      <c r="G1827" s="2244"/>
      <c r="H1827" s="2244"/>
      <c r="I1827" s="2238"/>
      <c r="J1827" s="2100" t="e">
        <f>VLOOKUP(A1827,'Trial Balance - FPer'!$A$7:$I$1126,3,FALSE)</f>
        <v>#N/A</v>
      </c>
    </row>
    <row r="1828" spans="1:10" ht="14.25" hidden="1" x14ac:dyDescent="0.2">
      <c r="A1828" s="2236" t="s">
        <v>5819</v>
      </c>
      <c r="B1828" s="2247" t="s">
        <v>6829</v>
      </c>
      <c r="C1828" s="2248">
        <f>'[2]Data File'!$C$1759</f>
        <v>1152.78</v>
      </c>
      <c r="D1828" s="2249">
        <v>6488.53</v>
      </c>
      <c r="E1828" s="2248">
        <v>0</v>
      </c>
      <c r="F1828" s="2250">
        <v>6488.53</v>
      </c>
      <c r="G1828" s="2248">
        <v>3254.53</v>
      </c>
      <c r="H1828" s="2244"/>
      <c r="I1828" s="2238">
        <f>VLOOKUP(A1828,'Trial Balance - FPer'!$A$7:$I$1107,7,FALSE)</f>
        <v>0</v>
      </c>
      <c r="J1828" s="2100">
        <f>VLOOKUP(A1828,'Trial Balance - FPer'!$A$7:$I$1126,3,FALSE)</f>
        <v>-1152.78</v>
      </c>
    </row>
    <row r="1829" spans="1:10" s="2615" customFormat="1" hidden="1" x14ac:dyDescent="0.2">
      <c r="A1829" s="2612"/>
      <c r="B1829" s="2613" t="s">
        <v>6646</v>
      </c>
      <c r="C1829" s="2614">
        <f>SUM(C1828)</f>
        <v>1152.78</v>
      </c>
      <c r="D1829" s="2614">
        <f>SUM(D1828)</f>
        <v>6488.53</v>
      </c>
      <c r="E1829" s="2614">
        <f>SUM(E1828)</f>
        <v>0</v>
      </c>
      <c r="F1829" s="2614">
        <f>SUM(F1828)</f>
        <v>6488.53</v>
      </c>
      <c r="G1829" s="2614">
        <f>SUM(G1828)</f>
        <v>3254.53</v>
      </c>
      <c r="H1829" s="2614">
        <f t="shared" ref="H1829:J1829" si="201">SUM(H1828)</f>
        <v>0</v>
      </c>
      <c r="I1829" s="2614">
        <f t="shared" si="201"/>
        <v>0</v>
      </c>
      <c r="J1829" s="2614">
        <f t="shared" si="201"/>
        <v>-1152.78</v>
      </c>
    </row>
    <row r="1830" spans="1:10" ht="14.25" hidden="1" x14ac:dyDescent="0.2">
      <c r="A1830" s="2236"/>
      <c r="B1830" s="2243"/>
      <c r="C1830" s="2244"/>
      <c r="D1830" s="2245"/>
      <c r="E1830" s="2244"/>
      <c r="F1830" s="2246"/>
      <c r="G1830" s="2244"/>
      <c r="H1830" s="2244"/>
      <c r="I1830" s="2238"/>
      <c r="J1830" s="2100" t="e">
        <f>VLOOKUP(A1830,'Trial Balance - FPer'!$A$7:$I$1126,3,FALSE)</f>
        <v>#N/A</v>
      </c>
    </row>
    <row r="1831" spans="1:10" ht="14.25" hidden="1" x14ac:dyDescent="0.2">
      <c r="A1831" s="2236"/>
      <c r="B1831" s="2242" t="s">
        <v>6628</v>
      </c>
      <c r="C1831" s="2244"/>
      <c r="D1831" s="2245"/>
      <c r="E1831" s="2244"/>
      <c r="F1831" s="2246"/>
      <c r="G1831" s="2244"/>
      <c r="H1831" s="2244"/>
      <c r="I1831" s="2238"/>
      <c r="J1831" s="2100" t="e">
        <f>VLOOKUP(A1831,'Trial Balance - FPer'!$A$7:$I$1126,3,FALSE)</f>
        <v>#N/A</v>
      </c>
    </row>
    <row r="1832" spans="1:10" ht="14.25" hidden="1" x14ac:dyDescent="0.2">
      <c r="A1832" s="2236" t="s">
        <v>5820</v>
      </c>
      <c r="B1832" s="2247" t="s">
        <v>6659</v>
      </c>
      <c r="C1832" s="2248">
        <f>'[2]Data File'!$C$1769</f>
        <v>0</v>
      </c>
      <c r="D1832" s="2249">
        <v>2545770.7400000002</v>
      </c>
      <c r="E1832" s="2248">
        <v>0</v>
      </c>
      <c r="F1832" s="2250">
        <v>2402403.79</v>
      </c>
      <c r="G1832" s="2248">
        <v>1277976.74</v>
      </c>
      <c r="H1832" s="2244"/>
      <c r="I1832" s="2238">
        <f>VLOOKUP(A1832,'Trial Balance - FPer'!$A$7:$I$1107,7,FALSE)</f>
        <v>0</v>
      </c>
      <c r="J1832" s="2100">
        <f>VLOOKUP(A1832,'Trial Balance - FPer'!$A$7:$I$1126,3,FALSE)</f>
        <v>0</v>
      </c>
    </row>
    <row r="1833" spans="1:10" s="2615" customFormat="1" hidden="1" x14ac:dyDescent="0.2">
      <c r="A1833" s="2612"/>
      <c r="B1833" s="2613" t="s">
        <v>6631</v>
      </c>
      <c r="C1833" s="2614">
        <f>SUM(C1832)</f>
        <v>0</v>
      </c>
      <c r="D1833" s="2614">
        <f>SUM(D1832)</f>
        <v>2545770.7400000002</v>
      </c>
      <c r="E1833" s="2614">
        <f>SUM(E1832)</f>
        <v>0</v>
      </c>
      <c r="F1833" s="2614">
        <f>SUM(F1832)</f>
        <v>2402403.79</v>
      </c>
      <c r="G1833" s="2614">
        <f>SUM(G1832)</f>
        <v>1277976.74</v>
      </c>
      <c r="H1833" s="2614">
        <f t="shared" ref="H1833:J1833" si="202">SUM(H1832)</f>
        <v>0</v>
      </c>
      <c r="I1833" s="2614">
        <f t="shared" si="202"/>
        <v>0</v>
      </c>
      <c r="J1833" s="2614">
        <f t="shared" si="202"/>
        <v>0</v>
      </c>
    </row>
    <row r="1834" spans="1:10" ht="14.25" hidden="1" x14ac:dyDescent="0.2">
      <c r="A1834" s="2236"/>
      <c r="B1834" s="2243"/>
      <c r="C1834" s="2244"/>
      <c r="D1834" s="2245"/>
      <c r="E1834" s="2244"/>
      <c r="F1834" s="2246"/>
      <c r="G1834" s="2244"/>
      <c r="H1834" s="2244"/>
      <c r="I1834" s="2238"/>
      <c r="J1834" s="2100" t="e">
        <f>VLOOKUP(A1834,'Trial Balance - FPer'!$A$7:$I$1126,3,FALSE)</f>
        <v>#N/A</v>
      </c>
    </row>
    <row r="1835" spans="1:10" ht="14.25" hidden="1" x14ac:dyDescent="0.2">
      <c r="A1835" s="2236"/>
      <c r="B1835" s="2242" t="s">
        <v>6722</v>
      </c>
      <c r="C1835" s="2244"/>
      <c r="D1835" s="2245"/>
      <c r="E1835" s="2244"/>
      <c r="F1835" s="2246"/>
      <c r="G1835" s="2244"/>
      <c r="H1835" s="2244"/>
      <c r="I1835" s="2238"/>
      <c r="J1835" s="2100" t="e">
        <f>VLOOKUP(A1835,'Trial Balance - FPer'!$A$7:$I$1126,3,FALSE)</f>
        <v>#N/A</v>
      </c>
    </row>
    <row r="1836" spans="1:10" ht="14.25" hidden="1" x14ac:dyDescent="0.2">
      <c r="A1836" s="2236" t="s">
        <v>5821</v>
      </c>
      <c r="B1836" s="2243" t="s">
        <v>6244</v>
      </c>
      <c r="C1836" s="2244">
        <f>'[2]Data File'!$C$1773</f>
        <v>0</v>
      </c>
      <c r="D1836" s="2245">
        <v>4239709.75</v>
      </c>
      <c r="E1836" s="2244">
        <v>0</v>
      </c>
      <c r="F1836" s="2246">
        <v>8106389.4299999997</v>
      </c>
      <c r="G1836" s="2244">
        <v>2128333.75</v>
      </c>
      <c r="H1836" s="2244"/>
      <c r="I1836" s="2238">
        <f>VLOOKUP(A1836,'Trial Balance - FPer'!$A$7:$I$1107,7,FALSE)</f>
        <v>0</v>
      </c>
      <c r="J1836" s="2100">
        <f>VLOOKUP(A1836,'Trial Balance - FPer'!$A$7:$I$1126,3,FALSE)</f>
        <v>0</v>
      </c>
    </row>
    <row r="1837" spans="1:10" ht="14.25" hidden="1" x14ac:dyDescent="0.2">
      <c r="A1837" s="2251" t="s">
        <v>5822</v>
      </c>
      <c r="B1837" s="2257" t="s">
        <v>6830</v>
      </c>
      <c r="C1837" s="2253">
        <f>'[2]Data File'!$C$1774</f>
        <v>0</v>
      </c>
      <c r="D1837" s="2254">
        <v>536000</v>
      </c>
      <c r="E1837" s="2253">
        <v>0</v>
      </c>
      <c r="F1837" s="2255">
        <v>536000</v>
      </c>
      <c r="G1837" s="2253">
        <v>269072</v>
      </c>
      <c r="H1837" s="2253"/>
      <c r="I1837" s="2238">
        <f>VLOOKUP(A1837,'Trial Balance - FPer'!$A$7:$I$1107,7,FALSE)</f>
        <v>0</v>
      </c>
      <c r="J1837" s="2100">
        <f>VLOOKUP(A1837,'Trial Balance - FPer'!$A$7:$I$1126,3,FALSE)</f>
        <v>0</v>
      </c>
    </row>
    <row r="1838" spans="1:10" ht="14.25" hidden="1" x14ac:dyDescent="0.2">
      <c r="A1838" s="2236"/>
      <c r="B1838" s="2247" t="s">
        <v>6831</v>
      </c>
      <c r="C1838" s="2248"/>
      <c r="D1838" s="2249"/>
      <c r="E1838" s="2248"/>
      <c r="F1838" s="2250">
        <v>4200000</v>
      </c>
      <c r="G1838" s="2248"/>
      <c r="H1838" s="2244"/>
      <c r="I1838" s="2238"/>
      <c r="J1838" s="2100" t="e">
        <f>VLOOKUP(A1838,'Trial Balance - FPer'!$A$7:$I$1126,3,FALSE)</f>
        <v>#N/A</v>
      </c>
    </row>
    <row r="1839" spans="1:10" s="2615" customFormat="1" hidden="1" x14ac:dyDescent="0.2">
      <c r="A1839" s="2612"/>
      <c r="B1839" s="2613" t="s">
        <v>6724</v>
      </c>
      <c r="C1839" s="2614">
        <f>SUM(C1836:C1837)</f>
        <v>0</v>
      </c>
      <c r="D1839" s="2614">
        <f>SUM(D1836:D1837)</f>
        <v>4775709.75</v>
      </c>
      <c r="E1839" s="2614">
        <f>SUM(E1836:E1837)</f>
        <v>0</v>
      </c>
      <c r="F1839" s="2614">
        <f>SUM(F1836:F1838)</f>
        <v>12842389.43</v>
      </c>
      <c r="G1839" s="2614">
        <f>SUM(G1836:G1837)</f>
        <v>2397405.75</v>
      </c>
      <c r="H1839" s="2614">
        <f t="shared" ref="H1839:J1839" si="203">SUM(H1836:H1837)</f>
        <v>0</v>
      </c>
      <c r="I1839" s="2614">
        <f t="shared" si="203"/>
        <v>0</v>
      </c>
      <c r="J1839" s="2614">
        <f t="shared" si="203"/>
        <v>0</v>
      </c>
    </row>
    <row r="1840" spans="1:10" ht="14.25" hidden="1" x14ac:dyDescent="0.2">
      <c r="A1840" s="2236"/>
      <c r="B1840" s="2243"/>
      <c r="C1840" s="2244"/>
      <c r="D1840" s="2245"/>
      <c r="E1840" s="2244"/>
      <c r="F1840" s="2246"/>
      <c r="G1840" s="2244"/>
      <c r="H1840" s="2244"/>
      <c r="I1840" s="2238"/>
      <c r="J1840" s="2100" t="e">
        <f>VLOOKUP(A1840,'Trial Balance - FPer'!$A$7:$I$1126,3,FALSE)</f>
        <v>#N/A</v>
      </c>
    </row>
    <row r="1841" spans="1:10" ht="14.25" hidden="1" x14ac:dyDescent="0.2">
      <c r="A1841" s="2236"/>
      <c r="B1841" s="2242" t="s">
        <v>1637</v>
      </c>
      <c r="C1841" s="2244"/>
      <c r="D1841" s="2245"/>
      <c r="E1841" s="2244"/>
      <c r="F1841" s="2246"/>
      <c r="G1841" s="2244"/>
      <c r="H1841" s="2244"/>
      <c r="I1841" s="2238"/>
      <c r="J1841" s="2100" t="e">
        <f>VLOOKUP(A1841,'Trial Balance - FPer'!$A$7:$I$1126,3,FALSE)</f>
        <v>#N/A</v>
      </c>
    </row>
    <row r="1842" spans="1:10" ht="14.25" hidden="1" x14ac:dyDescent="0.2">
      <c r="A1842" s="2236" t="s">
        <v>5826</v>
      </c>
      <c r="B1842" s="2247" t="s">
        <v>6255</v>
      </c>
      <c r="C1842" s="2248">
        <f>'[2]Data File'!$C$1763</f>
        <v>1411.7</v>
      </c>
      <c r="D1842" s="2249">
        <v>1980.04</v>
      </c>
      <c r="E1842" s="2248">
        <v>40.53</v>
      </c>
      <c r="F1842" s="2250">
        <v>1036.57</v>
      </c>
      <c r="G1842" s="2248">
        <v>1036.57</v>
      </c>
      <c r="H1842" s="2244"/>
      <c r="I1842" s="2238">
        <f>VLOOKUP(A1842,'Trial Balance - FPer'!$A$7:$I$1107,7,FALSE)</f>
        <v>-208.44</v>
      </c>
      <c r="J1842" s="2100">
        <f>VLOOKUP(A1842,'Trial Balance - FPer'!$A$7:$I$1126,3,FALSE)</f>
        <v>-1411.7</v>
      </c>
    </row>
    <row r="1843" spans="1:10" s="2615" customFormat="1" hidden="1" x14ac:dyDescent="0.2">
      <c r="A1843" s="2612"/>
      <c r="B1843" s="2613" t="s">
        <v>6670</v>
      </c>
      <c r="C1843" s="2614">
        <f>SUM(C1842)</f>
        <v>1411.7</v>
      </c>
      <c r="D1843" s="2614">
        <f>SUM(D1842)</f>
        <v>1980.04</v>
      </c>
      <c r="E1843" s="2614">
        <f>SUM(E1842)</f>
        <v>40.53</v>
      </c>
      <c r="F1843" s="2614">
        <f>SUM(F1842)</f>
        <v>1036.57</v>
      </c>
      <c r="G1843" s="2614">
        <f>SUM(G1842)</f>
        <v>1036.57</v>
      </c>
      <c r="H1843" s="2614">
        <f t="shared" ref="H1843:J1843" si="204">SUM(H1842)</f>
        <v>0</v>
      </c>
      <c r="I1843" s="2614">
        <f t="shared" si="204"/>
        <v>-208.44</v>
      </c>
      <c r="J1843" s="2614">
        <f t="shared" si="204"/>
        <v>-1411.7</v>
      </c>
    </row>
    <row r="1844" spans="1:10" ht="14.25" hidden="1" x14ac:dyDescent="0.2">
      <c r="A1844" s="2236"/>
      <c r="B1844" s="2242"/>
      <c r="C1844" s="2244"/>
      <c r="D1844" s="2245"/>
      <c r="E1844" s="2244"/>
      <c r="F1844" s="2246"/>
      <c r="G1844" s="2244"/>
      <c r="H1844" s="2244"/>
      <c r="I1844" s="2238"/>
      <c r="J1844" s="2100" t="e">
        <f>VLOOKUP(A1844,'Trial Balance - FPer'!$A$7:$I$1126,3,FALSE)</f>
        <v>#N/A</v>
      </c>
    </row>
    <row r="1845" spans="1:10" s="2615" customFormat="1" ht="13.5" thickBot="1" x14ac:dyDescent="0.25">
      <c r="A1845" s="2612"/>
      <c r="B1845" s="2616" t="s">
        <v>6579</v>
      </c>
      <c r="C1845" s="2617">
        <f>C1843+C1839+C1833+C1829</f>
        <v>2564.48</v>
      </c>
      <c r="D1845" s="2617">
        <f>D1843+D1839+D1833+D1829</f>
        <v>7329949.0600000005</v>
      </c>
      <c r="E1845" s="2617">
        <f>E1843+E1839+E1833+E1829</f>
        <v>40.53</v>
      </c>
      <c r="F1845" s="2617">
        <f>F1843+F1839+F1833+F1829</f>
        <v>15252318.319999998</v>
      </c>
      <c r="G1845" s="2617">
        <f>G1843+G1839+G1833+G1829</f>
        <v>3679673.5899999994</v>
      </c>
      <c r="H1845" s="2617">
        <f t="shared" ref="H1845" si="205">H1843+H1839+H1833+H1829</f>
        <v>0</v>
      </c>
      <c r="I1845" s="2617">
        <f>I1843+I1839+I1833+I1829</f>
        <v>-208.44</v>
      </c>
      <c r="J1845" s="2617">
        <f>J1843+J1839+J1833+J1829</f>
        <v>-2564.48</v>
      </c>
    </row>
    <row r="1846" spans="1:10" ht="15" thickTop="1" x14ac:dyDescent="0.2">
      <c r="A1846" s="2236"/>
      <c r="B1846" s="2243"/>
      <c r="C1846" s="2244"/>
      <c r="D1846" s="2245"/>
      <c r="E1846" s="2244"/>
      <c r="F1846" s="2246"/>
      <c r="G1846" s="2244"/>
      <c r="H1846" s="2244"/>
      <c r="I1846" s="2238"/>
      <c r="J1846" s="2100" t="e">
        <f>VLOOKUP(A1846,'Trial Balance - FPer'!$A$7:$I$1126,3,FALSE)</f>
        <v>#N/A</v>
      </c>
    </row>
    <row r="1847" spans="1:10" ht="14.25" x14ac:dyDescent="0.2">
      <c r="A1847" s="2236"/>
      <c r="B1847" s="2242" t="s">
        <v>235</v>
      </c>
      <c r="C1847" s="2244"/>
      <c r="D1847" s="2245"/>
      <c r="E1847" s="2244"/>
      <c r="F1847" s="2246"/>
      <c r="G1847" s="2244"/>
      <c r="H1847" s="2244"/>
      <c r="I1847" s="2238"/>
      <c r="J1847" s="2100" t="e">
        <f>VLOOKUP(A1847,'Trial Balance - FPer'!$A$7:$I$1126,3,FALSE)</f>
        <v>#N/A</v>
      </c>
    </row>
    <row r="1848" spans="1:10" ht="14.25" hidden="1" x14ac:dyDescent="0.2">
      <c r="A1848" s="2236"/>
      <c r="B1848" s="2242" t="s">
        <v>387</v>
      </c>
      <c r="C1848" s="2244"/>
      <c r="D1848" s="2245"/>
      <c r="E1848" s="2244"/>
      <c r="F1848" s="2246"/>
      <c r="G1848" s="2244"/>
      <c r="H1848" s="2244"/>
      <c r="I1848" s="2238"/>
      <c r="J1848" s="2100" t="e">
        <f>VLOOKUP(A1848,'Trial Balance - FPer'!$A$7:$I$1126,3,FALSE)</f>
        <v>#N/A</v>
      </c>
    </row>
    <row r="1849" spans="1:10" ht="14.25" hidden="1" x14ac:dyDescent="0.2">
      <c r="A1849" s="2236" t="s">
        <v>5771</v>
      </c>
      <c r="B1849" s="2243" t="s">
        <v>6003</v>
      </c>
      <c r="C1849" s="2244">
        <f>'[2]Data File'!$C$1782</f>
        <v>1592697.67</v>
      </c>
      <c r="D1849" s="2245">
        <v>1958643.38</v>
      </c>
      <c r="E1849" s="2244">
        <v>748485.7</v>
      </c>
      <c r="F1849" s="2246">
        <v>1468457.08</v>
      </c>
      <c r="G1849" s="2253">
        <v>1617376.11</v>
      </c>
      <c r="H1849" s="2100">
        <v>868480.93</v>
      </c>
      <c r="I1849" s="2238">
        <f>VLOOKUP(A1849,'Trial Balance - FPer'!$A$7:$I$1107,7,FALSE)</f>
        <v>1518718.3599999999</v>
      </c>
      <c r="J1849" s="2100">
        <f>VLOOKUP(A1849,'Trial Balance - FPer'!$A$7:$I$1126,3,FALSE)</f>
        <v>1592697.67</v>
      </c>
    </row>
    <row r="1850" spans="1:10" ht="14.25" hidden="1" x14ac:dyDescent="0.2">
      <c r="A1850" s="2236" t="s">
        <v>5772</v>
      </c>
      <c r="B1850" s="2243" t="s">
        <v>6004</v>
      </c>
      <c r="C1850" s="2244">
        <f>'[2]Data File'!$C$1787</f>
        <v>94712.49</v>
      </c>
      <c r="D1850" s="2245">
        <v>56812.19</v>
      </c>
      <c r="E1850" s="2244">
        <v>42511.95</v>
      </c>
      <c r="F1850" s="2246">
        <v>119995.23</v>
      </c>
      <c r="G1850" s="2253">
        <v>78204.62</v>
      </c>
      <c r="H1850" s="2100">
        <v>53223.91</v>
      </c>
      <c r="I1850" s="2238">
        <f>VLOOKUP(A1850,'Trial Balance - FPer'!$A$7:$I$1107,7,FALSE)</f>
        <v>144210.39000000001</v>
      </c>
      <c r="J1850" s="2100">
        <f>VLOOKUP(A1850,'Trial Balance - FPer'!$A$7:$I$1126,3,FALSE)</f>
        <v>94712.49</v>
      </c>
    </row>
    <row r="1851" spans="1:10" ht="14.25" hidden="1" x14ac:dyDescent="0.2">
      <c r="A1851" s="2236" t="s">
        <v>5773</v>
      </c>
      <c r="B1851" s="2243" t="s">
        <v>6581</v>
      </c>
      <c r="C1851" s="2244">
        <f>'[2]Data File'!$C$1788</f>
        <v>0</v>
      </c>
      <c r="D1851" s="2245">
        <v>0</v>
      </c>
      <c r="E1851" s="2244">
        <v>0</v>
      </c>
      <c r="F1851" s="2246">
        <v>0</v>
      </c>
      <c r="G1851" s="2253">
        <v>0</v>
      </c>
      <c r="H1851" s="2100">
        <v>0</v>
      </c>
      <c r="I1851" s="2238">
        <f>VLOOKUP(A1851,'Trial Balance - FPer'!$A$7:$I$1107,7,FALSE)</f>
        <v>0</v>
      </c>
      <c r="J1851" s="2100">
        <f>VLOOKUP(A1851,'Trial Balance - FPer'!$A$7:$I$1126,3,FALSE)</f>
        <v>0</v>
      </c>
    </row>
    <row r="1852" spans="1:10" ht="14.25" hidden="1" x14ac:dyDescent="0.2">
      <c r="A1852" s="2236" t="s">
        <v>5774</v>
      </c>
      <c r="B1852" s="2243" t="s">
        <v>6814</v>
      </c>
      <c r="C1852" s="2244">
        <v>0</v>
      </c>
      <c r="D1852" s="2245">
        <v>0</v>
      </c>
      <c r="E1852" s="2244">
        <v>3987.46</v>
      </c>
      <c r="F1852" s="2246">
        <v>3987.46</v>
      </c>
      <c r="G1852" s="2253">
        <v>3987.46</v>
      </c>
      <c r="H1852" s="2100">
        <v>3987.46</v>
      </c>
      <c r="I1852" s="2238">
        <f>VLOOKUP(A1852,'Trial Balance - FPer'!$A$7:$I$1107,7,FALSE)</f>
        <v>3987.46</v>
      </c>
      <c r="J1852" s="2100">
        <f>VLOOKUP(A1852,'Trial Balance - FPer'!$A$7:$I$1126,3,FALSE)</f>
        <v>0</v>
      </c>
    </row>
    <row r="1853" spans="1:10" ht="14.25" hidden="1" x14ac:dyDescent="0.2">
      <c r="A1853" s="2236" t="s">
        <v>5775</v>
      </c>
      <c r="B1853" s="2243" t="s">
        <v>6632</v>
      </c>
      <c r="C1853" s="2244">
        <f>'[2]Data File'!$C$1789</f>
        <v>5790</v>
      </c>
      <c r="D1853" s="2245">
        <v>7600.78</v>
      </c>
      <c r="E1853" s="2244">
        <v>3132</v>
      </c>
      <c r="F1853" s="2246">
        <v>6264</v>
      </c>
      <c r="G1853" s="2253">
        <v>6617.18</v>
      </c>
      <c r="H1853" s="2100">
        <v>3654</v>
      </c>
      <c r="I1853" s="2238">
        <f>VLOOKUP(A1853,'Trial Balance - FPer'!$A$7:$I$1107,7,FALSE)</f>
        <v>6264</v>
      </c>
      <c r="J1853" s="2100">
        <f>VLOOKUP(A1853,'Trial Balance - FPer'!$A$7:$I$1126,3,FALSE)</f>
        <v>5790</v>
      </c>
    </row>
    <row r="1854" spans="1:10" ht="14.25" hidden="1" x14ac:dyDescent="0.2">
      <c r="A1854" s="2236" t="s">
        <v>5776</v>
      </c>
      <c r="B1854" s="2243" t="s">
        <v>6007</v>
      </c>
      <c r="C1854" s="2244">
        <f>'[2]Data File'!$C$1790</f>
        <v>67420.350000000006</v>
      </c>
      <c r="D1854" s="2245">
        <v>61844.45</v>
      </c>
      <c r="E1854" s="2244">
        <v>18419.77</v>
      </c>
      <c r="F1854" s="2246">
        <v>61844.45</v>
      </c>
      <c r="G1854" s="2253">
        <v>43225.88</v>
      </c>
      <c r="H1854" s="2100">
        <v>22285.81</v>
      </c>
      <c r="I1854" s="2238">
        <f>VLOOKUP(A1854,'Trial Balance - FPer'!$A$7:$I$1107,7,FALSE)</f>
        <v>65694.45</v>
      </c>
      <c r="J1854" s="2100">
        <f>VLOOKUP(A1854,'Trial Balance - FPer'!$A$7:$I$1126,3,FALSE)</f>
        <v>67420.350000000006</v>
      </c>
    </row>
    <row r="1855" spans="1:10" ht="14.25" hidden="1" x14ac:dyDescent="0.2">
      <c r="A1855" s="2236" t="s">
        <v>5777</v>
      </c>
      <c r="B1855" s="2243" t="s">
        <v>6582</v>
      </c>
      <c r="C1855" s="2244">
        <f>'[2]Data File'!$C$1791</f>
        <v>17959.07</v>
      </c>
      <c r="D1855" s="2245">
        <v>22683.88</v>
      </c>
      <c r="E1855" s="2244">
        <v>0</v>
      </c>
      <c r="F1855" s="2246">
        <v>0</v>
      </c>
      <c r="G1855" s="2253">
        <v>5692.94</v>
      </c>
      <c r="H1855" s="2100">
        <v>0</v>
      </c>
      <c r="I1855" s="2238">
        <f>VLOOKUP(A1855,'Trial Balance - FPer'!$A$7:$I$1107,7,FALSE)</f>
        <v>0</v>
      </c>
      <c r="J1855" s="2100">
        <f>VLOOKUP(A1855,'Trial Balance - FPer'!$A$7:$I$1126,3,FALSE)</f>
        <v>17959.07</v>
      </c>
    </row>
    <row r="1856" spans="1:10" ht="14.25" hidden="1" x14ac:dyDescent="0.2">
      <c r="A1856" s="2236" t="s">
        <v>5778</v>
      </c>
      <c r="B1856" s="2243" t="s">
        <v>6583</v>
      </c>
      <c r="C1856" s="2244">
        <f>'[2]Data File'!$C$1793</f>
        <v>0</v>
      </c>
      <c r="D1856" s="2245">
        <v>0</v>
      </c>
      <c r="E1856" s="2244">
        <v>18335.310000000001</v>
      </c>
      <c r="F1856" s="2246">
        <v>18335.310000000001</v>
      </c>
      <c r="G1856" s="2253">
        <v>18335.310000000001</v>
      </c>
      <c r="H1856" s="2100">
        <v>18335.310000000001</v>
      </c>
      <c r="I1856" s="2238">
        <f>VLOOKUP(A1856,'Trial Balance - FPer'!$A$7:$I$1107,7,FALSE)</f>
        <v>18335.310000000001</v>
      </c>
      <c r="J1856" s="2100">
        <f>VLOOKUP(A1856,'Trial Balance - FPer'!$A$7:$I$1126,3,FALSE)</f>
        <v>0</v>
      </c>
    </row>
    <row r="1857" spans="1:10" ht="14.25" hidden="1" x14ac:dyDescent="0.2">
      <c r="A1857" s="2236" t="s">
        <v>5779</v>
      </c>
      <c r="B1857" s="2243" t="s">
        <v>6584</v>
      </c>
      <c r="C1857" s="2244">
        <f>'[2]Data File'!$C$1786</f>
        <v>1037.3</v>
      </c>
      <c r="D1857" s="2245">
        <v>1347.98</v>
      </c>
      <c r="E1857" s="2244">
        <v>492</v>
      </c>
      <c r="F1857" s="2246">
        <v>984</v>
      </c>
      <c r="G1857" s="2253">
        <v>1077.4000000000001</v>
      </c>
      <c r="H1857" s="2100">
        <v>574</v>
      </c>
      <c r="I1857" s="2238">
        <f>VLOOKUP(A1857,'Trial Balance - FPer'!$A$7:$I$1107,7,FALSE)</f>
        <v>1041.4000000000001</v>
      </c>
      <c r="J1857" s="2100">
        <f>VLOOKUP(A1857,'Trial Balance - FPer'!$A$7:$I$1126,3,FALSE)</f>
        <v>1037.3</v>
      </c>
    </row>
    <row r="1858" spans="1:10" ht="14.25" hidden="1" x14ac:dyDescent="0.2">
      <c r="A1858" s="2236" t="s">
        <v>5780</v>
      </c>
      <c r="B1858" s="2243" t="s">
        <v>6585</v>
      </c>
      <c r="C1858" s="2244">
        <f>'[2]Data File'!$C$1792</f>
        <v>15515.48</v>
      </c>
      <c r="D1858" s="2245">
        <v>19030.849999999999</v>
      </c>
      <c r="E1858" s="2244">
        <v>7733.06</v>
      </c>
      <c r="F1858" s="2246">
        <v>19030.849999999999</v>
      </c>
      <c r="G1858" s="2253">
        <v>16403.32</v>
      </c>
      <c r="H1858" s="2100">
        <v>9029.2900000000009</v>
      </c>
      <c r="I1858" s="2238">
        <f>VLOOKUP(A1858,'Trial Balance - FPer'!$A$7:$I$1107,7,FALSE)</f>
        <v>17323.61</v>
      </c>
      <c r="J1858" s="2100">
        <f>VLOOKUP(A1858,'Trial Balance - FPer'!$A$7:$I$1126,3,FALSE)</f>
        <v>15515.48</v>
      </c>
    </row>
    <row r="1859" spans="1:10" ht="14.25" hidden="1" x14ac:dyDescent="0.2">
      <c r="A1859" s="2236" t="s">
        <v>5781</v>
      </c>
      <c r="B1859" s="2243" t="s">
        <v>6586</v>
      </c>
      <c r="C1859" s="2244">
        <f>'[2]Data File'!$C$1794</f>
        <v>0</v>
      </c>
      <c r="D1859" s="2245">
        <v>6778.37</v>
      </c>
      <c r="E1859" s="2244">
        <v>0</v>
      </c>
      <c r="F1859" s="2246">
        <v>0</v>
      </c>
      <c r="G1859" s="2253">
        <v>1700.18</v>
      </c>
      <c r="H1859" s="2100">
        <v>0</v>
      </c>
      <c r="I1859" s="2238">
        <f>VLOOKUP(A1859,'Trial Balance - FPer'!$A$7:$I$1107,7,FALSE)</f>
        <v>0</v>
      </c>
      <c r="J1859" s="2100" t="str">
        <f>VLOOKUP(A1859,'Trial Balance - FPer'!$A$7:$I$1126,3,FALSE)</f>
        <v xml:space="preserve">                               -  </v>
      </c>
    </row>
    <row r="1860" spans="1:10" ht="14.25" hidden="1" x14ac:dyDescent="0.2">
      <c r="A1860" s="2236" t="s">
        <v>5782</v>
      </c>
      <c r="B1860" s="2243" t="s">
        <v>6587</v>
      </c>
      <c r="C1860" s="2244">
        <f>'[2]Data File'!$C$1783</f>
        <v>106253.8</v>
      </c>
      <c r="D1860" s="2245">
        <v>134724.19</v>
      </c>
      <c r="E1860" s="2244">
        <v>52045.2</v>
      </c>
      <c r="F1860" s="2246">
        <v>108914.4</v>
      </c>
      <c r="G1860" s="2253">
        <v>112089.06</v>
      </c>
      <c r="H1860" s="2100">
        <v>61523.4</v>
      </c>
      <c r="I1860" s="2238">
        <f>VLOOKUP(A1860,'Trial Balance - FPer'!$A$7:$I$1107,7,FALSE)</f>
        <v>120798.6</v>
      </c>
      <c r="J1860" s="2100">
        <f>VLOOKUP(A1860,'Trial Balance - FPer'!$A$7:$I$1126,3,FALSE)</f>
        <v>106253.8</v>
      </c>
    </row>
    <row r="1861" spans="1:10" ht="14.25" hidden="1" x14ac:dyDescent="0.2">
      <c r="A1861" s="2236" t="s">
        <v>5783</v>
      </c>
      <c r="B1861" s="2243" t="s">
        <v>6013</v>
      </c>
      <c r="C1861" s="2244">
        <f>'[2]Data File'!$C$1784</f>
        <v>229484.42</v>
      </c>
      <c r="D1861" s="2245">
        <v>279261.71000000002</v>
      </c>
      <c r="E1861" s="2244">
        <v>125723.53</v>
      </c>
      <c r="F1861" s="2246">
        <v>255549.37</v>
      </c>
      <c r="G1861" s="2253">
        <v>259182.23</v>
      </c>
      <c r="H1861" s="2100">
        <v>147361.17000000001</v>
      </c>
      <c r="I1861" s="2238">
        <f>VLOOKUP(A1861,'Trial Balance - FPer'!$A$7:$I$1107,7,FALSE)</f>
        <v>263606.76</v>
      </c>
      <c r="J1861" s="2100">
        <f>VLOOKUP(A1861,'Trial Balance - FPer'!$A$7:$I$1126,3,FALSE)</f>
        <v>229484.42</v>
      </c>
    </row>
    <row r="1862" spans="1:10" ht="14.25" hidden="1" x14ac:dyDescent="0.2">
      <c r="A1862" s="2236" t="s">
        <v>5784</v>
      </c>
      <c r="B1862" s="2247" t="s">
        <v>6014</v>
      </c>
      <c r="C1862" s="2248">
        <f>'[2]Data File'!$C$1785</f>
        <v>16222.5</v>
      </c>
      <c r="D1862" s="2249">
        <v>20206.080000000002</v>
      </c>
      <c r="E1862" s="2248">
        <v>7969.97</v>
      </c>
      <c r="F1862" s="2250">
        <v>20206.080000000002</v>
      </c>
      <c r="G1862" s="2248">
        <v>17059.07</v>
      </c>
      <c r="H1862" s="2100">
        <v>9335.17</v>
      </c>
      <c r="I1862" s="2238">
        <f>VLOOKUP(A1862,'Trial Balance - FPer'!$A$7:$I$1107,7,FALSE)</f>
        <v>17204.27</v>
      </c>
      <c r="J1862" s="2100">
        <f>VLOOKUP(A1862,'Trial Balance - FPer'!$A$7:$I$1126,3,FALSE)</f>
        <v>16222.5</v>
      </c>
    </row>
    <row r="1863" spans="1:10" s="2615" customFormat="1" hidden="1" x14ac:dyDescent="0.2">
      <c r="A1863" s="2612"/>
      <c r="B1863" s="2620" t="s">
        <v>6588</v>
      </c>
      <c r="C1863" s="2621">
        <f>SUM(C1849:C1862)</f>
        <v>2147093.08</v>
      </c>
      <c r="D1863" s="2621">
        <f>SUM(D1849:D1862)</f>
        <v>2568933.86</v>
      </c>
      <c r="E1863" s="2621">
        <f>SUM(E1849:E1862)</f>
        <v>1028835.95</v>
      </c>
      <c r="F1863" s="2621">
        <f>SUM(F1849:F1862)</f>
        <v>2083568.23</v>
      </c>
      <c r="G1863" s="2621">
        <f>SUM(G1849:G1862)</f>
        <v>2180950.7599999998</v>
      </c>
      <c r="H1863" s="2621">
        <f t="shared" ref="H1863" si="206">SUM(H1849:H1862)</f>
        <v>1197790.4500000002</v>
      </c>
      <c r="I1863" s="2621">
        <f>SUM(I1849:I1862)</f>
        <v>2177184.61</v>
      </c>
      <c r="J1863" s="2621">
        <f>SUM(J1849:J1862)</f>
        <v>2147093.08</v>
      </c>
    </row>
    <row r="1864" spans="1:10" ht="14.25" hidden="1" x14ac:dyDescent="0.2">
      <c r="A1864" s="2236"/>
      <c r="B1864" s="2257"/>
      <c r="C1864" s="2253"/>
      <c r="D1864" s="2245"/>
      <c r="E1864" s="2244"/>
      <c r="F1864" s="2246"/>
      <c r="G1864" s="2244"/>
      <c r="H1864" s="2244"/>
      <c r="I1864" s="2238"/>
      <c r="J1864" s="2100" t="e">
        <f>VLOOKUP(A1864,'Trial Balance - FPer'!$A$7:$I$1126,3,FALSE)</f>
        <v>#N/A</v>
      </c>
    </row>
    <row r="1865" spans="1:10" ht="14.25" hidden="1" x14ac:dyDescent="0.2">
      <c r="A1865" s="2236"/>
      <c r="B1865" s="2242" t="s">
        <v>6675</v>
      </c>
      <c r="C1865" s="2244"/>
      <c r="D1865" s="2245"/>
      <c r="E1865" s="2244"/>
      <c r="F1865" s="2246"/>
      <c r="G1865" s="2244"/>
      <c r="H1865" s="2244"/>
      <c r="I1865" s="2238"/>
      <c r="J1865" s="2100" t="e">
        <f>VLOOKUP(A1865,'Trial Balance - FPer'!$A$7:$I$1126,3,FALSE)</f>
        <v>#N/A</v>
      </c>
    </row>
    <row r="1866" spans="1:10" ht="14.25" hidden="1" x14ac:dyDescent="0.2">
      <c r="A1866" s="2236" t="s">
        <v>5785</v>
      </c>
      <c r="B1866" s="2247" t="s">
        <v>6676</v>
      </c>
      <c r="C1866" s="2248">
        <v>0</v>
      </c>
      <c r="D1866" s="2249">
        <v>0</v>
      </c>
      <c r="E1866" s="2248">
        <v>0</v>
      </c>
      <c r="F1866" s="2250">
        <v>0</v>
      </c>
      <c r="G1866" s="2248">
        <v>0</v>
      </c>
      <c r="H1866" s="2244"/>
      <c r="I1866" s="2238">
        <f>VLOOKUP(A1866,'Trial Balance - FPer'!$A$7:$I$1107,7,FALSE)</f>
        <v>0</v>
      </c>
      <c r="J1866" s="2100">
        <f>VLOOKUP(A1866,'Trial Balance - FPer'!$A$7:$I$1126,3,FALSE)</f>
        <v>0</v>
      </c>
    </row>
    <row r="1867" spans="1:10" s="2615" customFormat="1" hidden="1" x14ac:dyDescent="0.2">
      <c r="A1867" s="2612"/>
      <c r="B1867" s="2613" t="s">
        <v>6677</v>
      </c>
      <c r="C1867" s="2614">
        <f>SUM(C1866)</f>
        <v>0</v>
      </c>
      <c r="D1867" s="2614">
        <f>SUM(D1866)</f>
        <v>0</v>
      </c>
      <c r="E1867" s="2614">
        <f>SUM(E1866)</f>
        <v>0</v>
      </c>
      <c r="F1867" s="2614">
        <f>SUM(F1866)</f>
        <v>0</v>
      </c>
      <c r="G1867" s="2614">
        <f>SUM(G1866)</f>
        <v>0</v>
      </c>
      <c r="H1867" s="2614">
        <f t="shared" ref="H1867:J1867" si="207">SUM(H1866)</f>
        <v>0</v>
      </c>
      <c r="I1867" s="2614">
        <f t="shared" si="207"/>
        <v>0</v>
      </c>
      <c r="J1867" s="2614">
        <f t="shared" si="207"/>
        <v>0</v>
      </c>
    </row>
    <row r="1868" spans="1:10" ht="14.25" hidden="1" x14ac:dyDescent="0.2">
      <c r="A1868" s="2236"/>
      <c r="B1868" s="2243"/>
      <c r="C1868" s="2244"/>
      <c r="D1868" s="2245"/>
      <c r="E1868" s="2244"/>
      <c r="F1868" s="2246"/>
      <c r="G1868" s="2244"/>
      <c r="H1868" s="2244"/>
      <c r="I1868" s="2238"/>
      <c r="J1868" s="2100" t="e">
        <f>VLOOKUP(A1868,'Trial Balance - FPer'!$A$7:$I$1126,3,FALSE)</f>
        <v>#N/A</v>
      </c>
    </row>
    <row r="1869" spans="1:10" ht="14.25" hidden="1" x14ac:dyDescent="0.2">
      <c r="A1869" s="2236"/>
      <c r="B1869" s="2242" t="s">
        <v>6757</v>
      </c>
      <c r="C1869" s="2244"/>
      <c r="D1869" s="2245"/>
      <c r="E1869" s="2244"/>
      <c r="F1869" s="2246"/>
      <c r="G1869" s="2244"/>
      <c r="H1869" s="2244"/>
      <c r="I1869" s="2238"/>
      <c r="J1869" s="2100" t="e">
        <f>VLOOKUP(A1869,'Trial Balance - FPer'!$A$7:$I$1126,3,FALSE)</f>
        <v>#N/A</v>
      </c>
    </row>
    <row r="1870" spans="1:10" ht="14.25" hidden="1" x14ac:dyDescent="0.2">
      <c r="A1870" s="2236" t="s">
        <v>5786</v>
      </c>
      <c r="B1870" s="2243" t="s">
        <v>6832</v>
      </c>
      <c r="C1870" s="2244">
        <f>'[2]Data File'!$C$1825</f>
        <v>0</v>
      </c>
      <c r="D1870" s="2245">
        <v>1800000</v>
      </c>
      <c r="E1870" s="2244">
        <v>0</v>
      </c>
      <c r="F1870" s="2246">
        <v>0</v>
      </c>
      <c r="G1870" s="2244">
        <v>451800</v>
      </c>
      <c r="H1870" s="2244"/>
      <c r="I1870" s="2238">
        <f>VLOOKUP(A1870,'Trial Balance - FPer'!$A$7:$I$1107,7,FALSE)</f>
        <v>0</v>
      </c>
      <c r="J1870" s="2100">
        <f>VLOOKUP(A1870,'Trial Balance - FPer'!$A$7:$I$1126,3,FALSE)</f>
        <v>5973834.5800000001</v>
      </c>
    </row>
    <row r="1871" spans="1:10" ht="14.25" hidden="1" x14ac:dyDescent="0.2">
      <c r="A1871" s="2236" t="s">
        <v>5787</v>
      </c>
      <c r="B1871" s="2247" t="s">
        <v>6679</v>
      </c>
      <c r="C1871" s="2248">
        <f>'[2]Data File'!$C$1798</f>
        <v>6335453.5800000001</v>
      </c>
      <c r="D1871" s="2249">
        <v>0</v>
      </c>
      <c r="E1871" s="2248">
        <v>0</v>
      </c>
      <c r="F1871" s="2250">
        <v>0</v>
      </c>
      <c r="G1871" s="2248">
        <v>0</v>
      </c>
      <c r="H1871" s="2244"/>
      <c r="I1871" s="2238">
        <f>VLOOKUP(A1871,'Trial Balance - FPer'!$A$7:$I$1107,7,FALSE)</f>
        <v>-65043.17</v>
      </c>
      <c r="J1871" s="2100">
        <f>VLOOKUP(A1871,'Trial Balance - FPer'!$A$7:$I$1126,3,FALSE)</f>
        <v>0</v>
      </c>
    </row>
    <row r="1872" spans="1:10" s="2615" customFormat="1" hidden="1" x14ac:dyDescent="0.2">
      <c r="A1872" s="2612"/>
      <c r="B1872" s="2613" t="s">
        <v>6758</v>
      </c>
      <c r="C1872" s="2614">
        <f>SUM(C1870:C1871)</f>
        <v>6335453.5800000001</v>
      </c>
      <c r="D1872" s="2614">
        <f>SUM(D1870:D1871)</f>
        <v>1800000</v>
      </c>
      <c r="E1872" s="2614">
        <f>SUM(E1870:E1871)</f>
        <v>0</v>
      </c>
      <c r="F1872" s="2614">
        <f>SUM(F1870:F1871)</f>
        <v>0</v>
      </c>
      <c r="G1872" s="2614">
        <f>SUM(G1870:G1871)</f>
        <v>451800</v>
      </c>
      <c r="H1872" s="2614">
        <f t="shared" ref="H1872" si="208">SUM(H1870:H1871)</f>
        <v>0</v>
      </c>
      <c r="I1872" s="2614">
        <f>SUM(I1870:I1871)</f>
        <v>-65043.17</v>
      </c>
      <c r="J1872" s="2614">
        <f>SUM(J1870:J1871)</f>
        <v>5973834.5800000001</v>
      </c>
    </row>
    <row r="1873" spans="1:10" ht="14.25" hidden="1" x14ac:dyDescent="0.2">
      <c r="A1873" s="2236"/>
      <c r="B1873" s="2243"/>
      <c r="C1873" s="2244"/>
      <c r="D1873" s="2245"/>
      <c r="E1873" s="2244"/>
      <c r="F1873" s="2246"/>
      <c r="G1873" s="2244"/>
      <c r="H1873" s="2244"/>
      <c r="I1873" s="2238"/>
      <c r="J1873" s="2100" t="e">
        <f>VLOOKUP(A1873,'Trial Balance - FPer'!$A$7:$I$1126,3,FALSE)</f>
        <v>#N/A</v>
      </c>
    </row>
    <row r="1874" spans="1:10" ht="14.25" hidden="1" x14ac:dyDescent="0.2">
      <c r="A1874" s="2236"/>
      <c r="B1874" s="2242" t="s">
        <v>6681</v>
      </c>
      <c r="C1874" s="2244"/>
      <c r="D1874" s="2245"/>
      <c r="E1874" s="2244"/>
      <c r="F1874" s="2246"/>
      <c r="G1874" s="2244"/>
      <c r="H1874" s="2244"/>
      <c r="I1874" s="2238"/>
      <c r="J1874" s="2100" t="e">
        <f>VLOOKUP(A1874,'Trial Balance - FPer'!$A$7:$I$1126,3,FALSE)</f>
        <v>#N/A</v>
      </c>
    </row>
    <row r="1875" spans="1:10" ht="14.25" hidden="1" x14ac:dyDescent="0.2">
      <c r="A1875" s="2599" t="s">
        <v>5788</v>
      </c>
      <c r="B1875" s="2600" t="s">
        <v>6240</v>
      </c>
      <c r="C1875" s="2601">
        <f>'[2]Data File'!$C$1843</f>
        <v>0</v>
      </c>
      <c r="D1875" s="2601">
        <v>4239709.75</v>
      </c>
      <c r="E1875" s="2601">
        <v>0</v>
      </c>
      <c r="F1875" s="2601">
        <v>8106389.4299999997</v>
      </c>
      <c r="G1875" s="2601">
        <v>1064166.68</v>
      </c>
      <c r="H1875" s="2601"/>
      <c r="I1875" s="2238">
        <v>0</v>
      </c>
      <c r="J1875" s="2100">
        <f>VLOOKUP(A1875,'Trial Balance - FPer'!$A$7:$I$1126,3,FALSE)</f>
        <v>0</v>
      </c>
    </row>
    <row r="1876" spans="1:10" ht="14.25" hidden="1" x14ac:dyDescent="0.2">
      <c r="A1876" s="2605" t="s">
        <v>5789</v>
      </c>
      <c r="B1876" s="2606" t="s">
        <v>6249</v>
      </c>
      <c r="C1876" s="2602">
        <f>'[2]Data File'!$C$1844</f>
        <v>0</v>
      </c>
      <c r="D1876" s="2602">
        <v>536000</v>
      </c>
      <c r="E1876" s="2602">
        <v>0</v>
      </c>
      <c r="F1876" s="2602">
        <v>536000</v>
      </c>
      <c r="G1876" s="2602">
        <v>134536</v>
      </c>
      <c r="H1876" s="2602"/>
      <c r="I1876" s="2238">
        <v>0</v>
      </c>
      <c r="J1876" s="2100">
        <f>VLOOKUP(A1876,'Trial Balance - FPer'!$A$7:$I$1126,3,FALSE)</f>
        <v>0</v>
      </c>
    </row>
    <row r="1877" spans="1:10" ht="14.25" hidden="1" x14ac:dyDescent="0.2">
      <c r="A1877" s="2236"/>
      <c r="B1877" s="2247" t="s">
        <v>6831</v>
      </c>
      <c r="C1877" s="2248"/>
      <c r="D1877" s="2249"/>
      <c r="E1877" s="2248"/>
      <c r="F1877" s="2250">
        <v>4200000</v>
      </c>
      <c r="G1877" s="2248"/>
      <c r="H1877" s="2244"/>
      <c r="I1877" s="2238"/>
      <c r="J1877" s="2100" t="e">
        <f>VLOOKUP(A1877,'Trial Balance - FPer'!$A$7:$I$1126,3,FALSE)</f>
        <v>#N/A</v>
      </c>
    </row>
    <row r="1878" spans="1:10" s="2615" customFormat="1" hidden="1" x14ac:dyDescent="0.2">
      <c r="A1878" s="2612"/>
      <c r="B1878" s="2613" t="s">
        <v>6684</v>
      </c>
      <c r="C1878" s="2614">
        <f>SUM(C1875:C1876)</f>
        <v>0</v>
      </c>
      <c r="D1878" s="2614">
        <f>SUM(D1875:D1876)</f>
        <v>4775709.75</v>
      </c>
      <c r="E1878" s="2614">
        <f>SUM(E1875:E1876)</f>
        <v>0</v>
      </c>
      <c r="F1878" s="2614">
        <f>SUM(F1875:F1877)</f>
        <v>12842389.43</v>
      </c>
      <c r="G1878" s="2614">
        <f>SUM(G1875:G1876)</f>
        <v>1198702.68</v>
      </c>
      <c r="H1878" s="2614">
        <f t="shared" ref="H1878:J1878" si="209">SUM(H1875:H1876)</f>
        <v>0</v>
      </c>
      <c r="I1878" s="2614">
        <f t="shared" si="209"/>
        <v>0</v>
      </c>
      <c r="J1878" s="2614">
        <f t="shared" si="209"/>
        <v>0</v>
      </c>
    </row>
    <row r="1879" spans="1:10" ht="14.25" hidden="1" x14ac:dyDescent="0.2">
      <c r="A1879" s="2236"/>
      <c r="B1879" s="2243"/>
      <c r="C1879" s="2244"/>
      <c r="D1879" s="2245"/>
      <c r="E1879" s="2244"/>
      <c r="F1879" s="2246"/>
      <c r="G1879" s="2244"/>
      <c r="H1879" s="2244"/>
      <c r="I1879" s="2238"/>
      <c r="J1879" s="2100"/>
    </row>
    <row r="1880" spans="1:10" ht="14.25" hidden="1" x14ac:dyDescent="0.2">
      <c r="A1880" s="2236"/>
      <c r="B1880" s="2242" t="s">
        <v>6599</v>
      </c>
      <c r="C1880" s="2244"/>
      <c r="D1880" s="2245"/>
      <c r="E1880" s="2244"/>
      <c r="F1880" s="2246"/>
      <c r="G1880" s="2244"/>
      <c r="H1880" s="2244"/>
      <c r="I1880" s="2238"/>
      <c r="J1880" s="2100"/>
    </row>
    <row r="1881" spans="1:10" ht="14.25" hidden="1" x14ac:dyDescent="0.2">
      <c r="A1881" s="2236" t="s">
        <v>5793</v>
      </c>
      <c r="B1881" s="2243" t="s">
        <v>6104</v>
      </c>
      <c r="C1881" s="2244">
        <f>'[2]Data File'!$C$1802</f>
        <v>0</v>
      </c>
      <c r="D1881" s="2245">
        <v>2168.71</v>
      </c>
      <c r="E1881" s="2244">
        <v>0</v>
      </c>
      <c r="F1881" s="2246">
        <v>0</v>
      </c>
      <c r="G1881" s="2253">
        <v>544.36</v>
      </c>
      <c r="H1881" s="2100">
        <v>0</v>
      </c>
      <c r="I1881" s="2238">
        <f>VLOOKUP(A1881,'Trial Balance - FPer'!$A$7:$I$1107,7,FALSE)</f>
        <v>0</v>
      </c>
      <c r="J1881" s="2100" t="str">
        <f>VLOOKUP(A1881,'Trial Balance - FPer'!$A$7:$I$1126,3,FALSE)</f>
        <v xml:space="preserve">                               -  </v>
      </c>
    </row>
    <row r="1882" spans="1:10" ht="14.25" hidden="1" x14ac:dyDescent="0.2">
      <c r="A1882" s="2236" t="s">
        <v>5794</v>
      </c>
      <c r="B1882" s="2243" t="s">
        <v>6601</v>
      </c>
      <c r="C1882" s="2244">
        <f>'[2]Data File'!$C$1803</f>
        <v>221.49</v>
      </c>
      <c r="D1882" s="2245">
        <v>487.28</v>
      </c>
      <c r="E1882" s="2244">
        <v>0</v>
      </c>
      <c r="F1882" s="2246">
        <v>0</v>
      </c>
      <c r="G1882" s="2253">
        <v>123.64</v>
      </c>
      <c r="H1882" s="2100">
        <v>0</v>
      </c>
      <c r="I1882" s="2238">
        <f>VLOOKUP(A1882,'Trial Balance - FPer'!$A$7:$I$1107,7,FALSE)</f>
        <v>0</v>
      </c>
      <c r="J1882" s="2100">
        <f>VLOOKUP(A1882,'Trial Balance - FPer'!$A$7:$I$1126,3,FALSE)</f>
        <v>221.49</v>
      </c>
    </row>
    <row r="1883" spans="1:10" ht="14.25" hidden="1" x14ac:dyDescent="0.2">
      <c r="A1883" s="2236" t="s">
        <v>5795</v>
      </c>
      <c r="B1883" s="2243" t="s">
        <v>6692</v>
      </c>
      <c r="C1883" s="2244">
        <v>0</v>
      </c>
      <c r="D1883" s="2245">
        <v>0</v>
      </c>
      <c r="E1883" s="2244">
        <v>0</v>
      </c>
      <c r="F1883" s="2246">
        <v>0</v>
      </c>
      <c r="G1883" s="2253">
        <v>0</v>
      </c>
      <c r="H1883" s="2100">
        <v>0</v>
      </c>
      <c r="I1883" s="2238">
        <f>VLOOKUP(A1883,'Trial Balance - FPer'!$A$7:$I$1107,7,FALSE)</f>
        <v>0</v>
      </c>
      <c r="J1883" s="2100">
        <f>VLOOKUP(A1883,'Trial Balance - FPer'!$A$7:$I$1126,3,FALSE)</f>
        <v>0</v>
      </c>
    </row>
    <row r="1884" spans="1:10" ht="14.25" hidden="1" x14ac:dyDescent="0.2">
      <c r="A1884" s="2236" t="s">
        <v>5796</v>
      </c>
      <c r="B1884" s="2243" t="s">
        <v>6826</v>
      </c>
      <c r="C1884" s="2244">
        <f>'[2]Data File'!$C$1804</f>
        <v>0</v>
      </c>
      <c r="D1884" s="2245">
        <v>0</v>
      </c>
      <c r="E1884" s="2244">
        <v>0</v>
      </c>
      <c r="F1884" s="2246">
        <v>0</v>
      </c>
      <c r="G1884" s="2253">
        <v>0</v>
      </c>
      <c r="H1884" s="2100">
        <v>0</v>
      </c>
      <c r="I1884" s="2238">
        <f>VLOOKUP(A1884,'Trial Balance - FPer'!$A$7:$I$1107,7,FALSE)</f>
        <v>0</v>
      </c>
      <c r="J1884" s="2100">
        <f>VLOOKUP(A1884,'Trial Balance - FPer'!$A$7:$I$1126,3,FALSE)</f>
        <v>0</v>
      </c>
    </row>
    <row r="1885" spans="1:10" ht="14.25" hidden="1" x14ac:dyDescent="0.2">
      <c r="A1885" s="2236" t="s">
        <v>5797</v>
      </c>
      <c r="B1885" s="2243" t="s">
        <v>1101</v>
      </c>
      <c r="C1885" s="2244">
        <f>'[2]Data File'!$C$1805</f>
        <v>250</v>
      </c>
      <c r="D1885" s="2245">
        <v>0</v>
      </c>
      <c r="E1885" s="2244">
        <v>0</v>
      </c>
      <c r="F1885" s="2246">
        <v>0</v>
      </c>
      <c r="G1885" s="2253">
        <v>0</v>
      </c>
      <c r="H1885" s="2100">
        <v>0</v>
      </c>
      <c r="I1885" s="2238">
        <f>VLOOKUP(A1885,'Trial Balance - FPer'!$A$7:$I$1107,7,FALSE)</f>
        <v>6185</v>
      </c>
      <c r="J1885" s="2100">
        <f>VLOOKUP(A1885,'Trial Balance - FPer'!$A$7:$I$1126,3,FALSE)</f>
        <v>250</v>
      </c>
    </row>
    <row r="1886" spans="1:10" ht="14.25" hidden="1" x14ac:dyDescent="0.2">
      <c r="A1886" s="2236" t="s">
        <v>5798</v>
      </c>
      <c r="B1886" s="2243" t="s">
        <v>6694</v>
      </c>
      <c r="C1886" s="2244">
        <f>'[2]Data File'!$C$1806</f>
        <v>456</v>
      </c>
      <c r="D1886" s="2245">
        <v>1003.2</v>
      </c>
      <c r="E1886" s="2244">
        <v>0</v>
      </c>
      <c r="F1886" s="2246">
        <v>0</v>
      </c>
      <c r="G1886" s="2253">
        <v>252.6</v>
      </c>
      <c r="H1886" s="2100">
        <v>0</v>
      </c>
      <c r="I1886" s="2238">
        <f>VLOOKUP(A1886,'Trial Balance - FPer'!$A$7:$I$1107,7,FALSE)</f>
        <v>0</v>
      </c>
      <c r="J1886" s="2100">
        <f>VLOOKUP(A1886,'Trial Balance - FPer'!$A$7:$I$1126,3,FALSE)</f>
        <v>456</v>
      </c>
    </row>
    <row r="1887" spans="1:10" ht="14.25" hidden="1" x14ac:dyDescent="0.2">
      <c r="A1887" s="2236" t="s">
        <v>5799</v>
      </c>
      <c r="B1887" s="2243" t="s">
        <v>6605</v>
      </c>
      <c r="C1887" s="2244">
        <f>'[2]Data File'!$C$1807</f>
        <v>24760</v>
      </c>
      <c r="D1887" s="2245">
        <v>4752</v>
      </c>
      <c r="E1887" s="2244">
        <v>5661</v>
      </c>
      <c r="F1887" s="2246">
        <v>5661</v>
      </c>
      <c r="G1887" s="2253">
        <v>9714.39</v>
      </c>
      <c r="H1887" s="2100">
        <v>5661</v>
      </c>
      <c r="I1887" s="2238">
        <f>VLOOKUP(A1887,'Trial Balance - FPer'!$A$7:$I$1107,7,FALSE)</f>
        <v>8840.6</v>
      </c>
      <c r="J1887" s="2100">
        <f>VLOOKUP(A1887,'Trial Balance - FPer'!$A$7:$I$1126,3,FALSE)</f>
        <v>24760</v>
      </c>
    </row>
    <row r="1888" spans="1:10" ht="14.25" hidden="1" x14ac:dyDescent="0.2">
      <c r="A1888" s="2236" t="s">
        <v>5800</v>
      </c>
      <c r="B1888" s="2243" t="s">
        <v>6606</v>
      </c>
      <c r="C1888" s="2244">
        <v>0</v>
      </c>
      <c r="D1888" s="2245">
        <v>0</v>
      </c>
      <c r="E1888" s="2244">
        <v>0</v>
      </c>
      <c r="F1888" s="2246">
        <v>0</v>
      </c>
      <c r="G1888" s="2253">
        <v>0</v>
      </c>
      <c r="H1888" s="2100">
        <v>0</v>
      </c>
      <c r="I1888" s="2238">
        <f>VLOOKUP(A1888,'Trial Balance - FPer'!$A$7:$I$1107,7,FALSE)</f>
        <v>0</v>
      </c>
      <c r="J1888" s="2100">
        <f>VLOOKUP(A1888,'Trial Balance - FPer'!$A$7:$I$1126,3,FALSE)</f>
        <v>0</v>
      </c>
    </row>
    <row r="1889" spans="1:10" ht="14.25" hidden="1" x14ac:dyDescent="0.2">
      <c r="A1889" s="2236" t="s">
        <v>5801</v>
      </c>
      <c r="B1889" s="2243" t="s">
        <v>6608</v>
      </c>
      <c r="C1889" s="2244">
        <f>'[2]Data File'!$C$1808</f>
        <v>12153.27</v>
      </c>
      <c r="D1889" s="2245">
        <v>18205.09</v>
      </c>
      <c r="E1889" s="2244">
        <v>3643.98</v>
      </c>
      <c r="F1889" s="2246">
        <v>10050.48</v>
      </c>
      <c r="G1889" s="2253">
        <v>10050.48</v>
      </c>
      <c r="H1889" s="2100">
        <v>4463.49</v>
      </c>
      <c r="I1889" s="2238">
        <f>VLOOKUP(A1889,'Trial Balance - FPer'!$A$7:$I$1107,7,FALSE)</f>
        <v>0</v>
      </c>
      <c r="J1889" s="2100">
        <f>VLOOKUP(A1889,'Trial Balance - FPer'!$A$7:$I$1126,3,FALSE)</f>
        <v>0</v>
      </c>
    </row>
    <row r="1890" spans="1:10" ht="14.25" hidden="1" x14ac:dyDescent="0.2">
      <c r="A1890" s="2236" t="s">
        <v>5802</v>
      </c>
      <c r="B1890" s="2243" t="s">
        <v>6028</v>
      </c>
      <c r="C1890" s="2244">
        <f>'[2]Data File'!$C$1809</f>
        <v>0</v>
      </c>
      <c r="D1890" s="2245">
        <v>0</v>
      </c>
      <c r="E1890" s="2244">
        <v>0</v>
      </c>
      <c r="F1890" s="2246">
        <v>0</v>
      </c>
      <c r="G1890" s="2253">
        <v>0</v>
      </c>
      <c r="H1890" s="2100">
        <v>0</v>
      </c>
      <c r="I1890" s="2238">
        <f>VLOOKUP(A1890,'Trial Balance - FPer'!$A$7:$I$1107,7,FALSE)</f>
        <v>0</v>
      </c>
      <c r="J1890" s="2100">
        <f>VLOOKUP(A1890,'Trial Balance - FPer'!$A$7:$I$1126,3,FALSE)</f>
        <v>0</v>
      </c>
    </row>
    <row r="1891" spans="1:10" ht="14.25" hidden="1" x14ac:dyDescent="0.2">
      <c r="A1891" s="2236" t="s">
        <v>5803</v>
      </c>
      <c r="B1891" s="2243" t="s">
        <v>6609</v>
      </c>
      <c r="C1891" s="2244">
        <f>'[2]Data File'!$C$1810</f>
        <v>14586.05</v>
      </c>
      <c r="D1891" s="2245">
        <v>19277.72</v>
      </c>
      <c r="E1891" s="2244">
        <v>11835.98</v>
      </c>
      <c r="F1891" s="2246">
        <v>80000</v>
      </c>
      <c r="G1891" s="2253">
        <v>22640.19</v>
      </c>
      <c r="H1891" s="2100">
        <v>42132.42</v>
      </c>
      <c r="I1891" s="2238">
        <f>VLOOKUP(A1891,'Trial Balance - FPer'!$A$7:$I$1107,7,FALSE)</f>
        <v>95505.3</v>
      </c>
      <c r="J1891" s="2100">
        <f>VLOOKUP(A1891,'Trial Balance - FPer'!$A$7:$I$1126,3,FALSE)</f>
        <v>14586.05</v>
      </c>
    </row>
    <row r="1892" spans="1:10" ht="14.25" hidden="1" x14ac:dyDescent="0.2">
      <c r="A1892" s="2236" t="s">
        <v>5804</v>
      </c>
      <c r="B1892" s="2243" t="s">
        <v>6110</v>
      </c>
      <c r="C1892" s="2244">
        <v>0</v>
      </c>
      <c r="D1892" s="2245">
        <v>0</v>
      </c>
      <c r="E1892" s="2244">
        <v>0</v>
      </c>
      <c r="F1892" s="2246">
        <v>0</v>
      </c>
      <c r="G1892" s="2253">
        <v>0</v>
      </c>
      <c r="H1892" s="2100">
        <v>0</v>
      </c>
      <c r="I1892" s="2238">
        <f>VLOOKUP(A1892,'Trial Balance - FPer'!$A$7:$I$1107,7,FALSE)</f>
        <v>0</v>
      </c>
      <c r="J1892" s="2100">
        <f>VLOOKUP(A1892,'Trial Balance - FPer'!$A$7:$I$1126,3,FALSE)</f>
        <v>0</v>
      </c>
    </row>
    <row r="1893" spans="1:10" ht="14.25" hidden="1" x14ac:dyDescent="0.2">
      <c r="A1893" s="2236" t="s">
        <v>5805</v>
      </c>
      <c r="B1893" s="2243" t="s">
        <v>6610</v>
      </c>
      <c r="C1893" s="2244">
        <f>'[2]Data File'!$C$1811</f>
        <v>89227.74</v>
      </c>
      <c r="D1893" s="2245">
        <v>86793.52</v>
      </c>
      <c r="E1893" s="2244">
        <v>25162.86</v>
      </c>
      <c r="F1893" s="2246">
        <v>86793.52</v>
      </c>
      <c r="G1893" s="2253">
        <v>59630.71</v>
      </c>
      <c r="H1893" s="2100">
        <v>29019.040000000001</v>
      </c>
      <c r="I1893" s="2238">
        <f>VLOOKUP(A1893,'Trial Balance - FPer'!$A$7:$I$1107,7,FALSE)</f>
        <v>46429.06</v>
      </c>
      <c r="J1893" s="2100">
        <f>VLOOKUP(A1893,'Trial Balance - FPer'!$A$7:$I$1126,3,FALSE)</f>
        <v>89227.74</v>
      </c>
    </row>
    <row r="1894" spans="1:10" ht="14.25" hidden="1" x14ac:dyDescent="0.2">
      <c r="A1894" s="2236" t="s">
        <v>5806</v>
      </c>
      <c r="B1894" s="2243" t="s">
        <v>6732</v>
      </c>
      <c r="C1894" s="2244">
        <f>'[2]Data File'!$C$1812</f>
        <v>25190.3</v>
      </c>
      <c r="D1894" s="2245">
        <v>3325.96</v>
      </c>
      <c r="E1894" s="2244">
        <v>105.7</v>
      </c>
      <c r="F1894" s="2246">
        <v>1000</v>
      </c>
      <c r="G1894" s="2253">
        <v>993.95</v>
      </c>
      <c r="H1894" s="2100">
        <v>105.7</v>
      </c>
      <c r="I1894" s="2238">
        <f>VLOOKUP(A1894,'Trial Balance - FPer'!$A$7:$I$1107,7,FALSE)</f>
        <v>105.7</v>
      </c>
      <c r="J1894" s="2100">
        <f>VLOOKUP(A1894,'Trial Balance - FPer'!$A$7:$I$1126,3,FALSE)</f>
        <v>25190.3</v>
      </c>
    </row>
    <row r="1895" spans="1:10" ht="14.25" hidden="1" x14ac:dyDescent="0.2">
      <c r="A1895" s="2236" t="s">
        <v>5807</v>
      </c>
      <c r="B1895" s="2243" t="s">
        <v>6612</v>
      </c>
      <c r="C1895" s="2244">
        <f>'[2]Data File'!$C$1813</f>
        <v>0</v>
      </c>
      <c r="D1895" s="2245">
        <v>0</v>
      </c>
      <c r="E1895" s="2244">
        <v>0</v>
      </c>
      <c r="F1895" s="2246">
        <v>0</v>
      </c>
      <c r="G1895" s="2253">
        <v>0</v>
      </c>
      <c r="H1895" s="2100">
        <v>0</v>
      </c>
      <c r="I1895" s="2238">
        <f>VLOOKUP(A1895,'Trial Balance - FPer'!$A$7:$I$1107,7,FALSE)</f>
        <v>0</v>
      </c>
      <c r="J1895" s="2100">
        <f>VLOOKUP(A1895,'Trial Balance - FPer'!$A$7:$I$1126,3,FALSE)</f>
        <v>0</v>
      </c>
    </row>
    <row r="1896" spans="1:10" ht="14.25" hidden="1" x14ac:dyDescent="0.2">
      <c r="A1896" s="2236" t="s">
        <v>5808</v>
      </c>
      <c r="B1896" s="2243" t="s">
        <v>6613</v>
      </c>
      <c r="C1896" s="2244">
        <f>'[2]Data File'!$C$1814</f>
        <v>30668.09</v>
      </c>
      <c r="D1896" s="2245">
        <v>39874.160000000003</v>
      </c>
      <c r="E1896" s="2244">
        <v>1012.24</v>
      </c>
      <c r="F1896" s="2246">
        <v>10000</v>
      </c>
      <c r="G1896" s="2253">
        <v>11529.68</v>
      </c>
      <c r="H1896" s="2100">
        <v>1012.24</v>
      </c>
      <c r="I1896" s="2238">
        <f>VLOOKUP(A1896,'Trial Balance - FPer'!$A$7:$I$1107,7,FALSE)</f>
        <v>2370.56</v>
      </c>
      <c r="J1896" s="2100">
        <f>VLOOKUP(A1896,'Trial Balance - FPer'!$A$7:$I$1126,3,FALSE)</f>
        <v>30668.09</v>
      </c>
    </row>
    <row r="1897" spans="1:10" ht="14.25" hidden="1" x14ac:dyDescent="0.2">
      <c r="A1897" s="2236" t="s">
        <v>5809</v>
      </c>
      <c r="B1897" s="2243" t="s">
        <v>6033</v>
      </c>
      <c r="C1897" s="2244">
        <f>'[2]Data File'!$C$1815</f>
        <v>70.180000000000007</v>
      </c>
      <c r="D1897" s="2245">
        <v>154.4</v>
      </c>
      <c r="E1897" s="2244">
        <v>0</v>
      </c>
      <c r="F1897" s="2246">
        <v>0</v>
      </c>
      <c r="G1897" s="2253">
        <v>38.200000000000003</v>
      </c>
      <c r="H1897" s="2100">
        <v>0</v>
      </c>
      <c r="I1897" s="2238">
        <f>VLOOKUP(A1897,'Trial Balance - FPer'!$A$7:$I$1107,7,FALSE)</f>
        <v>0</v>
      </c>
      <c r="J1897" s="2100">
        <f>VLOOKUP(A1897,'Trial Balance - FPer'!$A$7:$I$1126,3,FALSE)</f>
        <v>0</v>
      </c>
    </row>
    <row r="1898" spans="1:10" ht="14.25" hidden="1" x14ac:dyDescent="0.2">
      <c r="A1898" s="2236" t="s">
        <v>5810</v>
      </c>
      <c r="B1898" s="2243" t="s">
        <v>6764</v>
      </c>
      <c r="C1898" s="2244">
        <v>0</v>
      </c>
      <c r="D1898" s="2245">
        <v>0</v>
      </c>
      <c r="E1898" s="2244">
        <v>0</v>
      </c>
      <c r="F1898" s="2246">
        <v>0</v>
      </c>
      <c r="G1898" s="2253">
        <v>0</v>
      </c>
      <c r="H1898" s="2100">
        <v>0</v>
      </c>
      <c r="I1898" s="2238"/>
      <c r="J1898" s="2100"/>
    </row>
    <row r="1899" spans="1:10" ht="14.25" hidden="1" x14ac:dyDescent="0.2">
      <c r="A1899" s="2236" t="s">
        <v>5811</v>
      </c>
      <c r="B1899" s="2247" t="s">
        <v>6635</v>
      </c>
      <c r="C1899" s="2248">
        <f>'[2]Data File'!$C$1816</f>
        <v>428337.82</v>
      </c>
      <c r="D1899" s="2249">
        <v>0</v>
      </c>
      <c r="E1899" s="2248">
        <v>-1243.74</v>
      </c>
      <c r="F1899" s="2250">
        <v>0</v>
      </c>
      <c r="G1899" s="2248">
        <v>-1243.74</v>
      </c>
      <c r="H1899" s="2100">
        <v>-1243.74</v>
      </c>
      <c r="I1899" s="2238"/>
      <c r="J1899" s="2100"/>
    </row>
    <row r="1900" spans="1:10" s="2615" customFormat="1" hidden="1" x14ac:dyDescent="0.2">
      <c r="A1900" s="2612"/>
      <c r="B1900" s="2613" t="s">
        <v>6614</v>
      </c>
      <c r="C1900" s="2614">
        <f>SUM(C1881:C1899)</f>
        <v>625920.93999999994</v>
      </c>
      <c r="D1900" s="2614">
        <f>SUM(D1881:D1899)</f>
        <v>176042.04</v>
      </c>
      <c r="E1900" s="2614">
        <f>SUM(E1881:E1899)</f>
        <v>46178.02</v>
      </c>
      <c r="F1900" s="2614">
        <f>SUM(F1881:F1899)</f>
        <v>193505</v>
      </c>
      <c r="G1900" s="2614">
        <f>SUM(G1881:G1899)</f>
        <v>114274.45999999999</v>
      </c>
      <c r="H1900" s="2614">
        <f t="shared" ref="H1900" si="210">SUM(H1881:H1899)</f>
        <v>81150.149999999994</v>
      </c>
      <c r="I1900" s="2614">
        <f>SUM(I1881:I1899)</f>
        <v>159436.22000000003</v>
      </c>
      <c r="J1900" s="2614">
        <f>SUM(J1881:J1899)</f>
        <v>185359.66999999998</v>
      </c>
    </row>
    <row r="1901" spans="1:10" ht="14.25" hidden="1" x14ac:dyDescent="0.2">
      <c r="A1901" s="2236"/>
      <c r="B1901" s="2243"/>
      <c r="C1901" s="2244"/>
      <c r="D1901" s="2245"/>
      <c r="E1901" s="2244"/>
      <c r="F1901" s="2246"/>
      <c r="G1901" s="2244"/>
      <c r="H1901" s="2244"/>
      <c r="I1901" s="2238"/>
      <c r="J1901" s="2100" t="e">
        <f>VLOOKUP(A1901,'Trial Balance - FPer'!$A$7:$I$1126,3,FALSE)</f>
        <v>#N/A</v>
      </c>
    </row>
    <row r="1902" spans="1:10" ht="14.25" hidden="1" x14ac:dyDescent="0.2">
      <c r="A1902" s="2236"/>
      <c r="B1902" s="2242" t="s">
        <v>6615</v>
      </c>
      <c r="C1902" s="2244"/>
      <c r="D1902" s="2245"/>
      <c r="E1902" s="2244"/>
      <c r="F1902" s="2246"/>
      <c r="G1902" s="2244"/>
      <c r="H1902" s="2244"/>
      <c r="I1902" s="2238"/>
      <c r="J1902" s="2100" t="e">
        <f>VLOOKUP(A1902,'Trial Balance - FPer'!$A$7:$I$1126,3,FALSE)</f>
        <v>#N/A</v>
      </c>
    </row>
    <row r="1903" spans="1:10" ht="14.25" hidden="1" x14ac:dyDescent="0.2">
      <c r="A1903" s="2236" t="s">
        <v>5812</v>
      </c>
      <c r="B1903" s="2243" t="s">
        <v>6715</v>
      </c>
      <c r="C1903" s="2244">
        <f>'[2]Data File'!$C$1830</f>
        <v>0</v>
      </c>
      <c r="D1903" s="2245">
        <v>0</v>
      </c>
      <c r="E1903" s="2244">
        <v>0</v>
      </c>
      <c r="F1903" s="2246">
        <v>0</v>
      </c>
      <c r="G1903" s="2244">
        <v>0</v>
      </c>
      <c r="H1903" s="2100">
        <v>0</v>
      </c>
      <c r="I1903" s="2238">
        <f>VLOOKUP(A1903,'Trial Balance - FPer'!$A$7:$I$1107,7,FALSE)</f>
        <v>0</v>
      </c>
      <c r="J1903" s="2100" t="str">
        <f>VLOOKUP(A1903,'Trial Balance - FPer'!$A$7:$I$1126,3,FALSE)</f>
        <v xml:space="preserve">                               -  </v>
      </c>
    </row>
    <row r="1904" spans="1:10" ht="14.25" hidden="1" x14ac:dyDescent="0.2">
      <c r="A1904" s="2236" t="s">
        <v>5813</v>
      </c>
      <c r="B1904" s="2243" t="s">
        <v>6700</v>
      </c>
      <c r="C1904" s="2244">
        <v>0</v>
      </c>
      <c r="D1904" s="2245">
        <v>0</v>
      </c>
      <c r="E1904" s="2244">
        <v>0</v>
      </c>
      <c r="F1904" s="2246">
        <v>0</v>
      </c>
      <c r="G1904" s="2244">
        <v>0</v>
      </c>
      <c r="H1904" s="2100">
        <v>0</v>
      </c>
      <c r="I1904" s="2238">
        <f>VLOOKUP(A1904,'Trial Balance - FPer'!$A$7:$I$1107,7,FALSE)</f>
        <v>0</v>
      </c>
      <c r="J1904" s="2100" t="str">
        <f>VLOOKUP(A1904,'Trial Balance - FPer'!$A$7:$I$1126,3,FALSE)</f>
        <v xml:space="preserve">                               -  </v>
      </c>
    </row>
    <row r="1905" spans="1:10" ht="14.25" hidden="1" x14ac:dyDescent="0.2">
      <c r="A1905" s="2236" t="s">
        <v>5814</v>
      </c>
      <c r="B1905" s="2243" t="s">
        <v>6833</v>
      </c>
      <c r="C1905" s="2244">
        <f>'[2]Data File'!$C$1829</f>
        <v>16135.41</v>
      </c>
      <c r="D1905" s="2245">
        <v>35497.9</v>
      </c>
      <c r="E1905" s="2244">
        <v>61576.22</v>
      </c>
      <c r="F1905" s="2246">
        <v>61576.22</v>
      </c>
      <c r="G1905" s="2244">
        <v>101529.36</v>
      </c>
      <c r="H1905" s="2100">
        <v>61576.22</v>
      </c>
      <c r="I1905" s="2238">
        <f>VLOOKUP(A1905,'Trial Balance - FPer'!$A$7:$I$1107,7,FALSE)</f>
        <v>71176.22</v>
      </c>
      <c r="J1905" s="2100">
        <f>VLOOKUP(A1905,'Trial Balance - FPer'!$A$7:$I$1126,3,FALSE)</f>
        <v>16135.41</v>
      </c>
    </row>
    <row r="1906" spans="1:10" ht="14.25" hidden="1" x14ac:dyDescent="0.2">
      <c r="A1906" s="2236" t="s">
        <v>5815</v>
      </c>
      <c r="B1906" s="2243" t="s">
        <v>6617</v>
      </c>
      <c r="C1906" s="2244">
        <f>'[2]Data File'!$C$1831</f>
        <v>6963.44</v>
      </c>
      <c r="D1906" s="2245">
        <v>2109.87</v>
      </c>
      <c r="E1906" s="2244">
        <v>29532.41</v>
      </c>
      <c r="F1906" s="2246">
        <v>45000</v>
      </c>
      <c r="G1906" s="2244">
        <v>44967.3</v>
      </c>
      <c r="H1906" s="2100">
        <v>29728.41</v>
      </c>
      <c r="I1906" s="2238">
        <f>VLOOKUP(A1906,'Trial Balance - FPer'!$A$7:$I$1107,7,FALSE)</f>
        <v>43329.26</v>
      </c>
      <c r="J1906" s="2100">
        <f>VLOOKUP(A1906,'Trial Balance - FPer'!$A$7:$I$1126,3,FALSE)</f>
        <v>6963.44</v>
      </c>
    </row>
    <row r="1907" spans="1:10" ht="14.25" hidden="1" x14ac:dyDescent="0.2">
      <c r="A1907" s="2236" t="s">
        <v>5816</v>
      </c>
      <c r="B1907" s="2247" t="s">
        <v>6821</v>
      </c>
      <c r="C1907" s="2248">
        <v>0</v>
      </c>
      <c r="D1907" s="2249">
        <v>0</v>
      </c>
      <c r="E1907" s="2248">
        <v>0</v>
      </c>
      <c r="F1907" s="2250">
        <v>0</v>
      </c>
      <c r="G1907" s="2248">
        <v>0</v>
      </c>
      <c r="H1907" s="2100">
        <v>0</v>
      </c>
      <c r="I1907" s="2238">
        <f>VLOOKUP(A1907,'Trial Balance - FPer'!$A$7:$I$1107,7,FALSE)</f>
        <v>0</v>
      </c>
      <c r="J1907" s="2100" t="str">
        <f>VLOOKUP(A1907,'Trial Balance - FPer'!$A$7:$I$1126,3,FALSE)</f>
        <v xml:space="preserve">                               -  </v>
      </c>
    </row>
    <row r="1908" spans="1:10" s="2615" customFormat="1" hidden="1" x14ac:dyDescent="0.2">
      <c r="A1908" s="2612"/>
      <c r="B1908" s="2613" t="s">
        <v>6618</v>
      </c>
      <c r="C1908" s="2614">
        <f>SUM(C1903:C1907)</f>
        <v>23098.85</v>
      </c>
      <c r="D1908" s="2614">
        <f>SUM(D1903:D1907)</f>
        <v>37607.770000000004</v>
      </c>
      <c r="E1908" s="2614">
        <f>SUM(E1903:E1907)</f>
        <v>91108.63</v>
      </c>
      <c r="F1908" s="2614">
        <f>SUM(F1903:F1907)</f>
        <v>106576.22</v>
      </c>
      <c r="G1908" s="2614">
        <f>SUM(G1903:G1907)</f>
        <v>146496.66</v>
      </c>
      <c r="H1908" s="2614">
        <f t="shared" ref="H1908" si="211">SUM(H1903:H1907)</f>
        <v>91304.63</v>
      </c>
      <c r="I1908" s="2614">
        <f>SUM(I1903:I1907)</f>
        <v>114505.48000000001</v>
      </c>
      <c r="J1908" s="2614">
        <f>SUM(J1903:J1907)</f>
        <v>23098.85</v>
      </c>
    </row>
    <row r="1909" spans="1:10" ht="14.25" hidden="1" x14ac:dyDescent="0.2">
      <c r="A1909" s="2236"/>
      <c r="B1909" s="2243"/>
      <c r="C1909" s="2244"/>
      <c r="D1909" s="2245"/>
      <c r="E1909" s="2244"/>
      <c r="F1909" s="2246"/>
      <c r="G1909" s="2244"/>
      <c r="H1909" s="2244"/>
      <c r="I1909" s="2238"/>
      <c r="J1909" s="2100" t="e">
        <f>VLOOKUP(A1909,'Trial Balance - FPer'!$A$7:$I$1126,3,FALSE)</f>
        <v>#N/A</v>
      </c>
    </row>
    <row r="1910" spans="1:10" ht="14.25" hidden="1" x14ac:dyDescent="0.2">
      <c r="A1910" s="2236"/>
      <c r="B1910" s="2242" t="s">
        <v>6619</v>
      </c>
      <c r="C1910" s="2244"/>
      <c r="D1910" s="2245"/>
      <c r="E1910" s="2244"/>
      <c r="F1910" s="2246"/>
      <c r="G1910" s="2244"/>
      <c r="H1910" s="2244"/>
      <c r="I1910" s="2238"/>
      <c r="J1910" s="2100" t="e">
        <f>VLOOKUP(A1910,'Trial Balance - FPer'!$A$7:$I$1126,3,FALSE)</f>
        <v>#N/A</v>
      </c>
    </row>
    <row r="1911" spans="1:10" ht="14.25" hidden="1" x14ac:dyDescent="0.2">
      <c r="A1911" s="2236" t="s">
        <v>5817</v>
      </c>
      <c r="B1911" s="2243" t="s">
        <v>6620</v>
      </c>
      <c r="C1911" s="2244">
        <f>'[2]Data File'!$C$1835</f>
        <v>52861.61</v>
      </c>
      <c r="D1911" s="2245">
        <v>11901.41</v>
      </c>
      <c r="E1911" s="2244">
        <v>0</v>
      </c>
      <c r="F1911" s="2246">
        <v>11901.41</v>
      </c>
      <c r="G1911" s="2244">
        <v>2986.71</v>
      </c>
      <c r="H1911" s="2244"/>
      <c r="I1911" s="2238">
        <f>VLOOKUP(A1911,'Trial Balance - FPer'!$A$7:$I$1107,7,FALSE)</f>
        <v>11606.07</v>
      </c>
      <c r="J1911" s="2100">
        <f>VLOOKUP(A1911,'Trial Balance - FPer'!$A$7:$I$1126,3,FALSE)</f>
        <v>52861.61</v>
      </c>
    </row>
    <row r="1912" spans="1:10" ht="14.25" hidden="1" x14ac:dyDescent="0.2">
      <c r="A1912" s="2236" t="s">
        <v>5818</v>
      </c>
      <c r="B1912" s="2247" t="s">
        <v>6621</v>
      </c>
      <c r="C1912" s="2248">
        <f>'[2]Data File'!$C$1837</f>
        <v>15918.35</v>
      </c>
      <c r="D1912" s="2249">
        <v>14378.08</v>
      </c>
      <c r="E1912" s="2248">
        <v>0</v>
      </c>
      <c r="F1912" s="2250">
        <v>14378.03</v>
      </c>
      <c r="G1912" s="2248">
        <v>3610.04</v>
      </c>
      <c r="H1912" s="2244"/>
      <c r="I1912" s="2238">
        <f>VLOOKUP(A1912,'Trial Balance - FPer'!$A$7:$I$1107,7,FALSE)</f>
        <v>4387.5200000000004</v>
      </c>
      <c r="J1912" s="2100">
        <f>VLOOKUP(A1912,'Trial Balance - FPer'!$A$7:$I$1126,3,FALSE)</f>
        <v>15918.35</v>
      </c>
    </row>
    <row r="1913" spans="1:10" s="2615" customFormat="1" hidden="1" x14ac:dyDescent="0.2">
      <c r="A1913" s="2612"/>
      <c r="B1913" s="2613" t="s">
        <v>6777</v>
      </c>
      <c r="C1913" s="2614">
        <f>SUM(C1911:C1912)</f>
        <v>68779.960000000006</v>
      </c>
      <c r="D1913" s="2614">
        <f>SUM(D1911:D1912)</f>
        <v>26279.489999999998</v>
      </c>
      <c r="E1913" s="2614">
        <f>SUM(E1911:E1912)</f>
        <v>0</v>
      </c>
      <c r="F1913" s="2614">
        <f>SUM(F1911:F1912)</f>
        <v>26279.440000000002</v>
      </c>
      <c r="G1913" s="2614">
        <f>SUM(G1911:G1912)</f>
        <v>6596.75</v>
      </c>
      <c r="H1913" s="2614">
        <f t="shared" ref="H1913" si="212">SUM(H1911:H1912)</f>
        <v>0</v>
      </c>
      <c r="I1913" s="2614">
        <f>SUM(I1911:I1912)</f>
        <v>15993.59</v>
      </c>
      <c r="J1913" s="2614">
        <f>SUM(J1911:J1912)</f>
        <v>68779.960000000006</v>
      </c>
    </row>
    <row r="1914" spans="1:10" ht="14.25" hidden="1" x14ac:dyDescent="0.2">
      <c r="A1914" s="2236"/>
      <c r="B1914" s="2257"/>
      <c r="C1914" s="2253"/>
      <c r="D1914" s="2254"/>
      <c r="E1914" s="2253"/>
      <c r="F1914" s="2255"/>
      <c r="G1914" s="2253"/>
      <c r="H1914" s="2244"/>
      <c r="I1914" s="2238"/>
      <c r="J1914" s="2100" t="e">
        <f>VLOOKUP(A1914,'Trial Balance - FPer'!$A$7:$I$1126,3,FALSE)</f>
        <v>#N/A</v>
      </c>
    </row>
    <row r="1915" spans="1:10" s="2615" customFormat="1" ht="13.5" thickBot="1" x14ac:dyDescent="0.25">
      <c r="A1915" s="2612"/>
      <c r="B1915" s="2616" t="s">
        <v>6623</v>
      </c>
      <c r="C1915" s="2617">
        <f>C1913+C1908+C1900+C1878+C1872+C1867+C1863</f>
        <v>9200346.4100000001</v>
      </c>
      <c r="D1915" s="2617">
        <f>D1913+D1908+D1900+D1878+D1872+D1867+D1863</f>
        <v>9384572.9100000001</v>
      </c>
      <c r="E1915" s="2617">
        <f>E1913+E1908+E1900+E1878+E1872+E1867+E1863</f>
        <v>1166122.5999999999</v>
      </c>
      <c r="F1915" s="2617">
        <f>F1913+F1908+F1900+F1878+F1872+F1867+F1863</f>
        <v>15252318.32</v>
      </c>
      <c r="G1915" s="2617">
        <f>G1913+G1908+G1900+G1878+G1872+G1867+G1863</f>
        <v>4098821.3099999996</v>
      </c>
      <c r="H1915" s="2617">
        <f t="shared" ref="H1915" si="213">H1913+H1908+H1900+H1878+H1872+H1867+H1863</f>
        <v>1370245.2300000002</v>
      </c>
      <c r="I1915" s="2617">
        <f>I1913+I1908+I1900+I1878+I1872+I1867+I1863</f>
        <v>2402076.73</v>
      </c>
      <c r="J1915" s="2617">
        <f>J1913+J1908+J1900+J1878+J1872+J1867+J1863</f>
        <v>8398166.1400000006</v>
      </c>
    </row>
    <row r="1916" spans="1:10" ht="15" thickTop="1" x14ac:dyDescent="0.2">
      <c r="A1916" s="2236"/>
      <c r="B1916" s="2243"/>
      <c r="C1916" s="2244"/>
      <c r="D1916" s="2245"/>
      <c r="E1916" s="2244"/>
      <c r="F1916" s="2246"/>
      <c r="G1916" s="2244"/>
      <c r="H1916" s="2244"/>
      <c r="I1916" s="2238"/>
      <c r="J1916" s="2100" t="e">
        <f>VLOOKUP(A1916,'Trial Balance - FPer'!$A$7:$I$1126,3,FALSE)</f>
        <v>#N/A</v>
      </c>
    </row>
    <row r="1917" spans="1:10" s="2615" customFormat="1" ht="13.5" thickBot="1" x14ac:dyDescent="0.25">
      <c r="A1917" s="2612"/>
      <c r="B1917" s="2616" t="s">
        <v>6624</v>
      </c>
      <c r="C1917" s="2617">
        <f>C1845-C1915</f>
        <v>-9197781.9299999997</v>
      </c>
      <c r="D1917" s="2617">
        <f>D1845-D1915</f>
        <v>-2054623.8499999996</v>
      </c>
      <c r="E1917" s="2617">
        <f>E1845-E1915</f>
        <v>-1166082.0699999998</v>
      </c>
      <c r="F1917" s="2617">
        <f>F1845-F1915</f>
        <v>0</v>
      </c>
      <c r="G1917" s="2617">
        <f>G1845-G1915</f>
        <v>-419147.7200000002</v>
      </c>
      <c r="H1917" s="2617">
        <f t="shared" ref="H1917:J1917" si="214">H1845-H1915</f>
        <v>-1370245.2300000002</v>
      </c>
      <c r="I1917" s="2617">
        <f t="shared" si="214"/>
        <v>-2402285.17</v>
      </c>
      <c r="J1917" s="2617">
        <f t="shared" si="214"/>
        <v>-8400730.620000001</v>
      </c>
    </row>
    <row r="1918" spans="1:10" ht="15" thickTop="1" x14ac:dyDescent="0.2">
      <c r="A1918" s="2236"/>
      <c r="B1918" s="2243"/>
      <c r="C1918" s="2244"/>
      <c r="D1918" s="2245"/>
      <c r="E1918" s="2244"/>
      <c r="F1918" s="2246"/>
      <c r="G1918" s="2244"/>
      <c r="H1918" s="2244"/>
      <c r="I1918" s="2238"/>
      <c r="J1918" s="2100" t="e">
        <f>VLOOKUP(A1918,'Trial Balance - FPer'!$A$7:$I$1126,3,FALSE)</f>
        <v>#N/A</v>
      </c>
    </row>
    <row r="1919" spans="1:10" ht="15" x14ac:dyDescent="0.25">
      <c r="A1919" s="2241">
        <v>1201</v>
      </c>
      <c r="B1919" s="2237" t="s">
        <v>6834</v>
      </c>
      <c r="C1919" s="2244"/>
      <c r="D1919" s="2245"/>
      <c r="E1919" s="2244"/>
      <c r="F1919" s="2246"/>
      <c r="G1919" s="2244"/>
      <c r="H1919" s="2244"/>
      <c r="I1919" s="2238"/>
      <c r="J1919" s="2100" t="e">
        <f>VLOOKUP(A1919,'Trial Balance - FPer'!$A$7:$I$1126,3,FALSE)</f>
        <v>#N/A</v>
      </c>
    </row>
    <row r="1920" spans="1:10" ht="14.25" x14ac:dyDescent="0.2">
      <c r="A1920" s="2236"/>
      <c r="B1920" s="2243"/>
      <c r="C1920" s="2244"/>
      <c r="D1920" s="2245"/>
      <c r="E1920" s="2244"/>
      <c r="F1920" s="2246"/>
      <c r="G1920" s="2244"/>
      <c r="H1920" s="2244"/>
      <c r="I1920" s="2238"/>
      <c r="J1920" s="2100" t="e">
        <f>VLOOKUP(A1920,'Trial Balance - FPer'!$A$7:$I$1126,3,FALSE)</f>
        <v>#N/A</v>
      </c>
    </row>
    <row r="1921" spans="1:10" ht="14.25" x14ac:dyDescent="0.2">
      <c r="A1921" s="2236"/>
      <c r="B1921" s="2242" t="s">
        <v>247</v>
      </c>
      <c r="C1921" s="2244"/>
      <c r="D1921" s="2245"/>
      <c r="E1921" s="2244"/>
      <c r="F1921" s="2246"/>
      <c r="G1921" s="2244"/>
      <c r="H1921" s="2244"/>
      <c r="I1921" s="2238"/>
      <c r="J1921" s="2100" t="e">
        <f>VLOOKUP(A1921,'Trial Balance - FPer'!$A$7:$I$1126,3,FALSE)</f>
        <v>#N/A</v>
      </c>
    </row>
    <row r="1922" spans="1:10" ht="14.25" hidden="1" x14ac:dyDescent="0.2">
      <c r="A1922" s="2236"/>
      <c r="B1922" s="2242" t="s">
        <v>120</v>
      </c>
      <c r="C1922" s="2244"/>
      <c r="D1922" s="2245"/>
      <c r="E1922" s="2244"/>
      <c r="F1922" s="2246"/>
      <c r="G1922" s="2244"/>
      <c r="H1922" s="2244"/>
      <c r="I1922" s="2238"/>
      <c r="J1922" s="2100" t="e">
        <f>VLOOKUP(A1922,'Trial Balance - FPer'!$A$7:$I$1126,3,FALSE)</f>
        <v>#N/A</v>
      </c>
    </row>
    <row r="1923" spans="1:10" ht="14.25" hidden="1" x14ac:dyDescent="0.2">
      <c r="A1923" s="2236" t="s">
        <v>5884</v>
      </c>
      <c r="B1923" s="2247" t="s">
        <v>6261</v>
      </c>
      <c r="C1923" s="2248">
        <f>'[2]Data File'!$C$1859</f>
        <v>6711790.1299999999</v>
      </c>
      <c r="D1923" s="2249">
        <v>2175371.4900000002</v>
      </c>
      <c r="E1923" s="2248">
        <v>124721515.91</v>
      </c>
      <c r="F1923" s="2250">
        <v>2175371.4900000002</v>
      </c>
      <c r="G1923" s="2248">
        <v>125813551.40000001</v>
      </c>
      <c r="H1923" s="2244"/>
      <c r="I1923" s="2238">
        <f>VLOOKUP(A1923,'Trial Balance - FPer'!$A$7:$I$1107,7,FALSE)</f>
        <v>-8569976.8299999833</v>
      </c>
      <c r="J1923" s="2100">
        <f>VLOOKUP(A1923,'Trial Balance - FPer'!$A$7:$I$1126,3,FALSE)</f>
        <v>-6711790.1299999999</v>
      </c>
    </row>
    <row r="1924" spans="1:10" s="2615" customFormat="1" hidden="1" x14ac:dyDescent="0.2">
      <c r="A1924" s="2612"/>
      <c r="B1924" s="2613" t="s">
        <v>6811</v>
      </c>
      <c r="C1924" s="2614">
        <f>SUM(C1923)</f>
        <v>6711790.1299999999</v>
      </c>
      <c r="D1924" s="2614">
        <f>SUM(D1923)</f>
        <v>2175371.4900000002</v>
      </c>
      <c r="E1924" s="2614">
        <f>SUM(E1923)</f>
        <v>124721515.91</v>
      </c>
      <c r="F1924" s="2614">
        <f>SUM(F1923)</f>
        <v>2175371.4900000002</v>
      </c>
      <c r="G1924" s="2614">
        <f>SUM(G1923)</f>
        <v>125813551.40000001</v>
      </c>
      <c r="H1924" s="2614">
        <f t="shared" ref="H1924" si="215">SUM(H1923)</f>
        <v>0</v>
      </c>
      <c r="I1924" s="2614">
        <f>SUM(I1923)</f>
        <v>-8569976.8299999833</v>
      </c>
      <c r="J1924" s="2614">
        <f>SUM(J1923)</f>
        <v>-6711790.1299999999</v>
      </c>
    </row>
    <row r="1925" spans="1:10" ht="14.25" hidden="1" x14ac:dyDescent="0.2">
      <c r="A1925" s="2236"/>
      <c r="B1925" s="2243"/>
      <c r="C1925" s="2244"/>
      <c r="D1925" s="2245"/>
      <c r="E1925" s="2244"/>
      <c r="F1925" s="2246"/>
      <c r="G1925" s="2244"/>
      <c r="H1925" s="2244"/>
      <c r="I1925" s="2238"/>
      <c r="J1925" s="2100" t="e">
        <f>VLOOKUP(A1925,'Trial Balance - FPer'!$A$7:$I$1126,3,FALSE)</f>
        <v>#N/A</v>
      </c>
    </row>
    <row r="1926" spans="1:10" ht="14.25" hidden="1" x14ac:dyDescent="0.2">
      <c r="A1926" s="2236"/>
      <c r="B1926" s="2242" t="s">
        <v>6628</v>
      </c>
      <c r="C1926" s="2244"/>
      <c r="D1926" s="2245"/>
      <c r="E1926" s="2244"/>
      <c r="F1926" s="2246"/>
      <c r="G1926" s="2244"/>
      <c r="H1926" s="2244"/>
      <c r="I1926" s="2238"/>
      <c r="J1926" s="2100" t="e">
        <f>VLOOKUP(A1926,'Trial Balance - FPer'!$A$7:$I$1126,3,FALSE)</f>
        <v>#N/A</v>
      </c>
    </row>
    <row r="1927" spans="1:10" ht="14.25" hidden="1" x14ac:dyDescent="0.2">
      <c r="A1927" s="2236" t="s">
        <v>5886</v>
      </c>
      <c r="B1927" s="2247" t="s">
        <v>6659</v>
      </c>
      <c r="C1927" s="2248">
        <f>'[2]Data File'!$C$1878</f>
        <v>13113878.1</v>
      </c>
      <c r="D1927" s="2249">
        <v>3831786.03</v>
      </c>
      <c r="E1927" s="2248">
        <v>0</v>
      </c>
      <c r="F1927" s="2250">
        <v>6268358.6600000001</v>
      </c>
      <c r="G1927" s="2248">
        <v>1923558.03</v>
      </c>
      <c r="H1927" s="2244"/>
      <c r="I1927" s="2238">
        <f>VLOOKUP(A1927,'Trial Balance - FPer'!$A$7:$I$1107,7,FALSE)</f>
        <v>-15979892.42</v>
      </c>
      <c r="J1927" s="2100">
        <f>VLOOKUP(A1927,'Trial Balance - FPer'!$A$7:$I$1126,3,FALSE)</f>
        <v>-13113878.1</v>
      </c>
    </row>
    <row r="1928" spans="1:10" s="2615" customFormat="1" hidden="1" x14ac:dyDescent="0.2">
      <c r="A1928" s="2612"/>
      <c r="B1928" s="2613" t="s">
        <v>6631</v>
      </c>
      <c r="C1928" s="2614">
        <f>SUM(C1927)</f>
        <v>13113878.1</v>
      </c>
      <c r="D1928" s="2614">
        <f>SUM(D1927)</f>
        <v>3831786.03</v>
      </c>
      <c r="E1928" s="2614">
        <f>SUM(E1927)</f>
        <v>0</v>
      </c>
      <c r="F1928" s="2614">
        <f>SUM(F1927)</f>
        <v>6268358.6600000001</v>
      </c>
      <c r="G1928" s="2614">
        <f>SUM(G1927)</f>
        <v>1923558.03</v>
      </c>
      <c r="H1928" s="2614">
        <f t="shared" ref="H1928" si="216">SUM(H1927)</f>
        <v>0</v>
      </c>
      <c r="I1928" s="2614">
        <f>SUM(I1927)</f>
        <v>-15979892.42</v>
      </c>
      <c r="J1928" s="2614">
        <f>SUM(J1927)</f>
        <v>-13113878.1</v>
      </c>
    </row>
    <row r="1929" spans="1:10" ht="14.25" hidden="1" x14ac:dyDescent="0.2">
      <c r="A1929" s="2236"/>
      <c r="B1929" s="2243"/>
      <c r="C1929" s="2244"/>
      <c r="D1929" s="2245"/>
      <c r="E1929" s="2244"/>
      <c r="F1929" s="2246"/>
      <c r="G1929" s="2244"/>
      <c r="H1929" s="2244"/>
      <c r="I1929" s="2238"/>
      <c r="J1929" s="2100" t="e">
        <f>VLOOKUP(A1929,'Trial Balance - FPer'!$A$7:$I$1126,3,FALSE)</f>
        <v>#N/A</v>
      </c>
    </row>
    <row r="1930" spans="1:10" ht="14.25" hidden="1" x14ac:dyDescent="0.2">
      <c r="A1930" s="2236"/>
      <c r="B1930" s="2242" t="s">
        <v>6722</v>
      </c>
      <c r="C1930" s="2244"/>
      <c r="D1930" s="2245"/>
      <c r="E1930" s="2244"/>
      <c r="F1930" s="2246"/>
      <c r="G1930" s="2244"/>
      <c r="H1930" s="2244"/>
      <c r="I1930" s="2238"/>
      <c r="J1930" s="2100" t="e">
        <f>VLOOKUP(A1930,'Trial Balance - FPer'!$A$7:$I$1126,3,FALSE)</f>
        <v>#N/A</v>
      </c>
    </row>
    <row r="1931" spans="1:10" ht="14.25" hidden="1" x14ac:dyDescent="0.2">
      <c r="A1931" s="2236" t="s">
        <v>5887</v>
      </c>
      <c r="B1931" s="2247" t="s">
        <v>6244</v>
      </c>
      <c r="C1931" s="2248">
        <f>'[2]Data File'!$C$1874</f>
        <v>0</v>
      </c>
      <c r="D1931" s="2249">
        <v>9543730.4000000004</v>
      </c>
      <c r="E1931" s="2248">
        <v>0</v>
      </c>
      <c r="F1931" s="2250">
        <v>3627212.99</v>
      </c>
      <c r="G1931" s="2248">
        <v>4790950.4000000004</v>
      </c>
      <c r="H1931" s="2244"/>
      <c r="I1931" s="2238">
        <f>VLOOKUP(A1931,'Trial Balance - FPer'!$A$7:$I$1107,7,FALSE)</f>
        <v>0</v>
      </c>
      <c r="J1931" s="2100">
        <f>VLOOKUP(A1931,'Trial Balance - FPer'!$A$7:$I$1126,3,FALSE)</f>
        <v>0</v>
      </c>
    </row>
    <row r="1932" spans="1:10" s="2615" customFormat="1" hidden="1" x14ac:dyDescent="0.2">
      <c r="A1932" s="2612"/>
      <c r="B1932" s="2613" t="s">
        <v>6724</v>
      </c>
      <c r="C1932" s="2614">
        <f>SUM(C1931)</f>
        <v>0</v>
      </c>
      <c r="D1932" s="2614">
        <f>SUM(D1931)</f>
        <v>9543730.4000000004</v>
      </c>
      <c r="E1932" s="2614">
        <f>SUM(E1931)</f>
        <v>0</v>
      </c>
      <c r="F1932" s="2614">
        <f>SUM(F1931)</f>
        <v>3627212.99</v>
      </c>
      <c r="G1932" s="2614">
        <f>SUM(G1931)</f>
        <v>4790950.4000000004</v>
      </c>
      <c r="H1932" s="2614">
        <f t="shared" ref="H1932:J1932" si="217">SUM(H1931)</f>
        <v>0</v>
      </c>
      <c r="I1932" s="2614">
        <f t="shared" si="217"/>
        <v>0</v>
      </c>
      <c r="J1932" s="2614">
        <f t="shared" si="217"/>
        <v>0</v>
      </c>
    </row>
    <row r="1933" spans="1:10" ht="14.25" hidden="1" x14ac:dyDescent="0.2">
      <c r="A1933" s="2236"/>
      <c r="B1933" s="2243"/>
      <c r="C1933" s="2244"/>
      <c r="D1933" s="2245"/>
      <c r="E1933" s="2244"/>
      <c r="F1933" s="2246"/>
      <c r="G1933" s="2244"/>
      <c r="H1933" s="2244"/>
      <c r="I1933" s="2238"/>
      <c r="J1933" s="2100" t="e">
        <f>VLOOKUP(A1933,'Trial Balance - FPer'!$A$7:$I$1126,3,FALSE)</f>
        <v>#N/A</v>
      </c>
    </row>
    <row r="1934" spans="1:10" ht="14.25" hidden="1" x14ac:dyDescent="0.2">
      <c r="A1934" s="2236"/>
      <c r="B1934" s="2242" t="s">
        <v>1637</v>
      </c>
      <c r="C1934" s="2244"/>
      <c r="D1934" s="2245"/>
      <c r="E1934" s="2244"/>
      <c r="F1934" s="2246"/>
      <c r="G1934" s="2244"/>
      <c r="H1934" s="2244"/>
      <c r="I1934" s="2238"/>
      <c r="J1934" s="2100" t="e">
        <f>VLOOKUP(A1934,'Trial Balance - FPer'!$A$7:$I$1126,3,FALSE)</f>
        <v>#N/A</v>
      </c>
    </row>
    <row r="1935" spans="1:10" ht="14.25" hidden="1" x14ac:dyDescent="0.2">
      <c r="A1935" s="2236" t="s">
        <v>5888</v>
      </c>
      <c r="B1935" s="2243" t="s">
        <v>1797</v>
      </c>
      <c r="C1935" s="2244">
        <f>'[2]Data File'!$C$1863</f>
        <v>807.12</v>
      </c>
      <c r="D1935" s="2245">
        <v>164.32</v>
      </c>
      <c r="E1935" s="2244">
        <v>467.02</v>
      </c>
      <c r="F1935" s="2246">
        <v>547.34</v>
      </c>
      <c r="G1935" s="2244">
        <v>547.34</v>
      </c>
      <c r="H1935" s="2244"/>
      <c r="I1935" s="2238">
        <f>VLOOKUP(A1935,'Trial Balance - FPer'!$A$7:$I$1107,7,FALSE)</f>
        <v>-700.53</v>
      </c>
      <c r="J1935" s="2100">
        <f>VLOOKUP(A1935,'Trial Balance - FPer'!$A$7:$I$1126,3,FALSE)</f>
        <v>-807.12</v>
      </c>
    </row>
    <row r="1936" spans="1:10" ht="14.25" hidden="1" x14ac:dyDescent="0.2">
      <c r="A1936" s="2236" t="s">
        <v>5889</v>
      </c>
      <c r="B1936" s="2243" t="s">
        <v>6666</v>
      </c>
      <c r="C1936" s="2244">
        <v>0</v>
      </c>
      <c r="D1936" s="2245">
        <v>0</v>
      </c>
      <c r="E1936" s="2244">
        <v>0</v>
      </c>
      <c r="F1936" s="2246">
        <v>0</v>
      </c>
      <c r="G1936" s="2244">
        <v>0</v>
      </c>
      <c r="H1936" s="2244"/>
      <c r="I1936" s="2238">
        <f>VLOOKUP(A1936,'Trial Balance - FPer'!$A$7:$I$1107,7,FALSE)</f>
        <v>-108673.56</v>
      </c>
      <c r="J1936" s="2100">
        <f>VLOOKUP(A1936,'Trial Balance - FPer'!$A$7:$I$1126,3,FALSE)</f>
        <v>0</v>
      </c>
    </row>
    <row r="1937" spans="1:10" ht="14.25" hidden="1" x14ac:dyDescent="0.2">
      <c r="A1937" s="2236" t="s">
        <v>5890</v>
      </c>
      <c r="B1937" s="2243" t="s">
        <v>6835</v>
      </c>
      <c r="C1937" s="2244">
        <f>'[2]Data File'!$C$1864</f>
        <v>0</v>
      </c>
      <c r="D1937" s="2245">
        <v>550</v>
      </c>
      <c r="E1937" s="2244">
        <v>0</v>
      </c>
      <c r="F1937" s="2246">
        <v>0</v>
      </c>
      <c r="G1937" s="2244">
        <v>274</v>
      </c>
      <c r="H1937" s="2244"/>
      <c r="I1937" s="2238">
        <f>VLOOKUP(A1937,'Trial Balance - FPer'!$A$7:$I$1107,7,FALSE)</f>
        <v>0</v>
      </c>
      <c r="J1937" s="2100">
        <f>VLOOKUP(A1937,'Trial Balance - FPer'!$A$7:$I$1126,3,FALSE)</f>
        <v>0</v>
      </c>
    </row>
    <row r="1938" spans="1:10" ht="14.25" hidden="1" x14ac:dyDescent="0.2">
      <c r="A1938" s="2236" t="s">
        <v>5891</v>
      </c>
      <c r="B1938" s="2247" t="s">
        <v>6836</v>
      </c>
      <c r="C1938" s="2248">
        <f>'[2]Data File'!$C$1868</f>
        <v>-429656.62</v>
      </c>
      <c r="D1938" s="2249">
        <v>-1055237.54</v>
      </c>
      <c r="E1938" s="2248">
        <v>0</v>
      </c>
      <c r="F1938" s="2250">
        <v>-1055237.54</v>
      </c>
      <c r="G1938" s="2248">
        <v>-264863.77</v>
      </c>
      <c r="H1938" s="2244"/>
      <c r="I1938" s="2238">
        <f>VLOOKUP(A1938,'Trial Balance - FPer'!$A$7:$I$1107,7,FALSE)</f>
        <v>0</v>
      </c>
      <c r="J1938" s="2100">
        <f>VLOOKUP(A1938,'Trial Balance - FPer'!$A$7:$I$1126,3,FALSE)</f>
        <v>0</v>
      </c>
    </row>
    <row r="1939" spans="1:10" s="2615" customFormat="1" hidden="1" x14ac:dyDescent="0.2">
      <c r="A1939" s="2612"/>
      <c r="B1939" s="2613" t="s">
        <v>6670</v>
      </c>
      <c r="C1939" s="2614">
        <f>SUM(C1935:C1938)</f>
        <v>-428849.5</v>
      </c>
      <c r="D1939" s="2614">
        <f>SUM(D1935:D1938)</f>
        <v>-1054523.22</v>
      </c>
      <c r="E1939" s="2614">
        <f>SUM(E1935:E1938)</f>
        <v>467.02</v>
      </c>
      <c r="F1939" s="2614">
        <f>SUM(F1935:F1938)</f>
        <v>-1054690.2</v>
      </c>
      <c r="G1939" s="2614">
        <f>SUM(G1935:G1938)</f>
        <v>-264042.43</v>
      </c>
      <c r="H1939" s="2614">
        <f t="shared" ref="H1939:J1939" si="218">SUM(H1935:H1938)</f>
        <v>0</v>
      </c>
      <c r="I1939" s="2614">
        <f t="shared" si="218"/>
        <v>-109374.09</v>
      </c>
      <c r="J1939" s="2614">
        <f t="shared" si="218"/>
        <v>-807.12</v>
      </c>
    </row>
    <row r="1940" spans="1:10" ht="14.25" hidden="1" x14ac:dyDescent="0.2">
      <c r="A1940" s="2236"/>
      <c r="B1940" s="2242"/>
      <c r="C1940" s="2244"/>
      <c r="D1940" s="2245"/>
      <c r="E1940" s="2244"/>
      <c r="F1940" s="2246"/>
      <c r="G1940" s="2244"/>
      <c r="H1940" s="2244"/>
      <c r="I1940" s="2238"/>
      <c r="J1940" s="2100" t="e">
        <f>VLOOKUP(A1940,'Trial Balance - FPer'!$A$7:$I$1126,3,FALSE)</f>
        <v>#N/A</v>
      </c>
    </row>
    <row r="1941" spans="1:10" s="2615" customFormat="1" ht="13.5" thickBot="1" x14ac:dyDescent="0.25">
      <c r="A1941" s="2612"/>
      <c r="B1941" s="2616" t="s">
        <v>6579</v>
      </c>
      <c r="C1941" s="2617">
        <f>C1939+C1932+C1928+C1924</f>
        <v>19396818.73</v>
      </c>
      <c r="D1941" s="2617">
        <f>D1939+D1932+D1928+D1924</f>
        <v>14496364.699999999</v>
      </c>
      <c r="E1941" s="2617">
        <f>E1939+E1932+E1928+E1924</f>
        <v>124721982.92999999</v>
      </c>
      <c r="F1941" s="2617">
        <f>F1939+F1932+F1928+F1924</f>
        <v>11016252.939999999</v>
      </c>
      <c r="G1941" s="2617">
        <f>G1939+G1932+G1928+G1924</f>
        <v>132264017.40000001</v>
      </c>
      <c r="H1941" s="2617">
        <f t="shared" ref="H1941" si="219">H1939+H1932+H1928+H1924</f>
        <v>0</v>
      </c>
      <c r="I1941" s="2617">
        <f>I1939+I1932+I1928+I1924</f>
        <v>-24659243.339999981</v>
      </c>
      <c r="J1941" s="2617">
        <f>J1939+J1932+J1928+J1924</f>
        <v>-19826475.349999998</v>
      </c>
    </row>
    <row r="1942" spans="1:10" ht="15" thickTop="1" x14ac:dyDescent="0.2">
      <c r="A1942" s="2236"/>
      <c r="B1942" s="2243"/>
      <c r="C1942" s="2244"/>
      <c r="D1942" s="2245"/>
      <c r="E1942" s="2244"/>
      <c r="F1942" s="2246"/>
      <c r="G1942" s="2244"/>
      <c r="H1942" s="2244"/>
      <c r="I1942" s="2238"/>
      <c r="J1942" s="2100" t="e">
        <f>VLOOKUP(A1942,'Trial Balance - FPer'!$A$7:$I$1126,3,FALSE)</f>
        <v>#N/A</v>
      </c>
    </row>
    <row r="1943" spans="1:10" ht="14.25" x14ac:dyDescent="0.2">
      <c r="A1943" s="2236"/>
      <c r="B1943" s="2242" t="s">
        <v>235</v>
      </c>
      <c r="C1943" s="2244"/>
      <c r="D1943" s="2245"/>
      <c r="E1943" s="2244"/>
      <c r="F1943" s="2246"/>
      <c r="G1943" s="2244"/>
      <c r="H1943" s="2244"/>
      <c r="I1943" s="2238"/>
      <c r="J1943" s="2100" t="e">
        <f>VLOOKUP(A1943,'Trial Balance - FPer'!$A$7:$I$1126,3,FALSE)</f>
        <v>#N/A</v>
      </c>
    </row>
    <row r="1944" spans="1:10" ht="14.25" hidden="1" x14ac:dyDescent="0.2">
      <c r="A1944" s="2236"/>
      <c r="B1944" s="2242" t="s">
        <v>387</v>
      </c>
      <c r="C1944" s="2244"/>
      <c r="D1944" s="2245"/>
      <c r="E1944" s="2244"/>
      <c r="F1944" s="2246"/>
      <c r="G1944" s="2244"/>
      <c r="H1944" s="2244"/>
      <c r="I1944" s="2238"/>
      <c r="J1944" s="2100" t="e">
        <f>VLOOKUP(A1944,'Trial Balance - FPer'!$A$7:$I$1126,3,FALSE)</f>
        <v>#N/A</v>
      </c>
    </row>
    <row r="1945" spans="1:10" ht="14.25" hidden="1" x14ac:dyDescent="0.2">
      <c r="A1945" s="2236" t="s">
        <v>5828</v>
      </c>
      <c r="B1945" s="2243" t="s">
        <v>6003</v>
      </c>
      <c r="C1945" s="2244">
        <f>'[2]Data File'!$C$1886</f>
        <v>2508840.42</v>
      </c>
      <c r="D1945" s="2245">
        <v>2984395.39</v>
      </c>
      <c r="E1945" s="2244">
        <v>1910329.84</v>
      </c>
      <c r="F1945" s="2246">
        <v>3180071.08</v>
      </c>
      <c r="G1945" s="2253">
        <v>3622283.43</v>
      </c>
      <c r="H1945" s="2100">
        <v>2121953.38</v>
      </c>
      <c r="I1945" s="2238">
        <f>VLOOKUP(A1945,'Trial Balance - FPer'!$A$7:$I$1107,7,FALSE)</f>
        <v>2477849.1599999997</v>
      </c>
      <c r="J1945" s="2100">
        <f>VLOOKUP(A1945,'Trial Balance - FPer'!$A$7:$I$1126,3,FALSE)</f>
        <v>2508840.42</v>
      </c>
    </row>
    <row r="1946" spans="1:10" ht="14.25" hidden="1" x14ac:dyDescent="0.2">
      <c r="A1946" s="2236" t="s">
        <v>5829</v>
      </c>
      <c r="B1946" s="2243" t="s">
        <v>6004</v>
      </c>
      <c r="C1946" s="2244">
        <f>'[2]Data File'!$C$1891</f>
        <v>166294.71</v>
      </c>
      <c r="D1946" s="2245">
        <v>200967.38</v>
      </c>
      <c r="E1946" s="2244">
        <v>103245.22</v>
      </c>
      <c r="F1946" s="2246">
        <v>211623.54</v>
      </c>
      <c r="G1946" s="2253">
        <v>205726.62</v>
      </c>
      <c r="H1946" s="2100">
        <v>140869.03</v>
      </c>
      <c r="I1946" s="2238">
        <f>VLOOKUP(A1946,'Trial Balance - FPer'!$A$7:$I$1107,7,FALSE)</f>
        <v>211448.58</v>
      </c>
      <c r="J1946" s="2100">
        <f>VLOOKUP(A1946,'Trial Balance - FPer'!$A$7:$I$1126,3,FALSE)</f>
        <v>166294.71</v>
      </c>
    </row>
    <row r="1947" spans="1:10" ht="14.25" hidden="1" x14ac:dyDescent="0.2">
      <c r="A1947" s="2236" t="s">
        <v>5830</v>
      </c>
      <c r="B1947" s="2243" t="s">
        <v>6581</v>
      </c>
      <c r="C1947" s="2244">
        <f>'[2]Data File'!$C$1892</f>
        <v>0</v>
      </c>
      <c r="D1947" s="2245">
        <v>0</v>
      </c>
      <c r="E1947" s="2244">
        <v>0</v>
      </c>
      <c r="F1947" s="2246">
        <v>1800</v>
      </c>
      <c r="G1947" s="2253">
        <v>0</v>
      </c>
      <c r="H1947" s="2100">
        <v>300</v>
      </c>
      <c r="I1947" s="2238">
        <f>VLOOKUP(A1947,'Trial Balance - FPer'!$A$7:$I$1107,7,FALSE)</f>
        <v>300</v>
      </c>
      <c r="J1947" s="2100">
        <f>VLOOKUP(A1947,'Trial Balance - FPer'!$A$7:$I$1126,3,FALSE)</f>
        <v>0</v>
      </c>
    </row>
    <row r="1948" spans="1:10" ht="14.25" hidden="1" x14ac:dyDescent="0.2">
      <c r="A1948" s="2236" t="s">
        <v>5831</v>
      </c>
      <c r="B1948" s="2243" t="s">
        <v>6814</v>
      </c>
      <c r="C1948" s="2244">
        <v>0</v>
      </c>
      <c r="D1948" s="2245">
        <v>0</v>
      </c>
      <c r="E1948" s="2244">
        <v>30911.919999999998</v>
      </c>
      <c r="F1948" s="2246">
        <v>30911.919999999998</v>
      </c>
      <c r="G1948" s="2253">
        <v>30911.919999999998</v>
      </c>
      <c r="H1948" s="2100">
        <v>30911.919999999998</v>
      </c>
      <c r="I1948" s="2238">
        <f>VLOOKUP(A1948,'Trial Balance - FPer'!$A$7:$I$1107,7,FALSE)</f>
        <v>30911.919999999998</v>
      </c>
      <c r="J1948" s="2100">
        <f>VLOOKUP(A1948,'Trial Balance - FPer'!$A$7:$I$1126,3,FALSE)</f>
        <v>0</v>
      </c>
    </row>
    <row r="1949" spans="1:10" ht="14.25" hidden="1" x14ac:dyDescent="0.2">
      <c r="A1949" s="2236" t="s">
        <v>5832</v>
      </c>
      <c r="B1949" s="2243" t="s">
        <v>6632</v>
      </c>
      <c r="C1949" s="2244">
        <f>'[2]Data File'!$C$1893</f>
        <v>0</v>
      </c>
      <c r="D1949" s="2245">
        <v>0</v>
      </c>
      <c r="E1949" s="2244">
        <v>0</v>
      </c>
      <c r="F1949" s="2246">
        <v>0</v>
      </c>
      <c r="G1949" s="2253">
        <v>0</v>
      </c>
      <c r="H1949" s="2100">
        <v>0</v>
      </c>
      <c r="I1949" s="2238">
        <f>VLOOKUP(A1949,'Trial Balance - FPer'!$A$7:$I$1107,7,FALSE)</f>
        <v>0</v>
      </c>
      <c r="J1949" s="2100">
        <f>VLOOKUP(A1949,'Trial Balance - FPer'!$A$7:$I$1126,3,FALSE)</f>
        <v>0</v>
      </c>
    </row>
    <row r="1950" spans="1:10" ht="14.25" hidden="1" x14ac:dyDescent="0.2">
      <c r="A1950" s="2236" t="s">
        <v>5833</v>
      </c>
      <c r="B1950" s="2243" t="s">
        <v>6007</v>
      </c>
      <c r="C1950" s="2244">
        <f>'[2]Data File'!$C$1894</f>
        <v>566779.37</v>
      </c>
      <c r="D1950" s="2245">
        <v>655922.56999999995</v>
      </c>
      <c r="E1950" s="2244">
        <v>221543.86</v>
      </c>
      <c r="F1950" s="2246">
        <v>500000</v>
      </c>
      <c r="G1950" s="2253">
        <v>497834.8</v>
      </c>
      <c r="H1950" s="2100">
        <v>262600.44</v>
      </c>
      <c r="I1950" s="2238">
        <f>VLOOKUP(A1950,'Trial Balance - FPer'!$A$7:$I$1107,7,FALSE)</f>
        <v>502104.53</v>
      </c>
      <c r="J1950" s="2100">
        <f>VLOOKUP(A1950,'Trial Balance - FPer'!$A$7:$I$1126,3,FALSE)</f>
        <v>566779.37</v>
      </c>
    </row>
    <row r="1951" spans="1:10" ht="14.25" hidden="1" x14ac:dyDescent="0.2">
      <c r="A1951" s="2236" t="s">
        <v>5834</v>
      </c>
      <c r="B1951" s="2243" t="s">
        <v>6582</v>
      </c>
      <c r="C1951" s="2244">
        <f>'[2]Data File'!$C$1895</f>
        <v>3622.41</v>
      </c>
      <c r="D1951" s="2245">
        <v>2230.92</v>
      </c>
      <c r="E1951" s="2244">
        <v>0</v>
      </c>
      <c r="F1951" s="2246">
        <v>0</v>
      </c>
      <c r="G1951" s="2253">
        <v>560.46</v>
      </c>
      <c r="H1951" s="2100">
        <v>0</v>
      </c>
      <c r="I1951" s="2238">
        <f>VLOOKUP(A1951,'Trial Balance - FPer'!$A$7:$I$1107,7,FALSE)</f>
        <v>0</v>
      </c>
      <c r="J1951" s="2100">
        <f>VLOOKUP(A1951,'Trial Balance - FPer'!$A$7:$I$1126,3,FALSE)</f>
        <v>3622.41</v>
      </c>
    </row>
    <row r="1952" spans="1:10" ht="14.25" hidden="1" x14ac:dyDescent="0.2">
      <c r="A1952" s="2236" t="s">
        <v>5835</v>
      </c>
      <c r="B1952" s="2243" t="s">
        <v>6584</v>
      </c>
      <c r="C1952" s="2244">
        <f>'[2]Data File'!$C$1890</f>
        <v>1594.9</v>
      </c>
      <c r="D1952" s="2245">
        <v>2039.71</v>
      </c>
      <c r="E1952" s="2244">
        <v>779</v>
      </c>
      <c r="F1952" s="2246">
        <v>1664.6</v>
      </c>
      <c r="G1952" s="2253">
        <v>1685.83</v>
      </c>
      <c r="H1952" s="2100">
        <v>926.6</v>
      </c>
      <c r="I1952" s="2238">
        <f>VLOOKUP(A1952,'Trial Balance - FPer'!$A$7:$I$1107,7,FALSE)</f>
        <v>1656.4</v>
      </c>
      <c r="J1952" s="2100">
        <f>VLOOKUP(A1952,'Trial Balance - FPer'!$A$7:$I$1126,3,FALSE)</f>
        <v>1594.9</v>
      </c>
    </row>
    <row r="1953" spans="1:10" ht="14.25" hidden="1" x14ac:dyDescent="0.2">
      <c r="A1953" s="2236" t="s">
        <v>5836</v>
      </c>
      <c r="B1953" s="2243" t="s">
        <v>6585</v>
      </c>
      <c r="C1953" s="2244">
        <f>'[2]Data File'!$C$1897</f>
        <v>29686.7</v>
      </c>
      <c r="D1953" s="2245">
        <v>35714.42</v>
      </c>
      <c r="E1953" s="2244">
        <v>14962.91</v>
      </c>
      <c r="F1953" s="2246">
        <v>35714.42</v>
      </c>
      <c r="G1953" s="2253">
        <v>31471.45</v>
      </c>
      <c r="H1953" s="2100">
        <v>17813.53</v>
      </c>
      <c r="I1953" s="2238">
        <f>VLOOKUP(A1953,'Trial Balance - FPer'!$A$7:$I$1107,7,FALSE)</f>
        <v>31728.42</v>
      </c>
      <c r="J1953" s="2100">
        <f>VLOOKUP(A1953,'Trial Balance - FPer'!$A$7:$I$1126,3,FALSE)</f>
        <v>29686.7</v>
      </c>
    </row>
    <row r="1954" spans="1:10" ht="14.25" hidden="1" x14ac:dyDescent="0.2">
      <c r="A1954" s="2236" t="s">
        <v>5837</v>
      </c>
      <c r="B1954" s="2243" t="s">
        <v>6586</v>
      </c>
      <c r="C1954" s="2244">
        <f>'[2]Data File'!$C$1898</f>
        <v>0</v>
      </c>
      <c r="D1954" s="2245">
        <v>20415.21</v>
      </c>
      <c r="E1954" s="2244">
        <v>0</v>
      </c>
      <c r="F1954" s="2246">
        <v>0</v>
      </c>
      <c r="G1954" s="2253">
        <v>5125.6000000000004</v>
      </c>
      <c r="H1954" s="2100">
        <v>0</v>
      </c>
      <c r="I1954" s="2238">
        <f>VLOOKUP(A1954,'Trial Balance - FPer'!$A$7:$I$1107,7,FALSE)</f>
        <v>0</v>
      </c>
      <c r="J1954" s="2100" t="str">
        <f>VLOOKUP(A1954,'Trial Balance - FPer'!$A$7:$I$1126,3,FALSE)</f>
        <v xml:space="preserve">                               -  </v>
      </c>
    </row>
    <row r="1955" spans="1:10" ht="14.25" hidden="1" x14ac:dyDescent="0.2">
      <c r="A1955" s="2236" t="s">
        <v>5838</v>
      </c>
      <c r="B1955" s="2243" t="s">
        <v>6587</v>
      </c>
      <c r="C1955" s="2244">
        <f>'[2]Data File'!$C$1887</f>
        <v>109434</v>
      </c>
      <c r="D1955" s="2245">
        <v>132985.57</v>
      </c>
      <c r="E1955" s="2244">
        <v>53983.8</v>
      </c>
      <c r="F1955" s="2246">
        <v>122311.8</v>
      </c>
      <c r="G1955" s="2253">
        <v>114572.97</v>
      </c>
      <c r="H1955" s="2100">
        <v>65371.8</v>
      </c>
      <c r="I1955" s="2238">
        <f>VLOOKUP(A1955,'Trial Balance - FPer'!$A$7:$I$1107,7,FALSE)</f>
        <v>131662.6</v>
      </c>
      <c r="J1955" s="2100">
        <f>VLOOKUP(A1955,'Trial Balance - FPer'!$A$7:$I$1126,3,FALSE)</f>
        <v>109434</v>
      </c>
    </row>
    <row r="1956" spans="1:10" ht="14.25" hidden="1" x14ac:dyDescent="0.2">
      <c r="A1956" s="2236" t="s">
        <v>5839</v>
      </c>
      <c r="B1956" s="2243" t="s">
        <v>6013</v>
      </c>
      <c r="C1956" s="2244">
        <f>'[2]Data File'!$C$1888</f>
        <v>399287.67</v>
      </c>
      <c r="D1956" s="2245">
        <v>486212.66</v>
      </c>
      <c r="E1956" s="2244">
        <v>211508.36</v>
      </c>
      <c r="F1956" s="2246">
        <v>458476.46</v>
      </c>
      <c r="G1956" s="2253">
        <v>440159.38</v>
      </c>
      <c r="H1956" s="2100">
        <v>252669.71</v>
      </c>
      <c r="I1956" s="2238">
        <f>VLOOKUP(A1956,'Trial Balance - FPer'!$A$7:$I$1107,7,FALSE)</f>
        <v>457578.47</v>
      </c>
      <c r="J1956" s="2100">
        <f>VLOOKUP(A1956,'Trial Balance - FPer'!$A$7:$I$1126,3,FALSE)</f>
        <v>399287.67</v>
      </c>
    </row>
    <row r="1957" spans="1:10" ht="14.25" hidden="1" x14ac:dyDescent="0.2">
      <c r="A1957" s="2236" t="s">
        <v>5840</v>
      </c>
      <c r="B1957" s="2257" t="s">
        <v>6014</v>
      </c>
      <c r="C1957" s="2248">
        <f>'[2]Data File'!$C$1889</f>
        <v>29843.08</v>
      </c>
      <c r="D1957" s="2249">
        <v>36827.89</v>
      </c>
      <c r="E1957" s="2248">
        <v>14751.57</v>
      </c>
      <c r="F1957" s="2250">
        <v>36827.89</v>
      </c>
      <c r="G1957" s="2248">
        <v>31429.54</v>
      </c>
      <c r="H1957" s="2100">
        <v>17382.21</v>
      </c>
      <c r="I1957" s="2238">
        <f>VLOOKUP(A1957,'Trial Balance - FPer'!$A$7:$I$1107,7,FALSE)</f>
        <v>31086.97</v>
      </c>
      <c r="J1957" s="2100">
        <f>VLOOKUP(A1957,'Trial Balance - FPer'!$A$7:$I$1126,3,FALSE)</f>
        <v>29843.08</v>
      </c>
    </row>
    <row r="1958" spans="1:10" s="2615" customFormat="1" hidden="1" x14ac:dyDescent="0.2">
      <c r="A1958" s="2612"/>
      <c r="B1958" s="2620" t="s">
        <v>6588</v>
      </c>
      <c r="C1958" s="2614">
        <f>SUM(C1945:C1957)</f>
        <v>3815383.2600000002</v>
      </c>
      <c r="D1958" s="2614">
        <f>SUM(D1945:D1957)</f>
        <v>4557711.7199999988</v>
      </c>
      <c r="E1958" s="2614">
        <f>SUM(E1945:E1957)</f>
        <v>2562016.4799999995</v>
      </c>
      <c r="F1958" s="2614">
        <f>SUM(F1945:F1957)</f>
        <v>4579401.71</v>
      </c>
      <c r="G1958" s="2614">
        <f>SUM(G1945:G1957)</f>
        <v>4981762</v>
      </c>
      <c r="H1958" s="2614">
        <f t="shared" ref="H1958" si="220">SUM(H1945:H1957)</f>
        <v>2910798.6199999992</v>
      </c>
      <c r="I1958" s="2614">
        <f>SUM(I1945:I1957)</f>
        <v>3876327.0499999993</v>
      </c>
      <c r="J1958" s="2614">
        <f>SUM(J1945:J1957)</f>
        <v>3815383.2600000002</v>
      </c>
    </row>
    <row r="1959" spans="1:10" ht="14.25" hidden="1" x14ac:dyDescent="0.2">
      <c r="A1959" s="2236"/>
      <c r="B1959" s="2243"/>
      <c r="C1959" s="2244"/>
      <c r="D1959" s="2245"/>
      <c r="E1959" s="2244"/>
      <c r="F1959" s="2246"/>
      <c r="G1959" s="2244"/>
      <c r="H1959" s="2244"/>
      <c r="I1959" s="2238"/>
      <c r="J1959" s="2100" t="e">
        <f>VLOOKUP(A1959,'Trial Balance - FPer'!$A$7:$I$1126,3,FALSE)</f>
        <v>#N/A</v>
      </c>
    </row>
    <row r="1960" spans="1:10" ht="14.25" hidden="1" x14ac:dyDescent="0.2">
      <c r="A1960" s="2236"/>
      <c r="B1960" s="2242" t="s">
        <v>6673</v>
      </c>
      <c r="C1960" s="2244"/>
      <c r="D1960" s="2245"/>
      <c r="E1960" s="2244"/>
      <c r="F1960" s="2246"/>
      <c r="G1960" s="2244"/>
      <c r="H1960" s="2244"/>
      <c r="I1960" s="2238"/>
      <c r="J1960" s="2100" t="e">
        <f>VLOOKUP(A1960,'Trial Balance - FPer'!$A$7:$I$1126,3,FALSE)</f>
        <v>#N/A</v>
      </c>
    </row>
    <row r="1961" spans="1:10" ht="14.25" hidden="1" x14ac:dyDescent="0.2">
      <c r="A1961" s="2236" t="s">
        <v>5841</v>
      </c>
      <c r="B1961" s="2247" t="s">
        <v>6237</v>
      </c>
      <c r="C1961" s="2248">
        <f>'[2]Data File'!$C$1902</f>
        <v>0</v>
      </c>
      <c r="D1961" s="2249">
        <v>434745.59999999998</v>
      </c>
      <c r="E1961" s="2248">
        <v>0</v>
      </c>
      <c r="F1961" s="2250">
        <v>434745.59999999998</v>
      </c>
      <c r="G1961" s="2248">
        <v>109120.8</v>
      </c>
      <c r="H1961" s="2244"/>
      <c r="I1961" s="2238">
        <f>VLOOKUP(A1961,'Trial Balance - FPer'!$A$7:$I$1107,7,FALSE)</f>
        <v>0</v>
      </c>
      <c r="J1961" s="2100">
        <f>VLOOKUP(A1961,'Trial Balance - FPer'!$A$7:$I$1126,3,FALSE)</f>
        <v>0</v>
      </c>
    </row>
    <row r="1962" spans="1:10" s="2615" customFormat="1" hidden="1" x14ac:dyDescent="0.2">
      <c r="A1962" s="2612"/>
      <c r="B1962" s="2613" t="s">
        <v>6674</v>
      </c>
      <c r="C1962" s="2614">
        <f>SUM(C1961)</f>
        <v>0</v>
      </c>
      <c r="D1962" s="2614">
        <f>SUM(D1961)</f>
        <v>434745.59999999998</v>
      </c>
      <c r="E1962" s="2614">
        <f>SUM(E1961)</f>
        <v>0</v>
      </c>
      <c r="F1962" s="2614">
        <f>SUM(F1961)</f>
        <v>434745.59999999998</v>
      </c>
      <c r="G1962" s="2614">
        <f>SUM(G1961)</f>
        <v>109120.8</v>
      </c>
      <c r="H1962" s="2614">
        <f t="shared" ref="H1962:J1962" si="221">SUM(H1961)</f>
        <v>0</v>
      </c>
      <c r="I1962" s="2614">
        <f t="shared" si="221"/>
        <v>0</v>
      </c>
      <c r="J1962" s="2614">
        <f t="shared" si="221"/>
        <v>0</v>
      </c>
    </row>
    <row r="1963" spans="1:10" ht="14.25" hidden="1" x14ac:dyDescent="0.2">
      <c r="A1963" s="2236"/>
      <c r="B1963" s="2243"/>
      <c r="C1963" s="2244"/>
      <c r="D1963" s="2245"/>
      <c r="E1963" s="2244"/>
      <c r="F1963" s="2246"/>
      <c r="G1963" s="2244"/>
      <c r="H1963" s="2244"/>
      <c r="I1963" s="2238"/>
      <c r="J1963" s="2100" t="e">
        <f>VLOOKUP(A1963,'Trial Balance - FPer'!$A$7:$I$1126,3,FALSE)</f>
        <v>#N/A</v>
      </c>
    </row>
    <row r="1964" spans="1:10" ht="14.25" hidden="1" x14ac:dyDescent="0.2">
      <c r="A1964" s="2236"/>
      <c r="B1964" s="2242" t="s">
        <v>6675</v>
      </c>
      <c r="C1964" s="2244"/>
      <c r="D1964" s="2245"/>
      <c r="E1964" s="2244"/>
      <c r="F1964" s="2246"/>
      <c r="G1964" s="2244"/>
      <c r="H1964" s="2244"/>
      <c r="I1964" s="2238"/>
      <c r="J1964" s="2100" t="e">
        <f>VLOOKUP(A1964,'Trial Balance - FPer'!$A$7:$I$1126,3,FALSE)</f>
        <v>#N/A</v>
      </c>
    </row>
    <row r="1965" spans="1:10" ht="14.25" hidden="1" x14ac:dyDescent="0.2">
      <c r="A1965" s="2236" t="s">
        <v>5842</v>
      </c>
      <c r="B1965" s="2247" t="s">
        <v>6676</v>
      </c>
      <c r="C1965" s="2248">
        <f>'[2]Data File'!$C$1941</f>
        <v>0</v>
      </c>
      <c r="D1965" s="2249">
        <v>0</v>
      </c>
      <c r="E1965" s="2248">
        <v>0</v>
      </c>
      <c r="F1965" s="2250">
        <v>0</v>
      </c>
      <c r="G1965" s="2248">
        <v>0</v>
      </c>
      <c r="H1965" s="2244"/>
      <c r="I1965" s="2238">
        <f>VLOOKUP(A1965,'Trial Balance - FPer'!$A$7:$I$1107,7,FALSE)</f>
        <v>0</v>
      </c>
      <c r="J1965" s="2100">
        <f>VLOOKUP(A1965,'Trial Balance - FPer'!$A$7:$I$1126,3,FALSE)</f>
        <v>0</v>
      </c>
    </row>
    <row r="1966" spans="1:10" s="2615" customFormat="1" hidden="1" x14ac:dyDescent="0.2">
      <c r="A1966" s="2612"/>
      <c r="B1966" s="2613" t="s">
        <v>6677</v>
      </c>
      <c r="C1966" s="2614">
        <f>SUM(C1965)</f>
        <v>0</v>
      </c>
      <c r="D1966" s="2614">
        <f>SUM(D1965)</f>
        <v>0</v>
      </c>
      <c r="E1966" s="2614">
        <f>SUM(E1965)</f>
        <v>0</v>
      </c>
      <c r="F1966" s="2614">
        <f>SUM(F1965)</f>
        <v>0</v>
      </c>
      <c r="G1966" s="2614">
        <f>SUM(G1965)</f>
        <v>0</v>
      </c>
      <c r="H1966" s="2614">
        <f t="shared" ref="H1966:J1966" si="222">SUM(H1965)</f>
        <v>0</v>
      </c>
      <c r="I1966" s="2614">
        <f t="shared" si="222"/>
        <v>0</v>
      </c>
      <c r="J1966" s="2614">
        <f t="shared" si="222"/>
        <v>0</v>
      </c>
    </row>
    <row r="1967" spans="1:10" ht="14.25" hidden="1" x14ac:dyDescent="0.2">
      <c r="A1967" s="2236"/>
      <c r="B1967" s="2243"/>
      <c r="C1967" s="2244"/>
      <c r="D1967" s="2245"/>
      <c r="E1967" s="2244"/>
      <c r="F1967" s="2246"/>
      <c r="G1967" s="2244"/>
      <c r="H1967" s="2244"/>
      <c r="I1967" s="2238"/>
      <c r="J1967" s="2100" t="e">
        <f>VLOOKUP(A1967,'Trial Balance - FPer'!$A$7:$I$1126,3,FALSE)</f>
        <v>#N/A</v>
      </c>
    </row>
    <row r="1968" spans="1:10" ht="14.25" hidden="1" x14ac:dyDescent="0.2">
      <c r="A1968" s="2236"/>
      <c r="B1968" s="2242" t="s">
        <v>6757</v>
      </c>
      <c r="C1968" s="2244"/>
      <c r="D1968" s="2245"/>
      <c r="E1968" s="2244"/>
      <c r="F1968" s="2246"/>
      <c r="G1968" s="2244"/>
      <c r="H1968" s="2244"/>
      <c r="I1968" s="2238"/>
      <c r="J1968" s="2100" t="e">
        <f>VLOOKUP(A1968,'Trial Balance - FPer'!$A$7:$I$1126,3,FALSE)</f>
        <v>#N/A</v>
      </c>
    </row>
    <row r="1969" spans="1:10" ht="14.25" hidden="1" x14ac:dyDescent="0.2">
      <c r="A1969" s="2236" t="s">
        <v>5843</v>
      </c>
      <c r="B1969" s="2247" t="s">
        <v>6679</v>
      </c>
      <c r="C1969" s="2248">
        <f>'[2]Data File'!$C$1906</f>
        <v>0</v>
      </c>
      <c r="D1969" s="2249">
        <v>0</v>
      </c>
      <c r="E1969" s="2248">
        <v>0</v>
      </c>
      <c r="F1969" s="2250">
        <v>0</v>
      </c>
      <c r="G1969" s="2248">
        <v>0</v>
      </c>
      <c r="H1969" s="2244"/>
      <c r="I1969" s="2238">
        <f>VLOOKUP(A1969,'Trial Balance - FPer'!$A$7:$I$1107,7,FALSE)</f>
        <v>0</v>
      </c>
      <c r="J1969" s="2100">
        <f>VLOOKUP(A1969,'Trial Balance - FPer'!$A$7:$I$1126,3,FALSE)</f>
        <v>0</v>
      </c>
    </row>
    <row r="1970" spans="1:10" s="2615" customFormat="1" hidden="1" x14ac:dyDescent="0.2">
      <c r="A1970" s="2612"/>
      <c r="B1970" s="2613" t="s">
        <v>6758</v>
      </c>
      <c r="C1970" s="2614">
        <f>SUM(C1969)</f>
        <v>0</v>
      </c>
      <c r="D1970" s="2614">
        <f>SUM(D1969)</f>
        <v>0</v>
      </c>
      <c r="E1970" s="2614">
        <f>SUM(E1969)</f>
        <v>0</v>
      </c>
      <c r="F1970" s="2614">
        <f>SUM(F1969)</f>
        <v>0</v>
      </c>
      <c r="G1970" s="2614">
        <f>SUM(G1969)</f>
        <v>0</v>
      </c>
      <c r="H1970" s="2614">
        <f t="shared" ref="H1970:J1970" si="223">SUM(H1969)</f>
        <v>0</v>
      </c>
      <c r="I1970" s="2614">
        <f t="shared" si="223"/>
        <v>0</v>
      </c>
      <c r="J1970" s="2614">
        <f t="shared" si="223"/>
        <v>0</v>
      </c>
    </row>
    <row r="1971" spans="1:10" ht="14.25" hidden="1" x14ac:dyDescent="0.2">
      <c r="A1971" s="2236"/>
      <c r="B1971" s="2243"/>
      <c r="C1971" s="2244"/>
      <c r="D1971" s="2245"/>
      <c r="E1971" s="2244"/>
      <c r="F1971" s="2246"/>
      <c r="G1971" s="2244"/>
      <c r="H1971" s="2244"/>
      <c r="I1971" s="2238"/>
      <c r="J1971" s="2100" t="e">
        <f>VLOOKUP(A1971,'Trial Balance - FPer'!$A$7:$I$1126,3,FALSE)</f>
        <v>#N/A</v>
      </c>
    </row>
    <row r="1972" spans="1:10" ht="14.25" hidden="1" x14ac:dyDescent="0.2">
      <c r="A1972" s="2236"/>
      <c r="B1972" s="2242" t="s">
        <v>6837</v>
      </c>
      <c r="C1972" s="2244"/>
      <c r="D1972" s="2245"/>
      <c r="E1972" s="2244"/>
      <c r="F1972" s="2246"/>
      <c r="G1972" s="2244"/>
      <c r="H1972" s="2244"/>
      <c r="I1972" s="2238"/>
      <c r="J1972" s="2100" t="e">
        <f>VLOOKUP(A1972,'Trial Balance - FPer'!$A$7:$I$1126,3,FALSE)</f>
        <v>#N/A</v>
      </c>
    </row>
    <row r="1973" spans="1:10" ht="14.25" hidden="1" x14ac:dyDescent="0.2">
      <c r="A1973" s="2236" t="s">
        <v>5844</v>
      </c>
      <c r="B1973" s="2247" t="s">
        <v>6760</v>
      </c>
      <c r="C1973" s="2248">
        <v>0</v>
      </c>
      <c r="D1973" s="2249">
        <v>0</v>
      </c>
      <c r="E1973" s="2248">
        <v>0</v>
      </c>
      <c r="F1973" s="2250">
        <v>0</v>
      </c>
      <c r="G1973" s="2248">
        <v>0</v>
      </c>
      <c r="H1973" s="2244"/>
      <c r="I1973" s="2238">
        <f>VLOOKUP(A1973,'Trial Balance - FPer'!$A$7:$I$1107,7,FALSE)</f>
        <v>0</v>
      </c>
      <c r="J1973" s="2100">
        <f>VLOOKUP(A1973,'Trial Balance - FPer'!$A$7:$I$1126,3,FALSE)</f>
        <v>0</v>
      </c>
    </row>
    <row r="1974" spans="1:10" s="2615" customFormat="1" hidden="1" x14ac:dyDescent="0.2">
      <c r="A1974" s="2612"/>
      <c r="B1974" s="2613" t="s">
        <v>6838</v>
      </c>
      <c r="C1974" s="2614">
        <f>SUM(C1973)</f>
        <v>0</v>
      </c>
      <c r="D1974" s="2614">
        <f>SUM(D1973)</f>
        <v>0</v>
      </c>
      <c r="E1974" s="2614">
        <f>SUM(E1973)</f>
        <v>0</v>
      </c>
      <c r="F1974" s="2614">
        <f>SUM(F1973)</f>
        <v>0</v>
      </c>
      <c r="G1974" s="2614">
        <f>SUM(G1973)</f>
        <v>0</v>
      </c>
      <c r="H1974" s="2614">
        <f t="shared" ref="H1974:J1974" si="224">SUM(H1973)</f>
        <v>0</v>
      </c>
      <c r="I1974" s="2614">
        <f t="shared" si="224"/>
        <v>0</v>
      </c>
      <c r="J1974" s="2614">
        <f t="shared" si="224"/>
        <v>0</v>
      </c>
    </row>
    <row r="1975" spans="1:10" ht="14.25" hidden="1" x14ac:dyDescent="0.2">
      <c r="A1975" s="2236"/>
      <c r="B1975" s="2243"/>
      <c r="C1975" s="2244"/>
      <c r="D1975" s="2245"/>
      <c r="E1975" s="2244"/>
      <c r="F1975" s="2246"/>
      <c r="G1975" s="2244"/>
      <c r="H1975" s="2244"/>
      <c r="I1975" s="2238"/>
      <c r="J1975" s="2100" t="e">
        <f>VLOOKUP(A1975,'Trial Balance - FPer'!$A$7:$I$1126,3,FALSE)</f>
        <v>#N/A</v>
      </c>
    </row>
    <row r="1976" spans="1:10" ht="14.25" hidden="1" x14ac:dyDescent="0.2">
      <c r="A1976" s="2236"/>
      <c r="B1976" s="2242" t="s">
        <v>646</v>
      </c>
      <c r="C1976" s="2244"/>
      <c r="D1976" s="2245"/>
      <c r="E1976" s="2244"/>
      <c r="F1976" s="2246"/>
      <c r="G1976" s="2244"/>
      <c r="H1976" s="2244"/>
      <c r="I1976" s="2238"/>
      <c r="J1976" s="2100" t="e">
        <f>VLOOKUP(A1976,'Trial Balance - FPer'!$A$7:$I$1126,3,FALSE)</f>
        <v>#N/A</v>
      </c>
    </row>
    <row r="1977" spans="1:10" ht="14.25" hidden="1" x14ac:dyDescent="0.2">
      <c r="A1977" s="2236" t="s">
        <v>5845</v>
      </c>
      <c r="B1977" s="2247" t="s">
        <v>6839</v>
      </c>
      <c r="C1977" s="2248">
        <f>'[2]Data File'!$C$1935</f>
        <v>0</v>
      </c>
      <c r="D1977" s="2249">
        <v>0</v>
      </c>
      <c r="E1977" s="2248">
        <v>0</v>
      </c>
      <c r="F1977" s="2250">
        <v>2315.79</v>
      </c>
      <c r="G1977" s="2248">
        <v>0</v>
      </c>
      <c r="H1977" s="2100">
        <v>2315.79</v>
      </c>
      <c r="I1977" s="2238">
        <f>VLOOKUP(A1977,'Trial Balance - FPer'!$A$7:$I$1107,7,FALSE)</f>
        <v>0</v>
      </c>
      <c r="J1977" s="2100">
        <f>VLOOKUP(A1977,'Trial Balance - FPer'!$A$7:$I$1126,3,FALSE)</f>
        <v>0</v>
      </c>
    </row>
    <row r="1978" spans="1:10" s="2615" customFormat="1" hidden="1" x14ac:dyDescent="0.2">
      <c r="A1978" s="2612"/>
      <c r="B1978" s="2613" t="s">
        <v>6840</v>
      </c>
      <c r="C1978" s="2614">
        <f>SUM(C1977)</f>
        <v>0</v>
      </c>
      <c r="D1978" s="2614">
        <f>SUM(D1977)</f>
        <v>0</v>
      </c>
      <c r="E1978" s="2614">
        <f>SUM(E1977)</f>
        <v>0</v>
      </c>
      <c r="F1978" s="2614">
        <f>SUM(F1977)</f>
        <v>2315.79</v>
      </c>
      <c r="G1978" s="2614">
        <f>SUM(G1977)</f>
        <v>0</v>
      </c>
      <c r="H1978" s="2614">
        <f t="shared" ref="H1978:J1978" si="225">SUM(H1977)</f>
        <v>2315.79</v>
      </c>
      <c r="I1978" s="2614">
        <f t="shared" si="225"/>
        <v>0</v>
      </c>
      <c r="J1978" s="2614">
        <f t="shared" si="225"/>
        <v>0</v>
      </c>
    </row>
    <row r="1979" spans="1:10" ht="14.25" hidden="1" x14ac:dyDescent="0.2">
      <c r="A1979" s="2236"/>
      <c r="B1979" s="2243"/>
      <c r="C1979" s="2244"/>
      <c r="D1979" s="2245"/>
      <c r="E1979" s="2244"/>
      <c r="F1979" s="2246"/>
      <c r="G1979" s="2244"/>
      <c r="H1979" s="2244"/>
      <c r="I1979" s="2238"/>
      <c r="J1979" s="2100" t="e">
        <f>VLOOKUP(A1979,'Trial Balance - FPer'!$A$7:$I$1126,3,FALSE)</f>
        <v>#N/A</v>
      </c>
    </row>
    <row r="1980" spans="1:10" ht="14.25" hidden="1" x14ac:dyDescent="0.2">
      <c r="A1980" s="2236"/>
      <c r="B1980" s="2242" t="s">
        <v>6681</v>
      </c>
      <c r="C1980" s="2244"/>
      <c r="D1980" s="2245"/>
      <c r="E1980" s="2244"/>
      <c r="F1980" s="2246"/>
      <c r="G1980" s="2244"/>
      <c r="H1980" s="2244"/>
      <c r="I1980" s="2238"/>
      <c r="J1980" s="2100" t="e">
        <f>VLOOKUP(A1980,'Trial Balance - FPer'!$A$7:$I$1126,3,FALSE)</f>
        <v>#N/A</v>
      </c>
    </row>
    <row r="1981" spans="1:10" ht="14.25" hidden="1" x14ac:dyDescent="0.2">
      <c r="A1981" s="2236" t="s">
        <v>5847</v>
      </c>
      <c r="B1981" s="2243" t="s">
        <v>6841</v>
      </c>
      <c r="C1981" s="2244">
        <v>0</v>
      </c>
      <c r="D1981" s="2245">
        <v>0</v>
      </c>
      <c r="E1981" s="2244">
        <v>0</v>
      </c>
      <c r="F1981" s="2246">
        <v>0</v>
      </c>
      <c r="G1981" s="2244">
        <v>0</v>
      </c>
      <c r="H1981" s="2244"/>
      <c r="I1981" s="2238">
        <f>VLOOKUP(A1981,'Trial Balance - FPer'!$A$7:$I$1107,7,FALSE)</f>
        <v>0</v>
      </c>
      <c r="J1981" s="2100">
        <f>VLOOKUP(A1981,'Trial Balance - FPer'!$A$7:$I$1126,3,FALSE)</f>
        <v>429656.62</v>
      </c>
    </row>
    <row r="1982" spans="1:10" ht="14.25" hidden="1" x14ac:dyDescent="0.2">
      <c r="A1982" s="2605" t="s">
        <v>5848</v>
      </c>
      <c r="B1982" s="2606" t="s">
        <v>6240</v>
      </c>
      <c r="C1982" s="2602">
        <f>'[2]Data File'!$C$1962</f>
        <v>0</v>
      </c>
      <c r="D1982" s="2602">
        <v>9543730.4000000004</v>
      </c>
      <c r="E1982" s="2602">
        <v>0</v>
      </c>
      <c r="F1982" s="2602">
        <v>2850659.99</v>
      </c>
      <c r="G1982" s="2602">
        <v>2395475.2000000002</v>
      </c>
      <c r="H1982" s="2602"/>
      <c r="I1982" s="2238"/>
      <c r="J1982" s="2100">
        <f>VLOOKUP(A1982,'Trial Balance - FPer'!$A$7:$I$1126,3,FALSE)</f>
        <v>0</v>
      </c>
    </row>
    <row r="1983" spans="1:10" ht="14.25" hidden="1" x14ac:dyDescent="0.2">
      <c r="A1983" s="2236"/>
      <c r="B1983" s="2247" t="s">
        <v>6842</v>
      </c>
      <c r="C1983" s="2248"/>
      <c r="D1983" s="2249"/>
      <c r="E1983" s="2248"/>
      <c r="F1983" s="2250">
        <v>776553</v>
      </c>
      <c r="G1983" s="2248"/>
      <c r="H1983" s="2244"/>
      <c r="I1983" s="2238"/>
      <c r="J1983" s="2100" t="e">
        <f>VLOOKUP(A1983,'Trial Balance - FPer'!$A$7:$I$1126,3,FALSE)</f>
        <v>#N/A</v>
      </c>
    </row>
    <row r="1984" spans="1:10" s="2615" customFormat="1" hidden="1" x14ac:dyDescent="0.2">
      <c r="A1984" s="2612"/>
      <c r="B1984" s="2613" t="s">
        <v>6684</v>
      </c>
      <c r="C1984" s="2614">
        <f>SUM(C1981:C1982)</f>
        <v>0</v>
      </c>
      <c r="D1984" s="2614">
        <f>SUM(D1981:D1982)</f>
        <v>9543730.4000000004</v>
      </c>
      <c r="E1984" s="2614">
        <f>SUM(E1981:E1982)</f>
        <v>0</v>
      </c>
      <c r="F1984" s="2614">
        <f>SUM(F1981:F1983)</f>
        <v>3627212.99</v>
      </c>
      <c r="G1984" s="2614">
        <f>SUM(G1981:G1982)</f>
        <v>2395475.2000000002</v>
      </c>
      <c r="H1984" s="2614">
        <f t="shared" ref="H1984:J1984" si="226">SUM(H1981:H1982)</f>
        <v>0</v>
      </c>
      <c r="I1984" s="2614">
        <f t="shared" si="226"/>
        <v>0</v>
      </c>
      <c r="J1984" s="2614">
        <f t="shared" si="226"/>
        <v>429656.62</v>
      </c>
    </row>
    <row r="1985" spans="1:10" ht="14.25" hidden="1" x14ac:dyDescent="0.2">
      <c r="A1985" s="2236"/>
      <c r="B1985" s="2243"/>
      <c r="C1985" s="2244"/>
      <c r="D1985" s="2245"/>
      <c r="E1985" s="2244"/>
      <c r="F1985" s="2246"/>
      <c r="G1985" s="2244"/>
      <c r="H1985" s="2244"/>
      <c r="I1985" s="2238"/>
      <c r="J1985" s="2100" t="e">
        <f>VLOOKUP(A1985,'Trial Balance - FPer'!$A$7:$I$1126,3,FALSE)</f>
        <v>#N/A</v>
      </c>
    </row>
    <row r="1986" spans="1:10" ht="14.25" hidden="1" x14ac:dyDescent="0.2">
      <c r="A1986" s="2236"/>
      <c r="B1986" s="2242" t="s">
        <v>6599</v>
      </c>
      <c r="C1986" s="2244"/>
      <c r="D1986" s="2245"/>
      <c r="E1986" s="2244"/>
      <c r="F1986" s="2246"/>
      <c r="G1986" s="2244"/>
      <c r="H1986" s="2244"/>
      <c r="I1986" s="2238"/>
      <c r="J1986" s="2100" t="e">
        <f>VLOOKUP(A1986,'Trial Balance - FPer'!$A$7:$I$1126,3,FALSE)</f>
        <v>#N/A</v>
      </c>
    </row>
    <row r="1987" spans="1:10" ht="14.25" hidden="1" x14ac:dyDescent="0.2">
      <c r="A1987" s="2236" t="s">
        <v>5850</v>
      </c>
      <c r="B1987" s="2243" t="s">
        <v>6601</v>
      </c>
      <c r="C1987" s="2244">
        <f>'[2]Data File'!$C$1914</f>
        <v>80</v>
      </c>
      <c r="D1987" s="2245">
        <v>2067.98</v>
      </c>
      <c r="E1987" s="2244">
        <v>51.75</v>
      </c>
      <c r="F1987" s="2246">
        <v>23227.79</v>
      </c>
      <c r="G1987" s="2253">
        <v>595.64</v>
      </c>
      <c r="H1987" s="2100">
        <v>23227.79</v>
      </c>
      <c r="I1987" s="2238">
        <f>VLOOKUP(A1987,'Trial Balance - FPer'!$A$7:$I$1107,7,FALSE)</f>
        <v>23227.79</v>
      </c>
      <c r="J1987" s="2100">
        <f>VLOOKUP(A1987,'Trial Balance - FPer'!$A$7:$I$1126,3,FALSE)</f>
        <v>80</v>
      </c>
    </row>
    <row r="1988" spans="1:10" ht="14.25" hidden="1" x14ac:dyDescent="0.2">
      <c r="A1988" s="2236" t="s">
        <v>5851</v>
      </c>
      <c r="B1988" s="2243" t="s">
        <v>6105</v>
      </c>
      <c r="C1988" s="2244">
        <v>0</v>
      </c>
      <c r="D1988" s="2245">
        <v>0</v>
      </c>
      <c r="E1988" s="2244">
        <v>0</v>
      </c>
      <c r="F1988" s="2246">
        <v>0</v>
      </c>
      <c r="G1988" s="2253">
        <v>0</v>
      </c>
      <c r="H1988" s="2100">
        <v>0</v>
      </c>
      <c r="I1988" s="2238">
        <f>VLOOKUP(A1988,'Trial Balance - FPer'!$A$7:$I$1107,7,FALSE)</f>
        <v>175.44</v>
      </c>
      <c r="J1988" s="2100">
        <f>VLOOKUP(A1988,'Trial Balance - FPer'!$A$7:$I$1126,3,FALSE)</f>
        <v>0</v>
      </c>
    </row>
    <row r="1989" spans="1:10" ht="14.25" hidden="1" x14ac:dyDescent="0.2">
      <c r="A1989" s="2236" t="s">
        <v>5852</v>
      </c>
      <c r="B1989" s="2243" t="s">
        <v>6826</v>
      </c>
      <c r="C1989" s="2244">
        <f>'[2]Data File'!$C$1916</f>
        <v>0</v>
      </c>
      <c r="D1989" s="2245">
        <v>0</v>
      </c>
      <c r="E1989" s="2244">
        <v>0</v>
      </c>
      <c r="F1989" s="2246">
        <v>0</v>
      </c>
      <c r="G1989" s="2253">
        <v>0</v>
      </c>
      <c r="H1989" s="2100">
        <v>0</v>
      </c>
      <c r="I1989" s="2238">
        <f>VLOOKUP(A1989,'Trial Balance - FPer'!$A$7:$I$1107,7,FALSE)</f>
        <v>0</v>
      </c>
      <c r="J1989" s="2100">
        <f>VLOOKUP(A1989,'Trial Balance - FPer'!$A$7:$I$1126,3,FALSE)</f>
        <v>0</v>
      </c>
    </row>
    <row r="1990" spans="1:10" ht="14.25" hidden="1" x14ac:dyDescent="0.2">
      <c r="A1990" s="2236" t="s">
        <v>5853</v>
      </c>
      <c r="B1990" s="2243" t="s">
        <v>1101</v>
      </c>
      <c r="C1990" s="2244">
        <f>'[2]Data File'!$C$1917</f>
        <v>15000</v>
      </c>
      <c r="D1990" s="2245">
        <v>33000</v>
      </c>
      <c r="E1990" s="2244">
        <v>5299.73</v>
      </c>
      <c r="F1990" s="2246">
        <v>5299.73</v>
      </c>
      <c r="G1990" s="2253">
        <v>16253.17</v>
      </c>
      <c r="H1990" s="2100">
        <v>5299.73</v>
      </c>
      <c r="I1990" s="2238">
        <f>VLOOKUP(A1990,'Trial Balance - FPer'!$A$7:$I$1107,7,FALSE)</f>
        <v>14083.67</v>
      </c>
      <c r="J1990" s="2100">
        <f>VLOOKUP(A1990,'Trial Balance - FPer'!$A$7:$I$1126,3,FALSE)</f>
        <v>15000</v>
      </c>
    </row>
    <row r="1991" spans="1:10" ht="14.25" hidden="1" x14ac:dyDescent="0.2">
      <c r="A1991" s="2236" t="s">
        <v>5854</v>
      </c>
      <c r="B1991" s="2243" t="s">
        <v>6762</v>
      </c>
      <c r="C1991" s="2244">
        <f>'[2]Data File'!$C$1918</f>
        <v>0</v>
      </c>
      <c r="D1991" s="2245">
        <v>0</v>
      </c>
      <c r="E1991" s="2244">
        <v>0</v>
      </c>
      <c r="F1991" s="2246">
        <v>0</v>
      </c>
      <c r="G1991" s="2253">
        <v>0</v>
      </c>
      <c r="H1991" s="2100">
        <v>0</v>
      </c>
      <c r="I1991" s="2238">
        <f>VLOOKUP(A1991,'Trial Balance - FPer'!$A$7:$I$1107,7,FALSE)</f>
        <v>0</v>
      </c>
      <c r="J1991" s="2100">
        <f>VLOOKUP(A1991,'Trial Balance - FPer'!$A$7:$I$1126,3,FALSE)</f>
        <v>0</v>
      </c>
    </row>
    <row r="1992" spans="1:10" ht="14.25" hidden="1" x14ac:dyDescent="0.2">
      <c r="A1992" s="2236" t="s">
        <v>5855</v>
      </c>
      <c r="B1992" s="2243" t="s">
        <v>6605</v>
      </c>
      <c r="C1992" s="2244">
        <f>'[2]Data File'!$C$1919</f>
        <v>0</v>
      </c>
      <c r="D1992" s="2245">
        <v>0</v>
      </c>
      <c r="E1992" s="2244">
        <v>0</v>
      </c>
      <c r="F1992" s="2246">
        <v>0</v>
      </c>
      <c r="G1992" s="2253">
        <v>0</v>
      </c>
      <c r="H1992" s="2100">
        <v>0</v>
      </c>
      <c r="I1992" s="2238">
        <f>VLOOKUP(A1992,'Trial Balance - FPer'!$A$7:$I$1107,7,FALSE)</f>
        <v>0</v>
      </c>
      <c r="J1992" s="2100">
        <f>VLOOKUP(A1992,'Trial Balance - FPer'!$A$7:$I$1126,3,FALSE)</f>
        <v>0</v>
      </c>
    </row>
    <row r="1993" spans="1:10" ht="14.25" hidden="1" x14ac:dyDescent="0.2">
      <c r="A1993" s="2236" t="s">
        <v>5856</v>
      </c>
      <c r="B1993" s="2243" t="s">
        <v>6608</v>
      </c>
      <c r="C1993" s="2244">
        <f>'[2]Data File'!$C$1920</f>
        <v>11652.13</v>
      </c>
      <c r="D1993" s="2245">
        <v>18690.21</v>
      </c>
      <c r="E1993" s="2244">
        <v>19955.78</v>
      </c>
      <c r="F1993" s="2246">
        <v>50000</v>
      </c>
      <c r="G1993" s="2253">
        <v>34709.629999999997</v>
      </c>
      <c r="H1993" s="2100">
        <v>36065.78</v>
      </c>
      <c r="I1993" s="2238">
        <f>VLOOKUP(A1993,'Trial Balance - FPer'!$A$7:$I$1107,7,FALSE)</f>
        <v>0</v>
      </c>
      <c r="J1993" s="2100">
        <f>VLOOKUP(A1993,'Trial Balance - FPer'!$A$7:$I$1126,3,FALSE)</f>
        <v>0</v>
      </c>
    </row>
    <row r="1994" spans="1:10" ht="14.25" hidden="1" x14ac:dyDescent="0.2">
      <c r="A1994" s="2236" t="s">
        <v>5857</v>
      </c>
      <c r="B1994" s="2243" t="s">
        <v>6027</v>
      </c>
      <c r="C1994" s="2244">
        <v>0</v>
      </c>
      <c r="D1994" s="2245">
        <v>0</v>
      </c>
      <c r="E1994" s="2244">
        <v>0</v>
      </c>
      <c r="F1994" s="2246">
        <v>0</v>
      </c>
      <c r="G1994" s="2253">
        <v>0</v>
      </c>
      <c r="H1994" s="2100">
        <v>0</v>
      </c>
      <c r="I1994" s="2238">
        <f>VLOOKUP(A1994,'Trial Balance - FPer'!$A$7:$I$1107,7,FALSE)</f>
        <v>0</v>
      </c>
      <c r="J1994" s="2100">
        <f>VLOOKUP(A1994,'Trial Balance - FPer'!$A$7:$I$1126,3,FALSE)</f>
        <v>20.309999999999999</v>
      </c>
    </row>
    <row r="1995" spans="1:10" ht="14.25" hidden="1" x14ac:dyDescent="0.2">
      <c r="A1995" s="2236" t="s">
        <v>5858</v>
      </c>
      <c r="B1995" s="2243" t="s">
        <v>6028</v>
      </c>
      <c r="C1995" s="2244">
        <f>'[2]Data File'!$C$1921</f>
        <v>0</v>
      </c>
      <c r="D1995" s="2245">
        <v>0</v>
      </c>
      <c r="E1995" s="2244">
        <v>0</v>
      </c>
      <c r="F1995" s="2246">
        <v>0</v>
      </c>
      <c r="G1995" s="2253">
        <v>0</v>
      </c>
      <c r="H1995" s="2100">
        <v>0</v>
      </c>
      <c r="I1995" s="2238">
        <f>VLOOKUP(A1995,'Trial Balance - FPer'!$A$7:$I$1107,7,FALSE)</f>
        <v>0</v>
      </c>
      <c r="J1995" s="2100">
        <f>VLOOKUP(A1995,'Trial Balance - FPer'!$A$7:$I$1126,3,FALSE)</f>
        <v>0</v>
      </c>
    </row>
    <row r="1996" spans="1:10" ht="14.25" hidden="1" x14ac:dyDescent="0.2">
      <c r="A1996" s="2236" t="s">
        <v>5859</v>
      </c>
      <c r="B1996" s="2243" t="s">
        <v>6843</v>
      </c>
      <c r="C1996" s="2244">
        <f>'[2]Data File'!$C$1922</f>
        <v>961831.89</v>
      </c>
      <c r="D1996" s="2245">
        <v>1112949.21</v>
      </c>
      <c r="E1996" s="2244">
        <v>393214.56</v>
      </c>
      <c r="F1996" s="2246">
        <v>1500000</v>
      </c>
      <c r="G1996" s="2253">
        <v>870724.52</v>
      </c>
      <c r="H1996" s="2100">
        <v>891125.65</v>
      </c>
      <c r="I1996" s="2238">
        <f>VLOOKUP(A1996,'Trial Balance - FPer'!$A$7:$I$1107,7,FALSE)</f>
        <v>2092086.55</v>
      </c>
      <c r="J1996" s="2100">
        <f>VLOOKUP(A1996,'Trial Balance - FPer'!$A$7:$I$1126,3,FALSE)</f>
        <v>961831.89</v>
      </c>
    </row>
    <row r="1997" spans="1:10" ht="14.25" hidden="1" x14ac:dyDescent="0.2">
      <c r="A1997" s="2236" t="s">
        <v>5861</v>
      </c>
      <c r="B1997" s="2243" t="s">
        <v>6609</v>
      </c>
      <c r="C1997" s="2244">
        <f>'[2]Data File'!$C$1923</f>
        <v>4647.25</v>
      </c>
      <c r="D1997" s="2245">
        <v>8251.65</v>
      </c>
      <c r="E1997" s="2244">
        <v>5060</v>
      </c>
      <c r="F1997" s="2246">
        <v>5060</v>
      </c>
      <c r="G1997" s="2253">
        <v>9680.42</v>
      </c>
      <c r="H1997" s="2100">
        <v>5060</v>
      </c>
      <c r="I1997" s="2238">
        <f>VLOOKUP(A1997,'Trial Balance - FPer'!$A$7:$I$1107,7,FALSE)</f>
        <v>12216.52</v>
      </c>
      <c r="J1997" s="2100">
        <f>VLOOKUP(A1997,'Trial Balance - FPer'!$A$7:$I$1126,3,FALSE)</f>
        <v>4647.25</v>
      </c>
    </row>
    <row r="1998" spans="1:10" ht="14.25" hidden="1" x14ac:dyDescent="0.2">
      <c r="A1998" s="2236" t="s">
        <v>5862</v>
      </c>
      <c r="B1998" s="2243" t="s">
        <v>6731</v>
      </c>
      <c r="C1998" s="2244">
        <f>'[2]Data File'!$C$1924</f>
        <v>0</v>
      </c>
      <c r="D1998" s="2245">
        <v>0</v>
      </c>
      <c r="E1998" s="2244">
        <v>0</v>
      </c>
      <c r="F1998" s="2246">
        <v>0</v>
      </c>
      <c r="G1998" s="2253">
        <v>0</v>
      </c>
      <c r="H1998" s="2100">
        <v>0</v>
      </c>
      <c r="I1998" s="2238">
        <f>VLOOKUP(A1998,'Trial Balance - FPer'!$A$7:$I$1107,7,FALSE)</f>
        <v>0</v>
      </c>
      <c r="J1998" s="2100">
        <f>VLOOKUP(A1998,'Trial Balance - FPer'!$A$7:$I$1126,3,FALSE)</f>
        <v>0</v>
      </c>
    </row>
    <row r="1999" spans="1:10" ht="14.25" hidden="1" x14ac:dyDescent="0.2">
      <c r="A1999" s="2236" t="s">
        <v>5863</v>
      </c>
      <c r="B1999" s="2243" t="s">
        <v>6610</v>
      </c>
      <c r="C1999" s="2244">
        <f>'[2]Data File'!$C$1925</f>
        <v>8362.24</v>
      </c>
      <c r="D1999" s="2245">
        <v>6206.49</v>
      </c>
      <c r="E1999" s="2244">
        <v>0</v>
      </c>
      <c r="F1999" s="2246">
        <v>12675.92</v>
      </c>
      <c r="G1999" s="2253">
        <v>1558.25</v>
      </c>
      <c r="H1999" s="2100">
        <v>12675.92</v>
      </c>
      <c r="I1999" s="2238">
        <f>VLOOKUP(A1999,'Trial Balance - FPer'!$A$7:$I$1107,7,FALSE)</f>
        <v>20103.68</v>
      </c>
      <c r="J1999" s="2100">
        <f>VLOOKUP(A1999,'Trial Balance - FPer'!$A$7:$I$1126,3,FALSE)</f>
        <v>8362.24</v>
      </c>
    </row>
    <row r="2000" spans="1:10" ht="14.25" hidden="1" x14ac:dyDescent="0.2">
      <c r="A2000" s="2236" t="s">
        <v>5864</v>
      </c>
      <c r="B2000" s="2243" t="s">
        <v>6732</v>
      </c>
      <c r="C2000" s="2244">
        <f>'[2]Data File'!$C$1926</f>
        <v>17754.060000000001</v>
      </c>
      <c r="D2000" s="2245">
        <v>541.54999999999995</v>
      </c>
      <c r="E2000" s="2244">
        <v>837</v>
      </c>
      <c r="F2000" s="2246">
        <v>837</v>
      </c>
      <c r="G2000" s="2253">
        <v>1393.68</v>
      </c>
      <c r="H2000" s="2100">
        <v>837</v>
      </c>
      <c r="I2000" s="2238">
        <f>VLOOKUP(A2000,'Trial Balance - FPer'!$A$7:$I$1107,7,FALSE)</f>
        <v>1655.42</v>
      </c>
      <c r="J2000" s="2100">
        <f>VLOOKUP(A2000,'Trial Balance - FPer'!$A$7:$I$1126,3,FALSE)</f>
        <v>17754.060000000001</v>
      </c>
    </row>
    <row r="2001" spans="1:10" ht="14.25" hidden="1" x14ac:dyDescent="0.2">
      <c r="A2001" s="2236" t="s">
        <v>5865</v>
      </c>
      <c r="B2001" s="2243" t="s">
        <v>6612</v>
      </c>
      <c r="C2001" s="2244">
        <f>'[2]Data File'!$C$1927</f>
        <v>0</v>
      </c>
      <c r="D2001" s="2245">
        <v>0</v>
      </c>
      <c r="E2001" s="2244">
        <v>0</v>
      </c>
      <c r="F2001" s="2246">
        <v>0</v>
      </c>
      <c r="G2001" s="2253">
        <v>0</v>
      </c>
      <c r="H2001" s="2100">
        <v>0</v>
      </c>
      <c r="I2001" s="2238">
        <f>VLOOKUP(A2001,'Trial Balance - FPer'!$A$7:$I$1107,7,FALSE)</f>
        <v>0</v>
      </c>
      <c r="J2001" s="2100">
        <f>VLOOKUP(A2001,'Trial Balance - FPer'!$A$7:$I$1126,3,FALSE)</f>
        <v>0</v>
      </c>
    </row>
    <row r="2002" spans="1:10" ht="14.25" hidden="1" x14ac:dyDescent="0.2">
      <c r="A2002" s="2236" t="s">
        <v>5866</v>
      </c>
      <c r="B2002" s="2243" t="s">
        <v>1792</v>
      </c>
      <c r="C2002" s="2244">
        <f>'[2]Data File'!$C$1928</f>
        <v>14788.37</v>
      </c>
      <c r="D2002" s="2245">
        <v>5225.97</v>
      </c>
      <c r="E2002" s="2244">
        <v>11430.88</v>
      </c>
      <c r="F2002" s="2246">
        <v>15000</v>
      </c>
      <c r="G2002" s="2253">
        <v>18496.560000000001</v>
      </c>
      <c r="H2002" s="2100">
        <v>11430.88</v>
      </c>
      <c r="I2002" s="2238">
        <f>VLOOKUP(A2002,'Trial Balance - FPer'!$A$7:$I$1107,7,FALSE)</f>
        <v>11698.25</v>
      </c>
      <c r="J2002" s="2100">
        <f>VLOOKUP(A2002,'Trial Balance - FPer'!$A$7:$I$1126,3,FALSE)</f>
        <v>14788.37</v>
      </c>
    </row>
    <row r="2003" spans="1:10" ht="14.25" hidden="1" x14ac:dyDescent="0.2">
      <c r="A2003" s="2236" t="s">
        <v>5868</v>
      </c>
      <c r="B2003" s="2243" t="s">
        <v>6613</v>
      </c>
      <c r="C2003" s="2244">
        <f>'[2]Data File'!$C$1930</f>
        <v>41984.62</v>
      </c>
      <c r="D2003" s="2245">
        <v>51396.23</v>
      </c>
      <c r="E2003" s="2244">
        <v>4618.7</v>
      </c>
      <c r="F2003" s="2246">
        <v>10000</v>
      </c>
      <c r="G2003" s="2253">
        <v>19846</v>
      </c>
      <c r="H2003" s="2100">
        <v>5866.1</v>
      </c>
      <c r="I2003" s="2238">
        <f>VLOOKUP(A2003,'Trial Balance - FPer'!$A$7:$I$1107,7,FALSE)</f>
        <v>23629.100000000002</v>
      </c>
      <c r="J2003" s="2100">
        <f>VLOOKUP(A2003,'Trial Balance - FPer'!$A$7:$I$1126,3,FALSE)</f>
        <v>41984.62</v>
      </c>
    </row>
    <row r="2004" spans="1:10" ht="14.25" hidden="1" x14ac:dyDescent="0.2">
      <c r="A2004" s="2236" t="s">
        <v>5869</v>
      </c>
      <c r="B2004" s="2243" t="s">
        <v>6033</v>
      </c>
      <c r="C2004" s="2244">
        <f>'[2]Data File'!$C$1931</f>
        <v>18157.22</v>
      </c>
      <c r="D2004" s="2245">
        <v>12872.49</v>
      </c>
      <c r="E2004" s="2244">
        <v>3761.48</v>
      </c>
      <c r="F2004" s="2246">
        <v>12872.49</v>
      </c>
      <c r="G2004" s="2253">
        <v>8891.0499999999993</v>
      </c>
      <c r="H2004" s="2100">
        <v>10181.36</v>
      </c>
      <c r="I2004" s="2238">
        <f>VLOOKUP(A2004,'Trial Balance - FPer'!$A$7:$I$1107,7,FALSE)</f>
        <v>0</v>
      </c>
      <c r="J2004" s="2100">
        <f>VLOOKUP(A2004,'Trial Balance - FPer'!$A$7:$I$1126,3,FALSE)</f>
        <v>0</v>
      </c>
    </row>
    <row r="2005" spans="1:10" ht="14.25" hidden="1" x14ac:dyDescent="0.2">
      <c r="A2005" s="2236" t="s">
        <v>5870</v>
      </c>
      <c r="B2005" s="2243" t="s">
        <v>6763</v>
      </c>
      <c r="C2005" s="2244">
        <f>'[2]Data File'!$C$1915</f>
        <v>119363.76</v>
      </c>
      <c r="D2005" s="2245">
        <v>139163.75</v>
      </c>
      <c r="E2005" s="2244">
        <v>457.85</v>
      </c>
      <c r="F2005" s="2246">
        <v>10000</v>
      </c>
      <c r="G2005" s="2253">
        <v>35617.26</v>
      </c>
      <c r="H2005" s="2100">
        <v>457.85</v>
      </c>
      <c r="I2005" s="2238">
        <f>VLOOKUP(A2005,'Trial Balance - FPer'!$A$7:$I$1107,7,FALSE)</f>
        <v>0</v>
      </c>
      <c r="J2005" s="2100">
        <f>VLOOKUP(A2005,'Trial Balance - FPer'!$A$7:$I$1126,3,FALSE)</f>
        <v>119363.76</v>
      </c>
    </row>
    <row r="2006" spans="1:10" ht="14.25" hidden="1" x14ac:dyDescent="0.2">
      <c r="A2006" s="2236" t="s">
        <v>5871</v>
      </c>
      <c r="B2006" s="2243" t="s">
        <v>6804</v>
      </c>
      <c r="C2006" s="2244">
        <v>0</v>
      </c>
      <c r="D2006" s="2245">
        <v>0</v>
      </c>
      <c r="E2006" s="2244">
        <v>0</v>
      </c>
      <c r="F2006" s="2246">
        <v>0</v>
      </c>
      <c r="G2006" s="2253">
        <v>0</v>
      </c>
      <c r="H2006" s="2100">
        <v>0</v>
      </c>
      <c r="I2006" s="2238">
        <f>VLOOKUP(A2006,'Trial Balance - FPer'!$A$7:$I$1107,7,FALSE)</f>
        <v>0</v>
      </c>
      <c r="J2006" s="2100">
        <f>VLOOKUP(A2006,'Trial Balance - FPer'!$A$7:$I$1126,3,FALSE)</f>
        <v>0</v>
      </c>
    </row>
    <row r="2007" spans="1:10" ht="14.25" hidden="1" x14ac:dyDescent="0.2">
      <c r="A2007" s="2599" t="s">
        <v>5872</v>
      </c>
      <c r="B2007" s="2600" t="s">
        <v>6764</v>
      </c>
      <c r="C2007" s="2601">
        <v>0</v>
      </c>
      <c r="D2007" s="2601">
        <v>0</v>
      </c>
      <c r="E2007" s="2601">
        <v>358500.6</v>
      </c>
      <c r="F2007" s="2601">
        <v>508500.6</v>
      </c>
      <c r="G2007" s="2602">
        <v>358500.6</v>
      </c>
      <c r="H2007" s="2598">
        <v>358500.6</v>
      </c>
      <c r="I2007" s="2238"/>
      <c r="J2007" s="2100"/>
    </row>
    <row r="2008" spans="1:10" ht="14.25" hidden="1" x14ac:dyDescent="0.2">
      <c r="A2008" s="2236" t="s">
        <v>5873</v>
      </c>
      <c r="B2008" s="2247" t="s">
        <v>6636</v>
      </c>
      <c r="C2008" s="2248">
        <f>'[2]Data File'!$C$1913</f>
        <v>0</v>
      </c>
      <c r="D2008" s="2249">
        <v>33104.9</v>
      </c>
      <c r="E2008" s="2248">
        <v>0</v>
      </c>
      <c r="F2008" s="2250">
        <v>0</v>
      </c>
      <c r="G2008" s="2248">
        <v>8308.4500000000007</v>
      </c>
      <c r="H2008" s="2100">
        <v>0</v>
      </c>
      <c r="I2008" s="2238">
        <f>VLOOKUP(A2008,'Trial Balance - FPer'!$A$7:$I$1107,7,FALSE)</f>
        <v>0</v>
      </c>
      <c r="J2008" s="2100" t="str">
        <f>VLOOKUP(A2008,'Trial Balance - FPer'!$A$7:$I$1126,3,FALSE)</f>
        <v xml:space="preserve">                               -  </v>
      </c>
    </row>
    <row r="2009" spans="1:10" s="2615" customFormat="1" hidden="1" x14ac:dyDescent="0.2">
      <c r="A2009" s="2612"/>
      <c r="B2009" s="2613" t="s">
        <v>6614</v>
      </c>
      <c r="C2009" s="2614">
        <f>SUM(C1987:C2008)</f>
        <v>1213621.54</v>
      </c>
      <c r="D2009" s="2614">
        <f>SUM(D1987:D2008)</f>
        <v>1423470.4299999997</v>
      </c>
      <c r="E2009" s="2614">
        <f>SUM(E1987:E2008)</f>
        <v>803188.33</v>
      </c>
      <c r="F2009" s="2614">
        <f>SUM(F1987:F2008)</f>
        <v>2153473.5299999998</v>
      </c>
      <c r="G2009" s="2614">
        <f>SUM(G1987:G2008)</f>
        <v>1384575.2300000002</v>
      </c>
      <c r="H2009" s="2614">
        <f t="shared" ref="H2009" si="227">SUM(H1987:H2008)</f>
        <v>1360728.6600000001</v>
      </c>
      <c r="I2009" s="2614">
        <f>SUM(I1987:I2008)</f>
        <v>2198876.4200000004</v>
      </c>
      <c r="J2009" s="2614">
        <f>SUM(J1987:J2008)</f>
        <v>1183832.5000000002</v>
      </c>
    </row>
    <row r="2010" spans="1:10" ht="14.25" hidden="1" x14ac:dyDescent="0.2">
      <c r="A2010" s="2236"/>
      <c r="B2010" s="2243"/>
      <c r="C2010" s="2244"/>
      <c r="D2010" s="2245"/>
      <c r="E2010" s="2244"/>
      <c r="F2010" s="2246"/>
      <c r="G2010" s="2244"/>
      <c r="H2010" s="2244"/>
      <c r="I2010" s="2238"/>
      <c r="J2010" s="2100" t="e">
        <f>VLOOKUP(A2010,'Trial Balance - FPer'!$A$7:$I$1126,3,FALSE)</f>
        <v>#N/A</v>
      </c>
    </row>
    <row r="2011" spans="1:10" ht="14.25" hidden="1" x14ac:dyDescent="0.2">
      <c r="A2011" s="2236"/>
      <c r="B2011" s="2242" t="s">
        <v>6615</v>
      </c>
      <c r="C2011" s="2244"/>
      <c r="D2011" s="2245"/>
      <c r="E2011" s="2244"/>
      <c r="F2011" s="2246"/>
      <c r="G2011" s="2244"/>
      <c r="H2011" s="2244"/>
      <c r="I2011" s="2238"/>
      <c r="J2011" s="2100" t="e">
        <f>VLOOKUP(A2011,'Trial Balance - FPer'!$A$7:$I$1126,3,FALSE)</f>
        <v>#N/A</v>
      </c>
    </row>
    <row r="2012" spans="1:10" ht="14.25" hidden="1" x14ac:dyDescent="0.2">
      <c r="A2012" s="2236" t="s">
        <v>5874</v>
      </c>
      <c r="B2012" s="2243" t="s">
        <v>6715</v>
      </c>
      <c r="C2012" s="2244">
        <f>'[2]Data File'!$C$1945</f>
        <v>60.53</v>
      </c>
      <c r="D2012" s="2245">
        <v>0</v>
      </c>
      <c r="E2012" s="2244">
        <v>0</v>
      </c>
      <c r="F2012" s="2246">
        <v>2148.5</v>
      </c>
      <c r="G2012" s="2244">
        <v>0</v>
      </c>
      <c r="H2012" s="2100">
        <v>2148.5</v>
      </c>
      <c r="I2012" s="2238">
        <f>VLOOKUP(A2012,'Trial Balance - FPer'!$A$7:$I$1107,7,FALSE)</f>
        <v>2148.5</v>
      </c>
      <c r="J2012" s="2100">
        <f>VLOOKUP(A2012,'Trial Balance - FPer'!$A$7:$I$1126,3,FALSE)</f>
        <v>60.53</v>
      </c>
    </row>
    <row r="2013" spans="1:10" ht="14.25" hidden="1" x14ac:dyDescent="0.2">
      <c r="A2013" s="2236" t="s">
        <v>5875</v>
      </c>
      <c r="B2013" s="2243" t="s">
        <v>6700</v>
      </c>
      <c r="C2013" s="2244">
        <f>'[2]Data File'!$C$1946</f>
        <v>39.82</v>
      </c>
      <c r="D2013" s="2245">
        <v>0</v>
      </c>
      <c r="E2013" s="2244">
        <v>0</v>
      </c>
      <c r="F2013" s="2246">
        <v>2810</v>
      </c>
      <c r="G2013" s="2244">
        <v>0</v>
      </c>
      <c r="H2013" s="2100">
        <v>2810</v>
      </c>
      <c r="I2013" s="2238">
        <f>VLOOKUP(A2013,'Trial Balance - FPer'!$A$7:$I$1107,7,FALSE)</f>
        <v>2866.66</v>
      </c>
      <c r="J2013" s="2100">
        <f>VLOOKUP(A2013,'Trial Balance - FPer'!$A$7:$I$1126,3,FALSE)</f>
        <v>39.82</v>
      </c>
    </row>
    <row r="2014" spans="1:10" ht="14.25" hidden="1" x14ac:dyDescent="0.2">
      <c r="A2014" s="2236" t="s">
        <v>5876</v>
      </c>
      <c r="B2014" s="2243" t="s">
        <v>6844</v>
      </c>
      <c r="C2014" s="2244">
        <f>'[2]Data File'!$C$1947</f>
        <v>0</v>
      </c>
      <c r="D2014" s="2245">
        <v>0</v>
      </c>
      <c r="E2014" s="2244">
        <v>0</v>
      </c>
      <c r="F2014" s="2246">
        <v>0</v>
      </c>
      <c r="G2014" s="2244">
        <v>0</v>
      </c>
      <c r="H2014" s="2100">
        <v>0</v>
      </c>
      <c r="I2014" s="2238">
        <f>VLOOKUP(A2014,'Trial Balance - FPer'!$A$7:$I$1107,7,FALSE)</f>
        <v>0</v>
      </c>
      <c r="J2014" s="2100" t="str">
        <f>VLOOKUP(A2014,'Trial Balance - FPer'!$A$7:$I$1126,3,FALSE)</f>
        <v xml:space="preserve">                               -  </v>
      </c>
    </row>
    <row r="2015" spans="1:10" ht="14.25" hidden="1" x14ac:dyDescent="0.2">
      <c r="A2015" s="2236" t="s">
        <v>5877</v>
      </c>
      <c r="B2015" s="2243" t="s">
        <v>6617</v>
      </c>
      <c r="C2015" s="2244">
        <f>'[2]Data File'!$C$1948</f>
        <v>9920.2000000000007</v>
      </c>
      <c r="D2015" s="2245">
        <v>17561.72</v>
      </c>
      <c r="E2015" s="2244">
        <v>27137.49</v>
      </c>
      <c r="F2015" s="2246">
        <v>45000</v>
      </c>
      <c r="G2015" s="2244">
        <v>45214.43</v>
      </c>
      <c r="H2015" s="2100">
        <v>38895.03</v>
      </c>
      <c r="I2015" s="2238">
        <f>VLOOKUP(A2015,'Trial Balance - FPer'!$A$7:$I$1107,7,FALSE)</f>
        <v>47495.12</v>
      </c>
      <c r="J2015" s="2100">
        <f>VLOOKUP(A2015,'Trial Balance - FPer'!$A$7:$I$1126,3,FALSE)</f>
        <v>9920.2000000000007</v>
      </c>
    </row>
    <row r="2016" spans="1:10" ht="14.25" hidden="1" x14ac:dyDescent="0.2">
      <c r="A2016" s="2236" t="s">
        <v>5878</v>
      </c>
      <c r="B2016" s="2243" t="s">
        <v>6845</v>
      </c>
      <c r="C2016" s="2244">
        <f>'[2]Data File'!$C$1949</f>
        <v>282169.65999999997</v>
      </c>
      <c r="D2016" s="2245">
        <v>0</v>
      </c>
      <c r="E2016" s="2244">
        <v>0</v>
      </c>
      <c r="F2016" s="2246">
        <v>0</v>
      </c>
      <c r="G2016" s="2244">
        <v>0</v>
      </c>
      <c r="H2016" s="2100">
        <v>0</v>
      </c>
      <c r="I2016" s="2238">
        <f>VLOOKUP(A2016,'Trial Balance - FPer'!$A$7:$I$1107,7,FALSE)</f>
        <v>95582.550000000017</v>
      </c>
      <c r="J2016" s="2100">
        <f>VLOOKUP(A2016,'Trial Balance - FPer'!$A$7:$I$1126,3,FALSE)</f>
        <v>282169.65999999997</v>
      </c>
    </row>
    <row r="2017" spans="1:10" ht="14.25" hidden="1" x14ac:dyDescent="0.2">
      <c r="A2017" s="2236" t="s">
        <v>5879</v>
      </c>
      <c r="B2017" s="2247" t="s">
        <v>6821</v>
      </c>
      <c r="C2017" s="2248">
        <f>'[2]Data File'!$C$1950</f>
        <v>24266.66</v>
      </c>
      <c r="D2017" s="2249">
        <v>0</v>
      </c>
      <c r="E2017" s="2248">
        <v>61369.95</v>
      </c>
      <c r="F2017" s="2250">
        <v>150000</v>
      </c>
      <c r="G2017" s="2248">
        <v>61369.95</v>
      </c>
      <c r="H2017" s="2100">
        <v>83630.899999999994</v>
      </c>
      <c r="I2017" s="2238">
        <f>VLOOKUP(A2017,'Trial Balance - FPer'!$A$7:$I$1107,7,FALSE)</f>
        <v>110477.54999999999</v>
      </c>
      <c r="J2017" s="2100">
        <f>VLOOKUP(A2017,'Trial Balance - FPer'!$A$7:$I$1126,3,FALSE)</f>
        <v>24266.66</v>
      </c>
    </row>
    <row r="2018" spans="1:10" s="2615" customFormat="1" hidden="1" x14ac:dyDescent="0.2">
      <c r="A2018" s="2612"/>
      <c r="B2018" s="2613" t="s">
        <v>6618</v>
      </c>
      <c r="C2018" s="2614">
        <f>SUM(C2012:C2017)</f>
        <v>316456.86999999994</v>
      </c>
      <c r="D2018" s="2614">
        <f>SUM(D2012:D2017)</f>
        <v>17561.72</v>
      </c>
      <c r="E2018" s="2614">
        <f>SUM(E2012:E2017)</f>
        <v>88507.44</v>
      </c>
      <c r="F2018" s="2614">
        <f>SUM(F2012:F2017)</f>
        <v>199958.5</v>
      </c>
      <c r="G2018" s="2614">
        <f>SUM(G2012:G2017)</f>
        <v>106584.38</v>
      </c>
      <c r="H2018" s="2614">
        <f t="shared" ref="H2018" si="228">SUM(H2012:H2017)</f>
        <v>127484.43</v>
      </c>
      <c r="I2018" s="2614">
        <f>SUM(I2012:I2017)</f>
        <v>258570.38</v>
      </c>
      <c r="J2018" s="2614">
        <f>SUM(J2012:J2017)</f>
        <v>316456.86999999994</v>
      </c>
    </row>
    <row r="2019" spans="1:10" ht="14.25" hidden="1" x14ac:dyDescent="0.2">
      <c r="A2019" s="2236"/>
      <c r="B2019" s="2243"/>
      <c r="C2019" s="2244"/>
      <c r="D2019" s="2245"/>
      <c r="E2019" s="2244"/>
      <c r="F2019" s="2246"/>
      <c r="G2019" s="2244"/>
      <c r="H2019" s="2244"/>
      <c r="I2019" s="2238"/>
      <c r="J2019" s="2100" t="e">
        <f>VLOOKUP(A2019,'Trial Balance - FPer'!$A$7:$I$1126,3,FALSE)</f>
        <v>#N/A</v>
      </c>
    </row>
    <row r="2020" spans="1:10" ht="14.25" hidden="1" x14ac:dyDescent="0.2">
      <c r="A2020" s="2236"/>
      <c r="B2020" s="2242" t="s">
        <v>6619</v>
      </c>
      <c r="C2020" s="2244"/>
      <c r="D2020" s="2245"/>
      <c r="E2020" s="2244"/>
      <c r="F2020" s="2246"/>
      <c r="G2020" s="2244"/>
      <c r="H2020" s="2244"/>
      <c r="I2020" s="2238"/>
      <c r="J2020" s="2100" t="e">
        <f>VLOOKUP(A2020,'Trial Balance - FPer'!$A$7:$I$1126,3,FALSE)</f>
        <v>#N/A</v>
      </c>
    </row>
    <row r="2021" spans="1:10" ht="14.25" hidden="1" x14ac:dyDescent="0.2">
      <c r="A2021" s="2236" t="s">
        <v>5880</v>
      </c>
      <c r="B2021" s="2243" t="s">
        <v>6701</v>
      </c>
      <c r="C2021" s="2244">
        <f>'[2]Data File'!$C$1957</f>
        <v>12421478.710000001</v>
      </c>
      <c r="D2021" s="2245">
        <v>0</v>
      </c>
      <c r="E2021" s="2244">
        <v>0</v>
      </c>
      <c r="F2021" s="2246">
        <v>0</v>
      </c>
      <c r="G2021" s="2244">
        <v>0</v>
      </c>
      <c r="H2021" s="2100">
        <v>0</v>
      </c>
      <c r="I2021" s="2238">
        <f>VLOOKUP(A2021,'Trial Balance - FPer'!$A$7:$I$1107,7,FALSE)</f>
        <v>30973199.599999994</v>
      </c>
      <c r="J2021" s="2100">
        <f>VLOOKUP(A2021,'Trial Balance - FPer'!$A$7:$I$1126,3,FALSE)</f>
        <v>12421478.710000001</v>
      </c>
    </row>
    <row r="2022" spans="1:10" ht="14.25" hidden="1" x14ac:dyDescent="0.2">
      <c r="A2022" s="2236" t="s">
        <v>5881</v>
      </c>
      <c r="B2022" s="2243" t="s">
        <v>6620</v>
      </c>
      <c r="C2022" s="2244">
        <f>'[2]Data File'!$C$1954</f>
        <v>536888.97</v>
      </c>
      <c r="D2022" s="2245">
        <v>652.45000000000005</v>
      </c>
      <c r="E2022" s="2244">
        <v>0</v>
      </c>
      <c r="F2022" s="2246">
        <v>652.4</v>
      </c>
      <c r="G2022" s="2244">
        <v>164.23</v>
      </c>
      <c r="H2022" s="2100">
        <v>0</v>
      </c>
      <c r="I2022" s="2238">
        <f>VLOOKUP(A2022,'Trial Balance - FPer'!$A$7:$I$1107,7,FALSE)</f>
        <v>0</v>
      </c>
      <c r="J2022" s="2100">
        <f>VLOOKUP(A2022,'Trial Balance - FPer'!$A$7:$I$1126,3,FALSE)</f>
        <v>536888.97</v>
      </c>
    </row>
    <row r="2023" spans="1:10" ht="14.25" hidden="1" x14ac:dyDescent="0.2">
      <c r="A2023" s="2236" t="s">
        <v>5882</v>
      </c>
      <c r="B2023" s="2243" t="s">
        <v>6621</v>
      </c>
      <c r="C2023" s="2244">
        <f>'[2]Data File'!$C$1956</f>
        <v>11265.56</v>
      </c>
      <c r="D2023" s="2245">
        <v>18492.419999999998</v>
      </c>
      <c r="E2023" s="2244">
        <v>0</v>
      </c>
      <c r="F2023" s="2246">
        <v>18492.419999999998</v>
      </c>
      <c r="G2023" s="2244">
        <v>4641.21</v>
      </c>
      <c r="H2023" s="2100">
        <v>0</v>
      </c>
      <c r="I2023" s="2238">
        <f>VLOOKUP(A2023,'Trial Balance - FPer'!$A$7:$I$1107,7,FALSE)</f>
        <v>0</v>
      </c>
      <c r="J2023" s="2100">
        <f>VLOOKUP(A2023,'Trial Balance - FPer'!$A$7:$I$1126,3,FALSE)</f>
        <v>11265.56</v>
      </c>
    </row>
    <row r="2024" spans="1:10" ht="14.25" hidden="1" x14ac:dyDescent="0.2">
      <c r="A2024" s="2236" t="s">
        <v>5883</v>
      </c>
      <c r="B2024" s="2247" t="s">
        <v>6846</v>
      </c>
      <c r="C2024" s="2248">
        <v>0</v>
      </c>
      <c r="D2024" s="2249">
        <v>0</v>
      </c>
      <c r="E2024" s="2248">
        <v>0</v>
      </c>
      <c r="F2024" s="2250">
        <v>0</v>
      </c>
      <c r="G2024" s="2248">
        <v>0</v>
      </c>
      <c r="H2024" s="2100">
        <v>0</v>
      </c>
      <c r="I2024" s="2238">
        <f>VLOOKUP(A2024,'Trial Balance - FPer'!$A$7:$I$1107,7,FALSE)</f>
        <v>0</v>
      </c>
      <c r="J2024" s="2100">
        <f>VLOOKUP(A2024,'Trial Balance - FPer'!$A$7:$I$1126,3,FALSE)</f>
        <v>0</v>
      </c>
    </row>
    <row r="2025" spans="1:10" s="2615" customFormat="1" hidden="1" x14ac:dyDescent="0.2">
      <c r="A2025" s="2612"/>
      <c r="B2025" s="2613" t="s">
        <v>6622</v>
      </c>
      <c r="C2025" s="2614">
        <f>SUM(C2021:C2024)</f>
        <v>12969633.240000002</v>
      </c>
      <c r="D2025" s="2614">
        <f>SUM(D2021:D2024)</f>
        <v>19144.87</v>
      </c>
      <c r="E2025" s="2614">
        <f>SUM(E2021:E2024)</f>
        <v>0</v>
      </c>
      <c r="F2025" s="2614">
        <f>SUM(F2021:F2024)</f>
        <v>19144.82</v>
      </c>
      <c r="G2025" s="2614">
        <f>SUM(G2021:G2024)</f>
        <v>4805.4399999999996</v>
      </c>
      <c r="H2025" s="2614">
        <f t="shared" ref="H2025" si="229">SUM(H2021:H2024)</f>
        <v>0</v>
      </c>
      <c r="I2025" s="2614">
        <f>SUM(I2021:I2024)</f>
        <v>30973199.599999994</v>
      </c>
      <c r="J2025" s="2614">
        <f>SUM(J2021:J2024)</f>
        <v>12969633.240000002</v>
      </c>
    </row>
    <row r="2026" spans="1:10" ht="14.25" hidden="1" x14ac:dyDescent="0.2">
      <c r="A2026" s="2236"/>
      <c r="B2026" s="2243"/>
      <c r="C2026" s="2244"/>
      <c r="D2026" s="2245"/>
      <c r="E2026" s="2244"/>
      <c r="F2026" s="2246"/>
      <c r="G2026" s="2244"/>
      <c r="H2026" s="2244"/>
      <c r="I2026" s="2238"/>
      <c r="J2026" s="2100" t="e">
        <f>VLOOKUP(A2026,'Trial Balance - FPer'!$A$7:$I$1126,3,FALSE)</f>
        <v>#N/A</v>
      </c>
    </row>
    <row r="2027" spans="1:10" s="2615" customFormat="1" ht="13.5" thickBot="1" x14ac:dyDescent="0.25">
      <c r="A2027" s="2612"/>
      <c r="B2027" s="2616" t="s">
        <v>6623</v>
      </c>
      <c r="C2027" s="2617">
        <f>C2025+C2018+C2009+C1984+C1978+C1974+C1970+C1966+C1962+C1958</f>
        <v>18315094.910000004</v>
      </c>
      <c r="D2027" s="2617">
        <f>D2025+D2018+D2009+D1984+D1978+D1974+D1970+D1966+D1962+D1958</f>
        <v>15996364.739999998</v>
      </c>
      <c r="E2027" s="2617">
        <f>E2025+E2018+E2009+E1984+E1978+E1974+E1970+E1966+E1962+E1958</f>
        <v>3453712.2499999995</v>
      </c>
      <c r="F2027" s="2617">
        <f>F2025+F2018+F2009+F1984+F1978+F1974+F1970+F1966+F1962+F1958</f>
        <v>11016252.939999999</v>
      </c>
      <c r="G2027" s="2617">
        <f>G2025+G2018+G2009+G1984+G1978+G1974+G1970+G1966+G1962+G1958</f>
        <v>8982323.0500000007</v>
      </c>
      <c r="H2027" s="2617">
        <f t="shared" ref="H2027" si="230">H2025+H2018+H2009+H1984+H1978+H1974+H1970+H1966+H1962+H1958</f>
        <v>4401327.4999999991</v>
      </c>
      <c r="I2027" s="2617">
        <f>I2025+I2018+I2009+I1984+I1978+I1974+I1970+I1966+I1962+I1958</f>
        <v>37306973.449999996</v>
      </c>
      <c r="J2027" s="2617">
        <f>J2025+J2018+J2009+J1984+J1978+J1974+J1970+J1966+J1962+J1958</f>
        <v>18714962.490000002</v>
      </c>
    </row>
    <row r="2028" spans="1:10" ht="15" thickTop="1" x14ac:dyDescent="0.2">
      <c r="A2028" s="2236"/>
      <c r="B2028" s="2243"/>
      <c r="C2028" s="2244"/>
      <c r="D2028" s="2245"/>
      <c r="E2028" s="2244"/>
      <c r="F2028" s="2246"/>
      <c r="G2028" s="2244"/>
      <c r="H2028" s="2244"/>
      <c r="I2028" s="2238"/>
      <c r="J2028" s="2100" t="e">
        <f>VLOOKUP(A2028,'Trial Balance - FPer'!$A$7:$I$1126,3,FALSE)</f>
        <v>#N/A</v>
      </c>
    </row>
    <row r="2029" spans="1:10" s="2615" customFormat="1" ht="13.5" thickBot="1" x14ac:dyDescent="0.25">
      <c r="A2029" s="2612"/>
      <c r="B2029" s="2616" t="s">
        <v>6624</v>
      </c>
      <c r="C2029" s="2617">
        <f>C1941-C2027</f>
        <v>1081723.8199999966</v>
      </c>
      <c r="D2029" s="2617">
        <f>D1941-D2027</f>
        <v>-1500000.0399999991</v>
      </c>
      <c r="E2029" s="2617">
        <f>E1941-E2027</f>
        <v>121268270.67999999</v>
      </c>
      <c r="F2029" s="2617">
        <f>F1941-F2027</f>
        <v>0</v>
      </c>
      <c r="G2029" s="2617">
        <f>G1941-G2027</f>
        <v>123281694.35000001</v>
      </c>
      <c r="H2029" s="2617">
        <f t="shared" ref="H2029:J2029" si="231">H1941-H2027</f>
        <v>-4401327.4999999991</v>
      </c>
      <c r="I2029" s="2617">
        <f t="shared" si="231"/>
        <v>-61966216.789999977</v>
      </c>
      <c r="J2029" s="2617">
        <f t="shared" si="231"/>
        <v>-38541437.840000004</v>
      </c>
    </row>
    <row r="2030" spans="1:10" ht="15" thickTop="1" x14ac:dyDescent="0.2">
      <c r="A2030" s="2236"/>
      <c r="B2030" s="2243"/>
      <c r="C2030" s="2244"/>
      <c r="D2030" s="2245"/>
      <c r="E2030" s="2244"/>
      <c r="F2030" s="2246"/>
      <c r="G2030" s="2244"/>
      <c r="H2030" s="2244"/>
      <c r="I2030" s="2238"/>
      <c r="J2030" s="2100" t="e">
        <f>VLOOKUP(A2030,'Trial Balance - FPer'!$A$7:$I$1126,3,FALSE)</f>
        <v>#N/A</v>
      </c>
    </row>
    <row r="2031" spans="1:10" ht="15" x14ac:dyDescent="0.25">
      <c r="A2031" s="2241">
        <v>1301</v>
      </c>
      <c r="B2031" s="2237" t="s">
        <v>6847</v>
      </c>
      <c r="C2031" s="2244"/>
      <c r="D2031" s="2245"/>
      <c r="E2031" s="2244"/>
      <c r="F2031" s="2246"/>
      <c r="G2031" s="2244"/>
      <c r="H2031" s="2244"/>
      <c r="I2031" s="2238"/>
      <c r="J2031" s="2100" t="e">
        <f>VLOOKUP(A2031,'Trial Balance - FPer'!$A$7:$I$1126,3,FALSE)</f>
        <v>#N/A</v>
      </c>
    </row>
    <row r="2032" spans="1:10" ht="14.25" x14ac:dyDescent="0.2">
      <c r="A2032" s="2236"/>
      <c r="B2032" s="2243"/>
      <c r="C2032" s="2244"/>
      <c r="D2032" s="2245"/>
      <c r="E2032" s="2244"/>
      <c r="F2032" s="2246"/>
      <c r="G2032" s="2244"/>
      <c r="H2032" s="2244"/>
      <c r="I2032" s="2238"/>
      <c r="J2032" s="2100" t="e">
        <f>VLOOKUP(A2032,'Trial Balance - FPer'!$A$7:$I$1126,3,FALSE)</f>
        <v>#N/A</v>
      </c>
    </row>
    <row r="2033" spans="1:10" ht="14.25" x14ac:dyDescent="0.2">
      <c r="A2033" s="2236"/>
      <c r="B2033" s="2242" t="s">
        <v>247</v>
      </c>
      <c r="C2033" s="2244"/>
      <c r="D2033" s="2245"/>
      <c r="E2033" s="2244"/>
      <c r="F2033" s="2246"/>
      <c r="G2033" s="2244"/>
      <c r="H2033" s="2244"/>
      <c r="I2033" s="2238"/>
      <c r="J2033" s="2100" t="e">
        <f>VLOOKUP(A2033,'Trial Balance - FPer'!$A$7:$I$1126,3,FALSE)</f>
        <v>#N/A</v>
      </c>
    </row>
    <row r="2034" spans="1:10" ht="14.25" hidden="1" x14ac:dyDescent="0.2">
      <c r="A2034" s="2236"/>
      <c r="B2034" s="2242" t="s">
        <v>120</v>
      </c>
      <c r="C2034" s="2244"/>
      <c r="D2034" s="2245"/>
      <c r="E2034" s="2244"/>
      <c r="F2034" s="2246"/>
      <c r="G2034" s="2244"/>
      <c r="H2034" s="2244"/>
      <c r="I2034" s="2238"/>
      <c r="J2034" s="2100" t="e">
        <f>VLOOKUP(A2034,'Trial Balance - FPer'!$A$7:$I$1126,3,FALSE)</f>
        <v>#N/A</v>
      </c>
    </row>
    <row r="2035" spans="1:10" ht="14.25" hidden="1" x14ac:dyDescent="0.2">
      <c r="A2035" s="2236" t="s">
        <v>5924</v>
      </c>
      <c r="B2035" s="2243" t="s">
        <v>6848</v>
      </c>
      <c r="C2035" s="2244">
        <f>'[2]Data File'!$C$1976</f>
        <v>12040737.66</v>
      </c>
      <c r="D2035" s="2245">
        <v>0</v>
      </c>
      <c r="E2035" s="2244">
        <v>0</v>
      </c>
      <c r="F2035" s="2246"/>
      <c r="G2035" s="2244">
        <v>0</v>
      </c>
      <c r="H2035" s="2244"/>
      <c r="I2035" s="2238">
        <f>VLOOKUP(A2035,'Trial Balance - FPer'!$A$7:$I$1107,7,FALSE)</f>
        <v>-16685636.73</v>
      </c>
      <c r="J2035" s="2100">
        <f>VLOOKUP(A2035,'Trial Balance - FPer'!$A$7:$I$1126,3,FALSE)</f>
        <v>-12040737.66</v>
      </c>
    </row>
    <row r="2036" spans="1:10" ht="14.25" hidden="1" x14ac:dyDescent="0.2">
      <c r="A2036" s="2236" t="s">
        <v>5925</v>
      </c>
      <c r="B2036" s="2247" t="s">
        <v>6848</v>
      </c>
      <c r="C2036" s="2248">
        <f>'[2]Data File'!$C$1977</f>
        <v>0</v>
      </c>
      <c r="D2036" s="2249">
        <v>0</v>
      </c>
      <c r="E2036" s="2248">
        <v>0</v>
      </c>
      <c r="F2036" s="2250"/>
      <c r="G2036" s="2248">
        <v>0</v>
      </c>
      <c r="H2036" s="2244"/>
      <c r="I2036" s="2238">
        <f>VLOOKUP(A2036,'Trial Balance - FPer'!$A$7:$I$1107,7,FALSE)</f>
        <v>0</v>
      </c>
      <c r="J2036" s="2100" t="str">
        <f>VLOOKUP(A2036,'Trial Balance - FPer'!$A$7:$I$1126,3,FALSE)</f>
        <v xml:space="preserve">                               -  </v>
      </c>
    </row>
    <row r="2037" spans="1:10" s="2615" customFormat="1" hidden="1" x14ac:dyDescent="0.2">
      <c r="A2037" s="2612"/>
      <c r="B2037" s="2613" t="s">
        <v>6811</v>
      </c>
      <c r="C2037" s="2614">
        <f>SUM(C2035:C2036)</f>
        <v>12040737.66</v>
      </c>
      <c r="D2037" s="2614">
        <f>SUM(D2035:D2036)</f>
        <v>0</v>
      </c>
      <c r="E2037" s="2614">
        <f>SUM(E2035:E2036)</f>
        <v>0</v>
      </c>
      <c r="F2037" s="2614">
        <f>SUM(F2035:F2036)</f>
        <v>0</v>
      </c>
      <c r="G2037" s="2614">
        <f>SUM(G2035:G2036)</f>
        <v>0</v>
      </c>
      <c r="H2037" s="2614">
        <f t="shared" ref="H2037" si="232">SUM(H2035:H2036)</f>
        <v>0</v>
      </c>
      <c r="I2037" s="2614">
        <f>SUM(I2035:I2036)</f>
        <v>-16685636.73</v>
      </c>
      <c r="J2037" s="2614">
        <f>SUM(J2035:J2036)</f>
        <v>-12040737.66</v>
      </c>
    </row>
    <row r="2038" spans="1:10" ht="14.25" hidden="1" x14ac:dyDescent="0.2">
      <c r="A2038" s="2236"/>
      <c r="B2038" s="2243"/>
      <c r="C2038" s="2244"/>
      <c r="D2038" s="2245"/>
      <c r="E2038" s="2244"/>
      <c r="F2038" s="2246"/>
      <c r="G2038" s="2244"/>
      <c r="H2038" s="2244"/>
      <c r="I2038" s="2238"/>
      <c r="J2038" s="2100" t="e">
        <f>VLOOKUP(A2038,'Trial Balance - FPer'!$A$7:$I$1126,3,FALSE)</f>
        <v>#N/A</v>
      </c>
    </row>
    <row r="2039" spans="1:10" ht="14.25" hidden="1" x14ac:dyDescent="0.2">
      <c r="A2039" s="2236"/>
      <c r="B2039" s="2242" t="s">
        <v>6628</v>
      </c>
      <c r="C2039" s="2244"/>
      <c r="D2039" s="2245"/>
      <c r="E2039" s="2244"/>
      <c r="F2039" s="2246"/>
      <c r="G2039" s="2244"/>
      <c r="H2039" s="2244"/>
      <c r="I2039" s="2238"/>
      <c r="J2039" s="2100" t="e">
        <f>VLOOKUP(A2039,'Trial Balance - FPer'!$A$7:$I$1126,3,FALSE)</f>
        <v>#N/A</v>
      </c>
    </row>
    <row r="2040" spans="1:10" ht="14.25" hidden="1" x14ac:dyDescent="0.2">
      <c r="A2040" s="2236" t="s">
        <v>5926</v>
      </c>
      <c r="B2040" s="2247" t="s">
        <v>6659</v>
      </c>
      <c r="C2040" s="2248">
        <f>'[2]Data File'!$C$1993</f>
        <v>0</v>
      </c>
      <c r="D2040" s="2249">
        <v>0</v>
      </c>
      <c r="E2040" s="2248">
        <v>0</v>
      </c>
      <c r="F2040" s="2250">
        <v>2757295.32</v>
      </c>
      <c r="G2040" s="2248">
        <v>0</v>
      </c>
      <c r="H2040" s="2244"/>
      <c r="I2040" s="2238">
        <f>VLOOKUP(A2040,'Trial Balance - FPer'!$A$7:$I$1107,7,FALSE)</f>
        <v>0</v>
      </c>
      <c r="J2040" s="2100">
        <f>VLOOKUP(A2040,'Trial Balance - FPer'!$A$7:$I$1126,3,FALSE)</f>
        <v>0</v>
      </c>
    </row>
    <row r="2041" spans="1:10" s="2615" customFormat="1" hidden="1" x14ac:dyDescent="0.2">
      <c r="A2041" s="2612"/>
      <c r="B2041" s="2613" t="s">
        <v>6631</v>
      </c>
      <c r="C2041" s="2614">
        <f>SUM(C2040)</f>
        <v>0</v>
      </c>
      <c r="D2041" s="2614">
        <f>SUM(D2040)</f>
        <v>0</v>
      </c>
      <c r="E2041" s="2614">
        <f>SUM(E2040)</f>
        <v>0</v>
      </c>
      <c r="F2041" s="2614">
        <f>SUM(F2040)</f>
        <v>2757295.32</v>
      </c>
      <c r="G2041" s="2614">
        <f>SUM(G2040)</f>
        <v>0</v>
      </c>
      <c r="H2041" s="2614">
        <f t="shared" ref="H2041:J2041" si="233">SUM(H2040)</f>
        <v>0</v>
      </c>
      <c r="I2041" s="2614">
        <f t="shared" si="233"/>
        <v>0</v>
      </c>
      <c r="J2041" s="2614">
        <f t="shared" si="233"/>
        <v>0</v>
      </c>
    </row>
    <row r="2042" spans="1:10" ht="14.25" hidden="1" x14ac:dyDescent="0.2">
      <c r="A2042" s="2236"/>
      <c r="B2042" s="2243"/>
      <c r="C2042" s="2244"/>
      <c r="D2042" s="2245"/>
      <c r="E2042" s="2244"/>
      <c r="F2042" s="2246"/>
      <c r="G2042" s="2244"/>
      <c r="H2042" s="2244"/>
      <c r="I2042" s="2238"/>
      <c r="J2042" s="2100" t="e">
        <f>VLOOKUP(A2042,'Trial Balance - FPer'!$A$7:$I$1126,3,FALSE)</f>
        <v>#N/A</v>
      </c>
    </row>
    <row r="2043" spans="1:10" ht="14.25" hidden="1" x14ac:dyDescent="0.2">
      <c r="A2043" s="2236"/>
      <c r="B2043" s="2242" t="s">
        <v>6722</v>
      </c>
      <c r="C2043" s="2244"/>
      <c r="D2043" s="2245"/>
      <c r="E2043" s="2244"/>
      <c r="F2043" s="2246"/>
      <c r="G2043" s="2244"/>
      <c r="H2043" s="2244"/>
      <c r="I2043" s="2238"/>
      <c r="J2043" s="2100" t="e">
        <f>VLOOKUP(A2043,'Trial Balance - FPer'!$A$7:$I$1126,3,FALSE)</f>
        <v>#N/A</v>
      </c>
    </row>
    <row r="2044" spans="1:10" ht="14.25" hidden="1" x14ac:dyDescent="0.2">
      <c r="A2044" s="2236" t="s">
        <v>5927</v>
      </c>
      <c r="B2044" s="2247" t="s">
        <v>6849</v>
      </c>
      <c r="C2044" s="2248">
        <f>'[2]Data File'!$C$1997</f>
        <v>0</v>
      </c>
      <c r="D2044" s="2249">
        <v>627000</v>
      </c>
      <c r="E2044" s="2248">
        <v>0</v>
      </c>
      <c r="F2044" s="2250">
        <v>627000</v>
      </c>
      <c r="G2044" s="2248">
        <v>314754</v>
      </c>
      <c r="H2044" s="2244"/>
      <c r="I2044" s="2238">
        <f>VLOOKUP(A2044,'Trial Balance - FPer'!$A$7:$I$1107,7,FALSE)</f>
        <v>-585951</v>
      </c>
      <c r="J2044" s="2100">
        <f>VLOOKUP(A2044,'Trial Balance - FPer'!$A$7:$I$1126,3,FALSE)</f>
        <v>0</v>
      </c>
    </row>
    <row r="2045" spans="1:10" s="2615" customFormat="1" hidden="1" x14ac:dyDescent="0.2">
      <c r="A2045" s="2612"/>
      <c r="B2045" s="2613" t="s">
        <v>6724</v>
      </c>
      <c r="C2045" s="2614">
        <f>SUM(C2044)</f>
        <v>0</v>
      </c>
      <c r="D2045" s="2614">
        <f>SUM(D2044)</f>
        <v>627000</v>
      </c>
      <c r="E2045" s="2614">
        <f>SUM(E2044)</f>
        <v>0</v>
      </c>
      <c r="F2045" s="2614">
        <f>SUM(F2044)</f>
        <v>627000</v>
      </c>
      <c r="G2045" s="2614">
        <f>SUM(G2044)</f>
        <v>314754</v>
      </c>
      <c r="H2045" s="2614">
        <f t="shared" ref="H2045:J2045" si="234">SUM(H2044)</f>
        <v>0</v>
      </c>
      <c r="I2045" s="2614">
        <f t="shared" si="234"/>
        <v>-585951</v>
      </c>
      <c r="J2045" s="2614">
        <f t="shared" si="234"/>
        <v>0</v>
      </c>
    </row>
    <row r="2046" spans="1:10" ht="14.25" hidden="1" x14ac:dyDescent="0.2">
      <c r="A2046" s="2236"/>
      <c r="B2046" s="2243"/>
      <c r="C2046" s="2244"/>
      <c r="D2046" s="2245"/>
      <c r="E2046" s="2244"/>
      <c r="F2046" s="2246"/>
      <c r="G2046" s="2244"/>
      <c r="H2046" s="2244"/>
      <c r="I2046" s="2238"/>
      <c r="J2046" s="2100" t="e">
        <f>VLOOKUP(A2046,'Trial Balance - FPer'!$A$7:$I$1126,3,FALSE)</f>
        <v>#N/A</v>
      </c>
    </row>
    <row r="2047" spans="1:10" ht="14.25" hidden="1" x14ac:dyDescent="0.2">
      <c r="A2047" s="2236"/>
      <c r="B2047" s="2242" t="s">
        <v>1637</v>
      </c>
      <c r="C2047" s="2244"/>
      <c r="D2047" s="2245"/>
      <c r="E2047" s="2244"/>
      <c r="F2047" s="2246"/>
      <c r="G2047" s="2244"/>
      <c r="H2047" s="2244"/>
      <c r="I2047" s="2238"/>
      <c r="J2047" s="2100" t="e">
        <f>VLOOKUP(A2047,'Trial Balance - FPer'!$A$7:$I$1126,3,FALSE)</f>
        <v>#N/A</v>
      </c>
    </row>
    <row r="2048" spans="1:10" ht="14.25" hidden="1" x14ac:dyDescent="0.2">
      <c r="A2048" s="2236" t="s">
        <v>5929</v>
      </c>
      <c r="B2048" s="2243" t="s">
        <v>6850</v>
      </c>
      <c r="C2048" s="2244">
        <f>'[2]Data File'!$C$1981</f>
        <v>0</v>
      </c>
      <c r="D2048" s="2245">
        <v>0</v>
      </c>
      <c r="E2048" s="2244">
        <v>0</v>
      </c>
      <c r="F2048" s="2246">
        <v>0</v>
      </c>
      <c r="G2048" s="2244">
        <v>0</v>
      </c>
      <c r="H2048" s="2244"/>
      <c r="I2048" s="2238">
        <f>VLOOKUP(A2048,'Trial Balance - FPer'!$A$7:$I$1107,7,FALSE)</f>
        <v>0</v>
      </c>
      <c r="J2048" s="2100">
        <f>VLOOKUP(A2048,'Trial Balance - FPer'!$A$7:$I$1126,3,FALSE)</f>
        <v>0</v>
      </c>
    </row>
    <row r="2049" spans="1:10" ht="14.25" hidden="1" x14ac:dyDescent="0.2">
      <c r="A2049" s="2236" t="s">
        <v>5930</v>
      </c>
      <c r="B2049" s="2243" t="s">
        <v>6666</v>
      </c>
      <c r="C2049" s="2244">
        <f>'[2]Data File'!$C$1983</f>
        <v>0</v>
      </c>
      <c r="D2049" s="2245">
        <v>0</v>
      </c>
      <c r="E2049" s="2244">
        <v>0</v>
      </c>
      <c r="F2049" s="2246">
        <v>0</v>
      </c>
      <c r="G2049" s="2244">
        <v>0</v>
      </c>
      <c r="H2049" s="2244"/>
      <c r="I2049" s="2238">
        <f>VLOOKUP(A2049,'Trial Balance - FPer'!$A$7:$I$1107,7,FALSE)</f>
        <v>-115500</v>
      </c>
      <c r="J2049" s="2100">
        <f>VLOOKUP(A2049,'Trial Balance - FPer'!$A$7:$I$1126,3,FALSE)</f>
        <v>0</v>
      </c>
    </row>
    <row r="2050" spans="1:10" ht="14.25" hidden="1" x14ac:dyDescent="0.2">
      <c r="A2050" s="2236" t="s">
        <v>5931</v>
      </c>
      <c r="B2050" s="2247" t="s">
        <v>6851</v>
      </c>
      <c r="C2050" s="2248">
        <f>'[2]Data File'!$C$1987</f>
        <v>-71262.259999999995</v>
      </c>
      <c r="D2050" s="2249">
        <v>-362172.06</v>
      </c>
      <c r="E2050" s="2248">
        <v>0</v>
      </c>
      <c r="F2050" s="2250">
        <v>-362172.06</v>
      </c>
      <c r="G2050" s="2248">
        <v>-90906.03</v>
      </c>
      <c r="H2050" s="2244"/>
      <c r="I2050" s="2238">
        <f>VLOOKUP(A2050,'Trial Balance - FPer'!$A$7:$I$1107,7,FALSE)</f>
        <v>1091380.58</v>
      </c>
      <c r="J2050" s="2100">
        <f>VLOOKUP(A2050,'Trial Balance - FPer'!$A$7:$I$1126,3,FALSE)</f>
        <v>71262.259999999995</v>
      </c>
    </row>
    <row r="2051" spans="1:10" s="2615" customFormat="1" hidden="1" x14ac:dyDescent="0.2">
      <c r="A2051" s="2612"/>
      <c r="B2051" s="2613" t="s">
        <v>6670</v>
      </c>
      <c r="C2051" s="2614">
        <f>SUM(C2048:C2050)</f>
        <v>-71262.259999999995</v>
      </c>
      <c r="D2051" s="2614">
        <f>SUM(D2048:D2050)</f>
        <v>-362172.06</v>
      </c>
      <c r="E2051" s="2614">
        <f>SUM(E2048:E2050)</f>
        <v>0</v>
      </c>
      <c r="F2051" s="2614">
        <f>SUM(F2048:F2050)</f>
        <v>-362172.06</v>
      </c>
      <c r="G2051" s="2614">
        <f>SUM(G2048:G2050)</f>
        <v>-90906.03</v>
      </c>
      <c r="H2051" s="2614">
        <f t="shared" ref="H2051" si="235">SUM(H2048:H2050)</f>
        <v>0</v>
      </c>
      <c r="I2051" s="2614">
        <f>SUM(I2048:I2050)</f>
        <v>975880.58000000007</v>
      </c>
      <c r="J2051" s="2614">
        <f>SUM(J2048:J2050)</f>
        <v>71262.259999999995</v>
      </c>
    </row>
    <row r="2052" spans="1:10" ht="14.25" hidden="1" x14ac:dyDescent="0.2">
      <c r="A2052" s="2236"/>
      <c r="B2052" s="2242"/>
      <c r="C2052" s="2244"/>
      <c r="D2052" s="2245"/>
      <c r="E2052" s="2244"/>
      <c r="F2052" s="2246"/>
      <c r="G2052" s="2244"/>
      <c r="H2052" s="2244"/>
      <c r="I2052" s="2238"/>
      <c r="J2052" s="2100" t="e">
        <f>VLOOKUP(A2052,'Trial Balance - FPer'!$A$7:$I$1126,3,FALSE)</f>
        <v>#N/A</v>
      </c>
    </row>
    <row r="2053" spans="1:10" s="2615" customFormat="1" ht="13.5" thickBot="1" x14ac:dyDescent="0.25">
      <c r="A2053" s="2612"/>
      <c r="B2053" s="2616" t="s">
        <v>6579</v>
      </c>
      <c r="C2053" s="2617">
        <f>C2051+C2045+C2041+C2037</f>
        <v>11969475.4</v>
      </c>
      <c r="D2053" s="2617">
        <f>D2051+D2045+D2041+D2037</f>
        <v>264827.94</v>
      </c>
      <c r="E2053" s="2617">
        <f>E2051+E2045+E2041+E2037</f>
        <v>0</v>
      </c>
      <c r="F2053" s="2617">
        <f>F2051+F2045+F2041+F2037</f>
        <v>3022123.26</v>
      </c>
      <c r="G2053" s="2617">
        <f>G2051+G2045+G2041+G2037</f>
        <v>223847.97</v>
      </c>
      <c r="H2053" s="2617">
        <f t="shared" ref="H2053" si="236">H2051+H2045+H2041+H2037</f>
        <v>0</v>
      </c>
      <c r="I2053" s="2617">
        <f>I2051+I2045+I2041+I2037</f>
        <v>-16295707.15</v>
      </c>
      <c r="J2053" s="2617">
        <f>J2051+J2045+J2041+J2037</f>
        <v>-11969475.4</v>
      </c>
    </row>
    <row r="2054" spans="1:10" ht="15" thickTop="1" x14ac:dyDescent="0.2">
      <c r="A2054" s="2236"/>
      <c r="B2054" s="2243"/>
      <c r="C2054" s="2244"/>
      <c r="D2054" s="2245"/>
      <c r="E2054" s="2244"/>
      <c r="F2054" s="2246"/>
      <c r="G2054" s="2244"/>
      <c r="H2054" s="2244"/>
      <c r="I2054" s="2238"/>
      <c r="J2054" s="2100" t="e">
        <f>VLOOKUP(A2054,'Trial Balance - FPer'!$A$7:$I$1126,3,FALSE)</f>
        <v>#N/A</v>
      </c>
    </row>
    <row r="2055" spans="1:10" ht="14.25" x14ac:dyDescent="0.2">
      <c r="A2055" s="2236"/>
      <c r="B2055" s="2242" t="s">
        <v>235</v>
      </c>
      <c r="C2055" s="2244"/>
      <c r="D2055" s="2245"/>
      <c r="E2055" s="2244"/>
      <c r="F2055" s="2246"/>
      <c r="G2055" s="2244"/>
      <c r="H2055" s="2244"/>
      <c r="I2055" s="2238"/>
      <c r="J2055" s="2100" t="e">
        <f>VLOOKUP(A2055,'Trial Balance - FPer'!$A$7:$I$1126,3,FALSE)</f>
        <v>#N/A</v>
      </c>
    </row>
    <row r="2056" spans="1:10" ht="14.25" hidden="1" x14ac:dyDescent="0.2">
      <c r="A2056" s="2236"/>
      <c r="B2056" s="2242" t="s">
        <v>387</v>
      </c>
      <c r="C2056" s="2244"/>
      <c r="D2056" s="2245"/>
      <c r="E2056" s="2244"/>
      <c r="F2056" s="2246"/>
      <c r="G2056" s="2244"/>
      <c r="H2056" s="2244"/>
      <c r="I2056" s="2238"/>
      <c r="J2056" s="2100" t="e">
        <f>VLOOKUP(A2056,'Trial Balance - FPer'!$A$7:$I$1126,3,FALSE)</f>
        <v>#N/A</v>
      </c>
    </row>
    <row r="2057" spans="1:10" ht="14.25" hidden="1" x14ac:dyDescent="0.2">
      <c r="A2057" s="2236" t="s">
        <v>5892</v>
      </c>
      <c r="B2057" s="2243" t="s">
        <v>6003</v>
      </c>
      <c r="C2057" s="2244">
        <f>'[2]Data File'!$C$2005</f>
        <v>489779.02</v>
      </c>
      <c r="D2057" s="2245">
        <v>526444.03</v>
      </c>
      <c r="E2057" s="2244">
        <v>252553.2</v>
      </c>
      <c r="F2057" s="2246">
        <v>499293.48</v>
      </c>
      <c r="G2057" s="2253">
        <v>511964.59</v>
      </c>
      <c r="H2057" s="2100">
        <v>293676.58</v>
      </c>
      <c r="I2057" s="2238">
        <f>VLOOKUP(A2057,'Trial Balance - FPer'!$A$7:$I$1107,7,FALSE)</f>
        <v>495398.54</v>
      </c>
      <c r="J2057" s="2100">
        <f>VLOOKUP(A2057,'Trial Balance - FPer'!$A$7:$I$1126,3,FALSE)</f>
        <v>489779.02</v>
      </c>
    </row>
    <row r="2058" spans="1:10" ht="14.25" hidden="1" x14ac:dyDescent="0.2">
      <c r="A2058" s="2236" t="s">
        <v>5893</v>
      </c>
      <c r="B2058" s="2243" t="s">
        <v>6004</v>
      </c>
      <c r="C2058" s="2244">
        <f>'[2]Data File'!$C$2010</f>
        <v>19185.62</v>
      </c>
      <c r="D2058" s="2245">
        <v>14109.81</v>
      </c>
      <c r="E2058" s="2244">
        <v>19887.990000000002</v>
      </c>
      <c r="F2058" s="2246">
        <v>41123.379999999997</v>
      </c>
      <c r="G2058" s="2253">
        <v>33455.61</v>
      </c>
      <c r="H2058" s="2100">
        <v>19887.990000000002</v>
      </c>
      <c r="I2058" s="2238">
        <f>VLOOKUP(A2058,'Trial Balance - FPer'!$A$7:$I$1107,7,FALSE)</f>
        <v>33134.199999999997</v>
      </c>
      <c r="J2058" s="2100">
        <f>VLOOKUP(A2058,'Trial Balance - FPer'!$A$7:$I$1126,3,FALSE)</f>
        <v>19185.62</v>
      </c>
    </row>
    <row r="2059" spans="1:10" ht="14.25" hidden="1" x14ac:dyDescent="0.2">
      <c r="A2059" s="2236" t="s">
        <v>5894</v>
      </c>
      <c r="B2059" s="2243" t="s">
        <v>6581</v>
      </c>
      <c r="C2059" s="2244">
        <f>'[2]Data File'!$C$2011</f>
        <v>7600</v>
      </c>
      <c r="D2059" s="2245">
        <v>8435.7000000000007</v>
      </c>
      <c r="E2059" s="2244">
        <v>4200</v>
      </c>
      <c r="F2059" s="2246">
        <v>8400</v>
      </c>
      <c r="G2059" s="2253">
        <v>8435.7000000000007</v>
      </c>
      <c r="H2059" s="2100">
        <v>4900</v>
      </c>
      <c r="I2059" s="2238">
        <f>VLOOKUP(A2059,'Trial Balance - FPer'!$A$7:$I$1107,7,FALSE)</f>
        <v>8400</v>
      </c>
      <c r="J2059" s="2100">
        <f>VLOOKUP(A2059,'Trial Balance - FPer'!$A$7:$I$1126,3,FALSE)</f>
        <v>7600</v>
      </c>
    </row>
    <row r="2060" spans="1:10" ht="14.25" hidden="1" x14ac:dyDescent="0.2">
      <c r="A2060" s="2236" t="s">
        <v>5895</v>
      </c>
      <c r="B2060" s="2243" t="s">
        <v>6007</v>
      </c>
      <c r="C2060" s="2244">
        <f>'[2]Data File'!$C$2013</f>
        <v>7136.27</v>
      </c>
      <c r="D2060" s="2245">
        <v>0</v>
      </c>
      <c r="E2060" s="2244">
        <v>21883.84</v>
      </c>
      <c r="F2060" s="2246">
        <v>45000</v>
      </c>
      <c r="G2060" s="2253">
        <v>21883.84</v>
      </c>
      <c r="H2060" s="2100">
        <v>23302.65</v>
      </c>
      <c r="I2060" s="2238">
        <f>VLOOKUP(A2060,'Trial Balance - FPer'!$A$7:$I$1107,7,FALSE)</f>
        <v>35717.99</v>
      </c>
      <c r="J2060" s="2100">
        <f>VLOOKUP(A2060,'Trial Balance - FPer'!$A$7:$I$1126,3,FALSE)</f>
        <v>7136.27</v>
      </c>
    </row>
    <row r="2061" spans="1:10" ht="14.25" hidden="1" x14ac:dyDescent="0.2">
      <c r="A2061" s="2236" t="s">
        <v>5896</v>
      </c>
      <c r="B2061" s="2243" t="s">
        <v>6584</v>
      </c>
      <c r="C2061" s="2244">
        <f>'[2]Data File'!$C$2009</f>
        <v>135.30000000000001</v>
      </c>
      <c r="D2061" s="2245">
        <v>159.63</v>
      </c>
      <c r="E2061" s="2244">
        <v>73.709999999999994</v>
      </c>
      <c r="F2061" s="2246">
        <v>150.51</v>
      </c>
      <c r="G2061" s="2253">
        <v>153.1</v>
      </c>
      <c r="H2061" s="2100">
        <v>86.01</v>
      </c>
      <c r="I2061" s="2238">
        <f>VLOOKUP(A2061,'Trial Balance - FPer'!$A$7:$I$1107,7,FALSE)</f>
        <v>147.51</v>
      </c>
      <c r="J2061" s="2100">
        <f>VLOOKUP(A2061,'Trial Balance - FPer'!$A$7:$I$1126,3,FALSE)</f>
        <v>135.30000000000001</v>
      </c>
    </row>
    <row r="2062" spans="1:10" ht="14.25" hidden="1" x14ac:dyDescent="0.2">
      <c r="A2062" s="2236" t="s">
        <v>5897</v>
      </c>
      <c r="B2062" s="2243" t="s">
        <v>6585</v>
      </c>
      <c r="C2062" s="2244">
        <f>'[2]Data File'!$C$2016</f>
        <v>4606.08</v>
      </c>
      <c r="D2062" s="2245">
        <v>5079.13</v>
      </c>
      <c r="E2062" s="2244">
        <v>2852.52</v>
      </c>
      <c r="F2062" s="2246">
        <v>5345.46</v>
      </c>
      <c r="G2062" s="2253">
        <v>5560.88</v>
      </c>
      <c r="H2062" s="2100">
        <v>3268.01</v>
      </c>
      <c r="I2062" s="2238">
        <f>VLOOKUP(A2062,'Trial Balance - FPer'!$A$7:$I$1107,7,FALSE)</f>
        <v>5585.02</v>
      </c>
      <c r="J2062" s="2100">
        <f>VLOOKUP(A2062,'Trial Balance - FPer'!$A$7:$I$1126,3,FALSE)</f>
        <v>4606.08</v>
      </c>
    </row>
    <row r="2063" spans="1:10" ht="14.25" hidden="1" x14ac:dyDescent="0.2">
      <c r="A2063" s="2236" t="s">
        <v>5898</v>
      </c>
      <c r="B2063" s="2243" t="s">
        <v>6586</v>
      </c>
      <c r="C2063" s="2244">
        <f>'[2]Data File'!$C$2017</f>
        <v>0</v>
      </c>
      <c r="D2063" s="2245">
        <v>4384.96</v>
      </c>
      <c r="E2063" s="2244">
        <v>0</v>
      </c>
      <c r="F2063" s="2246">
        <v>0</v>
      </c>
      <c r="G2063" s="2253">
        <v>1100.48</v>
      </c>
      <c r="H2063" s="2100">
        <v>0</v>
      </c>
      <c r="I2063" s="2238">
        <f>VLOOKUP(A2063,'Trial Balance - FPer'!$A$7:$I$1107,7,FALSE)</f>
        <v>0</v>
      </c>
      <c r="J2063" s="2100" t="str">
        <f>VLOOKUP(A2063,'Trial Balance - FPer'!$A$7:$I$1126,3,FALSE)</f>
        <v xml:space="preserve">                               -  </v>
      </c>
    </row>
    <row r="2064" spans="1:10" ht="14.25" hidden="1" x14ac:dyDescent="0.2">
      <c r="A2064" s="2236" t="s">
        <v>5899</v>
      </c>
      <c r="B2064" s="2243" t="s">
        <v>6587</v>
      </c>
      <c r="C2064" s="2244">
        <f>'[2]Data File'!$C$2006</f>
        <v>29593.200000000001</v>
      </c>
      <c r="D2064" s="2245">
        <v>32268.5</v>
      </c>
      <c r="E2064" s="2244">
        <v>17161.2</v>
      </c>
      <c r="F2064" s="2246">
        <v>36381.599999999999</v>
      </c>
      <c r="G2064" s="2253">
        <v>33912.519999999997</v>
      </c>
      <c r="H2064" s="2100">
        <v>20364.599999999999</v>
      </c>
      <c r="I2064" s="2238">
        <f>VLOOKUP(A2064,'Trial Balance - FPer'!$A$7:$I$1107,7,FALSE)</f>
        <v>36381.599999999999</v>
      </c>
      <c r="J2064" s="2100">
        <f>VLOOKUP(A2064,'Trial Balance - FPer'!$A$7:$I$1126,3,FALSE)</f>
        <v>29593.200000000001</v>
      </c>
    </row>
    <row r="2065" spans="1:10" ht="14.25" hidden="1" x14ac:dyDescent="0.2">
      <c r="A2065" s="2236" t="s">
        <v>5900</v>
      </c>
      <c r="B2065" s="2243" t="s">
        <v>6013</v>
      </c>
      <c r="C2065" s="2244">
        <f>'[2]Data File'!$C$2007</f>
        <v>72945.84</v>
      </c>
      <c r="D2065" s="2245">
        <v>85023.72</v>
      </c>
      <c r="E2065" s="2244">
        <v>41434.449999999997</v>
      </c>
      <c r="F2065" s="2246">
        <v>84253.75</v>
      </c>
      <c r="G2065" s="2253">
        <v>83659.48</v>
      </c>
      <c r="H2065" s="2100">
        <v>48571</v>
      </c>
      <c r="I2065" s="2238">
        <f>VLOOKUP(A2065,'Trial Balance - FPer'!$A$7:$I$1107,7,FALSE)</f>
        <v>84253.75</v>
      </c>
      <c r="J2065" s="2100">
        <f>VLOOKUP(A2065,'Trial Balance - FPer'!$A$7:$I$1126,3,FALSE)</f>
        <v>72945.84</v>
      </c>
    </row>
    <row r="2066" spans="1:10" ht="14.25" hidden="1" x14ac:dyDescent="0.2">
      <c r="A2066" s="2236" t="s">
        <v>5901</v>
      </c>
      <c r="B2066" s="2247" t="s">
        <v>6014</v>
      </c>
      <c r="C2066" s="2248">
        <f>'[2]Data File'!$C$2008</f>
        <v>3490.96</v>
      </c>
      <c r="D2066" s="2249">
        <v>3995.45</v>
      </c>
      <c r="E2066" s="2248">
        <v>20448.78</v>
      </c>
      <c r="F2066" s="2250">
        <v>22352.94</v>
      </c>
      <c r="G2066" s="2248">
        <v>31733.81</v>
      </c>
      <c r="H2066" s="2100">
        <v>20766.14</v>
      </c>
      <c r="I2066" s="2238">
        <f>VLOOKUP(A2066,'Trial Balance - FPer'!$A$7:$I$1107,7,FALSE)</f>
        <v>22352.94</v>
      </c>
      <c r="J2066" s="2100">
        <f>VLOOKUP(A2066,'Trial Balance - FPer'!$A$7:$I$1126,3,FALSE)</f>
        <v>3490.96</v>
      </c>
    </row>
    <row r="2067" spans="1:10" s="2615" customFormat="1" hidden="1" x14ac:dyDescent="0.2">
      <c r="A2067" s="2612"/>
      <c r="B2067" s="2613" t="s">
        <v>6588</v>
      </c>
      <c r="C2067" s="2614">
        <f>SUM(C2057:C2066)</f>
        <v>634472.28999999992</v>
      </c>
      <c r="D2067" s="2614">
        <f>SUM(D2057:D2066)</f>
        <v>679900.92999999993</v>
      </c>
      <c r="E2067" s="2614">
        <f>SUM(E2057:E2066)</f>
        <v>380495.69000000006</v>
      </c>
      <c r="F2067" s="2614">
        <f>SUM(F2057:F2066)</f>
        <v>742301.11999999988</v>
      </c>
      <c r="G2067" s="2614">
        <f>SUM(G2057:G2066)</f>
        <v>731860.01</v>
      </c>
      <c r="H2067" s="2614">
        <f t="shared" ref="H2067" si="237">SUM(H2057:H2066)</f>
        <v>434822.98000000004</v>
      </c>
      <c r="I2067" s="2614">
        <f>SUM(I2057:I2066)</f>
        <v>721371.54999999993</v>
      </c>
      <c r="J2067" s="2614">
        <f>SUM(J2057:J2066)</f>
        <v>634472.28999999992</v>
      </c>
    </row>
    <row r="2068" spans="1:10" ht="14.25" hidden="1" x14ac:dyDescent="0.2">
      <c r="A2068" s="2236"/>
      <c r="B2068" s="2243"/>
      <c r="C2068" s="2244"/>
      <c r="D2068" s="2245"/>
      <c r="E2068" s="2244"/>
      <c r="F2068" s="2246"/>
      <c r="G2068" s="2244"/>
      <c r="H2068" s="2244"/>
      <c r="I2068" s="2238"/>
      <c r="J2068" s="2100" t="e">
        <f>VLOOKUP(A2068,'Trial Balance - FPer'!$A$7:$I$1126,3,FALSE)</f>
        <v>#N/A</v>
      </c>
    </row>
    <row r="2069" spans="1:10" ht="14.25" hidden="1" x14ac:dyDescent="0.2">
      <c r="A2069" s="2236"/>
      <c r="B2069" s="2242" t="s">
        <v>6675</v>
      </c>
      <c r="C2069" s="2244"/>
      <c r="D2069" s="2245"/>
      <c r="E2069" s="2244"/>
      <c r="F2069" s="2246"/>
      <c r="G2069" s="2244"/>
      <c r="H2069" s="2244"/>
      <c r="I2069" s="2238"/>
      <c r="J2069" s="2100" t="e">
        <f>VLOOKUP(A2069,'Trial Balance - FPer'!$A$7:$I$1126,3,FALSE)</f>
        <v>#N/A</v>
      </c>
    </row>
    <row r="2070" spans="1:10" ht="14.25" hidden="1" x14ac:dyDescent="0.2">
      <c r="A2070" s="2236" t="s">
        <v>5902</v>
      </c>
      <c r="B2070" s="2247" t="s">
        <v>6676</v>
      </c>
      <c r="C2070" s="2248">
        <f>'[2]Data File'!$C$2047</f>
        <v>0</v>
      </c>
      <c r="D2070" s="2249">
        <v>0</v>
      </c>
      <c r="E2070" s="2248">
        <v>0</v>
      </c>
      <c r="F2070" s="2250">
        <v>0</v>
      </c>
      <c r="G2070" s="2248">
        <v>0</v>
      </c>
      <c r="H2070" s="2244"/>
      <c r="I2070" s="2238">
        <f>VLOOKUP(A2070,'Trial Balance - FPer'!$A$7:$I$1107,7,FALSE)</f>
        <v>0</v>
      </c>
      <c r="J2070" s="2100">
        <f>VLOOKUP(A2070,'Trial Balance - FPer'!$A$7:$I$1126,3,FALSE)</f>
        <v>0</v>
      </c>
    </row>
    <row r="2071" spans="1:10" s="2615" customFormat="1" hidden="1" x14ac:dyDescent="0.2">
      <c r="A2071" s="2612"/>
      <c r="B2071" s="2613" t="s">
        <v>6677</v>
      </c>
      <c r="C2071" s="2614">
        <f>SUM(C2070)</f>
        <v>0</v>
      </c>
      <c r="D2071" s="2614">
        <f>SUM(D2070)</f>
        <v>0</v>
      </c>
      <c r="E2071" s="2614">
        <f>SUM(E2070)</f>
        <v>0</v>
      </c>
      <c r="F2071" s="2614">
        <f>SUM(F2070)</f>
        <v>0</v>
      </c>
      <c r="G2071" s="2614">
        <f>SUM(G2070)</f>
        <v>0</v>
      </c>
      <c r="H2071" s="2614">
        <f t="shared" ref="H2071:J2071" si="238">SUM(H2070)</f>
        <v>0</v>
      </c>
      <c r="I2071" s="2614">
        <f t="shared" si="238"/>
        <v>0</v>
      </c>
      <c r="J2071" s="2614">
        <f t="shared" si="238"/>
        <v>0</v>
      </c>
    </row>
    <row r="2072" spans="1:10" ht="14.25" hidden="1" x14ac:dyDescent="0.2">
      <c r="A2072" s="2236"/>
      <c r="B2072" s="2243"/>
      <c r="C2072" s="2244"/>
      <c r="D2072" s="2245"/>
      <c r="E2072" s="2244"/>
      <c r="F2072" s="2246"/>
      <c r="G2072" s="2244"/>
      <c r="H2072" s="2244"/>
      <c r="I2072" s="2238"/>
      <c r="J2072" s="2100" t="e">
        <f>VLOOKUP(A2072,'Trial Balance - FPer'!$A$7:$I$1126,3,FALSE)</f>
        <v>#N/A</v>
      </c>
    </row>
    <row r="2073" spans="1:10" ht="14.25" hidden="1" x14ac:dyDescent="0.2">
      <c r="A2073" s="2236"/>
      <c r="B2073" s="2242" t="s">
        <v>6757</v>
      </c>
      <c r="C2073" s="2244"/>
      <c r="D2073" s="2245"/>
      <c r="E2073" s="2244"/>
      <c r="F2073" s="2246"/>
      <c r="G2073" s="2244"/>
      <c r="H2073" s="2244"/>
      <c r="I2073" s="2238"/>
      <c r="J2073" s="2100" t="e">
        <f>VLOOKUP(A2073,'Trial Balance - FPer'!$A$7:$I$1126,3,FALSE)</f>
        <v>#N/A</v>
      </c>
    </row>
    <row r="2074" spans="1:10" ht="14.25" hidden="1" x14ac:dyDescent="0.2">
      <c r="A2074" s="2236" t="s">
        <v>5903</v>
      </c>
      <c r="B2074" s="2247" t="s">
        <v>6852</v>
      </c>
      <c r="C2074" s="2248">
        <f>'[2]Data File'!$C$2021</f>
        <v>127674.77</v>
      </c>
      <c r="D2074" s="2249">
        <v>0</v>
      </c>
      <c r="E2074" s="2248">
        <v>0</v>
      </c>
      <c r="F2074" s="2250">
        <v>0</v>
      </c>
      <c r="G2074" s="2248">
        <v>0</v>
      </c>
      <c r="H2074" s="2244"/>
      <c r="I2074" s="2238">
        <f>VLOOKUP(A2074,'Trial Balance - FPer'!$A$7:$I$1107,7,FALSE)</f>
        <v>70113.919999999998</v>
      </c>
      <c r="J2074" s="2100">
        <f>VLOOKUP(A2074,'Trial Balance - FPer'!$A$7:$I$1126,3,FALSE)</f>
        <v>97846.77</v>
      </c>
    </row>
    <row r="2075" spans="1:10" s="2615" customFormat="1" hidden="1" x14ac:dyDescent="0.2">
      <c r="A2075" s="2612"/>
      <c r="B2075" s="2613" t="s">
        <v>6758</v>
      </c>
      <c r="C2075" s="2614">
        <f>SUM(C2074)</f>
        <v>127674.77</v>
      </c>
      <c r="D2075" s="2614">
        <f>SUM(D2074)</f>
        <v>0</v>
      </c>
      <c r="E2075" s="2614">
        <f>SUM(E2074)</f>
        <v>0</v>
      </c>
      <c r="F2075" s="2614">
        <f>SUM(F2074)</f>
        <v>0</v>
      </c>
      <c r="G2075" s="2614">
        <f>SUM(G2074)</f>
        <v>0</v>
      </c>
      <c r="H2075" s="2614">
        <f t="shared" ref="H2075:J2075" si="239">SUM(H2074)</f>
        <v>0</v>
      </c>
      <c r="I2075" s="2614">
        <f t="shared" si="239"/>
        <v>70113.919999999998</v>
      </c>
      <c r="J2075" s="2614">
        <f t="shared" si="239"/>
        <v>97846.77</v>
      </c>
    </row>
    <row r="2076" spans="1:10" ht="14.25" hidden="1" x14ac:dyDescent="0.2">
      <c r="A2076" s="2236"/>
      <c r="B2076" s="2243"/>
      <c r="C2076" s="2244"/>
      <c r="D2076" s="2245"/>
      <c r="E2076" s="2244"/>
      <c r="F2076" s="2246"/>
      <c r="G2076" s="2244"/>
      <c r="H2076" s="2244"/>
      <c r="I2076" s="2238"/>
      <c r="J2076" s="2100" t="e">
        <f>VLOOKUP(A2076,'Trial Balance - FPer'!$A$7:$I$1126,3,FALSE)</f>
        <v>#N/A</v>
      </c>
    </row>
    <row r="2077" spans="1:10" ht="14.25" hidden="1" x14ac:dyDescent="0.2">
      <c r="A2077" s="2236"/>
      <c r="B2077" s="2242" t="s">
        <v>6837</v>
      </c>
      <c r="C2077" s="2244"/>
      <c r="D2077" s="2245"/>
      <c r="E2077" s="2244"/>
      <c r="F2077" s="2246"/>
      <c r="G2077" s="2244"/>
      <c r="H2077" s="2244"/>
      <c r="I2077" s="2238"/>
      <c r="J2077" s="2100" t="e">
        <f>VLOOKUP(A2077,'Trial Balance - FPer'!$A$7:$I$1126,3,FALSE)</f>
        <v>#N/A</v>
      </c>
    </row>
    <row r="2078" spans="1:10" ht="14.25" hidden="1" x14ac:dyDescent="0.2">
      <c r="A2078" s="2236" t="s">
        <v>5904</v>
      </c>
      <c r="B2078" s="2247" t="s">
        <v>6760</v>
      </c>
      <c r="C2078" s="2248">
        <v>0</v>
      </c>
      <c r="D2078" s="2249">
        <v>154609.4</v>
      </c>
      <c r="E2078" s="2248">
        <v>0</v>
      </c>
      <c r="F2078" s="2250">
        <v>0</v>
      </c>
      <c r="G2078" s="2248">
        <v>38805.699999999997</v>
      </c>
      <c r="H2078" s="2244"/>
      <c r="I2078" s="2238">
        <f>VLOOKUP(A2078,'Trial Balance - FPer'!$A$7:$I$1107,7,FALSE)</f>
        <v>0</v>
      </c>
      <c r="J2078" s="2100">
        <f>VLOOKUP(A2078,'Trial Balance - FPer'!$A$7:$I$1126,3,FALSE)</f>
        <v>0</v>
      </c>
    </row>
    <row r="2079" spans="1:10" s="2615" customFormat="1" hidden="1" x14ac:dyDescent="0.2">
      <c r="A2079" s="2612"/>
      <c r="B2079" s="2613" t="s">
        <v>6838</v>
      </c>
      <c r="C2079" s="2614">
        <f>SUM(C2078)</f>
        <v>0</v>
      </c>
      <c r="D2079" s="2614">
        <f>SUM(D2078)</f>
        <v>154609.4</v>
      </c>
      <c r="E2079" s="2614">
        <f>SUM(E2078)</f>
        <v>0</v>
      </c>
      <c r="F2079" s="2614">
        <f>SUM(F2078)</f>
        <v>0</v>
      </c>
      <c r="G2079" s="2614">
        <f>SUM(G2078)</f>
        <v>38805.699999999997</v>
      </c>
      <c r="H2079" s="2614">
        <f t="shared" ref="H2079:J2079" si="240">SUM(H2078)</f>
        <v>0</v>
      </c>
      <c r="I2079" s="2614">
        <f t="shared" si="240"/>
        <v>0</v>
      </c>
      <c r="J2079" s="2614">
        <f t="shared" si="240"/>
        <v>0</v>
      </c>
    </row>
    <row r="2080" spans="1:10" ht="14.25" hidden="1" x14ac:dyDescent="0.2">
      <c r="A2080" s="2236"/>
      <c r="B2080" s="2243"/>
      <c r="C2080" s="2244"/>
      <c r="D2080" s="2245"/>
      <c r="E2080" s="2244"/>
      <c r="F2080" s="2246"/>
      <c r="G2080" s="2244"/>
      <c r="H2080" s="2244"/>
      <c r="I2080" s="2238"/>
      <c r="J2080" s="2100" t="e">
        <f>VLOOKUP(A2080,'Trial Balance - FPer'!$A$7:$I$1126,3,FALSE)</f>
        <v>#N/A</v>
      </c>
    </row>
    <row r="2081" spans="1:10" ht="14.25" hidden="1" x14ac:dyDescent="0.2">
      <c r="A2081" s="2236"/>
      <c r="B2081" s="2242" t="s">
        <v>646</v>
      </c>
      <c r="C2081" s="2244"/>
      <c r="D2081" s="2245"/>
      <c r="E2081" s="2244"/>
      <c r="F2081" s="2246"/>
      <c r="G2081" s="2244"/>
      <c r="H2081" s="2244"/>
      <c r="I2081" s="2238"/>
      <c r="J2081" s="2100" t="e">
        <f>VLOOKUP(A2081,'Trial Balance - FPer'!$A$7:$I$1126,3,FALSE)</f>
        <v>#N/A</v>
      </c>
    </row>
    <row r="2082" spans="1:10" ht="14.25" hidden="1" x14ac:dyDescent="0.2">
      <c r="A2082" s="2236" t="s">
        <v>5905</v>
      </c>
      <c r="B2082" s="2247" t="s">
        <v>6853</v>
      </c>
      <c r="C2082" s="2248">
        <f>'[2]Data File'!$C$2041</f>
        <v>16009593.859999999</v>
      </c>
      <c r="D2082" s="2249">
        <v>0</v>
      </c>
      <c r="E2082" s="2248">
        <v>658490.18000000005</v>
      </c>
      <c r="F2082" s="2250">
        <v>1400000</v>
      </c>
      <c r="G2082" s="2248">
        <v>658490.18000000005</v>
      </c>
      <c r="H2082" s="2100">
        <v>894588.38</v>
      </c>
      <c r="I2082" s="2238">
        <f>VLOOKUP(A2082,'Trial Balance - FPer'!$A$7:$I$1107,7,FALSE)</f>
        <v>0</v>
      </c>
      <c r="J2082" s="2100">
        <f>VLOOKUP(A2082,'Trial Balance - FPer'!$A$7:$I$1126,3,FALSE)</f>
        <v>16009593.859999999</v>
      </c>
    </row>
    <row r="2083" spans="1:10" s="2615" customFormat="1" hidden="1" x14ac:dyDescent="0.2">
      <c r="A2083" s="2612"/>
      <c r="B2083" s="2613" t="s">
        <v>6840</v>
      </c>
      <c r="C2083" s="2614">
        <f>SUM(C2082)</f>
        <v>16009593.859999999</v>
      </c>
      <c r="D2083" s="2614">
        <f>SUM(D2082)</f>
        <v>0</v>
      </c>
      <c r="E2083" s="2614">
        <f>SUM(E2082)</f>
        <v>658490.18000000005</v>
      </c>
      <c r="F2083" s="2614">
        <f>SUM(F2082)</f>
        <v>1400000</v>
      </c>
      <c r="G2083" s="2614">
        <f>SUM(G2082)</f>
        <v>658490.18000000005</v>
      </c>
      <c r="H2083" s="2614">
        <f t="shared" ref="H2083:J2083" si="241">SUM(H2082)</f>
        <v>894588.38</v>
      </c>
      <c r="I2083" s="2614">
        <f t="shared" si="241"/>
        <v>0</v>
      </c>
      <c r="J2083" s="2614">
        <f t="shared" si="241"/>
        <v>16009593.859999999</v>
      </c>
    </row>
    <row r="2084" spans="1:10" ht="14.25" hidden="1" x14ac:dyDescent="0.2">
      <c r="A2084" s="2236"/>
      <c r="B2084" s="2243"/>
      <c r="C2084" s="2244"/>
      <c r="D2084" s="2245"/>
      <c r="E2084" s="2244"/>
      <c r="F2084" s="2246"/>
      <c r="G2084" s="2244"/>
      <c r="H2084" s="2244"/>
      <c r="I2084" s="2238"/>
      <c r="J2084" s="2100" t="e">
        <f>VLOOKUP(A2084,'Trial Balance - FPer'!$A$7:$I$1126,3,FALSE)</f>
        <v>#N/A</v>
      </c>
    </row>
    <row r="2085" spans="1:10" ht="14.25" hidden="1" x14ac:dyDescent="0.2">
      <c r="A2085" s="2236"/>
      <c r="B2085" s="2242" t="s">
        <v>6681</v>
      </c>
      <c r="C2085" s="2244"/>
      <c r="D2085" s="2245"/>
      <c r="E2085" s="2244"/>
      <c r="F2085" s="2246"/>
      <c r="G2085" s="2244"/>
      <c r="H2085" s="2244"/>
      <c r="I2085" s="2238"/>
      <c r="J2085" s="2100" t="e">
        <f>VLOOKUP(A2085,'Trial Balance - FPer'!$A$7:$I$1126,3,FALSE)</f>
        <v>#N/A</v>
      </c>
    </row>
    <row r="2086" spans="1:10" ht="14.25" hidden="1" x14ac:dyDescent="0.2">
      <c r="A2086" s="2236" t="s">
        <v>5907</v>
      </c>
      <c r="B2086" s="2243" t="s">
        <v>6841</v>
      </c>
      <c r="C2086" s="2244">
        <v>0</v>
      </c>
      <c r="D2086" s="2245">
        <v>0</v>
      </c>
      <c r="E2086" s="2244">
        <v>0</v>
      </c>
      <c r="F2086" s="2246">
        <v>0</v>
      </c>
      <c r="G2086" s="2244">
        <v>0</v>
      </c>
      <c r="H2086" s="2244"/>
      <c r="I2086" s="2238">
        <f>VLOOKUP(A2086,'Trial Balance - FPer'!$A$7:$I$1107,7,FALSE)</f>
        <v>0</v>
      </c>
      <c r="J2086" s="2100" t="str">
        <f>VLOOKUP(A2086,'Trial Balance - FPer'!$A$7:$I$1126,3,FALSE)</f>
        <v xml:space="preserve">                               -  </v>
      </c>
    </row>
    <row r="2087" spans="1:10" ht="14.25" hidden="1" x14ac:dyDescent="0.2">
      <c r="A2087" s="2599" t="s">
        <v>5908</v>
      </c>
      <c r="B2087" s="2603" t="s">
        <v>6264</v>
      </c>
      <c r="C2087" s="2604">
        <f>'[2]Data File'!$C$2063</f>
        <v>0</v>
      </c>
      <c r="D2087" s="2604">
        <v>627000</v>
      </c>
      <c r="E2087" s="2604">
        <v>0</v>
      </c>
      <c r="F2087" s="2604">
        <v>627000</v>
      </c>
      <c r="G2087" s="2604">
        <v>157377</v>
      </c>
      <c r="H2087" s="2601"/>
      <c r="I2087" s="2238"/>
      <c r="J2087" s="2100">
        <f>VLOOKUP(A2087,'Trial Balance - FPer'!$A$7:$I$1126,3,FALSE)</f>
        <v>0</v>
      </c>
    </row>
    <row r="2088" spans="1:10" s="2615" customFormat="1" hidden="1" x14ac:dyDescent="0.2">
      <c r="A2088" s="2612"/>
      <c r="B2088" s="2613" t="s">
        <v>6684</v>
      </c>
      <c r="C2088" s="2614">
        <f>SUM(C2086:C2087)</f>
        <v>0</v>
      </c>
      <c r="D2088" s="2614">
        <f>SUM(D2086:D2087)</f>
        <v>627000</v>
      </c>
      <c r="E2088" s="2614">
        <f>SUM(E2086:E2087)</f>
        <v>0</v>
      </c>
      <c r="F2088" s="2614">
        <f>SUM(F2086:F2087)</f>
        <v>627000</v>
      </c>
      <c r="G2088" s="2614">
        <f>SUM(G2086:G2087)</f>
        <v>157377</v>
      </c>
      <c r="H2088" s="2614">
        <f t="shared" ref="H2088:J2088" si="242">SUM(H2086:H2087)</f>
        <v>0</v>
      </c>
      <c r="I2088" s="2614">
        <f t="shared" si="242"/>
        <v>0</v>
      </c>
      <c r="J2088" s="2614">
        <f t="shared" si="242"/>
        <v>0</v>
      </c>
    </row>
    <row r="2089" spans="1:10" ht="14.25" hidden="1" x14ac:dyDescent="0.2">
      <c r="A2089" s="2236"/>
      <c r="B2089" s="2243"/>
      <c r="C2089" s="2244"/>
      <c r="D2089" s="2245"/>
      <c r="E2089" s="2244"/>
      <c r="F2089" s="2246"/>
      <c r="G2089" s="2244"/>
      <c r="H2089" s="2244"/>
      <c r="I2089" s="2238"/>
      <c r="J2089" s="2100" t="e">
        <f>VLOOKUP(A2089,'Trial Balance - FPer'!$A$7:$I$1126,3,FALSE)</f>
        <v>#N/A</v>
      </c>
    </row>
    <row r="2090" spans="1:10" ht="14.25" hidden="1" x14ac:dyDescent="0.2">
      <c r="A2090" s="2236"/>
      <c r="B2090" s="2242" t="s">
        <v>6599</v>
      </c>
      <c r="C2090" s="2244"/>
      <c r="D2090" s="2245"/>
      <c r="E2090" s="2244"/>
      <c r="F2090" s="2246"/>
      <c r="G2090" s="2244"/>
      <c r="H2090" s="2244"/>
      <c r="I2090" s="2238"/>
      <c r="J2090" s="2100" t="e">
        <f>VLOOKUP(A2090,'Trial Balance - FPer'!$A$7:$I$1126,3,FALSE)</f>
        <v>#N/A</v>
      </c>
    </row>
    <row r="2091" spans="1:10" ht="14.25" hidden="1" x14ac:dyDescent="0.2">
      <c r="A2091" s="2236" t="s">
        <v>5910</v>
      </c>
      <c r="B2091" s="2243" t="s">
        <v>6601</v>
      </c>
      <c r="C2091" s="2244">
        <f>'[2]Data File'!$C$2029</f>
        <v>0</v>
      </c>
      <c r="D2091" s="2245">
        <v>12700.6</v>
      </c>
      <c r="E2091" s="2244">
        <v>0</v>
      </c>
      <c r="F2091" s="2246">
        <v>0</v>
      </c>
      <c r="G2091" s="2253">
        <v>3188.3</v>
      </c>
      <c r="H2091" s="2100">
        <v>0</v>
      </c>
      <c r="I2091" s="2238">
        <f>VLOOKUP(A2091,'Trial Balance - FPer'!$A$7:$I$1107,7,FALSE)</f>
        <v>0</v>
      </c>
      <c r="J2091" s="2100">
        <f>VLOOKUP(A2091,'Trial Balance - FPer'!$A$7:$I$1126,3,FALSE)</f>
        <v>0</v>
      </c>
    </row>
    <row r="2092" spans="1:10" ht="14.25" hidden="1" x14ac:dyDescent="0.2">
      <c r="A2092" s="2236" t="s">
        <v>5911</v>
      </c>
      <c r="B2092" s="2243" t="s">
        <v>6690</v>
      </c>
      <c r="C2092" s="2244">
        <f>'[2]Data File'!$C$2026</f>
        <v>0</v>
      </c>
      <c r="D2092" s="2245">
        <v>6392.1</v>
      </c>
      <c r="E2092" s="2244">
        <v>0</v>
      </c>
      <c r="F2092" s="2246">
        <v>0</v>
      </c>
      <c r="G2092" s="2253">
        <v>1603.05</v>
      </c>
      <c r="H2092" s="2100">
        <v>0</v>
      </c>
      <c r="I2092" s="2238">
        <f>VLOOKUP(A2092,'Trial Balance - FPer'!$A$7:$I$1107,7,FALSE)</f>
        <v>0</v>
      </c>
      <c r="J2092" s="2100">
        <f>VLOOKUP(A2092,'Trial Balance - FPer'!$A$7:$I$1126,3,FALSE)</f>
        <v>0</v>
      </c>
    </row>
    <row r="2093" spans="1:10" ht="14.25" hidden="1" x14ac:dyDescent="0.2">
      <c r="A2093" s="2236" t="s">
        <v>5912</v>
      </c>
      <c r="B2093" s="2243" t="s">
        <v>6605</v>
      </c>
      <c r="C2093" s="2244">
        <f>'[2]Data File'!$C$2028</f>
        <v>0</v>
      </c>
      <c r="D2093" s="2245">
        <v>6934.4</v>
      </c>
      <c r="E2093" s="2244">
        <v>0</v>
      </c>
      <c r="F2093" s="2246">
        <v>0</v>
      </c>
      <c r="G2093" s="2253">
        <v>1739.2</v>
      </c>
      <c r="H2093" s="2100">
        <v>0</v>
      </c>
      <c r="I2093" s="2238">
        <f>VLOOKUP(A2093,'Trial Balance - FPer'!$A$7:$I$1107,7,FALSE)</f>
        <v>0</v>
      </c>
      <c r="J2093" s="2100">
        <f>VLOOKUP(A2093,'Trial Balance - FPer'!$A$7:$I$1126,3,FALSE)</f>
        <v>0</v>
      </c>
    </row>
    <row r="2094" spans="1:10" ht="14.25" hidden="1" x14ac:dyDescent="0.2">
      <c r="A2094" s="2236" t="s">
        <v>5913</v>
      </c>
      <c r="B2094" s="2243" t="s">
        <v>6608</v>
      </c>
      <c r="C2094" s="2244">
        <f>'[2]Data File'!$C$2033</f>
        <v>10032.34</v>
      </c>
      <c r="D2094" s="2245">
        <v>16956.5</v>
      </c>
      <c r="E2094" s="2244">
        <v>10589.84</v>
      </c>
      <c r="F2094" s="2246">
        <v>16956.5</v>
      </c>
      <c r="G2094" s="2253">
        <v>20187.38</v>
      </c>
      <c r="H2094" s="2100">
        <v>10589.84</v>
      </c>
      <c r="I2094" s="2238">
        <f>VLOOKUP(A2094,'Trial Balance - FPer'!$A$7:$I$1107,7,FALSE)</f>
        <v>0</v>
      </c>
      <c r="J2094" s="2100">
        <f>VLOOKUP(A2094,'Trial Balance - FPer'!$A$7:$I$1126,3,FALSE)</f>
        <v>0</v>
      </c>
    </row>
    <row r="2095" spans="1:10" ht="14.25" hidden="1" x14ac:dyDescent="0.2">
      <c r="A2095" s="2236" t="s">
        <v>5914</v>
      </c>
      <c r="B2095" s="2243" t="s">
        <v>6609</v>
      </c>
      <c r="C2095" s="2244">
        <f>'[2]Data File'!$C$2030</f>
        <v>29843.34</v>
      </c>
      <c r="D2095" s="2245">
        <v>10384.64</v>
      </c>
      <c r="E2095" s="2244">
        <v>108914.58</v>
      </c>
      <c r="F2095" s="2246">
        <v>190865.64</v>
      </c>
      <c r="G2095" s="2253">
        <v>166405.82999999999</v>
      </c>
      <c r="H2095" s="2100">
        <v>122573.01</v>
      </c>
      <c r="I2095" s="2238">
        <f>VLOOKUP(A2095,'Trial Balance - FPer'!$A$7:$I$1107,7,FALSE)</f>
        <v>201088.94</v>
      </c>
      <c r="J2095" s="2100">
        <f>VLOOKUP(A2095,'Trial Balance - FPer'!$A$7:$I$1126,3,FALSE)</f>
        <v>29843.34</v>
      </c>
    </row>
    <row r="2096" spans="1:10" ht="14.25" hidden="1" x14ac:dyDescent="0.2">
      <c r="A2096" s="2236" t="s">
        <v>5915</v>
      </c>
      <c r="B2096" s="2243" t="s">
        <v>6732</v>
      </c>
      <c r="C2096" s="2244">
        <f>'[2]Data File'!$C$2035</f>
        <v>0</v>
      </c>
      <c r="D2096" s="2245">
        <v>6790.3</v>
      </c>
      <c r="E2096" s="2244">
        <v>0</v>
      </c>
      <c r="F2096" s="2246">
        <v>0</v>
      </c>
      <c r="G2096" s="2253">
        <v>1703.15</v>
      </c>
      <c r="H2096" s="2100">
        <v>0</v>
      </c>
      <c r="I2096" s="2238">
        <f>VLOOKUP(A2096,'Trial Balance - FPer'!$A$7:$I$1107,7,FALSE)</f>
        <v>0</v>
      </c>
      <c r="J2096" s="2100">
        <f>VLOOKUP(A2096,'Trial Balance - FPer'!$A$7:$I$1126,3,FALSE)</f>
        <v>0</v>
      </c>
    </row>
    <row r="2097" spans="1:10" ht="14.25" hidden="1" x14ac:dyDescent="0.2">
      <c r="A2097" s="2236" t="s">
        <v>5916</v>
      </c>
      <c r="B2097" s="2243" t="s">
        <v>6612</v>
      </c>
      <c r="C2097" s="2244">
        <f>'[2]Data File'!$C$2027</f>
        <v>0</v>
      </c>
      <c r="D2097" s="2245">
        <v>49965.3</v>
      </c>
      <c r="E2097" s="2244">
        <v>0</v>
      </c>
      <c r="F2097" s="2246">
        <v>0</v>
      </c>
      <c r="G2097" s="2253">
        <v>12541.65</v>
      </c>
      <c r="H2097" s="2100">
        <v>0</v>
      </c>
      <c r="I2097" s="2238">
        <f>VLOOKUP(A2097,'Trial Balance - FPer'!$A$7:$I$1107,7,FALSE)</f>
        <v>0</v>
      </c>
      <c r="J2097" s="2100">
        <f>VLOOKUP(A2097,'Trial Balance - FPer'!$A$7:$I$1126,3,FALSE)</f>
        <v>0</v>
      </c>
    </row>
    <row r="2098" spans="1:10" ht="14.25" hidden="1" x14ac:dyDescent="0.2">
      <c r="A2098" s="2236" t="s">
        <v>5917</v>
      </c>
      <c r="B2098" s="2243" t="s">
        <v>6613</v>
      </c>
      <c r="C2098" s="2244">
        <f>'[2]Data File'!$C$2036</f>
        <v>28534.75</v>
      </c>
      <c r="D2098" s="2245">
        <v>30817.53</v>
      </c>
      <c r="E2098" s="2244">
        <v>0</v>
      </c>
      <c r="F2098" s="2246">
        <v>0</v>
      </c>
      <c r="G2098" s="2253">
        <v>7734.77</v>
      </c>
      <c r="H2098" s="2100">
        <v>0</v>
      </c>
      <c r="I2098" s="2238">
        <f>VLOOKUP(A2098,'Trial Balance - FPer'!$A$7:$I$1107,7,FALSE)</f>
        <v>0</v>
      </c>
      <c r="J2098" s="2100">
        <f>VLOOKUP(A2098,'Trial Balance - FPer'!$A$7:$I$1126,3,FALSE)</f>
        <v>28534.75</v>
      </c>
    </row>
    <row r="2099" spans="1:10" ht="14.25" hidden="1" x14ac:dyDescent="0.2">
      <c r="A2099" s="2236" t="s">
        <v>5918</v>
      </c>
      <c r="B2099" s="2243" t="s">
        <v>6033</v>
      </c>
      <c r="C2099" s="2244">
        <f>'[2]Data File'!$C$2031</f>
        <v>350.01</v>
      </c>
      <c r="D2099" s="2245">
        <v>1629.1</v>
      </c>
      <c r="E2099" s="2244">
        <v>0</v>
      </c>
      <c r="F2099" s="2246">
        <v>0</v>
      </c>
      <c r="G2099" s="2253">
        <v>409.55</v>
      </c>
      <c r="H2099" s="2100">
        <v>0</v>
      </c>
      <c r="I2099" s="2238">
        <f>VLOOKUP(A2099,'Trial Balance - FPer'!$A$7:$I$1107,7,FALSE)</f>
        <v>0</v>
      </c>
      <c r="J2099" s="2100">
        <f>VLOOKUP(A2099,'Trial Balance - FPer'!$A$7:$I$1126,3,FALSE)</f>
        <v>0</v>
      </c>
    </row>
    <row r="2100" spans="1:10" ht="14.25" hidden="1" x14ac:dyDescent="0.2">
      <c r="A2100" s="2236" t="s">
        <v>5919</v>
      </c>
      <c r="B2100" s="2247" t="s">
        <v>6854</v>
      </c>
      <c r="C2100" s="2248">
        <f>'[2]Data File'!$C$2037</f>
        <v>0</v>
      </c>
      <c r="D2100" s="2249">
        <v>55296.32</v>
      </c>
      <c r="E2100" s="2248">
        <v>0</v>
      </c>
      <c r="F2100" s="2250">
        <v>0</v>
      </c>
      <c r="G2100" s="2248">
        <v>13878.16</v>
      </c>
      <c r="H2100" s="2100">
        <v>0</v>
      </c>
      <c r="I2100" s="2238">
        <f>VLOOKUP(A2100,'Trial Balance - FPer'!$A$7:$I$1107,7,FALSE)</f>
        <v>0</v>
      </c>
      <c r="J2100" s="2100">
        <f>VLOOKUP(A2100,'Trial Balance - FPer'!$A$7:$I$1126,3,FALSE)</f>
        <v>0</v>
      </c>
    </row>
    <row r="2101" spans="1:10" s="2615" customFormat="1" hidden="1" x14ac:dyDescent="0.2">
      <c r="A2101" s="2612"/>
      <c r="B2101" s="2613" t="s">
        <v>6614</v>
      </c>
      <c r="C2101" s="2614">
        <f>SUM(C2091:C2100)</f>
        <v>68760.439999999988</v>
      </c>
      <c r="D2101" s="2614">
        <f>SUM(D2091:D2100)</f>
        <v>197866.79</v>
      </c>
      <c r="E2101" s="2614">
        <f>SUM(E2091:E2100)</f>
        <v>119504.42</v>
      </c>
      <c r="F2101" s="2614">
        <f>SUM(F2091:F2100)</f>
        <v>207822.14</v>
      </c>
      <c r="G2101" s="2614">
        <f>SUM(G2091:G2100)</f>
        <v>229391.03999999995</v>
      </c>
      <c r="H2101" s="2614">
        <f t="shared" ref="H2101" si="243">SUM(H2091:H2100)</f>
        <v>133162.85</v>
      </c>
      <c r="I2101" s="2614">
        <f>SUM(I2091:I2100)</f>
        <v>201088.94</v>
      </c>
      <c r="J2101" s="2614">
        <f>SUM(J2091:J2100)</f>
        <v>58378.09</v>
      </c>
    </row>
    <row r="2102" spans="1:10" ht="14.25" hidden="1" x14ac:dyDescent="0.2">
      <c r="A2102" s="2236"/>
      <c r="B2102" s="2243"/>
      <c r="C2102" s="2244"/>
      <c r="D2102" s="2245"/>
      <c r="E2102" s="2244"/>
      <c r="F2102" s="2246"/>
      <c r="G2102" s="2244"/>
      <c r="H2102" s="2244"/>
      <c r="I2102" s="2238"/>
      <c r="J2102" s="2100" t="e">
        <f>VLOOKUP(A2102,'Trial Balance - FPer'!$A$7:$I$1126,3,FALSE)</f>
        <v>#N/A</v>
      </c>
    </row>
    <row r="2103" spans="1:10" ht="14.25" hidden="1" x14ac:dyDescent="0.2">
      <c r="A2103" s="2236"/>
      <c r="B2103" s="2242" t="s">
        <v>6615</v>
      </c>
      <c r="C2103" s="2244"/>
      <c r="D2103" s="2245"/>
      <c r="E2103" s="2244"/>
      <c r="F2103" s="2246"/>
      <c r="G2103" s="2244"/>
      <c r="H2103" s="2244"/>
      <c r="I2103" s="2238"/>
      <c r="J2103" s="2100" t="e">
        <f>VLOOKUP(A2103,'Trial Balance - FPer'!$A$7:$I$1126,3,FALSE)</f>
        <v>#N/A</v>
      </c>
    </row>
    <row r="2104" spans="1:10" ht="14.25" hidden="1" x14ac:dyDescent="0.2">
      <c r="A2104" s="2236" t="s">
        <v>5920</v>
      </c>
      <c r="B2104" s="2243" t="s">
        <v>6855</v>
      </c>
      <c r="C2104" s="2244">
        <f>'[2]Data File'!$C$2056</f>
        <v>0</v>
      </c>
      <c r="D2104" s="2245">
        <v>18181.23</v>
      </c>
      <c r="E2104" s="2244">
        <v>0</v>
      </c>
      <c r="F2104" s="2246">
        <v>0</v>
      </c>
      <c r="G2104" s="2253">
        <v>4563.6099999999997</v>
      </c>
      <c r="H2104" s="2100">
        <v>0</v>
      </c>
      <c r="I2104" s="2238">
        <f>VLOOKUP(A2104,'Trial Balance - FPer'!$A$7:$I$1107,7,FALSE)</f>
        <v>0</v>
      </c>
      <c r="J2104" s="2100" t="str">
        <f>VLOOKUP(A2104,'Trial Balance - FPer'!$A$7:$I$1126,3,FALSE)</f>
        <v xml:space="preserve">                               -  </v>
      </c>
    </row>
    <row r="2105" spans="1:10" ht="14.25" hidden="1" x14ac:dyDescent="0.2">
      <c r="A2105" s="2236" t="s">
        <v>5921</v>
      </c>
      <c r="B2105" s="2243" t="s">
        <v>6821</v>
      </c>
      <c r="C2105" s="2244">
        <f>'[2]Data File'!$C$2057</f>
        <v>513</v>
      </c>
      <c r="D2105" s="2245">
        <v>564.63</v>
      </c>
      <c r="E2105" s="2244">
        <v>0</v>
      </c>
      <c r="F2105" s="2246">
        <v>0</v>
      </c>
      <c r="G2105" s="2253">
        <v>141.31</v>
      </c>
      <c r="H2105" s="2100">
        <v>0</v>
      </c>
      <c r="I2105" s="2238">
        <f>VLOOKUP(A2105,'Trial Balance - FPer'!$A$7:$I$1107,7,FALSE)</f>
        <v>0</v>
      </c>
      <c r="J2105" s="2100">
        <f>VLOOKUP(A2105,'Trial Balance - FPer'!$A$7:$I$1126,3,FALSE)</f>
        <v>513</v>
      </c>
    </row>
    <row r="2106" spans="1:10" ht="14.25" hidden="1" x14ac:dyDescent="0.2">
      <c r="A2106" s="2236" t="s">
        <v>5922</v>
      </c>
      <c r="B2106" s="2243" t="s">
        <v>6265</v>
      </c>
      <c r="C2106" s="2244">
        <f>'[2]Data File'!$C$2058</f>
        <v>12380</v>
      </c>
      <c r="D2106" s="2245">
        <v>89821.79</v>
      </c>
      <c r="E2106" s="2244">
        <v>8259.56</v>
      </c>
      <c r="F2106" s="2246">
        <v>45000</v>
      </c>
      <c r="G2106" s="2253">
        <v>34971.94</v>
      </c>
      <c r="H2106" s="2100">
        <v>19499.93</v>
      </c>
      <c r="I2106" s="2238">
        <f>VLOOKUP(A2106,'Trial Balance - FPer'!$A$7:$I$1107,7,FALSE)</f>
        <v>19499.93</v>
      </c>
      <c r="J2106" s="2100">
        <f>VLOOKUP(A2106,'Trial Balance - FPer'!$A$7:$I$1126,3,FALSE)</f>
        <v>12380</v>
      </c>
    </row>
    <row r="2107" spans="1:10" ht="14.25" hidden="1" x14ac:dyDescent="0.2">
      <c r="A2107" s="2236" t="s">
        <v>5923</v>
      </c>
      <c r="B2107" s="2247" t="s">
        <v>6856</v>
      </c>
      <c r="C2107" s="2248">
        <f>'[2]Data File'!$C$2059</f>
        <v>0</v>
      </c>
      <c r="D2107" s="2249">
        <v>25173.71</v>
      </c>
      <c r="E2107" s="2248">
        <v>0</v>
      </c>
      <c r="F2107" s="2250">
        <v>0</v>
      </c>
      <c r="G2107" s="2248">
        <v>6319.86</v>
      </c>
      <c r="H2107" s="2100">
        <v>0</v>
      </c>
      <c r="I2107" s="2238">
        <f>VLOOKUP(A2107,'Trial Balance - FPer'!$A$7:$I$1107,7,FALSE)</f>
        <v>0</v>
      </c>
      <c r="J2107" s="2100" t="str">
        <f>VLOOKUP(A2107,'Trial Balance - FPer'!$A$7:$I$1126,3,FALSE)</f>
        <v xml:space="preserve">                               -  </v>
      </c>
    </row>
    <row r="2108" spans="1:10" s="2615" customFormat="1" hidden="1" x14ac:dyDescent="0.2">
      <c r="A2108" s="2612"/>
      <c r="B2108" s="2613" t="s">
        <v>6618</v>
      </c>
      <c r="C2108" s="2614">
        <f>SUM(C2104:C2107)</f>
        <v>12893</v>
      </c>
      <c r="D2108" s="2614">
        <f>SUM(D2104:D2107)</f>
        <v>133741.35999999999</v>
      </c>
      <c r="E2108" s="2614">
        <f>SUM(E2104:E2107)</f>
        <v>8259.56</v>
      </c>
      <c r="F2108" s="2614">
        <f>SUM(F2104:F2107)</f>
        <v>45000</v>
      </c>
      <c r="G2108" s="2614">
        <f>SUM(G2104:G2107)</f>
        <v>45996.72</v>
      </c>
      <c r="H2108" s="2614">
        <f t="shared" ref="H2108" si="244">SUM(H2104:H2107)</f>
        <v>19499.93</v>
      </c>
      <c r="I2108" s="2614">
        <f>SUM(I2104:I2107)</f>
        <v>19499.93</v>
      </c>
      <c r="J2108" s="2614">
        <f>SUM(J2104:J2107)</f>
        <v>12893</v>
      </c>
    </row>
    <row r="2109" spans="1:10" ht="14.25" hidden="1" x14ac:dyDescent="0.2">
      <c r="A2109" s="2236"/>
      <c r="B2109" s="2243"/>
      <c r="C2109" s="2244"/>
      <c r="D2109" s="2245"/>
      <c r="E2109" s="2244"/>
      <c r="F2109" s="2246"/>
      <c r="G2109" s="2244"/>
      <c r="H2109" s="2244"/>
      <c r="I2109" s="2238"/>
      <c r="J2109" s="2100" t="e">
        <f>VLOOKUP(A2109,'Trial Balance - FPer'!$A$7:$I$1126,3,FALSE)</f>
        <v>#N/A</v>
      </c>
    </row>
    <row r="2110" spans="1:10" s="2615" customFormat="1" ht="13.5" thickBot="1" x14ac:dyDescent="0.25">
      <c r="A2110" s="2612"/>
      <c r="B2110" s="2616" t="s">
        <v>6623</v>
      </c>
      <c r="C2110" s="2617">
        <f>C2067+C2071+C2075+C2079+C2083+C2088+C2101+C2108</f>
        <v>16853394.359999999</v>
      </c>
      <c r="D2110" s="2617">
        <f>D2067+D2071+D2075+D2079+D2083+D2088+D2101+D2108</f>
        <v>1793118.48</v>
      </c>
      <c r="E2110" s="2617">
        <f>E2067+E2071+E2075+E2079+E2083+E2088+E2101+E2108</f>
        <v>1166749.8500000001</v>
      </c>
      <c r="F2110" s="2617">
        <f>F2067+F2071+F2075+F2079+F2083+F2088+F2101+F2108</f>
        <v>3022123.2600000002</v>
      </c>
      <c r="G2110" s="2617">
        <f>G2067+G2071+G2075+G2079+G2083+G2088+G2101+G2108</f>
        <v>1861920.6500000001</v>
      </c>
      <c r="H2110" s="2617">
        <f t="shared" ref="H2110" si="245">H2067+H2071+H2075+H2079+H2083+H2088+H2101+H2108</f>
        <v>1482074.1400000001</v>
      </c>
      <c r="I2110" s="2617">
        <f>I2067+I2071+I2075+I2079+I2083+I2088+I2101+I2108</f>
        <v>1012074.34</v>
      </c>
      <c r="J2110" s="2617">
        <f>J2067+J2071+J2075+J2079+J2083+J2088+J2101+J2108</f>
        <v>16813184.010000002</v>
      </c>
    </row>
    <row r="2111" spans="1:10" ht="15" thickTop="1" x14ac:dyDescent="0.2">
      <c r="A2111" s="2236"/>
      <c r="B2111" s="2243"/>
      <c r="C2111" s="2244"/>
      <c r="D2111" s="2245"/>
      <c r="E2111" s="2244"/>
      <c r="F2111" s="2246"/>
      <c r="G2111" s="2244"/>
      <c r="H2111" s="2244"/>
      <c r="I2111" s="2238"/>
      <c r="J2111" s="2100" t="e">
        <f>VLOOKUP(A2111,'Trial Balance - FPer'!$A$7:$I$1126,3,FALSE)</f>
        <v>#N/A</v>
      </c>
    </row>
    <row r="2112" spans="1:10" s="2615" customFormat="1" ht="13.5" thickBot="1" x14ac:dyDescent="0.25">
      <c r="A2112" s="2612"/>
      <c r="B2112" s="2616" t="s">
        <v>6624</v>
      </c>
      <c r="C2112" s="2617">
        <f>C2053-C2110</f>
        <v>-4883918.959999999</v>
      </c>
      <c r="D2112" s="2617">
        <f>D2053-D2110</f>
        <v>-1528290.54</v>
      </c>
      <c r="E2112" s="2617">
        <f>E2053-E2110</f>
        <v>-1166749.8500000001</v>
      </c>
      <c r="F2112" s="2617">
        <f>F2053-F2110</f>
        <v>0</v>
      </c>
      <c r="G2112" s="2617">
        <f>G2053-G2110</f>
        <v>-1638072.6800000002</v>
      </c>
      <c r="H2112" s="2617">
        <f t="shared" ref="H2112:J2112" si="246">H2053-H2110</f>
        <v>-1482074.1400000001</v>
      </c>
      <c r="I2112" s="2617">
        <f t="shared" si="246"/>
        <v>-17307781.490000002</v>
      </c>
      <c r="J2112" s="2617">
        <f t="shared" si="246"/>
        <v>-28782659.410000004</v>
      </c>
    </row>
    <row r="2113" spans="1:9" ht="15" thickTop="1" x14ac:dyDescent="0.2">
      <c r="A2113" s="2236"/>
      <c r="B2113" s="2252"/>
      <c r="C2113" s="2253"/>
      <c r="D2113" s="2254"/>
      <c r="E2113" s="2253"/>
      <c r="F2113" s="2255"/>
      <c r="G2113" s="2253"/>
      <c r="H2113" s="2244"/>
      <c r="I2113" s="2238"/>
    </row>
    <row r="2114" spans="1:9" ht="14.25" x14ac:dyDescent="0.2">
      <c r="A2114" s="2236"/>
      <c r="B2114" s="2243"/>
      <c r="C2114" s="2244"/>
      <c r="D2114" s="2245"/>
      <c r="E2114" s="2244"/>
      <c r="F2114" s="2246"/>
      <c r="G2114" s="2244"/>
      <c r="H2114" s="2244"/>
      <c r="I2114" s="2238"/>
    </row>
    <row r="2115" spans="1:9" ht="14.25" x14ac:dyDescent="0.2">
      <c r="A2115" s="2256"/>
      <c r="B2115" s="2256"/>
      <c r="C2115" s="2256"/>
      <c r="D2115" s="2262"/>
      <c r="E2115" s="2256"/>
      <c r="F2115" s="2263"/>
      <c r="G2115" s="2256"/>
      <c r="H2115" s="2244"/>
      <c r="I2115" s="2238"/>
    </row>
    <row r="2116" spans="1:9" ht="14.25" x14ac:dyDescent="0.2">
      <c r="A2116" s="2256"/>
      <c r="B2116" s="2256"/>
      <c r="C2116" s="2256"/>
      <c r="D2116" s="2262"/>
      <c r="E2116" s="2256"/>
      <c r="F2116" s="2263"/>
      <c r="G2116" s="2256"/>
      <c r="H2116" s="2244"/>
      <c r="I2116" s="2238"/>
    </row>
    <row r="2117" spans="1:9" ht="14.25" x14ac:dyDescent="0.2">
      <c r="A2117" s="2256"/>
      <c r="B2117" s="2256"/>
      <c r="C2117" s="2256"/>
      <c r="D2117" s="2262"/>
      <c r="E2117" s="2256"/>
      <c r="F2117" s="2263"/>
      <c r="G2117" s="2256"/>
      <c r="H2117" s="2244"/>
      <c r="I2117" s="2238"/>
    </row>
    <row r="2118" spans="1:9" ht="14.25" x14ac:dyDescent="0.2">
      <c r="A2118" s="2256"/>
      <c r="B2118" s="2256"/>
      <c r="C2118" s="2256"/>
      <c r="D2118" s="2262"/>
      <c r="E2118" s="2256"/>
      <c r="F2118" s="2263"/>
      <c r="G2118" s="2256"/>
      <c r="H2118" s="2244"/>
      <c r="I2118" s="2238"/>
    </row>
    <row r="2119" spans="1:9" ht="14.25" x14ac:dyDescent="0.2">
      <c r="A2119" s="2256"/>
      <c r="B2119" s="2256"/>
      <c r="C2119" s="2256"/>
      <c r="D2119" s="2262"/>
      <c r="E2119" s="2256"/>
      <c r="F2119" s="2263"/>
      <c r="G2119" s="2256"/>
      <c r="H2119" s="2244"/>
      <c r="I2119" s="2238"/>
    </row>
    <row r="2120" spans="1:9" ht="14.25" x14ac:dyDescent="0.2">
      <c r="A2120" s="2256"/>
      <c r="B2120" s="2256"/>
      <c r="C2120" s="2256"/>
      <c r="D2120" s="2262"/>
      <c r="E2120" s="2256"/>
      <c r="F2120" s="2263"/>
      <c r="G2120" s="2256"/>
      <c r="H2120" s="2244"/>
      <c r="I2120" s="2238"/>
    </row>
    <row r="2121" spans="1:9" ht="14.25" x14ac:dyDescent="0.2">
      <c r="A2121" s="2256"/>
      <c r="B2121" s="2256"/>
      <c r="C2121" s="2256"/>
      <c r="D2121" s="2262"/>
      <c r="E2121" s="2256"/>
      <c r="F2121" s="2263"/>
      <c r="G2121" s="2256"/>
      <c r="H2121" s="2244"/>
      <c r="I2121" s="2238"/>
    </row>
    <row r="2122" spans="1:9" ht="14.25" x14ac:dyDescent="0.2">
      <c r="A2122" s="2256"/>
      <c r="B2122" s="2256"/>
      <c r="C2122" s="2256"/>
      <c r="D2122" s="2262"/>
      <c r="E2122" s="2256"/>
      <c r="F2122" s="2263"/>
      <c r="G2122" s="2256"/>
      <c r="H2122" s="2244"/>
      <c r="I2122" s="2238"/>
    </row>
    <row r="2123" spans="1:9" ht="14.25" x14ac:dyDescent="0.2">
      <c r="A2123" s="2256"/>
      <c r="B2123" s="2256"/>
      <c r="C2123" s="2256"/>
      <c r="D2123" s="2262"/>
      <c r="E2123" s="2256"/>
      <c r="F2123" s="2263"/>
      <c r="G2123" s="2256"/>
      <c r="H2123" s="2244">
        <v>31279000</v>
      </c>
      <c r="I2123" s="2238"/>
    </row>
    <row r="2124" spans="1:9" ht="14.25" x14ac:dyDescent="0.2">
      <c r="A2124" s="2256"/>
      <c r="B2124" s="2256"/>
      <c r="C2124" s="2256"/>
      <c r="D2124" s="2262"/>
      <c r="E2124" s="2256"/>
      <c r="F2124" s="2263"/>
      <c r="G2124" s="2256"/>
      <c r="H2124" s="2244"/>
      <c r="I2124" s="2238"/>
    </row>
    <row r="2125" spans="1:9" ht="14.25" x14ac:dyDescent="0.2">
      <c r="A2125" s="2256"/>
      <c r="B2125" s="2256"/>
      <c r="C2125" s="2256"/>
      <c r="D2125" s="2262"/>
      <c r="E2125" s="2256"/>
      <c r="F2125" s="2263"/>
      <c r="G2125" s="2256"/>
      <c r="H2125" s="2244"/>
      <c r="I2125" s="2238"/>
    </row>
    <row r="2126" spans="1:9" ht="14.25" x14ac:dyDescent="0.2">
      <c r="A2126" s="2256"/>
      <c r="B2126" s="2256"/>
      <c r="C2126" s="2256"/>
      <c r="D2126" s="2262"/>
      <c r="E2126" s="2256"/>
      <c r="F2126" s="2263"/>
      <c r="G2126" s="2256"/>
      <c r="H2126" s="2244"/>
      <c r="I2126" s="2238"/>
    </row>
    <row r="2127" spans="1:9" ht="14.25" x14ac:dyDescent="0.2">
      <c r="A2127" s="2256"/>
      <c r="B2127" s="2256"/>
      <c r="C2127" s="2256"/>
      <c r="D2127" s="2262"/>
      <c r="E2127" s="2256"/>
      <c r="F2127" s="2263"/>
      <c r="G2127" s="2256"/>
      <c r="H2127" s="2244"/>
      <c r="I2127" s="2238"/>
    </row>
    <row r="2128" spans="1:9" ht="14.25" x14ac:dyDescent="0.2">
      <c r="A2128" s="2256"/>
      <c r="B2128" s="2256"/>
      <c r="C2128" s="2256"/>
      <c r="D2128" s="2262"/>
      <c r="E2128" s="2256"/>
      <c r="F2128" s="2263"/>
      <c r="G2128" s="2256"/>
      <c r="H2128" s="2244"/>
      <c r="I2128" s="2238"/>
    </row>
    <row r="2129" spans="1:9" ht="14.25" x14ac:dyDescent="0.2">
      <c r="A2129" s="2256"/>
      <c r="B2129" s="2256"/>
      <c r="C2129" s="2256"/>
      <c r="D2129" s="2262"/>
      <c r="E2129" s="2256"/>
      <c r="F2129" s="2263"/>
      <c r="G2129" s="2256"/>
      <c r="H2129" s="2244"/>
      <c r="I2129" s="2238"/>
    </row>
    <row r="2130" spans="1:9" ht="14.25" x14ac:dyDescent="0.2">
      <c r="A2130" s="2256"/>
      <c r="B2130" s="2256"/>
      <c r="C2130" s="2256"/>
      <c r="D2130" s="2262"/>
      <c r="E2130" s="2256"/>
      <c r="F2130" s="2263"/>
      <c r="G2130" s="2256"/>
      <c r="H2130" s="2244"/>
      <c r="I2130" s="2238"/>
    </row>
    <row r="2131" spans="1:9" ht="14.25" x14ac:dyDescent="0.2">
      <c r="A2131" s="2256"/>
      <c r="B2131" s="2256"/>
      <c r="C2131" s="2256"/>
      <c r="D2131" s="2262"/>
      <c r="E2131" s="2256"/>
      <c r="F2131" s="2263"/>
      <c r="G2131" s="2256"/>
      <c r="H2131" s="2244"/>
      <c r="I2131" s="2238"/>
    </row>
    <row r="2132" spans="1:9" ht="14.25" x14ac:dyDescent="0.2">
      <c r="A2132" s="2256"/>
      <c r="B2132" s="2256"/>
      <c r="C2132" s="2256"/>
      <c r="D2132" s="2262"/>
      <c r="E2132" s="2256"/>
      <c r="F2132" s="2263"/>
      <c r="G2132" s="2256"/>
      <c r="H2132" s="2244"/>
      <c r="I2132" s="2238"/>
    </row>
    <row r="2133" spans="1:9" ht="14.25" x14ac:dyDescent="0.2">
      <c r="A2133" s="2256"/>
      <c r="B2133" s="2236"/>
      <c r="C2133" s="2244"/>
      <c r="D2133" s="2245"/>
      <c r="E2133" s="2244"/>
      <c r="F2133" s="2246"/>
      <c r="G2133" s="2244"/>
      <c r="H2133" s="2244"/>
      <c r="I2133" s="2238"/>
    </row>
    <row r="2134" spans="1:9" ht="14.25" x14ac:dyDescent="0.2">
      <c r="A2134" s="2256"/>
      <c r="B2134" s="2236"/>
      <c r="C2134" s="2244"/>
      <c r="D2134" s="2245"/>
      <c r="E2134" s="2244"/>
      <c r="F2134" s="2246"/>
      <c r="G2134" s="2244"/>
      <c r="H2134" s="2244"/>
      <c r="I2134" s="2238"/>
    </row>
    <row r="2135" spans="1:9" ht="14.25" x14ac:dyDescent="0.2">
      <c r="A2135" s="2256"/>
      <c r="B2135" s="2256"/>
      <c r="C2135" s="2256"/>
      <c r="D2135" s="2262"/>
      <c r="E2135" s="2256"/>
      <c r="F2135" s="2263"/>
      <c r="G2135" s="2256"/>
      <c r="H2135" s="2244"/>
      <c r="I2135" s="2238"/>
    </row>
    <row r="2136" spans="1:9" ht="14.25" x14ac:dyDescent="0.2">
      <c r="A2136" s="2256"/>
      <c r="B2136" s="2256"/>
      <c r="C2136" s="2256"/>
      <c r="D2136" s="2262"/>
      <c r="E2136" s="2256"/>
      <c r="F2136" s="2263"/>
      <c r="G2136" s="2256"/>
      <c r="H2136" s="2244"/>
      <c r="I2136" s="2238"/>
    </row>
    <row r="2137" spans="1:9" ht="14.25" x14ac:dyDescent="0.2">
      <c r="A2137" s="2256"/>
      <c r="B2137" s="2256"/>
      <c r="C2137" s="2256"/>
      <c r="D2137" s="2262"/>
      <c r="E2137" s="2256"/>
      <c r="F2137" s="2263"/>
      <c r="G2137" s="2256"/>
      <c r="H2137" s="2244"/>
      <c r="I2137" s="2238"/>
    </row>
    <row r="2138" spans="1:9" ht="14.25" x14ac:dyDescent="0.2">
      <c r="A2138" s="2256"/>
      <c r="B2138" s="2256"/>
      <c r="C2138" s="2256"/>
      <c r="D2138" s="2262"/>
      <c r="E2138" s="2256"/>
      <c r="F2138" s="2263"/>
      <c r="G2138" s="2256"/>
      <c r="H2138" s="2244"/>
      <c r="I2138" s="2238"/>
    </row>
    <row r="2139" spans="1:9" ht="14.25" x14ac:dyDescent="0.2">
      <c r="A2139" s="2256"/>
      <c r="B2139" s="2256"/>
      <c r="C2139" s="2256"/>
      <c r="D2139" s="2262"/>
      <c r="E2139" s="2256"/>
      <c r="F2139" s="2263"/>
      <c r="G2139" s="2256"/>
      <c r="H2139" s="2244"/>
      <c r="I2139" s="2238"/>
    </row>
    <row r="2140" spans="1:9" ht="14.25" x14ac:dyDescent="0.2">
      <c r="A2140" s="2256"/>
      <c r="B2140" s="2256"/>
      <c r="C2140" s="2256"/>
      <c r="D2140" s="2262"/>
      <c r="E2140" s="2256"/>
      <c r="F2140" s="2263"/>
      <c r="G2140" s="2256"/>
      <c r="H2140" s="2244"/>
      <c r="I2140" s="2238"/>
    </row>
    <row r="2141" spans="1:9" ht="14.25" x14ac:dyDescent="0.2">
      <c r="A2141" s="2256"/>
      <c r="B2141" s="2256"/>
      <c r="C2141" s="2256"/>
      <c r="D2141" s="2262"/>
      <c r="E2141" s="2256"/>
      <c r="F2141" s="2263"/>
      <c r="G2141" s="2256"/>
      <c r="H2141" s="2244"/>
      <c r="I2141" s="2238"/>
    </row>
    <row r="2142" spans="1:9" ht="14.25" x14ac:dyDescent="0.2">
      <c r="A2142" s="2256"/>
      <c r="B2142" s="2256"/>
      <c r="C2142" s="2256"/>
      <c r="D2142" s="2262"/>
      <c r="E2142" s="2256"/>
      <c r="F2142" s="2263"/>
      <c r="G2142" s="2256"/>
      <c r="H2142" s="2244"/>
      <c r="I2142" s="2238"/>
    </row>
    <row r="2143" spans="1:9" ht="14.25" x14ac:dyDescent="0.2">
      <c r="A2143" s="2256"/>
      <c r="B2143" s="2256"/>
      <c r="C2143" s="2256"/>
      <c r="D2143" s="2262"/>
      <c r="E2143" s="2256"/>
      <c r="F2143" s="2263"/>
      <c r="G2143" s="2256"/>
      <c r="H2143" s="2244"/>
      <c r="I2143" s="2238"/>
    </row>
    <row r="2144" spans="1:9" ht="14.25" x14ac:dyDescent="0.2">
      <c r="A2144" s="2256"/>
      <c r="B2144" s="2256"/>
      <c r="C2144" s="2256"/>
      <c r="D2144" s="2262"/>
      <c r="E2144" s="2256"/>
      <c r="F2144" s="2263"/>
      <c r="G2144" s="2256"/>
      <c r="H2144" s="2244"/>
      <c r="I2144" s="2238"/>
    </row>
    <row r="2145" spans="1:9" ht="14.25" x14ac:dyDescent="0.2">
      <c r="A2145" s="2256"/>
      <c r="B2145" s="2256"/>
      <c r="C2145" s="2256"/>
      <c r="D2145" s="2262"/>
      <c r="E2145" s="2256"/>
      <c r="F2145" s="2263"/>
      <c r="G2145" s="2256"/>
      <c r="H2145" s="2244">
        <v>47922000</v>
      </c>
      <c r="I2145" s="2238"/>
    </row>
    <row r="2146" spans="1:9" ht="14.25" x14ac:dyDescent="0.2">
      <c r="A2146" s="2256"/>
      <c r="B2146" s="2256"/>
      <c r="C2146" s="2256"/>
      <c r="D2146" s="2262"/>
      <c r="E2146" s="2256"/>
      <c r="F2146" s="2263"/>
      <c r="G2146" s="2256"/>
      <c r="H2146" s="2244">
        <v>28989000</v>
      </c>
      <c r="I2146" s="2238"/>
    </row>
    <row r="2147" spans="1:9" ht="14.25" x14ac:dyDescent="0.2">
      <c r="A2147" s="2256"/>
      <c r="B2147" s="2256"/>
      <c r="C2147" s="2256"/>
      <c r="D2147" s="2262"/>
      <c r="E2147" s="2256"/>
      <c r="F2147" s="2263"/>
      <c r="G2147" s="2256"/>
      <c r="H2147" s="2244"/>
      <c r="I2147" s="2238"/>
    </row>
    <row r="2148" spans="1:9" ht="14.25" x14ac:dyDescent="0.2">
      <c r="A2148" s="2256"/>
      <c r="B2148" s="2256"/>
      <c r="C2148" s="2256"/>
      <c r="D2148" s="2262"/>
      <c r="E2148" s="2256"/>
      <c r="F2148" s="2263"/>
      <c r="G2148" s="2256"/>
      <c r="H2148" s="2244"/>
      <c r="I2148" s="2238"/>
    </row>
    <row r="2149" spans="1:9" ht="14.25" x14ac:dyDescent="0.2">
      <c r="A2149" s="2256"/>
      <c r="B2149" s="2256"/>
      <c r="C2149" s="2256"/>
      <c r="D2149" s="2262"/>
      <c r="E2149" s="2256"/>
      <c r="F2149" s="2263"/>
      <c r="G2149" s="2256"/>
      <c r="H2149" s="2244"/>
      <c r="I2149" s="2238"/>
    </row>
    <row r="2150" spans="1:9" ht="14.25" x14ac:dyDescent="0.2">
      <c r="A2150" s="2256"/>
      <c r="B2150" s="2256"/>
      <c r="C2150" s="2256"/>
      <c r="D2150" s="2262"/>
      <c r="E2150" s="2256"/>
      <c r="F2150" s="2263"/>
      <c r="G2150" s="2256"/>
      <c r="H2150" s="2244"/>
      <c r="I2150" s="2238"/>
    </row>
    <row r="2151" spans="1:9" ht="14.25" x14ac:dyDescent="0.2">
      <c r="A2151" s="2256"/>
      <c r="B2151" s="2256"/>
      <c r="C2151" s="2256"/>
      <c r="D2151" s="2262"/>
      <c r="E2151" s="2256"/>
      <c r="F2151" s="2263"/>
      <c r="G2151" s="2256"/>
      <c r="H2151" s="2244"/>
      <c r="I2151" s="2238"/>
    </row>
    <row r="2152" spans="1:9" ht="14.25" x14ac:dyDescent="0.2">
      <c r="A2152" s="2256"/>
      <c r="B2152" s="2256"/>
      <c r="C2152" s="2256"/>
      <c r="D2152" s="2262"/>
      <c r="E2152" s="2256"/>
      <c r="F2152" s="2263"/>
      <c r="G2152" s="2256"/>
      <c r="H2152" s="2244"/>
      <c r="I2152" s="2238"/>
    </row>
    <row r="2154" spans="1:9" ht="15" x14ac:dyDescent="0.25">
      <c r="A2154" s="2264" t="s">
        <v>6857</v>
      </c>
      <c r="B2154" s="2265"/>
      <c r="C2154" s="2266"/>
      <c r="D2154" s="2267"/>
      <c r="E2154" s="2266"/>
      <c r="F2154" s="2268"/>
      <c r="G2154" s="2266"/>
      <c r="H2154" s="2266"/>
      <c r="I2154" s="2266"/>
    </row>
    <row r="2155" spans="1:9" ht="15" x14ac:dyDescent="0.25">
      <c r="A2155" s="2264"/>
      <c r="B2155" s="2265"/>
      <c r="C2155" s="2266"/>
      <c r="D2155" s="2267"/>
      <c r="E2155" s="2266"/>
      <c r="F2155" s="2268"/>
      <c r="G2155" s="2266"/>
      <c r="H2155" s="2266"/>
      <c r="I2155" s="2266"/>
    </row>
    <row r="2156" spans="1:9" ht="15" x14ac:dyDescent="0.25">
      <c r="A2156" s="2264" t="s">
        <v>6858</v>
      </c>
      <c r="B2156" s="2265"/>
      <c r="C2156" s="2266"/>
      <c r="D2156" s="2267"/>
      <c r="E2156" s="2266"/>
      <c r="F2156" s="2268"/>
      <c r="G2156" s="2266"/>
      <c r="H2156" s="2266"/>
      <c r="I2156" s="2266"/>
    </row>
    <row r="2157" spans="1:9" ht="15" x14ac:dyDescent="0.25">
      <c r="A2157" s="2264" t="s">
        <v>6859</v>
      </c>
      <c r="B2157" s="2265"/>
      <c r="C2157" s="2266"/>
      <c r="D2157" s="2267"/>
      <c r="E2157" s="2266"/>
      <c r="F2157" s="2268"/>
      <c r="G2157" s="2266"/>
      <c r="H2157" s="2266"/>
      <c r="I2157" s="2266"/>
    </row>
    <row r="2158" spans="1:9" ht="15" x14ac:dyDescent="0.25">
      <c r="A2158" s="2264" t="s">
        <v>6860</v>
      </c>
      <c r="B2158" s="2265"/>
      <c r="C2158" s="2266"/>
      <c r="D2158" s="2267"/>
      <c r="E2158" s="2266"/>
      <c r="F2158" s="2268"/>
      <c r="G2158" s="2266"/>
      <c r="H2158" s="2266"/>
      <c r="I2158" s="2266"/>
    </row>
    <row r="2159" spans="1:9" ht="15" x14ac:dyDescent="0.25">
      <c r="A2159" s="2264" t="s">
        <v>6861</v>
      </c>
      <c r="B2159" s="2265"/>
      <c r="C2159" s="2266"/>
      <c r="D2159" s="2267"/>
      <c r="E2159" s="2266"/>
      <c r="F2159" s="2268"/>
      <c r="G2159" s="2266"/>
      <c r="H2159" s="2266"/>
      <c r="I2159" s="2266"/>
    </row>
    <row r="2160" spans="1:9" ht="15" x14ac:dyDescent="0.25">
      <c r="A2160" s="2264" t="s">
        <v>6862</v>
      </c>
      <c r="B2160" s="2265"/>
      <c r="C2160" s="2266"/>
      <c r="D2160" s="2267"/>
      <c r="E2160" s="2266"/>
      <c r="F2160" s="2268"/>
      <c r="G2160" s="2266"/>
      <c r="H2160" s="2266"/>
      <c r="I2160" s="2266"/>
    </row>
    <row r="2161" spans="1:9" ht="15" x14ac:dyDescent="0.25">
      <c r="A2161" s="2264" t="s">
        <v>6863</v>
      </c>
      <c r="B2161" s="2265"/>
      <c r="C2161" s="2266"/>
      <c r="D2161" s="2267"/>
      <c r="E2161" s="2266"/>
      <c r="F2161" s="2268"/>
      <c r="G2161" s="2266"/>
      <c r="H2161" s="2266"/>
      <c r="I2161" s="2266"/>
    </row>
    <row r="2162" spans="1:9" ht="15" x14ac:dyDescent="0.25">
      <c r="A2162" s="2264" t="s">
        <v>6864</v>
      </c>
      <c r="B2162" s="2265"/>
      <c r="C2162" s="2266"/>
      <c r="D2162" s="2267"/>
      <c r="E2162" s="2266"/>
      <c r="F2162" s="2268"/>
      <c r="G2162" s="2266"/>
      <c r="H2162" s="2266"/>
      <c r="I2162" s="2266"/>
    </row>
    <row r="2163" spans="1:9" ht="15" x14ac:dyDescent="0.25">
      <c r="A2163" s="2264" t="s">
        <v>6865</v>
      </c>
      <c r="B2163" s="2265"/>
      <c r="C2163" s="2266"/>
      <c r="D2163" s="2267"/>
      <c r="E2163" s="2266"/>
      <c r="F2163" s="2268"/>
      <c r="G2163" s="2266"/>
      <c r="H2163" s="2266"/>
      <c r="I2163" s="2266"/>
    </row>
    <row r="2164" spans="1:9" ht="15" x14ac:dyDescent="0.25">
      <c r="A2164" s="2264" t="s">
        <v>6866</v>
      </c>
      <c r="B2164" s="2265"/>
      <c r="C2164" s="2266"/>
      <c r="D2164" s="2267"/>
      <c r="E2164" s="2266"/>
      <c r="F2164" s="2268"/>
      <c r="G2164" s="2266"/>
      <c r="H2164" s="2266"/>
      <c r="I2164" s="2266"/>
    </row>
    <row r="2165" spans="1:9" ht="15" x14ac:dyDescent="0.25">
      <c r="A2165" s="2264" t="s">
        <v>6867</v>
      </c>
      <c r="B2165" s="2265"/>
      <c r="C2165" s="2266"/>
      <c r="D2165" s="2267"/>
      <c r="E2165" s="2266"/>
      <c r="F2165" s="2268"/>
      <c r="G2165" s="2266"/>
      <c r="H2165" s="2266"/>
      <c r="I2165" s="2266"/>
    </row>
    <row r="2166" spans="1:9" ht="15" x14ac:dyDescent="0.25">
      <c r="A2166" s="2264" t="s">
        <v>6868</v>
      </c>
      <c r="B2166" s="2265"/>
      <c r="C2166" s="2266"/>
      <c r="D2166" s="2267"/>
      <c r="E2166" s="2266"/>
      <c r="F2166" s="2268"/>
      <c r="G2166" s="2266"/>
      <c r="H2166" s="2266"/>
      <c r="I2166" s="2266"/>
    </row>
    <row r="2167" spans="1:9" ht="15" x14ac:dyDescent="0.25">
      <c r="A2167" s="2264"/>
      <c r="B2167" s="2265"/>
      <c r="C2167" s="2266"/>
      <c r="D2167" s="2267"/>
      <c r="E2167" s="2266"/>
      <c r="F2167" s="2268"/>
      <c r="G2167" s="2266"/>
      <c r="H2167" s="2266"/>
      <c r="I2167" s="2266"/>
    </row>
    <row r="2168" spans="1:9" ht="15" x14ac:dyDescent="0.25">
      <c r="A2168" s="2264"/>
      <c r="B2168" s="2265"/>
      <c r="C2168" s="2266"/>
      <c r="D2168" s="2267"/>
      <c r="E2168" s="2266"/>
      <c r="F2168" s="2268"/>
      <c r="G2168" s="2266"/>
      <c r="H2168" s="2266"/>
      <c r="I2168" s="2266"/>
    </row>
    <row r="2169" spans="1:9" ht="15" x14ac:dyDescent="0.25">
      <c r="A2169" s="2264"/>
      <c r="B2169" s="2265"/>
      <c r="C2169" s="2266"/>
      <c r="D2169" s="2267"/>
      <c r="E2169" s="2266"/>
      <c r="F2169" s="2268"/>
      <c r="G2169" s="2266"/>
      <c r="H2169" s="2266"/>
      <c r="I2169" s="2266"/>
    </row>
    <row r="2170" spans="1:9" ht="15" x14ac:dyDescent="0.25">
      <c r="A2170" s="2264"/>
      <c r="B2170" s="2265"/>
      <c r="C2170" s="2266"/>
      <c r="D2170" s="2267"/>
      <c r="E2170" s="2266"/>
      <c r="F2170" s="2268"/>
      <c r="G2170" s="2266"/>
      <c r="H2170" s="2266"/>
      <c r="I2170" s="2266"/>
    </row>
    <row r="2171" spans="1:9" ht="15" x14ac:dyDescent="0.25">
      <c r="A2171" s="2264"/>
      <c r="B2171" s="2265"/>
      <c r="C2171" s="2266"/>
      <c r="D2171" s="2267"/>
      <c r="E2171" s="2266"/>
      <c r="F2171" s="2268"/>
      <c r="G2171" s="2266"/>
      <c r="H2171" s="2266"/>
      <c r="I2171" s="2266"/>
    </row>
    <row r="2172" spans="1:9" ht="15" x14ac:dyDescent="0.25">
      <c r="A2172" s="2264"/>
      <c r="B2172" s="2265"/>
      <c r="C2172" s="2266"/>
      <c r="D2172" s="2267"/>
      <c r="E2172" s="2266"/>
      <c r="F2172" s="2268"/>
      <c r="G2172" s="2266"/>
      <c r="H2172" s="2266"/>
      <c r="I2172" s="2266"/>
    </row>
    <row r="2173" spans="1:9" ht="15" x14ac:dyDescent="0.25">
      <c r="A2173" s="2264"/>
      <c r="B2173" s="2265"/>
      <c r="C2173" s="2266"/>
      <c r="D2173" s="2267"/>
      <c r="E2173" s="2266"/>
      <c r="F2173" s="2268"/>
      <c r="G2173" s="2266"/>
      <c r="H2173" s="2266"/>
      <c r="I2173" s="2266"/>
    </row>
    <row r="2174" spans="1:9" ht="15" x14ac:dyDescent="0.25">
      <c r="A2174" s="2264"/>
      <c r="B2174" s="2265"/>
      <c r="C2174" s="2266"/>
      <c r="D2174" s="2267"/>
      <c r="E2174" s="2266"/>
      <c r="F2174" s="2268"/>
      <c r="G2174" s="2266"/>
      <c r="H2174" s="2266"/>
      <c r="I2174" s="2266"/>
    </row>
    <row r="2175" spans="1:9" ht="15" x14ac:dyDescent="0.25">
      <c r="A2175" s="2264"/>
      <c r="B2175" s="2265"/>
      <c r="C2175" s="2266"/>
      <c r="D2175" s="2267"/>
      <c r="E2175" s="2266"/>
      <c r="F2175" s="2268"/>
      <c r="G2175" s="2266"/>
      <c r="H2175" s="2266"/>
      <c r="I2175" s="2266"/>
    </row>
    <row r="2176" spans="1:9" ht="15" x14ac:dyDescent="0.25">
      <c r="A2176" s="2264"/>
      <c r="B2176" s="2265"/>
      <c r="C2176" s="2266"/>
      <c r="D2176" s="2267"/>
      <c r="E2176" s="2266"/>
      <c r="F2176" s="2268"/>
      <c r="G2176" s="2266"/>
      <c r="H2176" s="2266"/>
      <c r="I2176" s="2266"/>
    </row>
    <row r="2177" spans="1:9" ht="15" x14ac:dyDescent="0.25">
      <c r="A2177" s="2264"/>
      <c r="B2177" s="2265"/>
      <c r="C2177" s="2266"/>
      <c r="D2177" s="2267"/>
      <c r="E2177" s="2266"/>
      <c r="F2177" s="2268"/>
      <c r="G2177" s="2266"/>
      <c r="H2177" s="2266"/>
      <c r="I2177" s="2266"/>
    </row>
    <row r="2178" spans="1:9" ht="15" x14ac:dyDescent="0.25">
      <c r="A2178" s="2264"/>
      <c r="B2178" s="2265"/>
      <c r="C2178" s="2266"/>
      <c r="D2178" s="2267"/>
      <c r="E2178" s="2266"/>
      <c r="F2178" s="2268"/>
      <c r="G2178" s="2266"/>
      <c r="H2178" s="2266"/>
      <c r="I2178" s="2266"/>
    </row>
  </sheetData>
  <mergeCells count="9">
    <mergeCell ref="A6:A10"/>
    <mergeCell ref="B6:B10"/>
    <mergeCell ref="C6:C8"/>
    <mergeCell ref="D6:G8"/>
    <mergeCell ref="C9:C10"/>
    <mergeCell ref="D9:D10"/>
    <mergeCell ref="E9:E10"/>
    <mergeCell ref="F9:F10"/>
    <mergeCell ref="G9:G1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18"/>
  <sheetViews>
    <sheetView topLeftCell="A6" workbookViewId="0">
      <pane ySplit="5" topLeftCell="A11" activePane="bottomLeft" state="frozen"/>
      <selection activeCell="A6" sqref="A6"/>
      <selection pane="bottomLeft" activeCell="O20" sqref="O20"/>
    </sheetView>
  </sheetViews>
  <sheetFormatPr defaultRowHeight="12.75" x14ac:dyDescent="0.2"/>
  <cols>
    <col min="1" max="1" width="8.7109375" style="2306" customWidth="1"/>
    <col min="2" max="2" width="42.5703125" style="2308" customWidth="1"/>
    <col min="3" max="3" width="13.5703125" style="2308" hidden="1" customWidth="1"/>
    <col min="4" max="4" width="12.7109375" style="2308" hidden="1" customWidth="1"/>
    <col min="5" max="5" width="13.7109375" style="2308" hidden="1" customWidth="1"/>
    <col min="6" max="6" width="14" style="1066" hidden="1" customWidth="1"/>
    <col min="7" max="7" width="14.7109375" style="1066" hidden="1" customWidth="1"/>
    <col min="8" max="8" width="10.7109375" style="1066" hidden="1" customWidth="1"/>
    <col min="9" max="9" width="13.5703125" style="2308" hidden="1" customWidth="1"/>
    <col min="10" max="10" width="13.28515625" style="2308" customWidth="1"/>
    <col min="11" max="11" width="15" style="2309" customWidth="1"/>
    <col min="12" max="12" width="12" style="2308" customWidth="1"/>
    <col min="13" max="13" width="11.28515625" style="2308" bestFit="1" customWidth="1"/>
  </cols>
  <sheetData>
    <row r="1" spans="1:13" ht="15.75" hidden="1" x14ac:dyDescent="0.25">
      <c r="A1" s="3087" t="s">
        <v>6912</v>
      </c>
      <c r="B1" s="3087"/>
      <c r="C1" s="3087"/>
      <c r="D1" s="3087"/>
      <c r="E1" s="3087"/>
      <c r="F1" s="3087"/>
      <c r="G1" s="3087"/>
      <c r="H1" s="3087"/>
      <c r="I1" s="3087"/>
      <c r="J1" s="3087"/>
      <c r="K1" s="3087"/>
      <c r="L1" s="3087"/>
      <c r="M1" s="3087"/>
    </row>
    <row r="2" spans="1:13" hidden="1" x14ac:dyDescent="0.2">
      <c r="B2" s="2307"/>
      <c r="C2" s="2307"/>
      <c r="D2" s="2307"/>
      <c r="E2" s="2307"/>
      <c r="L2" s="2307"/>
    </row>
    <row r="3" spans="1:13" ht="15" hidden="1" x14ac:dyDescent="0.25">
      <c r="A3" s="3088" t="s">
        <v>6913</v>
      </c>
      <c r="B3" s="3088"/>
      <c r="C3" s="3088"/>
      <c r="D3" s="3088"/>
      <c r="E3" s="3088"/>
      <c r="F3" s="3088"/>
      <c r="G3" s="3088"/>
      <c r="H3" s="3088"/>
      <c r="I3" s="3088"/>
      <c r="J3" s="3088"/>
      <c r="K3" s="3088"/>
      <c r="L3" s="3088"/>
      <c r="M3" s="3088"/>
    </row>
    <row r="4" spans="1:13" ht="15" hidden="1" x14ac:dyDescent="0.25">
      <c r="B4" s="2310"/>
      <c r="C4" s="2310"/>
      <c r="D4" s="2310"/>
      <c r="E4" s="2310"/>
      <c r="L4" s="2310"/>
    </row>
    <row r="5" spans="1:13" ht="15.75" hidden="1" thickBot="1" x14ac:dyDescent="0.3">
      <c r="A5" s="2311"/>
      <c r="B5" s="2311"/>
      <c r="C5" s="2311"/>
      <c r="D5" s="2311"/>
      <c r="E5" s="2311"/>
      <c r="F5" s="2311"/>
      <c r="G5" s="2311"/>
      <c r="H5" s="2311"/>
      <c r="I5" s="2312"/>
      <c r="J5" s="2312"/>
      <c r="K5" s="2313"/>
      <c r="L5" s="2311"/>
      <c r="M5" s="2311"/>
    </row>
    <row r="6" spans="1:13" x14ac:dyDescent="0.2">
      <c r="A6" s="3076" t="s">
        <v>6563</v>
      </c>
      <c r="B6" s="3079" t="s">
        <v>6564</v>
      </c>
      <c r="C6" s="3082" t="s">
        <v>6914</v>
      </c>
      <c r="D6" s="3089" t="s">
        <v>6915</v>
      </c>
      <c r="E6" s="3090"/>
      <c r="F6" s="3090"/>
      <c r="G6" s="3090"/>
      <c r="H6" s="2314"/>
      <c r="I6" s="3093" t="s">
        <v>6916</v>
      </c>
      <c r="J6" s="3094"/>
      <c r="K6" s="3094"/>
      <c r="L6" s="3095"/>
      <c r="M6" s="3096"/>
    </row>
    <row r="7" spans="1:13" ht="13.5" thickBot="1" x14ac:dyDescent="0.25">
      <c r="A7" s="3077"/>
      <c r="B7" s="3080"/>
      <c r="C7" s="3083"/>
      <c r="D7" s="3091"/>
      <c r="E7" s="3092"/>
      <c r="F7" s="3092"/>
      <c r="G7" s="3092"/>
      <c r="H7" s="2315"/>
      <c r="I7" s="3097"/>
      <c r="J7" s="3098"/>
      <c r="K7" s="3098"/>
      <c r="L7" s="3098"/>
      <c r="M7" s="3099"/>
    </row>
    <row r="8" spans="1:13" ht="12.75" customHeight="1" x14ac:dyDescent="0.2">
      <c r="A8" s="3077"/>
      <c r="B8" s="3080"/>
      <c r="C8" s="3109" t="s">
        <v>6917</v>
      </c>
      <c r="D8" s="3073" t="s">
        <v>6918</v>
      </c>
      <c r="E8" s="3073" t="s">
        <v>6919</v>
      </c>
      <c r="F8" s="3084" t="s">
        <v>6920</v>
      </c>
      <c r="G8" s="3109" t="s">
        <v>6921</v>
      </c>
      <c r="H8" s="3109" t="s">
        <v>6922</v>
      </c>
      <c r="I8" s="3100" t="s">
        <v>6923</v>
      </c>
      <c r="J8" s="3100" t="s">
        <v>6924</v>
      </c>
      <c r="K8" s="3100" t="s">
        <v>6925</v>
      </c>
      <c r="L8" s="3103" t="s">
        <v>6926</v>
      </c>
      <c r="M8" s="3106" t="s">
        <v>6927</v>
      </c>
    </row>
    <row r="9" spans="1:13" x14ac:dyDescent="0.2">
      <c r="A9" s="3077"/>
      <c r="B9" s="3080"/>
      <c r="C9" s="3110"/>
      <c r="D9" s="3074"/>
      <c r="E9" s="3074"/>
      <c r="F9" s="3085"/>
      <c r="G9" s="3110"/>
      <c r="H9" s="3112"/>
      <c r="I9" s="3114"/>
      <c r="J9" s="3101"/>
      <c r="K9" s="3101"/>
      <c r="L9" s="3104"/>
      <c r="M9" s="3107"/>
    </row>
    <row r="10" spans="1:13" ht="13.5" thickBot="1" x14ac:dyDescent="0.25">
      <c r="A10" s="3078"/>
      <c r="B10" s="3081"/>
      <c r="C10" s="3111"/>
      <c r="D10" s="3075"/>
      <c r="E10" s="3075"/>
      <c r="F10" s="3086"/>
      <c r="G10" s="3111"/>
      <c r="H10" s="3113"/>
      <c r="I10" s="3115"/>
      <c r="J10" s="3102"/>
      <c r="K10" s="3102"/>
      <c r="L10" s="3105"/>
      <c r="M10" s="3108"/>
    </row>
    <row r="11" spans="1:13" x14ac:dyDescent="0.2">
      <c r="A11" s="2316"/>
      <c r="B11" s="2317"/>
      <c r="C11" s="2317"/>
      <c r="D11" s="2318"/>
      <c r="E11" s="2318"/>
      <c r="F11" s="2317">
        <v>10</v>
      </c>
      <c r="G11" s="2317">
        <v>12</v>
      </c>
      <c r="H11" s="2317"/>
      <c r="L11" s="2318"/>
      <c r="M11" s="2318"/>
    </row>
    <row r="12" spans="1:13" x14ac:dyDescent="0.2">
      <c r="A12" s="2316"/>
      <c r="B12" s="2317"/>
      <c r="C12" s="2317"/>
      <c r="D12" s="2318"/>
      <c r="E12" s="2318"/>
      <c r="L12" s="2318"/>
      <c r="M12" s="2318"/>
    </row>
    <row r="13" spans="1:13" ht="15.75" x14ac:dyDescent="0.25">
      <c r="A13" s="2319">
        <v>1000</v>
      </c>
      <c r="B13" s="2320" t="s">
        <v>6928</v>
      </c>
      <c r="C13" s="2321"/>
      <c r="D13" s="2321"/>
      <c r="E13" s="2321"/>
      <c r="F13" s="2322"/>
      <c r="G13" s="2322"/>
      <c r="H13" s="2322"/>
      <c r="I13" s="2323"/>
      <c r="J13" s="2323"/>
      <c r="K13" s="2324"/>
      <c r="L13" s="2323"/>
      <c r="M13" s="2323"/>
    </row>
    <row r="14" spans="1:13" ht="15" x14ac:dyDescent="0.25">
      <c r="A14" s="2325">
        <v>1010</v>
      </c>
      <c r="B14" s="2326" t="s">
        <v>6574</v>
      </c>
      <c r="C14" s="2326"/>
      <c r="D14" s="2326"/>
      <c r="E14" s="2326"/>
    </row>
    <row r="15" spans="1:13" ht="15" x14ac:dyDescent="0.25">
      <c r="A15" s="2325"/>
      <c r="B15" s="2326"/>
      <c r="C15" s="2326"/>
      <c r="D15" s="2326"/>
      <c r="E15" s="2326"/>
    </row>
    <row r="16" spans="1:13" x14ac:dyDescent="0.2">
      <c r="A16" s="2327"/>
      <c r="B16" s="2328" t="s">
        <v>247</v>
      </c>
      <c r="C16" s="2328"/>
      <c r="D16" s="2328"/>
      <c r="E16" s="2328"/>
    </row>
    <row r="17" spans="1:13" x14ac:dyDescent="0.2">
      <c r="A17" s="2327"/>
      <c r="B17" s="2323"/>
      <c r="C17" s="2323"/>
      <c r="D17" s="2323"/>
      <c r="E17" s="2323"/>
    </row>
    <row r="18" spans="1:13" x14ac:dyDescent="0.2">
      <c r="A18" s="2329"/>
      <c r="B18" s="2330" t="s">
        <v>6929</v>
      </c>
      <c r="C18" s="2258"/>
      <c r="D18" s="2258"/>
      <c r="E18" s="2258"/>
      <c r="F18" s="2309"/>
      <c r="G18" s="2309"/>
      <c r="H18" s="2309"/>
      <c r="I18" s="2331"/>
      <c r="J18" s="2331"/>
      <c r="L18" s="2331"/>
      <c r="M18" s="2331"/>
    </row>
    <row r="19" spans="1:13" x14ac:dyDescent="0.2">
      <c r="A19" s="2329">
        <v>5402</v>
      </c>
      <c r="B19" s="2258" t="s">
        <v>6930</v>
      </c>
      <c r="C19" s="2332">
        <v>35550</v>
      </c>
      <c r="D19" s="2332">
        <v>0</v>
      </c>
      <c r="E19" s="2332">
        <v>0</v>
      </c>
      <c r="F19" s="2332">
        <v>0</v>
      </c>
      <c r="G19" s="2332">
        <v>0</v>
      </c>
      <c r="H19" s="2332">
        <f>'[4]Income statement Account'!$D$44</f>
        <v>0</v>
      </c>
      <c r="I19" s="2332">
        <v>0</v>
      </c>
      <c r="J19" s="2332"/>
      <c r="L19" s="2332">
        <v>0</v>
      </c>
      <c r="M19" s="2332">
        <v>0</v>
      </c>
    </row>
    <row r="20" spans="1:13" x14ac:dyDescent="0.2">
      <c r="A20" s="2329">
        <v>5504</v>
      </c>
      <c r="B20" s="2258" t="s">
        <v>6931</v>
      </c>
      <c r="C20" s="2332">
        <v>493000</v>
      </c>
      <c r="D20" s="2332">
        <v>587000</v>
      </c>
      <c r="E20" s="2332">
        <f>+D20</f>
        <v>587000</v>
      </c>
      <c r="F20" s="2332">
        <v>587000</v>
      </c>
      <c r="G20" s="2332">
        <v>587000</v>
      </c>
      <c r="H20" s="2332">
        <f>'[4]Income statement Account'!$D$45</f>
        <v>0</v>
      </c>
      <c r="I20" s="2332">
        <v>653000</v>
      </c>
      <c r="J20" s="2332">
        <f>-[5]Sheet1!$K$9</f>
        <v>382944.68</v>
      </c>
      <c r="K20" s="2333">
        <f>J20</f>
        <v>382944.68</v>
      </c>
      <c r="L20" s="2332">
        <v>695000</v>
      </c>
      <c r="M20" s="2332">
        <v>729000</v>
      </c>
    </row>
    <row r="21" spans="1:13" x14ac:dyDescent="0.2">
      <c r="A21" s="2329">
        <v>5505</v>
      </c>
      <c r="B21" s="2334" t="s">
        <v>6721</v>
      </c>
      <c r="C21" s="2335">
        <v>36700</v>
      </c>
      <c r="D21" s="2335">
        <v>0</v>
      </c>
      <c r="E21" s="2335">
        <v>0</v>
      </c>
      <c r="F21" s="2335">
        <v>0</v>
      </c>
      <c r="G21" s="2335">
        <v>0</v>
      </c>
      <c r="H21" s="2335">
        <f>H20</f>
        <v>0</v>
      </c>
      <c r="I21" s="2335">
        <v>0</v>
      </c>
      <c r="J21" s="2335"/>
      <c r="K21" s="2336">
        <f t="shared" ref="K21:K84" si="0">J21</f>
        <v>0</v>
      </c>
      <c r="L21" s="2335">
        <v>0</v>
      </c>
      <c r="M21" s="2335">
        <v>0</v>
      </c>
    </row>
    <row r="22" spans="1:13" x14ac:dyDescent="0.2">
      <c r="A22" s="2329"/>
      <c r="B22" s="2330" t="s">
        <v>6932</v>
      </c>
      <c r="C22" s="2337">
        <f>SUM(C19:C21)</f>
        <v>565250</v>
      </c>
      <c r="D22" s="2337">
        <f t="shared" ref="D22:M22" si="1">SUM(D19:D21)</f>
        <v>587000</v>
      </c>
      <c r="E22" s="2337">
        <f t="shared" si="1"/>
        <v>587000</v>
      </c>
      <c r="F22" s="2337">
        <f t="shared" si="1"/>
        <v>587000</v>
      </c>
      <c r="G22" s="2337">
        <f t="shared" si="1"/>
        <v>587000</v>
      </c>
      <c r="H22" s="2337">
        <f>SUM(H19:H21)</f>
        <v>0</v>
      </c>
      <c r="I22" s="2337">
        <f>SUM(I19:I21)</f>
        <v>653000</v>
      </c>
      <c r="J22" s="2337">
        <f>J20</f>
        <v>382944.68</v>
      </c>
      <c r="K22" s="2333">
        <f t="shared" si="0"/>
        <v>382944.68</v>
      </c>
      <c r="L22" s="2337">
        <f t="shared" si="1"/>
        <v>695000</v>
      </c>
      <c r="M22" s="2337">
        <f t="shared" si="1"/>
        <v>729000</v>
      </c>
    </row>
    <row r="23" spans="1:13" x14ac:dyDescent="0.2">
      <c r="A23" s="2329"/>
      <c r="B23" s="2338"/>
      <c r="C23" s="2339"/>
      <c r="D23" s="2339"/>
      <c r="E23" s="2339"/>
      <c r="F23" s="2340"/>
      <c r="G23" s="2340"/>
      <c r="H23" s="2340"/>
      <c r="I23" s="2340"/>
      <c r="J23" s="2340"/>
      <c r="K23" s="2336">
        <f t="shared" si="0"/>
        <v>0</v>
      </c>
      <c r="L23" s="2340"/>
      <c r="M23" s="2340"/>
    </row>
    <row r="24" spans="1:13" ht="13.5" thickBot="1" x14ac:dyDescent="0.25">
      <c r="A24" s="2341"/>
      <c r="B24" s="2342" t="s">
        <v>6579</v>
      </c>
      <c r="C24" s="2343">
        <f t="shared" ref="C24:M24" si="2">+C22</f>
        <v>565250</v>
      </c>
      <c r="D24" s="2343">
        <f t="shared" si="2"/>
        <v>587000</v>
      </c>
      <c r="E24" s="2343">
        <f t="shared" si="2"/>
        <v>587000</v>
      </c>
      <c r="F24" s="2343">
        <f t="shared" si="2"/>
        <v>587000</v>
      </c>
      <c r="G24" s="2343">
        <f t="shared" si="2"/>
        <v>587000</v>
      </c>
      <c r="H24" s="2343">
        <f t="shared" si="2"/>
        <v>0</v>
      </c>
      <c r="I24" s="2343">
        <f>+I22</f>
        <v>653000</v>
      </c>
      <c r="J24" s="2343">
        <f>J22</f>
        <v>382944.68</v>
      </c>
      <c r="K24" s="2344">
        <f t="shared" si="0"/>
        <v>382944.68</v>
      </c>
      <c r="L24" s="2343">
        <f t="shared" si="2"/>
        <v>695000</v>
      </c>
      <c r="M24" s="2343">
        <f t="shared" si="2"/>
        <v>729000</v>
      </c>
    </row>
    <row r="25" spans="1:13" ht="13.5" thickTop="1" x14ac:dyDescent="0.2">
      <c r="A25" s="2345"/>
      <c r="B25" s="2346"/>
      <c r="C25" s="2346"/>
      <c r="D25" s="2346"/>
      <c r="E25" s="2346"/>
      <c r="J25" s="2347">
        <f>J24+[5]Sheet1!$K$10</f>
        <v>0</v>
      </c>
      <c r="K25" s="2333">
        <f t="shared" si="0"/>
        <v>0</v>
      </c>
    </row>
    <row r="26" spans="1:13" x14ac:dyDescent="0.2">
      <c r="A26" s="2327"/>
      <c r="B26" s="2328" t="s">
        <v>235</v>
      </c>
      <c r="C26" s="2348"/>
      <c r="D26" s="2328"/>
      <c r="E26" s="2328"/>
      <c r="K26" s="2333">
        <f t="shared" si="0"/>
        <v>0</v>
      </c>
    </row>
    <row r="27" spans="1:13" x14ac:dyDescent="0.2">
      <c r="A27" s="2327"/>
      <c r="B27" s="2328"/>
      <c r="C27" s="2328"/>
      <c r="D27" s="2328"/>
      <c r="E27" s="2328"/>
      <c r="K27" s="2333">
        <f t="shared" si="0"/>
        <v>0</v>
      </c>
    </row>
    <row r="28" spans="1:13" x14ac:dyDescent="0.2">
      <c r="A28" s="2329"/>
      <c r="B28" s="2330" t="s">
        <v>6933</v>
      </c>
      <c r="C28" s="2332"/>
      <c r="D28" s="2332"/>
      <c r="E28" s="2332"/>
      <c r="K28" s="2333">
        <f t="shared" si="0"/>
        <v>0</v>
      </c>
    </row>
    <row r="29" spans="1:13" x14ac:dyDescent="0.2">
      <c r="A29" s="2329">
        <v>1007</v>
      </c>
      <c r="B29" s="2258" t="s">
        <v>6934</v>
      </c>
      <c r="C29" s="2332">
        <v>0</v>
      </c>
      <c r="D29" s="2332">
        <v>0</v>
      </c>
      <c r="E29" s="2332">
        <v>0</v>
      </c>
      <c r="F29" s="2332">
        <v>0</v>
      </c>
      <c r="G29" s="2332">
        <v>0</v>
      </c>
      <c r="H29" s="2332">
        <f>'[4]Income statement Account'!$D$9</f>
        <v>4742.57</v>
      </c>
      <c r="I29" s="2332">
        <f>+[6]Salary_Bdgt!$I$17</f>
        <v>1677</v>
      </c>
      <c r="J29" s="2332">
        <v>0</v>
      </c>
      <c r="K29" s="2333">
        <f t="shared" si="0"/>
        <v>0</v>
      </c>
      <c r="L29" s="2332">
        <f t="shared" ref="L29:L35" si="3">ROUND(I29*1.08,0)</f>
        <v>1811</v>
      </c>
      <c r="M29" s="2332">
        <f t="shared" ref="M29:M35" si="4">ROUND(L29*1.08,0)</f>
        <v>1956</v>
      </c>
    </row>
    <row r="30" spans="1:13" x14ac:dyDescent="0.2">
      <c r="A30" s="2329">
        <v>1009</v>
      </c>
      <c r="B30" s="2258" t="s">
        <v>6935</v>
      </c>
      <c r="C30" s="2332">
        <v>0</v>
      </c>
      <c r="D30" s="2332">
        <v>0</v>
      </c>
      <c r="E30" s="2332">
        <v>0</v>
      </c>
      <c r="F30" s="2332">
        <v>0</v>
      </c>
      <c r="G30" s="2332">
        <v>0</v>
      </c>
      <c r="H30" s="2332">
        <f>'[4]Income statement Account'!$D$10</f>
        <v>318.75</v>
      </c>
      <c r="I30" s="2332">
        <f>+[6]Salary_Bdgt!$M$17</f>
        <v>45</v>
      </c>
      <c r="J30" s="2332">
        <v>0</v>
      </c>
      <c r="K30" s="2333">
        <f t="shared" si="0"/>
        <v>0</v>
      </c>
      <c r="L30" s="2332">
        <f t="shared" si="3"/>
        <v>49</v>
      </c>
      <c r="M30" s="2332">
        <f t="shared" si="4"/>
        <v>53</v>
      </c>
    </row>
    <row r="31" spans="1:13" x14ac:dyDescent="0.2">
      <c r="A31" s="2329">
        <v>1017</v>
      </c>
      <c r="B31" s="2258" t="s">
        <v>6936</v>
      </c>
      <c r="C31" s="2332">
        <v>0</v>
      </c>
      <c r="D31" s="2332">
        <f>[7]Sal_RIA!$J$32</f>
        <v>19862</v>
      </c>
      <c r="E31" s="2332">
        <f>+D31</f>
        <v>19862</v>
      </c>
      <c r="F31" s="2332">
        <v>5511</v>
      </c>
      <c r="G31" s="2332">
        <f>F31/$F$11*$G$11</f>
        <v>6613.2000000000007</v>
      </c>
      <c r="H31" s="2332">
        <f>'[4]Income statement Account'!$D$14</f>
        <v>5704.12</v>
      </c>
      <c r="I31" s="2332">
        <f>+[6]Salary_Bdgt!$J$17</f>
        <v>4848</v>
      </c>
      <c r="J31" s="2332">
        <f>[5]Sheet1!$K$31</f>
        <v>19786.14</v>
      </c>
      <c r="K31" s="2333">
        <f t="shared" si="0"/>
        <v>19786.14</v>
      </c>
      <c r="L31" s="2332">
        <f t="shared" si="3"/>
        <v>5236</v>
      </c>
      <c r="M31" s="2332">
        <f t="shared" si="4"/>
        <v>5655</v>
      </c>
    </row>
    <row r="32" spans="1:13" x14ac:dyDescent="0.2">
      <c r="A32" s="2329">
        <v>1101</v>
      </c>
      <c r="B32" s="2258" t="s">
        <v>6937</v>
      </c>
      <c r="C32" s="2332">
        <v>1248325</v>
      </c>
      <c r="D32" s="2332">
        <f>[7]Sal_RIA!$H$32</f>
        <v>1402403</v>
      </c>
      <c r="E32" s="2332">
        <f>+D32</f>
        <v>1402403</v>
      </c>
      <c r="F32" s="2332">
        <v>1162556</v>
      </c>
      <c r="G32" s="2332">
        <f>F32/$F$11*$G$11</f>
        <v>1395067.2000000002</v>
      </c>
      <c r="H32" s="2332">
        <f>'[4]Income statement Account'!$D$16</f>
        <v>1370427.19</v>
      </c>
      <c r="I32" s="2332">
        <f>+[6]Salary_Bdgt!$H$17</f>
        <v>1527850</v>
      </c>
      <c r="J32" s="2332">
        <f>[5]Sheet1!$K$28</f>
        <v>1627850</v>
      </c>
      <c r="K32" s="2333">
        <f t="shared" si="0"/>
        <v>1627850</v>
      </c>
      <c r="L32" s="2332">
        <f t="shared" si="3"/>
        <v>1650078</v>
      </c>
      <c r="M32" s="2332">
        <f t="shared" si="4"/>
        <v>1782084</v>
      </c>
    </row>
    <row r="33" spans="1:13" x14ac:dyDescent="0.2">
      <c r="A33" s="2329">
        <v>1112</v>
      </c>
      <c r="B33" s="2258" t="s">
        <v>6938</v>
      </c>
      <c r="C33" s="2332">
        <v>89003</v>
      </c>
      <c r="D33" s="2332">
        <f>[7]Sal_RIA!$U$32</f>
        <v>116305</v>
      </c>
      <c r="E33" s="2332">
        <f>+D33</f>
        <v>116305</v>
      </c>
      <c r="F33" s="2332">
        <v>88135</v>
      </c>
      <c r="G33" s="2332">
        <f>F33/$F$11*$G$11</f>
        <v>105762</v>
      </c>
      <c r="H33" s="2332">
        <f>'[4]Income statement Account'!$D$18</f>
        <v>105208.7</v>
      </c>
      <c r="I33" s="2332">
        <f>+[6]Salary_Bdgt!$U$17</f>
        <v>126685</v>
      </c>
      <c r="J33" s="2332">
        <f>[5]Sheet1!$K$29</f>
        <v>130186</v>
      </c>
      <c r="K33" s="2333">
        <f t="shared" si="0"/>
        <v>130186</v>
      </c>
      <c r="L33" s="2332">
        <f t="shared" si="3"/>
        <v>136820</v>
      </c>
      <c r="M33" s="2332">
        <f t="shared" si="4"/>
        <v>147766</v>
      </c>
    </row>
    <row r="34" spans="1:13" x14ac:dyDescent="0.2">
      <c r="A34" s="2329">
        <v>1114</v>
      </c>
      <c r="B34" s="2258" t="s">
        <v>6939</v>
      </c>
      <c r="C34" s="2332">
        <v>377111</v>
      </c>
      <c r="D34" s="2332">
        <f>[7]Sal_RIA!$R$32</f>
        <v>467467</v>
      </c>
      <c r="E34" s="2332">
        <f>+D34</f>
        <v>467467</v>
      </c>
      <c r="F34" s="2332">
        <v>357114</v>
      </c>
      <c r="G34" s="2332">
        <f>F34/$F$11*$G$11</f>
        <v>428536.80000000005</v>
      </c>
      <c r="H34" s="2332">
        <f>'[4]Income statement Account'!$D$19</f>
        <v>426404.85</v>
      </c>
      <c r="I34" s="2332">
        <f>+[6]Salary_Bdgt!$R$17</f>
        <v>509286</v>
      </c>
      <c r="J34" s="2332">
        <f>[5]Sheet1!$K$30</f>
        <v>524010.62</v>
      </c>
      <c r="K34" s="2333">
        <f t="shared" si="0"/>
        <v>524010.62</v>
      </c>
      <c r="L34" s="2332">
        <f t="shared" si="3"/>
        <v>550029</v>
      </c>
      <c r="M34" s="2332">
        <f t="shared" si="4"/>
        <v>594031</v>
      </c>
    </row>
    <row r="35" spans="1:13" x14ac:dyDescent="0.2">
      <c r="A35" s="2329">
        <v>1182</v>
      </c>
      <c r="B35" s="2258" t="s">
        <v>6940</v>
      </c>
      <c r="C35" s="2332">
        <v>0</v>
      </c>
      <c r="D35" s="2332">
        <v>0</v>
      </c>
      <c r="E35" s="2332">
        <v>0</v>
      </c>
      <c r="F35" s="2332">
        <v>0</v>
      </c>
      <c r="G35" s="2332">
        <f>F35/$F$11*$G$11</f>
        <v>0</v>
      </c>
      <c r="H35" s="2332"/>
      <c r="I35" s="2332">
        <f>+[6]Salary_Bdgt!$K$17</f>
        <v>4509</v>
      </c>
      <c r="J35" s="2332">
        <v>0</v>
      </c>
      <c r="K35" s="2333">
        <f t="shared" si="0"/>
        <v>0</v>
      </c>
      <c r="L35" s="2332">
        <f t="shared" si="3"/>
        <v>4870</v>
      </c>
      <c r="M35" s="2332">
        <f t="shared" si="4"/>
        <v>5260</v>
      </c>
    </row>
    <row r="36" spans="1:13" x14ac:dyDescent="0.2">
      <c r="A36" s="2329"/>
      <c r="B36" s="2334" t="s">
        <v>6941</v>
      </c>
      <c r="C36" s="2335"/>
      <c r="D36" s="2335"/>
      <c r="E36" s="2335"/>
      <c r="F36" s="2335"/>
      <c r="G36" s="2335"/>
      <c r="H36" s="2335"/>
      <c r="I36" s="2335"/>
      <c r="J36" s="2335">
        <f>[5]Sheet1!$K$32</f>
        <v>20160</v>
      </c>
      <c r="K36" s="2336">
        <f t="shared" si="0"/>
        <v>20160</v>
      </c>
      <c r="L36" s="2335"/>
      <c r="M36" s="2335"/>
    </row>
    <row r="37" spans="1:13" x14ac:dyDescent="0.2">
      <c r="A37" s="2329"/>
      <c r="B37" s="2330" t="s">
        <v>6942</v>
      </c>
      <c r="C37" s="2349">
        <f>SUM(C29:C35)</f>
        <v>1714439</v>
      </c>
      <c r="D37" s="2349">
        <f t="shared" ref="D37:M37" si="5">SUM(D29:D35)</f>
        <v>2006037</v>
      </c>
      <c r="E37" s="2349">
        <f t="shared" si="5"/>
        <v>2006037</v>
      </c>
      <c r="F37" s="2349">
        <f t="shared" si="5"/>
        <v>1613316</v>
      </c>
      <c r="G37" s="2349">
        <f t="shared" si="5"/>
        <v>1935979.2000000002</v>
      </c>
      <c r="H37" s="2349"/>
      <c r="I37" s="2349">
        <f>SUM(I29:I36)</f>
        <v>2174900</v>
      </c>
      <c r="J37" s="2349">
        <f>SUM(J29:J36)</f>
        <v>2321992.7599999998</v>
      </c>
      <c r="K37" s="2333">
        <f t="shared" si="0"/>
        <v>2321992.7599999998</v>
      </c>
      <c r="L37" s="2349">
        <f t="shared" si="5"/>
        <v>2348893</v>
      </c>
      <c r="M37" s="2349">
        <f t="shared" si="5"/>
        <v>2536805</v>
      </c>
    </row>
    <row r="38" spans="1:13" x14ac:dyDescent="0.2">
      <c r="A38" s="2329"/>
      <c r="B38" s="2330"/>
      <c r="C38" s="2349"/>
      <c r="D38" s="2349"/>
      <c r="E38" s="2349"/>
      <c r="F38" s="2332"/>
      <c r="G38" s="2332"/>
      <c r="H38" s="2332"/>
      <c r="I38" s="2332"/>
      <c r="J38" s="2332">
        <f>J37-[5]Sheet1!$K$34</f>
        <v>0</v>
      </c>
      <c r="K38" s="2333">
        <f t="shared" si="0"/>
        <v>0</v>
      </c>
      <c r="L38" s="2349"/>
      <c r="M38" s="2349"/>
    </row>
    <row r="39" spans="1:13" x14ac:dyDescent="0.2">
      <c r="A39" s="2329"/>
      <c r="B39" s="2330" t="s">
        <v>387</v>
      </c>
      <c r="C39" s="2332"/>
      <c r="D39" s="2332"/>
      <c r="E39" s="2332"/>
      <c r="F39" s="2332"/>
      <c r="G39" s="2332"/>
      <c r="H39" s="2332"/>
      <c r="I39" s="2332"/>
      <c r="J39" s="2332"/>
      <c r="K39" s="2333">
        <f t="shared" si="0"/>
        <v>0</v>
      </c>
      <c r="L39" s="2332"/>
      <c r="M39" s="2332"/>
    </row>
    <row r="40" spans="1:13" x14ac:dyDescent="0.2">
      <c r="A40" s="2329">
        <v>1001</v>
      </c>
      <c r="B40" s="2258" t="s">
        <v>6943</v>
      </c>
      <c r="C40" s="2332">
        <v>383922</v>
      </c>
      <c r="D40" s="2332">
        <v>502874</v>
      </c>
      <c r="E40" s="2332">
        <f>+D40-34123</f>
        <v>468751</v>
      </c>
      <c r="F40" s="2332">
        <v>368400</v>
      </c>
      <c r="G40" s="2332">
        <f t="shared" ref="G40:G53" si="6">F40/$F$11*$G$11</f>
        <v>442080</v>
      </c>
      <c r="H40" s="2332"/>
      <c r="I40" s="2332">
        <f>+[6]Salary_Bdgt!$H$32</f>
        <v>332923</v>
      </c>
      <c r="J40" s="2332">
        <f>[5]Sheet1!$K$13</f>
        <v>278336.15999999997</v>
      </c>
      <c r="K40" s="2333">
        <f t="shared" si="0"/>
        <v>278336.15999999997</v>
      </c>
      <c r="L40" s="2332">
        <f t="shared" ref="L40:L53" si="7">ROUND(I40*1.08,0)</f>
        <v>359557</v>
      </c>
      <c r="M40" s="2332">
        <f t="shared" ref="M40:M53" si="8">ROUND(L40*1.08,0)</f>
        <v>388322</v>
      </c>
    </row>
    <row r="41" spans="1:13" x14ac:dyDescent="0.2">
      <c r="A41" s="2329"/>
      <c r="B41" s="2258" t="s">
        <v>657</v>
      </c>
      <c r="C41" s="2332"/>
      <c r="D41" s="2332"/>
      <c r="E41" s="2332"/>
      <c r="F41" s="2332"/>
      <c r="G41" s="2332"/>
      <c r="H41" s="2332"/>
      <c r="I41" s="2332">
        <f>[5]Sheet1!$C$1111</f>
        <v>332923</v>
      </c>
      <c r="J41" s="2332">
        <f>[5]Sheet1!$K$1111</f>
        <v>548127.84</v>
      </c>
      <c r="K41" s="2333">
        <f t="shared" si="0"/>
        <v>548127.84</v>
      </c>
      <c r="L41" s="2332"/>
      <c r="M41" s="2332"/>
    </row>
    <row r="42" spans="1:13" x14ac:dyDescent="0.2">
      <c r="A42" s="2329">
        <v>1005</v>
      </c>
      <c r="B42" s="2258" t="s">
        <v>6944</v>
      </c>
      <c r="C42" s="2332">
        <v>24776</v>
      </c>
      <c r="D42" s="2332">
        <v>20117</v>
      </c>
      <c r="E42" s="2332">
        <f>+D42+1032</f>
        <v>21149</v>
      </c>
      <c r="F42" s="2332">
        <f>24291+1440</f>
        <v>25731</v>
      </c>
      <c r="G42" s="2332">
        <f t="shared" si="6"/>
        <v>30877.199999999997</v>
      </c>
      <c r="H42" s="2332"/>
      <c r="I42" s="2332">
        <f>+[6]Salary_Bdgt!$L$32</f>
        <v>13493</v>
      </c>
      <c r="J42" s="2332">
        <f>[5]Sheet1!$K$22</f>
        <v>45141.599999999999</v>
      </c>
      <c r="K42" s="2333">
        <f t="shared" si="0"/>
        <v>45141.599999999999</v>
      </c>
      <c r="L42" s="2332">
        <f t="shared" si="7"/>
        <v>14572</v>
      </c>
      <c r="M42" s="2332">
        <f t="shared" si="8"/>
        <v>15738</v>
      </c>
    </row>
    <row r="43" spans="1:13" x14ac:dyDescent="0.2">
      <c r="A43" s="2329">
        <v>1006</v>
      </c>
      <c r="B43" s="2258" t="s">
        <v>6945</v>
      </c>
      <c r="C43" s="2332">
        <v>44683</v>
      </c>
      <c r="D43" s="2332">
        <f>[7]Sal_RIA!$N$17</f>
        <v>0</v>
      </c>
      <c r="E43" s="2332">
        <v>26520</v>
      </c>
      <c r="F43" s="2332">
        <v>25327</v>
      </c>
      <c r="G43" s="2332">
        <f t="shared" si="6"/>
        <v>30392.399999999998</v>
      </c>
      <c r="H43" s="2332"/>
      <c r="I43" s="2332">
        <f>+[6]Salary_Bdgt!$N$32</f>
        <v>25525</v>
      </c>
      <c r="J43" s="2332">
        <f>[5]Sheet1!$K$23</f>
        <v>59373.58</v>
      </c>
      <c r="K43" s="2333">
        <f t="shared" si="0"/>
        <v>59373.58</v>
      </c>
      <c r="L43" s="2332">
        <f t="shared" si="7"/>
        <v>27567</v>
      </c>
      <c r="M43" s="2332">
        <f t="shared" si="8"/>
        <v>29772</v>
      </c>
    </row>
    <row r="44" spans="1:13" x14ac:dyDescent="0.2">
      <c r="A44" s="2329">
        <v>1007</v>
      </c>
      <c r="B44" s="2258" t="s">
        <v>6410</v>
      </c>
      <c r="C44" s="2332">
        <v>4359</v>
      </c>
      <c r="D44" s="2332">
        <v>8778</v>
      </c>
      <c r="E44" s="2332">
        <f>+D44</f>
        <v>8778</v>
      </c>
      <c r="F44" s="2332">
        <v>3897</v>
      </c>
      <c r="G44" s="2332">
        <f t="shared" si="6"/>
        <v>4676.3999999999996</v>
      </c>
      <c r="H44" s="2332"/>
      <c r="I44" s="2332">
        <f>+[6]Salary_Bdgt!$I$32</f>
        <v>6733</v>
      </c>
      <c r="J44" s="2332">
        <f>I44+1677</f>
        <v>8410</v>
      </c>
      <c r="K44" s="2333">
        <f t="shared" si="0"/>
        <v>8410</v>
      </c>
      <c r="L44" s="2332">
        <f t="shared" si="7"/>
        <v>7272</v>
      </c>
      <c r="M44" s="2332">
        <f t="shared" si="8"/>
        <v>7854</v>
      </c>
    </row>
    <row r="45" spans="1:13" x14ac:dyDescent="0.2">
      <c r="A45" s="2329">
        <v>1009</v>
      </c>
      <c r="B45" s="2258" t="s">
        <v>6408</v>
      </c>
      <c r="C45" s="2332">
        <v>262</v>
      </c>
      <c r="D45" s="2332">
        <f>[7]Sal_RIA!$M$17</f>
        <v>307</v>
      </c>
      <c r="E45" s="2332">
        <f>+D45</f>
        <v>307</v>
      </c>
      <c r="F45" s="2332">
        <v>266</v>
      </c>
      <c r="G45" s="2332">
        <f t="shared" si="6"/>
        <v>319.20000000000005</v>
      </c>
      <c r="H45" s="2332"/>
      <c r="I45" s="2332">
        <f>+[6]Salary_Bdgt!$M$32</f>
        <v>270</v>
      </c>
      <c r="J45" s="2332">
        <f>[5]Sheet1!$K$19-J30</f>
        <v>467.4</v>
      </c>
      <c r="K45" s="2333">
        <f t="shared" si="0"/>
        <v>467.4</v>
      </c>
      <c r="L45" s="2332">
        <f t="shared" si="7"/>
        <v>292</v>
      </c>
      <c r="M45" s="2332">
        <f t="shared" si="8"/>
        <v>315</v>
      </c>
    </row>
    <row r="46" spans="1:13" x14ac:dyDescent="0.2">
      <c r="A46" s="2329">
        <v>1010</v>
      </c>
      <c r="B46" s="2258" t="s">
        <v>6946</v>
      </c>
      <c r="C46" s="2332">
        <v>22937</v>
      </c>
      <c r="D46" s="2332">
        <v>41906</v>
      </c>
      <c r="E46" s="2332">
        <f>+D46</f>
        <v>41906</v>
      </c>
      <c r="F46" s="2332">
        <v>35902</v>
      </c>
      <c r="G46" s="2332">
        <f t="shared" si="6"/>
        <v>43082.399999999994</v>
      </c>
      <c r="H46" s="2332"/>
      <c r="I46" s="2332">
        <f>+[6]Salary_Bdgt!$Q$32</f>
        <v>27744</v>
      </c>
      <c r="J46" s="2332">
        <f>[5]Sheet1!$K$14</f>
        <v>26620.68</v>
      </c>
      <c r="K46" s="2333">
        <f t="shared" si="0"/>
        <v>26620.68</v>
      </c>
      <c r="L46" s="2332">
        <f t="shared" si="7"/>
        <v>29964</v>
      </c>
      <c r="M46" s="2332">
        <f t="shared" si="8"/>
        <v>32361</v>
      </c>
    </row>
    <row r="47" spans="1:13" x14ac:dyDescent="0.2">
      <c r="A47" s="2329">
        <v>1011</v>
      </c>
      <c r="B47" s="2258" t="s">
        <v>6947</v>
      </c>
      <c r="C47" s="2332">
        <v>0</v>
      </c>
      <c r="D47" s="2332">
        <v>0</v>
      </c>
      <c r="E47" s="2332">
        <v>0</v>
      </c>
      <c r="F47" s="2332">
        <v>0</v>
      </c>
      <c r="G47" s="2332">
        <f t="shared" si="6"/>
        <v>0</v>
      </c>
      <c r="H47" s="2332"/>
      <c r="I47" s="2332">
        <f>+[6]Salary_Bdgt!$U$32</f>
        <v>0</v>
      </c>
      <c r="J47" s="2332">
        <f>[5]Sheet1!$K$15</f>
        <v>4000</v>
      </c>
      <c r="K47" s="2333">
        <f t="shared" si="0"/>
        <v>4000</v>
      </c>
      <c r="L47" s="2332">
        <f t="shared" si="7"/>
        <v>0</v>
      </c>
      <c r="M47" s="2332">
        <f t="shared" si="8"/>
        <v>0</v>
      </c>
    </row>
    <row r="48" spans="1:13" x14ac:dyDescent="0.2">
      <c r="A48" s="2329">
        <v>1014</v>
      </c>
      <c r="B48" s="2258" t="s">
        <v>6632</v>
      </c>
      <c r="C48" s="2332">
        <v>0</v>
      </c>
      <c r="D48" s="2332">
        <v>0</v>
      </c>
      <c r="E48" s="2332">
        <v>0</v>
      </c>
      <c r="F48" s="2332">
        <v>0</v>
      </c>
      <c r="G48" s="2332">
        <f t="shared" si="6"/>
        <v>0</v>
      </c>
      <c r="H48" s="2332"/>
      <c r="I48" s="2332">
        <f>+[6]Salary_Bdgt!$S$32</f>
        <v>0</v>
      </c>
      <c r="J48" s="2332">
        <f>[5]Sheet1!$K$18</f>
        <v>0</v>
      </c>
      <c r="K48" s="2333">
        <f t="shared" si="0"/>
        <v>0</v>
      </c>
      <c r="L48" s="2332">
        <f t="shared" si="7"/>
        <v>0</v>
      </c>
      <c r="M48" s="2332">
        <f t="shared" si="8"/>
        <v>0</v>
      </c>
    </row>
    <row r="49" spans="1:13" x14ac:dyDescent="0.2">
      <c r="A49" s="2329">
        <v>1015</v>
      </c>
      <c r="B49" s="2258" t="s">
        <v>6948</v>
      </c>
      <c r="C49" s="2332">
        <v>6400</v>
      </c>
      <c r="D49" s="2332">
        <f>[7]Sal_RIA!$O$17+[7]Sal_RIA!$P$17</f>
        <v>0</v>
      </c>
      <c r="E49" s="2332">
        <f>+D49</f>
        <v>0</v>
      </c>
      <c r="F49" s="2332">
        <v>0</v>
      </c>
      <c r="G49" s="2332">
        <f t="shared" si="6"/>
        <v>0</v>
      </c>
      <c r="H49" s="2332"/>
      <c r="I49" s="2332">
        <f>+[6]Salary_Bdgt!$O$32+[6]Salary_Bdgt!$P$32+[6]Salary_Bdgt!$W$32</f>
        <v>0</v>
      </c>
      <c r="J49" s="2332">
        <f>[5]Sheet1!$K$16</f>
        <v>0</v>
      </c>
      <c r="K49" s="2333">
        <f t="shared" si="0"/>
        <v>0</v>
      </c>
      <c r="L49" s="2332">
        <f t="shared" si="7"/>
        <v>0</v>
      </c>
      <c r="M49" s="2332">
        <f t="shared" si="8"/>
        <v>0</v>
      </c>
    </row>
    <row r="50" spans="1:13" x14ac:dyDescent="0.2">
      <c r="A50" s="2329">
        <v>1016</v>
      </c>
      <c r="B50" s="2258" t="s">
        <v>6949</v>
      </c>
      <c r="C50" s="2332">
        <v>4500</v>
      </c>
      <c r="D50" s="2332">
        <f>[7]Sal_RIA!$U$17</f>
        <v>0</v>
      </c>
      <c r="E50" s="2332">
        <f>1200+5371</f>
        <v>6571</v>
      </c>
      <c r="F50" s="2332">
        <f>6715+500</f>
        <v>7215</v>
      </c>
      <c r="G50" s="2332">
        <f t="shared" si="6"/>
        <v>8658</v>
      </c>
      <c r="H50" s="2332"/>
      <c r="I50" s="2332">
        <f>+[6]Salary_Bdgt!$T$32+[6]Salary_Bdgt!$V$32</f>
        <v>7497</v>
      </c>
      <c r="J50" s="2332">
        <f>[5]Sheet1!$K$17</f>
        <v>0</v>
      </c>
      <c r="K50" s="2333">
        <f t="shared" si="0"/>
        <v>0</v>
      </c>
      <c r="L50" s="2332">
        <f t="shared" si="7"/>
        <v>8097</v>
      </c>
      <c r="M50" s="2332">
        <f t="shared" si="8"/>
        <v>8745</v>
      </c>
    </row>
    <row r="51" spans="1:13" x14ac:dyDescent="0.2">
      <c r="A51" s="2329">
        <v>1017</v>
      </c>
      <c r="B51" s="2258" t="s">
        <v>6950</v>
      </c>
      <c r="C51" s="2332">
        <v>5054</v>
      </c>
      <c r="D51" s="2332">
        <v>10407</v>
      </c>
      <c r="E51" s="2332">
        <f>+D51</f>
        <v>10407</v>
      </c>
      <c r="F51" s="2332">
        <v>2930</v>
      </c>
      <c r="G51" s="2332">
        <f t="shared" si="6"/>
        <v>3516</v>
      </c>
      <c r="H51" s="2332"/>
      <c r="I51" s="2332">
        <f>+[6]Salary_Bdgt!$J$32</f>
        <v>6733</v>
      </c>
      <c r="J51" s="2332">
        <f>[5]Sheet1!$K$20+0.29</f>
        <v>8619.9900000000016</v>
      </c>
      <c r="K51" s="2333">
        <f t="shared" si="0"/>
        <v>8619.9900000000016</v>
      </c>
      <c r="L51" s="2332">
        <f t="shared" si="7"/>
        <v>7272</v>
      </c>
      <c r="M51" s="2332">
        <f t="shared" si="8"/>
        <v>7854</v>
      </c>
    </row>
    <row r="52" spans="1:13" x14ac:dyDescent="0.2">
      <c r="A52" s="2329">
        <v>1046</v>
      </c>
      <c r="B52" s="2258" t="s">
        <v>6951</v>
      </c>
      <c r="C52" s="2332">
        <v>21200</v>
      </c>
      <c r="D52" s="2332">
        <v>34980</v>
      </c>
      <c r="E52" s="2332">
        <f>+D52</f>
        <v>34980</v>
      </c>
      <c r="F52" s="2332">
        <v>2650</v>
      </c>
      <c r="G52" s="2332">
        <f t="shared" si="6"/>
        <v>3180</v>
      </c>
      <c r="H52" s="2332"/>
      <c r="I52" s="2332">
        <f>+[6]Salary_Bdgt!$R$32</f>
        <v>0</v>
      </c>
      <c r="J52" s="2332">
        <f>[5]Sheet1!$K$18</f>
        <v>0</v>
      </c>
      <c r="K52" s="2333">
        <f t="shared" si="0"/>
        <v>0</v>
      </c>
      <c r="L52" s="2332">
        <f t="shared" si="7"/>
        <v>0</v>
      </c>
      <c r="M52" s="2332">
        <f t="shared" si="8"/>
        <v>0</v>
      </c>
    </row>
    <row r="53" spans="1:13" x14ac:dyDescent="0.2">
      <c r="A53" s="2329">
        <v>1182</v>
      </c>
      <c r="B53" s="2334" t="s">
        <v>6952</v>
      </c>
      <c r="C53" s="2335">
        <v>18693</v>
      </c>
      <c r="D53" s="2335">
        <v>9679</v>
      </c>
      <c r="E53" s="2335">
        <f>+D53</f>
        <v>9679</v>
      </c>
      <c r="F53" s="2335">
        <v>0</v>
      </c>
      <c r="G53" s="2335">
        <f t="shared" si="6"/>
        <v>0</v>
      </c>
      <c r="H53" s="2335"/>
      <c r="I53" s="2335">
        <f>+[6]Salary_Bdgt!$K$32</f>
        <v>6262</v>
      </c>
      <c r="J53" s="2335">
        <f>1839*2</f>
        <v>3678</v>
      </c>
      <c r="K53" s="2336">
        <f t="shared" si="0"/>
        <v>3678</v>
      </c>
      <c r="L53" s="2335">
        <f t="shared" si="7"/>
        <v>6763</v>
      </c>
      <c r="M53" s="2335">
        <f t="shared" si="8"/>
        <v>7304</v>
      </c>
    </row>
    <row r="54" spans="1:13" x14ac:dyDescent="0.2">
      <c r="A54" s="2329"/>
      <c r="B54" s="2330" t="s">
        <v>6588</v>
      </c>
      <c r="C54" s="2349">
        <f t="shared" ref="C54:M54" si="9">SUM(C40:C53)</f>
        <v>536786</v>
      </c>
      <c r="D54" s="2349">
        <f t="shared" si="9"/>
        <v>629048</v>
      </c>
      <c r="E54" s="2349">
        <f t="shared" si="9"/>
        <v>629048</v>
      </c>
      <c r="F54" s="2349">
        <f t="shared" si="9"/>
        <v>472318</v>
      </c>
      <c r="G54" s="2349">
        <f t="shared" si="9"/>
        <v>566781.60000000009</v>
      </c>
      <c r="H54" s="2349"/>
      <c r="I54" s="2349">
        <f>SUM(I40:I53)</f>
        <v>760103</v>
      </c>
      <c r="J54" s="2349">
        <f>SUM(J40:J53)</f>
        <v>982775.25</v>
      </c>
      <c r="K54" s="2333">
        <f t="shared" si="0"/>
        <v>982775.25</v>
      </c>
      <c r="L54" s="2349">
        <f t="shared" si="9"/>
        <v>461356</v>
      </c>
      <c r="M54" s="2349">
        <f t="shared" si="9"/>
        <v>498265</v>
      </c>
    </row>
    <row r="55" spans="1:13" x14ac:dyDescent="0.2">
      <c r="A55" s="2329"/>
      <c r="B55" s="2330"/>
      <c r="C55" s="2349"/>
      <c r="D55" s="2349"/>
      <c r="E55" s="2349"/>
      <c r="F55" s="2309"/>
      <c r="G55" s="2309"/>
      <c r="H55" s="2309"/>
      <c r="I55" s="2331"/>
      <c r="J55" s="2350">
        <f>J54-[5]Sheet1!$K$25-[5]Sheet1!$K$1111</f>
        <v>0</v>
      </c>
      <c r="K55" s="2333">
        <f t="shared" si="0"/>
        <v>0</v>
      </c>
      <c r="L55" s="2349"/>
      <c r="M55" s="2349"/>
    </row>
    <row r="56" spans="1:13" x14ac:dyDescent="0.2">
      <c r="A56" s="2329"/>
      <c r="B56" s="2330" t="s">
        <v>6953</v>
      </c>
      <c r="C56" s="2332"/>
      <c r="D56" s="2332"/>
      <c r="E56" s="2332"/>
      <c r="F56" s="2309"/>
      <c r="G56" s="2309"/>
      <c r="H56" s="2309"/>
      <c r="I56" s="2331"/>
      <c r="J56" s="2331"/>
      <c r="K56" s="2333">
        <f t="shared" si="0"/>
        <v>0</v>
      </c>
    </row>
    <row r="57" spans="1:13" x14ac:dyDescent="0.2">
      <c r="A57" s="2329">
        <v>3207</v>
      </c>
      <c r="B57" s="2258" t="s">
        <v>6954</v>
      </c>
      <c r="C57" s="2332">
        <v>0</v>
      </c>
      <c r="D57" s="2332">
        <v>5000</v>
      </c>
      <c r="E57" s="2332">
        <f>+D57</f>
        <v>5000</v>
      </c>
      <c r="F57" s="2332">
        <v>1535</v>
      </c>
      <c r="G57" s="2332">
        <f>F57/$F$11*$G$11</f>
        <v>1842</v>
      </c>
      <c r="H57" s="2332"/>
      <c r="I57" s="2332">
        <v>0</v>
      </c>
      <c r="J57" s="2332">
        <v>0</v>
      </c>
      <c r="K57" s="2333">
        <f t="shared" si="0"/>
        <v>0</v>
      </c>
      <c r="L57" s="2332">
        <f>ROUND(I57*1.06,0)</f>
        <v>0</v>
      </c>
      <c r="M57" s="2332">
        <f>ROUND(L57*1.06,0)</f>
        <v>0</v>
      </c>
    </row>
    <row r="58" spans="1:13" x14ac:dyDescent="0.2">
      <c r="A58" s="2329">
        <v>3215</v>
      </c>
      <c r="B58" s="2334" t="s">
        <v>6955</v>
      </c>
      <c r="C58" s="2335">
        <v>0</v>
      </c>
      <c r="D58" s="2335">
        <v>11000</v>
      </c>
      <c r="E58" s="2335">
        <f>+D58</f>
        <v>11000</v>
      </c>
      <c r="F58" s="2335">
        <v>503</v>
      </c>
      <c r="G58" s="2335">
        <f>F58/$F$11*$G$11</f>
        <v>603.59999999999991</v>
      </c>
      <c r="H58" s="2335"/>
      <c r="I58" s="2335">
        <v>0</v>
      </c>
      <c r="J58" s="2335">
        <v>0</v>
      </c>
      <c r="K58" s="2336">
        <f t="shared" si="0"/>
        <v>0</v>
      </c>
      <c r="L58" s="2335">
        <f>ROUND(I58*1.06,0)</f>
        <v>0</v>
      </c>
      <c r="M58" s="2335">
        <f>ROUND(L58*1.06,0)</f>
        <v>0</v>
      </c>
    </row>
    <row r="59" spans="1:13" x14ac:dyDescent="0.2">
      <c r="A59" s="2329"/>
      <c r="B59" s="2330" t="s">
        <v>6956</v>
      </c>
      <c r="C59" s="2349">
        <f>SUM(C57:C58)</f>
        <v>0</v>
      </c>
      <c r="D59" s="2349">
        <f t="shared" ref="D59:M59" si="10">SUM(D57:D58)</f>
        <v>16000</v>
      </c>
      <c r="E59" s="2349">
        <f t="shared" si="10"/>
        <v>16000</v>
      </c>
      <c r="F59" s="2349">
        <f t="shared" si="10"/>
        <v>2038</v>
      </c>
      <c r="G59" s="2349">
        <f t="shared" si="10"/>
        <v>2445.6</v>
      </c>
      <c r="H59" s="2349"/>
      <c r="I59" s="2349">
        <f t="shared" si="10"/>
        <v>0</v>
      </c>
      <c r="J59" s="2349">
        <v>0</v>
      </c>
      <c r="K59" s="2333">
        <f t="shared" si="0"/>
        <v>0</v>
      </c>
      <c r="L59" s="2349">
        <f t="shared" si="10"/>
        <v>0</v>
      </c>
      <c r="M59" s="2349">
        <f t="shared" si="10"/>
        <v>0</v>
      </c>
    </row>
    <row r="60" spans="1:13" x14ac:dyDescent="0.2">
      <c r="A60" s="2329"/>
      <c r="B60" s="2330"/>
      <c r="C60" s="2332"/>
      <c r="D60" s="2332"/>
      <c r="E60" s="2332"/>
      <c r="F60" s="2309"/>
      <c r="G60" s="2309"/>
      <c r="H60" s="2309"/>
      <c r="I60" s="2331"/>
      <c r="J60" s="2331"/>
      <c r="K60" s="2333">
        <f t="shared" si="0"/>
        <v>0</v>
      </c>
    </row>
    <row r="61" spans="1:13" x14ac:dyDescent="0.2">
      <c r="A61" s="2329"/>
      <c r="B61" s="2330" t="s">
        <v>6599</v>
      </c>
      <c r="C61" s="2332"/>
      <c r="D61" s="2332"/>
      <c r="E61" s="2332"/>
      <c r="F61" s="2309"/>
      <c r="G61" s="2309"/>
      <c r="H61" s="2309"/>
      <c r="I61" s="2331"/>
      <c r="J61" s="2331"/>
      <c r="K61" s="2333">
        <f t="shared" si="0"/>
        <v>0</v>
      </c>
    </row>
    <row r="62" spans="1:13" x14ac:dyDescent="0.2">
      <c r="A62" s="2329">
        <v>2020</v>
      </c>
      <c r="B62" s="2258" t="s">
        <v>6957</v>
      </c>
      <c r="C62" s="2332">
        <v>0</v>
      </c>
      <c r="D62" s="2332">
        <v>30000</v>
      </c>
      <c r="E62" s="2332">
        <f>+D62</f>
        <v>30000</v>
      </c>
      <c r="F62" s="2332">
        <v>22724</v>
      </c>
      <c r="G62" s="2332">
        <f t="shared" ref="G62:G69" si="11">F62/$F$11*$G$11</f>
        <v>27268.800000000003</v>
      </c>
      <c r="H62" s="2332"/>
      <c r="I62" s="2332">
        <f t="shared" ref="I62:I74" si="12">ROUND(E62*1.05,0)</f>
        <v>31500</v>
      </c>
      <c r="J62" s="2332">
        <f>[5]Sheet1!$K$41</f>
        <v>0</v>
      </c>
      <c r="K62" s="2333">
        <f t="shared" si="0"/>
        <v>0</v>
      </c>
      <c r="L62" s="2332">
        <f t="shared" ref="L62:L81" si="13">ROUND(I62*1.06,0)</f>
        <v>33390</v>
      </c>
      <c r="M62" s="2332">
        <f t="shared" ref="M62:M81" si="14">ROUND(L62*1.06,0)</f>
        <v>35393</v>
      </c>
    </row>
    <row r="63" spans="1:13" x14ac:dyDescent="0.2">
      <c r="A63" s="2329">
        <v>2113</v>
      </c>
      <c r="B63" s="2258" t="s">
        <v>6958</v>
      </c>
      <c r="C63" s="2332">
        <v>0</v>
      </c>
      <c r="D63" s="2332">
        <v>1050</v>
      </c>
      <c r="E63" s="2332">
        <f>+D63</f>
        <v>1050</v>
      </c>
      <c r="F63" s="2332">
        <v>0</v>
      </c>
      <c r="G63" s="2332">
        <f t="shared" si="11"/>
        <v>0</v>
      </c>
      <c r="H63" s="2332"/>
      <c r="I63" s="2332">
        <f t="shared" si="12"/>
        <v>1103</v>
      </c>
      <c r="J63" s="2332">
        <f>[5]Sheet1!$K$42</f>
        <v>28.06</v>
      </c>
      <c r="K63" s="2333">
        <f t="shared" si="0"/>
        <v>28.06</v>
      </c>
      <c r="L63" s="2332">
        <f t="shared" si="13"/>
        <v>1169</v>
      </c>
      <c r="M63" s="2332">
        <f t="shared" si="14"/>
        <v>1239</v>
      </c>
    </row>
    <row r="64" spans="1:13" x14ac:dyDescent="0.2">
      <c r="A64" s="2329">
        <v>2156</v>
      </c>
      <c r="B64" s="2258" t="s">
        <v>6959</v>
      </c>
      <c r="C64" s="2332">
        <v>0</v>
      </c>
      <c r="D64" s="2332">
        <v>15000</v>
      </c>
      <c r="E64" s="2332">
        <f>+D64</f>
        <v>15000</v>
      </c>
      <c r="F64" s="2332">
        <v>800</v>
      </c>
      <c r="G64" s="2332">
        <f t="shared" si="11"/>
        <v>960</v>
      </c>
      <c r="H64" s="2332"/>
      <c r="I64" s="2332">
        <f t="shared" si="12"/>
        <v>15750</v>
      </c>
      <c r="J64" s="2332">
        <f>[5]Sheet1!$K$43</f>
        <v>6772.99</v>
      </c>
      <c r="K64" s="2333">
        <f t="shared" si="0"/>
        <v>6772.99</v>
      </c>
      <c r="L64" s="2332">
        <f t="shared" si="13"/>
        <v>16695</v>
      </c>
      <c r="M64" s="2332">
        <f t="shared" si="14"/>
        <v>17697</v>
      </c>
    </row>
    <row r="65" spans="1:13" x14ac:dyDescent="0.2">
      <c r="A65" s="2329">
        <v>2202</v>
      </c>
      <c r="B65" s="2258" t="s">
        <v>6490</v>
      </c>
      <c r="C65" s="2332">
        <v>183370</v>
      </c>
      <c r="D65" s="2332">
        <v>384000</v>
      </c>
      <c r="E65" s="2332">
        <f>+D65</f>
        <v>384000</v>
      </c>
      <c r="F65" s="2332">
        <v>414023</v>
      </c>
      <c r="G65" s="2332">
        <f t="shared" si="11"/>
        <v>496827.60000000003</v>
      </c>
      <c r="H65" s="2332"/>
      <c r="I65" s="2332">
        <f t="shared" si="12"/>
        <v>403200</v>
      </c>
      <c r="J65" s="2332">
        <f>[5]Sheet1!$K$44</f>
        <v>641729.71</v>
      </c>
      <c r="K65" s="2333">
        <f t="shared" si="0"/>
        <v>641729.71</v>
      </c>
      <c r="L65" s="2332">
        <f t="shared" si="13"/>
        <v>427392</v>
      </c>
      <c r="M65" s="2332">
        <f t="shared" si="14"/>
        <v>453036</v>
      </c>
    </row>
    <row r="66" spans="1:13" x14ac:dyDescent="0.2">
      <c r="A66" s="2329">
        <v>2204</v>
      </c>
      <c r="B66" s="2258" t="s">
        <v>6960</v>
      </c>
      <c r="C66" s="2332">
        <v>94563</v>
      </c>
      <c r="D66" s="2332">
        <v>50000</v>
      </c>
      <c r="E66" s="2332">
        <f>+D66-14237</f>
        <v>35763</v>
      </c>
      <c r="F66" s="2332">
        <v>22320</v>
      </c>
      <c r="G66" s="2332">
        <f t="shared" si="11"/>
        <v>26784</v>
      </c>
      <c r="H66" s="2332"/>
      <c r="I66" s="2332">
        <f t="shared" si="12"/>
        <v>37551</v>
      </c>
      <c r="J66" s="2332">
        <f>[5]Sheet1!$K$45</f>
        <v>72803.360000000001</v>
      </c>
      <c r="K66" s="2333">
        <f t="shared" si="0"/>
        <v>72803.360000000001</v>
      </c>
      <c r="L66" s="2332">
        <f t="shared" si="13"/>
        <v>39804</v>
      </c>
      <c r="M66" s="2332">
        <f t="shared" si="14"/>
        <v>42192</v>
      </c>
    </row>
    <row r="67" spans="1:13" x14ac:dyDescent="0.2">
      <c r="A67" s="2329">
        <v>2210</v>
      </c>
      <c r="B67" s="2258" t="s">
        <v>6961</v>
      </c>
      <c r="C67" s="2332">
        <v>36700</v>
      </c>
      <c r="D67" s="2332">
        <v>34000</v>
      </c>
      <c r="E67" s="2332">
        <f>+D67</f>
        <v>34000</v>
      </c>
      <c r="F67" s="2332">
        <v>40340</v>
      </c>
      <c r="G67" s="2332">
        <f t="shared" si="11"/>
        <v>48408</v>
      </c>
      <c r="H67" s="2332"/>
      <c r="I67" s="2332">
        <f t="shared" si="12"/>
        <v>35700</v>
      </c>
      <c r="J67" s="2332">
        <f>[5]Sheet1!$K$47</f>
        <v>0</v>
      </c>
      <c r="K67" s="2333">
        <f t="shared" si="0"/>
        <v>0</v>
      </c>
      <c r="L67" s="2332">
        <f t="shared" si="13"/>
        <v>37842</v>
      </c>
      <c r="M67" s="2332">
        <f t="shared" si="14"/>
        <v>40113</v>
      </c>
    </row>
    <row r="68" spans="1:13" x14ac:dyDescent="0.2">
      <c r="A68" s="2329">
        <v>2211</v>
      </c>
      <c r="B68" s="2258" t="s">
        <v>6962</v>
      </c>
      <c r="C68" s="2332">
        <v>3300</v>
      </c>
      <c r="D68" s="2332">
        <v>20000</v>
      </c>
      <c r="E68" s="2332">
        <f>+D68</f>
        <v>20000</v>
      </c>
      <c r="F68" s="2332">
        <v>16960</v>
      </c>
      <c r="G68" s="2332">
        <f t="shared" si="11"/>
        <v>20352</v>
      </c>
      <c r="H68" s="2332"/>
      <c r="I68" s="2332">
        <f t="shared" si="12"/>
        <v>21000</v>
      </c>
      <c r="J68" s="2332">
        <f>[5]Sheet1!$K$37</f>
        <v>25501.37</v>
      </c>
      <c r="K68" s="2333">
        <f t="shared" si="0"/>
        <v>25501.37</v>
      </c>
      <c r="L68" s="2332">
        <f t="shared" si="13"/>
        <v>22260</v>
      </c>
      <c r="M68" s="2332">
        <f t="shared" si="14"/>
        <v>23596</v>
      </c>
    </row>
    <row r="69" spans="1:13" x14ac:dyDescent="0.2">
      <c r="A69" s="2329">
        <v>2212</v>
      </c>
      <c r="B69" s="2258" t="s">
        <v>6963</v>
      </c>
      <c r="C69" s="2332">
        <v>0</v>
      </c>
      <c r="D69" s="2332">
        <v>1050</v>
      </c>
      <c r="E69" s="2332">
        <f>+D69</f>
        <v>1050</v>
      </c>
      <c r="F69" s="2332">
        <v>0</v>
      </c>
      <c r="G69" s="2332">
        <f t="shared" si="11"/>
        <v>0</v>
      </c>
      <c r="H69" s="2332"/>
      <c r="I69" s="2332">
        <f t="shared" si="12"/>
        <v>1103</v>
      </c>
      <c r="J69" s="2332">
        <f>[5]Sheet1!$K$48</f>
        <v>0</v>
      </c>
      <c r="K69" s="2333">
        <f t="shared" si="0"/>
        <v>0</v>
      </c>
      <c r="L69" s="2332">
        <f t="shared" si="13"/>
        <v>1169</v>
      </c>
      <c r="M69" s="2332">
        <f t="shared" si="14"/>
        <v>1239</v>
      </c>
    </row>
    <row r="70" spans="1:13" x14ac:dyDescent="0.2">
      <c r="A70" s="2329">
        <v>2224</v>
      </c>
      <c r="B70" s="2258" t="s">
        <v>6964</v>
      </c>
      <c r="C70" s="2332">
        <v>0</v>
      </c>
      <c r="D70" s="2332">
        <v>300</v>
      </c>
      <c r="E70" s="2332">
        <f>+D70</f>
        <v>300</v>
      </c>
      <c r="F70" s="2332">
        <v>0</v>
      </c>
      <c r="G70" s="2332">
        <f>F70</f>
        <v>0</v>
      </c>
      <c r="H70" s="2332"/>
      <c r="I70" s="2332">
        <f t="shared" si="12"/>
        <v>315</v>
      </c>
      <c r="J70" s="2332">
        <f>[5]Sheet1!$K$49</f>
        <v>0</v>
      </c>
      <c r="K70" s="2333">
        <f t="shared" si="0"/>
        <v>0</v>
      </c>
      <c r="L70" s="2332">
        <f t="shared" si="13"/>
        <v>334</v>
      </c>
      <c r="M70" s="2332">
        <f t="shared" si="14"/>
        <v>354</v>
      </c>
    </row>
    <row r="71" spans="1:13" x14ac:dyDescent="0.2">
      <c r="A71" s="2329">
        <v>2225</v>
      </c>
      <c r="B71" s="2258" t="s">
        <v>6965</v>
      </c>
      <c r="C71" s="2332">
        <v>0</v>
      </c>
      <c r="D71" s="2332">
        <v>1050</v>
      </c>
      <c r="E71" s="2332">
        <f>+D71-740</f>
        <v>310</v>
      </c>
      <c r="F71" s="2332">
        <v>0</v>
      </c>
      <c r="G71" s="2332">
        <f t="shared" ref="G71:G80" si="15">F71/$F$11*$G$11</f>
        <v>0</v>
      </c>
      <c r="H71" s="2332"/>
      <c r="I71" s="2332">
        <f t="shared" si="12"/>
        <v>326</v>
      </c>
      <c r="J71" s="2332">
        <f>[5]Sheet1!$K$50</f>
        <v>0</v>
      </c>
      <c r="K71" s="2333">
        <f t="shared" si="0"/>
        <v>0</v>
      </c>
      <c r="L71" s="2332">
        <f t="shared" si="13"/>
        <v>346</v>
      </c>
      <c r="M71" s="2332">
        <f t="shared" si="14"/>
        <v>367</v>
      </c>
    </row>
    <row r="72" spans="1:13" x14ac:dyDescent="0.2">
      <c r="A72" s="2329">
        <v>2226</v>
      </c>
      <c r="B72" s="2258" t="s">
        <v>6607</v>
      </c>
      <c r="C72" s="2332">
        <v>0</v>
      </c>
      <c r="D72" s="2332">
        <v>120000</v>
      </c>
      <c r="E72" s="2332">
        <f>+D72</f>
        <v>120000</v>
      </c>
      <c r="F72" s="2332">
        <v>0</v>
      </c>
      <c r="G72" s="2332">
        <f t="shared" si="15"/>
        <v>0</v>
      </c>
      <c r="H72" s="2332"/>
      <c r="I72" s="2332">
        <f t="shared" si="12"/>
        <v>126000</v>
      </c>
      <c r="J72" s="2332">
        <f>[5]Sheet1!$K$51</f>
        <v>149664.24</v>
      </c>
      <c r="K72" s="2333">
        <f t="shared" si="0"/>
        <v>149664.24</v>
      </c>
      <c r="L72" s="2332">
        <f t="shared" si="13"/>
        <v>133560</v>
      </c>
      <c r="M72" s="2332">
        <f t="shared" si="14"/>
        <v>141574</v>
      </c>
    </row>
    <row r="73" spans="1:13" x14ac:dyDescent="0.2">
      <c r="A73" s="2329">
        <v>2227</v>
      </c>
      <c r="B73" s="2258" t="s">
        <v>231</v>
      </c>
      <c r="C73" s="2332">
        <v>397</v>
      </c>
      <c r="D73" s="2332">
        <v>5250</v>
      </c>
      <c r="E73" s="2332">
        <f>+D73</f>
        <v>5250</v>
      </c>
      <c r="F73" s="2332">
        <v>0</v>
      </c>
      <c r="G73" s="2332">
        <f t="shared" si="15"/>
        <v>0</v>
      </c>
      <c r="H73" s="2332"/>
      <c r="I73" s="2332">
        <f t="shared" si="12"/>
        <v>5513</v>
      </c>
      <c r="J73" s="2332">
        <f>[5]Sheet1!$K$52</f>
        <v>3967.66</v>
      </c>
      <c r="K73" s="2333">
        <f t="shared" si="0"/>
        <v>3967.66</v>
      </c>
      <c r="L73" s="2332">
        <f t="shared" si="13"/>
        <v>5844</v>
      </c>
      <c r="M73" s="2332">
        <f t="shared" si="14"/>
        <v>6195</v>
      </c>
    </row>
    <row r="74" spans="1:13" x14ac:dyDescent="0.2">
      <c r="A74" s="2329">
        <v>2231</v>
      </c>
      <c r="B74" s="2258" t="s">
        <v>1779</v>
      </c>
      <c r="C74" s="2332">
        <v>45265</v>
      </c>
      <c r="D74" s="2332">
        <v>21000</v>
      </c>
      <c r="E74" s="2332">
        <f>+D74+14237</f>
        <v>35237</v>
      </c>
      <c r="F74" s="2332">
        <v>25240</v>
      </c>
      <c r="G74" s="2332">
        <f t="shared" si="15"/>
        <v>30288</v>
      </c>
      <c r="H74" s="2332"/>
      <c r="I74" s="2332">
        <f t="shared" si="12"/>
        <v>36999</v>
      </c>
      <c r="J74" s="2332">
        <f>[5]Sheet1!$K$53</f>
        <v>66218.740000000005</v>
      </c>
      <c r="K74" s="2333">
        <f t="shared" si="0"/>
        <v>66218.740000000005</v>
      </c>
      <c r="L74" s="2332">
        <f t="shared" si="13"/>
        <v>39219</v>
      </c>
      <c r="M74" s="2332">
        <f t="shared" si="14"/>
        <v>41572</v>
      </c>
    </row>
    <row r="75" spans="1:13" x14ac:dyDescent="0.2">
      <c r="A75" s="2329">
        <v>2233</v>
      </c>
      <c r="B75" s="2258" t="s">
        <v>6966</v>
      </c>
      <c r="C75" s="2332">
        <v>30750</v>
      </c>
      <c r="D75" s="2332">
        <v>84000</v>
      </c>
      <c r="E75" s="2332">
        <f>+D75</f>
        <v>84000</v>
      </c>
      <c r="F75" s="2332">
        <v>0</v>
      </c>
      <c r="G75" s="2332">
        <f t="shared" si="15"/>
        <v>0</v>
      </c>
      <c r="H75" s="2332"/>
      <c r="I75" s="2332">
        <v>0</v>
      </c>
      <c r="J75" s="2332">
        <f>[5]Sheet1!$K$54</f>
        <v>0</v>
      </c>
      <c r="K75" s="2333">
        <f t="shared" si="0"/>
        <v>0</v>
      </c>
      <c r="L75" s="2332">
        <f t="shared" si="13"/>
        <v>0</v>
      </c>
      <c r="M75" s="2332">
        <f t="shared" si="14"/>
        <v>0</v>
      </c>
    </row>
    <row r="76" spans="1:13" x14ac:dyDescent="0.2">
      <c r="A76" s="2329">
        <v>2238</v>
      </c>
      <c r="B76" s="2258" t="s">
        <v>6967</v>
      </c>
      <c r="C76" s="2332">
        <v>172764</v>
      </c>
      <c r="D76" s="2332">
        <v>105000</v>
      </c>
      <c r="E76" s="2332">
        <f>+D76+100000</f>
        <v>205000</v>
      </c>
      <c r="F76" s="2332">
        <v>204720</v>
      </c>
      <c r="G76" s="2332">
        <f t="shared" si="15"/>
        <v>245664</v>
      </c>
      <c r="H76" s="2332"/>
      <c r="I76" s="2332">
        <f t="shared" ref="I76:I81" si="16">ROUND(E76*1.05,0)</f>
        <v>215250</v>
      </c>
      <c r="J76" s="2332">
        <f>[5]Sheet1!$K$55</f>
        <v>841499.5</v>
      </c>
      <c r="K76" s="2333">
        <f t="shared" si="0"/>
        <v>841499.5</v>
      </c>
      <c r="L76" s="2332">
        <f t="shared" si="13"/>
        <v>228165</v>
      </c>
      <c r="M76" s="2332">
        <f t="shared" si="14"/>
        <v>241855</v>
      </c>
    </row>
    <row r="77" spans="1:13" x14ac:dyDescent="0.2">
      <c r="A77" s="2329">
        <v>2246</v>
      </c>
      <c r="B77" s="2258" t="s">
        <v>6968</v>
      </c>
      <c r="C77" s="2332">
        <v>53752</v>
      </c>
      <c r="D77" s="2332">
        <v>47250</v>
      </c>
      <c r="E77" s="2332">
        <f>+D77+740</f>
        <v>47990</v>
      </c>
      <c r="F77" s="2332">
        <v>39527</v>
      </c>
      <c r="G77" s="2332">
        <f t="shared" si="15"/>
        <v>47432.399999999994</v>
      </c>
      <c r="H77" s="2332"/>
      <c r="I77" s="2332">
        <f t="shared" si="16"/>
        <v>50390</v>
      </c>
      <c r="J77" s="2332">
        <f>[5]Sheet1!$K$56</f>
        <v>26534.94</v>
      </c>
      <c r="K77" s="2333">
        <f t="shared" si="0"/>
        <v>26534.94</v>
      </c>
      <c r="L77" s="2332">
        <f t="shared" si="13"/>
        <v>53413</v>
      </c>
      <c r="M77" s="2332">
        <f t="shared" si="14"/>
        <v>56618</v>
      </c>
    </row>
    <row r="78" spans="1:13" x14ac:dyDescent="0.2">
      <c r="A78" s="2329">
        <v>2254</v>
      </c>
      <c r="B78" s="2258" t="s">
        <v>6969</v>
      </c>
      <c r="C78" s="2332">
        <v>886</v>
      </c>
      <c r="D78" s="2332">
        <v>1050</v>
      </c>
      <c r="E78" s="2332">
        <f>+D78</f>
        <v>1050</v>
      </c>
      <c r="F78" s="2332">
        <v>967</v>
      </c>
      <c r="G78" s="2332">
        <f t="shared" si="15"/>
        <v>1160.4000000000001</v>
      </c>
      <c r="H78" s="2332"/>
      <c r="I78" s="2332">
        <f t="shared" si="16"/>
        <v>1103</v>
      </c>
      <c r="J78" s="2332">
        <f>[5]Sheet1!$K$59</f>
        <v>925.41999999999985</v>
      </c>
      <c r="K78" s="2333">
        <f t="shared" si="0"/>
        <v>925.41999999999985</v>
      </c>
      <c r="L78" s="2332">
        <f t="shared" si="13"/>
        <v>1169</v>
      </c>
      <c r="M78" s="2332">
        <f t="shared" si="14"/>
        <v>1239</v>
      </c>
    </row>
    <row r="79" spans="1:13" x14ac:dyDescent="0.2">
      <c r="A79" s="2329">
        <v>2256</v>
      </c>
      <c r="B79" s="2258" t="s">
        <v>6482</v>
      </c>
      <c r="C79" s="2332">
        <v>74358</v>
      </c>
      <c r="D79" s="2332">
        <f>ROUND(3600*7.44*1.4,0)</f>
        <v>37498</v>
      </c>
      <c r="E79" s="2332">
        <f>+D79</f>
        <v>37498</v>
      </c>
      <c r="F79" s="2332">
        <v>1869</v>
      </c>
      <c r="G79" s="2332">
        <f t="shared" si="15"/>
        <v>2242.8000000000002</v>
      </c>
      <c r="H79" s="2332"/>
      <c r="I79" s="2332">
        <v>0</v>
      </c>
      <c r="J79" s="2332">
        <v>0</v>
      </c>
      <c r="K79" s="2333">
        <f t="shared" si="0"/>
        <v>0</v>
      </c>
      <c r="L79" s="2332">
        <f t="shared" si="13"/>
        <v>0</v>
      </c>
      <c r="M79" s="2332">
        <f t="shared" si="14"/>
        <v>0</v>
      </c>
    </row>
    <row r="80" spans="1:13" x14ac:dyDescent="0.2">
      <c r="A80" s="2329">
        <v>2305</v>
      </c>
      <c r="B80" s="2258" t="s">
        <v>6970</v>
      </c>
      <c r="C80" s="2332">
        <v>439</v>
      </c>
      <c r="D80" s="2332">
        <v>1050</v>
      </c>
      <c r="E80" s="2332">
        <f>+D80</f>
        <v>1050</v>
      </c>
      <c r="F80" s="2332">
        <v>1365</v>
      </c>
      <c r="G80" s="2332">
        <f t="shared" si="15"/>
        <v>1638</v>
      </c>
      <c r="H80" s="2332"/>
      <c r="I80" s="2332">
        <f t="shared" si="16"/>
        <v>1103</v>
      </c>
      <c r="J80" s="2332">
        <f>[5]Sheet1!$K$61</f>
        <v>1490.8</v>
      </c>
      <c r="K80" s="2333">
        <f t="shared" si="0"/>
        <v>1490.8</v>
      </c>
      <c r="L80" s="2332">
        <f t="shared" si="13"/>
        <v>1169</v>
      </c>
      <c r="M80" s="2332">
        <f t="shared" si="14"/>
        <v>1239</v>
      </c>
    </row>
    <row r="81" spans="1:13" x14ac:dyDescent="0.2">
      <c r="A81" s="2329">
        <v>2502</v>
      </c>
      <c r="B81" s="2334" t="s">
        <v>6971</v>
      </c>
      <c r="C81" s="2335">
        <v>35550</v>
      </c>
      <c r="D81" s="2335">
        <v>0</v>
      </c>
      <c r="E81" s="2335">
        <v>0</v>
      </c>
      <c r="F81" s="2335">
        <v>0</v>
      </c>
      <c r="G81" s="2335">
        <v>0</v>
      </c>
      <c r="H81" s="2335"/>
      <c r="I81" s="2335">
        <f t="shared" si="16"/>
        <v>0</v>
      </c>
      <c r="J81" s="2335">
        <v>0</v>
      </c>
      <c r="K81" s="2336">
        <f t="shared" si="0"/>
        <v>0</v>
      </c>
      <c r="L81" s="2335">
        <f t="shared" si="13"/>
        <v>0</v>
      </c>
      <c r="M81" s="2335">
        <f t="shared" si="14"/>
        <v>0</v>
      </c>
    </row>
    <row r="82" spans="1:13" x14ac:dyDescent="0.2">
      <c r="A82" s="2316"/>
      <c r="B82" s="2330" t="s">
        <v>6614</v>
      </c>
      <c r="C82" s="2349">
        <f t="shared" ref="C82:M82" si="17">SUM(C62:C81)</f>
        <v>732094</v>
      </c>
      <c r="D82" s="2349">
        <f t="shared" si="17"/>
        <v>958548</v>
      </c>
      <c r="E82" s="2349">
        <f t="shared" si="17"/>
        <v>1058548</v>
      </c>
      <c r="F82" s="2349">
        <f t="shared" si="17"/>
        <v>790855</v>
      </c>
      <c r="G82" s="2349">
        <f t="shared" si="17"/>
        <v>949026.00000000012</v>
      </c>
      <c r="H82" s="2349"/>
      <c r="I82" s="2349">
        <f>SUM(I62:I81)</f>
        <v>983906</v>
      </c>
      <c r="J82" s="2349">
        <f>SUM(J62:J81)</f>
        <v>1837136.7899999998</v>
      </c>
      <c r="K82" s="2333">
        <f t="shared" si="0"/>
        <v>1837136.7899999998</v>
      </c>
      <c r="L82" s="2349">
        <f t="shared" si="17"/>
        <v>1042940</v>
      </c>
      <c r="M82" s="2349">
        <f t="shared" si="17"/>
        <v>1105518</v>
      </c>
    </row>
    <row r="83" spans="1:13" x14ac:dyDescent="0.2">
      <c r="A83" s="2329"/>
      <c r="B83" s="2330"/>
      <c r="C83" s="2349"/>
      <c r="D83" s="2349"/>
      <c r="E83" s="2349"/>
      <c r="F83" s="2349"/>
      <c r="G83" s="2349"/>
      <c r="H83" s="2349"/>
      <c r="I83" s="2349"/>
      <c r="J83" s="2349">
        <f>J82-[5]Sheet1!$K$38-[5]Sheet1!$K$62</f>
        <v>-13435.15000000014</v>
      </c>
      <c r="K83" s="2333">
        <f t="shared" si="0"/>
        <v>-13435.15000000014</v>
      </c>
      <c r="L83" s="2349"/>
      <c r="M83" s="2349"/>
    </row>
    <row r="84" spans="1:13" x14ac:dyDescent="0.2">
      <c r="A84" s="2341"/>
      <c r="B84" s="2330" t="s">
        <v>6972</v>
      </c>
      <c r="C84" s="2351">
        <f t="shared" ref="C84:M84" si="18">C37+C59+C82+C54</f>
        <v>2983319</v>
      </c>
      <c r="D84" s="2351">
        <f t="shared" si="18"/>
        <v>3609633</v>
      </c>
      <c r="E84" s="2351">
        <f t="shared" si="18"/>
        <v>3709633</v>
      </c>
      <c r="F84" s="2351">
        <f t="shared" si="18"/>
        <v>2878527</v>
      </c>
      <c r="G84" s="2351">
        <f t="shared" si="18"/>
        <v>3454232.4000000004</v>
      </c>
      <c r="H84" s="2351"/>
      <c r="I84" s="2351">
        <f>I37+I59+I82+I54</f>
        <v>3918909</v>
      </c>
      <c r="J84" s="2351">
        <f>J37+J59+J82+J54</f>
        <v>5141904.8</v>
      </c>
      <c r="K84" s="2333">
        <f t="shared" si="0"/>
        <v>5141904.8</v>
      </c>
      <c r="L84" s="2351">
        <f t="shared" si="18"/>
        <v>3853189</v>
      </c>
      <c r="M84" s="2351">
        <f t="shared" si="18"/>
        <v>4140588</v>
      </c>
    </row>
    <row r="85" spans="1:13" x14ac:dyDescent="0.2">
      <c r="A85" s="2341"/>
      <c r="B85" s="2330"/>
      <c r="C85" s="2351"/>
      <c r="D85" s="2351"/>
      <c r="E85" s="2351"/>
      <c r="F85" s="2309"/>
      <c r="G85" s="2309"/>
      <c r="H85" s="2309"/>
      <c r="I85" s="2331"/>
      <c r="J85" s="2331"/>
      <c r="K85" s="2333">
        <f t="shared" ref="K85:K148" si="19">J85</f>
        <v>0</v>
      </c>
      <c r="L85" s="2351"/>
      <c r="M85" s="2351"/>
    </row>
    <row r="86" spans="1:13" x14ac:dyDescent="0.2">
      <c r="A86" s="2352"/>
      <c r="B86" s="2352"/>
      <c r="C86" s="2352"/>
      <c r="D86" s="2352"/>
      <c r="E86" s="2352"/>
      <c r="F86" s="2309"/>
      <c r="G86" s="2309"/>
      <c r="H86" s="2309"/>
      <c r="I86" s="2331"/>
      <c r="J86" s="2331"/>
      <c r="K86" s="2333">
        <f t="shared" si="19"/>
        <v>0</v>
      </c>
      <c r="L86" s="2352"/>
      <c r="M86" s="2352"/>
    </row>
    <row r="87" spans="1:13" ht="15" x14ac:dyDescent="0.25">
      <c r="A87" s="2325">
        <v>1010</v>
      </c>
      <c r="B87" s="2326" t="s">
        <v>6973</v>
      </c>
      <c r="C87" s="2351"/>
      <c r="D87" s="2351"/>
      <c r="E87" s="2351"/>
      <c r="F87" s="2309"/>
      <c r="G87" s="2309"/>
      <c r="H87" s="2309"/>
      <c r="I87" s="2331"/>
      <c r="J87" s="2331"/>
      <c r="K87" s="2333">
        <f t="shared" si="19"/>
        <v>0</v>
      </c>
      <c r="L87" s="2351"/>
      <c r="M87" s="2351"/>
    </row>
    <row r="88" spans="1:13" x14ac:dyDescent="0.2">
      <c r="A88" s="2341"/>
      <c r="B88" s="2330"/>
      <c r="C88" s="2351"/>
      <c r="D88" s="2351"/>
      <c r="E88" s="2351"/>
      <c r="F88" s="2309"/>
      <c r="G88" s="2309"/>
      <c r="H88" s="2309"/>
      <c r="I88" s="2331"/>
      <c r="J88" s="2331"/>
      <c r="K88" s="2333">
        <f t="shared" si="19"/>
        <v>0</v>
      </c>
      <c r="L88" s="2351"/>
      <c r="M88" s="2351"/>
    </row>
    <row r="89" spans="1:13" x14ac:dyDescent="0.2">
      <c r="A89" s="2353"/>
      <c r="B89" s="2330" t="s">
        <v>6974</v>
      </c>
      <c r="C89" s="2332"/>
      <c r="D89" s="2332"/>
      <c r="E89" s="2332"/>
      <c r="F89" s="2309"/>
      <c r="G89" s="2309"/>
      <c r="H89" s="2309"/>
      <c r="I89" s="2331"/>
      <c r="J89" s="2331"/>
      <c r="K89" s="2333">
        <f t="shared" si="19"/>
        <v>0</v>
      </c>
      <c r="L89" s="2332"/>
      <c r="M89" s="2332"/>
    </row>
    <row r="90" spans="1:13" x14ac:dyDescent="0.2">
      <c r="A90" s="2353">
        <v>4106</v>
      </c>
      <c r="B90" s="2258" t="s">
        <v>6975</v>
      </c>
      <c r="C90" s="2332">
        <v>25711</v>
      </c>
      <c r="D90" s="2332">
        <v>0</v>
      </c>
      <c r="E90" s="2332">
        <v>0</v>
      </c>
      <c r="F90" s="2332">
        <v>0</v>
      </c>
      <c r="G90" s="2332">
        <v>0</v>
      </c>
      <c r="H90" s="2332"/>
      <c r="I90" s="2332">
        <v>0</v>
      </c>
      <c r="J90" s="2332"/>
      <c r="K90" s="2333">
        <f t="shared" si="19"/>
        <v>0</v>
      </c>
      <c r="L90" s="2332">
        <v>0</v>
      </c>
      <c r="M90" s="2332">
        <v>0</v>
      </c>
    </row>
    <row r="91" spans="1:13" x14ac:dyDescent="0.2">
      <c r="A91" s="2353">
        <v>4204</v>
      </c>
      <c r="B91" s="2258" t="s">
        <v>6976</v>
      </c>
      <c r="C91" s="2332">
        <v>16828</v>
      </c>
      <c r="D91" s="2332">
        <v>13405</v>
      </c>
      <c r="E91" s="2332">
        <v>13405</v>
      </c>
      <c r="F91" s="2332">
        <f>1117.08333333333*5</f>
        <v>5585.4166666666661</v>
      </c>
      <c r="G91" s="2332">
        <f>F91/$F$11*$G$11</f>
        <v>6702.5</v>
      </c>
      <c r="H91" s="2332"/>
      <c r="I91" s="2332">
        <f>ROUND(E91*1.08,0)</f>
        <v>14477</v>
      </c>
      <c r="J91" s="2332">
        <f>[5]Sheet1!$K$70</f>
        <v>34145.440000000002</v>
      </c>
      <c r="K91" s="2333">
        <f t="shared" si="19"/>
        <v>34145.440000000002</v>
      </c>
      <c r="L91" s="2332">
        <f>ROUND(D91*1.08,0)</f>
        <v>14477</v>
      </c>
      <c r="M91" s="2332">
        <f>ROUND(L91*1.08,0)</f>
        <v>15635</v>
      </c>
    </row>
    <row r="92" spans="1:13" x14ac:dyDescent="0.2">
      <c r="A92" s="2353">
        <v>4207</v>
      </c>
      <c r="B92" s="2258" t="s">
        <v>6977</v>
      </c>
      <c r="C92" s="2332">
        <v>25304</v>
      </c>
      <c r="D92" s="2332">
        <v>6838</v>
      </c>
      <c r="E92" s="2332">
        <v>6838</v>
      </c>
      <c r="F92" s="2332">
        <f>569.833333333333*5</f>
        <v>2849.166666666667</v>
      </c>
      <c r="G92" s="2332">
        <f>F92/$F$11*$G$11</f>
        <v>3419</v>
      </c>
      <c r="H92" s="2332"/>
      <c r="I92" s="2332">
        <f>ROUND(E92*1.08,0)</f>
        <v>7385</v>
      </c>
      <c r="J92" s="2332">
        <f>[5]Sheet1!$K$71</f>
        <v>2484.6</v>
      </c>
      <c r="K92" s="2333">
        <f t="shared" si="19"/>
        <v>2484.6</v>
      </c>
      <c r="L92" s="2332">
        <f>ROUND(D92*1.08,0)</f>
        <v>7385</v>
      </c>
      <c r="M92" s="2332">
        <f>ROUND(L92*1.08,0)</f>
        <v>7976</v>
      </c>
    </row>
    <row r="93" spans="1:13" x14ac:dyDescent="0.2">
      <c r="A93" s="2353">
        <v>4209</v>
      </c>
      <c r="B93" s="2334" t="s">
        <v>6978</v>
      </c>
      <c r="C93" s="2335">
        <v>723</v>
      </c>
      <c r="D93" s="2335">
        <v>0</v>
      </c>
      <c r="E93" s="2335">
        <v>0</v>
      </c>
      <c r="F93" s="2335">
        <v>0</v>
      </c>
      <c r="G93" s="2335">
        <v>0</v>
      </c>
      <c r="H93" s="2335"/>
      <c r="I93" s="2335">
        <v>0</v>
      </c>
      <c r="J93" s="2335">
        <v>0</v>
      </c>
      <c r="K93" s="2336">
        <f t="shared" si="19"/>
        <v>0</v>
      </c>
      <c r="L93" s="2335">
        <v>0</v>
      </c>
      <c r="M93" s="2335">
        <v>0</v>
      </c>
    </row>
    <row r="94" spans="1:13" x14ac:dyDescent="0.2">
      <c r="A94" s="2353"/>
      <c r="B94" s="2330" t="s">
        <v>6979</v>
      </c>
      <c r="C94" s="2337">
        <f t="shared" ref="C94:M94" si="20">SUM(C90:C93)</f>
        <v>68566</v>
      </c>
      <c r="D94" s="2337">
        <f t="shared" si="20"/>
        <v>20243</v>
      </c>
      <c r="E94" s="2337">
        <f t="shared" si="20"/>
        <v>20243</v>
      </c>
      <c r="F94" s="2337">
        <f t="shared" si="20"/>
        <v>8434.5833333333321</v>
      </c>
      <c r="G94" s="2337">
        <f t="shared" si="20"/>
        <v>10121.5</v>
      </c>
      <c r="H94" s="2337"/>
      <c r="I94" s="2337">
        <f>SUM(I90:I93)</f>
        <v>21862</v>
      </c>
      <c r="J94" s="2337">
        <f>J91+J92</f>
        <v>36630.04</v>
      </c>
      <c r="K94" s="2333">
        <f t="shared" si="19"/>
        <v>36630.04</v>
      </c>
      <c r="L94" s="2337">
        <f t="shared" si="20"/>
        <v>21862</v>
      </c>
      <c r="M94" s="2337">
        <f t="shared" si="20"/>
        <v>23611</v>
      </c>
    </row>
    <row r="95" spans="1:13" x14ac:dyDescent="0.2">
      <c r="A95" s="2341"/>
      <c r="B95" s="2330"/>
      <c r="C95" s="2351"/>
      <c r="D95" s="2351"/>
      <c r="E95" s="2351"/>
      <c r="F95" s="2309"/>
      <c r="G95" s="2309"/>
      <c r="H95" s="2309"/>
      <c r="I95" s="2331"/>
      <c r="J95" s="2350">
        <f>J94-[5]Sheet1!$K$72</f>
        <v>0</v>
      </c>
      <c r="K95" s="2333">
        <f t="shared" si="19"/>
        <v>0</v>
      </c>
      <c r="L95" s="2351"/>
      <c r="M95" s="2351"/>
    </row>
    <row r="96" spans="1:13" ht="13.5" thickBot="1" x14ac:dyDescent="0.25">
      <c r="A96" s="2341"/>
      <c r="B96" s="2342" t="s">
        <v>6980</v>
      </c>
      <c r="C96" s="2354">
        <f>C84+C94</f>
        <v>3051885</v>
      </c>
      <c r="D96" s="2354">
        <f>D84+D94</f>
        <v>3629876</v>
      </c>
      <c r="E96" s="2354">
        <f>E84+E94</f>
        <v>3729876</v>
      </c>
      <c r="F96" s="2354">
        <f>F84+F94</f>
        <v>2886961.5833333335</v>
      </c>
      <c r="G96" s="2354">
        <f>G84+G94</f>
        <v>3464353.9000000004</v>
      </c>
      <c r="H96" s="2354"/>
      <c r="I96" s="2354">
        <f>I84+I94</f>
        <v>3940771</v>
      </c>
      <c r="J96" s="2354">
        <f>J84+J94</f>
        <v>5178534.84</v>
      </c>
      <c r="K96" s="2344">
        <f t="shared" si="19"/>
        <v>5178534.84</v>
      </c>
      <c r="L96" s="2354">
        <f>L84+L94</f>
        <v>3875051</v>
      </c>
      <c r="M96" s="2354">
        <f>M84+M94</f>
        <v>4164199</v>
      </c>
    </row>
    <row r="97" spans="1:13" ht="13.5" thickTop="1" x14ac:dyDescent="0.2">
      <c r="A97" s="2341"/>
      <c r="B97" s="2330"/>
      <c r="C97" s="2349"/>
      <c r="D97" s="2349"/>
      <c r="E97" s="2349"/>
      <c r="F97" s="2349"/>
      <c r="G97" s="2349"/>
      <c r="H97" s="2349"/>
      <c r="I97" s="2349"/>
      <c r="J97" s="2349"/>
      <c r="K97" s="2333">
        <f t="shared" si="19"/>
        <v>0</v>
      </c>
      <c r="L97" s="2349"/>
      <c r="M97" s="2349"/>
    </row>
    <row r="98" spans="1:13" ht="13.5" thickBot="1" x14ac:dyDescent="0.25">
      <c r="A98" s="2345"/>
      <c r="B98" s="2342" t="s">
        <v>6624</v>
      </c>
      <c r="C98" s="2355">
        <f>C24-C96</f>
        <v>-2486635</v>
      </c>
      <c r="D98" s="2355">
        <f>D24-D96</f>
        <v>-3042876</v>
      </c>
      <c r="E98" s="2355">
        <f>E24-E96</f>
        <v>-3142876</v>
      </c>
      <c r="F98" s="2355">
        <f>F24-F96</f>
        <v>-2299961.5833333335</v>
      </c>
      <c r="G98" s="2355">
        <f>G24-G96</f>
        <v>-2877353.9000000004</v>
      </c>
      <c r="H98" s="2355"/>
      <c r="I98" s="2355">
        <f>I24-I96</f>
        <v>-3287771</v>
      </c>
      <c r="J98" s="2355">
        <f>J24-J96</f>
        <v>-4795590.16</v>
      </c>
      <c r="K98" s="2344">
        <f t="shared" si="19"/>
        <v>-4795590.16</v>
      </c>
      <c r="L98" s="2355">
        <f>L24-L96</f>
        <v>-3180051</v>
      </c>
      <c r="M98" s="2355">
        <f>M24-M96</f>
        <v>-3435199</v>
      </c>
    </row>
    <row r="99" spans="1:13" ht="13.5" thickTop="1" x14ac:dyDescent="0.2">
      <c r="A99" s="2345"/>
      <c r="B99" s="2330"/>
      <c r="C99" s="2356"/>
      <c r="D99" s="2356"/>
      <c r="E99" s="2356"/>
      <c r="F99" s="2309"/>
      <c r="G99" s="2309"/>
      <c r="H99" s="2309"/>
      <c r="I99" s="2331"/>
      <c r="J99" s="2331"/>
      <c r="K99" s="2333">
        <f t="shared" si="19"/>
        <v>0</v>
      </c>
      <c r="L99" s="2356"/>
      <c r="M99" s="2356"/>
    </row>
    <row r="100" spans="1:13" x14ac:dyDescent="0.2">
      <c r="A100" s="2357"/>
      <c r="B100" s="2357"/>
      <c r="C100" s="2357"/>
      <c r="D100" s="2357"/>
      <c r="E100" s="2357"/>
      <c r="F100" s="2309"/>
      <c r="G100" s="2309"/>
      <c r="H100" s="2309"/>
      <c r="I100" s="2331"/>
      <c r="J100" s="2331"/>
      <c r="K100" s="2333">
        <f t="shared" si="19"/>
        <v>0</v>
      </c>
      <c r="L100" s="2357"/>
      <c r="M100" s="2357"/>
    </row>
    <row r="101" spans="1:13" ht="15" x14ac:dyDescent="0.25">
      <c r="A101" s="2325">
        <v>1020</v>
      </c>
      <c r="B101" s="2326" t="s">
        <v>6627</v>
      </c>
      <c r="C101" s="2326"/>
      <c r="D101" s="2326"/>
      <c r="E101" s="2326"/>
      <c r="F101" s="2309"/>
      <c r="G101" s="2309"/>
      <c r="H101" s="2309"/>
      <c r="I101" s="2331"/>
      <c r="J101" s="2331"/>
      <c r="K101" s="2333">
        <f t="shared" si="19"/>
        <v>0</v>
      </c>
    </row>
    <row r="102" spans="1:13" ht="15" x14ac:dyDescent="0.25">
      <c r="A102" s="2358"/>
      <c r="B102" s="2359"/>
      <c r="C102" s="2326"/>
      <c r="D102" s="2326"/>
      <c r="E102" s="2326"/>
      <c r="F102" s="2309"/>
      <c r="G102" s="2309"/>
      <c r="H102" s="2309"/>
      <c r="I102" s="2331"/>
      <c r="J102" s="2331"/>
      <c r="K102" s="2333">
        <f t="shared" si="19"/>
        <v>0</v>
      </c>
    </row>
    <row r="103" spans="1:13" x14ac:dyDescent="0.2">
      <c r="A103" s="2360"/>
      <c r="B103" s="2328" t="s">
        <v>247</v>
      </c>
      <c r="C103" s="2328"/>
      <c r="D103" s="2328"/>
      <c r="E103" s="2328"/>
      <c r="F103" s="2309"/>
      <c r="G103" s="2309"/>
      <c r="H103" s="2309"/>
      <c r="I103" s="2331"/>
      <c r="J103" s="2331"/>
      <c r="K103" s="2333">
        <f t="shared" si="19"/>
        <v>0</v>
      </c>
      <c r="L103" s="2331"/>
      <c r="M103" s="2331"/>
    </row>
    <row r="104" spans="1:13" x14ac:dyDescent="0.2">
      <c r="A104" s="2360"/>
      <c r="B104" s="2328"/>
      <c r="C104" s="2328"/>
      <c r="D104" s="2328"/>
      <c r="E104" s="2328"/>
      <c r="F104" s="2309"/>
      <c r="G104" s="2309"/>
      <c r="H104" s="2309"/>
      <c r="I104" s="2331"/>
      <c r="J104" s="2331"/>
      <c r="K104" s="2333">
        <f t="shared" si="19"/>
        <v>0</v>
      </c>
      <c r="L104" s="2331"/>
      <c r="M104" s="2331"/>
    </row>
    <row r="105" spans="1:13" x14ac:dyDescent="0.2">
      <c r="A105" s="2360"/>
      <c r="B105" s="2330" t="s">
        <v>6929</v>
      </c>
      <c r="C105" s="2258"/>
      <c r="D105" s="2258"/>
      <c r="E105" s="2258"/>
      <c r="F105" s="2309"/>
      <c r="G105" s="2309"/>
      <c r="H105" s="2309"/>
      <c r="I105" s="2331"/>
      <c r="J105" s="2331"/>
      <c r="K105" s="2333">
        <f t="shared" si="19"/>
        <v>0</v>
      </c>
      <c r="L105" s="2331"/>
      <c r="M105" s="2331"/>
    </row>
    <row r="106" spans="1:13" x14ac:dyDescent="0.2">
      <c r="A106" s="2360"/>
      <c r="B106" s="2334" t="s">
        <v>6981</v>
      </c>
      <c r="C106" s="2335">
        <v>104955</v>
      </c>
      <c r="D106" s="2335">
        <v>476000</v>
      </c>
      <c r="E106" s="2335">
        <v>476000</v>
      </c>
      <c r="F106" s="2335">
        <v>0</v>
      </c>
      <c r="G106" s="2335">
        <v>476000</v>
      </c>
      <c r="H106" s="2335"/>
      <c r="I106" s="2335">
        <v>467000</v>
      </c>
      <c r="J106" s="2335">
        <f>[5]Sheet1!$K$77</f>
        <v>0</v>
      </c>
      <c r="K106" s="2336">
        <f t="shared" si="19"/>
        <v>0</v>
      </c>
      <c r="L106" s="2335">
        <v>0</v>
      </c>
      <c r="M106" s="2335">
        <v>0</v>
      </c>
    </row>
    <row r="107" spans="1:13" x14ac:dyDescent="0.2">
      <c r="A107" s="2360"/>
      <c r="B107" s="2330" t="s">
        <v>6932</v>
      </c>
      <c r="C107" s="2337">
        <f t="shared" ref="C107:M107" si="21">SUM(C106)</f>
        <v>104955</v>
      </c>
      <c r="D107" s="2337">
        <f t="shared" si="21"/>
        <v>476000</v>
      </c>
      <c r="E107" s="2337">
        <f t="shared" si="21"/>
        <v>476000</v>
      </c>
      <c r="F107" s="2337">
        <f t="shared" si="21"/>
        <v>0</v>
      </c>
      <c r="G107" s="2337">
        <f t="shared" si="21"/>
        <v>476000</v>
      </c>
      <c r="H107" s="2337"/>
      <c r="I107" s="2337">
        <f t="shared" si="21"/>
        <v>467000</v>
      </c>
      <c r="J107" s="2337">
        <f>J106</f>
        <v>0</v>
      </c>
      <c r="K107" s="2333">
        <f t="shared" si="19"/>
        <v>0</v>
      </c>
      <c r="L107" s="2337">
        <f t="shared" si="21"/>
        <v>0</v>
      </c>
      <c r="M107" s="2337">
        <f t="shared" si="21"/>
        <v>0</v>
      </c>
    </row>
    <row r="108" spans="1:13" x14ac:dyDescent="0.2">
      <c r="A108" s="2360"/>
      <c r="B108" s="2361"/>
      <c r="C108" s="2328"/>
      <c r="D108" s="2328"/>
      <c r="E108" s="2328"/>
      <c r="F108" s="2309"/>
      <c r="G108" s="2309"/>
      <c r="H108" s="2309"/>
      <c r="I108" s="2331"/>
      <c r="J108" s="2331"/>
      <c r="K108" s="2333">
        <f t="shared" si="19"/>
        <v>0</v>
      </c>
      <c r="L108" s="2331"/>
      <c r="M108" s="2331"/>
    </row>
    <row r="109" spans="1:13" ht="13.5" thickBot="1" x14ac:dyDescent="0.25">
      <c r="A109" s="2341"/>
      <c r="B109" s="2342" t="s">
        <v>6579</v>
      </c>
      <c r="C109" s="2343">
        <f t="shared" ref="C109:M109" si="22">+C107</f>
        <v>104955</v>
      </c>
      <c r="D109" s="2343">
        <f t="shared" si="22"/>
        <v>476000</v>
      </c>
      <c r="E109" s="2343">
        <f t="shared" si="22"/>
        <v>476000</v>
      </c>
      <c r="F109" s="2343">
        <f t="shared" si="22"/>
        <v>0</v>
      </c>
      <c r="G109" s="2343">
        <f t="shared" si="22"/>
        <v>476000</v>
      </c>
      <c r="H109" s="2343"/>
      <c r="I109" s="2343">
        <f>+I107</f>
        <v>467000</v>
      </c>
      <c r="J109" s="2343">
        <f>J107</f>
        <v>0</v>
      </c>
      <c r="K109" s="2344">
        <f t="shared" si="19"/>
        <v>0</v>
      </c>
      <c r="L109" s="2343">
        <f t="shared" si="22"/>
        <v>0</v>
      </c>
      <c r="M109" s="2343">
        <f t="shared" si="22"/>
        <v>0</v>
      </c>
    </row>
    <row r="110" spans="1:13" ht="13.5" thickTop="1" x14ac:dyDescent="0.2">
      <c r="A110" s="2360"/>
      <c r="B110" s="2361"/>
      <c r="C110" s="2328"/>
      <c r="D110" s="2328"/>
      <c r="E110" s="2328"/>
      <c r="F110" s="2309"/>
      <c r="G110" s="2309"/>
      <c r="H110" s="2309"/>
      <c r="I110" s="2331"/>
      <c r="J110" s="2331"/>
      <c r="K110" s="2333">
        <f t="shared" si="19"/>
        <v>0</v>
      </c>
      <c r="L110" s="2331"/>
      <c r="M110" s="2331"/>
    </row>
    <row r="111" spans="1:13" x14ac:dyDescent="0.2">
      <c r="A111" s="2327"/>
      <c r="B111" s="2328" t="s">
        <v>235</v>
      </c>
      <c r="C111" s="2328"/>
      <c r="D111" s="2328"/>
      <c r="E111" s="2328"/>
      <c r="F111" s="2309"/>
      <c r="G111" s="2309"/>
      <c r="H111" s="2309"/>
      <c r="I111" s="2331"/>
      <c r="J111" s="2331"/>
      <c r="K111" s="2333">
        <f t="shared" si="19"/>
        <v>0</v>
      </c>
      <c r="L111" s="2328"/>
      <c r="M111" s="2328"/>
    </row>
    <row r="112" spans="1:13" x14ac:dyDescent="0.2">
      <c r="A112" s="2327"/>
      <c r="B112" s="2328"/>
      <c r="C112" s="2328"/>
      <c r="D112" s="2328"/>
      <c r="E112" s="2328"/>
      <c r="F112" s="2309"/>
      <c r="G112" s="2309"/>
      <c r="H112" s="2309"/>
      <c r="I112" s="2331"/>
      <c r="J112" s="2331"/>
      <c r="K112" s="2333">
        <f t="shared" si="19"/>
        <v>0</v>
      </c>
      <c r="L112" s="2348"/>
      <c r="M112" s="2328"/>
    </row>
    <row r="113" spans="1:13" x14ac:dyDescent="0.2">
      <c r="A113" s="2329"/>
      <c r="B113" s="2330" t="s">
        <v>387</v>
      </c>
      <c r="C113" s="2332"/>
      <c r="D113" s="2332"/>
      <c r="E113" s="2332"/>
      <c r="F113" s="2309"/>
      <c r="G113" s="2309"/>
      <c r="H113" s="2309"/>
      <c r="I113" s="2331"/>
      <c r="J113" s="2331"/>
      <c r="K113" s="2333">
        <f t="shared" si="19"/>
        <v>0</v>
      </c>
      <c r="L113" s="2332"/>
      <c r="M113" s="2332"/>
    </row>
    <row r="114" spans="1:13" x14ac:dyDescent="0.2">
      <c r="A114" s="2329">
        <v>1001</v>
      </c>
      <c r="B114" s="2258" t="s">
        <v>6982</v>
      </c>
      <c r="C114" s="2332">
        <v>157131</v>
      </c>
      <c r="D114" s="2332">
        <v>396198</v>
      </c>
      <c r="E114" s="2332">
        <f>+D114-95333</f>
        <v>300865</v>
      </c>
      <c r="F114" s="2332">
        <v>327375</v>
      </c>
      <c r="G114" s="2332">
        <f t="shared" ref="G114:G126" si="23">F114/$F$11*$G$11</f>
        <v>392850</v>
      </c>
      <c r="H114" s="2332"/>
      <c r="I114" s="2332">
        <f>[6]Salary_Bdgt!$H$38</f>
        <v>427894</v>
      </c>
      <c r="J114" s="2332">
        <f>[5]Sheet1!$K$81-I127</f>
        <v>409965.22</v>
      </c>
      <c r="K114" s="2333">
        <f t="shared" si="19"/>
        <v>409965.22</v>
      </c>
      <c r="L114" s="2332">
        <f t="shared" ref="L114:L139" si="24">ROUND(I114*1.08,0)</f>
        <v>462126</v>
      </c>
      <c r="M114" s="2332">
        <f t="shared" ref="M114:M139" si="25">ROUND(L114*1.08,0)</f>
        <v>499096</v>
      </c>
    </row>
    <row r="115" spans="1:13" x14ac:dyDescent="0.2">
      <c r="A115" s="2329">
        <v>1002</v>
      </c>
      <c r="B115" s="2258" t="s">
        <v>6983</v>
      </c>
      <c r="C115" s="2332">
        <v>0</v>
      </c>
      <c r="D115" s="2332">
        <v>0</v>
      </c>
      <c r="E115" s="2332">
        <v>0</v>
      </c>
      <c r="F115" s="2332">
        <v>0</v>
      </c>
      <c r="G115" s="2332">
        <f t="shared" si="23"/>
        <v>0</v>
      </c>
      <c r="H115" s="2332"/>
      <c r="I115" s="2332">
        <f>[6]Salary_Bdgt!$X$38</f>
        <v>35657</v>
      </c>
      <c r="J115" s="2332">
        <f>[5]Sheet1!$K$82</f>
        <v>12165.89</v>
      </c>
      <c r="K115" s="2333">
        <f t="shared" si="19"/>
        <v>12165.89</v>
      </c>
      <c r="L115" s="2332">
        <f t="shared" si="24"/>
        <v>38510</v>
      </c>
      <c r="M115" s="2332">
        <f t="shared" si="25"/>
        <v>41591</v>
      </c>
    </row>
    <row r="116" spans="1:13" x14ac:dyDescent="0.2">
      <c r="A116" s="2329">
        <v>1005</v>
      </c>
      <c r="B116" s="2258" t="s">
        <v>6984</v>
      </c>
      <c r="C116" s="2332">
        <v>0</v>
      </c>
      <c r="D116" s="2332">
        <f>[7]Sal_RIA!$L$38</f>
        <v>0</v>
      </c>
      <c r="E116" s="2332">
        <f>+D116</f>
        <v>0</v>
      </c>
      <c r="F116" s="2332">
        <v>0</v>
      </c>
      <c r="G116" s="2332">
        <f t="shared" si="23"/>
        <v>0</v>
      </c>
      <c r="H116" s="2332"/>
      <c r="I116" s="2332">
        <f>[6]Salary_Bdgt!$L$38</f>
        <v>0</v>
      </c>
      <c r="J116" s="2332">
        <f>[5]Sheet1!$K$91</f>
        <v>0</v>
      </c>
      <c r="K116" s="2333">
        <f t="shared" si="19"/>
        <v>0</v>
      </c>
      <c r="L116" s="2332">
        <f t="shared" si="24"/>
        <v>0</v>
      </c>
      <c r="M116" s="2332">
        <f t="shared" si="25"/>
        <v>0</v>
      </c>
    </row>
    <row r="117" spans="1:13" x14ac:dyDescent="0.2">
      <c r="A117" s="2329">
        <v>1006</v>
      </c>
      <c r="B117" s="2258" t="s">
        <v>6985</v>
      </c>
      <c r="C117" s="2332">
        <v>8140</v>
      </c>
      <c r="D117" s="2332">
        <f>[7]Sal_RIA!$N$32</f>
        <v>0</v>
      </c>
      <c r="E117" s="2332">
        <v>78144</v>
      </c>
      <c r="F117" s="2332">
        <v>89201</v>
      </c>
      <c r="G117" s="2332">
        <f t="shared" si="23"/>
        <v>107041.20000000001</v>
      </c>
      <c r="H117" s="2332"/>
      <c r="I117" s="2332">
        <f>[6]Salary_Bdgt!$N$38</f>
        <v>125715</v>
      </c>
      <c r="J117" s="2332">
        <f>[5]Sheet1!$K$92-I129</f>
        <v>106698.5</v>
      </c>
      <c r="K117" s="2333">
        <f t="shared" si="19"/>
        <v>106698.5</v>
      </c>
      <c r="L117" s="2332">
        <f t="shared" si="24"/>
        <v>135772</v>
      </c>
      <c r="M117" s="2332">
        <f t="shared" si="25"/>
        <v>146634</v>
      </c>
    </row>
    <row r="118" spans="1:13" x14ac:dyDescent="0.2">
      <c r="A118" s="2329">
        <v>1007</v>
      </c>
      <c r="B118" s="2258" t="s">
        <v>6986</v>
      </c>
      <c r="C118" s="2332">
        <v>374</v>
      </c>
      <c r="D118" s="2332">
        <f>[7]Sal_RIA!$I$38</f>
        <v>0</v>
      </c>
      <c r="E118" s="2332">
        <v>1198</v>
      </c>
      <c r="F118" s="2332">
        <v>1248</v>
      </c>
      <c r="G118" s="2332">
        <f t="shared" si="23"/>
        <v>1497.6</v>
      </c>
      <c r="H118" s="2332"/>
      <c r="I118" s="2332">
        <f>[6]Salary_Bdgt!$I$38</f>
        <v>1617</v>
      </c>
      <c r="J118" s="2332">
        <f>[5]Sheet1!$K$93</f>
        <v>2655.9</v>
      </c>
      <c r="K118" s="2333">
        <f t="shared" si="19"/>
        <v>2655.9</v>
      </c>
      <c r="L118" s="2332">
        <f t="shared" si="24"/>
        <v>1746</v>
      </c>
      <c r="M118" s="2332">
        <f t="shared" si="25"/>
        <v>1886</v>
      </c>
    </row>
    <row r="119" spans="1:13" x14ac:dyDescent="0.2">
      <c r="A119" s="2329">
        <v>1009</v>
      </c>
      <c r="B119" s="2258" t="s">
        <v>6987</v>
      </c>
      <c r="C119" s="2332">
        <v>7</v>
      </c>
      <c r="D119" s="2332">
        <f>[7]Sal_RIA!$M$38</f>
        <v>0</v>
      </c>
      <c r="E119" s="2332">
        <v>36</v>
      </c>
      <c r="F119" s="2332">
        <v>19</v>
      </c>
      <c r="G119" s="2332">
        <f t="shared" si="23"/>
        <v>22.799999999999997</v>
      </c>
      <c r="H119" s="2332"/>
      <c r="I119" s="2332">
        <f>[6]Salary_Bdgt!$M$38</f>
        <v>45</v>
      </c>
      <c r="J119" s="2332">
        <f>[5]Sheet1!$K$88</f>
        <v>4057.4</v>
      </c>
      <c r="K119" s="2333">
        <f t="shared" si="19"/>
        <v>4057.4</v>
      </c>
      <c r="L119" s="2332">
        <f t="shared" si="24"/>
        <v>49</v>
      </c>
      <c r="M119" s="2332">
        <f t="shared" si="25"/>
        <v>53</v>
      </c>
    </row>
    <row r="120" spans="1:13" x14ac:dyDescent="0.2">
      <c r="A120" s="2329">
        <v>1010</v>
      </c>
      <c r="B120" s="2258" t="s">
        <v>6988</v>
      </c>
      <c r="C120" s="2332">
        <v>0</v>
      </c>
      <c r="D120" s="2332">
        <v>33017</v>
      </c>
      <c r="E120" s="2332">
        <f>+D120</f>
        <v>33017</v>
      </c>
      <c r="F120" s="2332">
        <v>26545</v>
      </c>
      <c r="G120" s="2332">
        <f t="shared" si="23"/>
        <v>31854</v>
      </c>
      <c r="H120" s="2332"/>
      <c r="I120" s="2332">
        <f>[6]Salary_Bdgt!$Q$38</f>
        <v>35658</v>
      </c>
      <c r="J120" s="2332">
        <f>[5]Sheet1!$K$83</f>
        <v>16148.66</v>
      </c>
      <c r="K120" s="2333">
        <f t="shared" si="19"/>
        <v>16148.66</v>
      </c>
      <c r="L120" s="2332">
        <f t="shared" si="24"/>
        <v>38511</v>
      </c>
      <c r="M120" s="2332">
        <f t="shared" si="25"/>
        <v>41592</v>
      </c>
    </row>
    <row r="121" spans="1:13" x14ac:dyDescent="0.2">
      <c r="A121" s="2329">
        <v>1011</v>
      </c>
      <c r="B121" s="2258" t="s">
        <v>6989</v>
      </c>
      <c r="C121" s="2332">
        <v>5601.76</v>
      </c>
      <c r="D121" s="2332">
        <v>35135</v>
      </c>
      <c r="E121" s="2332">
        <f>+D121+15955</f>
        <v>51090</v>
      </c>
      <c r="F121" s="2332">
        <v>15451</v>
      </c>
      <c r="G121" s="2332">
        <f t="shared" si="23"/>
        <v>18541.199999999997</v>
      </c>
      <c r="H121" s="2332"/>
      <c r="I121" s="2332">
        <f>[6]Salary_Bdgt!$U$38</f>
        <v>18509</v>
      </c>
      <c r="J121" s="2332">
        <f>[5]Sheet1!$K$84</f>
        <v>21994.799999999999</v>
      </c>
      <c r="K121" s="2333">
        <f t="shared" si="19"/>
        <v>21994.799999999999</v>
      </c>
      <c r="L121" s="2332">
        <f t="shared" si="24"/>
        <v>19990</v>
      </c>
      <c r="M121" s="2332">
        <f t="shared" si="25"/>
        <v>21589</v>
      </c>
    </row>
    <row r="122" spans="1:13" x14ac:dyDescent="0.2">
      <c r="A122" s="2329">
        <v>1014</v>
      </c>
      <c r="B122" s="2258" t="s">
        <v>6990</v>
      </c>
      <c r="C122" s="2332">
        <v>10837</v>
      </c>
      <c r="D122" s="2332">
        <v>41813</v>
      </c>
      <c r="E122" s="2332">
        <f>+D122</f>
        <v>41813</v>
      </c>
      <c r="F122" s="2332">
        <v>22569</v>
      </c>
      <c r="G122" s="2332">
        <f t="shared" si="23"/>
        <v>27082.800000000003</v>
      </c>
      <c r="H122" s="2332"/>
      <c r="I122" s="2332">
        <f>[6]Salary_Bdgt!$S$38</f>
        <v>25723</v>
      </c>
      <c r="J122" s="2332">
        <f>[5]Sheet1!$K$85</f>
        <v>27787.199999999997</v>
      </c>
      <c r="K122" s="2333">
        <f t="shared" si="19"/>
        <v>27787.199999999997</v>
      </c>
      <c r="L122" s="2332">
        <f t="shared" si="24"/>
        <v>27781</v>
      </c>
      <c r="M122" s="2332">
        <f t="shared" si="25"/>
        <v>30003</v>
      </c>
    </row>
    <row r="123" spans="1:13" x14ac:dyDescent="0.2">
      <c r="A123" s="2329">
        <v>1016</v>
      </c>
      <c r="B123" s="2258" t="s">
        <v>6991</v>
      </c>
      <c r="C123" s="2332">
        <v>0</v>
      </c>
      <c r="D123" s="2332">
        <v>0</v>
      </c>
      <c r="E123" s="2332">
        <v>0</v>
      </c>
      <c r="F123" s="2332">
        <v>0</v>
      </c>
      <c r="G123" s="2332">
        <f t="shared" si="23"/>
        <v>0</v>
      </c>
      <c r="H123" s="2332"/>
      <c r="I123" s="2332">
        <f>[6]Salary_Bdgt!$T$38+[6]Salary_Bdgt!$V$38</f>
        <v>0</v>
      </c>
      <c r="J123" s="2332">
        <f>[5]Sheet1!$K$86</f>
        <v>0</v>
      </c>
      <c r="K123" s="2333">
        <f t="shared" si="19"/>
        <v>0</v>
      </c>
      <c r="L123" s="2332">
        <f t="shared" si="24"/>
        <v>0</v>
      </c>
      <c r="M123" s="2332">
        <f t="shared" si="25"/>
        <v>0</v>
      </c>
    </row>
    <row r="124" spans="1:13" x14ac:dyDescent="0.2">
      <c r="A124" s="2329">
        <v>1017</v>
      </c>
      <c r="B124" s="2258" t="s">
        <v>6992</v>
      </c>
      <c r="C124" s="2332">
        <v>434</v>
      </c>
      <c r="D124" s="2332">
        <v>0</v>
      </c>
      <c r="E124" s="2332">
        <v>0</v>
      </c>
      <c r="F124" s="2332">
        <v>2939</v>
      </c>
      <c r="G124" s="2332">
        <f t="shared" si="23"/>
        <v>3526.7999999999997</v>
      </c>
      <c r="H124" s="2332"/>
      <c r="I124" s="2332">
        <f>[6]Salary_Bdgt!$J$38</f>
        <v>9797</v>
      </c>
      <c r="J124" s="2332">
        <f>[5]Sheet1!$K$89-I137</f>
        <v>4907.8999999999996</v>
      </c>
      <c r="K124" s="2333">
        <f t="shared" si="19"/>
        <v>4907.8999999999996</v>
      </c>
      <c r="L124" s="2332">
        <f t="shared" si="24"/>
        <v>10581</v>
      </c>
      <c r="M124" s="2332">
        <f t="shared" si="25"/>
        <v>11427</v>
      </c>
    </row>
    <row r="125" spans="1:13" x14ac:dyDescent="0.2">
      <c r="A125" s="2329">
        <v>1046</v>
      </c>
      <c r="B125" s="2258" t="s">
        <v>6993</v>
      </c>
      <c r="C125" s="2332">
        <v>24964</v>
      </c>
      <c r="D125" s="2332">
        <v>154168</v>
      </c>
      <c r="E125" s="2332">
        <f>+D125</f>
        <v>154168</v>
      </c>
      <c r="F125" s="2332">
        <v>69129</v>
      </c>
      <c r="G125" s="2332">
        <f t="shared" si="23"/>
        <v>82954.799999999988</v>
      </c>
      <c r="H125" s="2332"/>
      <c r="I125" s="2332">
        <f>[6]Salary_Bdgt!$R$38</f>
        <v>79661</v>
      </c>
      <c r="J125" s="2332">
        <f>[5]Sheet1!$K$87</f>
        <v>86053.1</v>
      </c>
      <c r="K125" s="2333">
        <f t="shared" si="19"/>
        <v>86053.1</v>
      </c>
      <c r="L125" s="2332">
        <f t="shared" si="24"/>
        <v>86034</v>
      </c>
      <c r="M125" s="2332">
        <f t="shared" si="25"/>
        <v>92917</v>
      </c>
    </row>
    <row r="126" spans="1:13" x14ac:dyDescent="0.2">
      <c r="A126" s="2329">
        <v>1182</v>
      </c>
      <c r="B126" s="2258" t="s">
        <v>6994</v>
      </c>
      <c r="C126" s="2332">
        <v>0</v>
      </c>
      <c r="D126" s="2332">
        <v>0</v>
      </c>
      <c r="E126" s="2332">
        <v>0</v>
      </c>
      <c r="F126" s="2332">
        <v>0</v>
      </c>
      <c r="G126" s="2332">
        <f t="shared" si="23"/>
        <v>0</v>
      </c>
      <c r="H126" s="2332"/>
      <c r="I126" s="2332">
        <f>[6]Salary_Bdgt!$K$38</f>
        <v>9111</v>
      </c>
      <c r="J126" s="2332">
        <f>[5]Sheet1!$K$90</f>
        <v>3999.1</v>
      </c>
      <c r="K126" s="2333">
        <f t="shared" si="19"/>
        <v>3999.1</v>
      </c>
      <c r="L126" s="2332">
        <f t="shared" si="24"/>
        <v>9840</v>
      </c>
      <c r="M126" s="2332">
        <f t="shared" si="25"/>
        <v>10627</v>
      </c>
    </row>
    <row r="127" spans="1:13" x14ac:dyDescent="0.2">
      <c r="A127" s="2329">
        <v>1001</v>
      </c>
      <c r="B127" s="2258" t="s">
        <v>6943</v>
      </c>
      <c r="C127" s="2332">
        <v>0</v>
      </c>
      <c r="D127" s="2332">
        <v>0</v>
      </c>
      <c r="E127" s="2332">
        <v>0</v>
      </c>
      <c r="F127" s="2332">
        <v>0</v>
      </c>
      <c r="G127" s="2332">
        <v>0</v>
      </c>
      <c r="H127" s="2332"/>
      <c r="I127" s="2332">
        <f>[6]Salary_Bdgt!$H$45</f>
        <v>140063</v>
      </c>
      <c r="J127" s="2332">
        <f>I127</f>
        <v>140063</v>
      </c>
      <c r="K127" s="2333">
        <f t="shared" si="19"/>
        <v>140063</v>
      </c>
      <c r="L127" s="2332">
        <f t="shared" si="24"/>
        <v>151268</v>
      </c>
      <c r="M127" s="2332">
        <f t="shared" si="25"/>
        <v>163369</v>
      </c>
    </row>
    <row r="128" spans="1:13" x14ac:dyDescent="0.2">
      <c r="A128" s="2329">
        <v>1005</v>
      </c>
      <c r="B128" s="2258" t="s">
        <v>6995</v>
      </c>
      <c r="C128" s="2332">
        <v>0</v>
      </c>
      <c r="D128" s="2332">
        <v>0</v>
      </c>
      <c r="E128" s="2332">
        <v>0</v>
      </c>
      <c r="F128" s="2332">
        <v>0</v>
      </c>
      <c r="G128" s="2332">
        <v>0</v>
      </c>
      <c r="H128" s="2332"/>
      <c r="I128" s="2332">
        <f>[6]Salary_Bdgt!$L$45</f>
        <v>0</v>
      </c>
      <c r="J128" s="2332">
        <v>0</v>
      </c>
      <c r="K128" s="2333">
        <f t="shared" si="19"/>
        <v>0</v>
      </c>
      <c r="L128" s="2332">
        <f t="shared" si="24"/>
        <v>0</v>
      </c>
      <c r="M128" s="2332">
        <f t="shared" si="25"/>
        <v>0</v>
      </c>
    </row>
    <row r="129" spans="1:13" x14ac:dyDescent="0.2">
      <c r="A129" s="2329">
        <v>1006</v>
      </c>
      <c r="B129" s="2258" t="s">
        <v>6996</v>
      </c>
      <c r="C129" s="2332">
        <v>0</v>
      </c>
      <c r="D129" s="2332">
        <v>0</v>
      </c>
      <c r="E129" s="2332">
        <v>0</v>
      </c>
      <c r="F129" s="2332">
        <v>0</v>
      </c>
      <c r="G129" s="2332">
        <v>0</v>
      </c>
      <c r="H129" s="2332"/>
      <c r="I129" s="2332">
        <f>[6]Salary_Bdgt!$N$45</f>
        <v>29105</v>
      </c>
      <c r="J129" s="2332">
        <f>I129</f>
        <v>29105</v>
      </c>
      <c r="K129" s="2333">
        <f t="shared" si="19"/>
        <v>29105</v>
      </c>
      <c r="L129" s="2332">
        <f t="shared" si="24"/>
        <v>31433</v>
      </c>
      <c r="M129" s="2332">
        <f t="shared" si="25"/>
        <v>33948</v>
      </c>
    </row>
    <row r="130" spans="1:13" x14ac:dyDescent="0.2">
      <c r="A130" s="2329">
        <v>1007</v>
      </c>
      <c r="B130" s="2258" t="s">
        <v>6997</v>
      </c>
      <c r="C130" s="2332">
        <v>0</v>
      </c>
      <c r="D130" s="2332">
        <v>0</v>
      </c>
      <c r="E130" s="2332">
        <v>0</v>
      </c>
      <c r="F130" s="2332">
        <v>0</v>
      </c>
      <c r="G130" s="2332">
        <v>0</v>
      </c>
      <c r="H130" s="2332"/>
      <c r="I130" s="2332">
        <f>[6]Salary_Bdgt!$I$45</f>
        <v>2801</v>
      </c>
      <c r="J130" s="2332">
        <v>0</v>
      </c>
      <c r="K130" s="2333">
        <f t="shared" si="19"/>
        <v>0</v>
      </c>
      <c r="L130" s="2332">
        <f t="shared" si="24"/>
        <v>3025</v>
      </c>
      <c r="M130" s="2332">
        <f t="shared" si="25"/>
        <v>3267</v>
      </c>
    </row>
    <row r="131" spans="1:13" x14ac:dyDescent="0.2">
      <c r="A131" s="2329">
        <v>1009</v>
      </c>
      <c r="B131" s="2258" t="s">
        <v>6998</v>
      </c>
      <c r="C131" s="2332">
        <v>0</v>
      </c>
      <c r="D131" s="2332">
        <v>0</v>
      </c>
      <c r="E131" s="2332">
        <v>0</v>
      </c>
      <c r="F131" s="2332">
        <v>0</v>
      </c>
      <c r="G131" s="2332">
        <v>0</v>
      </c>
      <c r="H131" s="2332"/>
      <c r="I131" s="2332">
        <f>[6]Salary_Bdgt!$M$45</f>
        <v>0</v>
      </c>
      <c r="J131" s="2332">
        <v>0</v>
      </c>
      <c r="K131" s="2333">
        <f t="shared" si="19"/>
        <v>0</v>
      </c>
      <c r="L131" s="2332">
        <f t="shared" si="24"/>
        <v>0</v>
      </c>
      <c r="M131" s="2332">
        <f t="shared" si="25"/>
        <v>0</v>
      </c>
    </row>
    <row r="132" spans="1:13" x14ac:dyDescent="0.2">
      <c r="A132" s="2329">
        <v>1010</v>
      </c>
      <c r="B132" s="2258" t="s">
        <v>6999</v>
      </c>
      <c r="C132" s="2332">
        <v>0</v>
      </c>
      <c r="D132" s="2332">
        <v>0</v>
      </c>
      <c r="E132" s="2332">
        <v>0</v>
      </c>
      <c r="F132" s="2332">
        <v>0</v>
      </c>
      <c r="G132" s="2332">
        <f>F132/$F$11*$G$11</f>
        <v>0</v>
      </c>
      <c r="H132" s="2332"/>
      <c r="I132" s="2332">
        <f>[6]Salary_Bdgt!$Q$45</f>
        <v>11672</v>
      </c>
      <c r="J132" s="2332">
        <v>0</v>
      </c>
      <c r="K132" s="2333">
        <f t="shared" si="19"/>
        <v>0</v>
      </c>
      <c r="L132" s="2332">
        <f t="shared" si="24"/>
        <v>12606</v>
      </c>
      <c r="M132" s="2332">
        <f t="shared" si="25"/>
        <v>13614</v>
      </c>
    </row>
    <row r="133" spans="1:13" x14ac:dyDescent="0.2">
      <c r="A133" s="2329">
        <v>1011</v>
      </c>
      <c r="B133" s="2258" t="s">
        <v>7000</v>
      </c>
      <c r="C133" s="2332">
        <v>0</v>
      </c>
      <c r="D133" s="2332">
        <v>0</v>
      </c>
      <c r="E133" s="2332">
        <v>0</v>
      </c>
      <c r="F133" s="2332">
        <v>0</v>
      </c>
      <c r="G133" s="2332">
        <f>F133/$F$11*$G$11</f>
        <v>0</v>
      </c>
      <c r="H133" s="2332"/>
      <c r="I133" s="2332">
        <f>[6]Salary_Bdgt!$U$45</f>
        <v>0</v>
      </c>
      <c r="J133" s="2332">
        <v>0</v>
      </c>
      <c r="K133" s="2333">
        <f t="shared" si="19"/>
        <v>0</v>
      </c>
      <c r="L133" s="2332">
        <f t="shared" si="24"/>
        <v>0</v>
      </c>
      <c r="M133" s="2332">
        <f t="shared" si="25"/>
        <v>0</v>
      </c>
    </row>
    <row r="134" spans="1:13" x14ac:dyDescent="0.2">
      <c r="A134" s="2329">
        <v>1014</v>
      </c>
      <c r="B134" s="2258" t="s">
        <v>7001</v>
      </c>
      <c r="C134" s="2332">
        <v>0</v>
      </c>
      <c r="D134" s="2332">
        <v>0</v>
      </c>
      <c r="E134" s="2332">
        <v>0</v>
      </c>
      <c r="F134" s="2332">
        <v>0</v>
      </c>
      <c r="G134" s="2332">
        <v>0</v>
      </c>
      <c r="H134" s="2332"/>
      <c r="I134" s="2332">
        <f>[6]Salary_Bdgt!$S$45</f>
        <v>0</v>
      </c>
      <c r="J134" s="2332">
        <v>0</v>
      </c>
      <c r="K134" s="2333">
        <f t="shared" si="19"/>
        <v>0</v>
      </c>
      <c r="L134" s="2332">
        <f t="shared" si="24"/>
        <v>0</v>
      </c>
      <c r="M134" s="2332">
        <f t="shared" si="25"/>
        <v>0</v>
      </c>
    </row>
    <row r="135" spans="1:13" x14ac:dyDescent="0.2">
      <c r="A135" s="2329">
        <v>1015</v>
      </c>
      <c r="B135" s="2258" t="s">
        <v>7002</v>
      </c>
      <c r="C135" s="2332">
        <v>0</v>
      </c>
      <c r="D135" s="2332">
        <v>0</v>
      </c>
      <c r="E135" s="2332">
        <v>0</v>
      </c>
      <c r="F135" s="2332">
        <v>0</v>
      </c>
      <c r="G135" s="2332">
        <v>0</v>
      </c>
      <c r="H135" s="2332"/>
      <c r="I135" s="2332">
        <f>[6]Salary_Bdgt!$O$45+[6]Salary_Bdgt!$P$45+[6]Salary_Bdgt!$W$45</f>
        <v>0</v>
      </c>
      <c r="J135" s="2332">
        <v>0</v>
      </c>
      <c r="K135" s="2333">
        <f t="shared" si="19"/>
        <v>0</v>
      </c>
      <c r="L135" s="2332">
        <f t="shared" si="24"/>
        <v>0</v>
      </c>
      <c r="M135" s="2332">
        <f t="shared" si="25"/>
        <v>0</v>
      </c>
    </row>
    <row r="136" spans="1:13" x14ac:dyDescent="0.2">
      <c r="A136" s="2329">
        <v>1016</v>
      </c>
      <c r="B136" s="2258" t="s">
        <v>7003</v>
      </c>
      <c r="C136" s="2332">
        <v>0</v>
      </c>
      <c r="D136" s="2332">
        <v>0</v>
      </c>
      <c r="E136" s="2332">
        <v>0</v>
      </c>
      <c r="F136" s="2332">
        <v>0</v>
      </c>
      <c r="G136" s="2332">
        <f>F136/$F$11*$G$11</f>
        <v>0</v>
      </c>
      <c r="H136" s="2332"/>
      <c r="I136" s="2332">
        <f>[6]Salary_Bdgt!$T$45+[6]Salary_Bdgt!$V$45</f>
        <v>0</v>
      </c>
      <c r="J136" s="2332">
        <v>0</v>
      </c>
      <c r="K136" s="2333">
        <f t="shared" si="19"/>
        <v>0</v>
      </c>
      <c r="L136" s="2332">
        <f t="shared" si="24"/>
        <v>0</v>
      </c>
      <c r="M136" s="2332">
        <f t="shared" si="25"/>
        <v>0</v>
      </c>
    </row>
    <row r="137" spans="1:13" x14ac:dyDescent="0.2">
      <c r="A137" s="2329">
        <v>1017</v>
      </c>
      <c r="B137" s="2258" t="s">
        <v>7004</v>
      </c>
      <c r="C137" s="2332">
        <v>0</v>
      </c>
      <c r="D137" s="2332">
        <v>0</v>
      </c>
      <c r="E137" s="2332">
        <v>0</v>
      </c>
      <c r="F137" s="2332">
        <v>0</v>
      </c>
      <c r="G137" s="2332">
        <v>0</v>
      </c>
      <c r="H137" s="2332"/>
      <c r="I137" s="2332">
        <f>[6]Salary_Bdgt!$J$45</f>
        <v>2801</v>
      </c>
      <c r="J137" s="2332">
        <f>I137</f>
        <v>2801</v>
      </c>
      <c r="K137" s="2333">
        <f t="shared" si="19"/>
        <v>2801</v>
      </c>
      <c r="L137" s="2332">
        <f t="shared" si="24"/>
        <v>3025</v>
      </c>
      <c r="M137" s="2332">
        <f t="shared" si="25"/>
        <v>3267</v>
      </c>
    </row>
    <row r="138" spans="1:13" x14ac:dyDescent="0.2">
      <c r="A138" s="2329">
        <v>1046</v>
      </c>
      <c r="B138" s="2258" t="s">
        <v>7005</v>
      </c>
      <c r="C138" s="2332">
        <v>0</v>
      </c>
      <c r="D138" s="2332">
        <v>0</v>
      </c>
      <c r="E138" s="2332">
        <v>0</v>
      </c>
      <c r="F138" s="2332">
        <v>0</v>
      </c>
      <c r="G138" s="2332">
        <f>F138/$F$11*$G$11</f>
        <v>0</v>
      </c>
      <c r="H138" s="2332"/>
      <c r="I138" s="2332">
        <f>[6]Salary_Bdgt!$R$45</f>
        <v>0</v>
      </c>
      <c r="J138" s="2332">
        <v>0</v>
      </c>
      <c r="K138" s="2333">
        <f t="shared" si="19"/>
        <v>0</v>
      </c>
      <c r="L138" s="2332">
        <f t="shared" si="24"/>
        <v>0</v>
      </c>
      <c r="M138" s="2332">
        <f t="shared" si="25"/>
        <v>0</v>
      </c>
    </row>
    <row r="139" spans="1:13" x14ac:dyDescent="0.2">
      <c r="A139" s="2329">
        <v>1182</v>
      </c>
      <c r="B139" s="2334" t="s">
        <v>7006</v>
      </c>
      <c r="C139" s="2335">
        <v>2121</v>
      </c>
      <c r="D139" s="2335">
        <v>0</v>
      </c>
      <c r="E139" s="2335">
        <v>0</v>
      </c>
      <c r="F139" s="2335">
        <v>0</v>
      </c>
      <c r="G139" s="2335">
        <v>0</v>
      </c>
      <c r="H139" s="2335"/>
      <c r="I139" s="2335">
        <f>[6]Salary_Bdgt!$K$45</f>
        <v>2605</v>
      </c>
      <c r="J139" s="2335">
        <v>0</v>
      </c>
      <c r="K139" s="2336">
        <f t="shared" si="19"/>
        <v>0</v>
      </c>
      <c r="L139" s="2335">
        <f t="shared" si="24"/>
        <v>2813</v>
      </c>
      <c r="M139" s="2335">
        <f t="shared" si="25"/>
        <v>3038</v>
      </c>
    </row>
    <row r="140" spans="1:13" x14ac:dyDescent="0.2">
      <c r="A140" s="2329"/>
      <c r="B140" s="2330" t="s">
        <v>6588</v>
      </c>
      <c r="C140" s="2349">
        <f t="shared" ref="C140:M140" si="26">SUM(C114:C139)</f>
        <v>209609.76</v>
      </c>
      <c r="D140" s="2349">
        <f t="shared" si="26"/>
        <v>660331</v>
      </c>
      <c r="E140" s="2349">
        <f t="shared" si="26"/>
        <v>660331</v>
      </c>
      <c r="F140" s="2349">
        <f t="shared" si="26"/>
        <v>554476</v>
      </c>
      <c r="G140" s="2349">
        <f t="shared" si="26"/>
        <v>665371.19999999995</v>
      </c>
      <c r="H140" s="2349"/>
      <c r="I140" s="2349">
        <f>SUM(I114:I139)</f>
        <v>958434</v>
      </c>
      <c r="J140" s="2349">
        <f>SUM(J114:J139)</f>
        <v>868402.67</v>
      </c>
      <c r="K140" s="2333">
        <f t="shared" si="19"/>
        <v>868402.67</v>
      </c>
      <c r="L140" s="2349">
        <f t="shared" si="26"/>
        <v>1035110</v>
      </c>
      <c r="M140" s="2349">
        <f t="shared" si="26"/>
        <v>1117918</v>
      </c>
    </row>
    <row r="141" spans="1:13" x14ac:dyDescent="0.2">
      <c r="A141" s="2329"/>
      <c r="B141" s="2330"/>
      <c r="C141" s="2332"/>
      <c r="D141" s="2332"/>
      <c r="E141" s="2332"/>
      <c r="F141" s="2309"/>
      <c r="G141" s="2332"/>
      <c r="H141" s="2332"/>
      <c r="I141" s="2332"/>
      <c r="J141" s="2332">
        <f>J140-[5]Sheet1!$K$94</f>
        <v>0</v>
      </c>
      <c r="K141" s="2333">
        <f t="shared" si="19"/>
        <v>0</v>
      </c>
      <c r="L141" s="2332"/>
      <c r="M141" s="2332"/>
    </row>
    <row r="142" spans="1:13" x14ac:dyDescent="0.2">
      <c r="A142" s="2329"/>
      <c r="B142" s="2330" t="s">
        <v>6599</v>
      </c>
      <c r="C142" s="2332"/>
      <c r="D142" s="2332"/>
      <c r="E142" s="2332"/>
      <c r="F142" s="2309"/>
      <c r="G142" s="2332"/>
      <c r="H142" s="2332"/>
      <c r="I142" s="2332"/>
      <c r="J142" s="2332"/>
      <c r="K142" s="2333">
        <f t="shared" si="19"/>
        <v>0</v>
      </c>
      <c r="L142" s="2332"/>
      <c r="M142" s="2332"/>
    </row>
    <row r="143" spans="1:13" x14ac:dyDescent="0.2">
      <c r="A143" s="2329">
        <v>2113</v>
      </c>
      <c r="B143" s="2258" t="s">
        <v>7007</v>
      </c>
      <c r="C143" s="2332">
        <v>0</v>
      </c>
      <c r="D143" s="2332">
        <v>10500</v>
      </c>
      <c r="E143" s="2332">
        <f>10500</f>
        <v>10500</v>
      </c>
      <c r="F143" s="2332">
        <v>129</v>
      </c>
      <c r="G143" s="2332">
        <f t="shared" ref="G143:G149" si="27">F143/$F$11*$G$11</f>
        <v>154.80000000000001</v>
      </c>
      <c r="H143" s="2332"/>
      <c r="I143" s="2332">
        <f>ROUND(E143*1.05,0)</f>
        <v>11025</v>
      </c>
      <c r="J143" s="2332">
        <f>[5]Sheet1!$K$98</f>
        <v>202.04</v>
      </c>
      <c r="K143" s="2333">
        <f t="shared" si="19"/>
        <v>202.04</v>
      </c>
      <c r="L143" s="2332">
        <f>ROUND(I143*1.05,0)</f>
        <v>11576</v>
      </c>
      <c r="M143" s="2332">
        <f>ROUND(L143*1.05,0)</f>
        <v>12155</v>
      </c>
    </row>
    <row r="144" spans="1:13" x14ac:dyDescent="0.2">
      <c r="A144" s="2329">
        <v>2207</v>
      </c>
      <c r="B144" s="2258" t="s">
        <v>7008</v>
      </c>
      <c r="C144" s="2332">
        <v>0</v>
      </c>
      <c r="D144" s="2332">
        <v>21000</v>
      </c>
      <c r="E144" s="2332">
        <v>21000</v>
      </c>
      <c r="F144" s="2332">
        <v>0</v>
      </c>
      <c r="G144" s="2332">
        <f t="shared" si="27"/>
        <v>0</v>
      </c>
      <c r="H144" s="2332"/>
      <c r="I144" s="2332">
        <v>0</v>
      </c>
      <c r="J144" s="2332">
        <f>[5]Sheet1!$K$99</f>
        <v>0</v>
      </c>
      <c r="K144" s="2333">
        <f t="shared" si="19"/>
        <v>0</v>
      </c>
      <c r="L144" s="2332">
        <f>ROUND(I144*1.05,0)</f>
        <v>0</v>
      </c>
      <c r="M144" s="2332">
        <f>ROUND(L144*1.05,0)</f>
        <v>0</v>
      </c>
    </row>
    <row r="145" spans="1:13" x14ac:dyDescent="0.2">
      <c r="A145" s="2329">
        <v>2226</v>
      </c>
      <c r="B145" s="2258" t="s">
        <v>6607</v>
      </c>
      <c r="C145" s="2332">
        <v>0</v>
      </c>
      <c r="D145" s="2332">
        <v>5250</v>
      </c>
      <c r="E145" s="2332">
        <v>5250</v>
      </c>
      <c r="F145" s="2332">
        <v>0</v>
      </c>
      <c r="G145" s="2332">
        <f t="shared" si="27"/>
        <v>0</v>
      </c>
      <c r="H145" s="2332"/>
      <c r="I145" s="2332">
        <f>ROUND(E145*1.05,0)</f>
        <v>5513</v>
      </c>
      <c r="J145" s="2332">
        <f>[5]Sheet1!$K$101</f>
        <v>1879.98</v>
      </c>
      <c r="K145" s="2333">
        <f t="shared" si="19"/>
        <v>1879.98</v>
      </c>
      <c r="L145" s="2332">
        <f>ROUND(I145*1.05,0)</f>
        <v>5789</v>
      </c>
      <c r="M145" s="2332">
        <f>ROUND(L145*1.05,0)</f>
        <v>6078</v>
      </c>
    </row>
    <row r="146" spans="1:13" x14ac:dyDescent="0.2">
      <c r="A146" s="2329">
        <v>2227</v>
      </c>
      <c r="B146" s="2258" t="s">
        <v>231</v>
      </c>
      <c r="C146" s="2332">
        <v>339</v>
      </c>
      <c r="D146" s="2332">
        <v>0</v>
      </c>
      <c r="E146" s="2332">
        <v>0</v>
      </c>
      <c r="F146" s="2332">
        <v>61</v>
      </c>
      <c r="G146" s="2332">
        <f t="shared" si="27"/>
        <v>73.199999999999989</v>
      </c>
      <c r="H146" s="2332"/>
      <c r="I146" s="2332">
        <f>ROUND(E146*1.05,0)</f>
        <v>0</v>
      </c>
      <c r="J146" s="2332">
        <f>[5]Sheet1!$K$102</f>
        <v>0</v>
      </c>
      <c r="K146" s="2333">
        <f t="shared" si="19"/>
        <v>0</v>
      </c>
      <c r="L146" s="2332">
        <v>0</v>
      </c>
      <c r="M146" s="2332">
        <v>0</v>
      </c>
    </row>
    <row r="147" spans="1:13" x14ac:dyDescent="0.2">
      <c r="A147" s="2329">
        <v>2231</v>
      </c>
      <c r="B147" s="2258" t="s">
        <v>1779</v>
      </c>
      <c r="C147" s="2332">
        <v>21443</v>
      </c>
      <c r="D147" s="2332">
        <v>10500</v>
      </c>
      <c r="E147" s="2332">
        <v>10500</v>
      </c>
      <c r="F147" s="2332">
        <v>24387</v>
      </c>
      <c r="G147" s="2332">
        <f t="shared" si="27"/>
        <v>29264.399999999998</v>
      </c>
      <c r="H147" s="2332"/>
      <c r="I147" s="2332">
        <f>ROUND(E147*1.05,0)</f>
        <v>11025</v>
      </c>
      <c r="J147" s="2332">
        <f>[5]Sheet1!$K$103</f>
        <v>3057.5</v>
      </c>
      <c r="K147" s="2333">
        <f t="shared" si="19"/>
        <v>3057.5</v>
      </c>
      <c r="L147" s="2332">
        <f>ROUND(I147*1.05,0)</f>
        <v>11576</v>
      </c>
      <c r="M147" s="2332">
        <f>ROUND(L147*1.05,0)</f>
        <v>12155</v>
      </c>
    </row>
    <row r="148" spans="1:13" x14ac:dyDescent="0.2">
      <c r="A148" s="2329">
        <v>2233</v>
      </c>
      <c r="B148" s="2258" t="s">
        <v>6966</v>
      </c>
      <c r="C148" s="2332">
        <v>0</v>
      </c>
      <c r="D148" s="2332">
        <v>10500</v>
      </c>
      <c r="E148" s="2332">
        <v>10500</v>
      </c>
      <c r="F148" s="2332">
        <v>0</v>
      </c>
      <c r="G148" s="2332">
        <f t="shared" si="27"/>
        <v>0</v>
      </c>
      <c r="H148" s="2332"/>
      <c r="I148" s="2332">
        <v>0</v>
      </c>
      <c r="J148" s="2332">
        <v>0</v>
      </c>
      <c r="K148" s="2333">
        <f t="shared" si="19"/>
        <v>0</v>
      </c>
      <c r="L148" s="2332">
        <f>ROUND(I148*1.05,0)</f>
        <v>0</v>
      </c>
      <c r="M148" s="2332">
        <f>ROUND(L148*1.05,0)</f>
        <v>0</v>
      </c>
    </row>
    <row r="149" spans="1:13" x14ac:dyDescent="0.2">
      <c r="A149" s="2329">
        <v>2238</v>
      </c>
      <c r="B149" s="2334" t="s">
        <v>6967</v>
      </c>
      <c r="C149" s="2335">
        <v>107521</v>
      </c>
      <c r="D149" s="2335">
        <v>75000</v>
      </c>
      <c r="E149" s="2335">
        <f>75000+150000</f>
        <v>225000</v>
      </c>
      <c r="F149" s="2335">
        <v>163543</v>
      </c>
      <c r="G149" s="2335">
        <f t="shared" si="27"/>
        <v>196251.59999999998</v>
      </c>
      <c r="H149" s="2335"/>
      <c r="I149" s="2335">
        <f>ROUND(E149*1.05,0)</f>
        <v>236250</v>
      </c>
      <c r="J149" s="2335">
        <f>[5]Sheet1!$K$105</f>
        <v>298583.36</v>
      </c>
      <c r="K149" s="2336">
        <f t="shared" ref="K149:K212" si="28">J149</f>
        <v>298583.36</v>
      </c>
      <c r="L149" s="2335">
        <f>ROUND(I149*1.05,0)</f>
        <v>248063</v>
      </c>
      <c r="M149" s="2335">
        <f>ROUND(L149*1.05,0)</f>
        <v>260466</v>
      </c>
    </row>
    <row r="150" spans="1:13" x14ac:dyDescent="0.2">
      <c r="A150" s="2316"/>
      <c r="B150" s="2330" t="s">
        <v>6614</v>
      </c>
      <c r="C150" s="2349">
        <f t="shared" ref="C150:M150" si="29">SUM(C143:C149)</f>
        <v>129303</v>
      </c>
      <c r="D150" s="2349">
        <f t="shared" si="29"/>
        <v>132750</v>
      </c>
      <c r="E150" s="2349">
        <f t="shared" si="29"/>
        <v>282750</v>
      </c>
      <c r="F150" s="2349">
        <f t="shared" si="29"/>
        <v>188120</v>
      </c>
      <c r="G150" s="2349">
        <f t="shared" si="29"/>
        <v>225743.99999999997</v>
      </c>
      <c r="H150" s="2349"/>
      <c r="I150" s="2349">
        <f>SUM(I143:I149)</f>
        <v>263813</v>
      </c>
      <c r="J150" s="2349">
        <f>SUM(J143:J149)</f>
        <v>303722.88</v>
      </c>
      <c r="K150" s="2333">
        <f t="shared" si="28"/>
        <v>303722.88</v>
      </c>
      <c r="L150" s="2349">
        <f t="shared" si="29"/>
        <v>277004</v>
      </c>
      <c r="M150" s="2349">
        <f t="shared" si="29"/>
        <v>290854</v>
      </c>
    </row>
    <row r="151" spans="1:13" x14ac:dyDescent="0.2">
      <c r="A151" s="2316"/>
      <c r="B151" s="2338"/>
      <c r="C151" s="2362"/>
      <c r="D151" s="2362"/>
      <c r="E151" s="2362"/>
      <c r="F151" s="2363"/>
      <c r="G151" s="2335"/>
      <c r="H151" s="2335"/>
      <c r="I151" s="2335"/>
      <c r="J151" s="2335">
        <f>J150-[5]Sheet1!$K$108</f>
        <v>0</v>
      </c>
      <c r="K151" s="2336">
        <f t="shared" si="28"/>
        <v>0</v>
      </c>
      <c r="L151" s="2362"/>
      <c r="M151" s="2362"/>
    </row>
    <row r="152" spans="1:13" x14ac:dyDescent="0.2">
      <c r="A152" s="2341"/>
      <c r="B152" s="2330" t="s">
        <v>6972</v>
      </c>
      <c r="C152" s="2351">
        <f t="shared" ref="C152:M152" si="30">+C140+C150</f>
        <v>338912.76</v>
      </c>
      <c r="D152" s="2351">
        <f t="shared" si="30"/>
        <v>793081</v>
      </c>
      <c r="E152" s="2351">
        <f t="shared" si="30"/>
        <v>943081</v>
      </c>
      <c r="F152" s="2351">
        <f t="shared" si="30"/>
        <v>742596</v>
      </c>
      <c r="G152" s="2351">
        <f t="shared" si="30"/>
        <v>891115.2</v>
      </c>
      <c r="H152" s="2351"/>
      <c r="I152" s="2351">
        <f>+I140+I150</f>
        <v>1222247</v>
      </c>
      <c r="J152" s="2351">
        <f>+J140+J150</f>
        <v>1172125.55</v>
      </c>
      <c r="K152" s="2333">
        <f t="shared" si="28"/>
        <v>1172125.55</v>
      </c>
      <c r="L152" s="2351">
        <f t="shared" si="30"/>
        <v>1312114</v>
      </c>
      <c r="M152" s="2351">
        <f t="shared" si="30"/>
        <v>1408772</v>
      </c>
    </row>
    <row r="153" spans="1:13" x14ac:dyDescent="0.2">
      <c r="A153" s="2341"/>
      <c r="B153" s="2330"/>
      <c r="C153" s="2351"/>
      <c r="D153" s="2351"/>
      <c r="E153" s="2351"/>
      <c r="G153" s="2332"/>
      <c r="H153" s="2332"/>
      <c r="I153" s="2332"/>
      <c r="J153" s="2332"/>
      <c r="K153" s="2333">
        <f t="shared" si="28"/>
        <v>0</v>
      </c>
      <c r="L153" s="2351"/>
      <c r="M153" s="2351"/>
    </row>
    <row r="154" spans="1:13" x14ac:dyDescent="0.2">
      <c r="A154" s="2341"/>
      <c r="B154" s="2330" t="s">
        <v>6974</v>
      </c>
      <c r="C154" s="2351"/>
      <c r="D154" s="2351"/>
      <c r="E154" s="2351"/>
      <c r="F154" s="2332"/>
      <c r="G154" s="2332"/>
      <c r="H154" s="2332"/>
      <c r="I154" s="2332"/>
      <c r="J154" s="2332"/>
      <c r="K154" s="2333">
        <f t="shared" si="28"/>
        <v>0</v>
      </c>
      <c r="L154" s="2351"/>
      <c r="M154" s="2351"/>
    </row>
    <row r="155" spans="1:13" x14ac:dyDescent="0.2">
      <c r="A155" s="2341">
        <v>4207</v>
      </c>
      <c r="B155" s="2258" t="s">
        <v>6977</v>
      </c>
      <c r="C155" s="2364">
        <v>12490</v>
      </c>
      <c r="D155" s="2364">
        <v>0</v>
      </c>
      <c r="E155" s="2364">
        <v>0</v>
      </c>
      <c r="F155" s="2332">
        <v>0</v>
      </c>
      <c r="G155" s="2332">
        <v>0</v>
      </c>
      <c r="H155" s="2332"/>
      <c r="I155" s="2332">
        <v>0</v>
      </c>
      <c r="J155" s="2332">
        <f>[5]Sheet1!$I$107</f>
        <v>0</v>
      </c>
      <c r="K155" s="2333">
        <f t="shared" si="28"/>
        <v>0</v>
      </c>
      <c r="L155" s="2364">
        <v>0</v>
      </c>
      <c r="M155" s="2364">
        <v>0</v>
      </c>
    </row>
    <row r="156" spans="1:13" x14ac:dyDescent="0.2">
      <c r="A156" s="2341">
        <v>4209</v>
      </c>
      <c r="B156" s="2258" t="s">
        <v>6978</v>
      </c>
      <c r="C156" s="2364">
        <v>1050</v>
      </c>
      <c r="D156" s="2364">
        <v>0</v>
      </c>
      <c r="E156" s="2364">
        <v>0</v>
      </c>
      <c r="F156" s="2332">
        <v>0</v>
      </c>
      <c r="G156" s="2332">
        <v>0</v>
      </c>
      <c r="H156" s="2332"/>
      <c r="I156" s="2332">
        <v>0</v>
      </c>
      <c r="J156" s="2332">
        <v>0</v>
      </c>
      <c r="K156" s="2333">
        <f t="shared" si="28"/>
        <v>0</v>
      </c>
      <c r="L156" s="2364">
        <v>0</v>
      </c>
      <c r="M156" s="2364">
        <v>0</v>
      </c>
    </row>
    <row r="157" spans="1:13" x14ac:dyDescent="0.2">
      <c r="A157" s="2341">
        <v>4105</v>
      </c>
      <c r="B157" s="2334" t="s">
        <v>6975</v>
      </c>
      <c r="C157" s="2335">
        <v>0</v>
      </c>
      <c r="D157" s="2335">
        <v>0</v>
      </c>
      <c r="E157" s="2335">
        <v>0</v>
      </c>
      <c r="F157" s="2335">
        <v>0</v>
      </c>
      <c r="G157" s="2335">
        <f>F157/$F$11*$G$11</f>
        <v>0</v>
      </c>
      <c r="H157" s="2335"/>
      <c r="I157" s="2335">
        <v>0</v>
      </c>
      <c r="J157" s="2335">
        <v>0</v>
      </c>
      <c r="K157" s="2336">
        <f t="shared" si="28"/>
        <v>0</v>
      </c>
      <c r="L157" s="2335">
        <f>ROUND(D157*1.05,0)</f>
        <v>0</v>
      </c>
      <c r="M157" s="2335">
        <f>ROUND(L157*1.05,0)</f>
        <v>0</v>
      </c>
    </row>
    <row r="158" spans="1:13" x14ac:dyDescent="0.2">
      <c r="A158" s="2341"/>
      <c r="B158" s="2330" t="s">
        <v>6979</v>
      </c>
      <c r="C158" s="2349">
        <f t="shared" ref="C158:M158" si="31">SUM(C155:C157)</f>
        <v>13540</v>
      </c>
      <c r="D158" s="2349">
        <f t="shared" si="31"/>
        <v>0</v>
      </c>
      <c r="E158" s="2349">
        <f t="shared" si="31"/>
        <v>0</v>
      </c>
      <c r="F158" s="2349">
        <f t="shared" si="31"/>
        <v>0</v>
      </c>
      <c r="G158" s="2349">
        <f t="shared" si="31"/>
        <v>0</v>
      </c>
      <c r="H158" s="2349"/>
      <c r="I158" s="2349">
        <f t="shared" si="31"/>
        <v>0</v>
      </c>
      <c r="J158" s="2349">
        <f>J157</f>
        <v>0</v>
      </c>
      <c r="K158" s="2333">
        <f t="shared" si="28"/>
        <v>0</v>
      </c>
      <c r="L158" s="2349">
        <f t="shared" si="31"/>
        <v>0</v>
      </c>
      <c r="M158" s="2349">
        <f t="shared" si="31"/>
        <v>0</v>
      </c>
    </row>
    <row r="159" spans="1:13" x14ac:dyDescent="0.2">
      <c r="A159" s="2341"/>
      <c r="B159" s="2330"/>
      <c r="C159" s="2351"/>
      <c r="D159" s="2351"/>
      <c r="E159" s="2351"/>
      <c r="G159" s="2332"/>
      <c r="H159" s="2332"/>
      <c r="I159" s="2332"/>
      <c r="J159" s="2332"/>
      <c r="K159" s="2333">
        <f t="shared" si="28"/>
        <v>0</v>
      </c>
      <c r="L159" s="2351"/>
      <c r="M159" s="2351"/>
    </row>
    <row r="160" spans="1:13" ht="13.5" thickBot="1" x14ac:dyDescent="0.25">
      <c r="A160" s="2341"/>
      <c r="B160" s="2342" t="s">
        <v>6980</v>
      </c>
      <c r="C160" s="2354">
        <f t="shared" ref="C160:M160" si="32">C152+C158</f>
        <v>352452.76</v>
      </c>
      <c r="D160" s="2354">
        <f t="shared" si="32"/>
        <v>793081</v>
      </c>
      <c r="E160" s="2354">
        <f t="shared" si="32"/>
        <v>943081</v>
      </c>
      <c r="F160" s="2354">
        <f t="shared" si="32"/>
        <v>742596</v>
      </c>
      <c r="G160" s="2354">
        <f t="shared" si="32"/>
        <v>891115.2</v>
      </c>
      <c r="H160" s="2354"/>
      <c r="I160" s="2354">
        <f>I152+I158</f>
        <v>1222247</v>
      </c>
      <c r="J160" s="2354">
        <f>J152+J158</f>
        <v>1172125.55</v>
      </c>
      <c r="K160" s="2344">
        <f t="shared" si="28"/>
        <v>1172125.55</v>
      </c>
      <c r="L160" s="2354">
        <f t="shared" si="32"/>
        <v>1312114</v>
      </c>
      <c r="M160" s="2354">
        <f t="shared" si="32"/>
        <v>1408772</v>
      </c>
    </row>
    <row r="161" spans="1:13" ht="13.5" thickTop="1" x14ac:dyDescent="0.2">
      <c r="A161" s="2341"/>
      <c r="B161" s="2330"/>
      <c r="C161" s="2349"/>
      <c r="D161" s="2349"/>
      <c r="E161" s="2349"/>
      <c r="F161" s="2349"/>
      <c r="G161" s="2349"/>
      <c r="H161" s="2349"/>
      <c r="I161" s="2349"/>
      <c r="J161" s="2349"/>
      <c r="K161" s="2333">
        <f t="shared" si="28"/>
        <v>0</v>
      </c>
      <c r="L161" s="2349"/>
      <c r="M161" s="2349"/>
    </row>
    <row r="162" spans="1:13" ht="13.5" thickBot="1" x14ac:dyDescent="0.25">
      <c r="A162" s="2345"/>
      <c r="B162" s="2342" t="s">
        <v>6624</v>
      </c>
      <c r="C162" s="2355">
        <f t="shared" ref="C162:M162" si="33">+C109-C160</f>
        <v>-247497.76</v>
      </c>
      <c r="D162" s="2355">
        <f t="shared" si="33"/>
        <v>-317081</v>
      </c>
      <c r="E162" s="2355">
        <f t="shared" si="33"/>
        <v>-467081</v>
      </c>
      <c r="F162" s="2355">
        <f t="shared" si="33"/>
        <v>-742596</v>
      </c>
      <c r="G162" s="2355">
        <f t="shared" si="33"/>
        <v>-415115.19999999995</v>
      </c>
      <c r="H162" s="2355"/>
      <c r="I162" s="2355">
        <f>+I109-I160</f>
        <v>-755247</v>
      </c>
      <c r="J162" s="2355">
        <f>+J109-J160</f>
        <v>-1172125.55</v>
      </c>
      <c r="K162" s="2344">
        <f t="shared" si="28"/>
        <v>-1172125.55</v>
      </c>
      <c r="L162" s="2355">
        <f t="shared" si="33"/>
        <v>-1312114</v>
      </c>
      <c r="M162" s="2355">
        <f t="shared" si="33"/>
        <v>-1408772</v>
      </c>
    </row>
    <row r="163" spans="1:13" ht="13.5" thickTop="1" x14ac:dyDescent="0.2">
      <c r="A163" s="2345"/>
      <c r="B163" s="2330"/>
      <c r="C163" s="2356"/>
      <c r="D163" s="2356"/>
      <c r="E163" s="2356"/>
      <c r="F163" s="2309"/>
      <c r="G163" s="2332"/>
      <c r="H163" s="2332"/>
      <c r="I163" s="2332"/>
      <c r="J163" s="2332"/>
      <c r="K163" s="2333">
        <f t="shared" si="28"/>
        <v>0</v>
      </c>
      <c r="L163" s="2356"/>
      <c r="M163" s="2356"/>
    </row>
    <row r="164" spans="1:13" x14ac:dyDescent="0.2">
      <c r="A164" s="2345"/>
      <c r="B164" s="2330"/>
      <c r="C164" s="2356"/>
      <c r="D164" s="2356"/>
      <c r="E164" s="2356"/>
      <c r="F164" s="2309"/>
      <c r="G164" s="2332"/>
      <c r="H164" s="2332"/>
      <c r="I164" s="2332"/>
      <c r="J164" s="2332"/>
      <c r="K164" s="2333">
        <f t="shared" si="28"/>
        <v>0</v>
      </c>
      <c r="L164" s="2356"/>
      <c r="M164" s="2356"/>
    </row>
    <row r="165" spans="1:13" ht="15" x14ac:dyDescent="0.25">
      <c r="A165" s="2365">
        <v>1020</v>
      </c>
      <c r="B165" s="2366" t="s">
        <v>7009</v>
      </c>
      <c r="F165" s="2309"/>
      <c r="G165" s="2332"/>
      <c r="H165" s="2332"/>
      <c r="I165" s="2332"/>
      <c r="J165" s="2332"/>
      <c r="K165" s="2333">
        <f t="shared" si="28"/>
        <v>0</v>
      </c>
    </row>
    <row r="166" spans="1:13" x14ac:dyDescent="0.2">
      <c r="A166" s="2367">
        <v>1021</v>
      </c>
      <c r="B166" s="2368" t="s">
        <v>7010</v>
      </c>
      <c r="F166" s="2309"/>
      <c r="G166" s="2332"/>
      <c r="H166" s="2332"/>
      <c r="I166" s="2332"/>
      <c r="J166" s="2332"/>
      <c r="K166" s="2333">
        <f t="shared" si="28"/>
        <v>0</v>
      </c>
    </row>
    <row r="167" spans="1:13" x14ac:dyDescent="0.2">
      <c r="A167" s="2367"/>
      <c r="B167" s="2368"/>
      <c r="F167" s="2309"/>
      <c r="G167" s="2332"/>
      <c r="H167" s="2332"/>
      <c r="I167" s="2332"/>
      <c r="J167" s="2332"/>
      <c r="K167" s="2333">
        <f t="shared" si="28"/>
        <v>0</v>
      </c>
    </row>
    <row r="168" spans="1:13" x14ac:dyDescent="0.2">
      <c r="A168" s="2367"/>
      <c r="B168" s="2328" t="s">
        <v>247</v>
      </c>
      <c r="C168" s="2328"/>
      <c r="D168" s="2328"/>
      <c r="E168" s="2328"/>
      <c r="F168" s="2309"/>
      <c r="G168" s="2332"/>
      <c r="H168" s="2332"/>
      <c r="I168" s="2332"/>
      <c r="J168" s="2332"/>
      <c r="K168" s="2333">
        <f t="shared" si="28"/>
        <v>0</v>
      </c>
      <c r="L168" s="2331"/>
      <c r="M168" s="2331"/>
    </row>
    <row r="169" spans="1:13" x14ac:dyDescent="0.2">
      <c r="A169" s="2367"/>
      <c r="B169" s="2328"/>
      <c r="C169" s="2328"/>
      <c r="D169" s="2328"/>
      <c r="E169" s="2328"/>
      <c r="F169" s="2309"/>
      <c r="G169" s="2332"/>
      <c r="H169" s="2332"/>
      <c r="I169" s="2332"/>
      <c r="J169" s="2332"/>
      <c r="K169" s="2333">
        <f t="shared" si="28"/>
        <v>0</v>
      </c>
      <c r="L169" s="2331"/>
      <c r="M169" s="2331"/>
    </row>
    <row r="170" spans="1:13" x14ac:dyDescent="0.2">
      <c r="A170" s="2367"/>
      <c r="B170" s="2330" t="s">
        <v>6929</v>
      </c>
      <c r="C170" s="2258"/>
      <c r="D170" s="2258"/>
      <c r="E170" s="2258"/>
      <c r="F170" s="2309"/>
      <c r="G170" s="2332"/>
      <c r="H170" s="2332"/>
      <c r="I170" s="2332"/>
      <c r="J170" s="2332"/>
      <c r="K170" s="2333">
        <f t="shared" si="28"/>
        <v>0</v>
      </c>
      <c r="L170" s="2331"/>
      <c r="M170" s="2331"/>
    </row>
    <row r="171" spans="1:13" x14ac:dyDescent="0.2">
      <c r="A171" s="2367"/>
      <c r="B171" s="2334" t="s">
        <v>6981</v>
      </c>
      <c r="C171" s="2335">
        <v>0</v>
      </c>
      <c r="D171" s="2335">
        <v>476000</v>
      </c>
      <c r="E171" s="2335">
        <v>476000</v>
      </c>
      <c r="F171" s="2335">
        <v>476000</v>
      </c>
      <c r="G171" s="2335">
        <v>476000</v>
      </c>
      <c r="H171" s="2335"/>
      <c r="I171" s="2335">
        <v>476000</v>
      </c>
      <c r="J171" s="2335">
        <f>-[5]Sheet1!$K$345</f>
        <v>278460</v>
      </c>
      <c r="K171" s="2336">
        <f t="shared" si="28"/>
        <v>278460</v>
      </c>
      <c r="L171" s="2335">
        <v>0</v>
      </c>
      <c r="M171" s="2335">
        <v>0</v>
      </c>
    </row>
    <row r="172" spans="1:13" ht="15" x14ac:dyDescent="0.25">
      <c r="A172" s="2365"/>
      <c r="B172" s="2330" t="s">
        <v>6932</v>
      </c>
      <c r="C172" s="2337">
        <f t="shared" ref="C172:M172" si="34">SUM(C171)</f>
        <v>0</v>
      </c>
      <c r="D172" s="2337">
        <f t="shared" si="34"/>
        <v>476000</v>
      </c>
      <c r="E172" s="2337">
        <f t="shared" si="34"/>
        <v>476000</v>
      </c>
      <c r="F172" s="2337">
        <f t="shared" si="34"/>
        <v>476000</v>
      </c>
      <c r="G172" s="2337">
        <f t="shared" si="34"/>
        <v>476000</v>
      </c>
      <c r="H172" s="2337"/>
      <c r="I172" s="2337">
        <f t="shared" si="34"/>
        <v>476000</v>
      </c>
      <c r="J172" s="2337">
        <f>J171</f>
        <v>278460</v>
      </c>
      <c r="K172" s="2333">
        <f t="shared" si="28"/>
        <v>278460</v>
      </c>
      <c r="L172" s="2337">
        <f t="shared" si="34"/>
        <v>0</v>
      </c>
      <c r="M172" s="2337">
        <f t="shared" si="34"/>
        <v>0</v>
      </c>
    </row>
    <row r="173" spans="1:13" ht="15" x14ac:dyDescent="0.25">
      <c r="A173" s="2365"/>
      <c r="B173" s="2330"/>
      <c r="C173" s="2337"/>
      <c r="D173" s="2337"/>
      <c r="E173" s="2337"/>
      <c r="G173" s="2332"/>
      <c r="H173" s="2332"/>
      <c r="I173" s="2332"/>
      <c r="J173" s="2332"/>
      <c r="K173" s="2333">
        <f t="shared" si="28"/>
        <v>0</v>
      </c>
      <c r="L173" s="2337"/>
      <c r="M173" s="2337"/>
    </row>
    <row r="174" spans="1:13" ht="15.75" thickBot="1" x14ac:dyDescent="0.3">
      <c r="A174" s="2365"/>
      <c r="B174" s="2342" t="s">
        <v>6579</v>
      </c>
      <c r="C174" s="2343">
        <f t="shared" ref="C174:M174" si="35">+C172</f>
        <v>0</v>
      </c>
      <c r="D174" s="2343">
        <f t="shared" si="35"/>
        <v>476000</v>
      </c>
      <c r="E174" s="2343">
        <f t="shared" si="35"/>
        <v>476000</v>
      </c>
      <c r="F174" s="2343">
        <f t="shared" si="35"/>
        <v>476000</v>
      </c>
      <c r="G174" s="2343">
        <f t="shared" si="35"/>
        <v>476000</v>
      </c>
      <c r="H174" s="2343"/>
      <c r="I174" s="2343">
        <f>+I172</f>
        <v>476000</v>
      </c>
      <c r="J174" s="2343">
        <f>J172</f>
        <v>278460</v>
      </c>
      <c r="K174" s="2344">
        <f t="shared" si="28"/>
        <v>278460</v>
      </c>
      <c r="L174" s="2343">
        <f t="shared" si="35"/>
        <v>0</v>
      </c>
      <c r="M174" s="2343">
        <f t="shared" si="35"/>
        <v>0</v>
      </c>
    </row>
    <row r="175" spans="1:13" ht="15.75" thickTop="1" x14ac:dyDescent="0.25">
      <c r="A175" s="2365"/>
      <c r="B175" s="2330"/>
      <c r="C175" s="2337"/>
      <c r="D175" s="2337"/>
      <c r="E175" s="2337"/>
      <c r="G175" s="2332"/>
      <c r="H175" s="2332"/>
      <c r="I175" s="2332"/>
      <c r="J175" s="2332">
        <f>J174+[5]Sheet1!$K$346</f>
        <v>0</v>
      </c>
      <c r="K175" s="2333">
        <f t="shared" si="28"/>
        <v>0</v>
      </c>
      <c r="L175" s="2337"/>
      <c r="M175" s="2337"/>
    </row>
    <row r="176" spans="1:13" x14ac:dyDescent="0.2">
      <c r="A176" s="2327"/>
      <c r="B176" s="2328" t="s">
        <v>235</v>
      </c>
      <c r="C176" s="2328"/>
      <c r="D176" s="2328"/>
      <c r="E176" s="2328"/>
      <c r="G176" s="2332"/>
      <c r="H176" s="2332"/>
      <c r="I176" s="2332"/>
      <c r="J176" s="2332"/>
      <c r="K176" s="2333">
        <f t="shared" si="28"/>
        <v>0</v>
      </c>
      <c r="L176" s="2328"/>
      <c r="M176" s="2328"/>
    </row>
    <row r="177" spans="1:13" x14ac:dyDescent="0.2">
      <c r="A177" s="2327"/>
      <c r="B177" s="2328"/>
      <c r="C177" s="2328"/>
      <c r="D177" s="2328"/>
      <c r="E177" s="2328"/>
      <c r="F177" s="2309"/>
      <c r="G177" s="2332"/>
      <c r="H177" s="2332"/>
      <c r="I177" s="2332"/>
      <c r="J177" s="2332"/>
      <c r="K177" s="2333">
        <f t="shared" si="28"/>
        <v>0</v>
      </c>
      <c r="L177" s="2328"/>
      <c r="M177" s="2328"/>
    </row>
    <row r="178" spans="1:13" x14ac:dyDescent="0.2">
      <c r="A178" s="2329"/>
      <c r="B178" s="2330" t="s">
        <v>387</v>
      </c>
      <c r="C178" s="2332"/>
      <c r="D178" s="2332"/>
      <c r="E178" s="2332"/>
      <c r="G178" s="2332"/>
      <c r="H178" s="2332"/>
      <c r="I178" s="2332"/>
      <c r="J178" s="2332"/>
      <c r="K178" s="2333">
        <f t="shared" si="28"/>
        <v>0</v>
      </c>
      <c r="L178" s="2332"/>
      <c r="M178" s="2332"/>
    </row>
    <row r="179" spans="1:13" x14ac:dyDescent="0.2">
      <c r="A179" s="2329">
        <v>1001</v>
      </c>
      <c r="B179" s="2258" t="s">
        <v>7011</v>
      </c>
      <c r="C179" s="2332">
        <v>166374</v>
      </c>
      <c r="D179" s="2332">
        <f>[7]Sal_RIA!$H$44</f>
        <v>326593</v>
      </c>
      <c r="E179" s="2332">
        <f>+D179</f>
        <v>326593</v>
      </c>
      <c r="F179" s="2332">
        <v>0</v>
      </c>
      <c r="G179" s="2332">
        <f t="shared" ref="G179:G188" si="36">F179/$F$11*$G$11</f>
        <v>0</v>
      </c>
      <c r="H179" s="2332"/>
      <c r="I179" s="2332">
        <f>[6]Salary_Bdgt!$H$51</f>
        <v>352721</v>
      </c>
      <c r="J179" s="2332">
        <f>[5]Sheet1!$K$349</f>
        <v>143726.87</v>
      </c>
      <c r="K179" s="2333">
        <f t="shared" si="28"/>
        <v>143726.87</v>
      </c>
      <c r="L179" s="2332">
        <f t="shared" ref="L179:L204" si="37">ROUND(I179*1.08,0)</f>
        <v>380939</v>
      </c>
      <c r="M179" s="2332">
        <f t="shared" ref="M179:M204" si="38">ROUND(L179*1.08,0)</f>
        <v>411414</v>
      </c>
    </row>
    <row r="180" spans="1:13" x14ac:dyDescent="0.2">
      <c r="A180" s="2329">
        <v>1002</v>
      </c>
      <c r="B180" s="2258" t="s">
        <v>6983</v>
      </c>
      <c r="C180" s="2332">
        <v>0</v>
      </c>
      <c r="D180" s="2332">
        <v>0</v>
      </c>
      <c r="E180" s="2332">
        <v>0</v>
      </c>
      <c r="F180" s="2332">
        <v>0</v>
      </c>
      <c r="G180" s="2332">
        <f t="shared" si="36"/>
        <v>0</v>
      </c>
      <c r="H180" s="2332"/>
      <c r="I180" s="2332">
        <f>[6]Salary_Bdgt!$X$51</f>
        <v>0</v>
      </c>
      <c r="J180" s="2332">
        <f>[5]Sheet1!$K$347</f>
        <v>0</v>
      </c>
      <c r="K180" s="2333">
        <f t="shared" si="28"/>
        <v>0</v>
      </c>
      <c r="L180" s="2332">
        <f t="shared" si="37"/>
        <v>0</v>
      </c>
      <c r="M180" s="2332">
        <f t="shared" si="38"/>
        <v>0</v>
      </c>
    </row>
    <row r="181" spans="1:13" x14ac:dyDescent="0.2">
      <c r="A181" s="2329">
        <v>1005</v>
      </c>
      <c r="B181" s="2258" t="s">
        <v>7012</v>
      </c>
      <c r="C181" s="2332">
        <v>5242</v>
      </c>
      <c r="D181" s="2332">
        <f>[7]Sal_RIA!$L$44</f>
        <v>0</v>
      </c>
      <c r="E181" s="2332">
        <v>0</v>
      </c>
      <c r="F181" s="2332">
        <v>0</v>
      </c>
      <c r="G181" s="2332">
        <f t="shared" si="36"/>
        <v>0</v>
      </c>
      <c r="H181" s="2332"/>
      <c r="I181" s="2332">
        <f>[6]Salary_Bdgt!$L$51</f>
        <v>0</v>
      </c>
      <c r="J181" s="2332">
        <v>0</v>
      </c>
      <c r="K181" s="2333">
        <f t="shared" si="28"/>
        <v>0</v>
      </c>
      <c r="L181" s="2332">
        <f t="shared" si="37"/>
        <v>0</v>
      </c>
      <c r="M181" s="2332">
        <f t="shared" si="38"/>
        <v>0</v>
      </c>
    </row>
    <row r="182" spans="1:13" x14ac:dyDescent="0.2">
      <c r="A182" s="2329">
        <v>1006</v>
      </c>
      <c r="B182" s="2258" t="s">
        <v>7013</v>
      </c>
      <c r="C182" s="2332">
        <v>0</v>
      </c>
      <c r="D182" s="2332">
        <f>[7]Sal_RIA!$N$44</f>
        <v>0</v>
      </c>
      <c r="E182" s="2332">
        <v>0</v>
      </c>
      <c r="F182" s="2332">
        <v>0</v>
      </c>
      <c r="G182" s="2332">
        <f t="shared" si="36"/>
        <v>0</v>
      </c>
      <c r="H182" s="2332"/>
      <c r="I182" s="2332">
        <f>[6]Salary_Bdgt!$N$51</f>
        <v>0</v>
      </c>
      <c r="J182" s="2332">
        <v>0</v>
      </c>
      <c r="K182" s="2333">
        <f t="shared" si="28"/>
        <v>0</v>
      </c>
      <c r="L182" s="2332">
        <f t="shared" si="37"/>
        <v>0</v>
      </c>
      <c r="M182" s="2332">
        <f t="shared" si="38"/>
        <v>0</v>
      </c>
    </row>
    <row r="183" spans="1:13" x14ac:dyDescent="0.2">
      <c r="A183" s="2329">
        <v>1007</v>
      </c>
      <c r="B183" s="2258" t="s">
        <v>7014</v>
      </c>
      <c r="C183" s="2332">
        <v>1123</v>
      </c>
      <c r="D183" s="2332">
        <f>[7]Sal_RIA!$I$44</f>
        <v>0</v>
      </c>
      <c r="E183" s="2332">
        <v>0</v>
      </c>
      <c r="F183" s="2332">
        <v>0</v>
      </c>
      <c r="G183" s="2332">
        <f t="shared" si="36"/>
        <v>0</v>
      </c>
      <c r="H183" s="2332"/>
      <c r="I183" s="2332">
        <f>[6]Salary_Bdgt!$I$51</f>
        <v>1617</v>
      </c>
      <c r="J183" s="2332">
        <f>[5]Sheet1!$K$360</f>
        <v>1024.8599999999999</v>
      </c>
      <c r="K183" s="2333">
        <f t="shared" si="28"/>
        <v>1024.8599999999999</v>
      </c>
      <c r="L183" s="2332">
        <f t="shared" si="37"/>
        <v>1746</v>
      </c>
      <c r="M183" s="2332">
        <f t="shared" si="38"/>
        <v>1886</v>
      </c>
    </row>
    <row r="184" spans="1:13" x14ac:dyDescent="0.2">
      <c r="A184" s="2329">
        <v>1009</v>
      </c>
      <c r="B184" s="2258" t="s">
        <v>7015</v>
      </c>
      <c r="C184" s="2332">
        <v>31</v>
      </c>
      <c r="D184" s="2332">
        <f>[7]Sal_RIA!$M$44</f>
        <v>0</v>
      </c>
      <c r="E184" s="2332">
        <v>0</v>
      </c>
      <c r="F184" s="2332">
        <v>0</v>
      </c>
      <c r="G184" s="2332">
        <f t="shared" si="36"/>
        <v>0</v>
      </c>
      <c r="H184" s="2332"/>
      <c r="I184" s="2332">
        <f>[6]Salary_Bdgt!$M$51</f>
        <v>0</v>
      </c>
      <c r="J184" s="2332">
        <f>I184</f>
        <v>0</v>
      </c>
      <c r="K184" s="2333">
        <f t="shared" si="28"/>
        <v>0</v>
      </c>
      <c r="L184" s="2332">
        <f t="shared" si="37"/>
        <v>0</v>
      </c>
      <c r="M184" s="2332">
        <f t="shared" si="38"/>
        <v>0</v>
      </c>
    </row>
    <row r="185" spans="1:13" x14ac:dyDescent="0.2">
      <c r="A185" s="2329">
        <v>1010</v>
      </c>
      <c r="B185" s="2258" t="s">
        <v>7016</v>
      </c>
      <c r="C185" s="2332">
        <v>14027</v>
      </c>
      <c r="D185" s="2332">
        <v>29938</v>
      </c>
      <c r="E185" s="2332">
        <f>+D185</f>
        <v>29938</v>
      </c>
      <c r="F185" s="2332">
        <v>0</v>
      </c>
      <c r="G185" s="2332">
        <f t="shared" si="36"/>
        <v>0</v>
      </c>
      <c r="H185" s="2332"/>
      <c r="I185" s="2332">
        <f>[6]Salary_Bdgt!$Q$51</f>
        <v>29393</v>
      </c>
      <c r="J185" s="2332">
        <f>[5]Sheet1!$K$350</f>
        <v>11978.07</v>
      </c>
      <c r="K185" s="2333">
        <f t="shared" si="28"/>
        <v>11978.07</v>
      </c>
      <c r="L185" s="2332">
        <f t="shared" si="37"/>
        <v>31744</v>
      </c>
      <c r="M185" s="2332">
        <f t="shared" si="38"/>
        <v>34284</v>
      </c>
    </row>
    <row r="186" spans="1:13" x14ac:dyDescent="0.2">
      <c r="A186" s="2329">
        <v>1011</v>
      </c>
      <c r="B186" s="2258" t="s">
        <v>7017</v>
      </c>
      <c r="C186" s="2332">
        <v>0</v>
      </c>
      <c r="D186" s="2332">
        <v>0</v>
      </c>
      <c r="E186" s="2332">
        <v>0</v>
      </c>
      <c r="F186" s="2332">
        <v>0</v>
      </c>
      <c r="G186" s="2332">
        <f t="shared" si="36"/>
        <v>0</v>
      </c>
      <c r="H186" s="2332"/>
      <c r="I186" s="2332">
        <f>[6]Salary_Bdgt!$U$51</f>
        <v>28771</v>
      </c>
      <c r="J186" s="2332">
        <f>[5]Sheet1!$K$351</f>
        <v>9817.52</v>
      </c>
      <c r="K186" s="2333">
        <f t="shared" si="28"/>
        <v>9817.52</v>
      </c>
      <c r="L186" s="2332">
        <f t="shared" si="37"/>
        <v>31073</v>
      </c>
      <c r="M186" s="2332">
        <f t="shared" si="38"/>
        <v>33559</v>
      </c>
    </row>
    <row r="187" spans="1:13" x14ac:dyDescent="0.2">
      <c r="A187" s="2329">
        <v>1014</v>
      </c>
      <c r="B187" s="2258" t="s">
        <v>7018</v>
      </c>
      <c r="C187" s="2332">
        <v>0</v>
      </c>
      <c r="D187" s="2332">
        <v>32619</v>
      </c>
      <c r="E187" s="2332">
        <f>+D187</f>
        <v>32619</v>
      </c>
      <c r="F187" s="2332">
        <v>0</v>
      </c>
      <c r="G187" s="2332">
        <f t="shared" si="36"/>
        <v>0</v>
      </c>
      <c r="H187" s="2332"/>
      <c r="I187" s="2332">
        <f>[6]Salary_Bdgt!$S$51</f>
        <v>31693</v>
      </c>
      <c r="J187" s="2332">
        <f>[5]Sheet1!$K$352</f>
        <v>10813.22</v>
      </c>
      <c r="K187" s="2333">
        <f t="shared" si="28"/>
        <v>10813.22</v>
      </c>
      <c r="L187" s="2332">
        <f t="shared" si="37"/>
        <v>34228</v>
      </c>
      <c r="M187" s="2332">
        <f t="shared" si="38"/>
        <v>36966</v>
      </c>
    </row>
    <row r="188" spans="1:13" x14ac:dyDescent="0.2">
      <c r="A188" s="2329">
        <v>1016</v>
      </c>
      <c r="B188" s="2258" t="s">
        <v>7019</v>
      </c>
      <c r="C188" s="2332">
        <v>0</v>
      </c>
      <c r="D188" s="2332">
        <v>29304</v>
      </c>
      <c r="E188" s="2332">
        <f>+D188</f>
        <v>29304</v>
      </c>
      <c r="F188" s="2332">
        <v>0</v>
      </c>
      <c r="G188" s="2332">
        <f t="shared" si="36"/>
        <v>0</v>
      </c>
      <c r="H188" s="2332"/>
      <c r="I188" s="2332">
        <f>[6]Salary_Bdgt!$T$51+[6]Salary_Bdgt!$V$51</f>
        <v>0</v>
      </c>
      <c r="J188" s="2332">
        <v>0</v>
      </c>
      <c r="K188" s="2333">
        <f t="shared" si="28"/>
        <v>0</v>
      </c>
      <c r="L188" s="2332">
        <f t="shared" si="37"/>
        <v>0</v>
      </c>
      <c r="M188" s="2332">
        <f t="shared" si="38"/>
        <v>0</v>
      </c>
    </row>
    <row r="189" spans="1:13" x14ac:dyDescent="0.2">
      <c r="A189" s="2329">
        <v>1017</v>
      </c>
      <c r="B189" s="2258" t="s">
        <v>7020</v>
      </c>
      <c r="C189" s="2332">
        <v>1302</v>
      </c>
      <c r="D189" s="2332">
        <v>0</v>
      </c>
      <c r="E189" s="2332">
        <v>0</v>
      </c>
      <c r="F189" s="2332">
        <v>0</v>
      </c>
      <c r="G189" s="2332">
        <v>0</v>
      </c>
      <c r="H189" s="2332"/>
      <c r="I189" s="2332">
        <f>[6]Salary_Bdgt!$J$51</f>
        <v>9112</v>
      </c>
      <c r="J189" s="2332">
        <f>[5]Sheet1!$K$356</f>
        <v>3582.63</v>
      </c>
      <c r="K189" s="2333">
        <f t="shared" si="28"/>
        <v>3582.63</v>
      </c>
      <c r="L189" s="2332">
        <f t="shared" si="37"/>
        <v>9841</v>
      </c>
      <c r="M189" s="2332">
        <f t="shared" si="38"/>
        <v>10628</v>
      </c>
    </row>
    <row r="190" spans="1:13" x14ac:dyDescent="0.2">
      <c r="A190" s="2329">
        <v>1046</v>
      </c>
      <c r="B190" s="2258" t="s">
        <v>6993</v>
      </c>
      <c r="C190" s="2332">
        <v>90692</v>
      </c>
      <c r="D190" s="2332">
        <v>147646</v>
      </c>
      <c r="E190" s="2332">
        <f>+D190</f>
        <v>147646</v>
      </c>
      <c r="F190" s="2332">
        <v>0</v>
      </c>
      <c r="G190" s="2332">
        <f>F190/$F$11*$G$11</f>
        <v>0</v>
      </c>
      <c r="H190" s="2332"/>
      <c r="I190" s="2332">
        <f>[6]Salary_Bdgt!$R$51</f>
        <v>145295</v>
      </c>
      <c r="J190" s="2332">
        <f>[5]Sheet1!$K$354</f>
        <v>35000</v>
      </c>
      <c r="K190" s="2333">
        <f t="shared" si="28"/>
        <v>35000</v>
      </c>
      <c r="L190" s="2332">
        <f t="shared" si="37"/>
        <v>156919</v>
      </c>
      <c r="M190" s="2332">
        <f t="shared" si="38"/>
        <v>169473</v>
      </c>
    </row>
    <row r="191" spans="1:13" x14ac:dyDescent="0.2">
      <c r="A191" s="2329">
        <v>1182</v>
      </c>
      <c r="B191" s="2258" t="s">
        <v>7021</v>
      </c>
      <c r="C191" s="2332">
        <v>2800</v>
      </c>
      <c r="D191" s="2332">
        <v>0</v>
      </c>
      <c r="E191" s="2332">
        <v>0</v>
      </c>
      <c r="F191" s="2332">
        <v>0</v>
      </c>
      <c r="G191" s="2332">
        <v>0</v>
      </c>
      <c r="H191" s="2332"/>
      <c r="I191" s="2332">
        <f>[6]Salary_Bdgt!$K$51</f>
        <v>8474</v>
      </c>
      <c r="J191" s="2332">
        <f>[5]Sheet1!$K$357</f>
        <v>3331.81</v>
      </c>
      <c r="K191" s="2333">
        <f t="shared" si="28"/>
        <v>3331.81</v>
      </c>
      <c r="L191" s="2332">
        <f t="shared" si="37"/>
        <v>9152</v>
      </c>
      <c r="M191" s="2332">
        <f t="shared" si="38"/>
        <v>9884</v>
      </c>
    </row>
    <row r="192" spans="1:13" x14ac:dyDescent="0.2">
      <c r="A192" s="2329">
        <v>1001</v>
      </c>
      <c r="B192" s="2258" t="s">
        <v>6943</v>
      </c>
      <c r="C192" s="2332">
        <v>0</v>
      </c>
      <c r="D192" s="2332">
        <v>0</v>
      </c>
      <c r="E192" s="2332">
        <v>0</v>
      </c>
      <c r="F192" s="2332">
        <v>0</v>
      </c>
      <c r="G192" s="2332">
        <f>F192/$F$11*$G$11</f>
        <v>0</v>
      </c>
      <c r="H192" s="2332"/>
      <c r="I192" s="2332">
        <f>[6]Salary_Bdgt!$H$57</f>
        <v>68482</v>
      </c>
      <c r="J192" s="2332">
        <f>[5]Sheet1!$K$348</f>
        <v>0</v>
      </c>
      <c r="K192" s="2333">
        <f t="shared" si="28"/>
        <v>0</v>
      </c>
      <c r="L192" s="2332">
        <f t="shared" si="37"/>
        <v>73961</v>
      </c>
      <c r="M192" s="2332">
        <f t="shared" si="38"/>
        <v>79878</v>
      </c>
    </row>
    <row r="193" spans="1:13" x14ac:dyDescent="0.2">
      <c r="A193" s="2329">
        <v>1005</v>
      </c>
      <c r="B193" s="2258" t="s">
        <v>6944</v>
      </c>
      <c r="C193" s="2332">
        <v>0</v>
      </c>
      <c r="D193" s="2332">
        <v>0</v>
      </c>
      <c r="E193" s="2332">
        <v>0</v>
      </c>
      <c r="F193" s="2332">
        <v>0</v>
      </c>
      <c r="G193" s="2332">
        <v>0</v>
      </c>
      <c r="H193" s="2332"/>
      <c r="I193" s="2332">
        <f>[6]Salary_Bdgt!$L$57</f>
        <v>0</v>
      </c>
      <c r="J193" s="2332">
        <v>0</v>
      </c>
      <c r="K193" s="2333">
        <f t="shared" si="28"/>
        <v>0</v>
      </c>
      <c r="L193" s="2332">
        <f t="shared" si="37"/>
        <v>0</v>
      </c>
      <c r="M193" s="2332">
        <f t="shared" si="38"/>
        <v>0</v>
      </c>
    </row>
    <row r="194" spans="1:13" x14ac:dyDescent="0.2">
      <c r="A194" s="2329">
        <v>1006</v>
      </c>
      <c r="B194" s="2258" t="s">
        <v>6945</v>
      </c>
      <c r="C194" s="2332">
        <v>0</v>
      </c>
      <c r="D194" s="2332">
        <v>0</v>
      </c>
      <c r="E194" s="2332">
        <v>0</v>
      </c>
      <c r="F194" s="2332">
        <v>0</v>
      </c>
      <c r="G194" s="2332">
        <v>0</v>
      </c>
      <c r="H194" s="2332"/>
      <c r="I194" s="2332">
        <f>[6]Salary_Bdgt!$N$57</f>
        <v>13026</v>
      </c>
      <c r="J194" s="2332">
        <f>[5]Sheet1!$K$359</f>
        <v>4445.33</v>
      </c>
      <c r="K194" s="2333">
        <f t="shared" si="28"/>
        <v>4445.33</v>
      </c>
      <c r="L194" s="2332">
        <f t="shared" si="37"/>
        <v>14068</v>
      </c>
      <c r="M194" s="2332">
        <f t="shared" si="38"/>
        <v>15193</v>
      </c>
    </row>
    <row r="195" spans="1:13" x14ac:dyDescent="0.2">
      <c r="A195" s="2329">
        <v>1007</v>
      </c>
      <c r="B195" s="2258" t="s">
        <v>6410</v>
      </c>
      <c r="C195" s="2332">
        <v>0</v>
      </c>
      <c r="D195" s="2332">
        <v>0</v>
      </c>
      <c r="E195" s="2332">
        <v>0</v>
      </c>
      <c r="F195" s="2332">
        <v>0</v>
      </c>
      <c r="G195" s="2332">
        <v>0</v>
      </c>
      <c r="H195" s="2332"/>
      <c r="I195" s="2332">
        <f>[6]Salary_Bdgt!$I$57</f>
        <v>1385</v>
      </c>
      <c r="J195" s="2332">
        <f>0</f>
        <v>0</v>
      </c>
      <c r="K195" s="2333">
        <f t="shared" si="28"/>
        <v>0</v>
      </c>
      <c r="L195" s="2332">
        <f t="shared" si="37"/>
        <v>1496</v>
      </c>
      <c r="M195" s="2332">
        <f t="shared" si="38"/>
        <v>1616</v>
      </c>
    </row>
    <row r="196" spans="1:13" x14ac:dyDescent="0.2">
      <c r="A196" s="2329">
        <v>1009</v>
      </c>
      <c r="B196" s="2258" t="s">
        <v>6408</v>
      </c>
      <c r="C196" s="2332">
        <v>0</v>
      </c>
      <c r="D196" s="2332">
        <v>0</v>
      </c>
      <c r="E196" s="2332"/>
      <c r="F196" s="2332">
        <v>0</v>
      </c>
      <c r="G196" s="2332">
        <v>0</v>
      </c>
      <c r="H196" s="2332"/>
      <c r="I196" s="2332">
        <f>[6]Salary_Bdgt!$M$57</f>
        <v>45</v>
      </c>
      <c r="J196" s="2332">
        <f>[5]Sheet1!$K$355</f>
        <v>14.58</v>
      </c>
      <c r="K196" s="2333">
        <f t="shared" si="28"/>
        <v>14.58</v>
      </c>
      <c r="L196" s="2332">
        <f t="shared" si="37"/>
        <v>49</v>
      </c>
      <c r="M196" s="2332">
        <f t="shared" si="38"/>
        <v>53</v>
      </c>
    </row>
    <row r="197" spans="1:13" x14ac:dyDescent="0.2">
      <c r="A197" s="2329">
        <v>1010</v>
      </c>
      <c r="B197" s="2258" t="s">
        <v>6946</v>
      </c>
      <c r="C197" s="2332">
        <v>0</v>
      </c>
      <c r="D197" s="2332">
        <v>0</v>
      </c>
      <c r="E197" s="2332">
        <v>0</v>
      </c>
      <c r="F197" s="2332">
        <v>0</v>
      </c>
      <c r="G197" s="2332">
        <v>0</v>
      </c>
      <c r="H197" s="2332"/>
      <c r="I197" s="2332">
        <f>[6]Salary_Bdgt!$Q$57</f>
        <v>5707</v>
      </c>
      <c r="J197" s="2332">
        <v>0</v>
      </c>
      <c r="K197" s="2333">
        <f t="shared" si="28"/>
        <v>0</v>
      </c>
      <c r="L197" s="2332">
        <f t="shared" si="37"/>
        <v>6164</v>
      </c>
      <c r="M197" s="2332">
        <f t="shared" si="38"/>
        <v>6657</v>
      </c>
    </row>
    <row r="198" spans="1:13" x14ac:dyDescent="0.2">
      <c r="A198" s="2329">
        <v>1011</v>
      </c>
      <c r="B198" s="2258" t="s">
        <v>6947</v>
      </c>
      <c r="C198" s="2332">
        <v>0</v>
      </c>
      <c r="D198" s="2332">
        <v>0</v>
      </c>
      <c r="E198" s="2332">
        <v>0</v>
      </c>
      <c r="F198" s="2332">
        <v>0</v>
      </c>
      <c r="G198" s="2332">
        <v>0</v>
      </c>
      <c r="H198" s="2332"/>
      <c r="I198" s="2332">
        <f>[6]Salary_Bdgt!$U$57</f>
        <v>0</v>
      </c>
      <c r="J198" s="2332">
        <v>0</v>
      </c>
      <c r="K198" s="2333">
        <f t="shared" si="28"/>
        <v>0</v>
      </c>
      <c r="L198" s="2332">
        <f t="shared" si="37"/>
        <v>0</v>
      </c>
      <c r="M198" s="2332">
        <f t="shared" si="38"/>
        <v>0</v>
      </c>
    </row>
    <row r="199" spans="1:13" x14ac:dyDescent="0.2">
      <c r="A199" s="2329">
        <v>1014</v>
      </c>
      <c r="B199" s="2258" t="s">
        <v>6632</v>
      </c>
      <c r="C199" s="2332">
        <v>0</v>
      </c>
      <c r="D199" s="2332">
        <v>0</v>
      </c>
      <c r="E199" s="2332">
        <v>0</v>
      </c>
      <c r="F199" s="2332">
        <v>0</v>
      </c>
      <c r="G199" s="2332">
        <v>0</v>
      </c>
      <c r="H199" s="2332"/>
      <c r="I199" s="2332">
        <f>[6]Salary_Bdgt!$S$57</f>
        <v>0</v>
      </c>
      <c r="J199" s="2332">
        <v>0</v>
      </c>
      <c r="K199" s="2333">
        <f t="shared" si="28"/>
        <v>0</v>
      </c>
      <c r="L199" s="2332">
        <f t="shared" si="37"/>
        <v>0</v>
      </c>
      <c r="M199" s="2332">
        <f t="shared" si="38"/>
        <v>0</v>
      </c>
    </row>
    <row r="200" spans="1:13" x14ac:dyDescent="0.2">
      <c r="A200" s="2329">
        <v>1015</v>
      </c>
      <c r="B200" s="2258" t="s">
        <v>6948</v>
      </c>
      <c r="C200" s="2332">
        <v>0</v>
      </c>
      <c r="D200" s="2332">
        <v>0</v>
      </c>
      <c r="E200" s="2332">
        <v>0</v>
      </c>
      <c r="F200" s="2332">
        <v>0</v>
      </c>
      <c r="G200" s="2332">
        <v>0</v>
      </c>
      <c r="H200" s="2332"/>
      <c r="I200" s="2332">
        <f>[6]Salary_Bdgt!$O$57+[6]Salary_Bdgt!$P$57+[6]Salary_Bdgt!$W$57</f>
        <v>0</v>
      </c>
      <c r="J200" s="2332">
        <f>[5]Sheet1!$K$358</f>
        <v>0</v>
      </c>
      <c r="K200" s="2333">
        <f t="shared" si="28"/>
        <v>0</v>
      </c>
      <c r="L200" s="2332">
        <f t="shared" si="37"/>
        <v>0</v>
      </c>
      <c r="M200" s="2332">
        <f t="shared" si="38"/>
        <v>0</v>
      </c>
    </row>
    <row r="201" spans="1:13" x14ac:dyDescent="0.2">
      <c r="A201" s="2329">
        <v>1016</v>
      </c>
      <c r="B201" s="2258" t="s">
        <v>6949</v>
      </c>
      <c r="C201" s="2332">
        <v>0</v>
      </c>
      <c r="D201" s="2332">
        <v>0</v>
      </c>
      <c r="E201" s="2332">
        <v>0</v>
      </c>
      <c r="F201" s="2332">
        <v>0</v>
      </c>
      <c r="G201" s="2332">
        <v>0</v>
      </c>
      <c r="H201" s="2332"/>
      <c r="I201" s="2332">
        <f>[6]Salary_Bdgt!$T$57+[6]Salary_Bdgt!$V$57</f>
        <v>15856</v>
      </c>
      <c r="J201" s="2332">
        <f>[5]Sheet1!$K$353</f>
        <v>5410.69</v>
      </c>
      <c r="K201" s="2333">
        <f t="shared" si="28"/>
        <v>5410.69</v>
      </c>
      <c r="L201" s="2332">
        <f t="shared" si="37"/>
        <v>17124</v>
      </c>
      <c r="M201" s="2332">
        <f t="shared" si="38"/>
        <v>18494</v>
      </c>
    </row>
    <row r="202" spans="1:13" x14ac:dyDescent="0.2">
      <c r="A202" s="2329">
        <v>1017</v>
      </c>
      <c r="B202" s="2258" t="s">
        <v>6950</v>
      </c>
      <c r="C202" s="2332">
        <v>0</v>
      </c>
      <c r="D202" s="2332">
        <v>0</v>
      </c>
      <c r="E202" s="2332">
        <v>0</v>
      </c>
      <c r="F202" s="2332">
        <v>0</v>
      </c>
      <c r="G202" s="2332">
        <v>0</v>
      </c>
      <c r="H202" s="2332"/>
      <c r="I202" s="2332">
        <f>[6]Salary_Bdgt!$J$57</f>
        <v>1385</v>
      </c>
      <c r="J202" s="2332">
        <f>[5]Sheet1!$K$358</f>
        <v>0</v>
      </c>
      <c r="K202" s="2333">
        <f t="shared" si="28"/>
        <v>0</v>
      </c>
      <c r="L202" s="2332">
        <f t="shared" si="37"/>
        <v>1496</v>
      </c>
      <c r="M202" s="2332">
        <f t="shared" si="38"/>
        <v>1616</v>
      </c>
    </row>
    <row r="203" spans="1:13" x14ac:dyDescent="0.2">
      <c r="A203" s="2329">
        <v>1046</v>
      </c>
      <c r="B203" s="2258" t="s">
        <v>6951</v>
      </c>
      <c r="C203" s="2332">
        <v>0</v>
      </c>
      <c r="D203" s="2332">
        <v>0</v>
      </c>
      <c r="E203" s="2332">
        <v>0</v>
      </c>
      <c r="F203" s="2332">
        <v>0</v>
      </c>
      <c r="G203" s="2332">
        <v>0</v>
      </c>
      <c r="H203" s="2332"/>
      <c r="I203" s="2332">
        <f>[6]Salary_Bdgt!$R$57</f>
        <v>0</v>
      </c>
      <c r="J203" s="2332">
        <v>0</v>
      </c>
      <c r="K203" s="2333">
        <f t="shared" si="28"/>
        <v>0</v>
      </c>
      <c r="L203" s="2332">
        <f t="shared" si="37"/>
        <v>0</v>
      </c>
      <c r="M203" s="2332">
        <f t="shared" si="38"/>
        <v>0</v>
      </c>
    </row>
    <row r="204" spans="1:13" x14ac:dyDescent="0.2">
      <c r="A204" s="2329">
        <v>1182</v>
      </c>
      <c r="B204" s="2334" t="s">
        <v>6952</v>
      </c>
      <c r="C204" s="2335">
        <v>0</v>
      </c>
      <c r="D204" s="2335">
        <v>0</v>
      </c>
      <c r="E204" s="2335">
        <v>0</v>
      </c>
      <c r="F204" s="2335">
        <v>0</v>
      </c>
      <c r="G204" s="2335">
        <v>0</v>
      </c>
      <c r="H204" s="2335"/>
      <c r="I204" s="2335">
        <f>[6]Salary_Bdgt!$K$57</f>
        <v>1288</v>
      </c>
      <c r="J204" s="2335">
        <v>0</v>
      </c>
      <c r="K204" s="2336">
        <f t="shared" si="28"/>
        <v>0</v>
      </c>
      <c r="L204" s="2335">
        <f t="shared" si="37"/>
        <v>1391</v>
      </c>
      <c r="M204" s="2335">
        <f t="shared" si="38"/>
        <v>1502</v>
      </c>
    </row>
    <row r="205" spans="1:13" x14ac:dyDescent="0.2">
      <c r="A205" s="2329"/>
      <c r="B205" s="2330" t="s">
        <v>6588</v>
      </c>
      <c r="C205" s="2349">
        <f t="shared" ref="C205:M205" si="39">SUM(C179:C204)</f>
        <v>281591</v>
      </c>
      <c r="D205" s="2349">
        <f t="shared" si="39"/>
        <v>566100</v>
      </c>
      <c r="E205" s="2349">
        <f t="shared" si="39"/>
        <v>566100</v>
      </c>
      <c r="F205" s="2349">
        <f t="shared" si="39"/>
        <v>0</v>
      </c>
      <c r="G205" s="2349">
        <f t="shared" si="39"/>
        <v>0</v>
      </c>
      <c r="H205" s="2349"/>
      <c r="I205" s="2349">
        <f>SUM(I179:I204)</f>
        <v>714250</v>
      </c>
      <c r="J205" s="2349">
        <f>SUM(J179:J204)</f>
        <v>229145.57999999996</v>
      </c>
      <c r="K205" s="2333">
        <f t="shared" si="28"/>
        <v>229145.57999999996</v>
      </c>
      <c r="L205" s="2349">
        <f t="shared" si="39"/>
        <v>771391</v>
      </c>
      <c r="M205" s="2349">
        <f t="shared" si="39"/>
        <v>833103</v>
      </c>
    </row>
    <row r="206" spans="1:13" x14ac:dyDescent="0.2">
      <c r="A206" s="2329"/>
      <c r="B206" s="2330"/>
      <c r="C206" s="2349"/>
      <c r="D206" s="2349"/>
      <c r="E206" s="2349"/>
      <c r="F206" s="2309"/>
      <c r="G206" s="2332"/>
      <c r="H206" s="2332"/>
      <c r="I206" s="2332"/>
      <c r="J206" s="2332">
        <f>J205-[5]Sheet1!$K$361</f>
        <v>0</v>
      </c>
      <c r="K206" s="2333">
        <f t="shared" si="28"/>
        <v>0</v>
      </c>
      <c r="L206" s="2349"/>
      <c r="M206" s="2349"/>
    </row>
    <row r="207" spans="1:13" x14ac:dyDescent="0.2">
      <c r="A207" s="2329"/>
      <c r="B207" s="2330" t="s">
        <v>6599</v>
      </c>
      <c r="C207" s="2332"/>
      <c r="D207" s="2332"/>
      <c r="E207" s="2332"/>
      <c r="F207" s="2309"/>
      <c r="G207" s="2332"/>
      <c r="H207" s="2332"/>
      <c r="I207" s="2332"/>
      <c r="J207" s="2332"/>
      <c r="K207" s="2333">
        <f t="shared" si="28"/>
        <v>0</v>
      </c>
      <c r="L207" s="2332"/>
      <c r="M207" s="2332"/>
    </row>
    <row r="208" spans="1:13" x14ac:dyDescent="0.2">
      <c r="A208" s="2329">
        <v>2113</v>
      </c>
      <c r="B208" s="2258" t="s">
        <v>7007</v>
      </c>
      <c r="C208" s="2332">
        <v>36113</v>
      </c>
      <c r="D208" s="2332">
        <v>5250</v>
      </c>
      <c r="E208" s="2332">
        <v>5250</v>
      </c>
      <c r="F208" s="2332">
        <v>0</v>
      </c>
      <c r="G208" s="2332">
        <f>F208/$F$11*$G$11</f>
        <v>0</v>
      </c>
      <c r="H208" s="2332"/>
      <c r="I208" s="2332">
        <f>ROUND(E208*1.05,0)</f>
        <v>5513</v>
      </c>
      <c r="J208" s="2332">
        <f>[5]Sheet1!$K$364</f>
        <v>1864.35</v>
      </c>
      <c r="K208" s="2333">
        <f t="shared" si="28"/>
        <v>1864.35</v>
      </c>
      <c r="L208" s="2332">
        <f>ROUND(I208*1.06,0)</f>
        <v>5844</v>
      </c>
      <c r="M208" s="2332">
        <f>ROUND(L208*1.06,0)</f>
        <v>6195</v>
      </c>
    </row>
    <row r="209" spans="1:13" x14ac:dyDescent="0.2">
      <c r="A209" s="2329">
        <v>2207</v>
      </c>
      <c r="B209" s="2258" t="s">
        <v>7008</v>
      </c>
      <c r="C209" s="2332">
        <v>0</v>
      </c>
      <c r="D209" s="2332">
        <v>10500</v>
      </c>
      <c r="E209" s="2332">
        <v>10500</v>
      </c>
      <c r="F209" s="2332">
        <v>0</v>
      </c>
      <c r="G209" s="2332">
        <f>F209/$F$11*$G$11</f>
        <v>0</v>
      </c>
      <c r="H209" s="2332"/>
      <c r="I209" s="2332">
        <v>0</v>
      </c>
      <c r="J209" s="2332">
        <v>0</v>
      </c>
      <c r="K209" s="2333">
        <f t="shared" si="28"/>
        <v>0</v>
      </c>
      <c r="L209" s="2332">
        <f>ROUND(I209*1.06,0)</f>
        <v>0</v>
      </c>
      <c r="M209" s="2332">
        <f>ROUND(L209*1.06,0)</f>
        <v>0</v>
      </c>
    </row>
    <row r="210" spans="1:13" x14ac:dyDescent="0.2">
      <c r="A210" s="2329">
        <v>2226</v>
      </c>
      <c r="B210" s="2258" t="s">
        <v>6607</v>
      </c>
      <c r="C210" s="2332">
        <v>0</v>
      </c>
      <c r="D210" s="2332">
        <v>5250</v>
      </c>
      <c r="E210" s="2332">
        <v>5250</v>
      </c>
      <c r="F210" s="2332">
        <v>0</v>
      </c>
      <c r="G210" s="2332">
        <f>F210/$F$11*$G$11</f>
        <v>0</v>
      </c>
      <c r="H210" s="2332"/>
      <c r="I210" s="2332">
        <f>ROUND(E210*1.05,0)</f>
        <v>5513</v>
      </c>
      <c r="J210" s="2332">
        <f>[5]Sheet1!$K$366</f>
        <v>1879.98</v>
      </c>
      <c r="K210" s="2333">
        <f t="shared" si="28"/>
        <v>1879.98</v>
      </c>
      <c r="L210" s="2332">
        <f>ROUND(I210*1.06,0)</f>
        <v>5844</v>
      </c>
      <c r="M210" s="2332">
        <f>ROUND(L210*1.06,0)</f>
        <v>6195</v>
      </c>
    </row>
    <row r="211" spans="1:13" x14ac:dyDescent="0.2">
      <c r="A211" s="2329">
        <v>2231</v>
      </c>
      <c r="B211" s="2258" t="s">
        <v>1779</v>
      </c>
      <c r="C211" s="2332">
        <v>4909</v>
      </c>
      <c r="D211" s="2332">
        <v>5250</v>
      </c>
      <c r="E211" s="2332">
        <v>5250</v>
      </c>
      <c r="F211" s="2332">
        <v>3301</v>
      </c>
      <c r="G211" s="2332">
        <f>F211/$F$11*$G$11</f>
        <v>3961.2000000000003</v>
      </c>
      <c r="H211" s="2332"/>
      <c r="I211" s="2332">
        <f>ROUND(E211*1.05,0)</f>
        <v>5513</v>
      </c>
      <c r="J211" s="2332">
        <f>[5]Sheet1!$K$367</f>
        <v>1879.98</v>
      </c>
      <c r="K211" s="2333">
        <f t="shared" si="28"/>
        <v>1879.98</v>
      </c>
      <c r="L211" s="2332">
        <f>ROUND(I211*1.06,0)</f>
        <v>5844</v>
      </c>
      <c r="M211" s="2332">
        <f>ROUND(L211*1.06,0)</f>
        <v>6195</v>
      </c>
    </row>
    <row r="212" spans="1:13" x14ac:dyDescent="0.2">
      <c r="A212" s="2329">
        <v>2238</v>
      </c>
      <c r="B212" s="2334" t="s">
        <v>6967</v>
      </c>
      <c r="C212" s="2335">
        <v>13495</v>
      </c>
      <c r="D212" s="2335">
        <v>50000</v>
      </c>
      <c r="E212" s="2335">
        <v>50000</v>
      </c>
      <c r="F212" s="2335">
        <v>2370</v>
      </c>
      <c r="G212" s="2335">
        <f>F212/$F$11*$G$11</f>
        <v>2844</v>
      </c>
      <c r="H212" s="2335"/>
      <c r="I212" s="2335">
        <f>ROUND(E212*1.05,0)</f>
        <v>52500</v>
      </c>
      <c r="J212" s="2335">
        <f>[5]Sheet1!$K$368</f>
        <v>6626.76</v>
      </c>
      <c r="K212" s="2336">
        <f t="shared" si="28"/>
        <v>6626.76</v>
      </c>
      <c r="L212" s="2335">
        <f>ROUND(I212*1.06,0)</f>
        <v>55650</v>
      </c>
      <c r="M212" s="2335">
        <f>ROUND(L212*1.06,0)</f>
        <v>58989</v>
      </c>
    </row>
    <row r="213" spans="1:13" x14ac:dyDescent="0.2">
      <c r="A213" s="2316"/>
      <c r="B213" s="2330" t="s">
        <v>6614</v>
      </c>
      <c r="C213" s="2349">
        <f t="shared" ref="C213:M213" si="40">SUM(C208:C212)</f>
        <v>54517</v>
      </c>
      <c r="D213" s="2349">
        <f t="shared" si="40"/>
        <v>76250</v>
      </c>
      <c r="E213" s="2349">
        <f t="shared" si="40"/>
        <v>76250</v>
      </c>
      <c r="F213" s="2349">
        <f t="shared" si="40"/>
        <v>5671</v>
      </c>
      <c r="G213" s="2349">
        <f t="shared" si="40"/>
        <v>6805.2000000000007</v>
      </c>
      <c r="H213" s="2349"/>
      <c r="I213" s="2349">
        <f>SUM(I208:I212)</f>
        <v>69039</v>
      </c>
      <c r="J213" s="2349">
        <f>SUM(J208:J212)</f>
        <v>12251.07</v>
      </c>
      <c r="K213" s="2333">
        <f t="shared" ref="K213:K276" si="41">J213</f>
        <v>12251.07</v>
      </c>
      <c r="L213" s="2349">
        <f t="shared" si="40"/>
        <v>73182</v>
      </c>
      <c r="M213" s="2349">
        <f t="shared" si="40"/>
        <v>77574</v>
      </c>
    </row>
    <row r="214" spans="1:13" x14ac:dyDescent="0.2">
      <c r="A214" s="2341"/>
      <c r="B214" s="2330"/>
      <c r="C214" s="2351"/>
      <c r="D214" s="2351"/>
      <c r="E214" s="2351"/>
      <c r="G214" s="2332"/>
      <c r="H214" s="2332"/>
      <c r="I214" s="2332"/>
      <c r="J214" s="2332">
        <f>J213-[5]Sheet1!$K$369</f>
        <v>0</v>
      </c>
      <c r="K214" s="2333">
        <f t="shared" si="41"/>
        <v>0</v>
      </c>
      <c r="L214" s="2351"/>
      <c r="M214" s="2351"/>
    </row>
    <row r="215" spans="1:13" ht="13.5" thickBot="1" x14ac:dyDescent="0.25">
      <c r="A215" s="2341"/>
      <c r="B215" s="2342" t="s">
        <v>6623</v>
      </c>
      <c r="C215" s="2354">
        <f t="shared" ref="C215:M215" si="42">C205+C213</f>
        <v>336108</v>
      </c>
      <c r="D215" s="2354">
        <f t="shared" si="42"/>
        <v>642350</v>
      </c>
      <c r="E215" s="2354">
        <f t="shared" si="42"/>
        <v>642350</v>
      </c>
      <c r="F215" s="2354">
        <f t="shared" si="42"/>
        <v>5671</v>
      </c>
      <c r="G215" s="2354">
        <f t="shared" si="42"/>
        <v>6805.2000000000007</v>
      </c>
      <c r="H215" s="2354"/>
      <c r="I215" s="2354">
        <f>I205+I213</f>
        <v>783289</v>
      </c>
      <c r="J215" s="2354">
        <f>J205+J213</f>
        <v>241396.64999999997</v>
      </c>
      <c r="K215" s="2344">
        <f t="shared" si="41"/>
        <v>241396.64999999997</v>
      </c>
      <c r="L215" s="2354">
        <f t="shared" si="42"/>
        <v>844573</v>
      </c>
      <c r="M215" s="2354">
        <f t="shared" si="42"/>
        <v>910677</v>
      </c>
    </row>
    <row r="216" spans="1:13" ht="13.5" thickTop="1" x14ac:dyDescent="0.2">
      <c r="A216" s="2341"/>
      <c r="B216" s="2330"/>
      <c r="C216" s="2349"/>
      <c r="D216" s="2349"/>
      <c r="E216" s="2349"/>
      <c r="F216" s="2349"/>
      <c r="G216" s="2349"/>
      <c r="H216" s="2349"/>
      <c r="I216" s="2349"/>
      <c r="J216" s="2349"/>
      <c r="K216" s="2333">
        <f t="shared" si="41"/>
        <v>0</v>
      </c>
      <c r="L216" s="2349"/>
      <c r="M216" s="2349"/>
    </row>
    <row r="217" spans="1:13" ht="13.5" thickBot="1" x14ac:dyDescent="0.25">
      <c r="A217" s="2345"/>
      <c r="B217" s="2342" t="s">
        <v>6624</v>
      </c>
      <c r="C217" s="2355">
        <f t="shared" ref="C217:M217" si="43">C174-C215</f>
        <v>-336108</v>
      </c>
      <c r="D217" s="2355">
        <f t="shared" si="43"/>
        <v>-166350</v>
      </c>
      <c r="E217" s="2355">
        <f t="shared" si="43"/>
        <v>-166350</v>
      </c>
      <c r="F217" s="2355">
        <f t="shared" si="43"/>
        <v>470329</v>
      </c>
      <c r="G217" s="2355">
        <f t="shared" si="43"/>
        <v>469194.8</v>
      </c>
      <c r="H217" s="2355"/>
      <c r="I217" s="2355">
        <f>I174-I215</f>
        <v>-307289</v>
      </c>
      <c r="J217" s="2355">
        <f>J174-J215</f>
        <v>37063.350000000035</v>
      </c>
      <c r="K217" s="2344">
        <f t="shared" si="41"/>
        <v>37063.350000000035</v>
      </c>
      <c r="L217" s="2355">
        <f t="shared" si="43"/>
        <v>-844573</v>
      </c>
      <c r="M217" s="2355">
        <f t="shared" si="43"/>
        <v>-910677</v>
      </c>
    </row>
    <row r="218" spans="1:13" ht="13.5" thickTop="1" x14ac:dyDescent="0.2">
      <c r="A218" s="2345"/>
      <c r="B218" s="2330"/>
      <c r="C218" s="2356"/>
      <c r="D218" s="2356"/>
      <c r="E218" s="2356"/>
      <c r="G218" s="2332"/>
      <c r="H218" s="2332"/>
      <c r="I218" s="2332"/>
      <c r="J218" s="2332"/>
      <c r="K218" s="2333">
        <f t="shared" si="41"/>
        <v>0</v>
      </c>
      <c r="L218" s="2356"/>
      <c r="M218" s="2356"/>
    </row>
    <row r="219" spans="1:13" x14ac:dyDescent="0.2">
      <c r="A219" s="2369"/>
      <c r="B219" s="2369"/>
      <c r="C219" s="2369"/>
      <c r="D219" s="2369"/>
      <c r="E219" s="2369"/>
      <c r="G219" s="2332"/>
      <c r="H219" s="2332"/>
      <c r="I219" s="2332"/>
      <c r="J219" s="2332"/>
      <c r="K219" s="2333">
        <f t="shared" si="41"/>
        <v>0</v>
      </c>
      <c r="L219" s="2369"/>
      <c r="M219" s="2369"/>
    </row>
    <row r="220" spans="1:13" ht="15" x14ac:dyDescent="0.25">
      <c r="A220" s="2365">
        <v>1020</v>
      </c>
      <c r="B220" s="2366" t="s">
        <v>7009</v>
      </c>
      <c r="G220" s="2332"/>
      <c r="H220" s="2332"/>
      <c r="I220" s="2332"/>
      <c r="J220" s="2332"/>
      <c r="K220" s="2333">
        <f t="shared" si="41"/>
        <v>0</v>
      </c>
    </row>
    <row r="221" spans="1:13" x14ac:dyDescent="0.2">
      <c r="A221" s="2367">
        <v>1022</v>
      </c>
      <c r="B221" s="2368" t="s">
        <v>1882</v>
      </c>
      <c r="G221" s="2332"/>
      <c r="H221" s="2332"/>
      <c r="I221" s="2332"/>
      <c r="J221" s="2332"/>
      <c r="K221" s="2333">
        <f t="shared" si="41"/>
        <v>0</v>
      </c>
    </row>
    <row r="222" spans="1:13" ht="15" x14ac:dyDescent="0.25">
      <c r="A222" s="2365"/>
      <c r="B222" s="2370"/>
      <c r="G222" s="2332"/>
      <c r="H222" s="2332"/>
      <c r="I222" s="2332"/>
      <c r="J222" s="2332"/>
      <c r="K222" s="2333">
        <f t="shared" si="41"/>
        <v>0</v>
      </c>
    </row>
    <row r="223" spans="1:13" ht="15" x14ac:dyDescent="0.25">
      <c r="A223" s="2365"/>
      <c r="B223" s="2328" t="s">
        <v>247</v>
      </c>
      <c r="C223" s="2328"/>
      <c r="D223" s="2328"/>
      <c r="E223" s="2328"/>
      <c r="G223" s="2332"/>
      <c r="H223" s="2332"/>
      <c r="I223" s="2332"/>
      <c r="J223" s="2332"/>
      <c r="K223" s="2333">
        <f t="shared" si="41"/>
        <v>0</v>
      </c>
      <c r="L223" s="2331"/>
      <c r="M223" s="2331"/>
    </row>
    <row r="224" spans="1:13" ht="15" x14ac:dyDescent="0.25">
      <c r="A224" s="2365"/>
      <c r="B224" s="2328"/>
      <c r="C224" s="2328"/>
      <c r="D224" s="2328"/>
      <c r="E224" s="2328"/>
      <c r="G224" s="2332"/>
      <c r="H224" s="2332"/>
      <c r="I224" s="2332"/>
      <c r="J224" s="2332"/>
      <c r="K224" s="2333">
        <f t="shared" si="41"/>
        <v>0</v>
      </c>
      <c r="L224" s="2331"/>
      <c r="M224" s="2331"/>
    </row>
    <row r="225" spans="1:13" ht="15" x14ac:dyDescent="0.25">
      <c r="A225" s="2365"/>
      <c r="B225" s="2330" t="s">
        <v>6929</v>
      </c>
      <c r="C225" s="2258"/>
      <c r="D225" s="2258"/>
      <c r="E225" s="2258"/>
      <c r="G225" s="2332"/>
      <c r="H225" s="2332"/>
      <c r="I225" s="2332"/>
      <c r="J225" s="2332"/>
      <c r="K225" s="2333">
        <f t="shared" si="41"/>
        <v>0</v>
      </c>
      <c r="L225" s="2331"/>
      <c r="M225" s="2331"/>
    </row>
    <row r="226" spans="1:13" ht="15" x14ac:dyDescent="0.25">
      <c r="A226" s="2365"/>
      <c r="B226" s="2334" t="s">
        <v>6981</v>
      </c>
      <c r="C226" s="2335">
        <v>65037</v>
      </c>
      <c r="D226" s="2335">
        <v>476000</v>
      </c>
      <c r="E226" s="2335">
        <v>476000</v>
      </c>
      <c r="F226" s="2335">
        <v>476000</v>
      </c>
      <c r="G226" s="2335">
        <v>476000</v>
      </c>
      <c r="H226" s="2335"/>
      <c r="I226" s="2335">
        <v>476000</v>
      </c>
      <c r="J226" s="2335">
        <f>-[5]Sheet1!$K$149</f>
        <v>334007.98</v>
      </c>
      <c r="K226" s="2336">
        <f t="shared" si="41"/>
        <v>334007.98</v>
      </c>
      <c r="L226" s="2335">
        <v>0</v>
      </c>
      <c r="M226" s="2335">
        <v>0</v>
      </c>
    </row>
    <row r="227" spans="1:13" ht="15" x14ac:dyDescent="0.25">
      <c r="A227" s="2365"/>
      <c r="B227" s="2330" t="s">
        <v>6932</v>
      </c>
      <c r="C227" s="2337">
        <f t="shared" ref="C227:M227" si="44">SUM(C226)</f>
        <v>65037</v>
      </c>
      <c r="D227" s="2337">
        <f t="shared" si="44"/>
        <v>476000</v>
      </c>
      <c r="E227" s="2337">
        <f t="shared" si="44"/>
        <v>476000</v>
      </c>
      <c r="F227" s="2337">
        <f t="shared" si="44"/>
        <v>476000</v>
      </c>
      <c r="G227" s="2337">
        <f t="shared" si="44"/>
        <v>476000</v>
      </c>
      <c r="H227" s="2337"/>
      <c r="I227" s="2337">
        <f t="shared" si="44"/>
        <v>476000</v>
      </c>
      <c r="J227" s="2337">
        <f>J226</f>
        <v>334007.98</v>
      </c>
      <c r="K227" s="2333">
        <f t="shared" si="41"/>
        <v>334007.98</v>
      </c>
      <c r="L227" s="2337">
        <f t="shared" si="44"/>
        <v>0</v>
      </c>
      <c r="M227" s="2337">
        <f t="shared" si="44"/>
        <v>0</v>
      </c>
    </row>
    <row r="228" spans="1:13" ht="15" x14ac:dyDescent="0.25">
      <c r="A228" s="2365"/>
      <c r="B228" s="2330"/>
      <c r="C228" s="2337"/>
      <c r="D228" s="2337"/>
      <c r="E228" s="2337"/>
      <c r="G228" s="2332"/>
      <c r="H228" s="2332"/>
      <c r="I228" s="2332"/>
      <c r="J228" s="2332">
        <f>J227+[5]Sheet1!$K$149</f>
        <v>0</v>
      </c>
      <c r="K228" s="2333">
        <f t="shared" si="41"/>
        <v>0</v>
      </c>
      <c r="L228" s="2337"/>
      <c r="M228" s="2337"/>
    </row>
    <row r="229" spans="1:13" ht="15.75" thickBot="1" x14ac:dyDescent="0.3">
      <c r="A229" s="2365"/>
      <c r="B229" s="2342" t="s">
        <v>6579</v>
      </c>
      <c r="C229" s="2343">
        <f t="shared" ref="C229:M229" si="45">+C227</f>
        <v>65037</v>
      </c>
      <c r="D229" s="2343">
        <f t="shared" si="45"/>
        <v>476000</v>
      </c>
      <c r="E229" s="2343">
        <f t="shared" si="45"/>
        <v>476000</v>
      </c>
      <c r="F229" s="2343">
        <f t="shared" si="45"/>
        <v>476000</v>
      </c>
      <c r="G229" s="2343">
        <f t="shared" si="45"/>
        <v>476000</v>
      </c>
      <c r="H229" s="2343"/>
      <c r="I229" s="2343">
        <f>+I227</f>
        <v>476000</v>
      </c>
      <c r="J229" s="2343">
        <f>J227</f>
        <v>334007.98</v>
      </c>
      <c r="K229" s="2344">
        <f t="shared" si="41"/>
        <v>334007.98</v>
      </c>
      <c r="L229" s="2343">
        <f t="shared" si="45"/>
        <v>0</v>
      </c>
      <c r="M229" s="2343">
        <f t="shared" si="45"/>
        <v>0</v>
      </c>
    </row>
    <row r="230" spans="1:13" ht="15.75" thickTop="1" x14ac:dyDescent="0.25">
      <c r="A230" s="2365"/>
      <c r="B230" s="2330"/>
      <c r="C230" s="2351"/>
      <c r="D230" s="2351"/>
      <c r="E230" s="2351"/>
      <c r="G230" s="2332"/>
      <c r="H230" s="2332"/>
      <c r="I230" s="2332"/>
      <c r="J230" s="2332">
        <f>J229+[5]Sheet1!$K$149</f>
        <v>0</v>
      </c>
      <c r="K230" s="2333">
        <f t="shared" si="41"/>
        <v>0</v>
      </c>
      <c r="L230" s="2351"/>
      <c r="M230" s="2351"/>
    </row>
    <row r="231" spans="1:13" x14ac:dyDescent="0.2">
      <c r="A231" s="2327"/>
      <c r="B231" s="2328" t="s">
        <v>235</v>
      </c>
      <c r="C231" s="2328"/>
      <c r="D231" s="2328"/>
      <c r="E231" s="2328"/>
      <c r="G231" s="2332"/>
      <c r="H231" s="2332"/>
      <c r="I231" s="2332"/>
      <c r="J231" s="2332"/>
      <c r="K231" s="2333">
        <f t="shared" si="41"/>
        <v>0</v>
      </c>
      <c r="L231" s="2328"/>
      <c r="M231" s="2328"/>
    </row>
    <row r="232" spans="1:13" x14ac:dyDescent="0.2">
      <c r="A232" s="2327"/>
      <c r="B232" s="2328"/>
      <c r="C232" s="2328"/>
      <c r="D232" s="2328"/>
      <c r="E232" s="2328"/>
      <c r="G232" s="2332"/>
      <c r="H232" s="2332"/>
      <c r="I232" s="2332"/>
      <c r="J232" s="2332"/>
      <c r="K232" s="2333">
        <f t="shared" si="41"/>
        <v>0</v>
      </c>
      <c r="L232" s="2328"/>
      <c r="M232" s="2328"/>
    </row>
    <row r="233" spans="1:13" x14ac:dyDescent="0.2">
      <c r="A233" s="2329"/>
      <c r="B233" s="2330" t="s">
        <v>387</v>
      </c>
      <c r="C233" s="2332"/>
      <c r="D233" s="2332"/>
      <c r="E233" s="2332"/>
      <c r="G233" s="2332"/>
      <c r="H233" s="2332"/>
      <c r="I233" s="2332"/>
      <c r="J233" s="2332"/>
      <c r="K233" s="2333">
        <f t="shared" si="41"/>
        <v>0</v>
      </c>
      <c r="L233" s="2332"/>
      <c r="M233" s="2332"/>
    </row>
    <row r="234" spans="1:13" x14ac:dyDescent="0.2">
      <c r="A234" s="2329">
        <v>1001</v>
      </c>
      <c r="B234" s="2258" t="s">
        <v>7011</v>
      </c>
      <c r="C234" s="2332">
        <v>81446</v>
      </c>
      <c r="D234" s="2332">
        <v>359252</v>
      </c>
      <c r="E234" s="2332">
        <f>+D234-80429</f>
        <v>278823</v>
      </c>
      <c r="F234" s="2332">
        <v>298932</v>
      </c>
      <c r="G234" s="2332">
        <f t="shared" ref="G234:G259" si="46">F234/$F$11*$G$11</f>
        <v>358718.4</v>
      </c>
      <c r="H234" s="2332"/>
      <c r="I234" s="2332">
        <f>[6]Salary_Bdgt!$H$63</f>
        <v>358153</v>
      </c>
      <c r="J234" s="2332">
        <f>[5]Sheet1!$K$152</f>
        <v>456148.57999999996</v>
      </c>
      <c r="K234" s="2333">
        <f t="shared" si="41"/>
        <v>456148.57999999996</v>
      </c>
      <c r="L234" s="2332">
        <f t="shared" ref="L234:L240" si="47">ROUND(I234*1.08,0)</f>
        <v>386805</v>
      </c>
      <c r="M234" s="2332">
        <f t="shared" ref="M234:M240" si="48">ROUND(L234*1.08,0)</f>
        <v>417749</v>
      </c>
    </row>
    <row r="235" spans="1:13" x14ac:dyDescent="0.2">
      <c r="A235" s="2329">
        <v>1002</v>
      </c>
      <c r="B235" s="2258" t="s">
        <v>6983</v>
      </c>
      <c r="C235" s="2332">
        <v>0</v>
      </c>
      <c r="D235" s="2332">
        <v>0</v>
      </c>
      <c r="E235" s="2332">
        <v>0</v>
      </c>
      <c r="F235" s="2332">
        <v>0</v>
      </c>
      <c r="G235" s="2332">
        <f t="shared" si="46"/>
        <v>0</v>
      </c>
      <c r="H235" s="2332"/>
      <c r="I235" s="2332">
        <f>[6]Salary_Bdgt!$X$63</f>
        <v>29846</v>
      </c>
      <c r="J235" s="2332">
        <v>0</v>
      </c>
      <c r="K235" s="2333">
        <f t="shared" si="41"/>
        <v>0</v>
      </c>
      <c r="L235" s="2332">
        <f t="shared" si="47"/>
        <v>32234</v>
      </c>
      <c r="M235" s="2332">
        <f t="shared" si="48"/>
        <v>34813</v>
      </c>
    </row>
    <row r="236" spans="1:13" x14ac:dyDescent="0.2">
      <c r="A236" s="2329">
        <v>1005</v>
      </c>
      <c r="B236" s="2258" t="s">
        <v>7012</v>
      </c>
      <c r="C236" s="2332">
        <v>3791</v>
      </c>
      <c r="D236" s="2332">
        <v>0</v>
      </c>
      <c r="E236" s="2332">
        <v>16349</v>
      </c>
      <c r="F236" s="2332">
        <v>17030</v>
      </c>
      <c r="G236" s="2332">
        <f t="shared" si="46"/>
        <v>20436</v>
      </c>
      <c r="H236" s="2332"/>
      <c r="I236" s="2332">
        <f>[6]Salary_Bdgt!$L$63</f>
        <v>20436</v>
      </c>
      <c r="J236" s="2332">
        <f>[5]Sheet1!$K$162</f>
        <v>1961.8599999999997</v>
      </c>
      <c r="K236" s="2333">
        <f t="shared" si="41"/>
        <v>1961.8599999999997</v>
      </c>
      <c r="L236" s="2332">
        <f t="shared" si="47"/>
        <v>22071</v>
      </c>
      <c r="M236" s="2332">
        <f t="shared" si="48"/>
        <v>23837</v>
      </c>
    </row>
    <row r="237" spans="1:13" x14ac:dyDescent="0.2">
      <c r="A237" s="2329">
        <v>1006</v>
      </c>
      <c r="B237" s="2258" t="s">
        <v>7013</v>
      </c>
      <c r="C237" s="2332">
        <v>11000</v>
      </c>
      <c r="D237" s="2332">
        <v>0</v>
      </c>
      <c r="E237" s="2332">
        <v>52800</v>
      </c>
      <c r="F237" s="2332">
        <v>55000</v>
      </c>
      <c r="G237" s="2332">
        <f t="shared" si="46"/>
        <v>66000</v>
      </c>
      <c r="H237" s="2332"/>
      <c r="I237" s="2332">
        <f>[6]Salary_Bdgt!$N$63</f>
        <v>71280</v>
      </c>
      <c r="J237" s="2332">
        <f>[5]Sheet1!$K$163</f>
        <v>16761.28</v>
      </c>
      <c r="K237" s="2333">
        <f t="shared" si="41"/>
        <v>16761.28</v>
      </c>
      <c r="L237" s="2332">
        <f t="shared" si="47"/>
        <v>76982</v>
      </c>
      <c r="M237" s="2332">
        <f t="shared" si="48"/>
        <v>83141</v>
      </c>
    </row>
    <row r="238" spans="1:13" x14ac:dyDescent="0.2">
      <c r="A238" s="2329">
        <v>1007</v>
      </c>
      <c r="B238" s="2258" t="s">
        <v>7014</v>
      </c>
      <c r="C238" s="2332">
        <v>250</v>
      </c>
      <c r="D238" s="2332">
        <v>0</v>
      </c>
      <c r="E238" s="2332">
        <v>1198</v>
      </c>
      <c r="F238" s="2332">
        <v>1248</v>
      </c>
      <c r="G238" s="2332">
        <f t="shared" si="46"/>
        <v>1497.6</v>
      </c>
      <c r="H238" s="2332"/>
      <c r="I238" s="2332">
        <f>[6]Salary_Bdgt!$I$63</f>
        <v>1617</v>
      </c>
      <c r="J238" s="2332">
        <f>[5]Sheet1!$K$164</f>
        <v>1127.5</v>
      </c>
      <c r="K238" s="2333">
        <f t="shared" si="41"/>
        <v>1127.5</v>
      </c>
      <c r="L238" s="2332">
        <f t="shared" si="47"/>
        <v>1746</v>
      </c>
      <c r="M238" s="2332">
        <f t="shared" si="48"/>
        <v>1886</v>
      </c>
    </row>
    <row r="239" spans="1:13" x14ac:dyDescent="0.2">
      <c r="A239" s="2329">
        <v>1009</v>
      </c>
      <c r="B239" s="2258" t="s">
        <v>7015</v>
      </c>
      <c r="C239" s="2332">
        <v>7</v>
      </c>
      <c r="D239" s="2332">
        <v>0</v>
      </c>
      <c r="E239" s="2332">
        <v>36</v>
      </c>
      <c r="F239" s="2332">
        <v>38</v>
      </c>
      <c r="G239" s="2332">
        <f t="shared" si="46"/>
        <v>45.599999999999994</v>
      </c>
      <c r="H239" s="2332"/>
      <c r="I239" s="2332">
        <f>[6]Salary_Bdgt!$M$63</f>
        <v>45</v>
      </c>
      <c r="J239" s="2332">
        <f>[5]Sheet1!$K$159</f>
        <v>57.4</v>
      </c>
      <c r="K239" s="2333">
        <f t="shared" si="41"/>
        <v>57.4</v>
      </c>
      <c r="L239" s="2332">
        <f t="shared" si="47"/>
        <v>49</v>
      </c>
      <c r="M239" s="2332">
        <f t="shared" si="48"/>
        <v>53</v>
      </c>
    </row>
    <row r="240" spans="1:13" x14ac:dyDescent="0.2">
      <c r="A240" s="2329">
        <v>1010</v>
      </c>
      <c r="B240" s="2258" t="s">
        <v>7016</v>
      </c>
      <c r="C240" s="2332">
        <v>0</v>
      </c>
      <c r="D240" s="2332">
        <v>29938</v>
      </c>
      <c r="E240" s="2332">
        <f>+D240</f>
        <v>29938</v>
      </c>
      <c r="F240" s="2332">
        <v>18460</v>
      </c>
      <c r="G240" s="2332">
        <f t="shared" si="46"/>
        <v>22152</v>
      </c>
      <c r="H240" s="2332"/>
      <c r="I240" s="2332">
        <f>[6]Salary_Bdgt!$Q$63</f>
        <v>29846</v>
      </c>
      <c r="J240" s="2332">
        <v>0</v>
      </c>
      <c r="K240" s="2333">
        <f t="shared" si="41"/>
        <v>0</v>
      </c>
      <c r="L240" s="2332">
        <f t="shared" si="47"/>
        <v>32234</v>
      </c>
      <c r="M240" s="2332">
        <f t="shared" si="48"/>
        <v>34813</v>
      </c>
    </row>
    <row r="241" spans="1:13" x14ac:dyDescent="0.2">
      <c r="A241" s="2329">
        <v>1011</v>
      </c>
      <c r="B241" s="2258" t="s">
        <v>7017</v>
      </c>
      <c r="C241" s="2332">
        <v>0</v>
      </c>
      <c r="D241" s="2332">
        <v>0</v>
      </c>
      <c r="E241" s="2332">
        <v>0</v>
      </c>
      <c r="F241" s="2332">
        <v>6956</v>
      </c>
      <c r="G241" s="2332">
        <f t="shared" si="46"/>
        <v>8347.2000000000007</v>
      </c>
      <c r="H241" s="2332"/>
      <c r="I241" s="2332">
        <f>[6]Salary_Bdgt!$U$63</f>
        <v>22537</v>
      </c>
      <c r="J241" s="2332">
        <f>[5]Sheet1!$K$155</f>
        <v>24540.76</v>
      </c>
      <c r="K241" s="2333">
        <f t="shared" si="41"/>
        <v>24540.76</v>
      </c>
      <c r="L241" s="2332"/>
      <c r="M241" s="2332"/>
    </row>
    <row r="242" spans="1:13" x14ac:dyDescent="0.2">
      <c r="A242" s="2329">
        <v>1014</v>
      </c>
      <c r="B242" s="2258" t="s">
        <v>7018</v>
      </c>
      <c r="C242" s="2332">
        <v>5635</v>
      </c>
      <c r="D242" s="2332">
        <v>32280</v>
      </c>
      <c r="E242" s="2332">
        <f>+D242</f>
        <v>32280</v>
      </c>
      <c r="F242" s="2332">
        <v>33472</v>
      </c>
      <c r="G242" s="2332">
        <f t="shared" si="46"/>
        <v>40166.399999999994</v>
      </c>
      <c r="H242" s="2332"/>
      <c r="I242" s="2332">
        <f>[6]Salary_Bdgt!$S$63</f>
        <v>47749</v>
      </c>
      <c r="J242" s="2332">
        <f>[5]Sheet1!$K$156</f>
        <v>4244.32</v>
      </c>
      <c r="K242" s="2333">
        <f t="shared" si="41"/>
        <v>4244.32</v>
      </c>
      <c r="L242" s="2332">
        <f t="shared" ref="L242:L259" si="49">ROUND(I242*1.08,0)</f>
        <v>51569</v>
      </c>
      <c r="M242" s="2332">
        <f t="shared" ref="M242:M259" si="50">ROUND(L242*1.08,0)</f>
        <v>55695</v>
      </c>
    </row>
    <row r="243" spans="1:13" x14ac:dyDescent="0.2">
      <c r="A243" s="2329">
        <v>1016</v>
      </c>
      <c r="B243" s="2258" t="s">
        <v>7019</v>
      </c>
      <c r="C243" s="2332">
        <v>4440</v>
      </c>
      <c r="D243" s="2332">
        <v>29304</v>
      </c>
      <c r="E243" s="2332">
        <f>+D243+10046</f>
        <v>39350</v>
      </c>
      <c r="F243" s="2332">
        <v>20355</v>
      </c>
      <c r="G243" s="2332">
        <f t="shared" si="46"/>
        <v>24426</v>
      </c>
      <c r="H243" s="2332"/>
      <c r="I243" s="2332">
        <f>[6]Salary_Bdgt!$T$63+[6]Salary_Bdgt!$V$63</f>
        <v>0</v>
      </c>
      <c r="J243" s="2332">
        <v>0</v>
      </c>
      <c r="K243" s="2333">
        <f t="shared" si="41"/>
        <v>0</v>
      </c>
      <c r="L243" s="2332">
        <f t="shared" si="49"/>
        <v>0</v>
      </c>
      <c r="M243" s="2332">
        <f t="shared" si="50"/>
        <v>0</v>
      </c>
    </row>
    <row r="244" spans="1:13" x14ac:dyDescent="0.2">
      <c r="A244" s="2329">
        <v>1017</v>
      </c>
      <c r="B244" s="2258" t="s">
        <v>7020</v>
      </c>
      <c r="C244" s="2332">
        <v>289</v>
      </c>
      <c r="D244" s="2332">
        <v>0</v>
      </c>
      <c r="E244" s="2332">
        <v>0</v>
      </c>
      <c r="F244" s="2332">
        <v>2377</v>
      </c>
      <c r="G244" s="2332">
        <f t="shared" si="46"/>
        <v>2852.3999999999996</v>
      </c>
      <c r="H244" s="2332"/>
      <c r="I244" s="2332">
        <f>[6]Salary_Bdgt!$J$63</f>
        <v>8816</v>
      </c>
      <c r="J244" s="2332">
        <f>[5]Sheet1!$K$160</f>
        <v>3151.42</v>
      </c>
      <c r="K244" s="2333">
        <f t="shared" si="41"/>
        <v>3151.42</v>
      </c>
      <c r="L244" s="2332">
        <f t="shared" si="49"/>
        <v>9521</v>
      </c>
      <c r="M244" s="2332">
        <f t="shared" si="50"/>
        <v>10283</v>
      </c>
    </row>
    <row r="245" spans="1:13" x14ac:dyDescent="0.2">
      <c r="A245" s="2329">
        <v>1046</v>
      </c>
      <c r="B245" s="2258" t="s">
        <v>6993</v>
      </c>
      <c r="C245" s="2332">
        <v>11422</v>
      </c>
      <c r="D245" s="2332">
        <v>147985</v>
      </c>
      <c r="E245" s="2332">
        <f>+D245</f>
        <v>147985</v>
      </c>
      <c r="F245" s="2332">
        <v>65216</v>
      </c>
      <c r="G245" s="2332">
        <f t="shared" si="46"/>
        <v>78259.200000000012</v>
      </c>
      <c r="H245" s="2332"/>
      <c r="I245" s="2332">
        <f>[6]Salary_Bdgt!$R$63</f>
        <v>95024</v>
      </c>
      <c r="J245" s="2332">
        <f>[5]Sheet1!$K$158</f>
        <v>8446.58</v>
      </c>
      <c r="K245" s="2333">
        <f t="shared" si="41"/>
        <v>8446.58</v>
      </c>
      <c r="L245" s="2332">
        <f t="shared" si="49"/>
        <v>102626</v>
      </c>
      <c r="M245" s="2332">
        <f t="shared" si="50"/>
        <v>110836</v>
      </c>
    </row>
    <row r="246" spans="1:13" x14ac:dyDescent="0.2">
      <c r="A246" s="2329">
        <v>1182</v>
      </c>
      <c r="B246" s="2258" t="s">
        <v>7021</v>
      </c>
      <c r="C246" s="2332">
        <v>1117</v>
      </c>
      <c r="D246" s="2332">
        <v>0</v>
      </c>
      <c r="E246" s="2332">
        <v>0</v>
      </c>
      <c r="F246" s="2332">
        <v>0</v>
      </c>
      <c r="G246" s="2332">
        <f t="shared" si="46"/>
        <v>0</v>
      </c>
      <c r="H246" s="2332"/>
      <c r="I246" s="2332">
        <f>[6]Salary_Bdgt!$K$63</f>
        <v>8199</v>
      </c>
      <c r="J246" s="2332">
        <f>[5]Sheet1!$K$161</f>
        <v>3241.4</v>
      </c>
      <c r="K246" s="2333">
        <f t="shared" si="41"/>
        <v>3241.4</v>
      </c>
      <c r="L246" s="2332">
        <f t="shared" si="49"/>
        <v>8855</v>
      </c>
      <c r="M246" s="2332">
        <f t="shared" si="50"/>
        <v>9563</v>
      </c>
    </row>
    <row r="247" spans="1:13" x14ac:dyDescent="0.2">
      <c r="A247" s="2329">
        <v>1001</v>
      </c>
      <c r="B247" s="2258" t="s">
        <v>6943</v>
      </c>
      <c r="C247" s="2332">
        <v>0</v>
      </c>
      <c r="D247" s="2332">
        <v>0</v>
      </c>
      <c r="E247" s="2332">
        <v>0</v>
      </c>
      <c r="F247" s="2332">
        <v>0</v>
      </c>
      <c r="G247" s="2332">
        <f t="shared" si="46"/>
        <v>0</v>
      </c>
      <c r="H247" s="2332"/>
      <c r="I247" s="2332">
        <f>[6]Salary_Bdgt!$H$69</f>
        <v>70031</v>
      </c>
      <c r="J247" s="2332">
        <v>0</v>
      </c>
      <c r="K247" s="2333">
        <f t="shared" si="41"/>
        <v>0</v>
      </c>
      <c r="L247" s="2332">
        <f t="shared" si="49"/>
        <v>75633</v>
      </c>
      <c r="M247" s="2332">
        <f t="shared" si="50"/>
        <v>81684</v>
      </c>
    </row>
    <row r="248" spans="1:13" x14ac:dyDescent="0.2">
      <c r="A248" s="2329">
        <v>1005</v>
      </c>
      <c r="B248" s="2258" t="s">
        <v>6944</v>
      </c>
      <c r="C248" s="2332">
        <v>0</v>
      </c>
      <c r="D248" s="2332">
        <v>0</v>
      </c>
      <c r="E248" s="2332">
        <v>0</v>
      </c>
      <c r="F248" s="2332">
        <v>0</v>
      </c>
      <c r="G248" s="2332">
        <f t="shared" si="46"/>
        <v>0</v>
      </c>
      <c r="H248" s="2332"/>
      <c r="I248" s="2332">
        <f>[6]Salary_Bdgt!$L$69</f>
        <v>0</v>
      </c>
      <c r="J248" s="2332">
        <v>0</v>
      </c>
      <c r="K248" s="2333">
        <f t="shared" si="41"/>
        <v>0</v>
      </c>
      <c r="L248" s="2332">
        <f t="shared" si="49"/>
        <v>0</v>
      </c>
      <c r="M248" s="2332">
        <f t="shared" si="50"/>
        <v>0</v>
      </c>
    </row>
    <row r="249" spans="1:13" x14ac:dyDescent="0.2">
      <c r="A249" s="2329">
        <v>1006</v>
      </c>
      <c r="B249" s="2258" t="s">
        <v>6945</v>
      </c>
      <c r="C249" s="2332">
        <v>0</v>
      </c>
      <c r="D249" s="2332">
        <v>0</v>
      </c>
      <c r="E249" s="2332">
        <v>0</v>
      </c>
      <c r="F249" s="2332">
        <v>0</v>
      </c>
      <c r="G249" s="2332">
        <f t="shared" si="46"/>
        <v>0</v>
      </c>
      <c r="H249" s="2332"/>
      <c r="I249" s="2332">
        <f>[6]Salary_Bdgt!$N$69</f>
        <v>0</v>
      </c>
      <c r="J249" s="2332">
        <v>0</v>
      </c>
      <c r="K249" s="2333">
        <f t="shared" si="41"/>
        <v>0</v>
      </c>
      <c r="L249" s="2332">
        <f t="shared" si="49"/>
        <v>0</v>
      </c>
      <c r="M249" s="2332">
        <f t="shared" si="50"/>
        <v>0</v>
      </c>
    </row>
    <row r="250" spans="1:13" x14ac:dyDescent="0.2">
      <c r="A250" s="2329">
        <v>1007</v>
      </c>
      <c r="B250" s="2258" t="s">
        <v>6410</v>
      </c>
      <c r="C250" s="2332">
        <v>0</v>
      </c>
      <c r="D250" s="2332">
        <v>0</v>
      </c>
      <c r="E250" s="2332">
        <v>0</v>
      </c>
      <c r="F250" s="2332">
        <v>0</v>
      </c>
      <c r="G250" s="2332">
        <f t="shared" si="46"/>
        <v>0</v>
      </c>
      <c r="H250" s="2332"/>
      <c r="I250" s="2332">
        <f>[6]Salary_Bdgt!$I$69</f>
        <v>1401</v>
      </c>
      <c r="J250" s="2332">
        <v>0</v>
      </c>
      <c r="K250" s="2333">
        <f t="shared" si="41"/>
        <v>0</v>
      </c>
      <c r="L250" s="2332">
        <f t="shared" si="49"/>
        <v>1513</v>
      </c>
      <c r="M250" s="2332">
        <f t="shared" si="50"/>
        <v>1634</v>
      </c>
    </row>
    <row r="251" spans="1:13" x14ac:dyDescent="0.2">
      <c r="A251" s="2329">
        <v>1009</v>
      </c>
      <c r="B251" s="2258" t="s">
        <v>6408</v>
      </c>
      <c r="C251" s="2332">
        <v>0</v>
      </c>
      <c r="D251" s="2332">
        <v>0</v>
      </c>
      <c r="E251" s="2332">
        <v>0</v>
      </c>
      <c r="F251" s="2332">
        <v>0</v>
      </c>
      <c r="G251" s="2332">
        <f t="shared" si="46"/>
        <v>0</v>
      </c>
      <c r="H251" s="2332"/>
      <c r="I251" s="2332">
        <f>[6]Salary_Bdgt!$M$69</f>
        <v>45</v>
      </c>
      <c r="J251" s="2332">
        <v>0</v>
      </c>
      <c r="K251" s="2333">
        <f t="shared" si="41"/>
        <v>0</v>
      </c>
      <c r="L251" s="2332">
        <f t="shared" si="49"/>
        <v>49</v>
      </c>
      <c r="M251" s="2332">
        <f t="shared" si="50"/>
        <v>53</v>
      </c>
    </row>
    <row r="252" spans="1:13" x14ac:dyDescent="0.2">
      <c r="A252" s="2329">
        <v>1010</v>
      </c>
      <c r="B252" s="2258" t="s">
        <v>6946</v>
      </c>
      <c r="C252" s="2332">
        <v>0</v>
      </c>
      <c r="D252" s="2332">
        <v>0</v>
      </c>
      <c r="E252" s="2332">
        <v>0</v>
      </c>
      <c r="F252" s="2332">
        <v>0</v>
      </c>
      <c r="G252" s="2332">
        <f t="shared" si="46"/>
        <v>0</v>
      </c>
      <c r="H252" s="2332"/>
      <c r="I252" s="2332">
        <f>[6]Salary_Bdgt!$Q$69</f>
        <v>5836</v>
      </c>
      <c r="J252" s="2332">
        <v>0</v>
      </c>
      <c r="K252" s="2333">
        <f t="shared" si="41"/>
        <v>0</v>
      </c>
      <c r="L252" s="2332">
        <f t="shared" si="49"/>
        <v>6303</v>
      </c>
      <c r="M252" s="2332">
        <f t="shared" si="50"/>
        <v>6807</v>
      </c>
    </row>
    <row r="253" spans="1:13" x14ac:dyDescent="0.2">
      <c r="A253" s="2329">
        <v>1011</v>
      </c>
      <c r="B253" s="2258" t="s">
        <v>6947</v>
      </c>
      <c r="C253" s="2332">
        <v>0</v>
      </c>
      <c r="D253" s="2332">
        <v>0</v>
      </c>
      <c r="E253" s="2332">
        <v>0</v>
      </c>
      <c r="F253" s="2332">
        <v>0</v>
      </c>
      <c r="G253" s="2332">
        <f t="shared" si="46"/>
        <v>0</v>
      </c>
      <c r="H253" s="2332"/>
      <c r="I253" s="2332">
        <f>[6]Salary_Bdgt!$U$69</f>
        <v>0</v>
      </c>
      <c r="J253" s="2332">
        <v>0</v>
      </c>
      <c r="K253" s="2333">
        <f t="shared" si="41"/>
        <v>0</v>
      </c>
      <c r="L253" s="2332">
        <f t="shared" si="49"/>
        <v>0</v>
      </c>
      <c r="M253" s="2332">
        <f t="shared" si="50"/>
        <v>0</v>
      </c>
    </row>
    <row r="254" spans="1:13" x14ac:dyDescent="0.2">
      <c r="A254" s="2329">
        <v>1014</v>
      </c>
      <c r="B254" s="2258" t="s">
        <v>6632</v>
      </c>
      <c r="C254" s="2332">
        <v>0</v>
      </c>
      <c r="D254" s="2332">
        <v>0</v>
      </c>
      <c r="E254" s="2332">
        <v>0</v>
      </c>
      <c r="F254" s="2332">
        <v>0</v>
      </c>
      <c r="G254" s="2332">
        <f t="shared" si="46"/>
        <v>0</v>
      </c>
      <c r="H254" s="2332"/>
      <c r="I254" s="2332">
        <f>[6]Salary_Bdgt!$S$69</f>
        <v>0</v>
      </c>
      <c r="J254" s="2332">
        <v>0</v>
      </c>
      <c r="K254" s="2333">
        <f t="shared" si="41"/>
        <v>0</v>
      </c>
      <c r="L254" s="2332">
        <f t="shared" si="49"/>
        <v>0</v>
      </c>
      <c r="M254" s="2332">
        <f t="shared" si="50"/>
        <v>0</v>
      </c>
    </row>
    <row r="255" spans="1:13" x14ac:dyDescent="0.2">
      <c r="A255" s="2329">
        <v>1015</v>
      </c>
      <c r="B255" s="2258" t="s">
        <v>6948</v>
      </c>
      <c r="C255" s="2332">
        <v>0</v>
      </c>
      <c r="D255" s="2332">
        <v>0</v>
      </c>
      <c r="E255" s="2332">
        <v>0</v>
      </c>
      <c r="F255" s="2332">
        <v>0</v>
      </c>
      <c r="G255" s="2332">
        <f t="shared" si="46"/>
        <v>0</v>
      </c>
      <c r="H255" s="2332"/>
      <c r="I255" s="2332">
        <f>[6]Salary_Bdgt!$O$69+[6]Salary_Bdgt!$P$69+[6]Salary_Bdgt!$W$69</f>
        <v>0</v>
      </c>
      <c r="J255" s="2332">
        <v>0</v>
      </c>
      <c r="K255" s="2333">
        <f t="shared" si="41"/>
        <v>0</v>
      </c>
      <c r="L255" s="2332">
        <f t="shared" si="49"/>
        <v>0</v>
      </c>
      <c r="M255" s="2332">
        <f t="shared" si="50"/>
        <v>0</v>
      </c>
    </row>
    <row r="256" spans="1:13" x14ac:dyDescent="0.2">
      <c r="A256" s="2329">
        <v>1016</v>
      </c>
      <c r="B256" s="2258" t="s">
        <v>6949</v>
      </c>
      <c r="C256" s="2332">
        <v>0</v>
      </c>
      <c r="D256" s="2332">
        <v>0</v>
      </c>
      <c r="E256" s="2332">
        <v>0</v>
      </c>
      <c r="F256" s="2332">
        <v>0</v>
      </c>
      <c r="G256" s="2332">
        <f t="shared" si="46"/>
        <v>0</v>
      </c>
      <c r="H256" s="2332"/>
      <c r="I256" s="2332">
        <f>[6]Salary_Bdgt!$T$69+[6]Salary_Bdgt!$V$69</f>
        <v>0</v>
      </c>
      <c r="J256" s="2332">
        <v>0</v>
      </c>
      <c r="K256" s="2333">
        <f t="shared" si="41"/>
        <v>0</v>
      </c>
      <c r="L256" s="2332">
        <f t="shared" si="49"/>
        <v>0</v>
      </c>
      <c r="M256" s="2332">
        <f t="shared" si="50"/>
        <v>0</v>
      </c>
    </row>
    <row r="257" spans="1:13" x14ac:dyDescent="0.2">
      <c r="A257" s="2329">
        <v>1017</v>
      </c>
      <c r="B257" s="2258" t="s">
        <v>6950</v>
      </c>
      <c r="C257" s="2332">
        <v>0</v>
      </c>
      <c r="D257" s="2332">
        <v>0</v>
      </c>
      <c r="E257" s="2332">
        <v>0</v>
      </c>
      <c r="F257" s="2332">
        <v>0</v>
      </c>
      <c r="G257" s="2332">
        <f t="shared" si="46"/>
        <v>0</v>
      </c>
      <c r="H257" s="2332"/>
      <c r="I257" s="2332">
        <f>[6]Salary_Bdgt!$J$69</f>
        <v>1401</v>
      </c>
      <c r="J257" s="2332">
        <v>0</v>
      </c>
      <c r="K257" s="2333">
        <f t="shared" si="41"/>
        <v>0</v>
      </c>
      <c r="L257" s="2332">
        <f t="shared" si="49"/>
        <v>1513</v>
      </c>
      <c r="M257" s="2332">
        <f t="shared" si="50"/>
        <v>1634</v>
      </c>
    </row>
    <row r="258" spans="1:13" x14ac:dyDescent="0.2">
      <c r="A258" s="2329">
        <v>1046</v>
      </c>
      <c r="B258" s="2258" t="s">
        <v>6951</v>
      </c>
      <c r="C258" s="2332">
        <v>0</v>
      </c>
      <c r="D258" s="2332">
        <v>0</v>
      </c>
      <c r="E258" s="2332">
        <v>0</v>
      </c>
      <c r="F258" s="2332">
        <v>0</v>
      </c>
      <c r="G258" s="2332">
        <f t="shared" si="46"/>
        <v>0</v>
      </c>
      <c r="H258" s="2332"/>
      <c r="I258" s="2332">
        <f>[6]Salary_Bdgt!$R$69</f>
        <v>0</v>
      </c>
      <c r="J258" s="2332">
        <v>0</v>
      </c>
      <c r="K258" s="2333">
        <f t="shared" si="41"/>
        <v>0</v>
      </c>
      <c r="L258" s="2332">
        <f t="shared" si="49"/>
        <v>0</v>
      </c>
      <c r="M258" s="2332">
        <f t="shared" si="50"/>
        <v>0</v>
      </c>
    </row>
    <row r="259" spans="1:13" x14ac:dyDescent="0.2">
      <c r="A259" s="2329">
        <v>1182</v>
      </c>
      <c r="B259" s="2334" t="s">
        <v>6952</v>
      </c>
      <c r="C259" s="2335">
        <v>0</v>
      </c>
      <c r="D259" s="2335">
        <v>0</v>
      </c>
      <c r="E259" s="2335">
        <v>0</v>
      </c>
      <c r="F259" s="2335">
        <v>0</v>
      </c>
      <c r="G259" s="2335">
        <f t="shared" si="46"/>
        <v>0</v>
      </c>
      <c r="H259" s="2335"/>
      <c r="I259" s="2335">
        <f>[6]Salary_Bdgt!$K$69</f>
        <v>1303</v>
      </c>
      <c r="J259" s="2335">
        <v>0</v>
      </c>
      <c r="K259" s="2336">
        <f t="shared" si="41"/>
        <v>0</v>
      </c>
      <c r="L259" s="2335">
        <f t="shared" si="49"/>
        <v>1407</v>
      </c>
      <c r="M259" s="2335">
        <f t="shared" si="50"/>
        <v>1520</v>
      </c>
    </row>
    <row r="260" spans="1:13" x14ac:dyDescent="0.2">
      <c r="A260" s="2329"/>
      <c r="B260" s="2330" t="s">
        <v>6588</v>
      </c>
      <c r="C260" s="2349">
        <f t="shared" ref="C260:M260" si="51">SUM(C234:C259)</f>
        <v>119397</v>
      </c>
      <c r="D260" s="2349">
        <f t="shared" si="51"/>
        <v>598759</v>
      </c>
      <c r="E260" s="2349">
        <f t="shared" si="51"/>
        <v>598759</v>
      </c>
      <c r="F260" s="2349">
        <f t="shared" si="51"/>
        <v>519084</v>
      </c>
      <c r="G260" s="2349">
        <f t="shared" si="51"/>
        <v>622900.80000000005</v>
      </c>
      <c r="H260" s="2349"/>
      <c r="I260" s="2349">
        <f>SUM(I234:I259)</f>
        <v>773565</v>
      </c>
      <c r="J260" s="2349">
        <f>SUM(J234:J259)</f>
        <v>519681.10000000003</v>
      </c>
      <c r="K260" s="2333">
        <f t="shared" si="41"/>
        <v>519681.10000000003</v>
      </c>
      <c r="L260" s="2349">
        <f t="shared" si="51"/>
        <v>811110</v>
      </c>
      <c r="M260" s="2349">
        <f t="shared" si="51"/>
        <v>876001</v>
      </c>
    </row>
    <row r="261" spans="1:13" x14ac:dyDescent="0.2">
      <c r="A261" s="2329"/>
      <c r="B261" s="2330"/>
      <c r="C261" s="2349"/>
      <c r="D261" s="2349"/>
      <c r="E261" s="2349"/>
      <c r="G261" s="2332"/>
      <c r="H261" s="2332"/>
      <c r="I261" s="2332"/>
      <c r="J261" s="2332">
        <f>J260-[5]Sheet1!$K$165</f>
        <v>0</v>
      </c>
      <c r="K261" s="2333">
        <f t="shared" si="41"/>
        <v>0</v>
      </c>
      <c r="L261" s="2349"/>
      <c r="M261" s="2349"/>
    </row>
    <row r="262" spans="1:13" x14ac:dyDescent="0.2">
      <c r="A262" s="2329"/>
      <c r="B262" s="2330" t="s">
        <v>6599</v>
      </c>
      <c r="C262" s="2332"/>
      <c r="D262" s="2332"/>
      <c r="E262" s="2332"/>
      <c r="G262" s="2332"/>
      <c r="H262" s="2332"/>
      <c r="I262" s="2332"/>
      <c r="J262" s="2332"/>
      <c r="K262" s="2333">
        <f t="shared" si="41"/>
        <v>0</v>
      </c>
      <c r="L262" s="2332"/>
      <c r="M262" s="2332"/>
    </row>
    <row r="263" spans="1:13" x14ac:dyDescent="0.2">
      <c r="A263" s="2329">
        <v>2113</v>
      </c>
      <c r="B263" s="2258" t="s">
        <v>7007</v>
      </c>
      <c r="C263" s="2332">
        <v>0</v>
      </c>
      <c r="D263" s="2332">
        <v>10500</v>
      </c>
      <c r="E263" s="2332">
        <f>10500</f>
        <v>10500</v>
      </c>
      <c r="F263" s="2332">
        <v>0</v>
      </c>
      <c r="G263" s="2332">
        <f>F263/$F$11*$G$11</f>
        <v>0</v>
      </c>
      <c r="H263" s="2332"/>
      <c r="I263" s="2332">
        <f>ROUND(E263*1.05,0)</f>
        <v>11025</v>
      </c>
      <c r="J263" s="2332">
        <f>[5]Sheet1!$K$168</f>
        <v>842.11999999999989</v>
      </c>
      <c r="K263" s="2333">
        <f t="shared" si="41"/>
        <v>842.11999999999989</v>
      </c>
      <c r="L263" s="2332">
        <f>ROUND(I263*1.06,0)</f>
        <v>11687</v>
      </c>
      <c r="M263" s="2332">
        <f>ROUND(L263*1.06,0)</f>
        <v>12388</v>
      </c>
    </row>
    <row r="264" spans="1:13" x14ac:dyDescent="0.2">
      <c r="A264" s="2329">
        <v>2207</v>
      </c>
      <c r="B264" s="2258" t="s">
        <v>7008</v>
      </c>
      <c r="C264" s="2332">
        <v>17268</v>
      </c>
      <c r="D264" s="2332">
        <v>5250</v>
      </c>
      <c r="E264" s="2332">
        <f>5250</f>
        <v>5250</v>
      </c>
      <c r="F264" s="2332">
        <v>0</v>
      </c>
      <c r="G264" s="2332">
        <f>F264/$F$11*$G$11</f>
        <v>0</v>
      </c>
      <c r="H264" s="2332"/>
      <c r="I264" s="2332">
        <v>0</v>
      </c>
      <c r="J264" s="2332">
        <f>[5]Sheet1!$K$169</f>
        <v>20848.900000000001</v>
      </c>
      <c r="K264" s="2333">
        <f t="shared" si="41"/>
        <v>20848.900000000001</v>
      </c>
      <c r="L264" s="2332">
        <f>ROUND(I264*1.06,0)</f>
        <v>0</v>
      </c>
      <c r="M264" s="2332">
        <f>ROUND(L264*1.06,0)</f>
        <v>0</v>
      </c>
    </row>
    <row r="265" spans="1:13" x14ac:dyDescent="0.2">
      <c r="A265" s="2329">
        <v>2226</v>
      </c>
      <c r="B265" s="2258" t="s">
        <v>6607</v>
      </c>
      <c r="C265" s="2332">
        <v>0</v>
      </c>
      <c r="D265" s="2332">
        <v>5250</v>
      </c>
      <c r="E265" s="2332">
        <f>5250</f>
        <v>5250</v>
      </c>
      <c r="F265" s="2332">
        <v>0</v>
      </c>
      <c r="G265" s="2332">
        <f>F265/$F$11*$G$11</f>
        <v>0</v>
      </c>
      <c r="H265" s="2332"/>
      <c r="I265" s="2332">
        <f>ROUND(E265*1.05,0)</f>
        <v>5513</v>
      </c>
      <c r="J265" s="2332">
        <f>[5]Sheet1!$K$170</f>
        <v>1879.98</v>
      </c>
      <c r="K265" s="2333">
        <f t="shared" si="41"/>
        <v>1879.98</v>
      </c>
      <c r="L265" s="2332">
        <f>ROUND(I265*1.06,0)</f>
        <v>5844</v>
      </c>
      <c r="M265" s="2332">
        <f>ROUND(L265*1.06,0)</f>
        <v>6195</v>
      </c>
    </row>
    <row r="266" spans="1:13" x14ac:dyDescent="0.2">
      <c r="A266" s="2329">
        <v>2231</v>
      </c>
      <c r="B266" s="2258" t="s">
        <v>1779</v>
      </c>
      <c r="C266" s="2332">
        <v>3567</v>
      </c>
      <c r="D266" s="2332">
        <v>5250</v>
      </c>
      <c r="E266" s="2332">
        <v>5250</v>
      </c>
      <c r="F266" s="2332">
        <v>0</v>
      </c>
      <c r="G266" s="2332">
        <f>F266/$F$11*$G$11</f>
        <v>0</v>
      </c>
      <c r="H266" s="2332"/>
      <c r="I266" s="2332">
        <f>ROUND(E266*1.05,0)</f>
        <v>5513</v>
      </c>
      <c r="J266" s="2332">
        <f>[5]Sheet1!$K$171</f>
        <v>12552.64</v>
      </c>
      <c r="K266" s="2333">
        <f t="shared" si="41"/>
        <v>12552.64</v>
      </c>
      <c r="L266" s="2332">
        <f>ROUND(I266*1.06,0)</f>
        <v>5844</v>
      </c>
      <c r="M266" s="2332">
        <f>ROUND(L266*1.06,0)</f>
        <v>6195</v>
      </c>
    </row>
    <row r="267" spans="1:13" x14ac:dyDescent="0.2">
      <c r="A267" s="2329">
        <v>2238</v>
      </c>
      <c r="B267" s="2334" t="s">
        <v>6967</v>
      </c>
      <c r="C267" s="2335">
        <v>28226</v>
      </c>
      <c r="D267" s="2335">
        <v>50000</v>
      </c>
      <c r="E267" s="2335">
        <f>50000+100000</f>
        <v>150000</v>
      </c>
      <c r="F267" s="2335">
        <v>139006</v>
      </c>
      <c r="G267" s="2335">
        <f>F267/$F$11*$G$11</f>
        <v>166807.20000000001</v>
      </c>
      <c r="H267" s="2335"/>
      <c r="I267" s="2335">
        <f>ROUND(E267*1.05,0)</f>
        <v>157500</v>
      </c>
      <c r="J267" s="2335">
        <f>[5]Sheet1!$K$172</f>
        <v>107368.4</v>
      </c>
      <c r="K267" s="2336">
        <f t="shared" si="41"/>
        <v>107368.4</v>
      </c>
      <c r="L267" s="2335">
        <f>ROUND(I267*1.06,0)</f>
        <v>166950</v>
      </c>
      <c r="M267" s="2335">
        <f>ROUND(L267*1.06,0)</f>
        <v>176967</v>
      </c>
    </row>
    <row r="268" spans="1:13" x14ac:dyDescent="0.2">
      <c r="A268" s="2316"/>
      <c r="B268" s="2330" t="s">
        <v>6614</v>
      </c>
      <c r="C268" s="2349">
        <f t="shared" ref="C268:M268" si="52">SUM(C263:C267)</f>
        <v>49061</v>
      </c>
      <c r="D268" s="2349">
        <f t="shared" si="52"/>
        <v>76250</v>
      </c>
      <c r="E268" s="2349">
        <f t="shared" si="52"/>
        <v>176250</v>
      </c>
      <c r="F268" s="2349">
        <f t="shared" si="52"/>
        <v>139006</v>
      </c>
      <c r="G268" s="2349">
        <f t="shared" si="52"/>
        <v>166807.20000000001</v>
      </c>
      <c r="H268" s="2349"/>
      <c r="I268" s="2349">
        <f>SUM(I263:I267)</f>
        <v>179551</v>
      </c>
      <c r="J268" s="2349">
        <f>SUM(J263:J267)</f>
        <v>143492.03999999998</v>
      </c>
      <c r="K268" s="2333">
        <f t="shared" si="41"/>
        <v>143492.03999999998</v>
      </c>
      <c r="L268" s="2349">
        <f t="shared" si="52"/>
        <v>190325</v>
      </c>
      <c r="M268" s="2349">
        <f t="shared" si="52"/>
        <v>201745</v>
      </c>
    </row>
    <row r="269" spans="1:13" x14ac:dyDescent="0.2">
      <c r="A269" s="2329"/>
      <c r="B269" s="2338"/>
      <c r="C269" s="2362"/>
      <c r="D269" s="2362"/>
      <c r="E269" s="2362"/>
      <c r="F269" s="2362"/>
      <c r="G269" s="2362"/>
      <c r="H269" s="2362"/>
      <c r="I269" s="2362"/>
      <c r="J269" s="2362">
        <f>J268-[5]Sheet1!$K$173</f>
        <v>0</v>
      </c>
      <c r="K269" s="2336">
        <f t="shared" si="41"/>
        <v>0</v>
      </c>
      <c r="L269" s="2362"/>
      <c r="M269" s="2362"/>
    </row>
    <row r="270" spans="1:13" x14ac:dyDescent="0.2">
      <c r="A270" s="2341"/>
      <c r="B270" s="2330" t="s">
        <v>6972</v>
      </c>
      <c r="C270" s="2351">
        <f t="shared" ref="C270:M270" si="53">C260+C268</f>
        <v>168458</v>
      </c>
      <c r="D270" s="2351">
        <f t="shared" si="53"/>
        <v>675009</v>
      </c>
      <c r="E270" s="2351">
        <f t="shared" si="53"/>
        <v>775009</v>
      </c>
      <c r="F270" s="2351">
        <f t="shared" si="53"/>
        <v>658090</v>
      </c>
      <c r="G270" s="2351">
        <f t="shared" si="53"/>
        <v>789708</v>
      </c>
      <c r="H270" s="2351"/>
      <c r="I270" s="2351">
        <f>I260+I268</f>
        <v>953116</v>
      </c>
      <c r="J270" s="2351">
        <f>J260+J268</f>
        <v>663173.14</v>
      </c>
      <c r="K270" s="2333">
        <f t="shared" si="41"/>
        <v>663173.14</v>
      </c>
      <c r="L270" s="2351">
        <f t="shared" si="53"/>
        <v>1001435</v>
      </c>
      <c r="M270" s="2351">
        <f t="shared" si="53"/>
        <v>1077746</v>
      </c>
    </row>
    <row r="271" spans="1:13" x14ac:dyDescent="0.2">
      <c r="A271" s="2329"/>
      <c r="B271" s="2330"/>
      <c r="C271" s="2364"/>
      <c r="D271" s="2364"/>
      <c r="E271" s="2364"/>
      <c r="G271" s="2332"/>
      <c r="H271" s="2332"/>
      <c r="I271" s="2332"/>
      <c r="J271" s="2332"/>
      <c r="K271" s="2333">
        <f t="shared" si="41"/>
        <v>0</v>
      </c>
      <c r="L271" s="2364"/>
      <c r="M271" s="2364"/>
    </row>
    <row r="272" spans="1:13" x14ac:dyDescent="0.2">
      <c r="A272" s="2329"/>
      <c r="B272" s="2330" t="s">
        <v>6974</v>
      </c>
      <c r="C272" s="2364"/>
      <c r="D272" s="2364"/>
      <c r="E272" s="2364"/>
      <c r="G272" s="2332"/>
      <c r="H272" s="2332"/>
      <c r="I272" s="2332"/>
      <c r="J272" s="2332"/>
      <c r="K272" s="2333">
        <f t="shared" si="41"/>
        <v>0</v>
      </c>
      <c r="L272" s="2364"/>
      <c r="M272" s="2364"/>
    </row>
    <row r="273" spans="1:13" x14ac:dyDescent="0.2">
      <c r="A273" s="2329">
        <v>4207</v>
      </c>
      <c r="B273" s="2258" t="s">
        <v>6977</v>
      </c>
      <c r="C273" s="2332">
        <v>14484</v>
      </c>
      <c r="D273" s="2332">
        <v>0</v>
      </c>
      <c r="E273" s="2332">
        <v>0</v>
      </c>
      <c r="F273" s="2332">
        <v>0</v>
      </c>
      <c r="G273" s="2332">
        <f>F273/$F$11*$G$11</f>
        <v>0</v>
      </c>
      <c r="H273" s="2332"/>
      <c r="I273" s="2332">
        <f>ROUND(C273*1.08,0)</f>
        <v>15643</v>
      </c>
      <c r="J273" s="2332">
        <f>[5]Sheet1!$K$176</f>
        <v>34267.78</v>
      </c>
      <c r="K273" s="2333">
        <f t="shared" si="41"/>
        <v>34267.78</v>
      </c>
      <c r="L273" s="2332">
        <f>ROUND(I273*1.08,0)</f>
        <v>16894</v>
      </c>
      <c r="M273" s="2332">
        <f>ROUND(L273*1.08,0)</f>
        <v>18246</v>
      </c>
    </row>
    <row r="274" spans="1:13" x14ac:dyDescent="0.2">
      <c r="A274" s="2329">
        <v>4209</v>
      </c>
      <c r="B274" s="2334" t="s">
        <v>7022</v>
      </c>
      <c r="C274" s="2335">
        <v>650</v>
      </c>
      <c r="D274" s="2335">
        <v>0</v>
      </c>
      <c r="E274" s="2335">
        <v>0</v>
      </c>
      <c r="F274" s="2335">
        <v>0</v>
      </c>
      <c r="G274" s="2335">
        <f>F274/$F$11*$G$11</f>
        <v>0</v>
      </c>
      <c r="H274" s="2335"/>
      <c r="I274" s="2335">
        <f>ROUND(C274*1.08,0)</f>
        <v>702</v>
      </c>
      <c r="J274" s="2335">
        <f>[5]Sheet1!$K$177</f>
        <v>240.32</v>
      </c>
      <c r="K274" s="2336">
        <f t="shared" si="41"/>
        <v>240.32</v>
      </c>
      <c r="L274" s="2335">
        <f>ROUND(I274*1.08,0)</f>
        <v>758</v>
      </c>
      <c r="M274" s="2335">
        <f>ROUND(L274*1.08,0)</f>
        <v>819</v>
      </c>
    </row>
    <row r="275" spans="1:13" x14ac:dyDescent="0.2">
      <c r="A275" s="2329"/>
      <c r="B275" s="2330" t="s">
        <v>6979</v>
      </c>
      <c r="C275" s="2349">
        <f t="shared" ref="C275:M275" si="54">SUM(C273:C274)</f>
        <v>15134</v>
      </c>
      <c r="D275" s="2349">
        <f t="shared" si="54"/>
        <v>0</v>
      </c>
      <c r="E275" s="2349">
        <f t="shared" si="54"/>
        <v>0</v>
      </c>
      <c r="F275" s="2349">
        <f t="shared" si="54"/>
        <v>0</v>
      </c>
      <c r="G275" s="2349">
        <f t="shared" si="54"/>
        <v>0</v>
      </c>
      <c r="H275" s="2349"/>
      <c r="I275" s="2349">
        <f>SUM(I273:I274)</f>
        <v>16345</v>
      </c>
      <c r="J275" s="2349">
        <f>J273+J274</f>
        <v>34508.1</v>
      </c>
      <c r="K275" s="2333">
        <f t="shared" si="41"/>
        <v>34508.1</v>
      </c>
      <c r="L275" s="2349">
        <f t="shared" si="54"/>
        <v>17652</v>
      </c>
      <c r="M275" s="2349">
        <f t="shared" si="54"/>
        <v>19065</v>
      </c>
    </row>
    <row r="276" spans="1:13" x14ac:dyDescent="0.2">
      <c r="A276" s="2329"/>
      <c r="B276" s="2330"/>
      <c r="C276" s="2364"/>
      <c r="D276" s="2364"/>
      <c r="E276" s="2364"/>
      <c r="G276" s="2332"/>
      <c r="H276" s="2332"/>
      <c r="I276" s="2332"/>
      <c r="J276" s="2332">
        <f>J275-[5]Sheet1!$K$178</f>
        <v>0</v>
      </c>
      <c r="K276" s="2333">
        <f t="shared" si="41"/>
        <v>0</v>
      </c>
      <c r="L276" s="2364"/>
      <c r="M276" s="2364"/>
    </row>
    <row r="277" spans="1:13" ht="13.5" thickBot="1" x14ac:dyDescent="0.25">
      <c r="A277" s="2341"/>
      <c r="B277" s="2342" t="s">
        <v>6980</v>
      </c>
      <c r="C277" s="2354">
        <f t="shared" ref="C277:M277" si="55">C270+C275</f>
        <v>183592</v>
      </c>
      <c r="D277" s="2354">
        <f t="shared" si="55"/>
        <v>675009</v>
      </c>
      <c r="E277" s="2354">
        <f t="shared" si="55"/>
        <v>775009</v>
      </c>
      <c r="F277" s="2354">
        <f t="shared" si="55"/>
        <v>658090</v>
      </c>
      <c r="G277" s="2354">
        <f t="shared" si="55"/>
        <v>789708</v>
      </c>
      <c r="H277" s="2354"/>
      <c r="I277" s="2354">
        <f>I270+I275</f>
        <v>969461</v>
      </c>
      <c r="J277" s="2354">
        <f>J270+J275</f>
        <v>697681.24</v>
      </c>
      <c r="K277" s="2344">
        <f t="shared" ref="K277:K340" si="56">J277</f>
        <v>697681.24</v>
      </c>
      <c r="L277" s="2354">
        <f t="shared" si="55"/>
        <v>1019087</v>
      </c>
      <c r="M277" s="2354">
        <f t="shared" si="55"/>
        <v>1096811</v>
      </c>
    </row>
    <row r="278" spans="1:13" ht="13.5" thickTop="1" x14ac:dyDescent="0.2">
      <c r="A278" s="2341"/>
      <c r="B278" s="2330"/>
      <c r="C278" s="2349"/>
      <c r="D278" s="2349"/>
      <c r="E278" s="2349"/>
      <c r="F278" s="2349"/>
      <c r="G278" s="2349"/>
      <c r="H278" s="2349"/>
      <c r="I278" s="2349"/>
      <c r="J278" s="2349"/>
      <c r="K278" s="2333">
        <f t="shared" si="56"/>
        <v>0</v>
      </c>
      <c r="L278" s="2349"/>
      <c r="M278" s="2349"/>
    </row>
    <row r="279" spans="1:13" ht="13.5" thickBot="1" x14ac:dyDescent="0.25">
      <c r="A279" s="2345"/>
      <c r="B279" s="2342" t="s">
        <v>6624</v>
      </c>
      <c r="C279" s="2355">
        <f t="shared" ref="C279:M279" si="57">C229-C277</f>
        <v>-118555</v>
      </c>
      <c r="D279" s="2355">
        <f t="shared" si="57"/>
        <v>-199009</v>
      </c>
      <c r="E279" s="2355">
        <f t="shared" si="57"/>
        <v>-299009</v>
      </c>
      <c r="F279" s="2355">
        <f t="shared" si="57"/>
        <v>-182090</v>
      </c>
      <c r="G279" s="2355">
        <f t="shared" si="57"/>
        <v>-313708</v>
      </c>
      <c r="H279" s="2355"/>
      <c r="I279" s="2355">
        <f>I229-I277</f>
        <v>-493461</v>
      </c>
      <c r="J279" s="2355">
        <f>J229-J277</f>
        <v>-363673.26</v>
      </c>
      <c r="K279" s="2344">
        <f t="shared" si="56"/>
        <v>-363673.26</v>
      </c>
      <c r="L279" s="2355">
        <f t="shared" si="57"/>
        <v>-1019087</v>
      </c>
      <c r="M279" s="2355">
        <f t="shared" si="57"/>
        <v>-1096811</v>
      </c>
    </row>
    <row r="280" spans="1:13" ht="13.5" thickTop="1" x14ac:dyDescent="0.2">
      <c r="A280" s="2345"/>
      <c r="B280" s="2330"/>
      <c r="C280" s="2356"/>
      <c r="D280" s="2356"/>
      <c r="E280" s="2356"/>
      <c r="G280" s="2332"/>
      <c r="H280" s="2332"/>
      <c r="I280" s="2332"/>
      <c r="J280" s="2332"/>
      <c r="K280" s="2333">
        <f t="shared" si="56"/>
        <v>0</v>
      </c>
      <c r="L280" s="2356"/>
      <c r="M280" s="2356"/>
    </row>
    <row r="281" spans="1:13" ht="15" x14ac:dyDescent="0.25">
      <c r="A281" s="2365"/>
      <c r="B281" s="2370"/>
      <c r="G281" s="2332"/>
      <c r="H281" s="2332"/>
      <c r="I281" s="2332"/>
      <c r="J281" s="2332"/>
      <c r="K281" s="2333">
        <f t="shared" si="56"/>
        <v>0</v>
      </c>
    </row>
    <row r="282" spans="1:13" ht="15" x14ac:dyDescent="0.25">
      <c r="A282" s="2365">
        <v>1020</v>
      </c>
      <c r="B282" s="2366" t="s">
        <v>7009</v>
      </c>
      <c r="G282" s="2332"/>
      <c r="H282" s="2332"/>
      <c r="I282" s="2332"/>
      <c r="J282" s="2332"/>
      <c r="K282" s="2333">
        <f t="shared" si="56"/>
        <v>0</v>
      </c>
    </row>
    <row r="283" spans="1:13" x14ac:dyDescent="0.2">
      <c r="A283" s="2367">
        <v>1023</v>
      </c>
      <c r="B283" s="2368" t="s">
        <v>7023</v>
      </c>
      <c r="G283" s="2332"/>
      <c r="H283" s="2332"/>
      <c r="I283" s="2332"/>
      <c r="J283" s="2332"/>
      <c r="K283" s="2333">
        <f t="shared" si="56"/>
        <v>0</v>
      </c>
    </row>
    <row r="284" spans="1:13" ht="15" x14ac:dyDescent="0.25">
      <c r="A284" s="2365"/>
      <c r="B284" s="2370"/>
      <c r="G284" s="2332"/>
      <c r="H284" s="2332"/>
      <c r="I284" s="2332"/>
      <c r="J284" s="2332"/>
      <c r="K284" s="2333">
        <f t="shared" si="56"/>
        <v>0</v>
      </c>
    </row>
    <row r="285" spans="1:13" ht="15" x14ac:dyDescent="0.25">
      <c r="A285" s="2365"/>
      <c r="B285" s="2328" t="s">
        <v>247</v>
      </c>
      <c r="C285" s="2328"/>
      <c r="D285" s="2328"/>
      <c r="E285" s="2328"/>
      <c r="G285" s="2332"/>
      <c r="H285" s="2332"/>
      <c r="I285" s="2332"/>
      <c r="J285" s="2332"/>
      <c r="K285" s="2333">
        <f t="shared" si="56"/>
        <v>0</v>
      </c>
      <c r="L285" s="2331"/>
      <c r="M285" s="2331"/>
    </row>
    <row r="286" spans="1:13" ht="15" x14ac:dyDescent="0.25">
      <c r="A286" s="2365"/>
      <c r="B286" s="2328"/>
      <c r="C286" s="2328"/>
      <c r="D286" s="2328"/>
      <c r="E286" s="2328"/>
      <c r="G286" s="2332"/>
      <c r="H286" s="2332"/>
      <c r="I286" s="2332"/>
      <c r="J286" s="2332"/>
      <c r="K286" s="2333">
        <f t="shared" si="56"/>
        <v>0</v>
      </c>
      <c r="L286" s="2331"/>
      <c r="M286" s="2331"/>
    </row>
    <row r="287" spans="1:13" ht="15" x14ac:dyDescent="0.25">
      <c r="A287" s="2365"/>
      <c r="B287" s="2330" t="s">
        <v>6929</v>
      </c>
      <c r="C287" s="2258"/>
      <c r="D287" s="2258"/>
      <c r="E287" s="2258"/>
      <c r="G287" s="2332"/>
      <c r="H287" s="2332"/>
      <c r="I287" s="2332"/>
      <c r="J287" s="2332"/>
      <c r="K287" s="2333">
        <f t="shared" si="56"/>
        <v>0</v>
      </c>
      <c r="L287" s="2331"/>
      <c r="M287" s="2331"/>
    </row>
    <row r="288" spans="1:13" ht="15" x14ac:dyDescent="0.25">
      <c r="A288" s="2365"/>
      <c r="B288" s="2334" t="s">
        <v>6981</v>
      </c>
      <c r="C288" s="2335">
        <v>0</v>
      </c>
      <c r="D288" s="2335">
        <v>476000</v>
      </c>
      <c r="E288" s="2335">
        <v>476000</v>
      </c>
      <c r="F288" s="2335">
        <v>476000</v>
      </c>
      <c r="G288" s="2335">
        <v>476000</v>
      </c>
      <c r="H288" s="2335"/>
      <c r="I288" s="2335">
        <v>476000</v>
      </c>
      <c r="J288" s="2335">
        <f>-[5]Sheet1!$K$620</f>
        <v>290065.21000000002</v>
      </c>
      <c r="K288" s="2336">
        <f t="shared" si="56"/>
        <v>290065.21000000002</v>
      </c>
      <c r="L288" s="2335">
        <v>0</v>
      </c>
      <c r="M288" s="2335">
        <v>0</v>
      </c>
    </row>
    <row r="289" spans="1:13" ht="15" x14ac:dyDescent="0.25">
      <c r="A289" s="2365"/>
      <c r="B289" s="2330" t="s">
        <v>6932</v>
      </c>
      <c r="C289" s="2337">
        <f t="shared" ref="C289:M289" si="58">SUM(C288)</f>
        <v>0</v>
      </c>
      <c r="D289" s="2337">
        <f t="shared" si="58"/>
        <v>476000</v>
      </c>
      <c r="E289" s="2337">
        <f t="shared" si="58"/>
        <v>476000</v>
      </c>
      <c r="F289" s="2337">
        <f t="shared" si="58"/>
        <v>476000</v>
      </c>
      <c r="G289" s="2337">
        <f t="shared" si="58"/>
        <v>476000</v>
      </c>
      <c r="H289" s="2337"/>
      <c r="I289" s="2337">
        <f t="shared" si="58"/>
        <v>476000</v>
      </c>
      <c r="J289" s="2337">
        <f>J288</f>
        <v>290065.21000000002</v>
      </c>
      <c r="K289" s="2333">
        <f t="shared" si="56"/>
        <v>290065.21000000002</v>
      </c>
      <c r="L289" s="2337">
        <f t="shared" si="58"/>
        <v>0</v>
      </c>
      <c r="M289" s="2337">
        <f t="shared" si="58"/>
        <v>0</v>
      </c>
    </row>
    <row r="290" spans="1:13" ht="15" x14ac:dyDescent="0.25">
      <c r="A290" s="2365"/>
      <c r="B290" s="2330"/>
      <c r="C290" s="2337"/>
      <c r="D290" s="2337"/>
      <c r="E290" s="2337"/>
      <c r="G290" s="2332"/>
      <c r="H290" s="2332"/>
      <c r="I290" s="2332"/>
      <c r="J290" s="2332"/>
      <c r="K290" s="2333">
        <f t="shared" si="56"/>
        <v>0</v>
      </c>
      <c r="L290" s="2337"/>
      <c r="M290" s="2337"/>
    </row>
    <row r="291" spans="1:13" ht="15.75" thickBot="1" x14ac:dyDescent="0.3">
      <c r="A291" s="2365"/>
      <c r="B291" s="2342" t="s">
        <v>6579</v>
      </c>
      <c r="C291" s="2343">
        <f t="shared" ref="C291:M291" si="59">+C289</f>
        <v>0</v>
      </c>
      <c r="D291" s="2343">
        <f t="shared" si="59"/>
        <v>476000</v>
      </c>
      <c r="E291" s="2343">
        <f t="shared" si="59"/>
        <v>476000</v>
      </c>
      <c r="F291" s="2343">
        <f t="shared" si="59"/>
        <v>476000</v>
      </c>
      <c r="G291" s="2343">
        <f t="shared" si="59"/>
        <v>476000</v>
      </c>
      <c r="H291" s="2343"/>
      <c r="I291" s="2343">
        <f t="shared" si="59"/>
        <v>476000</v>
      </c>
      <c r="J291" s="2343">
        <f>J289</f>
        <v>290065.21000000002</v>
      </c>
      <c r="K291" s="2344">
        <f t="shared" si="56"/>
        <v>290065.21000000002</v>
      </c>
      <c r="L291" s="2343">
        <f t="shared" si="59"/>
        <v>0</v>
      </c>
      <c r="M291" s="2343">
        <f t="shared" si="59"/>
        <v>0</v>
      </c>
    </row>
    <row r="292" spans="1:13" ht="15.75" thickTop="1" x14ac:dyDescent="0.25">
      <c r="A292" s="2365"/>
      <c r="B292" s="2370"/>
      <c r="G292" s="2332"/>
      <c r="H292" s="2332"/>
      <c r="I292" s="2332"/>
      <c r="J292" s="2332">
        <f>J291+[5]Sheet1!$K$621</f>
        <v>0</v>
      </c>
      <c r="K292" s="2333">
        <f t="shared" si="56"/>
        <v>0</v>
      </c>
    </row>
    <row r="293" spans="1:13" x14ac:dyDescent="0.2">
      <c r="A293" s="2327"/>
      <c r="B293" s="2328" t="s">
        <v>235</v>
      </c>
      <c r="C293" s="2328"/>
      <c r="D293" s="2328"/>
      <c r="E293" s="2328"/>
      <c r="G293" s="2332"/>
      <c r="H293" s="2332"/>
      <c r="I293" s="2332"/>
      <c r="J293" s="2332"/>
      <c r="K293" s="2333">
        <f t="shared" si="56"/>
        <v>0</v>
      </c>
      <c r="L293" s="2328"/>
      <c r="M293" s="2328"/>
    </row>
    <row r="294" spans="1:13" x14ac:dyDescent="0.2">
      <c r="A294" s="2327"/>
      <c r="B294" s="2328"/>
      <c r="C294" s="2328"/>
      <c r="D294" s="2328"/>
      <c r="E294" s="2328"/>
      <c r="G294" s="2332"/>
      <c r="H294" s="2332"/>
      <c r="I294" s="2332"/>
      <c r="J294" s="2332"/>
      <c r="K294" s="2333">
        <f t="shared" si="56"/>
        <v>0</v>
      </c>
      <c r="L294" s="2328"/>
      <c r="M294" s="2328"/>
    </row>
    <row r="295" spans="1:13" x14ac:dyDescent="0.2">
      <c r="A295" s="2329"/>
      <c r="B295" s="2330" t="s">
        <v>387</v>
      </c>
      <c r="C295" s="2332"/>
      <c r="D295" s="2332"/>
      <c r="E295" s="2332"/>
      <c r="G295" s="2332"/>
      <c r="H295" s="2332"/>
      <c r="I295" s="2332"/>
      <c r="J295" s="2332"/>
      <c r="K295" s="2333">
        <f t="shared" si="56"/>
        <v>0</v>
      </c>
      <c r="L295" s="2332"/>
      <c r="M295" s="2332"/>
    </row>
    <row r="296" spans="1:13" x14ac:dyDescent="0.2">
      <c r="A296" s="2329">
        <v>1001</v>
      </c>
      <c r="B296" s="2258" t="s">
        <v>7011</v>
      </c>
      <c r="C296" s="2332">
        <v>92225</v>
      </c>
      <c r="D296" s="2332">
        <f>[7]Sal_RIA!$H$56</f>
        <v>326593</v>
      </c>
      <c r="E296" s="2332">
        <f>+D296</f>
        <v>326593</v>
      </c>
      <c r="F296" s="2332">
        <v>100863</v>
      </c>
      <c r="G296" s="2332">
        <f t="shared" ref="G296:G321" si="60">F296/$F$11*$G$11</f>
        <v>121035.59999999999</v>
      </c>
      <c r="H296" s="2332"/>
      <c r="I296" s="2332">
        <f>[6]Salary_Bdgt!$H$75</f>
        <v>352721</v>
      </c>
      <c r="J296" s="2332">
        <f>[5]Sheet1!$K$624</f>
        <v>131876.26999999999</v>
      </c>
      <c r="K296" s="2333">
        <f t="shared" si="56"/>
        <v>131876.26999999999</v>
      </c>
      <c r="L296" s="2332">
        <f t="shared" ref="L296:L321" si="61">ROUND(I296*1.08,0)</f>
        <v>380939</v>
      </c>
      <c r="M296" s="2332">
        <f t="shared" ref="M296:M321" si="62">ROUND(L296*1.08,0)</f>
        <v>411414</v>
      </c>
    </row>
    <row r="297" spans="1:13" x14ac:dyDescent="0.2">
      <c r="A297" s="2329">
        <v>1002</v>
      </c>
      <c r="B297" s="2258" t="s">
        <v>6983</v>
      </c>
      <c r="C297" s="2332">
        <v>0</v>
      </c>
      <c r="D297" s="2332">
        <v>0</v>
      </c>
      <c r="E297" s="2332">
        <v>0</v>
      </c>
      <c r="F297" s="2332">
        <v>0</v>
      </c>
      <c r="G297" s="2332">
        <f t="shared" si="60"/>
        <v>0</v>
      </c>
      <c r="H297" s="2332"/>
      <c r="I297" s="2332">
        <f>[6]Salary_Bdgt!$X$75</f>
        <v>0</v>
      </c>
      <c r="J297" s="2332"/>
      <c r="K297" s="2333">
        <f t="shared" si="56"/>
        <v>0</v>
      </c>
      <c r="L297" s="2332">
        <f t="shared" si="61"/>
        <v>0</v>
      </c>
      <c r="M297" s="2332">
        <f t="shared" si="62"/>
        <v>0</v>
      </c>
    </row>
    <row r="298" spans="1:13" x14ac:dyDescent="0.2">
      <c r="A298" s="2329">
        <v>1005</v>
      </c>
      <c r="B298" s="2258" t="s">
        <v>7012</v>
      </c>
      <c r="C298" s="2332">
        <v>0</v>
      </c>
      <c r="D298" s="2332">
        <v>0</v>
      </c>
      <c r="E298" s="2332">
        <v>0</v>
      </c>
      <c r="F298" s="2332">
        <v>0</v>
      </c>
      <c r="G298" s="2332">
        <f t="shared" si="60"/>
        <v>0</v>
      </c>
      <c r="H298" s="2332"/>
      <c r="I298" s="2332">
        <f>[6]Salary_Bdgt!$L$75</f>
        <v>0</v>
      </c>
      <c r="J298" s="2332"/>
      <c r="K298" s="2333">
        <f t="shared" si="56"/>
        <v>0</v>
      </c>
      <c r="L298" s="2332">
        <f t="shared" si="61"/>
        <v>0</v>
      </c>
      <c r="M298" s="2332">
        <f t="shared" si="62"/>
        <v>0</v>
      </c>
    </row>
    <row r="299" spans="1:13" x14ac:dyDescent="0.2">
      <c r="A299" s="2329">
        <v>1006</v>
      </c>
      <c r="B299" s="2258" t="s">
        <v>7013</v>
      </c>
      <c r="C299" s="2332">
        <v>0</v>
      </c>
      <c r="D299" s="2332">
        <v>0</v>
      </c>
      <c r="E299" s="2332">
        <v>0</v>
      </c>
      <c r="F299" s="2332">
        <v>0</v>
      </c>
      <c r="G299" s="2332">
        <f t="shared" si="60"/>
        <v>0</v>
      </c>
      <c r="H299" s="2332"/>
      <c r="I299" s="2332">
        <f>[6]Salary_Bdgt!$N$75</f>
        <v>0</v>
      </c>
      <c r="J299" s="2332"/>
      <c r="K299" s="2333">
        <f t="shared" si="56"/>
        <v>0</v>
      </c>
      <c r="L299" s="2332">
        <f t="shared" si="61"/>
        <v>0</v>
      </c>
      <c r="M299" s="2332">
        <f t="shared" si="62"/>
        <v>0</v>
      </c>
    </row>
    <row r="300" spans="1:13" x14ac:dyDescent="0.2">
      <c r="A300" s="2329">
        <v>1007</v>
      </c>
      <c r="B300" s="2258" t="s">
        <v>7014</v>
      </c>
      <c r="C300" s="2332">
        <v>0</v>
      </c>
      <c r="D300" s="2332">
        <v>0</v>
      </c>
      <c r="E300" s="2332">
        <v>0</v>
      </c>
      <c r="F300" s="2332">
        <v>0</v>
      </c>
      <c r="G300" s="2332">
        <f t="shared" si="60"/>
        <v>0</v>
      </c>
      <c r="H300" s="2332"/>
      <c r="I300" s="2332">
        <f>[6]Salary_Bdgt!$I$75</f>
        <v>1617</v>
      </c>
      <c r="J300" s="2332">
        <f>[5]Sheet1!$K$635</f>
        <v>552.39</v>
      </c>
      <c r="K300" s="2333">
        <f t="shared" si="56"/>
        <v>552.39</v>
      </c>
      <c r="L300" s="2332">
        <f t="shared" si="61"/>
        <v>1746</v>
      </c>
      <c r="M300" s="2332">
        <f t="shared" si="62"/>
        <v>1886</v>
      </c>
    </row>
    <row r="301" spans="1:13" x14ac:dyDescent="0.2">
      <c r="A301" s="2329">
        <v>1009</v>
      </c>
      <c r="B301" s="2258" t="s">
        <v>7015</v>
      </c>
      <c r="C301" s="2332">
        <v>0</v>
      </c>
      <c r="D301" s="2332">
        <v>0</v>
      </c>
      <c r="E301" s="2332">
        <v>0</v>
      </c>
      <c r="F301" s="2332">
        <v>0</v>
      </c>
      <c r="G301" s="2332">
        <f t="shared" si="60"/>
        <v>0</v>
      </c>
      <c r="H301" s="2332"/>
      <c r="I301" s="2332">
        <f>[6]Salary_Bdgt!$M$75</f>
        <v>0</v>
      </c>
      <c r="J301" s="2332"/>
      <c r="K301" s="2333">
        <f t="shared" si="56"/>
        <v>0</v>
      </c>
      <c r="L301" s="2332">
        <f t="shared" si="61"/>
        <v>0</v>
      </c>
      <c r="M301" s="2332">
        <f t="shared" si="62"/>
        <v>0</v>
      </c>
    </row>
    <row r="302" spans="1:13" x14ac:dyDescent="0.2">
      <c r="A302" s="2329">
        <v>1010</v>
      </c>
      <c r="B302" s="2258" t="s">
        <v>7016</v>
      </c>
      <c r="C302" s="2332">
        <v>0</v>
      </c>
      <c r="D302" s="2332">
        <v>29938</v>
      </c>
      <c r="E302" s="2332">
        <f>+D302</f>
        <v>29938</v>
      </c>
      <c r="F302" s="2332">
        <v>0</v>
      </c>
      <c r="G302" s="2332">
        <f t="shared" si="60"/>
        <v>0</v>
      </c>
      <c r="H302" s="2332"/>
      <c r="I302" s="2332">
        <f>[6]Salary_Bdgt!$Q$75</f>
        <v>29393</v>
      </c>
      <c r="J302" s="2332">
        <f>[5]Sheet1!$K$625</f>
        <v>10028.68</v>
      </c>
      <c r="K302" s="2333">
        <f t="shared" si="56"/>
        <v>10028.68</v>
      </c>
      <c r="L302" s="2332">
        <f t="shared" si="61"/>
        <v>31744</v>
      </c>
      <c r="M302" s="2332">
        <f t="shared" si="62"/>
        <v>34284</v>
      </c>
    </row>
    <row r="303" spans="1:13" x14ac:dyDescent="0.2">
      <c r="A303" s="2329">
        <v>1011</v>
      </c>
      <c r="B303" s="2258" t="s">
        <v>7017</v>
      </c>
      <c r="C303" s="2332">
        <v>0</v>
      </c>
      <c r="D303" s="2332">
        <v>0</v>
      </c>
      <c r="E303" s="2332">
        <v>0</v>
      </c>
      <c r="F303" s="2332">
        <v>0</v>
      </c>
      <c r="G303" s="2332">
        <f t="shared" si="60"/>
        <v>0</v>
      </c>
      <c r="H303" s="2332"/>
      <c r="I303" s="2332">
        <f>[6]Salary_Bdgt!$U$75</f>
        <v>28771</v>
      </c>
      <c r="J303" s="2332">
        <f>[5]Sheet1!$K$626</f>
        <v>9817.52</v>
      </c>
      <c r="K303" s="2333">
        <f t="shared" si="56"/>
        <v>9817.52</v>
      </c>
      <c r="L303" s="2332">
        <f t="shared" si="61"/>
        <v>31073</v>
      </c>
      <c r="M303" s="2332">
        <f t="shared" si="62"/>
        <v>33559</v>
      </c>
    </row>
    <row r="304" spans="1:13" x14ac:dyDescent="0.2">
      <c r="A304" s="2329">
        <v>1014</v>
      </c>
      <c r="B304" s="2258" t="s">
        <v>7018</v>
      </c>
      <c r="C304" s="2332">
        <v>0</v>
      </c>
      <c r="D304" s="2332">
        <v>32280</v>
      </c>
      <c r="E304" s="2332">
        <f>+D304</f>
        <v>32280</v>
      </c>
      <c r="F304" s="2332">
        <v>0</v>
      </c>
      <c r="G304" s="2332">
        <f t="shared" si="60"/>
        <v>0</v>
      </c>
      <c r="H304" s="2332"/>
      <c r="I304" s="2332">
        <f>[6]Salary_Bdgt!$S$75</f>
        <v>31693</v>
      </c>
      <c r="J304" s="2332">
        <f>[5]Sheet1!$K$627</f>
        <v>10813.22</v>
      </c>
      <c r="K304" s="2333">
        <f t="shared" si="56"/>
        <v>10813.22</v>
      </c>
      <c r="L304" s="2332">
        <f t="shared" si="61"/>
        <v>34228</v>
      </c>
      <c r="M304" s="2332">
        <f t="shared" si="62"/>
        <v>36966</v>
      </c>
    </row>
    <row r="305" spans="1:13" x14ac:dyDescent="0.2">
      <c r="A305" s="2329">
        <v>1016</v>
      </c>
      <c r="B305" s="2258" t="s">
        <v>7019</v>
      </c>
      <c r="C305" s="2332">
        <v>0</v>
      </c>
      <c r="D305" s="2332">
        <v>29304</v>
      </c>
      <c r="E305" s="2332">
        <f>+D305</f>
        <v>29304</v>
      </c>
      <c r="F305" s="2332">
        <v>0</v>
      </c>
      <c r="G305" s="2332">
        <f t="shared" si="60"/>
        <v>0</v>
      </c>
      <c r="H305" s="2332"/>
      <c r="I305" s="2332">
        <f>[6]Salary_Bdgt!$T$75+[6]Salary_Bdgt!$V$75</f>
        <v>0</v>
      </c>
      <c r="J305" s="2332"/>
      <c r="K305" s="2333">
        <f t="shared" si="56"/>
        <v>0</v>
      </c>
      <c r="L305" s="2332">
        <f t="shared" si="61"/>
        <v>0</v>
      </c>
      <c r="M305" s="2332">
        <f t="shared" si="62"/>
        <v>0</v>
      </c>
    </row>
    <row r="306" spans="1:13" x14ac:dyDescent="0.2">
      <c r="A306" s="2329">
        <v>1017</v>
      </c>
      <c r="B306" s="2258" t="s">
        <v>7020</v>
      </c>
      <c r="C306" s="2332">
        <v>0</v>
      </c>
      <c r="D306" s="2332">
        <v>0</v>
      </c>
      <c r="E306" s="2332">
        <v>0</v>
      </c>
      <c r="F306" s="2332">
        <v>0</v>
      </c>
      <c r="G306" s="2332">
        <f t="shared" si="60"/>
        <v>0</v>
      </c>
      <c r="H306" s="2332"/>
      <c r="I306" s="2332">
        <f>[6]Salary_Bdgt!$J$75</f>
        <v>9112</v>
      </c>
      <c r="J306" s="2332">
        <f>[5]Sheet1!$K$631</f>
        <v>3110.16</v>
      </c>
      <c r="K306" s="2333">
        <f t="shared" si="56"/>
        <v>3110.16</v>
      </c>
      <c r="L306" s="2332">
        <f t="shared" si="61"/>
        <v>9841</v>
      </c>
      <c r="M306" s="2332">
        <f t="shared" si="62"/>
        <v>10628</v>
      </c>
    </row>
    <row r="307" spans="1:13" x14ac:dyDescent="0.2">
      <c r="A307" s="2329">
        <v>1046</v>
      </c>
      <c r="B307" s="2258" t="s">
        <v>6993</v>
      </c>
      <c r="C307" s="2332">
        <v>0</v>
      </c>
      <c r="D307" s="2332">
        <v>147985</v>
      </c>
      <c r="E307" s="2332">
        <f>+D307</f>
        <v>147985</v>
      </c>
      <c r="F307" s="2332">
        <v>0</v>
      </c>
      <c r="G307" s="2332">
        <f t="shared" si="60"/>
        <v>0</v>
      </c>
      <c r="H307" s="2332"/>
      <c r="I307" s="2332">
        <f>[6]Salary_Bdgt!$R$75</f>
        <v>145295</v>
      </c>
      <c r="J307" s="2332">
        <f>[5]Sheet1!$K$629</f>
        <v>49580.5</v>
      </c>
      <c r="K307" s="2333">
        <f t="shared" si="56"/>
        <v>49580.5</v>
      </c>
      <c r="L307" s="2332">
        <f t="shared" si="61"/>
        <v>156919</v>
      </c>
      <c r="M307" s="2332">
        <f t="shared" si="62"/>
        <v>169473</v>
      </c>
    </row>
    <row r="308" spans="1:13" x14ac:dyDescent="0.2">
      <c r="A308" s="2329">
        <v>1182</v>
      </c>
      <c r="B308" s="2258" t="s">
        <v>7021</v>
      </c>
      <c r="C308" s="2332">
        <v>997</v>
      </c>
      <c r="D308" s="2332">
        <v>0</v>
      </c>
      <c r="E308" s="2332">
        <v>0</v>
      </c>
      <c r="F308" s="2332">
        <v>0</v>
      </c>
      <c r="G308" s="2332">
        <f t="shared" si="60"/>
        <v>0</v>
      </c>
      <c r="H308" s="2332"/>
      <c r="I308" s="2332">
        <f>[6]Salary_Bdgt!$K$75</f>
        <v>8474</v>
      </c>
      <c r="J308" s="2332">
        <f>[5]Sheet1!$K$632</f>
        <v>2892.58</v>
      </c>
      <c r="K308" s="2333">
        <f t="shared" si="56"/>
        <v>2892.58</v>
      </c>
      <c r="L308" s="2332">
        <f t="shared" si="61"/>
        <v>9152</v>
      </c>
      <c r="M308" s="2332">
        <f t="shared" si="62"/>
        <v>9884</v>
      </c>
    </row>
    <row r="309" spans="1:13" x14ac:dyDescent="0.2">
      <c r="A309" s="2329">
        <v>1001</v>
      </c>
      <c r="B309" s="2258" t="s">
        <v>6943</v>
      </c>
      <c r="C309" s="2332">
        <v>0</v>
      </c>
      <c r="D309" s="2332">
        <v>0</v>
      </c>
      <c r="E309" s="2332">
        <v>0</v>
      </c>
      <c r="F309" s="2332">
        <v>0</v>
      </c>
      <c r="G309" s="2332">
        <f t="shared" si="60"/>
        <v>0</v>
      </c>
      <c r="H309" s="2332"/>
      <c r="I309" s="2332">
        <f>[6]Salary_Bdgt!$H$81</f>
        <v>0</v>
      </c>
      <c r="J309" s="2332"/>
      <c r="K309" s="2333">
        <f t="shared" si="56"/>
        <v>0</v>
      </c>
      <c r="L309" s="2332">
        <f t="shared" si="61"/>
        <v>0</v>
      </c>
      <c r="M309" s="2332">
        <f t="shared" si="62"/>
        <v>0</v>
      </c>
    </row>
    <row r="310" spans="1:13" x14ac:dyDescent="0.2">
      <c r="A310" s="2329">
        <v>1005</v>
      </c>
      <c r="B310" s="2258" t="s">
        <v>6944</v>
      </c>
      <c r="C310" s="2332">
        <v>0</v>
      </c>
      <c r="D310" s="2332">
        <v>0</v>
      </c>
      <c r="E310" s="2332">
        <v>0</v>
      </c>
      <c r="F310" s="2332">
        <v>0</v>
      </c>
      <c r="G310" s="2332">
        <f t="shared" si="60"/>
        <v>0</v>
      </c>
      <c r="H310" s="2332"/>
      <c r="I310" s="2332">
        <f>[6]Salary_Bdgt!$L$81</f>
        <v>0</v>
      </c>
      <c r="J310" s="2332"/>
      <c r="K310" s="2333">
        <f t="shared" si="56"/>
        <v>0</v>
      </c>
      <c r="L310" s="2332">
        <f t="shared" si="61"/>
        <v>0</v>
      </c>
      <c r="M310" s="2332">
        <f t="shared" si="62"/>
        <v>0</v>
      </c>
    </row>
    <row r="311" spans="1:13" x14ac:dyDescent="0.2">
      <c r="A311" s="2329">
        <v>1006</v>
      </c>
      <c r="B311" s="2258" t="s">
        <v>6945</v>
      </c>
      <c r="C311" s="2332">
        <v>0</v>
      </c>
      <c r="D311" s="2332">
        <v>0</v>
      </c>
      <c r="E311" s="2332">
        <v>0</v>
      </c>
      <c r="F311" s="2332">
        <v>0</v>
      </c>
      <c r="G311" s="2332">
        <f t="shared" si="60"/>
        <v>0</v>
      </c>
      <c r="H311" s="2332"/>
      <c r="I311" s="2332">
        <f>[6]Salary_Bdgt!$N$81</f>
        <v>0</v>
      </c>
      <c r="J311" s="2332"/>
      <c r="K311" s="2333">
        <f t="shared" si="56"/>
        <v>0</v>
      </c>
      <c r="L311" s="2332">
        <f t="shared" si="61"/>
        <v>0</v>
      </c>
      <c r="M311" s="2332">
        <f t="shared" si="62"/>
        <v>0</v>
      </c>
    </row>
    <row r="312" spans="1:13" x14ac:dyDescent="0.2">
      <c r="A312" s="2329">
        <v>1007</v>
      </c>
      <c r="B312" s="2258" t="s">
        <v>6410</v>
      </c>
      <c r="C312" s="2332">
        <v>0</v>
      </c>
      <c r="D312" s="2332">
        <v>0</v>
      </c>
      <c r="E312" s="2332">
        <v>0</v>
      </c>
      <c r="F312" s="2332">
        <v>0</v>
      </c>
      <c r="G312" s="2332">
        <f t="shared" si="60"/>
        <v>0</v>
      </c>
      <c r="H312" s="2332"/>
      <c r="I312" s="2332">
        <f>[6]Salary_Bdgt!$I$81</f>
        <v>0</v>
      </c>
      <c r="J312" s="2332"/>
      <c r="K312" s="2333">
        <f t="shared" si="56"/>
        <v>0</v>
      </c>
      <c r="L312" s="2332">
        <f t="shared" si="61"/>
        <v>0</v>
      </c>
      <c r="M312" s="2332">
        <f t="shared" si="62"/>
        <v>0</v>
      </c>
    </row>
    <row r="313" spans="1:13" x14ac:dyDescent="0.2">
      <c r="A313" s="2329">
        <v>1009</v>
      </c>
      <c r="B313" s="2258" t="s">
        <v>6408</v>
      </c>
      <c r="C313" s="2332">
        <v>0</v>
      </c>
      <c r="D313" s="2332">
        <v>0</v>
      </c>
      <c r="E313" s="2332">
        <v>0</v>
      </c>
      <c r="F313" s="2332">
        <v>0</v>
      </c>
      <c r="G313" s="2332">
        <f t="shared" si="60"/>
        <v>0</v>
      </c>
      <c r="H313" s="2332"/>
      <c r="I313" s="2332">
        <f>[6]Salary_Bdgt!$M$81</f>
        <v>0</v>
      </c>
      <c r="J313" s="2332"/>
      <c r="K313" s="2333">
        <f t="shared" si="56"/>
        <v>0</v>
      </c>
      <c r="L313" s="2332">
        <f t="shared" si="61"/>
        <v>0</v>
      </c>
      <c r="M313" s="2332">
        <f t="shared" si="62"/>
        <v>0</v>
      </c>
    </row>
    <row r="314" spans="1:13" x14ac:dyDescent="0.2">
      <c r="A314" s="2329">
        <v>1010</v>
      </c>
      <c r="B314" s="2258" t="s">
        <v>6946</v>
      </c>
      <c r="C314" s="2332">
        <v>0</v>
      </c>
      <c r="D314" s="2332">
        <v>0</v>
      </c>
      <c r="E314" s="2332">
        <v>0</v>
      </c>
      <c r="F314" s="2332">
        <v>0</v>
      </c>
      <c r="G314" s="2332">
        <f t="shared" si="60"/>
        <v>0</v>
      </c>
      <c r="H314" s="2332"/>
      <c r="I314" s="2332">
        <f>[6]Salary_Bdgt!$Q$81</f>
        <v>0</v>
      </c>
      <c r="J314" s="2332"/>
      <c r="K314" s="2333">
        <f t="shared" si="56"/>
        <v>0</v>
      </c>
      <c r="L314" s="2332">
        <f t="shared" si="61"/>
        <v>0</v>
      </c>
      <c r="M314" s="2332">
        <f t="shared" si="62"/>
        <v>0</v>
      </c>
    </row>
    <row r="315" spans="1:13" x14ac:dyDescent="0.2">
      <c r="A315" s="2329">
        <v>1011</v>
      </c>
      <c r="B315" s="2258" t="s">
        <v>6947</v>
      </c>
      <c r="C315" s="2332">
        <v>0</v>
      </c>
      <c r="D315" s="2332">
        <v>0</v>
      </c>
      <c r="E315" s="2332">
        <v>0</v>
      </c>
      <c r="F315" s="2332">
        <v>0</v>
      </c>
      <c r="G315" s="2332">
        <f t="shared" si="60"/>
        <v>0</v>
      </c>
      <c r="H315" s="2332"/>
      <c r="I315" s="2332">
        <f>[6]Salary_Bdgt!$U$81</f>
        <v>0</v>
      </c>
      <c r="J315" s="2332"/>
      <c r="K315" s="2333">
        <f t="shared" si="56"/>
        <v>0</v>
      </c>
      <c r="L315" s="2332">
        <f t="shared" si="61"/>
        <v>0</v>
      </c>
      <c r="M315" s="2332">
        <f t="shared" si="62"/>
        <v>0</v>
      </c>
    </row>
    <row r="316" spans="1:13" x14ac:dyDescent="0.2">
      <c r="A316" s="2329">
        <v>1014</v>
      </c>
      <c r="B316" s="2258" t="s">
        <v>6632</v>
      </c>
      <c r="C316" s="2332">
        <v>0</v>
      </c>
      <c r="D316" s="2332">
        <v>0</v>
      </c>
      <c r="E316" s="2332">
        <v>0</v>
      </c>
      <c r="F316" s="2332">
        <v>0</v>
      </c>
      <c r="G316" s="2332">
        <f t="shared" si="60"/>
        <v>0</v>
      </c>
      <c r="H316" s="2332"/>
      <c r="I316" s="2332">
        <f>[6]Salary_Bdgt!$S$81</f>
        <v>0</v>
      </c>
      <c r="J316" s="2332"/>
      <c r="K316" s="2333">
        <f t="shared" si="56"/>
        <v>0</v>
      </c>
      <c r="L316" s="2332">
        <f t="shared" si="61"/>
        <v>0</v>
      </c>
      <c r="M316" s="2332">
        <f t="shared" si="62"/>
        <v>0</v>
      </c>
    </row>
    <row r="317" spans="1:13" x14ac:dyDescent="0.2">
      <c r="A317" s="2329">
        <v>1015</v>
      </c>
      <c r="B317" s="2258" t="s">
        <v>6948</v>
      </c>
      <c r="C317" s="2332">
        <v>0</v>
      </c>
      <c r="D317" s="2332">
        <v>0</v>
      </c>
      <c r="E317" s="2332">
        <v>0</v>
      </c>
      <c r="F317" s="2332">
        <v>0</v>
      </c>
      <c r="G317" s="2332">
        <f t="shared" si="60"/>
        <v>0</v>
      </c>
      <c r="H317" s="2332"/>
      <c r="I317" s="2332">
        <f>[6]Salary_Bdgt!$O$81+[6]Salary_Bdgt!$P$81+[6]Salary_Bdgt!$W$81</f>
        <v>0</v>
      </c>
      <c r="J317" s="2332"/>
      <c r="K317" s="2333">
        <f t="shared" si="56"/>
        <v>0</v>
      </c>
      <c r="L317" s="2332">
        <f t="shared" si="61"/>
        <v>0</v>
      </c>
      <c r="M317" s="2332">
        <f t="shared" si="62"/>
        <v>0</v>
      </c>
    </row>
    <row r="318" spans="1:13" x14ac:dyDescent="0.2">
      <c r="A318" s="2329">
        <v>1016</v>
      </c>
      <c r="B318" s="2258" t="s">
        <v>6949</v>
      </c>
      <c r="C318" s="2332">
        <v>0</v>
      </c>
      <c r="D318" s="2332">
        <v>0</v>
      </c>
      <c r="E318" s="2332">
        <v>0</v>
      </c>
      <c r="F318" s="2332">
        <v>0</v>
      </c>
      <c r="G318" s="2332">
        <f t="shared" si="60"/>
        <v>0</v>
      </c>
      <c r="H318" s="2332"/>
      <c r="I318" s="2332">
        <f>[6]Salary_Bdgt!$T$81+[6]Salary_Bdgt!$V$81</f>
        <v>0</v>
      </c>
      <c r="J318" s="2332"/>
      <c r="K318" s="2333">
        <f t="shared" si="56"/>
        <v>0</v>
      </c>
      <c r="L318" s="2332">
        <f t="shared" si="61"/>
        <v>0</v>
      </c>
      <c r="M318" s="2332">
        <f t="shared" si="62"/>
        <v>0</v>
      </c>
    </row>
    <row r="319" spans="1:13" x14ac:dyDescent="0.2">
      <c r="A319" s="2329">
        <v>1017</v>
      </c>
      <c r="B319" s="2258" t="s">
        <v>6950</v>
      </c>
      <c r="C319" s="2332">
        <v>0</v>
      </c>
      <c r="D319" s="2332">
        <v>0</v>
      </c>
      <c r="E319" s="2332">
        <v>0</v>
      </c>
      <c r="F319" s="2332">
        <v>0</v>
      </c>
      <c r="G319" s="2332">
        <f t="shared" si="60"/>
        <v>0</v>
      </c>
      <c r="H319" s="2332"/>
      <c r="I319" s="2332">
        <f>[6]Salary_Bdgt!$J$81</f>
        <v>0</v>
      </c>
      <c r="J319" s="2332"/>
      <c r="K319" s="2333">
        <f t="shared" si="56"/>
        <v>0</v>
      </c>
      <c r="L319" s="2332">
        <f t="shared" si="61"/>
        <v>0</v>
      </c>
      <c r="M319" s="2332">
        <f t="shared" si="62"/>
        <v>0</v>
      </c>
    </row>
    <row r="320" spans="1:13" x14ac:dyDescent="0.2">
      <c r="A320" s="2329">
        <v>1046</v>
      </c>
      <c r="B320" s="2258" t="s">
        <v>6951</v>
      </c>
      <c r="C320" s="2332">
        <v>0</v>
      </c>
      <c r="D320" s="2332">
        <v>0</v>
      </c>
      <c r="E320" s="2332">
        <v>0</v>
      </c>
      <c r="F320" s="2332">
        <v>0</v>
      </c>
      <c r="G320" s="2332">
        <f t="shared" si="60"/>
        <v>0</v>
      </c>
      <c r="H320" s="2332"/>
      <c r="I320" s="2332">
        <f>[6]Salary_Bdgt!$R$81</f>
        <v>0</v>
      </c>
      <c r="J320" s="2332"/>
      <c r="K320" s="2333">
        <f t="shared" si="56"/>
        <v>0</v>
      </c>
      <c r="L320" s="2332">
        <f t="shared" si="61"/>
        <v>0</v>
      </c>
      <c r="M320" s="2332">
        <f t="shared" si="62"/>
        <v>0</v>
      </c>
    </row>
    <row r="321" spans="1:13" x14ac:dyDescent="0.2">
      <c r="A321" s="2329">
        <v>1182</v>
      </c>
      <c r="B321" s="2334" t="s">
        <v>6952</v>
      </c>
      <c r="C321" s="2335">
        <v>0</v>
      </c>
      <c r="D321" s="2335">
        <v>0</v>
      </c>
      <c r="E321" s="2335">
        <v>0</v>
      </c>
      <c r="F321" s="2335">
        <v>0</v>
      </c>
      <c r="G321" s="2335">
        <f t="shared" si="60"/>
        <v>0</v>
      </c>
      <c r="H321" s="2335"/>
      <c r="I321" s="2335">
        <f>[6]Salary_Bdgt!$K$81</f>
        <v>0</v>
      </c>
      <c r="J321" s="2335"/>
      <c r="K321" s="2336">
        <f t="shared" si="56"/>
        <v>0</v>
      </c>
      <c r="L321" s="2335">
        <f t="shared" si="61"/>
        <v>0</v>
      </c>
      <c r="M321" s="2335">
        <f t="shared" si="62"/>
        <v>0</v>
      </c>
    </row>
    <row r="322" spans="1:13" x14ac:dyDescent="0.2">
      <c r="A322" s="2329"/>
      <c r="B322" s="2330" t="s">
        <v>6588</v>
      </c>
      <c r="C322" s="2349">
        <f t="shared" ref="C322:M322" si="63">SUM(C296:C321)</f>
        <v>93222</v>
      </c>
      <c r="D322" s="2349">
        <f t="shared" si="63"/>
        <v>566100</v>
      </c>
      <c r="E322" s="2349">
        <f t="shared" si="63"/>
        <v>566100</v>
      </c>
      <c r="F322" s="2349">
        <f t="shared" si="63"/>
        <v>100863</v>
      </c>
      <c r="G322" s="2349">
        <f t="shared" si="63"/>
        <v>121035.59999999999</v>
      </c>
      <c r="H322" s="2349"/>
      <c r="I322" s="2349">
        <f>SUM(I296:I321)</f>
        <v>607076</v>
      </c>
      <c r="J322" s="2349">
        <f>SUM(J296:J321)</f>
        <v>218671.31999999998</v>
      </c>
      <c r="K322" s="2333">
        <f t="shared" si="56"/>
        <v>218671.31999999998</v>
      </c>
      <c r="L322" s="2349">
        <f t="shared" si="63"/>
        <v>655642</v>
      </c>
      <c r="M322" s="2349">
        <f t="shared" si="63"/>
        <v>708094</v>
      </c>
    </row>
    <row r="323" spans="1:13" x14ac:dyDescent="0.2">
      <c r="A323" s="2329"/>
      <c r="B323" s="2330"/>
      <c r="C323" s="2349"/>
      <c r="D323" s="2349"/>
      <c r="E323" s="2349"/>
      <c r="F323" s="2309"/>
      <c r="G323" s="2332"/>
      <c r="H323" s="2332"/>
      <c r="I323" s="2332"/>
      <c r="J323" s="2332">
        <f>J322-[5]Sheet1!$K$636</f>
        <v>0</v>
      </c>
      <c r="K323" s="2333">
        <f t="shared" si="56"/>
        <v>0</v>
      </c>
      <c r="L323" s="2349"/>
      <c r="M323" s="2349"/>
    </row>
    <row r="324" spans="1:13" x14ac:dyDescent="0.2">
      <c r="A324" s="2329"/>
      <c r="B324" s="2330" t="s">
        <v>6599</v>
      </c>
      <c r="C324" s="2332"/>
      <c r="D324" s="2332"/>
      <c r="E324" s="2332"/>
      <c r="F324" s="2309"/>
      <c r="G324" s="2332"/>
      <c r="H324" s="2332"/>
      <c r="I324" s="2332"/>
      <c r="J324" s="2332"/>
      <c r="K324" s="2333">
        <f t="shared" si="56"/>
        <v>0</v>
      </c>
      <c r="L324" s="2332"/>
      <c r="M324" s="2332"/>
    </row>
    <row r="325" spans="1:13" x14ac:dyDescent="0.2">
      <c r="A325" s="2329">
        <v>2113</v>
      </c>
      <c r="B325" s="2258" t="s">
        <v>7007</v>
      </c>
      <c r="C325" s="2332">
        <v>0</v>
      </c>
      <c r="D325" s="2332">
        <v>10500</v>
      </c>
      <c r="E325" s="2332">
        <f>10500</f>
        <v>10500</v>
      </c>
      <c r="F325" s="2332">
        <v>0</v>
      </c>
      <c r="G325" s="2332">
        <f>F325/$F$11*$G$11</f>
        <v>0</v>
      </c>
      <c r="H325" s="2332"/>
      <c r="I325" s="2332">
        <f>ROUND(E325*1.05,0)</f>
        <v>11025</v>
      </c>
      <c r="J325" s="2332">
        <f>[5]Sheet1!$K$639</f>
        <v>22195.8</v>
      </c>
      <c r="K325" s="2333">
        <f t="shared" si="56"/>
        <v>22195.8</v>
      </c>
      <c r="L325" s="2332">
        <f>ROUND(I325*1.06,0)</f>
        <v>11687</v>
      </c>
      <c r="M325" s="2332">
        <f>ROUND(L325*1.06,0)</f>
        <v>12388</v>
      </c>
    </row>
    <row r="326" spans="1:13" x14ac:dyDescent="0.2">
      <c r="A326" s="2329">
        <v>2207</v>
      </c>
      <c r="B326" s="2258" t="s">
        <v>7008</v>
      </c>
      <c r="C326" s="2332">
        <v>0</v>
      </c>
      <c r="D326" s="2332">
        <v>5250</v>
      </c>
      <c r="E326" s="2332">
        <f>5250</f>
        <v>5250</v>
      </c>
      <c r="F326" s="2332">
        <v>0</v>
      </c>
      <c r="G326" s="2332">
        <f>F326/$F$11*$G$11</f>
        <v>0</v>
      </c>
      <c r="H326" s="2332"/>
      <c r="I326" s="2332">
        <v>0</v>
      </c>
      <c r="J326" s="2332">
        <v>0</v>
      </c>
      <c r="K326" s="2333">
        <f t="shared" si="56"/>
        <v>0</v>
      </c>
      <c r="L326" s="2332">
        <f>ROUND(I326*1.06,0)</f>
        <v>0</v>
      </c>
      <c r="M326" s="2332">
        <f>ROUND(L326*1.06,0)</f>
        <v>0</v>
      </c>
    </row>
    <row r="327" spans="1:13" x14ac:dyDescent="0.2">
      <c r="A327" s="2329">
        <v>2226</v>
      </c>
      <c r="B327" s="2258" t="s">
        <v>6607</v>
      </c>
      <c r="C327" s="2332">
        <v>0</v>
      </c>
      <c r="D327" s="2332">
        <v>5250</v>
      </c>
      <c r="E327" s="2332">
        <f>5250</f>
        <v>5250</v>
      </c>
      <c r="F327" s="2332">
        <v>0</v>
      </c>
      <c r="G327" s="2332">
        <f>F327/$F$11*$G$11</f>
        <v>0</v>
      </c>
      <c r="H327" s="2332"/>
      <c r="I327" s="2332">
        <f>ROUND(E327*1.05,0)</f>
        <v>5513</v>
      </c>
      <c r="J327" s="2332">
        <f>[5]Sheet1!$K$641</f>
        <v>1879.98</v>
      </c>
      <c r="K327" s="2333">
        <f t="shared" si="56"/>
        <v>1879.98</v>
      </c>
      <c r="L327" s="2332">
        <f>ROUND(I327*1.06,0)</f>
        <v>5844</v>
      </c>
      <c r="M327" s="2332">
        <f>ROUND(L327*1.06,0)</f>
        <v>6195</v>
      </c>
    </row>
    <row r="328" spans="1:13" x14ac:dyDescent="0.2">
      <c r="A328" s="2329">
        <v>2231</v>
      </c>
      <c r="B328" s="2258" t="s">
        <v>1779</v>
      </c>
      <c r="C328" s="2332">
        <v>3576</v>
      </c>
      <c r="D328" s="2332">
        <v>5250</v>
      </c>
      <c r="E328" s="2332">
        <v>5250</v>
      </c>
      <c r="F328" s="2332">
        <v>0</v>
      </c>
      <c r="G328" s="2332">
        <f>F328/$F$11*$G$11</f>
        <v>0</v>
      </c>
      <c r="H328" s="2332"/>
      <c r="I328" s="2332">
        <f>ROUND(E328*1.05,0)</f>
        <v>5513</v>
      </c>
      <c r="J328" s="2332">
        <f>[5]Sheet1!$K$642</f>
        <v>7368.42</v>
      </c>
      <c r="K328" s="2333">
        <f t="shared" si="56"/>
        <v>7368.42</v>
      </c>
      <c r="L328" s="2332">
        <f>ROUND(I328*1.06,0)</f>
        <v>5844</v>
      </c>
      <c r="M328" s="2332">
        <f>ROUND(L328*1.06,0)</f>
        <v>6195</v>
      </c>
    </row>
    <row r="329" spans="1:13" x14ac:dyDescent="0.2">
      <c r="A329" s="2329">
        <v>2238</v>
      </c>
      <c r="B329" s="2334" t="s">
        <v>6967</v>
      </c>
      <c r="C329" s="2335">
        <v>37056</v>
      </c>
      <c r="D329" s="2335">
        <v>50000</v>
      </c>
      <c r="E329" s="2335">
        <f>50000+50000</f>
        <v>100000</v>
      </c>
      <c r="F329" s="2335">
        <v>73654</v>
      </c>
      <c r="G329" s="2335">
        <f>F329/$F$11*$G$11</f>
        <v>88384.799999999988</v>
      </c>
      <c r="H329" s="2335"/>
      <c r="I329" s="2335">
        <f>ROUND(E329*1.05,0)</f>
        <v>105000</v>
      </c>
      <c r="J329" s="2335">
        <f>[5]Sheet1!$K$643</f>
        <v>46506.96</v>
      </c>
      <c r="K329" s="2336">
        <f t="shared" si="56"/>
        <v>46506.96</v>
      </c>
      <c r="L329" s="2335">
        <f>ROUND(I329*1.06,0)</f>
        <v>111300</v>
      </c>
      <c r="M329" s="2335">
        <f>ROUND(L329*1.06,0)</f>
        <v>117978</v>
      </c>
    </row>
    <row r="330" spans="1:13" x14ac:dyDescent="0.2">
      <c r="A330" s="2316"/>
      <c r="B330" s="2330" t="s">
        <v>6614</v>
      </c>
      <c r="C330" s="2349">
        <f t="shared" ref="C330:M330" si="64">SUM(C325:C329)</f>
        <v>40632</v>
      </c>
      <c r="D330" s="2349">
        <f t="shared" si="64"/>
        <v>76250</v>
      </c>
      <c r="E330" s="2349">
        <f t="shared" si="64"/>
        <v>126250</v>
      </c>
      <c r="F330" s="2349">
        <f t="shared" si="64"/>
        <v>73654</v>
      </c>
      <c r="G330" s="2349">
        <f t="shared" si="64"/>
        <v>88384.799999999988</v>
      </c>
      <c r="H330" s="2349"/>
      <c r="I330" s="2349">
        <f>SUM(I325:I329)</f>
        <v>127051</v>
      </c>
      <c r="J330" s="2349">
        <f>SUM(J325:J329)</f>
        <v>77951.16</v>
      </c>
      <c r="K330" s="2333">
        <f t="shared" si="56"/>
        <v>77951.16</v>
      </c>
      <c r="L330" s="2349">
        <f t="shared" si="64"/>
        <v>134675</v>
      </c>
      <c r="M330" s="2349">
        <f t="shared" si="64"/>
        <v>142756</v>
      </c>
    </row>
    <row r="331" spans="1:13" x14ac:dyDescent="0.2">
      <c r="A331" s="2329"/>
      <c r="B331" s="2338"/>
      <c r="C331" s="2362"/>
      <c r="D331" s="2362"/>
      <c r="E331" s="2362"/>
      <c r="F331" s="2362"/>
      <c r="G331" s="2362"/>
      <c r="H331" s="2362"/>
      <c r="I331" s="2362"/>
      <c r="J331" s="2362">
        <f>J330-[5]Sheet1!$K$644</f>
        <v>0</v>
      </c>
      <c r="K331" s="2336">
        <f t="shared" si="56"/>
        <v>0</v>
      </c>
      <c r="L331" s="2362"/>
      <c r="M331" s="2362"/>
    </row>
    <row r="332" spans="1:13" x14ac:dyDescent="0.2">
      <c r="A332" s="2341"/>
      <c r="B332" s="2330" t="s">
        <v>6972</v>
      </c>
      <c r="C332" s="2351">
        <f t="shared" ref="C332:M332" si="65">C322+C330</f>
        <v>133854</v>
      </c>
      <c r="D332" s="2351">
        <f t="shared" si="65"/>
        <v>642350</v>
      </c>
      <c r="E332" s="2351">
        <f t="shared" si="65"/>
        <v>692350</v>
      </c>
      <c r="F332" s="2351">
        <f t="shared" si="65"/>
        <v>174517</v>
      </c>
      <c r="G332" s="2351">
        <f t="shared" si="65"/>
        <v>209420.39999999997</v>
      </c>
      <c r="H332" s="2351"/>
      <c r="I332" s="2351">
        <f>I322+I330</f>
        <v>734127</v>
      </c>
      <c r="J332" s="2351">
        <f>J322+J330</f>
        <v>296622.48</v>
      </c>
      <c r="K332" s="2333">
        <f t="shared" si="56"/>
        <v>296622.48</v>
      </c>
      <c r="L332" s="2351">
        <f t="shared" si="65"/>
        <v>790317</v>
      </c>
      <c r="M332" s="2351">
        <f t="shared" si="65"/>
        <v>850850</v>
      </c>
    </row>
    <row r="333" spans="1:13" x14ac:dyDescent="0.2">
      <c r="A333" s="2329"/>
      <c r="B333" s="2330"/>
      <c r="C333" s="2364"/>
      <c r="D333" s="2364"/>
      <c r="E333" s="2364"/>
      <c r="F333" s="2364"/>
      <c r="G333" s="2364"/>
      <c r="H333" s="2364"/>
      <c r="I333" s="2364"/>
      <c r="J333" s="2364"/>
      <c r="K333" s="2333">
        <f t="shared" si="56"/>
        <v>0</v>
      </c>
      <c r="L333" s="2364"/>
      <c r="M333" s="2364"/>
    </row>
    <row r="334" spans="1:13" ht="13.5" thickBot="1" x14ac:dyDescent="0.25">
      <c r="A334" s="2341"/>
      <c r="B334" s="2342" t="s">
        <v>6623</v>
      </c>
      <c r="C334" s="2354">
        <f t="shared" ref="C334:M334" si="66">C332</f>
        <v>133854</v>
      </c>
      <c r="D334" s="2354">
        <f t="shared" si="66"/>
        <v>642350</v>
      </c>
      <c r="E334" s="2354">
        <f t="shared" si="66"/>
        <v>692350</v>
      </c>
      <c r="F334" s="2354">
        <f t="shared" si="66"/>
        <v>174517</v>
      </c>
      <c r="G334" s="2354">
        <f t="shared" si="66"/>
        <v>209420.39999999997</v>
      </c>
      <c r="H334" s="2354"/>
      <c r="I334" s="2354">
        <f>I332</f>
        <v>734127</v>
      </c>
      <c r="J334" s="2354">
        <f>J332</f>
        <v>296622.48</v>
      </c>
      <c r="K334" s="2344">
        <f t="shared" si="56"/>
        <v>296622.48</v>
      </c>
      <c r="L334" s="2354">
        <f t="shared" si="66"/>
        <v>790317</v>
      </c>
      <c r="M334" s="2354">
        <f t="shared" si="66"/>
        <v>850850</v>
      </c>
    </row>
    <row r="335" spans="1:13" ht="13.5" thickTop="1" x14ac:dyDescent="0.2">
      <c r="A335" s="2341"/>
      <c r="B335" s="2330"/>
      <c r="C335" s="2349"/>
      <c r="D335" s="2349"/>
      <c r="E335" s="2349"/>
      <c r="F335" s="2349"/>
      <c r="G335" s="2349"/>
      <c r="H335" s="2349"/>
      <c r="I335" s="2349"/>
      <c r="J335" s="2349"/>
      <c r="K335" s="2333">
        <f t="shared" si="56"/>
        <v>0</v>
      </c>
      <c r="L335" s="2349"/>
      <c r="M335" s="2349"/>
    </row>
    <row r="336" spans="1:13" ht="13.5" thickBot="1" x14ac:dyDescent="0.25">
      <c r="A336" s="2345"/>
      <c r="B336" s="2342" t="s">
        <v>6624</v>
      </c>
      <c r="C336" s="2355">
        <f t="shared" ref="C336:M336" si="67">C291-C334</f>
        <v>-133854</v>
      </c>
      <c r="D336" s="2355">
        <f t="shared" si="67"/>
        <v>-166350</v>
      </c>
      <c r="E336" s="2355">
        <f t="shared" si="67"/>
        <v>-216350</v>
      </c>
      <c r="F336" s="2355">
        <f t="shared" si="67"/>
        <v>301483</v>
      </c>
      <c r="G336" s="2355">
        <f t="shared" si="67"/>
        <v>266579.60000000003</v>
      </c>
      <c r="H336" s="2355"/>
      <c r="I336" s="2355">
        <f>I291-I334</f>
        <v>-258127</v>
      </c>
      <c r="J336" s="2355">
        <f>J291-J334</f>
        <v>-6557.2699999999604</v>
      </c>
      <c r="K336" s="2344">
        <f t="shared" si="56"/>
        <v>-6557.2699999999604</v>
      </c>
      <c r="L336" s="2355">
        <f t="shared" si="67"/>
        <v>-790317</v>
      </c>
      <c r="M336" s="2355">
        <f t="shared" si="67"/>
        <v>-850850</v>
      </c>
    </row>
    <row r="337" spans="1:13" ht="13.5" thickTop="1" x14ac:dyDescent="0.2">
      <c r="A337" s="2345"/>
      <c r="B337" s="2330"/>
      <c r="C337" s="2356"/>
      <c r="D337" s="2356"/>
      <c r="E337" s="2356"/>
      <c r="F337" s="2309"/>
      <c r="G337" s="2332"/>
      <c r="H337" s="2332"/>
      <c r="I337" s="2332"/>
      <c r="J337" s="2332"/>
      <c r="K337" s="2333">
        <f t="shared" si="56"/>
        <v>0</v>
      </c>
      <c r="L337" s="2356"/>
      <c r="M337" s="2356"/>
    </row>
    <row r="338" spans="1:13" x14ac:dyDescent="0.2">
      <c r="A338" s="2345"/>
      <c r="B338" s="2330"/>
      <c r="C338" s="2356"/>
      <c r="D338" s="2356"/>
      <c r="E338" s="2356"/>
      <c r="F338" s="2309"/>
      <c r="G338" s="2332"/>
      <c r="H338" s="2332"/>
      <c r="I338" s="2332"/>
      <c r="J338" s="2332"/>
      <c r="K338" s="2333">
        <f t="shared" si="56"/>
        <v>0</v>
      </c>
      <c r="L338" s="2356"/>
      <c r="M338" s="2356"/>
    </row>
    <row r="339" spans="1:13" ht="15" x14ac:dyDescent="0.25">
      <c r="A339" s="2365">
        <v>1020</v>
      </c>
      <c r="B339" s="2366" t="s">
        <v>7009</v>
      </c>
      <c r="G339" s="2332"/>
      <c r="H339" s="2332"/>
      <c r="I339" s="2332"/>
      <c r="J339" s="2332"/>
      <c r="K339" s="2333">
        <f t="shared" si="56"/>
        <v>0</v>
      </c>
    </row>
    <row r="340" spans="1:13" x14ac:dyDescent="0.2">
      <c r="A340" s="2367">
        <v>1024</v>
      </c>
      <c r="B340" s="2368" t="s">
        <v>7024</v>
      </c>
      <c r="C340" s="2356"/>
      <c r="D340" s="2356"/>
      <c r="E340" s="2356"/>
      <c r="G340" s="2332"/>
      <c r="H340" s="2332"/>
      <c r="I340" s="2332"/>
      <c r="J340" s="2332"/>
      <c r="K340" s="2333">
        <f t="shared" si="56"/>
        <v>0</v>
      </c>
      <c r="L340" s="2356"/>
      <c r="M340" s="2356"/>
    </row>
    <row r="341" spans="1:13" ht="15" x14ac:dyDescent="0.25">
      <c r="A341" s="2365"/>
      <c r="B341" s="2370"/>
      <c r="C341" s="2356"/>
      <c r="D341" s="2356"/>
      <c r="E341" s="2356"/>
      <c r="G341" s="2332"/>
      <c r="H341" s="2332"/>
      <c r="I341" s="2332"/>
      <c r="J341" s="2332"/>
      <c r="K341" s="2333">
        <f t="shared" ref="K341:K404" si="68">J341</f>
        <v>0</v>
      </c>
      <c r="L341" s="2356"/>
      <c r="M341" s="2356"/>
    </row>
    <row r="342" spans="1:13" ht="15" x14ac:dyDescent="0.25">
      <c r="A342" s="2365"/>
      <c r="B342" s="2328" t="s">
        <v>247</v>
      </c>
      <c r="C342" s="2328"/>
      <c r="D342" s="2328"/>
      <c r="E342" s="2328"/>
      <c r="G342" s="2332"/>
      <c r="H342" s="2332"/>
      <c r="I342" s="2332"/>
      <c r="J342" s="2332"/>
      <c r="K342" s="2333">
        <f t="shared" si="68"/>
        <v>0</v>
      </c>
      <c r="L342" s="2331"/>
      <c r="M342" s="2331"/>
    </row>
    <row r="343" spans="1:13" ht="15" x14ac:dyDescent="0.25">
      <c r="A343" s="2365"/>
      <c r="B343" s="2328"/>
      <c r="C343" s="2328"/>
      <c r="D343" s="2328"/>
      <c r="E343" s="2328"/>
      <c r="G343" s="2332"/>
      <c r="H343" s="2332"/>
      <c r="I343" s="2332"/>
      <c r="J343" s="2332"/>
      <c r="K343" s="2333">
        <f t="shared" si="68"/>
        <v>0</v>
      </c>
      <c r="L343" s="2331"/>
      <c r="M343" s="2331"/>
    </row>
    <row r="344" spans="1:13" ht="15" x14ac:dyDescent="0.25">
      <c r="A344" s="2365"/>
      <c r="B344" s="2330" t="s">
        <v>6929</v>
      </c>
      <c r="C344" s="2258"/>
      <c r="D344" s="2258"/>
      <c r="E344" s="2258"/>
      <c r="F344" s="2309"/>
      <c r="G344" s="2332"/>
      <c r="H344" s="2332"/>
      <c r="I344" s="2332"/>
      <c r="J344" s="2332"/>
      <c r="K344" s="2333">
        <f t="shared" si="68"/>
        <v>0</v>
      </c>
      <c r="L344" s="2331"/>
      <c r="M344" s="2331"/>
    </row>
    <row r="345" spans="1:13" ht="15" x14ac:dyDescent="0.25">
      <c r="A345" s="2365"/>
      <c r="B345" s="2258" t="s">
        <v>75</v>
      </c>
      <c r="C345" s="2332">
        <v>0</v>
      </c>
      <c r="D345" s="2332">
        <v>0</v>
      </c>
      <c r="E345" s="2332">
        <v>216350</v>
      </c>
      <c r="F345" s="2332">
        <v>166500</v>
      </c>
      <c r="G345" s="2332">
        <v>166500</v>
      </c>
      <c r="H345" s="2332"/>
      <c r="I345" s="2332">
        <v>269094</v>
      </c>
      <c r="J345" s="2332">
        <v>0</v>
      </c>
      <c r="K345" s="2333">
        <f t="shared" si="68"/>
        <v>0</v>
      </c>
      <c r="L345" s="2332">
        <v>0</v>
      </c>
      <c r="M345" s="2332">
        <v>0</v>
      </c>
    </row>
    <row r="346" spans="1:13" ht="15" x14ac:dyDescent="0.25">
      <c r="A346" s="2365"/>
      <c r="B346" s="2258" t="s">
        <v>7025</v>
      </c>
      <c r="C346" s="2332"/>
      <c r="D346" s="2332"/>
      <c r="E346" s="2332"/>
      <c r="F346" s="2332"/>
      <c r="G346" s="2332"/>
      <c r="H346" s="2332"/>
      <c r="I346" s="2332"/>
      <c r="J346" s="2332">
        <v>2200000</v>
      </c>
      <c r="K346" s="2333">
        <f t="shared" si="68"/>
        <v>2200000</v>
      </c>
      <c r="L346" s="2332"/>
      <c r="M346" s="2332"/>
    </row>
    <row r="347" spans="1:13" ht="15" x14ac:dyDescent="0.25">
      <c r="A347" s="2365"/>
      <c r="B347" s="2334" t="s">
        <v>6981</v>
      </c>
      <c r="C347" s="2335">
        <v>0</v>
      </c>
      <c r="D347" s="2335">
        <v>476000</v>
      </c>
      <c r="E347" s="2335">
        <v>476000</v>
      </c>
      <c r="F347" s="2335">
        <v>476000</v>
      </c>
      <c r="G347" s="2335">
        <v>476000</v>
      </c>
      <c r="H347" s="2335"/>
      <c r="I347" s="2335">
        <v>476000</v>
      </c>
      <c r="J347" s="2335">
        <f>-[5]Sheet1!$K$1194</f>
        <v>278460</v>
      </c>
      <c r="K347" s="2336">
        <f t="shared" si="68"/>
        <v>278460</v>
      </c>
      <c r="L347" s="2335">
        <v>0</v>
      </c>
      <c r="M347" s="2335">
        <v>0</v>
      </c>
    </row>
    <row r="348" spans="1:13" ht="15" x14ac:dyDescent="0.25">
      <c r="A348" s="2365"/>
      <c r="B348" s="2330" t="s">
        <v>6932</v>
      </c>
      <c r="C348" s="2337">
        <f t="shared" ref="C348:M348" si="69">SUM(C345:C347)</f>
        <v>0</v>
      </c>
      <c r="D348" s="2337">
        <f t="shared" si="69"/>
        <v>476000</v>
      </c>
      <c r="E348" s="2337">
        <f t="shared" si="69"/>
        <v>692350</v>
      </c>
      <c r="F348" s="2337">
        <f t="shared" si="69"/>
        <v>642500</v>
      </c>
      <c r="G348" s="2337">
        <f t="shared" si="69"/>
        <v>642500</v>
      </c>
      <c r="H348" s="2337"/>
      <c r="I348" s="2337">
        <f t="shared" si="69"/>
        <v>745094</v>
      </c>
      <c r="J348" s="2337">
        <f>J346+J347</f>
        <v>2478460</v>
      </c>
      <c r="K348" s="2333">
        <f t="shared" si="68"/>
        <v>2478460</v>
      </c>
      <c r="L348" s="2337">
        <f t="shared" si="69"/>
        <v>0</v>
      </c>
      <c r="M348" s="2337">
        <f t="shared" si="69"/>
        <v>0</v>
      </c>
    </row>
    <row r="349" spans="1:13" ht="15" x14ac:dyDescent="0.25">
      <c r="A349" s="2365"/>
      <c r="B349" s="2330"/>
      <c r="C349" s="2337"/>
      <c r="D349" s="2337"/>
      <c r="E349" s="2337"/>
      <c r="G349" s="2332"/>
      <c r="H349" s="2332"/>
      <c r="I349" s="2332"/>
      <c r="J349" s="2332"/>
      <c r="K349" s="2333">
        <f t="shared" si="68"/>
        <v>0</v>
      </c>
      <c r="L349" s="2337"/>
      <c r="M349" s="2337"/>
    </row>
    <row r="350" spans="1:13" ht="15.75" thickBot="1" x14ac:dyDescent="0.3">
      <c r="A350" s="2365"/>
      <c r="B350" s="2342" t="s">
        <v>6579</v>
      </c>
      <c r="C350" s="2343">
        <f t="shared" ref="C350:M350" si="70">+C348</f>
        <v>0</v>
      </c>
      <c r="D350" s="2343">
        <f t="shared" si="70"/>
        <v>476000</v>
      </c>
      <c r="E350" s="2343">
        <f t="shared" si="70"/>
        <v>692350</v>
      </c>
      <c r="F350" s="2343">
        <f t="shared" si="70"/>
        <v>642500</v>
      </c>
      <c r="G350" s="2343">
        <f t="shared" si="70"/>
        <v>642500</v>
      </c>
      <c r="H350" s="2343"/>
      <c r="I350" s="2343">
        <f t="shared" si="70"/>
        <v>745094</v>
      </c>
      <c r="J350" s="2343">
        <f>J348</f>
        <v>2478460</v>
      </c>
      <c r="K350" s="2344">
        <f t="shared" si="68"/>
        <v>2478460</v>
      </c>
      <c r="L350" s="2343">
        <f t="shared" si="70"/>
        <v>0</v>
      </c>
      <c r="M350" s="2343">
        <f t="shared" si="70"/>
        <v>0</v>
      </c>
    </row>
    <row r="351" spans="1:13" ht="15.75" thickTop="1" x14ac:dyDescent="0.25">
      <c r="A351" s="2365"/>
      <c r="B351" s="2370"/>
      <c r="C351" s="2356"/>
      <c r="D351" s="2356"/>
      <c r="E351" s="2356"/>
      <c r="G351" s="2332"/>
      <c r="H351" s="2332"/>
      <c r="I351" s="2332"/>
      <c r="J351" s="2332">
        <f>J350+[5]Sheet1!$K$1196</f>
        <v>0</v>
      </c>
      <c r="K351" s="2333">
        <f t="shared" si="68"/>
        <v>0</v>
      </c>
      <c r="L351" s="2356"/>
      <c r="M351" s="2356"/>
    </row>
    <row r="352" spans="1:13" x14ac:dyDescent="0.2">
      <c r="A352" s="2327"/>
      <c r="B352" s="2328" t="s">
        <v>235</v>
      </c>
      <c r="C352" s="2328"/>
      <c r="D352" s="2328"/>
      <c r="E352" s="2328"/>
      <c r="G352" s="2332"/>
      <c r="H352" s="2332"/>
      <c r="I352" s="2332"/>
      <c r="J352" s="2332"/>
      <c r="K352" s="2333">
        <f t="shared" si="68"/>
        <v>0</v>
      </c>
      <c r="L352" s="2328"/>
      <c r="M352" s="2328"/>
    </row>
    <row r="353" spans="1:13" x14ac:dyDescent="0.2">
      <c r="A353" s="2327"/>
      <c r="B353" s="2328"/>
      <c r="C353" s="2328"/>
      <c r="D353" s="2328"/>
      <c r="E353" s="2328"/>
      <c r="F353" s="2309"/>
      <c r="G353" s="2332"/>
      <c r="H353" s="2332"/>
      <c r="I353" s="2332"/>
      <c r="J353" s="2332"/>
      <c r="K353" s="2333">
        <f t="shared" si="68"/>
        <v>0</v>
      </c>
      <c r="L353" s="2328"/>
      <c r="M353" s="2328"/>
    </row>
    <row r="354" spans="1:13" x14ac:dyDescent="0.2">
      <c r="A354" s="2329"/>
      <c r="B354" s="2330" t="s">
        <v>387</v>
      </c>
      <c r="C354" s="2332"/>
      <c r="D354" s="2332"/>
      <c r="E354" s="2332"/>
      <c r="G354" s="2332"/>
      <c r="H354" s="2332"/>
      <c r="I354" s="2332"/>
      <c r="J354" s="2332"/>
      <c r="K354" s="2333">
        <f t="shared" si="68"/>
        <v>0</v>
      </c>
      <c r="L354" s="2332"/>
      <c r="M354" s="2332"/>
    </row>
    <row r="355" spans="1:13" x14ac:dyDescent="0.2">
      <c r="A355" s="2329">
        <v>1001</v>
      </c>
      <c r="B355" s="2258" t="s">
        <v>7011</v>
      </c>
      <c r="C355" s="2332">
        <v>102532</v>
      </c>
      <c r="D355" s="2332">
        <f>[7]Sal_RIA!$H$62</f>
        <v>326593</v>
      </c>
      <c r="E355" s="2332">
        <f>+D355</f>
        <v>326593</v>
      </c>
      <c r="F355" s="2332">
        <v>113772</v>
      </c>
      <c r="G355" s="2332">
        <f t="shared" ref="G355:G380" si="71">F355/$F$11*$G$11</f>
        <v>136526.40000000002</v>
      </c>
      <c r="H355" s="2332"/>
      <c r="I355" s="2332">
        <f>[6]Salary_Bdgt!$H$87</f>
        <v>352721</v>
      </c>
      <c r="J355" s="2332">
        <f>[5]Sheet1!$K$1203</f>
        <v>138135.06</v>
      </c>
      <c r="K355" s="2333">
        <f t="shared" si="68"/>
        <v>138135.06</v>
      </c>
      <c r="L355" s="2332">
        <f t="shared" ref="L355:L380" si="72">ROUND(I355*1.08,0)</f>
        <v>380939</v>
      </c>
      <c r="M355" s="2332">
        <f t="shared" ref="M355:M380" si="73">ROUND(L355*1.08,0)</f>
        <v>411414</v>
      </c>
    </row>
    <row r="356" spans="1:13" x14ac:dyDescent="0.2">
      <c r="A356" s="2329">
        <v>1002</v>
      </c>
      <c r="B356" s="2258" t="s">
        <v>6983</v>
      </c>
      <c r="C356" s="2332">
        <v>0</v>
      </c>
      <c r="D356" s="2332">
        <v>0</v>
      </c>
      <c r="E356" s="2332">
        <v>0</v>
      </c>
      <c r="F356" s="2332">
        <v>0</v>
      </c>
      <c r="G356" s="2332">
        <f t="shared" si="71"/>
        <v>0</v>
      </c>
      <c r="H356" s="2332"/>
      <c r="I356" s="2332">
        <f>[6]Salary_Bdgt!$X$87</f>
        <v>0</v>
      </c>
      <c r="J356" s="2332">
        <v>0</v>
      </c>
      <c r="K356" s="2333">
        <f t="shared" si="68"/>
        <v>0</v>
      </c>
      <c r="L356" s="2332">
        <f t="shared" si="72"/>
        <v>0</v>
      </c>
      <c r="M356" s="2332">
        <f t="shared" si="73"/>
        <v>0</v>
      </c>
    </row>
    <row r="357" spans="1:13" x14ac:dyDescent="0.2">
      <c r="A357" s="2329">
        <v>1005</v>
      </c>
      <c r="B357" s="2258" t="s">
        <v>7012</v>
      </c>
      <c r="C357" s="2332">
        <v>0</v>
      </c>
      <c r="D357" s="2332">
        <v>0</v>
      </c>
      <c r="E357" s="2332">
        <v>0</v>
      </c>
      <c r="F357" s="2332">
        <v>0</v>
      </c>
      <c r="G357" s="2332">
        <f t="shared" si="71"/>
        <v>0</v>
      </c>
      <c r="H357" s="2332"/>
      <c r="I357" s="2332">
        <f>[6]Salary_Bdgt!$L$87</f>
        <v>0</v>
      </c>
      <c r="J357" s="2332">
        <v>0</v>
      </c>
      <c r="K357" s="2333">
        <f t="shared" si="68"/>
        <v>0</v>
      </c>
      <c r="L357" s="2332">
        <f t="shared" si="72"/>
        <v>0</v>
      </c>
      <c r="M357" s="2332">
        <f t="shared" si="73"/>
        <v>0</v>
      </c>
    </row>
    <row r="358" spans="1:13" x14ac:dyDescent="0.2">
      <c r="A358" s="2329">
        <v>1006</v>
      </c>
      <c r="B358" s="2258" t="s">
        <v>7013</v>
      </c>
      <c r="C358" s="2332">
        <v>0</v>
      </c>
      <c r="D358" s="2332">
        <v>0</v>
      </c>
      <c r="E358" s="2332">
        <v>0</v>
      </c>
      <c r="F358" s="2332">
        <v>0</v>
      </c>
      <c r="G358" s="2332">
        <f t="shared" si="71"/>
        <v>0</v>
      </c>
      <c r="H358" s="2332"/>
      <c r="I358" s="2332">
        <f>[6]Salary_Bdgt!$N$87</f>
        <v>0</v>
      </c>
      <c r="J358" s="2332">
        <v>0</v>
      </c>
      <c r="K358" s="2333">
        <f t="shared" si="68"/>
        <v>0</v>
      </c>
      <c r="L358" s="2332">
        <f t="shared" si="72"/>
        <v>0</v>
      </c>
      <c r="M358" s="2332">
        <f t="shared" si="73"/>
        <v>0</v>
      </c>
    </row>
    <row r="359" spans="1:13" x14ac:dyDescent="0.2">
      <c r="A359" s="2329">
        <v>1007</v>
      </c>
      <c r="B359" s="2258" t="s">
        <v>7014</v>
      </c>
      <c r="C359" s="2332">
        <v>0</v>
      </c>
      <c r="D359" s="2332">
        <v>0</v>
      </c>
      <c r="E359" s="2332">
        <v>0</v>
      </c>
      <c r="F359" s="2332">
        <v>0</v>
      </c>
      <c r="G359" s="2332">
        <f t="shared" si="71"/>
        <v>0</v>
      </c>
      <c r="H359" s="2332"/>
      <c r="I359" s="2332">
        <f>[6]Salary_Bdgt!$I$87</f>
        <v>1617</v>
      </c>
      <c r="J359" s="2332">
        <v>0</v>
      </c>
      <c r="K359" s="2333">
        <f t="shared" si="68"/>
        <v>0</v>
      </c>
      <c r="L359" s="2332">
        <f t="shared" si="72"/>
        <v>1746</v>
      </c>
      <c r="M359" s="2332">
        <f t="shared" si="73"/>
        <v>1886</v>
      </c>
    </row>
    <row r="360" spans="1:13" x14ac:dyDescent="0.2">
      <c r="A360" s="2329">
        <v>1009</v>
      </c>
      <c r="B360" s="2258" t="s">
        <v>7015</v>
      </c>
      <c r="C360" s="2332">
        <v>0</v>
      </c>
      <c r="D360" s="2332">
        <v>0</v>
      </c>
      <c r="E360" s="2332">
        <v>0</v>
      </c>
      <c r="F360" s="2332">
        <v>0</v>
      </c>
      <c r="G360" s="2332">
        <f t="shared" si="71"/>
        <v>0</v>
      </c>
      <c r="H360" s="2332"/>
      <c r="I360" s="2332">
        <f>[6]Salary_Bdgt!$M$87</f>
        <v>0</v>
      </c>
      <c r="J360" s="2332">
        <v>0</v>
      </c>
      <c r="K360" s="2333">
        <f t="shared" si="68"/>
        <v>0</v>
      </c>
      <c r="L360" s="2332">
        <f t="shared" si="72"/>
        <v>0</v>
      </c>
      <c r="M360" s="2332">
        <f t="shared" si="73"/>
        <v>0</v>
      </c>
    </row>
    <row r="361" spans="1:13" x14ac:dyDescent="0.2">
      <c r="A361" s="2329">
        <v>1010</v>
      </c>
      <c r="B361" s="2258" t="s">
        <v>7016</v>
      </c>
      <c r="C361" s="2332">
        <v>0</v>
      </c>
      <c r="D361" s="2332">
        <v>29938</v>
      </c>
      <c r="E361" s="2332">
        <f>+D361</f>
        <v>29938</v>
      </c>
      <c r="F361" s="2332">
        <v>0</v>
      </c>
      <c r="G361" s="2332">
        <f t="shared" si="71"/>
        <v>0</v>
      </c>
      <c r="H361" s="2332"/>
      <c r="I361" s="2332">
        <f>[6]Salary_Bdgt!$Q$87</f>
        <v>29393</v>
      </c>
      <c r="J361" s="2332">
        <f>[5]Sheet1!$K$1204</f>
        <v>25050.99</v>
      </c>
      <c r="K361" s="2333">
        <f t="shared" si="68"/>
        <v>25050.99</v>
      </c>
      <c r="L361" s="2332">
        <f t="shared" si="72"/>
        <v>31744</v>
      </c>
      <c r="M361" s="2332">
        <f t="shared" si="73"/>
        <v>34284</v>
      </c>
    </row>
    <row r="362" spans="1:13" x14ac:dyDescent="0.2">
      <c r="A362" s="2329">
        <v>1011</v>
      </c>
      <c r="B362" s="2258" t="s">
        <v>7017</v>
      </c>
      <c r="C362" s="2332">
        <v>0</v>
      </c>
      <c r="D362" s="2332">
        <v>0</v>
      </c>
      <c r="E362" s="2332">
        <v>0</v>
      </c>
      <c r="F362" s="2332">
        <v>0</v>
      </c>
      <c r="G362" s="2332">
        <f t="shared" si="71"/>
        <v>0</v>
      </c>
      <c r="H362" s="2332"/>
      <c r="I362" s="2332">
        <f>[6]Salary_Bdgt!$U$87</f>
        <v>28771</v>
      </c>
      <c r="J362" s="2332">
        <f>[5]Sheet1!$K$1205</f>
        <v>9817.52</v>
      </c>
      <c r="K362" s="2333">
        <f t="shared" si="68"/>
        <v>9817.52</v>
      </c>
      <c r="L362" s="2332">
        <f t="shared" si="72"/>
        <v>31073</v>
      </c>
      <c r="M362" s="2332">
        <f t="shared" si="73"/>
        <v>33559</v>
      </c>
    </row>
    <row r="363" spans="1:13" x14ac:dyDescent="0.2">
      <c r="A363" s="2329">
        <v>1014</v>
      </c>
      <c r="B363" s="2258" t="s">
        <v>7018</v>
      </c>
      <c r="C363" s="2332">
        <v>0</v>
      </c>
      <c r="D363" s="2332">
        <v>32280</v>
      </c>
      <c r="E363" s="2332">
        <f>+D363</f>
        <v>32280</v>
      </c>
      <c r="F363" s="2332">
        <v>0</v>
      </c>
      <c r="G363" s="2332">
        <f t="shared" si="71"/>
        <v>0</v>
      </c>
      <c r="H363" s="2332"/>
      <c r="I363" s="2332">
        <f>[6]Salary_Bdgt!$S$87</f>
        <v>31693</v>
      </c>
      <c r="J363" s="2332">
        <f>[5]Sheet1!$K$1206</f>
        <v>10813.22</v>
      </c>
      <c r="K363" s="2333">
        <f t="shared" si="68"/>
        <v>10813.22</v>
      </c>
      <c r="L363" s="2332">
        <f t="shared" si="72"/>
        <v>34228</v>
      </c>
      <c r="M363" s="2332">
        <f t="shared" si="73"/>
        <v>36966</v>
      </c>
    </row>
    <row r="364" spans="1:13" x14ac:dyDescent="0.2">
      <c r="A364" s="2329">
        <v>1016</v>
      </c>
      <c r="B364" s="2258" t="s">
        <v>7019</v>
      </c>
      <c r="C364" s="2332">
        <v>0</v>
      </c>
      <c r="D364" s="2332">
        <v>29304</v>
      </c>
      <c r="E364" s="2332">
        <f>+D364</f>
        <v>29304</v>
      </c>
      <c r="F364" s="2332">
        <v>0</v>
      </c>
      <c r="G364" s="2332">
        <f t="shared" si="71"/>
        <v>0</v>
      </c>
      <c r="H364" s="2332"/>
      <c r="I364" s="2332">
        <f>[6]Salary_Bdgt!$T$87+[6]Salary_Bdgt!$V$87</f>
        <v>0</v>
      </c>
      <c r="J364" s="2332">
        <f>0</f>
        <v>0</v>
      </c>
      <c r="K364" s="2333">
        <f t="shared" si="68"/>
        <v>0</v>
      </c>
      <c r="L364" s="2332">
        <f t="shared" si="72"/>
        <v>0</v>
      </c>
      <c r="M364" s="2332">
        <f t="shared" si="73"/>
        <v>0</v>
      </c>
    </row>
    <row r="365" spans="1:13" x14ac:dyDescent="0.2">
      <c r="A365" s="2329">
        <v>1017</v>
      </c>
      <c r="B365" s="2258" t="s">
        <v>7020</v>
      </c>
      <c r="C365" s="2332">
        <v>0</v>
      </c>
      <c r="D365" s="2332">
        <v>0</v>
      </c>
      <c r="E365" s="2332">
        <v>0</v>
      </c>
      <c r="F365" s="2332">
        <v>0</v>
      </c>
      <c r="G365" s="2332">
        <f t="shared" si="71"/>
        <v>0</v>
      </c>
      <c r="H365" s="2332"/>
      <c r="I365" s="2332">
        <f>[6]Salary_Bdgt!$J$87</f>
        <v>9112</v>
      </c>
      <c r="J365" s="2332">
        <v>0</v>
      </c>
      <c r="K365" s="2333">
        <f t="shared" si="68"/>
        <v>0</v>
      </c>
      <c r="L365" s="2332">
        <f t="shared" si="72"/>
        <v>9841</v>
      </c>
      <c r="M365" s="2332">
        <f t="shared" si="73"/>
        <v>10628</v>
      </c>
    </row>
    <row r="366" spans="1:13" x14ac:dyDescent="0.2">
      <c r="A366" s="2329">
        <v>1046</v>
      </c>
      <c r="B366" s="2258" t="s">
        <v>6993</v>
      </c>
      <c r="C366" s="2332">
        <v>0</v>
      </c>
      <c r="D366" s="2332">
        <v>147985</v>
      </c>
      <c r="E366" s="2332">
        <f>+D366</f>
        <v>147985</v>
      </c>
      <c r="F366" s="2332">
        <v>0</v>
      </c>
      <c r="G366" s="2332">
        <f t="shared" si="71"/>
        <v>0</v>
      </c>
      <c r="H366" s="2332"/>
      <c r="I366" s="2332">
        <f>[6]Salary_Bdgt!$R$87</f>
        <v>145295</v>
      </c>
      <c r="J366" s="2332">
        <f>[5]Sheet1!$K$1208</f>
        <v>49580.5</v>
      </c>
      <c r="K366" s="2333">
        <f t="shared" si="68"/>
        <v>49580.5</v>
      </c>
      <c r="L366" s="2332">
        <f t="shared" si="72"/>
        <v>156919</v>
      </c>
      <c r="M366" s="2332">
        <f t="shared" si="73"/>
        <v>169473</v>
      </c>
    </row>
    <row r="367" spans="1:13" x14ac:dyDescent="0.2">
      <c r="A367" s="2329">
        <v>1182</v>
      </c>
      <c r="B367" s="2258" t="s">
        <v>7021</v>
      </c>
      <c r="C367" s="2332">
        <v>1058</v>
      </c>
      <c r="D367" s="2332">
        <v>0</v>
      </c>
      <c r="E367" s="2332">
        <f>+D367</f>
        <v>0</v>
      </c>
      <c r="F367" s="2332">
        <v>0</v>
      </c>
      <c r="G367" s="2332">
        <f t="shared" si="71"/>
        <v>0</v>
      </c>
      <c r="H367" s="2332"/>
      <c r="I367" s="2332">
        <f>[6]Salary_Bdgt!$K$87</f>
        <v>8474</v>
      </c>
      <c r="J367" s="2332">
        <f>[5]Sheet1!$K$1211</f>
        <v>6258.23</v>
      </c>
      <c r="K367" s="2333">
        <f t="shared" si="68"/>
        <v>6258.23</v>
      </c>
      <c r="L367" s="2332">
        <f t="shared" si="72"/>
        <v>9152</v>
      </c>
      <c r="M367" s="2332">
        <f t="shared" si="73"/>
        <v>9884</v>
      </c>
    </row>
    <row r="368" spans="1:13" x14ac:dyDescent="0.2">
      <c r="A368" s="2329">
        <v>1001</v>
      </c>
      <c r="B368" s="2258" t="s">
        <v>6943</v>
      </c>
      <c r="C368" s="2332">
        <v>0</v>
      </c>
      <c r="D368" s="2332">
        <v>0</v>
      </c>
      <c r="E368" s="2332">
        <v>0</v>
      </c>
      <c r="F368" s="2332">
        <v>0</v>
      </c>
      <c r="G368" s="2332">
        <f t="shared" si="71"/>
        <v>0</v>
      </c>
      <c r="H368" s="2332"/>
      <c r="I368" s="2332">
        <f>[6]Salary_Bdgt!$H$99</f>
        <v>528232</v>
      </c>
      <c r="J368" s="2332">
        <v>0</v>
      </c>
      <c r="K368" s="2333">
        <f t="shared" si="68"/>
        <v>0</v>
      </c>
      <c r="L368" s="2332">
        <f t="shared" si="72"/>
        <v>570491</v>
      </c>
      <c r="M368" s="2332">
        <f t="shared" si="73"/>
        <v>616130</v>
      </c>
    </row>
    <row r="369" spans="1:13" x14ac:dyDescent="0.2">
      <c r="A369" s="2329">
        <v>1005</v>
      </c>
      <c r="B369" s="2258" t="s">
        <v>6944</v>
      </c>
      <c r="C369" s="2332">
        <v>0</v>
      </c>
      <c r="D369" s="2332">
        <v>0</v>
      </c>
      <c r="E369" s="2332">
        <v>0</v>
      </c>
      <c r="F369" s="2332">
        <v>0</v>
      </c>
      <c r="G369" s="2332">
        <f t="shared" si="71"/>
        <v>0</v>
      </c>
      <c r="H369" s="2332"/>
      <c r="I369" s="2332">
        <f>[6]Salary_Bdgt!$L$99</f>
        <v>0</v>
      </c>
      <c r="J369" s="2332">
        <v>0</v>
      </c>
      <c r="K369" s="2333">
        <f t="shared" si="68"/>
        <v>0</v>
      </c>
      <c r="L369" s="2332">
        <f t="shared" si="72"/>
        <v>0</v>
      </c>
      <c r="M369" s="2332">
        <f t="shared" si="73"/>
        <v>0</v>
      </c>
    </row>
    <row r="370" spans="1:13" x14ac:dyDescent="0.2">
      <c r="A370" s="2329">
        <v>1006</v>
      </c>
      <c r="B370" s="2258" t="s">
        <v>6945</v>
      </c>
      <c r="C370" s="2332">
        <v>0</v>
      </c>
      <c r="D370" s="2332">
        <v>0</v>
      </c>
      <c r="E370" s="2332">
        <v>0</v>
      </c>
      <c r="F370" s="2332">
        <v>0</v>
      </c>
      <c r="G370" s="2332">
        <f t="shared" si="71"/>
        <v>0</v>
      </c>
      <c r="H370" s="2332"/>
      <c r="I370" s="2332">
        <f>[6]Salary_Bdgt!$N$99</f>
        <v>85360</v>
      </c>
      <c r="J370" s="2332">
        <f>[5]Sheet1!$K$1213</f>
        <v>29127.09</v>
      </c>
      <c r="K370" s="2333">
        <f t="shared" si="68"/>
        <v>29127.09</v>
      </c>
      <c r="L370" s="2332">
        <f t="shared" si="72"/>
        <v>92189</v>
      </c>
      <c r="M370" s="2332">
        <f t="shared" si="73"/>
        <v>99564</v>
      </c>
    </row>
    <row r="371" spans="1:13" x14ac:dyDescent="0.2">
      <c r="A371" s="2329">
        <v>1007</v>
      </c>
      <c r="B371" s="2258" t="s">
        <v>6410</v>
      </c>
      <c r="C371" s="2332">
        <v>0</v>
      </c>
      <c r="D371" s="2332">
        <v>0</v>
      </c>
      <c r="E371" s="2332">
        <v>0</v>
      </c>
      <c r="F371" s="2332">
        <v>0</v>
      </c>
      <c r="G371" s="2332">
        <f t="shared" si="71"/>
        <v>0</v>
      </c>
      <c r="H371" s="2332"/>
      <c r="I371" s="2332">
        <f>[6]Salary_Bdgt!$I$99</f>
        <v>6469</v>
      </c>
      <c r="J371" s="2332">
        <f>[5]Sheet1!$K$1214</f>
        <v>2759.59</v>
      </c>
      <c r="K371" s="2333">
        <f t="shared" si="68"/>
        <v>2759.59</v>
      </c>
      <c r="L371" s="2332">
        <f t="shared" si="72"/>
        <v>6987</v>
      </c>
      <c r="M371" s="2332">
        <f t="shared" si="73"/>
        <v>7546</v>
      </c>
    </row>
    <row r="372" spans="1:13" x14ac:dyDescent="0.2">
      <c r="A372" s="2329">
        <v>1009</v>
      </c>
      <c r="B372" s="2258" t="s">
        <v>6408</v>
      </c>
      <c r="C372" s="2332">
        <v>0</v>
      </c>
      <c r="D372" s="2332">
        <v>0</v>
      </c>
      <c r="E372" s="2332">
        <v>0</v>
      </c>
      <c r="F372" s="2332">
        <v>0</v>
      </c>
      <c r="G372" s="2332">
        <f t="shared" si="71"/>
        <v>0</v>
      </c>
      <c r="H372" s="2332"/>
      <c r="I372" s="2332">
        <f>[6]Salary_Bdgt!$M$99</f>
        <v>90</v>
      </c>
      <c r="J372" s="2332">
        <f>[5]Sheet1!$K$1209</f>
        <v>32.08</v>
      </c>
      <c r="K372" s="2333">
        <f t="shared" si="68"/>
        <v>32.08</v>
      </c>
      <c r="L372" s="2332">
        <f t="shared" si="72"/>
        <v>97</v>
      </c>
      <c r="M372" s="2332">
        <f t="shared" si="73"/>
        <v>105</v>
      </c>
    </row>
    <row r="373" spans="1:13" x14ac:dyDescent="0.2">
      <c r="A373" s="2329">
        <v>1010</v>
      </c>
      <c r="B373" s="2258" t="s">
        <v>6946</v>
      </c>
      <c r="C373" s="2332">
        <v>0</v>
      </c>
      <c r="D373" s="2332">
        <v>0</v>
      </c>
      <c r="E373" s="2332">
        <v>0</v>
      </c>
      <c r="F373" s="2332">
        <v>0</v>
      </c>
      <c r="G373" s="2332">
        <f t="shared" si="71"/>
        <v>0</v>
      </c>
      <c r="H373" s="2332"/>
      <c r="I373" s="2332">
        <f>[6]Salary_Bdgt!$Q$99</f>
        <v>44019</v>
      </c>
      <c r="J373" s="2332">
        <v>0</v>
      </c>
      <c r="K373" s="2333">
        <f t="shared" si="68"/>
        <v>0</v>
      </c>
      <c r="L373" s="2332">
        <f t="shared" si="72"/>
        <v>47541</v>
      </c>
      <c r="M373" s="2332">
        <f t="shared" si="73"/>
        <v>51344</v>
      </c>
    </row>
    <row r="374" spans="1:13" x14ac:dyDescent="0.2">
      <c r="A374" s="2329">
        <v>1011</v>
      </c>
      <c r="B374" s="2258" t="s">
        <v>6947</v>
      </c>
      <c r="C374" s="2332">
        <v>0</v>
      </c>
      <c r="D374" s="2332">
        <v>0</v>
      </c>
      <c r="E374" s="2332">
        <v>0</v>
      </c>
      <c r="F374" s="2332">
        <v>0</v>
      </c>
      <c r="G374" s="2332">
        <f t="shared" si="71"/>
        <v>0</v>
      </c>
      <c r="H374" s="2332"/>
      <c r="I374" s="2332">
        <f>[6]Salary_Bdgt!$U$99</f>
        <v>0</v>
      </c>
      <c r="J374" s="2332">
        <v>0</v>
      </c>
      <c r="K374" s="2333">
        <f t="shared" si="68"/>
        <v>0</v>
      </c>
      <c r="L374" s="2332">
        <f t="shared" si="72"/>
        <v>0</v>
      </c>
      <c r="M374" s="2332">
        <f t="shared" si="73"/>
        <v>0</v>
      </c>
    </row>
    <row r="375" spans="1:13" x14ac:dyDescent="0.2">
      <c r="A375" s="2329">
        <v>1014</v>
      </c>
      <c r="B375" s="2258" t="s">
        <v>6632</v>
      </c>
      <c r="C375" s="2332">
        <v>0</v>
      </c>
      <c r="D375" s="2332">
        <v>0</v>
      </c>
      <c r="E375" s="2332">
        <v>0</v>
      </c>
      <c r="F375" s="2332">
        <v>0</v>
      </c>
      <c r="G375" s="2332">
        <f t="shared" si="71"/>
        <v>0</v>
      </c>
      <c r="H375" s="2332"/>
      <c r="I375" s="2332">
        <f>[6]Salary_Bdgt!$S$99</f>
        <v>0</v>
      </c>
      <c r="J375" s="2332">
        <v>0</v>
      </c>
      <c r="K375" s="2333">
        <f t="shared" si="68"/>
        <v>0</v>
      </c>
      <c r="L375" s="2332">
        <f t="shared" si="72"/>
        <v>0</v>
      </c>
      <c r="M375" s="2332">
        <f t="shared" si="73"/>
        <v>0</v>
      </c>
    </row>
    <row r="376" spans="1:13" x14ac:dyDescent="0.2">
      <c r="A376" s="2329">
        <v>1015</v>
      </c>
      <c r="B376" s="2258" t="s">
        <v>6948</v>
      </c>
      <c r="C376" s="2332">
        <v>0</v>
      </c>
      <c r="D376" s="2332">
        <v>0</v>
      </c>
      <c r="E376" s="2332">
        <v>0</v>
      </c>
      <c r="F376" s="2332">
        <v>0</v>
      </c>
      <c r="G376" s="2332">
        <f t="shared" si="71"/>
        <v>0</v>
      </c>
      <c r="H376" s="2332"/>
      <c r="I376" s="2332">
        <f>[6]Salary_Bdgt!$O$99+[6]Salary_Bdgt!$P$99+[6]Salary_Bdgt!$W$99</f>
        <v>0</v>
      </c>
      <c r="J376" s="2332">
        <v>0</v>
      </c>
      <c r="K376" s="2333">
        <f t="shared" si="68"/>
        <v>0</v>
      </c>
      <c r="L376" s="2332">
        <f t="shared" si="72"/>
        <v>0</v>
      </c>
      <c r="M376" s="2332">
        <f t="shared" si="73"/>
        <v>0</v>
      </c>
    </row>
    <row r="377" spans="1:13" x14ac:dyDescent="0.2">
      <c r="A377" s="2329">
        <v>1016</v>
      </c>
      <c r="B377" s="2258" t="s">
        <v>6949</v>
      </c>
      <c r="C377" s="2332">
        <v>0</v>
      </c>
      <c r="D377" s="2332">
        <v>0</v>
      </c>
      <c r="E377" s="2332">
        <v>0</v>
      </c>
      <c r="F377" s="2332">
        <v>0</v>
      </c>
      <c r="G377" s="2332">
        <f t="shared" si="71"/>
        <v>0</v>
      </c>
      <c r="H377" s="2332"/>
      <c r="I377" s="2332">
        <f>[6]Salary_Bdgt!$T$99+[6]Salary_Bdgt!$V$99</f>
        <v>149609</v>
      </c>
      <c r="J377" s="2332">
        <f>[5]Sheet1!$K$1207</f>
        <v>51049.83</v>
      </c>
      <c r="K377" s="2333">
        <f t="shared" si="68"/>
        <v>51049.83</v>
      </c>
      <c r="L377" s="2332">
        <f t="shared" si="72"/>
        <v>161578</v>
      </c>
      <c r="M377" s="2332">
        <f t="shared" si="73"/>
        <v>174504</v>
      </c>
    </row>
    <row r="378" spans="1:13" x14ac:dyDescent="0.2">
      <c r="A378" s="2329">
        <v>1017</v>
      </c>
      <c r="B378" s="2258" t="s">
        <v>6950</v>
      </c>
      <c r="C378" s="2332">
        <v>0</v>
      </c>
      <c r="D378" s="2332">
        <v>0</v>
      </c>
      <c r="E378" s="2332">
        <v>0</v>
      </c>
      <c r="F378" s="2332">
        <v>0</v>
      </c>
      <c r="G378" s="2332">
        <f t="shared" si="71"/>
        <v>0</v>
      </c>
      <c r="H378" s="2332"/>
      <c r="I378" s="2332">
        <f>[6]Salary_Bdgt!$J$99</f>
        <v>10602</v>
      </c>
      <c r="J378" s="2332">
        <f>[5]Sheet1!$K$1210</f>
        <v>6727.78</v>
      </c>
      <c r="K378" s="2333">
        <f t="shared" si="68"/>
        <v>6727.78</v>
      </c>
      <c r="L378" s="2332">
        <f t="shared" si="72"/>
        <v>11450</v>
      </c>
      <c r="M378" s="2332">
        <f t="shared" si="73"/>
        <v>12366</v>
      </c>
    </row>
    <row r="379" spans="1:13" x14ac:dyDescent="0.2">
      <c r="A379" s="2329">
        <v>1046</v>
      </c>
      <c r="B379" s="2258" t="s">
        <v>6951</v>
      </c>
      <c r="C379" s="2332">
        <v>0</v>
      </c>
      <c r="D379" s="2332">
        <v>0</v>
      </c>
      <c r="E379" s="2332">
        <v>0</v>
      </c>
      <c r="F379" s="2332">
        <v>0</v>
      </c>
      <c r="G379" s="2332">
        <f t="shared" si="71"/>
        <v>0</v>
      </c>
      <c r="H379" s="2332"/>
      <c r="I379" s="2332">
        <f>[6]Salary_Bdgt!$R$99</f>
        <v>0</v>
      </c>
      <c r="J379" s="2332">
        <v>0</v>
      </c>
      <c r="K379" s="2333">
        <f t="shared" si="68"/>
        <v>0</v>
      </c>
      <c r="L379" s="2332">
        <f t="shared" si="72"/>
        <v>0</v>
      </c>
      <c r="M379" s="2332">
        <f t="shared" si="73"/>
        <v>0</v>
      </c>
    </row>
    <row r="380" spans="1:13" x14ac:dyDescent="0.2">
      <c r="A380" s="2329">
        <v>1182</v>
      </c>
      <c r="B380" s="2334" t="s">
        <v>6952</v>
      </c>
      <c r="C380" s="2335">
        <v>0</v>
      </c>
      <c r="D380" s="2335">
        <v>0</v>
      </c>
      <c r="E380" s="2335">
        <v>0</v>
      </c>
      <c r="F380" s="2335">
        <v>0</v>
      </c>
      <c r="G380" s="2335">
        <f t="shared" si="71"/>
        <v>0</v>
      </c>
      <c r="H380" s="2335"/>
      <c r="I380" s="2335">
        <f>[6]Salary_Bdgt!$K$99</f>
        <v>9860</v>
      </c>
      <c r="J380" s="2335">
        <v>0</v>
      </c>
      <c r="K380" s="2336">
        <f t="shared" si="68"/>
        <v>0</v>
      </c>
      <c r="L380" s="2335">
        <f t="shared" si="72"/>
        <v>10649</v>
      </c>
      <c r="M380" s="2335">
        <f t="shared" si="73"/>
        <v>11501</v>
      </c>
    </row>
    <row r="381" spans="1:13" x14ac:dyDescent="0.2">
      <c r="A381" s="2329"/>
      <c r="B381" s="2330" t="s">
        <v>6588</v>
      </c>
      <c r="C381" s="2349">
        <f t="shared" ref="C381:M381" si="74">SUM(C355:C380)</f>
        <v>103590</v>
      </c>
      <c r="D381" s="2349">
        <f t="shared" si="74"/>
        <v>566100</v>
      </c>
      <c r="E381" s="2349">
        <f t="shared" si="74"/>
        <v>566100</v>
      </c>
      <c r="F381" s="2349">
        <f t="shared" si="74"/>
        <v>113772</v>
      </c>
      <c r="G381" s="2349">
        <f t="shared" si="74"/>
        <v>136526.40000000002</v>
      </c>
      <c r="H381" s="2349"/>
      <c r="I381" s="2349">
        <f>SUM(I355:I380)</f>
        <v>1441317</v>
      </c>
      <c r="J381" s="2349">
        <f>SUM(J355:J380)</f>
        <v>329351.89000000007</v>
      </c>
      <c r="K381" s="2333">
        <f t="shared" si="68"/>
        <v>329351.89000000007</v>
      </c>
      <c r="L381" s="2349">
        <f t="shared" si="74"/>
        <v>1556624</v>
      </c>
      <c r="M381" s="2349">
        <f t="shared" si="74"/>
        <v>1681154</v>
      </c>
    </row>
    <row r="382" spans="1:13" x14ac:dyDescent="0.2">
      <c r="A382" s="2329"/>
      <c r="B382" s="2330"/>
      <c r="C382" s="2349"/>
      <c r="D382" s="2349"/>
      <c r="E382" s="2349"/>
      <c r="G382" s="2332"/>
      <c r="H382" s="2332"/>
      <c r="I382" s="2332"/>
      <c r="J382" s="2332">
        <f>J381-[5]Sheet1!$K$1215</f>
        <v>0</v>
      </c>
      <c r="K382" s="2333">
        <f t="shared" si="68"/>
        <v>0</v>
      </c>
      <c r="L382" s="2349"/>
      <c r="M382" s="2349"/>
    </row>
    <row r="383" spans="1:13" x14ac:dyDescent="0.2">
      <c r="A383" s="2329"/>
      <c r="B383" s="2330" t="s">
        <v>6599</v>
      </c>
      <c r="C383" s="2332"/>
      <c r="D383" s="2332"/>
      <c r="E383" s="2332"/>
      <c r="F383" s="2309"/>
      <c r="G383" s="2332"/>
      <c r="H383" s="2332"/>
      <c r="I383" s="2332"/>
      <c r="J383" s="2332"/>
      <c r="K383" s="2333">
        <f t="shared" si="68"/>
        <v>0</v>
      </c>
      <c r="L383" s="2332"/>
      <c r="M383" s="2332"/>
    </row>
    <row r="384" spans="1:13" x14ac:dyDescent="0.2">
      <c r="A384" s="2329">
        <v>2113</v>
      </c>
      <c r="B384" s="2258" t="s">
        <v>7007</v>
      </c>
      <c r="C384" s="2332">
        <v>0</v>
      </c>
      <c r="D384" s="2332">
        <v>10500</v>
      </c>
      <c r="E384" s="2332">
        <f>10500</f>
        <v>10500</v>
      </c>
      <c r="F384" s="2332">
        <v>0</v>
      </c>
      <c r="G384" s="2332">
        <f>F384/$F$11*$G$11</f>
        <v>0</v>
      </c>
      <c r="H384" s="2332"/>
      <c r="I384" s="2332">
        <f>ROUND(E384*1.05,0)</f>
        <v>11025</v>
      </c>
      <c r="J384" s="2332">
        <f>[5]Sheet1!$K$1218</f>
        <v>19356.5</v>
      </c>
      <c r="K384" s="2333">
        <f t="shared" si="68"/>
        <v>19356.5</v>
      </c>
      <c r="L384" s="2332">
        <f>ROUND(I384*1.06,0)</f>
        <v>11687</v>
      </c>
      <c r="M384" s="2332">
        <f>ROUND(L384*1.06,0)</f>
        <v>12388</v>
      </c>
    </row>
    <row r="385" spans="1:13" x14ac:dyDescent="0.2">
      <c r="A385" s="2329">
        <v>2207</v>
      </c>
      <c r="B385" s="2258" t="s">
        <v>7008</v>
      </c>
      <c r="C385" s="2332">
        <v>0</v>
      </c>
      <c r="D385" s="2332">
        <v>5250</v>
      </c>
      <c r="E385" s="2332">
        <f>5250</f>
        <v>5250</v>
      </c>
      <c r="F385" s="2332">
        <v>0</v>
      </c>
      <c r="G385" s="2332">
        <f>F385/$F$11*$G$11</f>
        <v>0</v>
      </c>
      <c r="H385" s="2332"/>
      <c r="I385" s="2332">
        <v>0</v>
      </c>
      <c r="J385" s="2332">
        <v>0</v>
      </c>
      <c r="K385" s="2333">
        <f t="shared" si="68"/>
        <v>0</v>
      </c>
      <c r="L385" s="2332">
        <f>ROUND(I385*1.06,0)</f>
        <v>0</v>
      </c>
      <c r="M385" s="2332">
        <f>ROUND(L385*1.06,0)</f>
        <v>0</v>
      </c>
    </row>
    <row r="386" spans="1:13" x14ac:dyDescent="0.2">
      <c r="A386" s="2329">
        <v>2226</v>
      </c>
      <c r="B386" s="2258" t="s">
        <v>6607</v>
      </c>
      <c r="C386" s="2332">
        <v>0</v>
      </c>
      <c r="D386" s="2332">
        <v>5250</v>
      </c>
      <c r="E386" s="2332">
        <f>5250</f>
        <v>5250</v>
      </c>
      <c r="F386" s="2332">
        <v>0</v>
      </c>
      <c r="G386" s="2332">
        <f>F386/$F$11*$G$11</f>
        <v>0</v>
      </c>
      <c r="H386" s="2332"/>
      <c r="I386" s="2332">
        <f>ROUND(E386*1.05,0)</f>
        <v>5513</v>
      </c>
      <c r="J386" s="2332">
        <v>0</v>
      </c>
      <c r="K386" s="2333">
        <f t="shared" si="68"/>
        <v>0</v>
      </c>
      <c r="L386" s="2332">
        <f>ROUND(I386*1.06,0)</f>
        <v>5844</v>
      </c>
      <c r="M386" s="2332">
        <f>ROUND(L386*1.06,0)</f>
        <v>6195</v>
      </c>
    </row>
    <row r="387" spans="1:13" x14ac:dyDescent="0.2">
      <c r="A387" s="2329">
        <v>2231</v>
      </c>
      <c r="B387" s="2258" t="s">
        <v>1779</v>
      </c>
      <c r="C387" s="2332">
        <v>1392</v>
      </c>
      <c r="D387" s="2332">
        <v>5250</v>
      </c>
      <c r="E387" s="2332">
        <f>5250</f>
        <v>5250</v>
      </c>
      <c r="F387" s="2332">
        <v>446</v>
      </c>
      <c r="G387" s="2332">
        <f>F387/$F$11*$G$11</f>
        <v>535.20000000000005</v>
      </c>
      <c r="H387" s="2332"/>
      <c r="I387" s="2332">
        <f>ROUND(E387*1.05,0)</f>
        <v>5513</v>
      </c>
      <c r="J387" s="2332">
        <v>0</v>
      </c>
      <c r="K387" s="2333">
        <f t="shared" si="68"/>
        <v>0</v>
      </c>
      <c r="L387" s="2332">
        <f>ROUND(I387*1.06,0)</f>
        <v>5844</v>
      </c>
      <c r="M387" s="2332">
        <f>ROUND(L387*1.06,0)</f>
        <v>6195</v>
      </c>
    </row>
    <row r="388" spans="1:13" x14ac:dyDescent="0.2">
      <c r="A388" s="2329"/>
      <c r="B388" s="2258" t="s">
        <v>7026</v>
      </c>
      <c r="C388" s="2332"/>
      <c r="D388" s="2332"/>
      <c r="E388" s="2332"/>
      <c r="F388" s="2332"/>
      <c r="G388" s="2332"/>
      <c r="H388" s="2332"/>
      <c r="I388" s="2332"/>
      <c r="J388" s="2332">
        <f>[5]Sheet1!$K$1224</f>
        <v>2300000</v>
      </c>
      <c r="K388" s="2333">
        <f t="shared" si="68"/>
        <v>2300000</v>
      </c>
      <c r="L388" s="2332"/>
      <c r="M388" s="2332"/>
    </row>
    <row r="389" spans="1:13" x14ac:dyDescent="0.2">
      <c r="A389" s="2329"/>
      <c r="B389" s="2258" t="s">
        <v>7025</v>
      </c>
      <c r="C389" s="2332"/>
      <c r="D389" s="2332"/>
      <c r="E389" s="2332"/>
      <c r="F389" s="2332"/>
      <c r="G389" s="2332"/>
      <c r="H389" s="2332"/>
      <c r="I389" s="2332"/>
      <c r="J389" s="2332">
        <f>[5]Sheet1!$K$1223</f>
        <v>2200000</v>
      </c>
      <c r="K389" s="2333">
        <f t="shared" si="68"/>
        <v>2200000</v>
      </c>
      <c r="L389" s="2332"/>
      <c r="M389" s="2332"/>
    </row>
    <row r="390" spans="1:13" x14ac:dyDescent="0.2">
      <c r="A390" s="2329">
        <v>2238</v>
      </c>
      <c r="B390" s="2334" t="s">
        <v>6967</v>
      </c>
      <c r="C390" s="2335">
        <v>20487</v>
      </c>
      <c r="D390" s="2335">
        <v>50000</v>
      </c>
      <c r="E390" s="2335">
        <f>50000+50000</f>
        <v>100000</v>
      </c>
      <c r="F390" s="2335">
        <v>83348</v>
      </c>
      <c r="G390" s="2335">
        <f>F390/$F$11*$G$11</f>
        <v>100017.59999999999</v>
      </c>
      <c r="H390" s="2335"/>
      <c r="I390" s="2335">
        <f>ROUND(E390*1.05,0)</f>
        <v>105000</v>
      </c>
      <c r="J390" s="2335">
        <f>[5]Sheet1!$K$1222</f>
        <v>64141.64</v>
      </c>
      <c r="K390" s="2336">
        <f t="shared" si="68"/>
        <v>64141.64</v>
      </c>
      <c r="L390" s="2335">
        <f>ROUND(I390*1.06,0)</f>
        <v>111300</v>
      </c>
      <c r="M390" s="2335">
        <f>ROUND(L390*1.06,0)</f>
        <v>117978</v>
      </c>
    </row>
    <row r="391" spans="1:13" x14ac:dyDescent="0.2">
      <c r="A391" s="2316"/>
      <c r="B391" s="2330" t="s">
        <v>6614</v>
      </c>
      <c r="C391" s="2349">
        <f t="shared" ref="C391:M391" si="75">SUM(C384:C390)</f>
        <v>21879</v>
      </c>
      <c r="D391" s="2349">
        <f t="shared" si="75"/>
        <v>76250</v>
      </c>
      <c r="E391" s="2349">
        <f t="shared" si="75"/>
        <v>126250</v>
      </c>
      <c r="F391" s="2349">
        <f t="shared" si="75"/>
        <v>83794</v>
      </c>
      <c r="G391" s="2349">
        <f t="shared" si="75"/>
        <v>100552.79999999999</v>
      </c>
      <c r="H391" s="2349"/>
      <c r="I391" s="2349">
        <f>SUM(I384:I390)</f>
        <v>127051</v>
      </c>
      <c r="J391" s="2349">
        <f>SUM(J384:J390)</f>
        <v>4583498.1399999997</v>
      </c>
      <c r="K391" s="2333">
        <f t="shared" si="68"/>
        <v>4583498.1399999997</v>
      </c>
      <c r="L391" s="2349">
        <f t="shared" si="75"/>
        <v>134675</v>
      </c>
      <c r="M391" s="2349">
        <f t="shared" si="75"/>
        <v>142756</v>
      </c>
    </row>
    <row r="392" spans="1:13" x14ac:dyDescent="0.2">
      <c r="A392" s="2345"/>
      <c r="B392" s="2330"/>
      <c r="C392" s="2371"/>
      <c r="D392" s="2371"/>
      <c r="E392" s="2371"/>
      <c r="F392" s="2371"/>
      <c r="G392" s="2371"/>
      <c r="H392" s="2371"/>
      <c r="I392" s="2371"/>
      <c r="J392" s="2371">
        <f>J391-[5]Sheet1!$K$1225</f>
        <v>0</v>
      </c>
      <c r="K392" s="2333">
        <f t="shared" si="68"/>
        <v>0</v>
      </c>
      <c r="L392" s="2371"/>
      <c r="M392" s="2371"/>
    </row>
    <row r="393" spans="1:13" x14ac:dyDescent="0.2">
      <c r="A393" s="2345"/>
      <c r="B393" s="2330"/>
      <c r="C393" s="2371"/>
      <c r="D393" s="2371"/>
      <c r="E393" s="2371"/>
      <c r="F393" s="2371"/>
      <c r="G393" s="2371"/>
      <c r="H393" s="2371"/>
      <c r="I393" s="2371"/>
      <c r="J393" s="2371"/>
      <c r="K393" s="2336">
        <f t="shared" si="68"/>
        <v>0</v>
      </c>
      <c r="L393" s="2371"/>
      <c r="M393" s="2371"/>
    </row>
    <row r="394" spans="1:13" x14ac:dyDescent="0.2">
      <c r="A394" s="2341"/>
      <c r="B394" s="2372" t="s">
        <v>6972</v>
      </c>
      <c r="C394" s="2373">
        <f t="shared" ref="C394:M394" si="76">C381+C391</f>
        <v>125469</v>
      </c>
      <c r="D394" s="2373">
        <f t="shared" si="76"/>
        <v>642350</v>
      </c>
      <c r="E394" s="2373">
        <f t="shared" si="76"/>
        <v>692350</v>
      </c>
      <c r="F394" s="2373">
        <f t="shared" si="76"/>
        <v>197566</v>
      </c>
      <c r="G394" s="2373">
        <f t="shared" si="76"/>
        <v>237079.2</v>
      </c>
      <c r="H394" s="2373"/>
      <c r="I394" s="2373">
        <f>I381+I391</f>
        <v>1568368</v>
      </c>
      <c r="J394" s="2373">
        <f>J381+J391</f>
        <v>4912850.0299999993</v>
      </c>
      <c r="K394" s="2333">
        <f t="shared" si="68"/>
        <v>4912850.0299999993</v>
      </c>
      <c r="L394" s="2373">
        <f t="shared" si="76"/>
        <v>1691299</v>
      </c>
      <c r="M394" s="2373">
        <f t="shared" si="76"/>
        <v>1823910</v>
      </c>
    </row>
    <row r="395" spans="1:13" x14ac:dyDescent="0.2">
      <c r="A395" s="2329"/>
      <c r="B395" s="2330"/>
      <c r="C395" s="2364"/>
      <c r="D395" s="2364"/>
      <c r="E395" s="2364"/>
      <c r="F395" s="2364"/>
      <c r="G395" s="2364"/>
      <c r="H395" s="2364"/>
      <c r="I395" s="2364"/>
      <c r="J395" s="2364"/>
      <c r="K395" s="2333">
        <f t="shared" si="68"/>
        <v>0</v>
      </c>
      <c r="L395" s="2364"/>
      <c r="M395" s="2364"/>
    </row>
    <row r="396" spans="1:13" ht="13.5" thickBot="1" x14ac:dyDescent="0.25">
      <c r="A396" s="2341"/>
      <c r="B396" s="2342" t="s">
        <v>6623</v>
      </c>
      <c r="C396" s="2354">
        <f t="shared" ref="C396:M396" si="77">C394</f>
        <v>125469</v>
      </c>
      <c r="D396" s="2354">
        <f t="shared" si="77"/>
        <v>642350</v>
      </c>
      <c r="E396" s="2354">
        <f t="shared" si="77"/>
        <v>692350</v>
      </c>
      <c r="F396" s="2354">
        <f t="shared" si="77"/>
        <v>197566</v>
      </c>
      <c r="G396" s="2354">
        <f t="shared" si="77"/>
        <v>237079.2</v>
      </c>
      <c r="H396" s="2354"/>
      <c r="I396" s="2354">
        <f>I394</f>
        <v>1568368</v>
      </c>
      <c r="J396" s="2354">
        <f>J394</f>
        <v>4912850.0299999993</v>
      </c>
      <c r="K396" s="2344">
        <f t="shared" si="68"/>
        <v>4912850.0299999993</v>
      </c>
      <c r="L396" s="2354">
        <f t="shared" si="77"/>
        <v>1691299</v>
      </c>
      <c r="M396" s="2354">
        <f t="shared" si="77"/>
        <v>1823910</v>
      </c>
    </row>
    <row r="397" spans="1:13" ht="13.5" thickTop="1" x14ac:dyDescent="0.2">
      <c r="A397" s="2341"/>
      <c r="B397" s="2330"/>
      <c r="C397" s="2349"/>
      <c r="D397" s="2349"/>
      <c r="E397" s="2349"/>
      <c r="F397" s="2349"/>
      <c r="G397" s="2349"/>
      <c r="H397" s="2349"/>
      <c r="I397" s="2349"/>
      <c r="J397" s="2349"/>
      <c r="K397" s="2333">
        <f t="shared" si="68"/>
        <v>0</v>
      </c>
      <c r="L397" s="2349"/>
      <c r="M397" s="2349"/>
    </row>
    <row r="398" spans="1:13" ht="13.5" thickBot="1" x14ac:dyDescent="0.25">
      <c r="A398" s="2345"/>
      <c r="B398" s="2342" t="s">
        <v>6624</v>
      </c>
      <c r="C398" s="2355">
        <f>C350-C396</f>
        <v>-125469</v>
      </c>
      <c r="D398" s="2355">
        <f>D350-D396</f>
        <v>-166350</v>
      </c>
      <c r="E398" s="2355">
        <f>E350-E396</f>
        <v>0</v>
      </c>
      <c r="F398" s="2355">
        <f>F350-F396</f>
        <v>444934</v>
      </c>
      <c r="G398" s="2355">
        <f>G350-G396</f>
        <v>405420.79999999999</v>
      </c>
      <c r="H398" s="2355"/>
      <c r="I398" s="2355">
        <f>I350-I396</f>
        <v>-823274</v>
      </c>
      <c r="J398" s="2355">
        <f>J350-J396</f>
        <v>-2434390.0299999993</v>
      </c>
      <c r="K398" s="2344">
        <f t="shared" si="68"/>
        <v>-2434390.0299999993</v>
      </c>
      <c r="L398" s="2355">
        <f>L350-L396</f>
        <v>-1691299</v>
      </c>
      <c r="M398" s="2355">
        <f>M350-M396</f>
        <v>-1823910</v>
      </c>
    </row>
    <row r="399" spans="1:13" ht="13.5" thickTop="1" x14ac:dyDescent="0.2">
      <c r="A399" s="2345"/>
      <c r="B399" s="2330"/>
      <c r="C399" s="2356"/>
      <c r="D399" s="2356"/>
      <c r="E399" s="2356"/>
      <c r="G399" s="2332"/>
      <c r="H399" s="2332"/>
      <c r="I399" s="2332"/>
      <c r="J399" s="2332"/>
      <c r="K399" s="2333">
        <f t="shared" si="68"/>
        <v>0</v>
      </c>
      <c r="L399" s="2356"/>
      <c r="M399" s="2356"/>
    </row>
    <row r="400" spans="1:13" ht="15" x14ac:dyDescent="0.25">
      <c r="A400" s="2365"/>
      <c r="B400" s="2370"/>
      <c r="C400" s="2356"/>
      <c r="D400" s="2356"/>
      <c r="E400" s="2356"/>
      <c r="G400" s="2332"/>
      <c r="H400" s="2332"/>
      <c r="I400" s="2332"/>
      <c r="J400" s="2332"/>
      <c r="K400" s="2333">
        <f t="shared" si="68"/>
        <v>0</v>
      </c>
      <c r="L400" s="2356"/>
      <c r="M400" s="2356"/>
    </row>
    <row r="401" spans="1:13" ht="15.75" x14ac:dyDescent="0.25">
      <c r="A401" s="2374">
        <v>1100</v>
      </c>
      <c r="B401" s="2320" t="s">
        <v>7027</v>
      </c>
      <c r="C401" s="2356"/>
      <c r="D401" s="2356"/>
      <c r="E401" s="2356"/>
      <c r="G401" s="2332"/>
      <c r="H401" s="2332"/>
      <c r="I401" s="2332"/>
      <c r="J401" s="2332"/>
      <c r="K401" s="2333">
        <f t="shared" si="68"/>
        <v>0</v>
      </c>
      <c r="L401" s="2356"/>
      <c r="M401" s="2356"/>
    </row>
    <row r="402" spans="1:13" ht="15" x14ac:dyDescent="0.25">
      <c r="A402" s="2365">
        <v>1110</v>
      </c>
      <c r="B402" s="2326" t="s">
        <v>7028</v>
      </c>
      <c r="C402" s="2326"/>
      <c r="D402" s="2326"/>
      <c r="E402" s="2326"/>
      <c r="G402" s="2332"/>
      <c r="H402" s="2332"/>
      <c r="I402" s="2332"/>
      <c r="J402" s="2332"/>
      <c r="K402" s="2333">
        <f t="shared" si="68"/>
        <v>0</v>
      </c>
    </row>
    <row r="403" spans="1:13" ht="15" x14ac:dyDescent="0.25">
      <c r="B403" s="2326"/>
      <c r="C403" s="2326"/>
      <c r="D403" s="2326"/>
      <c r="E403" s="2326"/>
      <c r="G403" s="2332"/>
      <c r="H403" s="2332"/>
      <c r="I403" s="2332"/>
      <c r="J403" s="2332"/>
      <c r="K403" s="2333">
        <f t="shared" si="68"/>
        <v>0</v>
      </c>
    </row>
    <row r="404" spans="1:13" x14ac:dyDescent="0.2">
      <c r="B404" s="2328" t="s">
        <v>247</v>
      </c>
      <c r="C404" s="2328"/>
      <c r="D404" s="2328"/>
      <c r="E404" s="2328"/>
      <c r="G404" s="2332"/>
      <c r="H404" s="2332"/>
      <c r="I404" s="2332"/>
      <c r="J404" s="2332"/>
      <c r="K404" s="2333">
        <f t="shared" si="68"/>
        <v>0</v>
      </c>
    </row>
    <row r="405" spans="1:13" x14ac:dyDescent="0.2">
      <c r="B405" s="2323"/>
      <c r="C405" s="2323"/>
      <c r="D405" s="2323"/>
      <c r="E405" s="2323"/>
      <c r="G405" s="2332"/>
      <c r="H405" s="2332"/>
      <c r="I405" s="2332"/>
      <c r="J405" s="2332"/>
      <c r="K405" s="2333">
        <f t="shared" ref="K405:K468" si="78">J405</f>
        <v>0</v>
      </c>
    </row>
    <row r="406" spans="1:13" x14ac:dyDescent="0.2">
      <c r="B406" s="2330" t="s">
        <v>7029</v>
      </c>
      <c r="C406" s="2375"/>
      <c r="D406" s="2375"/>
      <c r="E406" s="2375"/>
      <c r="G406" s="2332"/>
      <c r="H406" s="2332"/>
      <c r="I406" s="2332"/>
      <c r="J406" s="2332"/>
      <c r="K406" s="2333">
        <f t="shared" si="78"/>
        <v>0</v>
      </c>
      <c r="L406" s="2375"/>
      <c r="M406" s="2375"/>
    </row>
    <row r="407" spans="1:13" x14ac:dyDescent="0.2">
      <c r="A407" s="2353">
        <v>5300</v>
      </c>
      <c r="B407" s="2258" t="s">
        <v>7030</v>
      </c>
      <c r="C407" s="2332">
        <v>0</v>
      </c>
      <c r="D407" s="2332">
        <v>10000</v>
      </c>
      <c r="E407" s="2332">
        <v>10000</v>
      </c>
      <c r="F407" s="2332">
        <v>0</v>
      </c>
      <c r="G407" s="2332">
        <f>F407/$F$11*$G$11</f>
        <v>0</v>
      </c>
      <c r="H407" s="2332"/>
      <c r="I407" s="2332">
        <v>5000</v>
      </c>
      <c r="J407" s="2332">
        <f>-[5]Sheet1!$K$186</f>
        <v>2925</v>
      </c>
      <c r="K407" s="2333">
        <f t="shared" si="78"/>
        <v>2925</v>
      </c>
      <c r="L407" s="2332">
        <f>ROUND(I407*1.1,0)</f>
        <v>5500</v>
      </c>
      <c r="M407" s="2332">
        <f>ROUND(L407*1.1,0)</f>
        <v>6050</v>
      </c>
    </row>
    <row r="408" spans="1:13" x14ac:dyDescent="0.2">
      <c r="A408" s="2353">
        <v>5302</v>
      </c>
      <c r="B408" s="2258" t="s">
        <v>7031</v>
      </c>
      <c r="C408" s="2332">
        <v>53176</v>
      </c>
      <c r="D408" s="2332">
        <v>0</v>
      </c>
      <c r="E408" s="2332">
        <v>0</v>
      </c>
      <c r="F408" s="2332">
        <v>41844</v>
      </c>
      <c r="G408" s="2332">
        <f>F408/$F$11*$G$11</f>
        <v>50212.799999999996</v>
      </c>
      <c r="H408" s="2332"/>
      <c r="I408" s="2332">
        <v>70000</v>
      </c>
      <c r="J408" s="2332">
        <f>-[5]Sheet1!$K$202</f>
        <v>64533.48</v>
      </c>
      <c r="K408" s="2333">
        <f t="shared" si="78"/>
        <v>64533.48</v>
      </c>
      <c r="L408" s="2332">
        <v>70000</v>
      </c>
      <c r="M408" s="2332">
        <v>70000</v>
      </c>
    </row>
    <row r="409" spans="1:13" x14ac:dyDescent="0.2">
      <c r="A409" s="2353">
        <v>5301</v>
      </c>
      <c r="B409" s="2334" t="s">
        <v>4276</v>
      </c>
      <c r="C409" s="2335">
        <v>22989</v>
      </c>
      <c r="D409" s="2335">
        <v>26100</v>
      </c>
      <c r="E409" s="2335">
        <v>26100</v>
      </c>
      <c r="F409" s="2335">
        <v>114</v>
      </c>
      <c r="G409" s="2335">
        <f>F409/$F$11*$G$11</f>
        <v>136.80000000000001</v>
      </c>
      <c r="H409" s="2335"/>
      <c r="I409" s="2335">
        <v>300</v>
      </c>
      <c r="J409" s="2335">
        <f>-[5]Sheet1!$K$187</f>
        <v>434.5</v>
      </c>
      <c r="K409" s="2336">
        <f t="shared" si="78"/>
        <v>434.5</v>
      </c>
      <c r="L409" s="2335">
        <f>ROUND(I409*1.1,0)</f>
        <v>330</v>
      </c>
      <c r="M409" s="2335">
        <f>ROUND(L409*1.1,0)</f>
        <v>363</v>
      </c>
    </row>
    <row r="410" spans="1:13" x14ac:dyDescent="0.2">
      <c r="B410" s="2330" t="s">
        <v>7032</v>
      </c>
      <c r="C410" s="2376">
        <f>SUM(C407:C409)</f>
        <v>76165</v>
      </c>
      <c r="D410" s="2376">
        <f>SUM(D407:D409)</f>
        <v>36100</v>
      </c>
      <c r="E410" s="2376">
        <f>SUM(E407:E409)</f>
        <v>36100</v>
      </c>
      <c r="F410" s="2376">
        <f>SUM(F407:F409)</f>
        <v>41958</v>
      </c>
      <c r="G410" s="2376">
        <f>SUM(G407:G409)</f>
        <v>50349.599999999999</v>
      </c>
      <c r="H410" s="2376"/>
      <c r="I410" s="2376">
        <f>SUM(I407:I409)</f>
        <v>75300</v>
      </c>
      <c r="J410" s="2376">
        <f>SUM(J407:J409)</f>
        <v>67892.98000000001</v>
      </c>
      <c r="K410" s="2333">
        <f t="shared" si="78"/>
        <v>67892.98000000001</v>
      </c>
      <c r="L410" s="2376">
        <f>SUM(L407:L409)</f>
        <v>75830</v>
      </c>
      <c r="M410" s="2376">
        <f>SUM(M407:M409)</f>
        <v>76413</v>
      </c>
    </row>
    <row r="411" spans="1:13" x14ac:dyDescent="0.2">
      <c r="B411" s="2330"/>
      <c r="C411" s="2376"/>
      <c r="D411" s="2376"/>
      <c r="E411" s="2376"/>
      <c r="F411" s="2309"/>
      <c r="G411" s="2332"/>
      <c r="H411" s="2332"/>
      <c r="I411" s="2332"/>
      <c r="J411" s="2332">
        <f>J410+[5]Sheet1!$K$188+[5]Sheet1!$K$202</f>
        <v>0</v>
      </c>
      <c r="K411" s="2333">
        <f t="shared" si="78"/>
        <v>0</v>
      </c>
      <c r="L411" s="2376"/>
      <c r="M411" s="2376"/>
    </row>
    <row r="412" spans="1:13" x14ac:dyDescent="0.2">
      <c r="B412" s="2330" t="s">
        <v>6654</v>
      </c>
      <c r="C412" s="2376"/>
      <c r="D412" s="2376"/>
      <c r="E412" s="2376"/>
      <c r="G412" s="2332"/>
      <c r="H412" s="2332"/>
      <c r="I412" s="2332"/>
      <c r="J412" s="2332"/>
      <c r="K412" s="2333">
        <f t="shared" si="78"/>
        <v>0</v>
      </c>
      <c r="L412" s="2376"/>
      <c r="M412" s="2376"/>
    </row>
    <row r="413" spans="1:13" x14ac:dyDescent="0.2">
      <c r="A413" s="2353">
        <v>5644</v>
      </c>
      <c r="B413" s="2334" t="s">
        <v>7033</v>
      </c>
      <c r="C413" s="2339">
        <v>3158</v>
      </c>
      <c r="D413" s="2335">
        <v>4211</v>
      </c>
      <c r="E413" s="2335">
        <v>4211</v>
      </c>
      <c r="F413" s="2335">
        <v>5204</v>
      </c>
      <c r="G413" s="2335">
        <v>5204</v>
      </c>
      <c r="H413" s="2335"/>
      <c r="I413" s="2335">
        <v>0</v>
      </c>
      <c r="J413" s="2335">
        <f>-[5]Sheet1!$K$192</f>
        <v>6932.56</v>
      </c>
      <c r="K413" s="2336">
        <f t="shared" si="78"/>
        <v>6932.56</v>
      </c>
      <c r="L413" s="2335">
        <v>0</v>
      </c>
      <c r="M413" s="2335">
        <v>0</v>
      </c>
    </row>
    <row r="414" spans="1:13" x14ac:dyDescent="0.2">
      <c r="B414" s="2330" t="s">
        <v>6657</v>
      </c>
      <c r="C414" s="2376">
        <f t="shared" ref="C414:M414" si="79">SUM(C413)</f>
        <v>3158</v>
      </c>
      <c r="D414" s="2376">
        <f t="shared" si="79"/>
        <v>4211</v>
      </c>
      <c r="E414" s="2376">
        <f t="shared" si="79"/>
        <v>4211</v>
      </c>
      <c r="F414" s="2376">
        <f t="shared" si="79"/>
        <v>5204</v>
      </c>
      <c r="G414" s="2376">
        <f t="shared" si="79"/>
        <v>5204</v>
      </c>
      <c r="H414" s="2376"/>
      <c r="I414" s="2376">
        <f t="shared" si="79"/>
        <v>0</v>
      </c>
      <c r="J414" s="2376">
        <f>J413</f>
        <v>6932.56</v>
      </c>
      <c r="K414" s="2333">
        <f t="shared" si="78"/>
        <v>6932.56</v>
      </c>
      <c r="L414" s="2376">
        <f t="shared" si="79"/>
        <v>0</v>
      </c>
      <c r="M414" s="2376">
        <f t="shared" si="79"/>
        <v>0</v>
      </c>
    </row>
    <row r="415" spans="1:13" x14ac:dyDescent="0.2">
      <c r="B415" s="2330"/>
      <c r="C415" s="2375"/>
      <c r="D415" s="2375"/>
      <c r="E415" s="2375"/>
      <c r="G415" s="2332"/>
      <c r="H415" s="2332"/>
      <c r="I415" s="2332"/>
      <c r="J415" s="2332">
        <f>J414+[5]Sheet1!$K$193</f>
        <v>0</v>
      </c>
      <c r="K415" s="2333">
        <f t="shared" si="78"/>
        <v>0</v>
      </c>
      <c r="L415" s="2375"/>
      <c r="M415" s="2375"/>
    </row>
    <row r="416" spans="1:13" x14ac:dyDescent="0.2">
      <c r="B416" s="2330" t="s">
        <v>6929</v>
      </c>
      <c r="C416" s="2375"/>
      <c r="D416" s="2375"/>
      <c r="E416" s="2375"/>
      <c r="G416" s="2332"/>
      <c r="H416" s="2332"/>
      <c r="I416" s="2332"/>
      <c r="J416" s="2332"/>
      <c r="K416" s="2333">
        <f t="shared" si="78"/>
        <v>0</v>
      </c>
      <c r="L416" s="2375"/>
      <c r="M416" s="2375"/>
    </row>
    <row r="417" spans="1:13" x14ac:dyDescent="0.2">
      <c r="A417" s="2353">
        <v>5501</v>
      </c>
      <c r="B417" s="2258" t="s">
        <v>595</v>
      </c>
      <c r="C417" s="2332">
        <v>24832097</v>
      </c>
      <c r="D417" s="2332">
        <f>31500000+587000</f>
        <v>32087000</v>
      </c>
      <c r="E417" s="2332">
        <f>31500000+681000+587000</f>
        <v>32768000</v>
      </c>
      <c r="F417" s="2332">
        <v>12584976</v>
      </c>
      <c r="G417" s="2332">
        <v>32181000</v>
      </c>
      <c r="H417" s="2332"/>
      <c r="I417" s="2332">
        <f>40862000</f>
        <v>40862000</v>
      </c>
      <c r="J417" s="2332">
        <f>-[5]Sheet1!$K$196</f>
        <v>40862003</v>
      </c>
      <c r="K417" s="2333">
        <f t="shared" si="78"/>
        <v>40862003</v>
      </c>
      <c r="L417" s="2332">
        <v>46076000</v>
      </c>
      <c r="M417" s="2332">
        <v>50691000</v>
      </c>
    </row>
    <row r="418" spans="1:13" x14ac:dyDescent="0.2">
      <c r="A418" s="2353">
        <v>5505</v>
      </c>
      <c r="B418" s="2258" t="s">
        <v>6721</v>
      </c>
      <c r="C418" s="2332">
        <v>515840</v>
      </c>
      <c r="D418" s="2332">
        <v>0</v>
      </c>
      <c r="E418" s="2332">
        <v>0</v>
      </c>
      <c r="F418" s="2332">
        <v>0</v>
      </c>
      <c r="G418" s="2332">
        <v>0</v>
      </c>
      <c r="H418" s="2332"/>
      <c r="I418" s="2332">
        <v>0</v>
      </c>
      <c r="J418" s="2332">
        <v>0</v>
      </c>
      <c r="K418" s="2333">
        <f t="shared" si="78"/>
        <v>0</v>
      </c>
      <c r="L418" s="2332">
        <v>0</v>
      </c>
      <c r="M418" s="2332">
        <v>0</v>
      </c>
    </row>
    <row r="419" spans="1:13" x14ac:dyDescent="0.2">
      <c r="A419" s="2353">
        <v>5502</v>
      </c>
      <c r="B419" s="2334" t="s">
        <v>7034</v>
      </c>
      <c r="C419" s="2335">
        <v>594297</v>
      </c>
      <c r="D419" s="2335">
        <v>1000000</v>
      </c>
      <c r="E419" s="2335">
        <f>1000000</f>
        <v>1000000</v>
      </c>
      <c r="F419" s="2335">
        <v>1000000</v>
      </c>
      <c r="G419" s="2335">
        <v>1000000</v>
      </c>
      <c r="H419" s="2335"/>
      <c r="I419" s="2335">
        <v>1250000</v>
      </c>
      <c r="J419" s="2335">
        <f>-[5]Sheet1!$K$197</f>
        <v>1250000</v>
      </c>
      <c r="K419" s="2336">
        <f t="shared" si="78"/>
        <v>1250000</v>
      </c>
      <c r="L419" s="2335">
        <v>1500000</v>
      </c>
      <c r="M419" s="2335">
        <v>1500000</v>
      </c>
    </row>
    <row r="420" spans="1:13" x14ac:dyDescent="0.2">
      <c r="A420" s="2353"/>
      <c r="B420" s="2330" t="s">
        <v>6932</v>
      </c>
      <c r="C420" s="2376">
        <f t="shared" ref="C420:M420" si="80">SUM(C417:C419)</f>
        <v>25942234</v>
      </c>
      <c r="D420" s="2376">
        <f t="shared" si="80"/>
        <v>33087000</v>
      </c>
      <c r="E420" s="2376">
        <f t="shared" si="80"/>
        <v>33768000</v>
      </c>
      <c r="F420" s="2376">
        <f t="shared" si="80"/>
        <v>13584976</v>
      </c>
      <c r="G420" s="2376">
        <f t="shared" si="80"/>
        <v>33181000</v>
      </c>
      <c r="H420" s="2376"/>
      <c r="I420" s="2376">
        <f>SUM(I417:I419)</f>
        <v>42112000</v>
      </c>
      <c r="J420" s="2376">
        <f>J417+J418+J419</f>
        <v>42112003</v>
      </c>
      <c r="K420" s="2333">
        <f t="shared" si="78"/>
        <v>42112003</v>
      </c>
      <c r="L420" s="2376">
        <f t="shared" si="80"/>
        <v>47576000</v>
      </c>
      <c r="M420" s="2376">
        <f t="shared" si="80"/>
        <v>52191000</v>
      </c>
    </row>
    <row r="421" spans="1:13" x14ac:dyDescent="0.2">
      <c r="A421" s="2353"/>
      <c r="B421" s="2258"/>
      <c r="C421" s="2332"/>
      <c r="D421" s="2332"/>
      <c r="E421" s="2332"/>
      <c r="F421" s="2309"/>
      <c r="G421" s="2332"/>
      <c r="H421" s="2332"/>
      <c r="I421" s="2332"/>
      <c r="J421" s="2332">
        <f>J420+[5]Sheet1!$K$198</f>
        <v>0</v>
      </c>
      <c r="K421" s="2333">
        <f t="shared" si="78"/>
        <v>0</v>
      </c>
      <c r="L421" s="2332"/>
      <c r="M421" s="2332"/>
    </row>
    <row r="422" spans="1:13" x14ac:dyDescent="0.2">
      <c r="B422" s="2330" t="s">
        <v>1637</v>
      </c>
      <c r="C422" s="2375"/>
      <c r="D422" s="2375"/>
      <c r="E422" s="2375"/>
      <c r="G422" s="2332"/>
      <c r="H422" s="2332"/>
      <c r="I422" s="2332"/>
      <c r="J422" s="2332"/>
      <c r="K422" s="2333">
        <f t="shared" si="78"/>
        <v>0</v>
      </c>
      <c r="L422" s="2375"/>
      <c r="M422" s="2375"/>
    </row>
    <row r="423" spans="1:13" x14ac:dyDescent="0.2">
      <c r="A423" s="2353">
        <v>5000</v>
      </c>
      <c r="B423" s="2258" t="s">
        <v>6473</v>
      </c>
      <c r="C423" s="2332">
        <v>12070</v>
      </c>
      <c r="D423" s="2332">
        <v>12687</v>
      </c>
      <c r="E423" s="2332">
        <v>12687</v>
      </c>
      <c r="F423" s="2332">
        <v>12629</v>
      </c>
      <c r="G423" s="2332">
        <f>F423/$F$11*$G$11</f>
        <v>15154.800000000001</v>
      </c>
      <c r="H423" s="2332"/>
      <c r="I423" s="2332">
        <v>25000</v>
      </c>
      <c r="J423" s="2332">
        <f>-[5]Sheet1!$K$201</f>
        <v>32526.760000000002</v>
      </c>
      <c r="K423" s="2333">
        <f t="shared" si="78"/>
        <v>32526.760000000002</v>
      </c>
      <c r="L423" s="2332">
        <f>ROUND(I423*1.06,0)</f>
        <v>26500</v>
      </c>
      <c r="M423" s="2332">
        <f>ROUND(L423*1.06,0)</f>
        <v>28090</v>
      </c>
    </row>
    <row r="424" spans="1:13" x14ac:dyDescent="0.2">
      <c r="A424" s="2353">
        <v>5634</v>
      </c>
      <c r="B424" s="2258" t="s">
        <v>7035</v>
      </c>
      <c r="C424" s="2332">
        <v>0</v>
      </c>
      <c r="D424" s="2332">
        <v>0</v>
      </c>
      <c r="E424" s="2332">
        <v>0</v>
      </c>
      <c r="F424" s="2332">
        <v>0</v>
      </c>
      <c r="G424" s="2332">
        <f>F424/$F$11*$G$11</f>
        <v>0</v>
      </c>
      <c r="H424" s="2332"/>
      <c r="I424" s="2332">
        <v>0</v>
      </c>
      <c r="J424" s="2332">
        <v>0</v>
      </c>
      <c r="K424" s="2333">
        <f t="shared" si="78"/>
        <v>0</v>
      </c>
      <c r="L424" s="2332">
        <f>ROUND(I424*1.06,0)</f>
        <v>0</v>
      </c>
      <c r="M424" s="2332">
        <f>ROUND(L424*1.06,0)</f>
        <v>0</v>
      </c>
    </row>
    <row r="425" spans="1:13" x14ac:dyDescent="0.2">
      <c r="A425" s="2353">
        <v>5802</v>
      </c>
      <c r="B425" s="2258" t="s">
        <v>7036</v>
      </c>
      <c r="C425" s="2332">
        <v>0</v>
      </c>
      <c r="D425" s="2332">
        <v>0</v>
      </c>
      <c r="E425" s="2332">
        <v>0</v>
      </c>
      <c r="F425" s="2332">
        <v>0</v>
      </c>
      <c r="G425" s="2332">
        <f>F425/$F$11*$G$11</f>
        <v>0</v>
      </c>
      <c r="H425" s="2332"/>
      <c r="I425" s="2332">
        <v>0</v>
      </c>
      <c r="J425" s="2332">
        <f>-[5]Sheet1!$K$205</f>
        <v>84.22</v>
      </c>
      <c r="K425" s="2333">
        <f t="shared" si="78"/>
        <v>84.22</v>
      </c>
      <c r="L425" s="2332">
        <f>ROUND(I425*1.06,0)</f>
        <v>0</v>
      </c>
      <c r="M425" s="2332">
        <f>ROUND(L425*1.06,0)</f>
        <v>0</v>
      </c>
    </row>
    <row r="426" spans="1:13" x14ac:dyDescent="0.2">
      <c r="A426" s="2353">
        <v>5820</v>
      </c>
      <c r="B426" s="2258" t="s">
        <v>7037</v>
      </c>
      <c r="C426" s="2332">
        <v>5074</v>
      </c>
      <c r="D426" s="2332">
        <v>0</v>
      </c>
      <c r="E426" s="2332">
        <v>0</v>
      </c>
      <c r="F426" s="2332">
        <v>206</v>
      </c>
      <c r="G426" s="2332">
        <f>F426/$F$11*$G$11</f>
        <v>247.20000000000002</v>
      </c>
      <c r="H426" s="2332"/>
      <c r="I426" s="2332">
        <v>500</v>
      </c>
      <c r="J426" s="2332">
        <v>0</v>
      </c>
      <c r="K426" s="2333">
        <f t="shared" si="78"/>
        <v>0</v>
      </c>
      <c r="L426" s="2332">
        <f>ROUND(I426*1.06,0)</f>
        <v>530</v>
      </c>
      <c r="M426" s="2332">
        <f>ROUND(L426*1.06,0)</f>
        <v>562</v>
      </c>
    </row>
    <row r="427" spans="1:13" x14ac:dyDescent="0.2">
      <c r="A427" s="2353"/>
      <c r="B427" s="2334" t="s">
        <v>7038</v>
      </c>
      <c r="C427" s="2335">
        <v>411489</v>
      </c>
      <c r="D427" s="2335">
        <f>50000</f>
        <v>50000</v>
      </c>
      <c r="E427" s="2335">
        <v>50000</v>
      </c>
      <c r="F427" s="2335">
        <v>70186</v>
      </c>
      <c r="G427" s="2335">
        <f>F427/$F$11*$G$11</f>
        <v>84223.200000000012</v>
      </c>
      <c r="H427" s="2335"/>
      <c r="I427" s="2335">
        <v>20000</v>
      </c>
      <c r="J427" s="2335">
        <f>-[5]Sheet1!$K$204</f>
        <v>700000</v>
      </c>
      <c r="K427" s="2336">
        <f t="shared" si="78"/>
        <v>700000</v>
      </c>
      <c r="L427" s="2335">
        <f>ROUND(I427*1.06,0)</f>
        <v>21200</v>
      </c>
      <c r="M427" s="2335">
        <f>ROUND(L427*1.06,0)</f>
        <v>22472</v>
      </c>
    </row>
    <row r="428" spans="1:13" x14ac:dyDescent="0.2">
      <c r="B428" s="2330" t="s">
        <v>6670</v>
      </c>
      <c r="C428" s="2376">
        <f t="shared" ref="C428:M428" si="81">SUM(C423:C427)</f>
        <v>428633</v>
      </c>
      <c r="D428" s="2376">
        <f t="shared" si="81"/>
        <v>62687</v>
      </c>
      <c r="E428" s="2376">
        <f t="shared" si="81"/>
        <v>62687</v>
      </c>
      <c r="F428" s="2376">
        <f t="shared" si="81"/>
        <v>83021</v>
      </c>
      <c r="G428" s="2376">
        <f t="shared" si="81"/>
        <v>99625.200000000012</v>
      </c>
      <c r="H428" s="2376"/>
      <c r="I428" s="2376">
        <f>SUM(I423:I427)</f>
        <v>45500</v>
      </c>
      <c r="J428" s="2376">
        <f>J423+J424+J425+J426+J427</f>
        <v>732610.98</v>
      </c>
      <c r="K428" s="2333">
        <f t="shared" si="78"/>
        <v>732610.98</v>
      </c>
      <c r="L428" s="2376">
        <f t="shared" si="81"/>
        <v>48230</v>
      </c>
      <c r="M428" s="2376">
        <f t="shared" si="81"/>
        <v>51124</v>
      </c>
    </row>
    <row r="429" spans="1:13" ht="13.5" thickBot="1" x14ac:dyDescent="0.25">
      <c r="B429" s="2330"/>
      <c r="C429" s="2375"/>
      <c r="D429" s="2375"/>
      <c r="E429" s="2375"/>
      <c r="F429" s="2375"/>
      <c r="G429" s="2375"/>
      <c r="H429" s="2375"/>
      <c r="I429" s="2375"/>
      <c r="J429" s="2375">
        <f>J428+[5]Sheet1!$K$201+[5]Sheet1!$K$204+[5]Sheet1!$K$205</f>
        <v>-2.7938540370087139E-11</v>
      </c>
      <c r="K429" s="2344">
        <f t="shared" si="78"/>
        <v>-2.7938540370087139E-11</v>
      </c>
      <c r="L429" s="2375"/>
      <c r="M429" s="2375"/>
    </row>
    <row r="430" spans="1:13" ht="14.25" thickTop="1" thickBot="1" x14ac:dyDescent="0.25">
      <c r="B430" s="2342" t="s">
        <v>6579</v>
      </c>
      <c r="C430" s="2343">
        <f t="shared" ref="C430:M430" si="82">+C410+C414+C420+C428</f>
        <v>26450190</v>
      </c>
      <c r="D430" s="2343">
        <f t="shared" si="82"/>
        <v>33189998</v>
      </c>
      <c r="E430" s="2343">
        <f t="shared" si="82"/>
        <v>33870998</v>
      </c>
      <c r="F430" s="2343">
        <f t="shared" si="82"/>
        <v>13715159</v>
      </c>
      <c r="G430" s="2343">
        <f t="shared" si="82"/>
        <v>33336178.800000001</v>
      </c>
      <c r="H430" s="2343"/>
      <c r="I430" s="2343">
        <f>+I410+I414+I420+I428</f>
        <v>42232800</v>
      </c>
      <c r="J430" s="2343">
        <f>+J410+J414+J420+J428</f>
        <v>42919439.519999996</v>
      </c>
      <c r="K430" s="2344">
        <f t="shared" si="78"/>
        <v>42919439.519999996</v>
      </c>
      <c r="L430" s="2343">
        <f t="shared" si="82"/>
        <v>47700060</v>
      </c>
      <c r="M430" s="2343">
        <f t="shared" si="82"/>
        <v>52318537</v>
      </c>
    </row>
    <row r="431" spans="1:13" ht="13.5" thickTop="1" x14ac:dyDescent="0.2">
      <c r="B431" s="2330"/>
      <c r="C431" s="2351"/>
      <c r="D431" s="2351"/>
      <c r="E431" s="2351"/>
      <c r="G431" s="2332"/>
      <c r="H431" s="2332"/>
      <c r="I431" s="2332"/>
      <c r="J431" s="2332"/>
      <c r="K431" s="2333">
        <f t="shared" si="78"/>
        <v>0</v>
      </c>
      <c r="L431" s="2351"/>
      <c r="M431" s="2351"/>
    </row>
    <row r="432" spans="1:13" x14ac:dyDescent="0.2">
      <c r="B432" s="2328" t="s">
        <v>235</v>
      </c>
      <c r="C432" s="2328"/>
      <c r="D432" s="2328"/>
      <c r="E432" s="2328"/>
      <c r="G432" s="2332"/>
      <c r="H432" s="2332"/>
      <c r="I432" s="2332"/>
      <c r="J432" s="2332"/>
      <c r="K432" s="2333">
        <f t="shared" si="78"/>
        <v>0</v>
      </c>
      <c r="L432" s="2328"/>
      <c r="M432" s="2328"/>
    </row>
    <row r="433" spans="1:13" x14ac:dyDescent="0.2">
      <c r="B433" s="2328"/>
      <c r="C433" s="2328"/>
      <c r="D433" s="2328"/>
      <c r="E433" s="2328"/>
      <c r="G433" s="2332"/>
      <c r="H433" s="2332"/>
      <c r="I433" s="2332"/>
      <c r="J433" s="2332"/>
      <c r="K433" s="2333">
        <f t="shared" si="78"/>
        <v>0</v>
      </c>
      <c r="L433" s="2328"/>
      <c r="M433" s="2328"/>
    </row>
    <row r="434" spans="1:13" x14ac:dyDescent="0.2">
      <c r="B434" s="2330" t="s">
        <v>387</v>
      </c>
      <c r="C434" s="2332"/>
      <c r="D434" s="2332"/>
      <c r="E434" s="2332"/>
      <c r="G434" s="2332"/>
      <c r="H434" s="2332"/>
      <c r="I434" s="2332"/>
      <c r="J434" s="2332"/>
      <c r="K434" s="2333">
        <f t="shared" si="78"/>
        <v>0</v>
      </c>
      <c r="L434" s="2332"/>
      <c r="M434" s="2332"/>
    </row>
    <row r="435" spans="1:13" x14ac:dyDescent="0.2">
      <c r="A435" s="2329">
        <v>1001</v>
      </c>
      <c r="B435" s="2258" t="s">
        <v>6943</v>
      </c>
      <c r="C435" s="2332">
        <v>1555486</v>
      </c>
      <c r="D435" s="2332">
        <v>1671259</v>
      </c>
      <c r="E435" s="2332">
        <v>1582381</v>
      </c>
      <c r="F435" s="2332">
        <v>1213945</v>
      </c>
      <c r="G435" s="2332">
        <f t="shared" ref="G435:G448" si="83">F435/$F$11*$G$11</f>
        <v>1456734</v>
      </c>
      <c r="H435" s="2332"/>
      <c r="I435" s="2332">
        <f>[6]Salary_Bdgt!$H$126</f>
        <v>2235274</v>
      </c>
      <c r="J435" s="2332">
        <f>[5]Sheet1!$K$210</f>
        <v>2408670.5299999998</v>
      </c>
      <c r="K435" s="2333">
        <f t="shared" si="78"/>
        <v>2408670.5299999998</v>
      </c>
      <c r="L435" s="2332">
        <f t="shared" ref="L435:L448" si="84">ROUND(I435*1.08,0)</f>
        <v>2414096</v>
      </c>
      <c r="M435" s="2332">
        <f t="shared" ref="M435:M448" si="85">ROUND(L435*1.08,0)</f>
        <v>2607224</v>
      </c>
    </row>
    <row r="436" spans="1:13" x14ac:dyDescent="0.2">
      <c r="A436" s="2329">
        <v>1005</v>
      </c>
      <c r="B436" s="2258" t="s">
        <v>6944</v>
      </c>
      <c r="C436" s="2332">
        <v>106374</v>
      </c>
      <c r="D436" s="2332">
        <v>47164</v>
      </c>
      <c r="E436" s="2332">
        <f>+D436+42442</f>
        <v>89606</v>
      </c>
      <c r="F436" s="2332">
        <v>94497</v>
      </c>
      <c r="G436" s="2332">
        <f t="shared" si="83"/>
        <v>113396.40000000001</v>
      </c>
      <c r="H436" s="2332"/>
      <c r="I436" s="2332">
        <f>+[6]Salary_Bdgt!$L$126</f>
        <v>120010</v>
      </c>
      <c r="J436" s="2332">
        <f>[5]Sheet1!$K$221</f>
        <v>164463.6</v>
      </c>
      <c r="K436" s="2333">
        <f t="shared" si="78"/>
        <v>164463.6</v>
      </c>
      <c r="L436" s="2332">
        <f t="shared" si="84"/>
        <v>129611</v>
      </c>
      <c r="M436" s="2332">
        <f t="shared" si="85"/>
        <v>139980</v>
      </c>
    </row>
    <row r="437" spans="1:13" x14ac:dyDescent="0.2">
      <c r="A437" s="2329">
        <v>1006</v>
      </c>
      <c r="B437" s="2258" t="s">
        <v>6945</v>
      </c>
      <c r="C437" s="2332">
        <v>263278</v>
      </c>
      <c r="D437" s="2332">
        <v>188023</v>
      </c>
      <c r="E437" s="2332">
        <f>+D437+35335</f>
        <v>223358</v>
      </c>
      <c r="F437" s="2332">
        <v>231385</v>
      </c>
      <c r="G437" s="2332">
        <f t="shared" si="83"/>
        <v>277662</v>
      </c>
      <c r="H437" s="2332"/>
      <c r="I437" s="2332">
        <f>+[6]Salary_Bdgt!$N$126</f>
        <v>373090</v>
      </c>
      <c r="J437" s="2332">
        <f>[5]Sheet1!$K$222</f>
        <v>391225.1</v>
      </c>
      <c r="K437" s="2333">
        <f t="shared" si="78"/>
        <v>391225.1</v>
      </c>
      <c r="L437" s="2332">
        <f t="shared" si="84"/>
        <v>402937</v>
      </c>
      <c r="M437" s="2332">
        <f t="shared" si="85"/>
        <v>435172</v>
      </c>
    </row>
    <row r="438" spans="1:13" x14ac:dyDescent="0.2">
      <c r="A438" s="2329">
        <v>1007</v>
      </c>
      <c r="B438" s="2258" t="s">
        <v>6410</v>
      </c>
      <c r="C438" s="2332">
        <v>15649</v>
      </c>
      <c r="D438" s="2332">
        <v>25480</v>
      </c>
      <c r="E438" s="2332">
        <f>+D438</f>
        <v>25480</v>
      </c>
      <c r="F438" s="2332">
        <v>12925</v>
      </c>
      <c r="G438" s="2332">
        <f t="shared" si="83"/>
        <v>15510</v>
      </c>
      <c r="H438" s="2332"/>
      <c r="I438" s="2332">
        <f>+[6]Salary_Bdgt!$I$126</f>
        <v>33396</v>
      </c>
      <c r="J438" s="2332">
        <f>[5]Sheet1!$K$223</f>
        <v>26652.620000000003</v>
      </c>
      <c r="K438" s="2333">
        <f t="shared" si="78"/>
        <v>26652.620000000003</v>
      </c>
      <c r="L438" s="2332">
        <f t="shared" si="84"/>
        <v>36068</v>
      </c>
      <c r="M438" s="2332">
        <f t="shared" si="85"/>
        <v>38953</v>
      </c>
    </row>
    <row r="439" spans="1:13" x14ac:dyDescent="0.2">
      <c r="A439" s="2329">
        <v>1009</v>
      </c>
      <c r="B439" s="2258" t="s">
        <v>6408</v>
      </c>
      <c r="C439" s="2332">
        <v>911</v>
      </c>
      <c r="D439" s="2332">
        <f>[7]Sal_RIA!$M$90</f>
        <v>614</v>
      </c>
      <c r="E439" s="2332">
        <f>+D439+96</f>
        <v>710</v>
      </c>
      <c r="F439" s="2332">
        <v>735</v>
      </c>
      <c r="G439" s="2332">
        <f t="shared" si="83"/>
        <v>882</v>
      </c>
      <c r="H439" s="2332"/>
      <c r="I439" s="2332">
        <f>+[6]Salary_Bdgt!$M$126</f>
        <v>855</v>
      </c>
      <c r="J439" s="2332">
        <f>[5]Sheet1!$K$218</f>
        <v>1336.6</v>
      </c>
      <c r="K439" s="2333">
        <f t="shared" si="78"/>
        <v>1336.6</v>
      </c>
      <c r="L439" s="2332">
        <f t="shared" si="84"/>
        <v>923</v>
      </c>
      <c r="M439" s="2332">
        <f t="shared" si="85"/>
        <v>997</v>
      </c>
    </row>
    <row r="440" spans="1:13" x14ac:dyDescent="0.2">
      <c r="A440" s="2329">
        <v>1010</v>
      </c>
      <c r="B440" s="2258" t="s">
        <v>6946</v>
      </c>
      <c r="C440" s="2332">
        <v>158494</v>
      </c>
      <c r="D440" s="2332">
        <v>139272</v>
      </c>
      <c r="E440" s="2332">
        <f>+D440</f>
        <v>139272</v>
      </c>
      <c r="F440" s="2332">
        <v>106355</v>
      </c>
      <c r="G440" s="2332">
        <f t="shared" si="83"/>
        <v>127626</v>
      </c>
      <c r="H440" s="2332"/>
      <c r="I440" s="2332">
        <f>+[6]Salary_Bdgt!$Q$126</f>
        <v>186273</v>
      </c>
      <c r="J440" s="2332">
        <f>[5]Sheet1!$K$211</f>
        <v>193197.34</v>
      </c>
      <c r="K440" s="2333">
        <f t="shared" si="78"/>
        <v>193197.34</v>
      </c>
      <c r="L440" s="2332">
        <f t="shared" si="84"/>
        <v>201175</v>
      </c>
      <c r="M440" s="2332">
        <f t="shared" si="85"/>
        <v>217269</v>
      </c>
    </row>
    <row r="441" spans="1:13" x14ac:dyDescent="0.2">
      <c r="A441" s="2329">
        <v>1011</v>
      </c>
      <c r="B441" s="2258" t="s">
        <v>6947</v>
      </c>
      <c r="C441" s="2332">
        <v>5000</v>
      </c>
      <c r="D441" s="2332">
        <v>0</v>
      </c>
      <c r="E441" s="2332">
        <v>0</v>
      </c>
      <c r="F441" s="2332">
        <v>0</v>
      </c>
      <c r="G441" s="2332">
        <f t="shared" si="83"/>
        <v>0</v>
      </c>
      <c r="H441" s="2332"/>
      <c r="I441" s="2332">
        <f>+[6]Salary_Bdgt!$U$126</f>
        <v>0</v>
      </c>
      <c r="J441" s="2332">
        <f>[5]Sheet1!$K$212</f>
        <v>2800</v>
      </c>
      <c r="K441" s="2333">
        <f t="shared" si="78"/>
        <v>2800</v>
      </c>
      <c r="L441" s="2332">
        <f t="shared" si="84"/>
        <v>0</v>
      </c>
      <c r="M441" s="2332">
        <f t="shared" si="85"/>
        <v>0</v>
      </c>
    </row>
    <row r="442" spans="1:13" x14ac:dyDescent="0.2">
      <c r="A442" s="2353">
        <v>1014</v>
      </c>
      <c r="B442" s="2258" t="s">
        <v>6632</v>
      </c>
      <c r="C442" s="2332">
        <v>13746</v>
      </c>
      <c r="D442" s="2332">
        <f>[7]Sal_RIA!$S$90</f>
        <v>10580</v>
      </c>
      <c r="E442" s="2332">
        <f>+D442</f>
        <v>10580</v>
      </c>
      <c r="F442" s="2332">
        <v>10169</v>
      </c>
      <c r="G442" s="2332">
        <f t="shared" si="83"/>
        <v>12202.8</v>
      </c>
      <c r="H442" s="2332"/>
      <c r="I442" s="2332">
        <f>+[6]Salary_Bdgt!$S$126</f>
        <v>12804</v>
      </c>
      <c r="J442" s="2332">
        <f>[5]Sheet1!$K$213</f>
        <v>21084</v>
      </c>
      <c r="K442" s="2333">
        <f t="shared" si="78"/>
        <v>21084</v>
      </c>
      <c r="L442" s="2332">
        <f t="shared" si="84"/>
        <v>13828</v>
      </c>
      <c r="M442" s="2332">
        <f t="shared" si="85"/>
        <v>14934</v>
      </c>
    </row>
    <row r="443" spans="1:13" x14ac:dyDescent="0.2">
      <c r="A443" s="2329">
        <v>1015</v>
      </c>
      <c r="B443" s="2258" t="s">
        <v>6948</v>
      </c>
      <c r="C443" s="2332">
        <v>2980</v>
      </c>
      <c r="D443" s="2332">
        <f>[7]Sal_RIA!$O$90+[7]Sal_RIA!$P$90</f>
        <v>0</v>
      </c>
      <c r="E443" s="2332">
        <v>902</v>
      </c>
      <c r="F443" s="2332">
        <v>949</v>
      </c>
      <c r="G443" s="2332">
        <f t="shared" si="83"/>
        <v>1138.8000000000002</v>
      </c>
      <c r="H443" s="2332"/>
      <c r="I443" s="2332">
        <f>+[6]Salary_Bdgt!$O$126+[6]Salary_Bdgt!$P$126+[6]Salary_Bdgt!$W$126</f>
        <v>0</v>
      </c>
      <c r="J443" s="2332">
        <f>[5]Sheet1!$K$214</f>
        <v>21695.78</v>
      </c>
      <c r="K443" s="2333">
        <f t="shared" si="78"/>
        <v>21695.78</v>
      </c>
      <c r="L443" s="2332">
        <f t="shared" si="84"/>
        <v>0</v>
      </c>
      <c r="M443" s="2332">
        <f t="shared" si="85"/>
        <v>0</v>
      </c>
    </row>
    <row r="444" spans="1:13" x14ac:dyDescent="0.2">
      <c r="A444" s="2329">
        <v>1016</v>
      </c>
      <c r="B444" s="2258" t="s">
        <v>6949</v>
      </c>
      <c r="C444" s="2332">
        <v>0</v>
      </c>
      <c r="D444" s="2332">
        <v>11022</v>
      </c>
      <c r="E444" s="2332">
        <f>+D444+8903+1200</f>
        <v>21125</v>
      </c>
      <c r="F444" s="2332">
        <f>24607+500</f>
        <v>25107</v>
      </c>
      <c r="G444" s="2332">
        <f t="shared" si="83"/>
        <v>30128.399999999998</v>
      </c>
      <c r="H444" s="2332"/>
      <c r="I444" s="2332">
        <f>+[6]Salary_Bdgt!$T$126+[6]Salary_Bdgt!$V$126</f>
        <v>29388</v>
      </c>
      <c r="J444" s="2332">
        <f>[5]Sheet1!$K$215</f>
        <v>10028.68</v>
      </c>
      <c r="K444" s="2333">
        <f t="shared" si="78"/>
        <v>10028.68</v>
      </c>
      <c r="L444" s="2332">
        <f t="shared" si="84"/>
        <v>31739</v>
      </c>
      <c r="M444" s="2332">
        <f t="shared" si="85"/>
        <v>34278</v>
      </c>
    </row>
    <row r="445" spans="1:13" x14ac:dyDescent="0.2">
      <c r="A445" s="2353">
        <v>1017</v>
      </c>
      <c r="B445" s="2258" t="s">
        <v>6950</v>
      </c>
      <c r="C445" s="2332">
        <v>18146</v>
      </c>
      <c r="D445" s="2332">
        <v>33644</v>
      </c>
      <c r="E445" s="2332">
        <f>+D445</f>
        <v>33644</v>
      </c>
      <c r="F445" s="2332">
        <v>7966</v>
      </c>
      <c r="G445" s="2332">
        <f t="shared" si="83"/>
        <v>9559.2000000000007</v>
      </c>
      <c r="H445" s="2332"/>
      <c r="I445" s="2332">
        <f>+[6]Salary_Bdgt!$J$126</f>
        <v>45451</v>
      </c>
      <c r="J445" s="2332">
        <f>[5]Sheet1!$K$219</f>
        <v>27805.72</v>
      </c>
      <c r="K445" s="2333">
        <f t="shared" si="78"/>
        <v>27805.72</v>
      </c>
      <c r="L445" s="2332">
        <f t="shared" si="84"/>
        <v>49087</v>
      </c>
      <c r="M445" s="2332">
        <f t="shared" si="85"/>
        <v>53014</v>
      </c>
    </row>
    <row r="446" spans="1:13" x14ac:dyDescent="0.2">
      <c r="A446" s="2353">
        <v>1020</v>
      </c>
      <c r="B446" s="2258" t="s">
        <v>7039</v>
      </c>
      <c r="C446" s="2332">
        <v>238750</v>
      </c>
      <c r="D446" s="2332">
        <v>331197</v>
      </c>
      <c r="E446" s="2332">
        <f>+D446</f>
        <v>331197</v>
      </c>
      <c r="F446" s="2332">
        <v>301286</v>
      </c>
      <c r="G446" s="2332">
        <f t="shared" si="83"/>
        <v>361543.19999999995</v>
      </c>
      <c r="H446" s="2332"/>
      <c r="I446" s="2332">
        <f>+[6]Salary_Bdgt!$Y$584</f>
        <v>196983</v>
      </c>
      <c r="J446" s="2332">
        <f>[5]Sheet1!$K$216</f>
        <v>272017.91999999998</v>
      </c>
      <c r="K446" s="2333">
        <f t="shared" si="78"/>
        <v>272017.91999999998</v>
      </c>
      <c r="L446" s="2332">
        <f t="shared" si="84"/>
        <v>212742</v>
      </c>
      <c r="M446" s="2332">
        <f t="shared" si="85"/>
        <v>229761</v>
      </c>
    </row>
    <row r="447" spans="1:13" x14ac:dyDescent="0.2">
      <c r="A447" s="2329">
        <v>1046</v>
      </c>
      <c r="B447" s="2258" t="s">
        <v>6951</v>
      </c>
      <c r="C447" s="2332">
        <v>12684</v>
      </c>
      <c r="D447" s="2332">
        <f>[7]Sal_RIA!$R$90</f>
        <v>0</v>
      </c>
      <c r="E447" s="2332">
        <f>+D447</f>
        <v>0</v>
      </c>
      <c r="F447" s="2332">
        <v>0</v>
      </c>
      <c r="G447" s="2332">
        <f t="shared" si="83"/>
        <v>0</v>
      </c>
      <c r="H447" s="2332"/>
      <c r="I447" s="2332">
        <f>+[6]Salary_Bdgt!$R$126</f>
        <v>32400</v>
      </c>
      <c r="J447" s="2332">
        <f>[5]Sheet1!$K$217</f>
        <v>35000</v>
      </c>
      <c r="K447" s="2333">
        <f t="shared" si="78"/>
        <v>35000</v>
      </c>
      <c r="L447" s="2332">
        <f t="shared" si="84"/>
        <v>34992</v>
      </c>
      <c r="M447" s="2332">
        <f t="shared" si="85"/>
        <v>37791</v>
      </c>
    </row>
    <row r="448" spans="1:13" x14ac:dyDescent="0.2">
      <c r="A448" s="2353">
        <v>1182</v>
      </c>
      <c r="B448" s="2334" t="s">
        <v>6952</v>
      </c>
      <c r="C448" s="2335">
        <v>16687</v>
      </c>
      <c r="D448" s="2335">
        <v>31289</v>
      </c>
      <c r="E448" s="2335">
        <f>+D448</f>
        <v>31289</v>
      </c>
      <c r="F448" s="2335">
        <v>0</v>
      </c>
      <c r="G448" s="2335">
        <f t="shared" si="83"/>
        <v>0</v>
      </c>
      <c r="H448" s="2335"/>
      <c r="I448" s="2335">
        <f>+[6]Salary_Bdgt!$K$126</f>
        <v>42270</v>
      </c>
      <c r="J448" s="2335">
        <f>[5]Sheet1!$K$220</f>
        <v>14425.01</v>
      </c>
      <c r="K448" s="2336">
        <f t="shared" si="78"/>
        <v>14425.01</v>
      </c>
      <c r="L448" s="2335">
        <f t="shared" si="84"/>
        <v>45652</v>
      </c>
      <c r="M448" s="2335">
        <f t="shared" si="85"/>
        <v>49304</v>
      </c>
    </row>
    <row r="449" spans="1:13" x14ac:dyDescent="0.2">
      <c r="A449" s="2353"/>
      <c r="B449" s="2330" t="s">
        <v>6588</v>
      </c>
      <c r="C449" s="2349">
        <f t="shared" ref="C449:M449" si="86">SUM(C435:C448)</f>
        <v>2408185</v>
      </c>
      <c r="D449" s="2349">
        <f t="shared" si="86"/>
        <v>2489544</v>
      </c>
      <c r="E449" s="2349">
        <f t="shared" si="86"/>
        <v>2489544</v>
      </c>
      <c r="F449" s="2349">
        <f t="shared" si="86"/>
        <v>2005319</v>
      </c>
      <c r="G449" s="2349">
        <f t="shared" si="86"/>
        <v>2406382.7999999998</v>
      </c>
      <c r="H449" s="2349"/>
      <c r="I449" s="2349">
        <f>SUM(I435:I448)</f>
        <v>3308194</v>
      </c>
      <c r="J449" s="2349">
        <f>SUM(J435:J448)</f>
        <v>3590402.9</v>
      </c>
      <c r="K449" s="2333">
        <f t="shared" si="78"/>
        <v>3590402.9</v>
      </c>
      <c r="L449" s="2349">
        <f t="shared" si="86"/>
        <v>3572850</v>
      </c>
      <c r="M449" s="2349">
        <f t="shared" si="86"/>
        <v>3858677</v>
      </c>
    </row>
    <row r="450" spans="1:13" x14ac:dyDescent="0.2">
      <c r="A450" s="2353"/>
      <c r="B450" s="2330"/>
      <c r="C450" s="2332"/>
      <c r="D450" s="2332"/>
      <c r="E450" s="2332"/>
      <c r="G450" s="2332"/>
      <c r="H450" s="2332"/>
      <c r="I450" s="2332"/>
      <c r="J450" s="2332">
        <f>J449-[5]Sheet1!$K$224</f>
        <v>0</v>
      </c>
      <c r="K450" s="2333">
        <f t="shared" si="78"/>
        <v>0</v>
      </c>
      <c r="L450" s="2332"/>
      <c r="M450" s="2332"/>
    </row>
    <row r="451" spans="1:13" x14ac:dyDescent="0.2">
      <c r="A451" s="2353"/>
      <c r="B451" s="2330" t="s">
        <v>6953</v>
      </c>
      <c r="C451" s="2332"/>
      <c r="D451" s="2332"/>
      <c r="E451" s="2332"/>
      <c r="G451" s="2332"/>
      <c r="H451" s="2332"/>
      <c r="I451" s="2332"/>
      <c r="J451" s="2332"/>
      <c r="K451" s="2333">
        <f t="shared" si="78"/>
        <v>0</v>
      </c>
      <c r="L451" s="2332"/>
      <c r="M451" s="2332"/>
    </row>
    <row r="452" spans="1:13" x14ac:dyDescent="0.2">
      <c r="A452" s="2353">
        <v>3207</v>
      </c>
      <c r="B452" s="2258" t="s">
        <v>6954</v>
      </c>
      <c r="C452" s="2332">
        <v>0</v>
      </c>
      <c r="D452" s="2332">
        <v>21000</v>
      </c>
      <c r="E452" s="2332">
        <v>21000</v>
      </c>
      <c r="F452" s="2332">
        <v>0</v>
      </c>
      <c r="G452" s="2332">
        <f>F452/$F$11*$G$11</f>
        <v>0</v>
      </c>
      <c r="H452" s="2332"/>
      <c r="I452" s="2332">
        <v>0</v>
      </c>
      <c r="J452" s="2332">
        <v>0</v>
      </c>
      <c r="K452" s="2333">
        <f t="shared" si="78"/>
        <v>0</v>
      </c>
      <c r="L452" s="2332">
        <f>ROUND(I452*1.06,0)</f>
        <v>0</v>
      </c>
      <c r="M452" s="2332">
        <f>ROUND(L452*1.06,0)</f>
        <v>0</v>
      </c>
    </row>
    <row r="453" spans="1:13" x14ac:dyDescent="0.2">
      <c r="A453" s="2353">
        <v>3215</v>
      </c>
      <c r="B453" s="2334" t="s">
        <v>6955</v>
      </c>
      <c r="C453" s="2335">
        <v>20</v>
      </c>
      <c r="D453" s="2335">
        <v>0</v>
      </c>
      <c r="E453" s="2335">
        <v>0</v>
      </c>
      <c r="F453" s="2335">
        <v>0</v>
      </c>
      <c r="G453" s="2335">
        <f>F453/$F$11*$G$11</f>
        <v>0</v>
      </c>
      <c r="H453" s="2335"/>
      <c r="I453" s="2335">
        <f>ROUND(E453*1.05,0)</f>
        <v>0</v>
      </c>
      <c r="J453" s="2335">
        <v>0</v>
      </c>
      <c r="K453" s="2336">
        <f t="shared" si="78"/>
        <v>0</v>
      </c>
      <c r="L453" s="2335">
        <f>ROUND(I453*1.06,0)</f>
        <v>0</v>
      </c>
      <c r="M453" s="2335">
        <f>ROUND(L453*1.06,0)</f>
        <v>0</v>
      </c>
    </row>
    <row r="454" spans="1:13" x14ac:dyDescent="0.2">
      <c r="A454" s="2353"/>
      <c r="B454" s="2330" t="s">
        <v>6956</v>
      </c>
      <c r="C454" s="2349">
        <f>SUM(C452:C453)</f>
        <v>20</v>
      </c>
      <c r="D454" s="2349">
        <f t="shared" ref="D454:M454" si="87">SUM(D452:D453)</f>
        <v>21000</v>
      </c>
      <c r="E454" s="2349">
        <f t="shared" si="87"/>
        <v>21000</v>
      </c>
      <c r="F454" s="2349">
        <f t="shared" si="87"/>
        <v>0</v>
      </c>
      <c r="G454" s="2349">
        <f t="shared" si="87"/>
        <v>0</v>
      </c>
      <c r="H454" s="2349"/>
      <c r="I454" s="2349">
        <f t="shared" si="87"/>
        <v>0</v>
      </c>
      <c r="J454" s="2349">
        <v>0</v>
      </c>
      <c r="K454" s="2333">
        <f t="shared" si="78"/>
        <v>0</v>
      </c>
      <c r="L454" s="2349">
        <f t="shared" si="87"/>
        <v>0</v>
      </c>
      <c r="M454" s="2349">
        <f t="shared" si="87"/>
        <v>0</v>
      </c>
    </row>
    <row r="455" spans="1:13" x14ac:dyDescent="0.2">
      <c r="A455" s="2353"/>
      <c r="B455" s="2330"/>
      <c r="C455" s="2332"/>
      <c r="D455" s="2332"/>
      <c r="E455" s="2332"/>
      <c r="G455" s="2332"/>
      <c r="H455" s="2332"/>
      <c r="I455" s="2332"/>
      <c r="J455" s="2332"/>
      <c r="K455" s="2333">
        <f t="shared" si="78"/>
        <v>0</v>
      </c>
      <c r="L455" s="2332"/>
      <c r="M455" s="2332"/>
    </row>
    <row r="456" spans="1:13" x14ac:dyDescent="0.2">
      <c r="A456" s="2353"/>
      <c r="B456" s="2330" t="s">
        <v>7040</v>
      </c>
      <c r="C456" s="2332"/>
      <c r="D456" s="2332"/>
      <c r="E456" s="2332"/>
      <c r="G456" s="2332"/>
      <c r="H456" s="2332"/>
      <c r="I456" s="2332"/>
      <c r="J456" s="2332"/>
      <c r="K456" s="2333">
        <f t="shared" si="78"/>
        <v>0</v>
      </c>
      <c r="L456" s="2332"/>
      <c r="M456" s="2332"/>
    </row>
    <row r="457" spans="1:13" x14ac:dyDescent="0.2">
      <c r="A457" s="2353">
        <v>2230</v>
      </c>
      <c r="B457" s="2334" t="s">
        <v>395</v>
      </c>
      <c r="C457" s="2335">
        <v>0</v>
      </c>
      <c r="D457" s="2335">
        <v>10000</v>
      </c>
      <c r="E457" s="2335">
        <v>10000</v>
      </c>
      <c r="F457" s="2335">
        <v>0</v>
      </c>
      <c r="G457" s="2335">
        <f>F457/$F$11*$G$11</f>
        <v>0</v>
      </c>
      <c r="H457" s="2335"/>
      <c r="I457" s="2335">
        <v>10000</v>
      </c>
      <c r="J457" s="2335">
        <f>[5]Sheet1!$K$248</f>
        <v>3412.31</v>
      </c>
      <c r="K457" s="2336">
        <f t="shared" si="78"/>
        <v>3412.31</v>
      </c>
      <c r="L457" s="2335">
        <f>ROUND(I457*1.06,0)</f>
        <v>10600</v>
      </c>
      <c r="M457" s="2335">
        <f>ROUND(L457*1.06,0)</f>
        <v>11236</v>
      </c>
    </row>
    <row r="458" spans="1:13" x14ac:dyDescent="0.2">
      <c r="A458" s="2353"/>
      <c r="B458" s="2330" t="s">
        <v>7041</v>
      </c>
      <c r="C458" s="2349">
        <f t="shared" ref="C458:M458" si="88">SUM(C457)</f>
        <v>0</v>
      </c>
      <c r="D458" s="2349">
        <f t="shared" si="88"/>
        <v>10000</v>
      </c>
      <c r="E458" s="2349">
        <f t="shared" si="88"/>
        <v>10000</v>
      </c>
      <c r="F458" s="2349">
        <f t="shared" si="88"/>
        <v>0</v>
      </c>
      <c r="G458" s="2349">
        <f t="shared" si="88"/>
        <v>0</v>
      </c>
      <c r="H458" s="2349"/>
      <c r="I458" s="2349">
        <f t="shared" si="88"/>
        <v>10000</v>
      </c>
      <c r="J458" s="2349">
        <f>J457</f>
        <v>3412.31</v>
      </c>
      <c r="K458" s="2333">
        <f t="shared" si="78"/>
        <v>3412.31</v>
      </c>
      <c r="L458" s="2349">
        <f t="shared" si="88"/>
        <v>10600</v>
      </c>
      <c r="M458" s="2349">
        <f t="shared" si="88"/>
        <v>11236</v>
      </c>
    </row>
    <row r="459" spans="1:13" x14ac:dyDescent="0.2">
      <c r="A459" s="2353"/>
      <c r="B459" s="2330"/>
      <c r="C459" s="2332"/>
      <c r="D459" s="2332"/>
      <c r="E459" s="2332"/>
      <c r="G459" s="2332"/>
      <c r="H459" s="2332"/>
      <c r="I459" s="2332"/>
      <c r="J459" s="2332">
        <f>J458-[5]Sheet1!$K$248</f>
        <v>0</v>
      </c>
      <c r="K459" s="2333">
        <f t="shared" si="78"/>
        <v>0</v>
      </c>
      <c r="L459" s="2332"/>
      <c r="M459" s="2332"/>
    </row>
    <row r="460" spans="1:13" x14ac:dyDescent="0.2">
      <c r="A460" s="2369"/>
      <c r="B460" s="2369"/>
      <c r="C460" s="2369"/>
      <c r="D460" s="2369"/>
      <c r="E460" s="2369"/>
      <c r="G460" s="2332"/>
      <c r="H460" s="2332"/>
      <c r="I460" s="2332"/>
      <c r="J460" s="2332"/>
      <c r="K460" s="2333">
        <f t="shared" si="78"/>
        <v>0</v>
      </c>
      <c r="L460" s="2369"/>
      <c r="M460" s="2369"/>
    </row>
    <row r="461" spans="1:13" ht="15" x14ac:dyDescent="0.25">
      <c r="A461" s="2365">
        <v>1110</v>
      </c>
      <c r="B461" s="2326" t="s">
        <v>7042</v>
      </c>
      <c r="C461" s="2377"/>
      <c r="D461" s="2377"/>
      <c r="E461" s="2377"/>
      <c r="G461" s="2332"/>
      <c r="H461" s="2332"/>
      <c r="I461" s="2332"/>
      <c r="J461" s="2332"/>
      <c r="K461" s="2333">
        <f t="shared" si="78"/>
        <v>0</v>
      </c>
      <c r="L461" s="2377"/>
      <c r="M461" s="2377"/>
    </row>
    <row r="462" spans="1:13" x14ac:dyDescent="0.2">
      <c r="A462" s="2369"/>
      <c r="B462" s="2377"/>
      <c r="C462" s="2377"/>
      <c r="D462" s="2377"/>
      <c r="E462" s="2377"/>
      <c r="G462" s="2332"/>
      <c r="H462" s="2332"/>
      <c r="I462" s="2332"/>
      <c r="J462" s="2332"/>
      <c r="K462" s="2333">
        <f t="shared" si="78"/>
        <v>0</v>
      </c>
      <c r="L462" s="2377"/>
      <c r="M462" s="2377"/>
    </row>
    <row r="463" spans="1:13" x14ac:dyDescent="0.2">
      <c r="A463" s="2353"/>
      <c r="B463" s="2330" t="s">
        <v>6599</v>
      </c>
      <c r="C463" s="2332"/>
      <c r="D463" s="2332"/>
      <c r="E463" s="2332"/>
      <c r="G463" s="2332"/>
      <c r="H463" s="2332"/>
      <c r="I463" s="2332"/>
      <c r="J463" s="2332"/>
      <c r="K463" s="2333">
        <f t="shared" si="78"/>
        <v>0</v>
      </c>
      <c r="L463" s="2332"/>
      <c r="M463" s="2332"/>
    </row>
    <row r="464" spans="1:13" x14ac:dyDescent="0.2">
      <c r="A464" s="2353">
        <v>2013</v>
      </c>
      <c r="B464" s="2258" t="s">
        <v>7043</v>
      </c>
      <c r="C464" s="2332">
        <v>87414</v>
      </c>
      <c r="D464" s="2332">
        <v>0</v>
      </c>
      <c r="E464" s="2332">
        <v>0</v>
      </c>
      <c r="F464" s="2332">
        <v>0</v>
      </c>
      <c r="G464" s="2332">
        <v>0</v>
      </c>
      <c r="H464" s="2332"/>
      <c r="I464" s="2332">
        <v>0</v>
      </c>
      <c r="J464" s="2332">
        <f>[5]Sheet1!$K$235</f>
        <v>0</v>
      </c>
      <c r="K464" s="2333">
        <f t="shared" si="78"/>
        <v>0</v>
      </c>
      <c r="L464" s="2332">
        <f t="shared" ref="L464:L482" si="89">ROUND(I464*1.06,0)</f>
        <v>0</v>
      </c>
      <c r="M464" s="2332">
        <f t="shared" ref="M464:M482" si="90">ROUND(L464*1.06,0)</f>
        <v>0</v>
      </c>
    </row>
    <row r="465" spans="1:13" x14ac:dyDescent="0.2">
      <c r="A465" s="2353">
        <v>2092</v>
      </c>
      <c r="B465" s="2258" t="s">
        <v>1774</v>
      </c>
      <c r="C465" s="2332">
        <v>135002</v>
      </c>
      <c r="D465" s="2332">
        <v>115500</v>
      </c>
      <c r="E465" s="2332">
        <v>115500</v>
      </c>
      <c r="F465" s="2332">
        <v>151124</v>
      </c>
      <c r="G465" s="2332">
        <f t="shared" ref="G465:G481" si="91">F465/$F$11*$G$11</f>
        <v>181348.8</v>
      </c>
      <c r="H465" s="2332"/>
      <c r="I465" s="2332">
        <f>ROUND(G465*1.05,0)+14488</f>
        <v>204904</v>
      </c>
      <c r="J465" s="2332">
        <f>[5]Sheet1!$K$236</f>
        <v>1033754.06</v>
      </c>
      <c r="K465" s="2333">
        <f t="shared" si="78"/>
        <v>1033754.06</v>
      </c>
      <c r="L465" s="2332">
        <f t="shared" si="89"/>
        <v>217198</v>
      </c>
      <c r="M465" s="2332">
        <f t="shared" si="90"/>
        <v>230230</v>
      </c>
    </row>
    <row r="466" spans="1:13" x14ac:dyDescent="0.2">
      <c r="A466" s="2353">
        <v>2103</v>
      </c>
      <c r="B466" s="2258" t="s">
        <v>6481</v>
      </c>
      <c r="C466" s="2332">
        <v>582442</v>
      </c>
      <c r="D466" s="2332">
        <v>10000</v>
      </c>
      <c r="E466" s="2332">
        <v>10000</v>
      </c>
      <c r="F466" s="2332">
        <v>90</v>
      </c>
      <c r="G466" s="2332">
        <f t="shared" si="91"/>
        <v>108</v>
      </c>
      <c r="H466" s="2332"/>
      <c r="I466" s="2332">
        <f t="shared" ref="I466:I477" si="92">ROUND(E466*1.05,0)</f>
        <v>10500</v>
      </c>
      <c r="J466" s="2332">
        <f>[5]Sheet1!$K$237</f>
        <v>3412.4</v>
      </c>
      <c r="K466" s="2333">
        <f t="shared" si="78"/>
        <v>3412.4</v>
      </c>
      <c r="L466" s="2332">
        <f t="shared" si="89"/>
        <v>11130</v>
      </c>
      <c r="M466" s="2332">
        <f t="shared" si="90"/>
        <v>11798</v>
      </c>
    </row>
    <row r="467" spans="1:13" x14ac:dyDescent="0.2">
      <c r="A467" s="2353">
        <v>2104</v>
      </c>
      <c r="B467" s="2258" t="s">
        <v>1630</v>
      </c>
      <c r="C467" s="2332">
        <v>2795955</v>
      </c>
      <c r="D467" s="2332">
        <v>1042000</v>
      </c>
      <c r="E467" s="2332">
        <v>1042000</v>
      </c>
      <c r="F467" s="2332">
        <v>1965616</v>
      </c>
      <c r="G467" s="2332">
        <f t="shared" si="91"/>
        <v>2358739.2000000002</v>
      </c>
      <c r="H467" s="2332"/>
      <c r="I467" s="2332">
        <f t="shared" si="92"/>
        <v>1094100</v>
      </c>
      <c r="J467" s="2332">
        <f>[5]Sheet1!$K$256</f>
        <v>3355852.38</v>
      </c>
      <c r="K467" s="2333">
        <f t="shared" si="78"/>
        <v>3355852.38</v>
      </c>
      <c r="L467" s="2332">
        <f t="shared" si="89"/>
        <v>1159746</v>
      </c>
      <c r="M467" s="2332">
        <f t="shared" si="90"/>
        <v>1229331</v>
      </c>
    </row>
    <row r="468" spans="1:13" x14ac:dyDescent="0.2">
      <c r="A468" s="2329">
        <v>2113</v>
      </c>
      <c r="B468" s="2258" t="s">
        <v>6958</v>
      </c>
      <c r="C468" s="2332">
        <v>88008</v>
      </c>
      <c r="D468" s="2332">
        <v>126000</v>
      </c>
      <c r="E468" s="2332">
        <v>126000</v>
      </c>
      <c r="F468" s="2332">
        <v>100438</v>
      </c>
      <c r="G468" s="2332">
        <f t="shared" si="91"/>
        <v>120525.59999999999</v>
      </c>
      <c r="H468" s="2332"/>
      <c r="I468" s="2332">
        <f t="shared" si="92"/>
        <v>132300</v>
      </c>
      <c r="J468" s="2332">
        <f>[5]Sheet1!$K$238</f>
        <v>333212.71999999997</v>
      </c>
      <c r="K468" s="2333">
        <f t="shared" si="78"/>
        <v>333212.71999999997</v>
      </c>
      <c r="L468" s="2332">
        <f t="shared" si="89"/>
        <v>140238</v>
      </c>
      <c r="M468" s="2332">
        <f t="shared" si="90"/>
        <v>148652</v>
      </c>
    </row>
    <row r="469" spans="1:13" x14ac:dyDescent="0.2">
      <c r="A469" s="2353">
        <v>2200</v>
      </c>
      <c r="B469" s="2258" t="s">
        <v>1404</v>
      </c>
      <c r="C469" s="2332">
        <v>1045961</v>
      </c>
      <c r="D469" s="2332">
        <v>525000</v>
      </c>
      <c r="E469" s="2332">
        <f>525000+43000+400000-68000</f>
        <v>900000</v>
      </c>
      <c r="F469" s="2332">
        <v>1301565</v>
      </c>
      <c r="G469" s="2332">
        <f t="shared" si="91"/>
        <v>1561878</v>
      </c>
      <c r="H469" s="2332"/>
      <c r="I469" s="2332">
        <f t="shared" si="92"/>
        <v>945000</v>
      </c>
      <c r="J469" s="2332">
        <f>[5]Sheet1!$K$239</f>
        <v>4715964.5599999996</v>
      </c>
      <c r="K469" s="2333">
        <f t="shared" ref="K469:K532" si="93">J469</f>
        <v>4715964.5599999996</v>
      </c>
      <c r="L469" s="2332">
        <f t="shared" si="89"/>
        <v>1001700</v>
      </c>
      <c r="M469" s="2332">
        <f t="shared" si="90"/>
        <v>1061802</v>
      </c>
    </row>
    <row r="470" spans="1:13" x14ac:dyDescent="0.2">
      <c r="A470" s="2353">
        <v>2208</v>
      </c>
      <c r="B470" s="2258" t="s">
        <v>603</v>
      </c>
      <c r="C470" s="2332">
        <v>989</v>
      </c>
      <c r="D470" s="2332">
        <v>0</v>
      </c>
      <c r="E470" s="2332">
        <v>0</v>
      </c>
      <c r="F470" s="2332">
        <v>0</v>
      </c>
      <c r="G470" s="2332">
        <f t="shared" si="91"/>
        <v>0</v>
      </c>
      <c r="H470" s="2332"/>
      <c r="I470" s="2332">
        <f t="shared" si="92"/>
        <v>0</v>
      </c>
      <c r="J470" s="2332"/>
      <c r="K470" s="2333">
        <f t="shared" si="93"/>
        <v>0</v>
      </c>
      <c r="L470" s="2332">
        <f t="shared" si="89"/>
        <v>0</v>
      </c>
      <c r="M470" s="2332">
        <f t="shared" si="90"/>
        <v>0</v>
      </c>
    </row>
    <row r="471" spans="1:13" x14ac:dyDescent="0.2">
      <c r="A471" s="2329">
        <v>2212</v>
      </c>
      <c r="B471" s="2258" t="s">
        <v>6963</v>
      </c>
      <c r="C471" s="2332">
        <v>129054</v>
      </c>
      <c r="D471" s="2332">
        <v>130000</v>
      </c>
      <c r="E471" s="2332">
        <f>130000+32624</f>
        <v>162624</v>
      </c>
      <c r="F471" s="2332">
        <v>214051</v>
      </c>
      <c r="G471" s="2332">
        <f t="shared" si="91"/>
        <v>256861.19999999998</v>
      </c>
      <c r="H471" s="2332"/>
      <c r="I471" s="2332">
        <f t="shared" si="92"/>
        <v>170755</v>
      </c>
      <c r="J471" s="2332">
        <f>[5]Sheet1!$K$241</f>
        <v>356879.98</v>
      </c>
      <c r="K471" s="2333">
        <f t="shared" si="93"/>
        <v>356879.98</v>
      </c>
      <c r="L471" s="2332">
        <f t="shared" si="89"/>
        <v>181000</v>
      </c>
      <c r="M471" s="2332">
        <f t="shared" si="90"/>
        <v>191860</v>
      </c>
    </row>
    <row r="472" spans="1:13" x14ac:dyDescent="0.2">
      <c r="A472" s="2329">
        <v>2217</v>
      </c>
      <c r="B472" s="2258" t="s">
        <v>1101</v>
      </c>
      <c r="C472" s="2332">
        <v>3509</v>
      </c>
      <c r="D472" s="2332">
        <v>0</v>
      </c>
      <c r="E472" s="2332">
        <v>0</v>
      </c>
      <c r="F472" s="2332">
        <v>0</v>
      </c>
      <c r="G472" s="2332">
        <f t="shared" si="91"/>
        <v>0</v>
      </c>
      <c r="H472" s="2332"/>
      <c r="I472" s="2332">
        <f t="shared" si="92"/>
        <v>0</v>
      </c>
      <c r="J472" s="2332">
        <f>[5]Sheet1!$K$242</f>
        <v>0</v>
      </c>
      <c r="K472" s="2333">
        <f t="shared" si="93"/>
        <v>0</v>
      </c>
      <c r="L472" s="2332">
        <f t="shared" si="89"/>
        <v>0</v>
      </c>
      <c r="M472" s="2332">
        <f t="shared" si="90"/>
        <v>0</v>
      </c>
    </row>
    <row r="473" spans="1:13" x14ac:dyDescent="0.2">
      <c r="A473" s="2353">
        <v>2218</v>
      </c>
      <c r="B473" s="2258" t="s">
        <v>1783</v>
      </c>
      <c r="C473" s="2332">
        <v>217753</v>
      </c>
      <c r="D473" s="2332">
        <v>0</v>
      </c>
      <c r="E473" s="2332">
        <v>0</v>
      </c>
      <c r="F473" s="2332">
        <v>1400</v>
      </c>
      <c r="G473" s="2332">
        <f t="shared" si="91"/>
        <v>1680</v>
      </c>
      <c r="H473" s="2332"/>
      <c r="I473" s="2332">
        <f t="shared" si="92"/>
        <v>0</v>
      </c>
      <c r="J473" s="2332">
        <v>0</v>
      </c>
      <c r="K473" s="2333">
        <f t="shared" si="93"/>
        <v>0</v>
      </c>
      <c r="L473" s="2332">
        <f t="shared" si="89"/>
        <v>0</v>
      </c>
      <c r="M473" s="2332">
        <f t="shared" si="90"/>
        <v>0</v>
      </c>
    </row>
    <row r="474" spans="1:13" x14ac:dyDescent="0.2">
      <c r="A474" s="2353">
        <v>2221</v>
      </c>
      <c r="B474" s="2258" t="s">
        <v>7044</v>
      </c>
      <c r="C474" s="2332">
        <v>7724</v>
      </c>
      <c r="D474" s="2332">
        <v>0</v>
      </c>
      <c r="E474" s="2332">
        <v>0</v>
      </c>
      <c r="F474" s="2332">
        <v>0</v>
      </c>
      <c r="G474" s="2332">
        <f t="shared" si="91"/>
        <v>0</v>
      </c>
      <c r="H474" s="2332"/>
      <c r="I474" s="2332">
        <f t="shared" si="92"/>
        <v>0</v>
      </c>
      <c r="J474" s="2332">
        <v>0</v>
      </c>
      <c r="K474" s="2333">
        <f t="shared" si="93"/>
        <v>0</v>
      </c>
      <c r="L474" s="2332">
        <f t="shared" si="89"/>
        <v>0</v>
      </c>
      <c r="M474" s="2332">
        <f t="shared" si="90"/>
        <v>0</v>
      </c>
    </row>
    <row r="475" spans="1:13" x14ac:dyDescent="0.2">
      <c r="A475" s="2353">
        <v>2225</v>
      </c>
      <c r="B475" s="2258" t="s">
        <v>6965</v>
      </c>
      <c r="C475" s="2332">
        <v>13921</v>
      </c>
      <c r="D475" s="2332">
        <v>0</v>
      </c>
      <c r="E475" s="2332">
        <v>0</v>
      </c>
      <c r="F475" s="2332">
        <v>0</v>
      </c>
      <c r="G475" s="2332">
        <f t="shared" si="91"/>
        <v>0</v>
      </c>
      <c r="H475" s="2332"/>
      <c r="I475" s="2332">
        <f t="shared" si="92"/>
        <v>0</v>
      </c>
      <c r="J475" s="2332">
        <f>[5]Sheet1!$K$245</f>
        <v>7196.1400000000012</v>
      </c>
      <c r="K475" s="2333">
        <f t="shared" si="93"/>
        <v>7196.1400000000012</v>
      </c>
      <c r="L475" s="2332">
        <f t="shared" si="89"/>
        <v>0</v>
      </c>
      <c r="M475" s="2332">
        <f t="shared" si="90"/>
        <v>0</v>
      </c>
    </row>
    <row r="476" spans="1:13" x14ac:dyDescent="0.2">
      <c r="A476" s="2353">
        <v>2226</v>
      </c>
      <c r="B476" s="2258" t="s">
        <v>6607</v>
      </c>
      <c r="C476" s="2332">
        <v>4487</v>
      </c>
      <c r="D476" s="2332">
        <v>0</v>
      </c>
      <c r="E476" s="2332">
        <v>0</v>
      </c>
      <c r="F476" s="2332">
        <v>10850</v>
      </c>
      <c r="G476" s="2332">
        <f t="shared" si="91"/>
        <v>13020</v>
      </c>
      <c r="H476" s="2332"/>
      <c r="I476" s="2332">
        <f t="shared" si="92"/>
        <v>0</v>
      </c>
      <c r="J476" s="2332">
        <f>[5]Sheet1!$K$246</f>
        <v>5721.02</v>
      </c>
      <c r="K476" s="2333">
        <f t="shared" si="93"/>
        <v>5721.02</v>
      </c>
      <c r="L476" s="2332">
        <f t="shared" si="89"/>
        <v>0</v>
      </c>
      <c r="M476" s="2332">
        <f t="shared" si="90"/>
        <v>0</v>
      </c>
    </row>
    <row r="477" spans="1:13" x14ac:dyDescent="0.2">
      <c r="A477" s="2353">
        <v>2227</v>
      </c>
      <c r="B477" s="2258" t="s">
        <v>231</v>
      </c>
      <c r="C477" s="2332">
        <v>1579</v>
      </c>
      <c r="D477" s="2332">
        <v>52500</v>
      </c>
      <c r="E477" s="2332">
        <f>52500-43000</f>
        <v>9500</v>
      </c>
      <c r="F477" s="2332">
        <v>606</v>
      </c>
      <c r="G477" s="2332">
        <f t="shared" si="91"/>
        <v>727.2</v>
      </c>
      <c r="H477" s="2332"/>
      <c r="I477" s="2332">
        <f t="shared" si="92"/>
        <v>9975</v>
      </c>
      <c r="J477" s="2332">
        <f>[5]Sheet1!$K$247</f>
        <v>1040.18</v>
      </c>
      <c r="K477" s="2333">
        <f t="shared" si="93"/>
        <v>1040.18</v>
      </c>
      <c r="L477" s="2332">
        <f t="shared" si="89"/>
        <v>10574</v>
      </c>
      <c r="M477" s="2332">
        <f t="shared" si="90"/>
        <v>11208</v>
      </c>
    </row>
    <row r="478" spans="1:13" x14ac:dyDescent="0.2">
      <c r="A478" s="2329">
        <v>2233</v>
      </c>
      <c r="B478" s="2258" t="s">
        <v>6966</v>
      </c>
      <c r="C478" s="2332">
        <v>12631</v>
      </c>
      <c r="D478" s="2332">
        <v>63000</v>
      </c>
      <c r="E478" s="2332">
        <f>63000</f>
        <v>63000</v>
      </c>
      <c r="F478" s="2332">
        <v>0</v>
      </c>
      <c r="G478" s="2332">
        <f t="shared" si="91"/>
        <v>0</v>
      </c>
      <c r="H478" s="2332"/>
      <c r="I478" s="2332">
        <v>0</v>
      </c>
      <c r="J478" s="2332">
        <f>[5]Sheet1!$K$249</f>
        <v>0</v>
      </c>
      <c r="K478" s="2333">
        <f t="shared" si="93"/>
        <v>0</v>
      </c>
      <c r="L478" s="2332">
        <f t="shared" si="89"/>
        <v>0</v>
      </c>
      <c r="M478" s="2332">
        <f t="shared" si="90"/>
        <v>0</v>
      </c>
    </row>
    <row r="479" spans="1:13" x14ac:dyDescent="0.2">
      <c r="A479" s="2353">
        <v>2238</v>
      </c>
      <c r="B479" s="2258" t="s">
        <v>6967</v>
      </c>
      <c r="C479" s="2332">
        <v>22176</v>
      </c>
      <c r="D479" s="2332">
        <v>73500</v>
      </c>
      <c r="E479" s="2332">
        <f>73500+50000</f>
        <v>123500</v>
      </c>
      <c r="F479" s="2332">
        <v>74916</v>
      </c>
      <c r="G479" s="2332">
        <f t="shared" si="91"/>
        <v>89899.200000000012</v>
      </c>
      <c r="H479" s="2332"/>
      <c r="I479" s="2332">
        <f>ROUND(E479*1.05,0)</f>
        <v>129675</v>
      </c>
      <c r="J479" s="2332">
        <f>[5]Sheet1!$K$250</f>
        <v>208177.8</v>
      </c>
      <c r="K479" s="2333">
        <f t="shared" si="93"/>
        <v>208177.8</v>
      </c>
      <c r="L479" s="2332">
        <f t="shared" si="89"/>
        <v>137456</v>
      </c>
      <c r="M479" s="2332">
        <f t="shared" si="90"/>
        <v>145703</v>
      </c>
    </row>
    <row r="480" spans="1:13" x14ac:dyDescent="0.2">
      <c r="A480" s="2329">
        <v>2246</v>
      </c>
      <c r="B480" s="2258" t="s">
        <v>6968</v>
      </c>
      <c r="C480" s="2332">
        <v>156582</v>
      </c>
      <c r="D480" s="2332">
        <v>200000</v>
      </c>
      <c r="E480" s="2332">
        <f>200000-32624</f>
        <v>167376</v>
      </c>
      <c r="F480" s="2332">
        <v>160672</v>
      </c>
      <c r="G480" s="2332">
        <f t="shared" si="91"/>
        <v>192806.40000000002</v>
      </c>
      <c r="H480" s="2332"/>
      <c r="I480" s="2332">
        <f>ROUND(E480*1.05,0)</f>
        <v>175745</v>
      </c>
      <c r="J480" s="2332">
        <f>[5]Sheet1!$K$252</f>
        <v>58647.7</v>
      </c>
      <c r="K480" s="2333">
        <f t="shared" si="93"/>
        <v>58647.7</v>
      </c>
      <c r="L480" s="2332">
        <f t="shared" si="89"/>
        <v>186290</v>
      </c>
      <c r="M480" s="2332">
        <f t="shared" si="90"/>
        <v>197467</v>
      </c>
    </row>
    <row r="481" spans="1:13" x14ac:dyDescent="0.2">
      <c r="A481" s="2353">
        <v>2305</v>
      </c>
      <c r="B481" s="2258" t="s">
        <v>6970</v>
      </c>
      <c r="C481" s="2332">
        <v>69</v>
      </c>
      <c r="D481" s="2332">
        <v>1050</v>
      </c>
      <c r="E481" s="2332">
        <v>1050</v>
      </c>
      <c r="F481" s="2332">
        <v>163</v>
      </c>
      <c r="G481" s="2332">
        <f t="shared" si="91"/>
        <v>195.60000000000002</v>
      </c>
      <c r="H481" s="2332"/>
      <c r="I481" s="2332">
        <f>ROUND(E481*1.05,0)</f>
        <v>1103</v>
      </c>
      <c r="J481" s="2332">
        <f>[5]Sheet1!$K$254</f>
        <v>1706.5</v>
      </c>
      <c r="K481" s="2333">
        <f t="shared" si="93"/>
        <v>1706.5</v>
      </c>
      <c r="L481" s="2332">
        <f t="shared" si="89"/>
        <v>1169</v>
      </c>
      <c r="M481" s="2332">
        <f t="shared" si="90"/>
        <v>1239</v>
      </c>
    </row>
    <row r="482" spans="1:13" x14ac:dyDescent="0.2">
      <c r="A482" s="2353">
        <v>2502</v>
      </c>
      <c r="B482" s="2334" t="s">
        <v>7045</v>
      </c>
      <c r="C482" s="2335">
        <v>1042586</v>
      </c>
      <c r="D482" s="2335">
        <v>0</v>
      </c>
      <c r="E482" s="2335">
        <v>0</v>
      </c>
      <c r="F482" s="2335">
        <v>49775</v>
      </c>
      <c r="G482" s="2335">
        <v>0</v>
      </c>
      <c r="H482" s="2335"/>
      <c r="I482" s="2335">
        <f>ROUND(E482*1.05,0)</f>
        <v>0</v>
      </c>
      <c r="J482" s="2335"/>
      <c r="K482" s="2336">
        <f t="shared" si="93"/>
        <v>0</v>
      </c>
      <c r="L482" s="2335">
        <f t="shared" si="89"/>
        <v>0</v>
      </c>
      <c r="M482" s="2335">
        <f t="shared" si="90"/>
        <v>0</v>
      </c>
    </row>
    <row r="483" spans="1:13" x14ac:dyDescent="0.2">
      <c r="A483" s="2378"/>
      <c r="B483" s="2330" t="s">
        <v>6614</v>
      </c>
      <c r="C483" s="2349">
        <f>SUM(C464:C482)</f>
        <v>6347842</v>
      </c>
      <c r="D483" s="2349">
        <f t="shared" ref="D483:M483" si="94">SUM(D464:D482)</f>
        <v>2338550</v>
      </c>
      <c r="E483" s="2349">
        <f t="shared" si="94"/>
        <v>2720550</v>
      </c>
      <c r="F483" s="2349">
        <f t="shared" si="94"/>
        <v>4031266</v>
      </c>
      <c r="G483" s="2349">
        <f t="shared" si="94"/>
        <v>4777789.2</v>
      </c>
      <c r="H483" s="2349"/>
      <c r="I483" s="2349">
        <f>SUM(I464:I482)</f>
        <v>2874057</v>
      </c>
      <c r="J483" s="2349">
        <f>SUM(J464:J482)</f>
        <v>10081565.439999999</v>
      </c>
      <c r="K483" s="2333">
        <f t="shared" si="93"/>
        <v>10081565.439999999</v>
      </c>
      <c r="L483" s="2349">
        <f t="shared" si="94"/>
        <v>3046501</v>
      </c>
      <c r="M483" s="2349">
        <f t="shared" si="94"/>
        <v>3229290</v>
      </c>
    </row>
    <row r="484" spans="1:13" x14ac:dyDescent="0.2">
      <c r="A484" s="2353"/>
      <c r="B484" s="2338"/>
      <c r="C484" s="2362"/>
      <c r="D484" s="2362"/>
      <c r="E484" s="2362"/>
      <c r="F484" s="2362"/>
      <c r="G484" s="2362"/>
      <c r="H484" s="2362"/>
      <c r="I484" s="2362"/>
      <c r="J484" s="2362">
        <f>J483-[5]Sheet1!$K$236-[5]Sheet1!$K$237-[5]Sheet1!$K$238-[5]Sheet1!$K$239-[5]Sheet1!$K$241-[5]Sheet1!$K$245-[5]Sheet1!$K$246-[5]Sheet1!$K$247-[5]Sheet1!$K$250-[5]Sheet1!$K$252-[5]Sheet1!$K$254-[5]Sheet1!$K$256</f>
        <v>0</v>
      </c>
      <c r="K484" s="2336">
        <f t="shared" si="93"/>
        <v>0</v>
      </c>
      <c r="L484" s="2362"/>
      <c r="M484" s="2362"/>
    </row>
    <row r="485" spans="1:13" x14ac:dyDescent="0.2">
      <c r="A485" s="2353"/>
      <c r="B485" s="2330" t="s">
        <v>6972</v>
      </c>
      <c r="C485" s="2351">
        <f>C449+C454+C458+C483</f>
        <v>8756047</v>
      </c>
      <c r="D485" s="2351">
        <f>D449+D454+D458+D483</f>
        <v>4859094</v>
      </c>
      <c r="E485" s="2351">
        <f>E449+E454+E458+E483</f>
        <v>5241094</v>
      </c>
      <c r="F485" s="2351">
        <f>F449+F454+F458+F483</f>
        <v>6036585</v>
      </c>
      <c r="G485" s="2351">
        <f>G449+G454+G458+G483</f>
        <v>7184172</v>
      </c>
      <c r="H485" s="2351"/>
      <c r="I485" s="2351">
        <f>I449+I454+I458+I483</f>
        <v>6192251</v>
      </c>
      <c r="J485" s="2351">
        <f>J449+J454+J458+J483</f>
        <v>13675380.649999999</v>
      </c>
      <c r="K485" s="2333">
        <f t="shared" si="93"/>
        <v>13675380.649999999</v>
      </c>
      <c r="L485" s="2351">
        <f>L449+L454+L458+L483</f>
        <v>6629951</v>
      </c>
      <c r="M485" s="2351">
        <f>M449+M454+M458+M483</f>
        <v>7099203</v>
      </c>
    </row>
    <row r="486" spans="1:13" x14ac:dyDescent="0.2">
      <c r="A486" s="2353"/>
      <c r="B486" s="2330"/>
      <c r="C486" s="2364"/>
      <c r="D486" s="2364"/>
      <c r="E486" s="2364"/>
      <c r="G486" s="2332"/>
      <c r="H486" s="2332"/>
      <c r="I486" s="2332"/>
      <c r="J486" s="2332"/>
      <c r="K486" s="2333">
        <f t="shared" si="93"/>
        <v>0</v>
      </c>
      <c r="L486" s="2364"/>
      <c r="M486" s="2364"/>
    </row>
    <row r="487" spans="1:13" x14ac:dyDescent="0.2">
      <c r="A487" s="2353"/>
      <c r="B487" s="2330" t="s">
        <v>6974</v>
      </c>
      <c r="C487" s="2332"/>
      <c r="D487" s="2332"/>
      <c r="E487" s="2332"/>
      <c r="G487" s="2332"/>
      <c r="H487" s="2332"/>
      <c r="I487" s="2332"/>
      <c r="J487" s="2332"/>
      <c r="K487" s="2333">
        <f t="shared" si="93"/>
        <v>0</v>
      </c>
      <c r="L487" s="2332"/>
      <c r="M487" s="2332"/>
    </row>
    <row r="488" spans="1:13" x14ac:dyDescent="0.2">
      <c r="A488" s="2353">
        <v>4204</v>
      </c>
      <c r="B488" s="2258" t="s">
        <v>6976</v>
      </c>
      <c r="C488" s="2332">
        <v>25751</v>
      </c>
      <c r="D488" s="2332">
        <v>78942</v>
      </c>
      <c r="E488" s="2332">
        <v>78942</v>
      </c>
      <c r="F488" s="2332">
        <f>78942/12*5</f>
        <v>32892.5</v>
      </c>
      <c r="G488" s="2332">
        <f>F488/$F$11*$G$11</f>
        <v>39471</v>
      </c>
      <c r="H488" s="2332"/>
      <c r="I488" s="2332">
        <f>ROUND(E488*1.08,0)</f>
        <v>85257</v>
      </c>
      <c r="J488" s="2332">
        <f>[5]Sheet1!$K$266</f>
        <v>39804.300000000003</v>
      </c>
      <c r="K488" s="2333">
        <f t="shared" si="93"/>
        <v>39804.300000000003</v>
      </c>
      <c r="L488" s="2332">
        <f>ROUND(I488*1.08,0)</f>
        <v>92078</v>
      </c>
      <c r="M488" s="2332">
        <f>ROUND(L488*1.08,0)</f>
        <v>99444</v>
      </c>
    </row>
    <row r="489" spans="1:13" x14ac:dyDescent="0.2">
      <c r="A489" s="2353">
        <v>4207</v>
      </c>
      <c r="B489" s="2258" t="s">
        <v>6977</v>
      </c>
      <c r="C489" s="2332">
        <f>61434+17</f>
        <v>61451</v>
      </c>
      <c r="D489" s="2332">
        <v>75002</v>
      </c>
      <c r="E489" s="2332">
        <v>75002</v>
      </c>
      <c r="F489" s="2332">
        <f>75002/12*5</f>
        <v>31250.833333333336</v>
      </c>
      <c r="G489" s="2332">
        <f>F489/$F$11*$G$11</f>
        <v>37501</v>
      </c>
      <c r="H489" s="2332"/>
      <c r="I489" s="2332">
        <f>ROUND(E489*1.08,0)</f>
        <v>81002</v>
      </c>
      <c r="J489" s="2332">
        <f>[5]Sheet1!$K$267</f>
        <v>27640.84</v>
      </c>
      <c r="K489" s="2333">
        <f t="shared" si="93"/>
        <v>27640.84</v>
      </c>
      <c r="L489" s="2332">
        <f>ROUND(D489*1.05,0)</f>
        <v>78752</v>
      </c>
      <c r="M489" s="2332">
        <f>ROUND(L489*1.05,0)</f>
        <v>82690</v>
      </c>
    </row>
    <row r="490" spans="1:13" x14ac:dyDescent="0.2">
      <c r="A490" s="2353">
        <v>4209</v>
      </c>
      <c r="B490" s="2258" t="s">
        <v>7046</v>
      </c>
      <c r="C490" s="2332">
        <v>264938</v>
      </c>
      <c r="D490" s="2332">
        <v>0</v>
      </c>
      <c r="E490" s="2332">
        <v>0</v>
      </c>
      <c r="F490" s="2332">
        <v>250000</v>
      </c>
      <c r="G490" s="2332">
        <v>250000</v>
      </c>
      <c r="H490" s="2332"/>
      <c r="I490" s="2332">
        <v>0</v>
      </c>
      <c r="J490" s="2332">
        <f>[5]Sheet1!$K$265</f>
        <v>0</v>
      </c>
      <c r="K490" s="2333">
        <f t="shared" si="93"/>
        <v>0</v>
      </c>
      <c r="L490" s="2332">
        <f>ROUND(D490*1.05,0)</f>
        <v>0</v>
      </c>
      <c r="M490" s="2332">
        <f>ROUND(L490*1.05,0)</f>
        <v>0</v>
      </c>
    </row>
    <row r="491" spans="1:13" x14ac:dyDescent="0.2">
      <c r="A491" s="2353"/>
      <c r="B491" s="2258" t="s">
        <v>7047</v>
      </c>
      <c r="C491" s="2332">
        <f t="shared" ref="C491:M491" si="95">C20</f>
        <v>493000</v>
      </c>
      <c r="D491" s="2332">
        <f t="shared" si="95"/>
        <v>587000</v>
      </c>
      <c r="E491" s="2332">
        <f t="shared" si="95"/>
        <v>587000</v>
      </c>
      <c r="F491" s="2332">
        <f t="shared" si="95"/>
        <v>587000</v>
      </c>
      <c r="G491" s="2332">
        <f t="shared" si="95"/>
        <v>587000</v>
      </c>
      <c r="H491" s="2332"/>
      <c r="I491" s="2332">
        <f t="shared" si="95"/>
        <v>653000</v>
      </c>
      <c r="J491" s="2332">
        <f>[5]Sheet1!$K$227</f>
        <v>222823.52</v>
      </c>
      <c r="K491" s="2333">
        <f t="shared" si="93"/>
        <v>222823.52</v>
      </c>
      <c r="L491" s="2332">
        <f t="shared" si="95"/>
        <v>695000</v>
      </c>
      <c r="M491" s="2332">
        <f t="shared" si="95"/>
        <v>729000</v>
      </c>
    </row>
    <row r="492" spans="1:13" x14ac:dyDescent="0.2">
      <c r="A492" s="2353"/>
      <c r="B492" s="2258" t="s">
        <v>7048</v>
      </c>
      <c r="C492" s="2332">
        <f t="shared" ref="C492:M492" si="96">+C2021</f>
        <v>722712</v>
      </c>
      <c r="D492" s="2332">
        <f t="shared" si="96"/>
        <v>582909</v>
      </c>
      <c r="E492" s="2332">
        <f t="shared" si="96"/>
        <v>782909</v>
      </c>
      <c r="F492" s="2332">
        <f t="shared" si="96"/>
        <v>689865</v>
      </c>
      <c r="G492" s="2332">
        <f t="shared" si="96"/>
        <v>827838</v>
      </c>
      <c r="H492" s="2332"/>
      <c r="I492" s="2332">
        <f t="shared" si="96"/>
        <v>0</v>
      </c>
      <c r="J492" s="2332">
        <v>0</v>
      </c>
      <c r="K492" s="2333">
        <f t="shared" si="93"/>
        <v>0</v>
      </c>
      <c r="L492" s="2332">
        <f t="shared" si="96"/>
        <v>0</v>
      </c>
      <c r="M492" s="2332">
        <f t="shared" si="96"/>
        <v>0</v>
      </c>
    </row>
    <row r="493" spans="1:13" x14ac:dyDescent="0.2">
      <c r="A493" s="2353"/>
      <c r="B493" s="2258" t="s">
        <v>7049</v>
      </c>
      <c r="C493" s="2332">
        <f t="shared" ref="C493:M493" si="97">+C879</f>
        <v>0</v>
      </c>
      <c r="D493" s="2332">
        <f t="shared" si="97"/>
        <v>0</v>
      </c>
      <c r="E493" s="2332">
        <f t="shared" si="97"/>
        <v>681000</v>
      </c>
      <c r="F493" s="2332">
        <f t="shared" si="97"/>
        <v>681000</v>
      </c>
      <c r="G493" s="2332">
        <f t="shared" si="97"/>
        <v>681000</v>
      </c>
      <c r="H493" s="2332"/>
      <c r="I493" s="2332">
        <f t="shared" si="97"/>
        <v>0</v>
      </c>
      <c r="J493" s="2332">
        <v>0</v>
      </c>
      <c r="K493" s="2333">
        <f t="shared" si="93"/>
        <v>0</v>
      </c>
      <c r="L493" s="2332">
        <f t="shared" si="97"/>
        <v>0</v>
      </c>
      <c r="M493" s="2332">
        <f t="shared" si="97"/>
        <v>0</v>
      </c>
    </row>
    <row r="494" spans="1:13" x14ac:dyDescent="0.2">
      <c r="A494" s="2353"/>
      <c r="B494" s="2258" t="s">
        <v>7050</v>
      </c>
      <c r="C494" s="2332">
        <f t="shared" ref="C494:M494" si="98">+C1907</f>
        <v>3752901</v>
      </c>
      <c r="D494" s="2332">
        <f t="shared" si="98"/>
        <v>394440</v>
      </c>
      <c r="E494" s="2332">
        <f t="shared" si="98"/>
        <v>394440</v>
      </c>
      <c r="F494" s="2332">
        <f t="shared" si="98"/>
        <v>0</v>
      </c>
      <c r="G494" s="2332">
        <f t="shared" si="98"/>
        <v>0</v>
      </c>
      <c r="H494" s="2332"/>
      <c r="I494" s="2332">
        <f t="shared" si="98"/>
        <v>3563473</v>
      </c>
      <c r="J494" s="2332">
        <f>[5]Sheet1!$K$228</f>
        <v>1215966.43</v>
      </c>
      <c r="K494" s="2333">
        <f t="shared" si="93"/>
        <v>1215966.43</v>
      </c>
      <c r="L494" s="2332">
        <f t="shared" si="98"/>
        <v>3477677</v>
      </c>
      <c r="M494" s="2332">
        <f t="shared" si="98"/>
        <v>3387096</v>
      </c>
    </row>
    <row r="495" spans="1:13" x14ac:dyDescent="0.2">
      <c r="A495" s="2353"/>
      <c r="B495" s="2258" t="s">
        <v>7051</v>
      </c>
      <c r="C495" s="2332">
        <f t="shared" ref="C495:M495" si="99">+C1402</f>
        <v>17708</v>
      </c>
      <c r="D495" s="2332">
        <f t="shared" si="99"/>
        <v>233500</v>
      </c>
      <c r="E495" s="2332">
        <f t="shared" si="99"/>
        <v>133500</v>
      </c>
      <c r="F495" s="2332">
        <f t="shared" si="99"/>
        <v>161473</v>
      </c>
      <c r="G495" s="2332">
        <f t="shared" si="99"/>
        <v>193767.59999999998</v>
      </c>
      <c r="H495" s="2332"/>
      <c r="I495" s="2332">
        <f t="shared" si="99"/>
        <v>35175</v>
      </c>
      <c r="J495" s="2332">
        <f>[5]Sheet1!$K$229</f>
        <v>47830.6</v>
      </c>
      <c r="K495" s="2333">
        <f t="shared" si="93"/>
        <v>47830.6</v>
      </c>
      <c r="L495" s="2332">
        <f t="shared" si="99"/>
        <v>36934</v>
      </c>
      <c r="M495" s="2332">
        <f t="shared" si="99"/>
        <v>38781</v>
      </c>
    </row>
    <row r="496" spans="1:13" x14ac:dyDescent="0.2">
      <c r="A496" s="2353"/>
      <c r="B496" s="2258" t="s">
        <v>7052</v>
      </c>
      <c r="C496" s="2332">
        <f>C1125</f>
        <v>1018660</v>
      </c>
      <c r="D496" s="2332">
        <f>D1125</f>
        <v>1296402</v>
      </c>
      <c r="E496" s="2332">
        <f>E1125</f>
        <v>1296402</v>
      </c>
      <c r="F496" s="2332">
        <f>F1125</f>
        <v>931987</v>
      </c>
      <c r="G496" s="2332">
        <f>G1125</f>
        <v>1118384.4000000001</v>
      </c>
      <c r="H496" s="2332"/>
      <c r="I496" s="2332">
        <v>0</v>
      </c>
      <c r="J496" s="2332">
        <v>0</v>
      </c>
      <c r="K496" s="2333">
        <f t="shared" si="93"/>
        <v>0</v>
      </c>
      <c r="L496" s="2332">
        <v>0</v>
      </c>
      <c r="M496" s="2332">
        <v>0</v>
      </c>
    </row>
    <row r="497" spans="1:13" x14ac:dyDescent="0.2">
      <c r="A497" s="2353"/>
      <c r="B497" s="2258" t="s">
        <v>7053</v>
      </c>
      <c r="C497" s="2332">
        <f t="shared" ref="C497:M497" si="100">C1608</f>
        <v>2164067</v>
      </c>
      <c r="D497" s="2332">
        <f t="shared" si="100"/>
        <v>1640439</v>
      </c>
      <c r="E497" s="2332">
        <f t="shared" si="100"/>
        <v>1640439</v>
      </c>
      <c r="F497" s="2332">
        <f t="shared" si="100"/>
        <v>0</v>
      </c>
      <c r="G497" s="2332">
        <f t="shared" si="100"/>
        <v>1640439</v>
      </c>
      <c r="H497" s="2332"/>
      <c r="I497" s="2332">
        <f t="shared" si="100"/>
        <v>6109654</v>
      </c>
      <c r="J497" s="2332">
        <f>[5]Sheet1!$K$230</f>
        <v>1523587.18</v>
      </c>
      <c r="K497" s="2333">
        <f t="shared" si="93"/>
        <v>1523587.18</v>
      </c>
      <c r="L497" s="2332">
        <f t="shared" si="100"/>
        <v>6577578</v>
      </c>
      <c r="M497" s="2332">
        <f t="shared" si="100"/>
        <v>7069926</v>
      </c>
    </row>
    <row r="498" spans="1:13" x14ac:dyDescent="0.2">
      <c r="A498" s="2353"/>
      <c r="B498" s="2334" t="s">
        <v>7054</v>
      </c>
      <c r="C498" s="2335">
        <f t="shared" ref="C498:M498" si="101">+C1707</f>
        <v>4009531</v>
      </c>
      <c r="D498" s="2335">
        <f t="shared" si="101"/>
        <v>2643782</v>
      </c>
      <c r="E498" s="2335">
        <f t="shared" si="101"/>
        <v>2539182</v>
      </c>
      <c r="F498" s="2335">
        <f t="shared" si="101"/>
        <v>0</v>
      </c>
      <c r="G498" s="2335">
        <f t="shared" si="101"/>
        <v>0</v>
      </c>
      <c r="H498" s="2335"/>
      <c r="I498" s="2335">
        <f t="shared" si="101"/>
        <v>7491025</v>
      </c>
      <c r="J498" s="2335">
        <f>[5]Sheet1!$K$231</f>
        <v>1069471.22</v>
      </c>
      <c r="K498" s="2336">
        <f t="shared" si="93"/>
        <v>1069471.22</v>
      </c>
      <c r="L498" s="2335">
        <f t="shared" si="101"/>
        <v>6827315</v>
      </c>
      <c r="M498" s="2335">
        <f t="shared" si="101"/>
        <v>7330169</v>
      </c>
    </row>
    <row r="499" spans="1:13" x14ac:dyDescent="0.2">
      <c r="B499" s="2330" t="s">
        <v>6979</v>
      </c>
      <c r="C499" s="2349">
        <f t="shared" ref="C499:M499" si="102">SUM(C488:C498)</f>
        <v>12530719</v>
      </c>
      <c r="D499" s="2349">
        <f t="shared" si="102"/>
        <v>7532416</v>
      </c>
      <c r="E499" s="2349">
        <f t="shared" si="102"/>
        <v>8208816</v>
      </c>
      <c r="F499" s="2349">
        <f t="shared" si="102"/>
        <v>3365468.333333333</v>
      </c>
      <c r="G499" s="2349">
        <f t="shared" si="102"/>
        <v>5375401</v>
      </c>
      <c r="H499" s="2349"/>
      <c r="I499" s="2349">
        <f>SUM(I488:I498)</f>
        <v>18018586</v>
      </c>
      <c r="J499" s="2349">
        <f>SUM(J488:J498)</f>
        <v>4147124.09</v>
      </c>
      <c r="K499" s="2333">
        <f t="shared" si="93"/>
        <v>4147124.09</v>
      </c>
      <c r="L499" s="2349">
        <f t="shared" si="102"/>
        <v>17785334</v>
      </c>
      <c r="M499" s="2349">
        <f t="shared" si="102"/>
        <v>18737106</v>
      </c>
    </row>
    <row r="500" spans="1:13" x14ac:dyDescent="0.2">
      <c r="B500" s="2330"/>
      <c r="C500" s="2332"/>
      <c r="D500" s="2332"/>
      <c r="E500" s="2332"/>
      <c r="G500" s="2332"/>
      <c r="H500" s="2332"/>
      <c r="I500" s="2332"/>
      <c r="J500" s="2332">
        <f>J499-[5]Sheet1!$K$232-[5]Sheet1!$K$268</f>
        <v>-3.3469405025243759E-10</v>
      </c>
      <c r="K500" s="2333">
        <f t="shared" si="93"/>
        <v>-3.3469405025243759E-10</v>
      </c>
      <c r="L500" s="2332"/>
      <c r="M500" s="2332"/>
    </row>
    <row r="501" spans="1:13" ht="13.5" thickBot="1" x14ac:dyDescent="0.25">
      <c r="B501" s="2342" t="s">
        <v>6980</v>
      </c>
      <c r="C501" s="2354">
        <f t="shared" ref="C501:M501" si="103">+C485+C499</f>
        <v>21286766</v>
      </c>
      <c r="D501" s="2354">
        <f t="shared" si="103"/>
        <v>12391510</v>
      </c>
      <c r="E501" s="2354">
        <f t="shared" si="103"/>
        <v>13449910</v>
      </c>
      <c r="F501" s="2354">
        <f t="shared" si="103"/>
        <v>9402053.3333333321</v>
      </c>
      <c r="G501" s="2354">
        <f t="shared" si="103"/>
        <v>12559573</v>
      </c>
      <c r="H501" s="2354"/>
      <c r="I501" s="2354">
        <f>+I485+I499</f>
        <v>24210837</v>
      </c>
      <c r="J501" s="2354">
        <f>+J485+J499</f>
        <v>17822504.739999998</v>
      </c>
      <c r="K501" s="2344">
        <f t="shared" si="93"/>
        <v>17822504.739999998</v>
      </c>
      <c r="L501" s="2354">
        <f t="shared" si="103"/>
        <v>24415285</v>
      </c>
      <c r="M501" s="2354">
        <f t="shared" si="103"/>
        <v>25836309</v>
      </c>
    </row>
    <row r="502" spans="1:13" ht="13.5" thickTop="1" x14ac:dyDescent="0.2">
      <c r="B502" s="2330"/>
      <c r="C502" s="2349"/>
      <c r="D502" s="2349"/>
      <c r="E502" s="2349"/>
      <c r="F502" s="2349"/>
      <c r="G502" s="2349"/>
      <c r="H502" s="2349"/>
      <c r="I502" s="2349"/>
      <c r="J502" s="2349"/>
      <c r="K502" s="2333">
        <f t="shared" si="93"/>
        <v>0</v>
      </c>
      <c r="L502" s="2349"/>
      <c r="M502" s="2349"/>
    </row>
    <row r="503" spans="1:13" ht="13.5" thickBot="1" x14ac:dyDescent="0.25">
      <c r="B503" s="2342" t="s">
        <v>6624</v>
      </c>
      <c r="C503" s="2355">
        <f>C430-C501</f>
        <v>5163424</v>
      </c>
      <c r="D503" s="2355">
        <f>D430-D501</f>
        <v>20798488</v>
      </c>
      <c r="E503" s="2355">
        <f>E430-E501</f>
        <v>20421088</v>
      </c>
      <c r="F503" s="2355">
        <f>F430-F501</f>
        <v>4313105.6666666679</v>
      </c>
      <c r="G503" s="2355">
        <f>G430-G501</f>
        <v>20776605.800000001</v>
      </c>
      <c r="H503" s="2355"/>
      <c r="I503" s="2355">
        <f>I430-I501</f>
        <v>18021963</v>
      </c>
      <c r="J503" s="2355">
        <f>J430-J501</f>
        <v>25096934.779999997</v>
      </c>
      <c r="K503" s="2344">
        <f t="shared" si="93"/>
        <v>25096934.779999997</v>
      </c>
      <c r="L503" s="2355">
        <f>L430-L501</f>
        <v>23284775</v>
      </c>
      <c r="M503" s="2355">
        <f>M430-M501</f>
        <v>26482228</v>
      </c>
    </row>
    <row r="504" spans="1:13" ht="13.5" thickTop="1" x14ac:dyDescent="0.2">
      <c r="B504" s="2330"/>
      <c r="C504" s="2356"/>
      <c r="D504" s="2356"/>
      <c r="E504" s="2356"/>
      <c r="F504" s="2356"/>
      <c r="G504" s="2356"/>
      <c r="H504" s="2356"/>
      <c r="I504" s="2356"/>
      <c r="J504" s="2356"/>
      <c r="K504" s="2333">
        <f t="shared" si="93"/>
        <v>0</v>
      </c>
      <c r="L504" s="2356"/>
      <c r="M504" s="2356"/>
    </row>
    <row r="505" spans="1:13" x14ac:dyDescent="0.2">
      <c r="A505" s="2369"/>
      <c r="B505" s="2369"/>
      <c r="C505" s="2369"/>
      <c r="D505" s="2369"/>
      <c r="E505" s="2369"/>
      <c r="F505" s="2356"/>
      <c r="G505" s="2356"/>
      <c r="H505" s="2356"/>
      <c r="I505" s="2356"/>
      <c r="J505" s="2356"/>
      <c r="K505" s="2333">
        <f t="shared" si="93"/>
        <v>0</v>
      </c>
      <c r="L505" s="2369"/>
      <c r="M505" s="2369"/>
    </row>
    <row r="506" spans="1:13" ht="15" x14ac:dyDescent="0.25">
      <c r="A506" s="2365">
        <v>1110</v>
      </c>
      <c r="B506" s="2366" t="s">
        <v>7028</v>
      </c>
      <c r="G506" s="2332"/>
      <c r="H506" s="2332"/>
      <c r="I506" s="2332"/>
      <c r="J506" s="2332"/>
      <c r="K506" s="2333">
        <f t="shared" si="93"/>
        <v>0</v>
      </c>
    </row>
    <row r="507" spans="1:13" x14ac:dyDescent="0.2">
      <c r="A507" s="2367">
        <v>1111</v>
      </c>
      <c r="B507" s="2379" t="s">
        <v>7055</v>
      </c>
      <c r="G507" s="2332"/>
      <c r="H507" s="2332"/>
      <c r="I507" s="2332"/>
      <c r="J507" s="2332"/>
      <c r="K507" s="2333">
        <f t="shared" si="93"/>
        <v>0</v>
      </c>
    </row>
    <row r="508" spans="1:13" x14ac:dyDescent="0.2">
      <c r="G508" s="2332"/>
      <c r="H508" s="2332"/>
      <c r="I508" s="2332"/>
      <c r="J508" s="2332"/>
      <c r="K508" s="2333">
        <f t="shared" si="93"/>
        <v>0</v>
      </c>
    </row>
    <row r="509" spans="1:13" x14ac:dyDescent="0.2">
      <c r="A509" s="2327"/>
      <c r="B509" s="2328" t="s">
        <v>235</v>
      </c>
      <c r="C509" s="2328"/>
      <c r="D509" s="2328"/>
      <c r="E509" s="2328"/>
      <c r="G509" s="2332"/>
      <c r="H509" s="2332"/>
      <c r="I509" s="2332"/>
      <c r="J509" s="2332"/>
      <c r="K509" s="2333">
        <f t="shared" si="93"/>
        <v>0</v>
      </c>
      <c r="L509" s="2328"/>
      <c r="M509" s="2328"/>
    </row>
    <row r="510" spans="1:13" x14ac:dyDescent="0.2">
      <c r="A510" s="2327"/>
      <c r="B510" s="2328"/>
      <c r="C510" s="2328"/>
      <c r="D510" s="2328"/>
      <c r="E510" s="2328"/>
      <c r="G510" s="2332"/>
      <c r="H510" s="2332"/>
      <c r="I510" s="2332"/>
      <c r="J510" s="2332"/>
      <c r="K510" s="2333">
        <f t="shared" si="93"/>
        <v>0</v>
      </c>
      <c r="L510" s="2328"/>
      <c r="M510" s="2328"/>
    </row>
    <row r="511" spans="1:13" x14ac:dyDescent="0.2">
      <c r="A511" s="2329"/>
      <c r="B511" s="2330" t="s">
        <v>387</v>
      </c>
      <c r="C511" s="2332"/>
      <c r="D511" s="2332"/>
      <c r="E511" s="2332"/>
      <c r="F511" s="2309"/>
      <c r="G511" s="2332"/>
      <c r="H511" s="2332"/>
      <c r="I511" s="2332"/>
      <c r="J511" s="2332"/>
      <c r="K511" s="2333">
        <f t="shared" si="93"/>
        <v>0</v>
      </c>
      <c r="L511" s="2332"/>
      <c r="M511" s="2332"/>
    </row>
    <row r="512" spans="1:13" x14ac:dyDescent="0.2">
      <c r="A512" s="2329">
        <v>1001</v>
      </c>
      <c r="B512" s="2258" t="s">
        <v>6943</v>
      </c>
      <c r="C512" s="2332">
        <v>13249</v>
      </c>
      <c r="D512" s="2332">
        <v>192443</v>
      </c>
      <c r="E512" s="2332">
        <v>167873</v>
      </c>
      <c r="F512" s="2332">
        <v>58912</v>
      </c>
      <c r="G512" s="2332">
        <f t="shared" ref="G512:G524" si="104">F512/$F$11*$G$11</f>
        <v>70694.399999999994</v>
      </c>
      <c r="H512" s="2332"/>
      <c r="I512" s="2332">
        <f>[6]Salary_Bdgt!$H$133</f>
        <v>167236</v>
      </c>
      <c r="J512" s="2332">
        <f>[5]Sheet1!$K$112</f>
        <v>246670.74</v>
      </c>
      <c r="K512" s="2333">
        <f t="shared" si="93"/>
        <v>246670.74</v>
      </c>
      <c r="L512" s="2332">
        <f t="shared" ref="L512:L524" si="105">ROUND(I512*1.08,0)</f>
        <v>180615</v>
      </c>
      <c r="M512" s="2332">
        <f t="shared" ref="M512:M524" si="106">ROUND(L512*1.08,0)</f>
        <v>195064</v>
      </c>
    </row>
    <row r="513" spans="1:13" x14ac:dyDescent="0.2">
      <c r="A513" s="2329">
        <v>1005</v>
      </c>
      <c r="B513" s="2258" t="s">
        <v>6944</v>
      </c>
      <c r="C513" s="2332">
        <v>986</v>
      </c>
      <c r="D513" s="2332">
        <f>[7]Sal_RIA!$L$96</f>
        <v>0</v>
      </c>
      <c r="E513" s="2332">
        <f>+D513</f>
        <v>0</v>
      </c>
      <c r="F513" s="2332">
        <v>0</v>
      </c>
      <c r="G513" s="2332">
        <f t="shared" si="104"/>
        <v>0</v>
      </c>
      <c r="H513" s="2332"/>
      <c r="I513" s="2332">
        <f>+[6]Salary_Bdgt!$L$133</f>
        <v>0</v>
      </c>
      <c r="J513" s="2332">
        <f>[5]Sheet1!$K$119</f>
        <v>34809.599999999999</v>
      </c>
      <c r="K513" s="2333">
        <f t="shared" si="93"/>
        <v>34809.599999999999</v>
      </c>
      <c r="L513" s="2332">
        <f t="shared" si="105"/>
        <v>0</v>
      </c>
      <c r="M513" s="2332">
        <f t="shared" si="106"/>
        <v>0</v>
      </c>
    </row>
    <row r="514" spans="1:13" x14ac:dyDescent="0.2">
      <c r="A514" s="2329">
        <v>1006</v>
      </c>
      <c r="B514" s="2258" t="s">
        <v>6945</v>
      </c>
      <c r="C514" s="2332">
        <v>3165</v>
      </c>
      <c r="D514" s="2332">
        <v>34774</v>
      </c>
      <c r="E514" s="2332">
        <f>+D514+14529</f>
        <v>49303</v>
      </c>
      <c r="F514" s="2332">
        <v>13390</v>
      </c>
      <c r="G514" s="2332">
        <f t="shared" si="104"/>
        <v>16068</v>
      </c>
      <c r="H514" s="2332"/>
      <c r="I514" s="2332">
        <f>+[6]Salary_Bdgt!$N$133</f>
        <v>34752</v>
      </c>
      <c r="J514" s="2332">
        <f>[5]Sheet1!$K$120</f>
        <v>50840.86</v>
      </c>
      <c r="K514" s="2333">
        <f t="shared" si="93"/>
        <v>50840.86</v>
      </c>
      <c r="L514" s="2332">
        <f t="shared" si="105"/>
        <v>37532</v>
      </c>
      <c r="M514" s="2332">
        <f t="shared" si="106"/>
        <v>40535</v>
      </c>
    </row>
    <row r="515" spans="1:13" x14ac:dyDescent="0.2">
      <c r="A515" s="2329">
        <v>1007</v>
      </c>
      <c r="B515" s="2258" t="s">
        <v>6410</v>
      </c>
      <c r="C515" s="2332">
        <v>228</v>
      </c>
      <c r="D515" s="2332">
        <v>1539</v>
      </c>
      <c r="E515" s="2332">
        <f>+D515+566</f>
        <v>2105</v>
      </c>
      <c r="F515" s="2332">
        <v>486</v>
      </c>
      <c r="G515" s="2332">
        <f t="shared" si="104"/>
        <v>583.20000000000005</v>
      </c>
      <c r="H515" s="2332"/>
      <c r="I515" s="2332">
        <f>+[6]Salary_Bdgt!$I$133</f>
        <v>1617</v>
      </c>
      <c r="J515" s="2332">
        <f>[5]Sheet1!$K$121</f>
        <v>1746.92</v>
      </c>
      <c r="K515" s="2333">
        <f t="shared" si="93"/>
        <v>1746.92</v>
      </c>
      <c r="L515" s="2332">
        <f t="shared" si="105"/>
        <v>1746</v>
      </c>
      <c r="M515" s="2332">
        <f t="shared" si="106"/>
        <v>1886</v>
      </c>
    </row>
    <row r="516" spans="1:13" x14ac:dyDescent="0.2">
      <c r="A516" s="2329">
        <v>1009</v>
      </c>
      <c r="B516" s="2258" t="s">
        <v>6408</v>
      </c>
      <c r="C516" s="2332">
        <v>7</v>
      </c>
      <c r="D516" s="2332">
        <f>[7]Sal_RIA!$M$96</f>
        <v>0</v>
      </c>
      <c r="E516" s="2332">
        <v>19</v>
      </c>
      <c r="F516" s="2332">
        <v>15</v>
      </c>
      <c r="G516" s="2332">
        <f t="shared" si="104"/>
        <v>18</v>
      </c>
      <c r="H516" s="2332"/>
      <c r="I516" s="2332">
        <f>+[6]Salary_Bdgt!$M$133</f>
        <v>0</v>
      </c>
      <c r="J516" s="2332">
        <f>[5]Sheet1!$K$116</f>
        <v>49.2</v>
      </c>
      <c r="K516" s="2333">
        <f t="shared" si="93"/>
        <v>49.2</v>
      </c>
      <c r="L516" s="2332">
        <f t="shared" si="105"/>
        <v>0</v>
      </c>
      <c r="M516" s="2332">
        <f t="shared" si="106"/>
        <v>0</v>
      </c>
    </row>
    <row r="517" spans="1:13" x14ac:dyDescent="0.2">
      <c r="A517" s="2329">
        <v>1010</v>
      </c>
      <c r="B517" s="2258" t="s">
        <v>6946</v>
      </c>
      <c r="C517" s="2332">
        <v>1506</v>
      </c>
      <c r="D517" s="2332">
        <v>16037</v>
      </c>
      <c r="E517" s="2332">
        <f>+D517</f>
        <v>16037</v>
      </c>
      <c r="F517" s="2332">
        <v>5091</v>
      </c>
      <c r="G517" s="2332">
        <f t="shared" si="104"/>
        <v>6109.2000000000007</v>
      </c>
      <c r="H517" s="2332"/>
      <c r="I517" s="2332">
        <f>+[6]Salary_Bdgt!$Q$133</f>
        <v>13936</v>
      </c>
      <c r="J517" s="2332">
        <f>[5]Sheet1!$K$113</f>
        <v>4754.4799999999996</v>
      </c>
      <c r="K517" s="2333">
        <f t="shared" si="93"/>
        <v>4754.4799999999996</v>
      </c>
      <c r="L517" s="2332">
        <f t="shared" si="105"/>
        <v>15051</v>
      </c>
      <c r="M517" s="2332">
        <f t="shared" si="106"/>
        <v>16255</v>
      </c>
    </row>
    <row r="518" spans="1:13" x14ac:dyDescent="0.2">
      <c r="A518" s="2329">
        <v>1011</v>
      </c>
      <c r="B518" s="2258" t="s">
        <v>6947</v>
      </c>
      <c r="C518" s="2332">
        <v>0</v>
      </c>
      <c r="D518" s="2332">
        <v>0</v>
      </c>
      <c r="E518" s="2332">
        <v>0</v>
      </c>
      <c r="F518" s="2332">
        <v>0</v>
      </c>
      <c r="G518" s="2332">
        <f t="shared" si="104"/>
        <v>0</v>
      </c>
      <c r="H518" s="2332"/>
      <c r="I518" s="2332">
        <f>+[6]Salary_Bdgt!$U$133</f>
        <v>0</v>
      </c>
      <c r="J518" s="2332"/>
      <c r="K518" s="2333">
        <f t="shared" si="93"/>
        <v>0</v>
      </c>
      <c r="L518" s="2332">
        <f t="shared" si="105"/>
        <v>0</v>
      </c>
      <c r="M518" s="2332">
        <f t="shared" si="106"/>
        <v>0</v>
      </c>
    </row>
    <row r="519" spans="1:13" x14ac:dyDescent="0.2">
      <c r="A519" s="2353">
        <v>1014</v>
      </c>
      <c r="B519" s="2258" t="s">
        <v>6632</v>
      </c>
      <c r="C519" s="2332">
        <v>0</v>
      </c>
      <c r="D519" s="2332">
        <v>0</v>
      </c>
      <c r="E519" s="2332">
        <v>0</v>
      </c>
      <c r="F519" s="2332">
        <v>0</v>
      </c>
      <c r="G519" s="2332">
        <f t="shared" si="104"/>
        <v>0</v>
      </c>
      <c r="H519" s="2332"/>
      <c r="I519" s="2332">
        <f>+[6]Salary_Bdgt!$S$133</f>
        <v>0</v>
      </c>
      <c r="J519" s="2332">
        <f>[5]Sheet1!$K$114</f>
        <v>5020</v>
      </c>
      <c r="K519" s="2333">
        <f t="shared" si="93"/>
        <v>5020</v>
      </c>
      <c r="L519" s="2332">
        <f t="shared" si="105"/>
        <v>0</v>
      </c>
      <c r="M519" s="2332">
        <f t="shared" si="106"/>
        <v>0</v>
      </c>
    </row>
    <row r="520" spans="1:13" x14ac:dyDescent="0.2">
      <c r="A520" s="2329">
        <v>1015</v>
      </c>
      <c r="B520" s="2258" t="s">
        <v>6948</v>
      </c>
      <c r="C520" s="2332">
        <v>0</v>
      </c>
      <c r="D520" s="2332">
        <v>0</v>
      </c>
      <c r="E520" s="2332">
        <v>0</v>
      </c>
      <c r="F520" s="2332">
        <v>0</v>
      </c>
      <c r="G520" s="2332">
        <f t="shared" si="104"/>
        <v>0</v>
      </c>
      <c r="H520" s="2332"/>
      <c r="I520" s="2332">
        <f>+[6]Salary_Bdgt!$O$133+[6]Salary_Bdgt!$P$133+[6]Salary_Bdgt!$W$133</f>
        <v>0</v>
      </c>
      <c r="J520" s="2332"/>
      <c r="K520" s="2333">
        <f t="shared" si="93"/>
        <v>0</v>
      </c>
      <c r="L520" s="2332">
        <f t="shared" si="105"/>
        <v>0</v>
      </c>
      <c r="M520" s="2332">
        <f t="shared" si="106"/>
        <v>0</v>
      </c>
    </row>
    <row r="521" spans="1:13" x14ac:dyDescent="0.2">
      <c r="A521" s="2329">
        <v>1016</v>
      </c>
      <c r="B521" s="2258" t="s">
        <v>6949</v>
      </c>
      <c r="C521" s="2332">
        <v>0</v>
      </c>
      <c r="D521" s="2332">
        <v>0</v>
      </c>
      <c r="E521" s="2332">
        <v>0</v>
      </c>
      <c r="F521" s="2332">
        <v>0</v>
      </c>
      <c r="G521" s="2332">
        <f t="shared" si="104"/>
        <v>0</v>
      </c>
      <c r="H521" s="2332"/>
      <c r="I521" s="2332">
        <f>+[6]Salary_Bdgt!$T$133+[6]Salary_Bdgt!$V$133</f>
        <v>0</v>
      </c>
      <c r="J521" s="2332"/>
      <c r="K521" s="2333">
        <f t="shared" si="93"/>
        <v>0</v>
      </c>
      <c r="L521" s="2332">
        <f t="shared" si="105"/>
        <v>0</v>
      </c>
      <c r="M521" s="2332">
        <f t="shared" si="106"/>
        <v>0</v>
      </c>
    </row>
    <row r="522" spans="1:13" x14ac:dyDescent="0.2">
      <c r="A522" s="2329">
        <v>1017</v>
      </c>
      <c r="B522" s="2258" t="s">
        <v>6950</v>
      </c>
      <c r="C522" s="2332">
        <v>265</v>
      </c>
      <c r="D522" s="2332">
        <v>3849</v>
      </c>
      <c r="E522" s="2332">
        <f>+D522</f>
        <v>3849</v>
      </c>
      <c r="F522" s="2332">
        <v>290</v>
      </c>
      <c r="G522" s="2332">
        <f t="shared" si="104"/>
        <v>348</v>
      </c>
      <c r="H522" s="2332"/>
      <c r="I522" s="2332">
        <f>+[6]Salary_Bdgt!$J$133</f>
        <v>3345</v>
      </c>
      <c r="J522" s="2332">
        <f>[5]Sheet1!$K$117</f>
        <v>2659.08</v>
      </c>
      <c r="K522" s="2333">
        <f t="shared" si="93"/>
        <v>2659.08</v>
      </c>
      <c r="L522" s="2332">
        <f t="shared" si="105"/>
        <v>3613</v>
      </c>
      <c r="M522" s="2332">
        <f t="shared" si="106"/>
        <v>3902</v>
      </c>
    </row>
    <row r="523" spans="1:13" x14ac:dyDescent="0.2">
      <c r="A523" s="2329">
        <v>1046</v>
      </c>
      <c r="B523" s="2258" t="s">
        <v>6951</v>
      </c>
      <c r="C523" s="2332">
        <v>4176</v>
      </c>
      <c r="D523" s="2332">
        <f>[7]Sal_RIA!$R$96</f>
        <v>0</v>
      </c>
      <c r="E523" s="2332">
        <v>9456</v>
      </c>
      <c r="F523" s="2332">
        <v>8940</v>
      </c>
      <c r="G523" s="2332">
        <f t="shared" si="104"/>
        <v>10728</v>
      </c>
      <c r="H523" s="2332"/>
      <c r="I523" s="2332">
        <f>+[6]Salary_Bdgt!$R$133</f>
        <v>0</v>
      </c>
      <c r="J523" s="2332">
        <f>[5]Sheet1!$K$115</f>
        <v>35000</v>
      </c>
      <c r="K523" s="2333">
        <f t="shared" si="93"/>
        <v>35000</v>
      </c>
      <c r="L523" s="2332">
        <f t="shared" si="105"/>
        <v>0</v>
      </c>
      <c r="M523" s="2332">
        <f t="shared" si="106"/>
        <v>0</v>
      </c>
    </row>
    <row r="524" spans="1:13" x14ac:dyDescent="0.2">
      <c r="A524" s="2329">
        <v>1182</v>
      </c>
      <c r="B524" s="2334" t="s">
        <v>6952</v>
      </c>
      <c r="C524" s="2335">
        <v>167</v>
      </c>
      <c r="D524" s="2335">
        <v>3579</v>
      </c>
      <c r="E524" s="2335">
        <f>+D524</f>
        <v>3579</v>
      </c>
      <c r="F524" s="2335">
        <v>0</v>
      </c>
      <c r="G524" s="2335">
        <f t="shared" si="104"/>
        <v>0</v>
      </c>
      <c r="H524" s="2335"/>
      <c r="I524" s="2335">
        <f>+[6]Salary_Bdgt!$K$133</f>
        <v>3111</v>
      </c>
      <c r="J524" s="2335">
        <f>[5]Sheet1!$K$118</f>
        <v>1062.19</v>
      </c>
      <c r="K524" s="2336">
        <f t="shared" si="93"/>
        <v>1062.19</v>
      </c>
      <c r="L524" s="2335">
        <f t="shared" si="105"/>
        <v>3360</v>
      </c>
      <c r="M524" s="2335">
        <f t="shared" si="106"/>
        <v>3629</v>
      </c>
    </row>
    <row r="525" spans="1:13" x14ac:dyDescent="0.2">
      <c r="A525" s="2329"/>
      <c r="B525" s="2330" t="s">
        <v>6588</v>
      </c>
      <c r="C525" s="2349">
        <f t="shared" ref="C525:M525" si="107">SUM(C512:C524)</f>
        <v>23749</v>
      </c>
      <c r="D525" s="2349">
        <f t="shared" si="107"/>
        <v>252221</v>
      </c>
      <c r="E525" s="2349">
        <f t="shared" si="107"/>
        <v>252221</v>
      </c>
      <c r="F525" s="2349">
        <f t="shared" si="107"/>
        <v>87124</v>
      </c>
      <c r="G525" s="2349">
        <f t="shared" si="107"/>
        <v>104548.79999999999</v>
      </c>
      <c r="H525" s="2349"/>
      <c r="I525" s="2349">
        <f>SUM(I512:I524)</f>
        <v>223997</v>
      </c>
      <c r="J525" s="2349">
        <f>SUM(J512:J524)</f>
        <v>382613.06999999995</v>
      </c>
      <c r="K525" s="2333">
        <f t="shared" si="93"/>
        <v>382613.06999999995</v>
      </c>
      <c r="L525" s="2349">
        <f t="shared" si="107"/>
        <v>241917</v>
      </c>
      <c r="M525" s="2349">
        <f t="shared" si="107"/>
        <v>261271</v>
      </c>
    </row>
    <row r="526" spans="1:13" x14ac:dyDescent="0.2">
      <c r="A526" s="2329"/>
      <c r="B526" s="2330"/>
      <c r="C526" s="2332"/>
      <c r="D526" s="2332"/>
      <c r="E526" s="2332"/>
      <c r="G526" s="2332"/>
      <c r="H526" s="2332"/>
      <c r="I526" s="2332"/>
      <c r="J526" s="2332">
        <f>J525-[5]Sheet1!$K$122</f>
        <v>0</v>
      </c>
      <c r="K526" s="2333">
        <f t="shared" si="93"/>
        <v>0</v>
      </c>
      <c r="L526" s="2332"/>
      <c r="M526" s="2332"/>
    </row>
    <row r="527" spans="1:13" x14ac:dyDescent="0.2">
      <c r="A527" s="2329"/>
      <c r="B527" s="2330" t="s">
        <v>6953</v>
      </c>
      <c r="C527" s="2332"/>
      <c r="D527" s="2332"/>
      <c r="E527" s="2332"/>
      <c r="G527" s="2332"/>
      <c r="H527" s="2332"/>
      <c r="I527" s="2332"/>
      <c r="J527" s="2332"/>
      <c r="K527" s="2333">
        <f t="shared" si="93"/>
        <v>0</v>
      </c>
      <c r="L527" s="2332"/>
      <c r="M527" s="2332"/>
    </row>
    <row r="528" spans="1:13" x14ac:dyDescent="0.2">
      <c r="A528" s="2329">
        <v>3207</v>
      </c>
      <c r="B528" s="2334" t="s">
        <v>6954</v>
      </c>
      <c r="C528" s="2335">
        <v>75</v>
      </c>
      <c r="D528" s="2335">
        <v>1050</v>
      </c>
      <c r="E528" s="2335">
        <v>1050</v>
      </c>
      <c r="F528" s="2335">
        <v>0</v>
      </c>
      <c r="G528" s="2335">
        <f>F528/$F$11*$G$11</f>
        <v>0</v>
      </c>
      <c r="H528" s="2335"/>
      <c r="I528" s="2335">
        <v>0</v>
      </c>
      <c r="J528" s="2335">
        <v>0</v>
      </c>
      <c r="K528" s="2336">
        <f t="shared" si="93"/>
        <v>0</v>
      </c>
      <c r="L528" s="2335">
        <f>ROUND(I528*1.06,0)</f>
        <v>0</v>
      </c>
      <c r="M528" s="2335">
        <f>ROUND(L528*1.06,0)</f>
        <v>0</v>
      </c>
    </row>
    <row r="529" spans="1:13" x14ac:dyDescent="0.2">
      <c r="A529" s="2329"/>
      <c r="B529" s="2330" t="s">
        <v>6956</v>
      </c>
      <c r="C529" s="2349">
        <f>SUM(C528:C528)</f>
        <v>75</v>
      </c>
      <c r="D529" s="2349">
        <f t="shared" ref="D529:L529" si="108">SUM(D528:D528)</f>
        <v>1050</v>
      </c>
      <c r="E529" s="2349">
        <f t="shared" si="108"/>
        <v>1050</v>
      </c>
      <c r="F529" s="2349">
        <f t="shared" si="108"/>
        <v>0</v>
      </c>
      <c r="G529" s="2349">
        <f t="shared" si="108"/>
        <v>0</v>
      </c>
      <c r="H529" s="2349"/>
      <c r="I529" s="2349">
        <f t="shared" si="108"/>
        <v>0</v>
      </c>
      <c r="J529" s="2349">
        <f>J528</f>
        <v>0</v>
      </c>
      <c r="K529" s="2333">
        <f t="shared" si="93"/>
        <v>0</v>
      </c>
      <c r="L529" s="2349">
        <f t="shared" si="108"/>
        <v>0</v>
      </c>
      <c r="M529" s="2349">
        <f>SUM(M528:M528)</f>
        <v>0</v>
      </c>
    </row>
    <row r="530" spans="1:13" x14ac:dyDescent="0.2">
      <c r="A530" s="2329"/>
      <c r="B530" s="2330"/>
      <c r="C530" s="2332"/>
      <c r="D530" s="2332"/>
      <c r="E530" s="2332"/>
      <c r="G530" s="2332"/>
      <c r="H530" s="2332"/>
      <c r="I530" s="2332"/>
      <c r="J530" s="2332"/>
      <c r="K530" s="2333">
        <f t="shared" si="93"/>
        <v>0</v>
      </c>
      <c r="L530" s="2332"/>
      <c r="M530" s="2332"/>
    </row>
    <row r="531" spans="1:13" x14ac:dyDescent="0.2">
      <c r="A531" s="2329"/>
      <c r="B531" s="2330" t="s">
        <v>6599</v>
      </c>
      <c r="C531" s="2332"/>
      <c r="D531" s="2332"/>
      <c r="E531" s="2332"/>
      <c r="G531" s="2332"/>
      <c r="H531" s="2332"/>
      <c r="I531" s="2332"/>
      <c r="J531" s="2332"/>
      <c r="K531" s="2333">
        <f t="shared" si="93"/>
        <v>0</v>
      </c>
      <c r="L531" s="2332"/>
      <c r="M531" s="2332"/>
    </row>
    <row r="532" spans="1:13" x14ac:dyDescent="0.2">
      <c r="A532" s="2329">
        <v>2113</v>
      </c>
      <c r="B532" s="2258" t="s">
        <v>6958</v>
      </c>
      <c r="C532" s="2332">
        <v>0</v>
      </c>
      <c r="D532" s="2332">
        <v>5300</v>
      </c>
      <c r="E532" s="2332">
        <v>5300</v>
      </c>
      <c r="F532" s="2332">
        <v>0</v>
      </c>
      <c r="G532" s="2332">
        <f t="shared" ref="G532:G541" si="109">F532/$F$11*$G$11</f>
        <v>0</v>
      </c>
      <c r="H532" s="2332"/>
      <c r="I532" s="2332">
        <f>ROUND(E532*1.05,-2)</f>
        <v>5600</v>
      </c>
      <c r="J532" s="2332">
        <f>[5]Sheet1!$K$125</f>
        <v>0</v>
      </c>
      <c r="K532" s="2333">
        <f t="shared" si="93"/>
        <v>0</v>
      </c>
      <c r="L532" s="2332">
        <f t="shared" ref="L532:L541" si="110">ROUND(I532*1.06,0)</f>
        <v>5936</v>
      </c>
      <c r="M532" s="2332">
        <f t="shared" ref="M532:M541" si="111">ROUND(L532*1.06,0)</f>
        <v>6292</v>
      </c>
    </row>
    <row r="533" spans="1:13" x14ac:dyDescent="0.2">
      <c r="A533" s="2329">
        <v>2207</v>
      </c>
      <c r="B533" s="2258" t="s">
        <v>7008</v>
      </c>
      <c r="C533" s="2332">
        <v>0</v>
      </c>
      <c r="D533" s="2332">
        <v>1100</v>
      </c>
      <c r="E533" s="2332">
        <v>1100</v>
      </c>
      <c r="F533" s="2332">
        <v>0</v>
      </c>
      <c r="G533" s="2332">
        <f t="shared" si="109"/>
        <v>0</v>
      </c>
      <c r="H533" s="2332"/>
      <c r="I533" s="2332">
        <v>0</v>
      </c>
      <c r="J533" s="2332">
        <v>0</v>
      </c>
      <c r="K533" s="2333">
        <f t="shared" ref="K533:K596" si="112">J533</f>
        <v>0</v>
      </c>
      <c r="L533" s="2332">
        <f t="shared" si="110"/>
        <v>0</v>
      </c>
      <c r="M533" s="2332">
        <f t="shared" si="111"/>
        <v>0</v>
      </c>
    </row>
    <row r="534" spans="1:13" x14ac:dyDescent="0.2">
      <c r="A534" s="2329">
        <v>2212</v>
      </c>
      <c r="B534" s="2258" t="s">
        <v>6963</v>
      </c>
      <c r="C534" s="2332">
        <v>0</v>
      </c>
      <c r="D534" s="2332">
        <v>500</v>
      </c>
      <c r="E534" s="2332">
        <v>500</v>
      </c>
      <c r="F534" s="2332">
        <v>0</v>
      </c>
      <c r="G534" s="2332">
        <f t="shared" si="109"/>
        <v>0</v>
      </c>
      <c r="H534" s="2332"/>
      <c r="I534" s="2332">
        <f>ROUND(E534*1.05,-2)</f>
        <v>500</v>
      </c>
      <c r="J534" s="2332">
        <f>[5]Sheet1!$K$128</f>
        <v>169.16</v>
      </c>
      <c r="K534" s="2333">
        <f t="shared" si="112"/>
        <v>169.16</v>
      </c>
      <c r="L534" s="2332">
        <f t="shared" si="110"/>
        <v>530</v>
      </c>
      <c r="M534" s="2332">
        <f t="shared" si="111"/>
        <v>562</v>
      </c>
    </row>
    <row r="535" spans="1:13" x14ac:dyDescent="0.2">
      <c r="A535" s="2329">
        <v>2226</v>
      </c>
      <c r="B535" s="2258" t="s">
        <v>7056</v>
      </c>
      <c r="C535" s="2332">
        <v>0</v>
      </c>
      <c r="D535" s="2332">
        <v>3200</v>
      </c>
      <c r="E535" s="2332">
        <v>3200</v>
      </c>
      <c r="F535" s="2332">
        <v>0</v>
      </c>
      <c r="G535" s="2332">
        <f t="shared" si="109"/>
        <v>0</v>
      </c>
      <c r="H535" s="2332"/>
      <c r="I535" s="2332">
        <f>ROUND(E535*1.05,-2)</f>
        <v>3400</v>
      </c>
      <c r="J535" s="2332">
        <f>[5]Sheet1!$K$129</f>
        <v>3331.58</v>
      </c>
      <c r="K535" s="2333">
        <f t="shared" si="112"/>
        <v>3331.58</v>
      </c>
      <c r="L535" s="2332">
        <f t="shared" si="110"/>
        <v>3604</v>
      </c>
      <c r="M535" s="2332">
        <f t="shared" si="111"/>
        <v>3820</v>
      </c>
    </row>
    <row r="536" spans="1:13" x14ac:dyDescent="0.2">
      <c r="A536" s="2353">
        <v>2227</v>
      </c>
      <c r="B536" s="2258" t="s">
        <v>231</v>
      </c>
      <c r="C536" s="2332">
        <v>0</v>
      </c>
      <c r="D536" s="2332">
        <v>1100</v>
      </c>
      <c r="E536" s="2332">
        <v>1100</v>
      </c>
      <c r="F536" s="2332">
        <v>0</v>
      </c>
      <c r="G536" s="2332">
        <f t="shared" si="109"/>
        <v>0</v>
      </c>
      <c r="H536" s="2332"/>
      <c r="I536" s="2332">
        <f>ROUND(E536*1.05,-2)</f>
        <v>1200</v>
      </c>
      <c r="J536" s="2332">
        <v>0</v>
      </c>
      <c r="K536" s="2333">
        <f t="shared" si="112"/>
        <v>0</v>
      </c>
      <c r="L536" s="2332">
        <f t="shared" si="110"/>
        <v>1272</v>
      </c>
      <c r="M536" s="2332">
        <f t="shared" si="111"/>
        <v>1348</v>
      </c>
    </row>
    <row r="537" spans="1:13" x14ac:dyDescent="0.2">
      <c r="A537" s="2329">
        <v>2233</v>
      </c>
      <c r="B537" s="2258" t="s">
        <v>6966</v>
      </c>
      <c r="C537" s="2332">
        <v>0</v>
      </c>
      <c r="D537" s="2332">
        <v>2100</v>
      </c>
      <c r="E537" s="2332">
        <v>2100</v>
      </c>
      <c r="F537" s="2332">
        <v>0</v>
      </c>
      <c r="G537" s="2332">
        <f t="shared" si="109"/>
        <v>0</v>
      </c>
      <c r="H537" s="2332"/>
      <c r="I537" s="2332">
        <v>0</v>
      </c>
      <c r="J537" s="2332">
        <v>0</v>
      </c>
      <c r="K537" s="2333">
        <f t="shared" si="112"/>
        <v>0</v>
      </c>
      <c r="L537" s="2332">
        <f t="shared" si="110"/>
        <v>0</v>
      </c>
      <c r="M537" s="2332">
        <f t="shared" si="111"/>
        <v>0</v>
      </c>
    </row>
    <row r="538" spans="1:13" x14ac:dyDescent="0.2">
      <c r="A538" s="2329">
        <v>2238</v>
      </c>
      <c r="B538" s="2258" t="s">
        <v>6967</v>
      </c>
      <c r="C538" s="2332">
        <v>2815</v>
      </c>
      <c r="D538" s="2332">
        <v>10000</v>
      </c>
      <c r="E538" s="2332">
        <v>10000</v>
      </c>
      <c r="F538" s="2332">
        <v>11866</v>
      </c>
      <c r="G538" s="2332">
        <f t="shared" si="109"/>
        <v>14239.199999999999</v>
      </c>
      <c r="H538" s="2332"/>
      <c r="I538" s="2332">
        <f>ROUND(E538*1.05,-2)</f>
        <v>10500</v>
      </c>
      <c r="J538" s="2332">
        <f>[5]Sheet1!$K$132</f>
        <v>9800</v>
      </c>
      <c r="K538" s="2333">
        <f t="shared" si="112"/>
        <v>9800</v>
      </c>
      <c r="L538" s="2332">
        <f t="shared" si="110"/>
        <v>11130</v>
      </c>
      <c r="M538" s="2332">
        <f t="shared" si="111"/>
        <v>11798</v>
      </c>
    </row>
    <row r="539" spans="1:13" x14ac:dyDescent="0.2">
      <c r="A539" s="2329">
        <v>2246</v>
      </c>
      <c r="B539" s="2258" t="s">
        <v>6968</v>
      </c>
      <c r="C539" s="2332">
        <v>0</v>
      </c>
      <c r="D539" s="2332">
        <v>1100</v>
      </c>
      <c r="E539" s="2332">
        <v>1100</v>
      </c>
      <c r="F539" s="2332">
        <v>0</v>
      </c>
      <c r="G539" s="2332">
        <f t="shared" si="109"/>
        <v>0</v>
      </c>
      <c r="H539" s="2332"/>
      <c r="I539" s="2332">
        <f>ROUND(E539*1.05,-2)</f>
        <v>1200</v>
      </c>
      <c r="J539" s="2332">
        <v>0</v>
      </c>
      <c r="K539" s="2333">
        <f t="shared" si="112"/>
        <v>0</v>
      </c>
      <c r="L539" s="2332">
        <f t="shared" si="110"/>
        <v>1272</v>
      </c>
      <c r="M539" s="2332">
        <f t="shared" si="111"/>
        <v>1348</v>
      </c>
    </row>
    <row r="540" spans="1:13" x14ac:dyDescent="0.2">
      <c r="A540" s="2353">
        <v>2305</v>
      </c>
      <c r="B540" s="2258" t="s">
        <v>6970</v>
      </c>
      <c r="C540" s="2332">
        <v>0</v>
      </c>
      <c r="D540" s="2332">
        <v>1100</v>
      </c>
      <c r="E540" s="2332">
        <v>1100</v>
      </c>
      <c r="F540" s="2332">
        <v>0</v>
      </c>
      <c r="G540" s="2332">
        <f t="shared" si="109"/>
        <v>0</v>
      </c>
      <c r="H540" s="2332"/>
      <c r="I540" s="2332">
        <f>ROUND(E540*1.05,-2)</f>
        <v>1200</v>
      </c>
      <c r="J540" s="2332">
        <v>0</v>
      </c>
      <c r="K540" s="2333">
        <f t="shared" si="112"/>
        <v>0</v>
      </c>
      <c r="L540" s="2332">
        <f t="shared" si="110"/>
        <v>1272</v>
      </c>
      <c r="M540" s="2332">
        <f t="shared" si="111"/>
        <v>1348</v>
      </c>
    </row>
    <row r="541" spans="1:13" x14ac:dyDescent="0.2">
      <c r="A541" s="2329">
        <v>2201</v>
      </c>
      <c r="B541" s="2334" t="s">
        <v>6729</v>
      </c>
      <c r="C541" s="2335">
        <v>0</v>
      </c>
      <c r="D541" s="2335">
        <v>28400</v>
      </c>
      <c r="E541" s="2335">
        <v>28400</v>
      </c>
      <c r="F541" s="2335">
        <v>0</v>
      </c>
      <c r="G541" s="2335">
        <f t="shared" si="109"/>
        <v>0</v>
      </c>
      <c r="H541" s="2335"/>
      <c r="I541" s="2335">
        <f>ROUND(E541*1.05,-2)</f>
        <v>29800</v>
      </c>
      <c r="J541" s="2335">
        <f>[5]Sheet1!$K$126</f>
        <v>187350</v>
      </c>
      <c r="K541" s="2336">
        <f t="shared" si="112"/>
        <v>187350</v>
      </c>
      <c r="L541" s="2335">
        <f t="shared" si="110"/>
        <v>31588</v>
      </c>
      <c r="M541" s="2335">
        <f t="shared" si="111"/>
        <v>33483</v>
      </c>
    </row>
    <row r="542" spans="1:13" x14ac:dyDescent="0.2">
      <c r="A542" s="2329"/>
      <c r="B542" s="2330" t="s">
        <v>6614</v>
      </c>
      <c r="C542" s="2349">
        <f t="shared" ref="C542:M542" si="113">SUM(C532:C541)</f>
        <v>2815</v>
      </c>
      <c r="D542" s="2349">
        <f t="shared" si="113"/>
        <v>53900</v>
      </c>
      <c r="E542" s="2349">
        <f t="shared" si="113"/>
        <v>53900</v>
      </c>
      <c r="F542" s="2349">
        <f t="shared" si="113"/>
        <v>11866</v>
      </c>
      <c r="G542" s="2349">
        <f t="shared" si="113"/>
        <v>14239.199999999999</v>
      </c>
      <c r="H542" s="2349"/>
      <c r="I542" s="2349">
        <f>SUM(I532:I541)</f>
        <v>53400</v>
      </c>
      <c r="J542" s="2349">
        <f>SUM(J532:J541)</f>
        <v>200650.74</v>
      </c>
      <c r="K542" s="2333">
        <f t="shared" si="112"/>
        <v>200650.74</v>
      </c>
      <c r="L542" s="2349">
        <f t="shared" si="113"/>
        <v>56604</v>
      </c>
      <c r="M542" s="2349">
        <f t="shared" si="113"/>
        <v>59999</v>
      </c>
    </row>
    <row r="543" spans="1:13" x14ac:dyDescent="0.2">
      <c r="A543" s="2345"/>
      <c r="B543" s="2338"/>
      <c r="C543" s="2380"/>
      <c r="D543" s="2380"/>
      <c r="E543" s="2380"/>
      <c r="F543" s="2380"/>
      <c r="G543" s="2380"/>
      <c r="H543" s="2380"/>
      <c r="I543" s="2380"/>
      <c r="J543" s="2380">
        <f>J542-[5]Sheet1!$K$135</f>
        <v>0</v>
      </c>
      <c r="K543" s="2336">
        <f t="shared" si="112"/>
        <v>0</v>
      </c>
      <c r="L543" s="2380"/>
      <c r="M543" s="2380"/>
    </row>
    <row r="544" spans="1:13" x14ac:dyDescent="0.2">
      <c r="A544" s="2341"/>
      <c r="B544" s="2330" t="s">
        <v>6972</v>
      </c>
      <c r="C544" s="2351">
        <f t="shared" ref="C544:M544" si="114">C525+C529+C542</f>
        <v>26639</v>
      </c>
      <c r="D544" s="2351">
        <f t="shared" si="114"/>
        <v>307171</v>
      </c>
      <c r="E544" s="2351">
        <f t="shared" si="114"/>
        <v>307171</v>
      </c>
      <c r="F544" s="2351">
        <f t="shared" si="114"/>
        <v>98990</v>
      </c>
      <c r="G544" s="2351">
        <f t="shared" si="114"/>
        <v>118787.99999999999</v>
      </c>
      <c r="H544" s="2351"/>
      <c r="I544" s="2351">
        <f>I525+I529+I542</f>
        <v>277397</v>
      </c>
      <c r="J544" s="2351">
        <f>J525+J529+J542</f>
        <v>583263.80999999994</v>
      </c>
      <c r="K544" s="2333">
        <f t="shared" si="112"/>
        <v>583263.80999999994</v>
      </c>
      <c r="L544" s="2351">
        <f t="shared" si="114"/>
        <v>298521</v>
      </c>
      <c r="M544" s="2351">
        <f t="shared" si="114"/>
        <v>321270</v>
      </c>
    </row>
    <row r="545" spans="1:13" x14ac:dyDescent="0.2">
      <c r="A545" s="2329"/>
      <c r="B545" s="2330"/>
      <c r="C545" s="2364"/>
      <c r="D545" s="2364"/>
      <c r="E545" s="2364"/>
      <c r="G545" s="2332"/>
      <c r="H545" s="2332"/>
      <c r="I545" s="2332"/>
      <c r="J545" s="2332"/>
      <c r="K545" s="2333">
        <f t="shared" si="112"/>
        <v>0</v>
      </c>
      <c r="L545" s="2364"/>
      <c r="M545" s="2364"/>
    </row>
    <row r="546" spans="1:13" x14ac:dyDescent="0.2">
      <c r="A546" s="2353"/>
      <c r="B546" s="2330" t="s">
        <v>6974</v>
      </c>
      <c r="C546" s="2332"/>
      <c r="D546" s="2332"/>
      <c r="E546" s="2332"/>
      <c r="G546" s="2332"/>
      <c r="H546" s="2332"/>
      <c r="I546" s="2332"/>
      <c r="J546" s="2332"/>
      <c r="K546" s="2333">
        <f t="shared" si="112"/>
        <v>0</v>
      </c>
      <c r="L546" s="2332"/>
      <c r="M546" s="2332"/>
    </row>
    <row r="547" spans="1:13" x14ac:dyDescent="0.2">
      <c r="A547" s="2353">
        <v>4204</v>
      </c>
      <c r="B547" s="2258" t="s">
        <v>6976</v>
      </c>
      <c r="C547" s="2332">
        <v>0</v>
      </c>
      <c r="D547" s="2332">
        <v>0</v>
      </c>
      <c r="E547" s="2332">
        <v>0</v>
      </c>
      <c r="F547" s="2332">
        <v>0</v>
      </c>
      <c r="G547" s="2332">
        <f>F547/$F$11*$G$11</f>
        <v>0</v>
      </c>
      <c r="H547" s="2332"/>
      <c r="I547" s="2332">
        <f>ROUND(G547*1.08,0)</f>
        <v>0</v>
      </c>
      <c r="J547" s="2332">
        <f>[5]Sheet1!$K$142</f>
        <v>0</v>
      </c>
      <c r="K547" s="2333">
        <f t="shared" si="112"/>
        <v>0</v>
      </c>
      <c r="L547" s="2332">
        <f>ROUND(I547*1.08,0)</f>
        <v>0</v>
      </c>
      <c r="M547" s="2332">
        <f>ROUND(L547*1.08,0)</f>
        <v>0</v>
      </c>
    </row>
    <row r="548" spans="1:13" x14ac:dyDescent="0.2">
      <c r="A548" s="2353">
        <v>4207</v>
      </c>
      <c r="B548" s="2334" t="s">
        <v>6977</v>
      </c>
      <c r="C548" s="2335">
        <v>0</v>
      </c>
      <c r="D548" s="2335">
        <v>0</v>
      </c>
      <c r="E548" s="2335">
        <v>0</v>
      </c>
      <c r="F548" s="2335">
        <v>0</v>
      </c>
      <c r="G548" s="2335">
        <f>F548/$F$11*$G$11</f>
        <v>0</v>
      </c>
      <c r="H548" s="2335"/>
      <c r="I548" s="2335">
        <f>ROUND(G548*1.08,0)</f>
        <v>0</v>
      </c>
      <c r="J548" s="2335">
        <v>0</v>
      </c>
      <c r="K548" s="2336">
        <f t="shared" si="112"/>
        <v>0</v>
      </c>
      <c r="L548" s="2335">
        <f>ROUND(I548*1.08,0)</f>
        <v>0</v>
      </c>
      <c r="M548" s="2335">
        <f>ROUND(L548*1.08,0)</f>
        <v>0</v>
      </c>
    </row>
    <row r="549" spans="1:13" x14ac:dyDescent="0.2">
      <c r="A549" s="2353"/>
      <c r="B549" s="2330" t="s">
        <v>6979</v>
      </c>
      <c r="C549" s="2337">
        <f t="shared" ref="C549:M549" si="115">SUM(C547:C548)</f>
        <v>0</v>
      </c>
      <c r="D549" s="2337">
        <f t="shared" si="115"/>
        <v>0</v>
      </c>
      <c r="E549" s="2337">
        <f t="shared" si="115"/>
        <v>0</v>
      </c>
      <c r="F549" s="2337">
        <f t="shared" si="115"/>
        <v>0</v>
      </c>
      <c r="G549" s="2337">
        <f t="shared" si="115"/>
        <v>0</v>
      </c>
      <c r="H549" s="2337"/>
      <c r="I549" s="2337">
        <f t="shared" si="115"/>
        <v>0</v>
      </c>
      <c r="J549" s="2337">
        <v>0</v>
      </c>
      <c r="K549" s="2333">
        <f t="shared" si="112"/>
        <v>0</v>
      </c>
      <c r="L549" s="2337">
        <f t="shared" si="115"/>
        <v>0</v>
      </c>
      <c r="M549" s="2337">
        <f t="shared" si="115"/>
        <v>0</v>
      </c>
    </row>
    <row r="550" spans="1:13" x14ac:dyDescent="0.2">
      <c r="A550" s="2329"/>
      <c r="B550" s="2330"/>
      <c r="C550" s="2364"/>
      <c r="D550" s="2364"/>
      <c r="E550" s="2364"/>
      <c r="G550" s="2332"/>
      <c r="H550" s="2332"/>
      <c r="I550" s="2332"/>
      <c r="J550" s="2332"/>
      <c r="K550" s="2333">
        <f t="shared" si="112"/>
        <v>0</v>
      </c>
      <c r="L550" s="2364"/>
      <c r="M550" s="2364"/>
    </row>
    <row r="551" spans="1:13" ht="13.5" thickBot="1" x14ac:dyDescent="0.25">
      <c r="A551" s="2341"/>
      <c r="B551" s="2342" t="s">
        <v>6980</v>
      </c>
      <c r="C551" s="2354">
        <f t="shared" ref="C551:M551" si="116">C544+C549</f>
        <v>26639</v>
      </c>
      <c r="D551" s="2354">
        <f t="shared" si="116"/>
        <v>307171</v>
      </c>
      <c r="E551" s="2354">
        <f t="shared" si="116"/>
        <v>307171</v>
      </c>
      <c r="F551" s="2354">
        <f t="shared" si="116"/>
        <v>98990</v>
      </c>
      <c r="G551" s="2354">
        <f t="shared" si="116"/>
        <v>118787.99999999999</v>
      </c>
      <c r="H551" s="2354"/>
      <c r="I551" s="2354">
        <f>I544+I549</f>
        <v>277397</v>
      </c>
      <c r="J551" s="2354">
        <f>J544+J549</f>
        <v>583263.80999999994</v>
      </c>
      <c r="K551" s="2344">
        <f t="shared" si="112"/>
        <v>583263.80999999994</v>
      </c>
      <c r="L551" s="2354">
        <f t="shared" si="116"/>
        <v>298521</v>
      </c>
      <c r="M551" s="2354">
        <f t="shared" si="116"/>
        <v>321270</v>
      </c>
    </row>
    <row r="552" spans="1:13" ht="13.5" thickTop="1" x14ac:dyDescent="0.2">
      <c r="A552" s="2341"/>
      <c r="B552" s="2330"/>
      <c r="C552" s="2349"/>
      <c r="D552" s="2349"/>
      <c r="E552" s="2349"/>
      <c r="F552" s="2349"/>
      <c r="G552" s="2349"/>
      <c r="H552" s="2349"/>
      <c r="I552" s="2349"/>
      <c r="J552" s="2349"/>
      <c r="K552" s="2333">
        <f t="shared" si="112"/>
        <v>0</v>
      </c>
      <c r="L552" s="2349"/>
      <c r="M552" s="2349"/>
    </row>
    <row r="553" spans="1:13" ht="13.5" thickBot="1" x14ac:dyDescent="0.25">
      <c r="A553" s="2345"/>
      <c r="B553" s="2342" t="s">
        <v>6624</v>
      </c>
      <c r="C553" s="2355">
        <f t="shared" ref="C553:M553" si="117">-C551</f>
        <v>-26639</v>
      </c>
      <c r="D553" s="2355">
        <f t="shared" si="117"/>
        <v>-307171</v>
      </c>
      <c r="E553" s="2355">
        <f t="shared" si="117"/>
        <v>-307171</v>
      </c>
      <c r="F553" s="2355">
        <f t="shared" si="117"/>
        <v>-98990</v>
      </c>
      <c r="G553" s="2355">
        <f t="shared" si="117"/>
        <v>-118787.99999999999</v>
      </c>
      <c r="H553" s="2355"/>
      <c r="I553" s="2355">
        <f t="shared" si="117"/>
        <v>-277397</v>
      </c>
      <c r="J553" s="2355">
        <f>-J551</f>
        <v>-583263.80999999994</v>
      </c>
      <c r="K553" s="2344">
        <f t="shared" si="112"/>
        <v>-583263.80999999994</v>
      </c>
      <c r="L553" s="2355">
        <f t="shared" si="117"/>
        <v>-298521</v>
      </c>
      <c r="M553" s="2355">
        <f t="shared" si="117"/>
        <v>-321270</v>
      </c>
    </row>
    <row r="554" spans="1:13" ht="13.5" thickTop="1" x14ac:dyDescent="0.2">
      <c r="A554" s="2345"/>
      <c r="B554" s="2330"/>
      <c r="C554" s="2356"/>
      <c r="D554" s="2356"/>
      <c r="E554" s="2356"/>
      <c r="G554" s="2332"/>
      <c r="H554" s="2332"/>
      <c r="I554" s="2332"/>
      <c r="J554" s="2332"/>
      <c r="K554" s="2333">
        <f t="shared" si="112"/>
        <v>0</v>
      </c>
      <c r="L554" s="2356"/>
      <c r="M554" s="2356"/>
    </row>
    <row r="555" spans="1:13" x14ac:dyDescent="0.2">
      <c r="A555" s="2369"/>
      <c r="B555" s="2381"/>
      <c r="C555" s="2381"/>
      <c r="D555" s="2381"/>
      <c r="E555" s="2381"/>
      <c r="G555" s="2332"/>
      <c r="H555" s="2332"/>
      <c r="I555" s="2332"/>
      <c r="J555" s="2332"/>
      <c r="K555" s="2333">
        <f t="shared" si="112"/>
        <v>0</v>
      </c>
      <c r="L555" s="2381"/>
      <c r="M555" s="2381"/>
    </row>
    <row r="556" spans="1:13" ht="15" x14ac:dyDescent="0.25">
      <c r="A556" s="2365">
        <v>1110</v>
      </c>
      <c r="B556" s="2366" t="s">
        <v>7028</v>
      </c>
      <c r="G556" s="2332"/>
      <c r="H556" s="2332"/>
      <c r="I556" s="2332"/>
      <c r="J556" s="2332"/>
      <c r="K556" s="2333">
        <f t="shared" si="112"/>
        <v>0</v>
      </c>
    </row>
    <row r="557" spans="1:13" ht="15" x14ac:dyDescent="0.25">
      <c r="A557" s="2367">
        <v>1112</v>
      </c>
      <c r="B557" s="2359" t="s">
        <v>117</v>
      </c>
      <c r="C557" s="2326"/>
      <c r="D557" s="2326"/>
      <c r="E557" s="2326"/>
      <c r="G557" s="2332"/>
      <c r="H557" s="2332"/>
      <c r="I557" s="2332"/>
      <c r="J557" s="2332"/>
      <c r="K557" s="2333">
        <f t="shared" si="112"/>
        <v>0</v>
      </c>
      <c r="L557" s="2326"/>
      <c r="M557" s="2326"/>
    </row>
    <row r="558" spans="1:13" ht="15" x14ac:dyDescent="0.25">
      <c r="B558" s="2326"/>
      <c r="C558" s="2326"/>
      <c r="D558" s="2326"/>
      <c r="E558" s="2326"/>
      <c r="G558" s="2332"/>
      <c r="H558" s="2332"/>
      <c r="I558" s="2332"/>
      <c r="J558" s="2332"/>
      <c r="K558" s="2333">
        <f t="shared" si="112"/>
        <v>0</v>
      </c>
      <c r="L558" s="2326"/>
      <c r="M558" s="2326"/>
    </row>
    <row r="559" spans="1:13" x14ac:dyDescent="0.2">
      <c r="B559" s="2328" t="s">
        <v>247</v>
      </c>
      <c r="C559" s="2328"/>
      <c r="D559" s="2328"/>
      <c r="E559" s="2328"/>
      <c r="G559" s="2332"/>
      <c r="H559" s="2332"/>
      <c r="I559" s="2332"/>
      <c r="J559" s="2332"/>
      <c r="K559" s="2333">
        <f t="shared" si="112"/>
        <v>0</v>
      </c>
      <c r="L559" s="2328"/>
      <c r="M559" s="2328"/>
    </row>
    <row r="560" spans="1:13" x14ac:dyDescent="0.2">
      <c r="B560" s="2323"/>
      <c r="C560" s="2323"/>
      <c r="D560" s="2382"/>
      <c r="E560" s="2323"/>
      <c r="F560" s="2383"/>
      <c r="G560" s="2332"/>
      <c r="H560" s="2332"/>
      <c r="I560" s="2332"/>
      <c r="J560" s="2332"/>
      <c r="K560" s="2333">
        <f t="shared" si="112"/>
        <v>0</v>
      </c>
      <c r="L560" s="2384"/>
      <c r="M560" s="2323"/>
    </row>
    <row r="561" spans="1:13" x14ac:dyDescent="0.2">
      <c r="B561" s="2330" t="s">
        <v>117</v>
      </c>
      <c r="C561" s="2375"/>
      <c r="D561" s="2375"/>
      <c r="E561" s="2375"/>
      <c r="G561" s="2332"/>
      <c r="H561" s="2332"/>
      <c r="I561" s="2332"/>
      <c r="J561" s="2332"/>
      <c r="K561" s="2333">
        <f t="shared" si="112"/>
        <v>0</v>
      </c>
      <c r="L561" s="2385"/>
      <c r="M561" s="2385"/>
    </row>
    <row r="562" spans="1:13" x14ac:dyDescent="0.2">
      <c r="A562" s="2353">
        <v>5606</v>
      </c>
      <c r="B562" s="2258" t="s">
        <v>7057</v>
      </c>
      <c r="C562" s="2332">
        <v>0</v>
      </c>
      <c r="D562" s="2332">
        <v>0</v>
      </c>
      <c r="E562" s="2332">
        <v>0</v>
      </c>
      <c r="F562" s="2332">
        <v>0</v>
      </c>
      <c r="G562" s="2332">
        <v>0</v>
      </c>
      <c r="H562" s="2332"/>
      <c r="I562" s="2332">
        <f>ROUND(+[8]TARIFF_FARMS!F9,0)</f>
        <v>2251155</v>
      </c>
      <c r="J562" s="2332">
        <f>-[5]Sheet1!$K$272</f>
        <v>5425655.4000000004</v>
      </c>
      <c r="K562" s="2333">
        <f t="shared" si="112"/>
        <v>5425655.4000000004</v>
      </c>
      <c r="L562" s="2332">
        <f t="shared" ref="L562:L567" si="118">ROUND(I562*1.06,0)</f>
        <v>2386224</v>
      </c>
      <c r="M562" s="2332">
        <f t="shared" ref="M562:M567" si="119">ROUND(L562*1.06,0)</f>
        <v>2529397</v>
      </c>
    </row>
    <row r="563" spans="1:13" x14ac:dyDescent="0.2">
      <c r="A563" s="2353">
        <v>5607</v>
      </c>
      <c r="B563" s="2258" t="s">
        <v>7058</v>
      </c>
      <c r="C563" s="2332">
        <v>0</v>
      </c>
      <c r="D563" s="2332">
        <v>1296505</v>
      </c>
      <c r="E563" s="2332">
        <v>1296505</v>
      </c>
      <c r="F563" s="2332">
        <v>1314250</v>
      </c>
      <c r="G563" s="2332">
        <f>+F563</f>
        <v>1314250</v>
      </c>
      <c r="H563" s="2332"/>
      <c r="I563" s="2332">
        <f>ROUND(+[8]RATES_CALC!L356,0)</f>
        <v>713687</v>
      </c>
      <c r="J563" s="2332">
        <f>-[5]Sheet1!$K$273</f>
        <v>789314.7</v>
      </c>
      <c r="K563" s="2333">
        <f t="shared" si="112"/>
        <v>789314.7</v>
      </c>
      <c r="L563" s="2332">
        <f t="shared" si="118"/>
        <v>756508</v>
      </c>
      <c r="M563" s="2332">
        <f t="shared" si="119"/>
        <v>801898</v>
      </c>
    </row>
    <row r="564" spans="1:13" x14ac:dyDescent="0.2">
      <c r="A564" s="2353">
        <v>5609</v>
      </c>
      <c r="B564" s="2258" t="s">
        <v>7059</v>
      </c>
      <c r="C564" s="2332">
        <v>707630</v>
      </c>
      <c r="D564" s="2332">
        <v>1550078</v>
      </c>
      <c r="E564" s="2332">
        <v>1550078</v>
      </c>
      <c r="F564" s="2332">
        <f>22682540*0.079</f>
        <v>1791920.66</v>
      </c>
      <c r="G564" s="2332">
        <f>+F564</f>
        <v>1791920.66</v>
      </c>
      <c r="H564" s="2332"/>
      <c r="I564" s="2332">
        <f>ROUND(+[8]RATES_CALC!I157,0)</f>
        <v>1971113</v>
      </c>
      <c r="J564" s="2332">
        <f>-[5]Sheet1!$K$275</f>
        <v>563927</v>
      </c>
      <c r="K564" s="2333">
        <f t="shared" si="112"/>
        <v>563927</v>
      </c>
      <c r="L564" s="2332">
        <f t="shared" si="118"/>
        <v>2089380</v>
      </c>
      <c r="M564" s="2332">
        <f t="shared" si="119"/>
        <v>2214743</v>
      </c>
    </row>
    <row r="565" spans="1:13" x14ac:dyDescent="0.2">
      <c r="A565" s="2353">
        <v>5610</v>
      </c>
      <c r="B565" s="2258" t="s">
        <v>7060</v>
      </c>
      <c r="C565" s="2332">
        <v>4611378</v>
      </c>
      <c r="D565" s="2332">
        <v>3399897</v>
      </c>
      <c r="E565" s="2332">
        <v>3399897</v>
      </c>
      <c r="F565" s="2332">
        <f>3756210</f>
        <v>3756210</v>
      </c>
      <c r="G565" s="2332">
        <f>+F565</f>
        <v>3756210</v>
      </c>
      <c r="H565" s="2332"/>
      <c r="I565" s="2332">
        <f>ROUND(+[8]RATES_CALC!M5037+[8]RATES_CALC!M5057-[8]RATES_CALC!M5050,0)</f>
        <v>4131831</v>
      </c>
      <c r="J565" s="2332">
        <f>-[5]Sheet1!$K$276</f>
        <v>5486769.4199999999</v>
      </c>
      <c r="K565" s="2333">
        <f t="shared" si="112"/>
        <v>5486769.4199999999</v>
      </c>
      <c r="L565" s="2332">
        <f t="shared" si="118"/>
        <v>4379741</v>
      </c>
      <c r="M565" s="2332">
        <f t="shared" si="119"/>
        <v>4642525</v>
      </c>
    </row>
    <row r="566" spans="1:13" x14ac:dyDescent="0.2">
      <c r="A566" s="2353">
        <v>5610</v>
      </c>
      <c r="B566" s="2258" t="s">
        <v>7061</v>
      </c>
      <c r="C566" s="2332">
        <v>0</v>
      </c>
      <c r="D566" s="2332">
        <v>0</v>
      </c>
      <c r="E566" s="2332">
        <v>0</v>
      </c>
      <c r="F566" s="2332">
        <v>937183</v>
      </c>
      <c r="G566" s="2332">
        <f>+F566</f>
        <v>937183</v>
      </c>
      <c r="H566" s="2332"/>
      <c r="I566" s="2332">
        <f>ROUND([8]Levies!R12,0)</f>
        <v>1143828</v>
      </c>
      <c r="J566" s="2332">
        <v>0</v>
      </c>
      <c r="K566" s="2333">
        <f t="shared" si="112"/>
        <v>0</v>
      </c>
      <c r="L566" s="2332">
        <f t="shared" si="118"/>
        <v>1212458</v>
      </c>
      <c r="M566" s="2332">
        <f t="shared" si="119"/>
        <v>1285205</v>
      </c>
    </row>
    <row r="567" spans="1:13" x14ac:dyDescent="0.2">
      <c r="A567" s="2353">
        <v>5610</v>
      </c>
      <c r="B567" s="2334" t="s">
        <v>7062</v>
      </c>
      <c r="C567" s="2335">
        <v>0</v>
      </c>
      <c r="D567" s="2335">
        <v>0</v>
      </c>
      <c r="E567" s="2335">
        <v>0</v>
      </c>
      <c r="F567" s="2335">
        <f>3814500*0.041</f>
        <v>156394.5</v>
      </c>
      <c r="G567" s="2335">
        <f>+F567</f>
        <v>156394.5</v>
      </c>
      <c r="H567" s="2335"/>
      <c r="I567" s="2335">
        <f>ROUND(+[8]RATES_CALC!M5050,0)</f>
        <v>172034</v>
      </c>
      <c r="J567" s="2335">
        <v>0</v>
      </c>
      <c r="K567" s="2336">
        <f t="shared" si="112"/>
        <v>0</v>
      </c>
      <c r="L567" s="2335">
        <f t="shared" si="118"/>
        <v>182356</v>
      </c>
      <c r="M567" s="2335">
        <f t="shared" si="119"/>
        <v>193297</v>
      </c>
    </row>
    <row r="568" spans="1:13" x14ac:dyDescent="0.2">
      <c r="B568" s="2330" t="s">
        <v>6643</v>
      </c>
      <c r="C568" s="2376">
        <f>SUM(C562:C567)</f>
        <v>5319008</v>
      </c>
      <c r="D568" s="2376">
        <f>SUM(D562:D567)</f>
        <v>6246480</v>
      </c>
      <c r="E568" s="2376">
        <f>SUM(E562:E567)</f>
        <v>6246480</v>
      </c>
      <c r="F568" s="2376">
        <f>SUM(F562:F567)</f>
        <v>7955958.1600000001</v>
      </c>
      <c r="G568" s="2376">
        <f>SUM(G562:G567)</f>
        <v>7955958.1600000001</v>
      </c>
      <c r="H568" s="2376"/>
      <c r="I568" s="2376">
        <f>SUM(I562:I567)</f>
        <v>10383648</v>
      </c>
      <c r="J568" s="2376">
        <f>SUM(J562:J567)</f>
        <v>12265666.52</v>
      </c>
      <c r="K568" s="2333">
        <f t="shared" si="112"/>
        <v>12265666.52</v>
      </c>
      <c r="L568" s="2376">
        <f>SUM(L562:L567)</f>
        <v>11006667</v>
      </c>
      <c r="M568" s="2376">
        <f>SUM(M562:M567)</f>
        <v>11667065</v>
      </c>
    </row>
    <row r="569" spans="1:13" x14ac:dyDescent="0.2">
      <c r="B569" s="2330"/>
      <c r="C569" s="2375"/>
      <c r="D569" s="2375"/>
      <c r="E569" s="2375"/>
      <c r="F569" s="2309"/>
      <c r="G569" s="2332"/>
      <c r="H569" s="2332"/>
      <c r="I569" s="2332"/>
      <c r="J569" s="2332">
        <f>J568+[5]Sheet1!$K$272+[5]Sheet1!$K$273+[5]Sheet1!$K$275+[5]Sheet1!$K$276</f>
        <v>0</v>
      </c>
      <c r="K569" s="2333">
        <f t="shared" si="112"/>
        <v>0</v>
      </c>
      <c r="L569" s="2375"/>
      <c r="M569" s="2375"/>
    </row>
    <row r="570" spans="1:13" x14ac:dyDescent="0.2">
      <c r="B570" s="2330" t="s">
        <v>7063</v>
      </c>
      <c r="C570" s="2375"/>
      <c r="D570" s="2375"/>
      <c r="E570" s="2375"/>
      <c r="G570" s="2332"/>
      <c r="H570" s="2332"/>
      <c r="I570" s="2386"/>
      <c r="J570" s="2386"/>
      <c r="K570" s="2333">
        <f t="shared" si="112"/>
        <v>0</v>
      </c>
      <c r="L570" s="2375"/>
      <c r="M570" s="2375"/>
    </row>
    <row r="571" spans="1:13" x14ac:dyDescent="0.2">
      <c r="A571" s="2353">
        <v>5299</v>
      </c>
      <c r="B571" s="2334" t="s">
        <v>7064</v>
      </c>
      <c r="C571" s="2339">
        <v>175821</v>
      </c>
      <c r="D571" s="2335">
        <v>170100</v>
      </c>
      <c r="E571" s="2335">
        <v>170100</v>
      </c>
      <c r="F571" s="2335">
        <v>186589</v>
      </c>
      <c r="G571" s="2335">
        <f>F571/$F$11*$G$11</f>
        <v>223906.80000000002</v>
      </c>
      <c r="H571" s="2335"/>
      <c r="I571" s="2335">
        <f>ROUND(I568*0.03,0)</f>
        <v>311509</v>
      </c>
      <c r="J571" s="2335">
        <f>-[5]Sheet1!$K$280</f>
        <v>220182.77000000002</v>
      </c>
      <c r="K571" s="2336">
        <f t="shared" si="112"/>
        <v>220182.77000000002</v>
      </c>
      <c r="L571" s="2335">
        <f>ROUND(L568*0.03,0)</f>
        <v>330200</v>
      </c>
      <c r="M571" s="2335">
        <f>ROUND(M568*0.03,0)</f>
        <v>350012</v>
      </c>
    </row>
    <row r="572" spans="1:13" x14ac:dyDescent="0.2">
      <c r="B572" s="2330" t="s">
        <v>7065</v>
      </c>
      <c r="C572" s="2376">
        <f t="shared" ref="C572:M572" si="120">SUM(C571)</f>
        <v>175821</v>
      </c>
      <c r="D572" s="2376">
        <f t="shared" si="120"/>
        <v>170100</v>
      </c>
      <c r="E572" s="2376">
        <f t="shared" si="120"/>
        <v>170100</v>
      </c>
      <c r="F572" s="2376">
        <f t="shared" si="120"/>
        <v>186589</v>
      </c>
      <c r="G572" s="2376">
        <f t="shared" si="120"/>
        <v>223906.80000000002</v>
      </c>
      <c r="H572" s="2376"/>
      <c r="I572" s="2376">
        <f t="shared" si="120"/>
        <v>311509</v>
      </c>
      <c r="J572" s="2376">
        <f>J571</f>
        <v>220182.77000000002</v>
      </c>
      <c r="K572" s="2333">
        <f t="shared" si="112"/>
        <v>220182.77000000002</v>
      </c>
      <c r="L572" s="2376">
        <f t="shared" si="120"/>
        <v>330200</v>
      </c>
      <c r="M572" s="2376">
        <f t="shared" si="120"/>
        <v>350012</v>
      </c>
    </row>
    <row r="573" spans="1:13" x14ac:dyDescent="0.2">
      <c r="B573" s="2330"/>
      <c r="C573" s="2376"/>
      <c r="D573" s="2387"/>
      <c r="E573" s="2376"/>
      <c r="F573" s="2309"/>
      <c r="G573" s="2332"/>
      <c r="H573" s="2332"/>
      <c r="I573" s="2332"/>
      <c r="J573" s="2332">
        <f>J572+[5]Sheet1!$K$281</f>
        <v>0</v>
      </c>
      <c r="K573" s="2333">
        <f t="shared" si="112"/>
        <v>0</v>
      </c>
      <c r="L573" s="2376"/>
      <c r="M573" s="2376"/>
    </row>
    <row r="574" spans="1:13" x14ac:dyDescent="0.2">
      <c r="B574" s="2330" t="s">
        <v>7066</v>
      </c>
      <c r="C574" s="2375"/>
      <c r="D574" s="2364"/>
      <c r="E574" s="2388"/>
      <c r="F574" s="2309"/>
      <c r="G574" s="2332"/>
      <c r="H574" s="2332"/>
      <c r="I574" s="2332"/>
      <c r="J574" s="2332"/>
      <c r="K574" s="2333">
        <f t="shared" si="112"/>
        <v>0</v>
      </c>
      <c r="L574" s="2364"/>
      <c r="M574" s="2364"/>
    </row>
    <row r="575" spans="1:13" ht="45" x14ac:dyDescent="0.2">
      <c r="A575" s="2389" t="s">
        <v>7067</v>
      </c>
      <c r="B575" s="2258" t="str">
        <f>A575</f>
        <v>Discount due to overcharge</v>
      </c>
      <c r="C575" s="2375"/>
      <c r="D575" s="2364"/>
      <c r="E575" s="2388"/>
      <c r="F575" s="2309"/>
      <c r="G575" s="2332"/>
      <c r="H575" s="2332"/>
      <c r="I575" s="2332"/>
      <c r="J575" s="2390">
        <f>[5]Sheet1!$L$276</f>
        <v>-1828923.14</v>
      </c>
      <c r="K575" s="2333">
        <f t="shared" si="112"/>
        <v>-1828923.14</v>
      </c>
      <c r="L575" s="2364"/>
      <c r="M575" s="2364"/>
    </row>
    <row r="576" spans="1:13" x14ac:dyDescent="0.2">
      <c r="A576" s="2353">
        <v>5608</v>
      </c>
      <c r="B576" s="2334" t="s">
        <v>7068</v>
      </c>
      <c r="C576" s="2339">
        <v>-1313887</v>
      </c>
      <c r="D576" s="2390">
        <f>-1731073</f>
        <v>-1731073</v>
      </c>
      <c r="E576" s="2390">
        <f>-1731073-328229-328229</f>
        <v>-2387531</v>
      </c>
      <c r="F576" s="2390">
        <f>-668177-537576-672967</f>
        <v>-1878720</v>
      </c>
      <c r="G576" s="2390">
        <f>+F576</f>
        <v>-1878720</v>
      </c>
      <c r="H576" s="2390"/>
      <c r="I576" s="2390">
        <f>ROUND((-I562/2)-[8]RATES_CALC!N5037,0)</f>
        <v>-2720933</v>
      </c>
      <c r="J576" s="2390">
        <f>-[5]Sheet1!$K$274</f>
        <v>-6041899.3200000003</v>
      </c>
      <c r="K576" s="2336">
        <f t="shared" si="112"/>
        <v>-6041899.3200000003</v>
      </c>
      <c r="L576" s="2390">
        <f>ROUND((-L562*0.75)-[8]RATES_CALC!N5038,0)</f>
        <v>-3480745</v>
      </c>
      <c r="M576" s="2390">
        <f>ROUND(-[8]RATES_CALC!N5039,0)</f>
        <v>-1792542</v>
      </c>
    </row>
    <row r="577" spans="1:13" x14ac:dyDescent="0.2">
      <c r="B577" s="2330" t="s">
        <v>7069</v>
      </c>
      <c r="C577" s="2376">
        <f t="shared" ref="C577:M577" si="121">SUM(C576)</f>
        <v>-1313887</v>
      </c>
      <c r="D577" s="2376">
        <f t="shared" si="121"/>
        <v>-1731073</v>
      </c>
      <c r="E577" s="2376">
        <f t="shared" si="121"/>
        <v>-2387531</v>
      </c>
      <c r="F577" s="2376">
        <f t="shared" si="121"/>
        <v>-1878720</v>
      </c>
      <c r="G577" s="2376">
        <f t="shared" si="121"/>
        <v>-1878720</v>
      </c>
      <c r="H577" s="2376"/>
      <c r="I577" s="2376">
        <f>SUM(I576)</f>
        <v>-2720933</v>
      </c>
      <c r="J577" s="2376">
        <f>J575+J576</f>
        <v>-7870822.46</v>
      </c>
      <c r="K577" s="2333">
        <f t="shared" si="112"/>
        <v>-7870822.46</v>
      </c>
      <c r="L577" s="2376">
        <f t="shared" si="121"/>
        <v>-3480745</v>
      </c>
      <c r="M577" s="2376">
        <f t="shared" si="121"/>
        <v>-1792542</v>
      </c>
    </row>
    <row r="578" spans="1:13" x14ac:dyDescent="0.2">
      <c r="B578" s="2330"/>
      <c r="C578" s="2375"/>
      <c r="D578" s="2375"/>
      <c r="E578" s="2375"/>
      <c r="F578" s="2375"/>
      <c r="G578" s="2375"/>
      <c r="H578" s="2375"/>
      <c r="I578" s="2375"/>
      <c r="J578" s="2375">
        <f>J577+[5]Sheet1!$K$274-[5]Sheet1!$L$276</f>
        <v>0</v>
      </c>
      <c r="K578" s="2333">
        <f t="shared" si="112"/>
        <v>0</v>
      </c>
      <c r="L578" s="2375"/>
      <c r="M578" s="2375"/>
    </row>
    <row r="579" spans="1:13" ht="13.5" thickBot="1" x14ac:dyDescent="0.25">
      <c r="B579" s="2342" t="s">
        <v>6579</v>
      </c>
      <c r="C579" s="2343">
        <f t="shared" ref="C579:M579" si="122">+C568+C572+C577</f>
        <v>4180942</v>
      </c>
      <c r="D579" s="2343">
        <f t="shared" si="122"/>
        <v>4685507</v>
      </c>
      <c r="E579" s="2343">
        <f t="shared" si="122"/>
        <v>4029049</v>
      </c>
      <c r="F579" s="2343">
        <f t="shared" si="122"/>
        <v>6263827.1600000001</v>
      </c>
      <c r="G579" s="2343">
        <f t="shared" si="122"/>
        <v>6301144.96</v>
      </c>
      <c r="H579" s="2343"/>
      <c r="I579" s="2343">
        <f>+I568+I572+I577</f>
        <v>7974224</v>
      </c>
      <c r="J579" s="2343">
        <f>+J568+J572+J577</f>
        <v>4615026.8299999991</v>
      </c>
      <c r="K579" s="2344">
        <f t="shared" si="112"/>
        <v>4615026.8299999991</v>
      </c>
      <c r="L579" s="2343">
        <f t="shared" si="122"/>
        <v>7856122</v>
      </c>
      <c r="M579" s="2343">
        <f t="shared" si="122"/>
        <v>10224535</v>
      </c>
    </row>
    <row r="580" spans="1:13" ht="13.5" thickTop="1" x14ac:dyDescent="0.2">
      <c r="B580" s="2346"/>
      <c r="C580" s="2346"/>
      <c r="D580" s="2346"/>
      <c r="E580" s="2346"/>
      <c r="F580" s="2391"/>
      <c r="G580" s="2332"/>
      <c r="H580" s="2332"/>
      <c r="I580" s="2332"/>
      <c r="J580" s="2332"/>
      <c r="K580" s="2333">
        <f t="shared" si="112"/>
        <v>0</v>
      </c>
      <c r="L580" s="2346"/>
      <c r="M580" s="2346"/>
    </row>
    <row r="581" spans="1:13" x14ac:dyDescent="0.2">
      <c r="B581" s="2328" t="s">
        <v>235</v>
      </c>
      <c r="C581" s="2328"/>
      <c r="D581" s="2328"/>
      <c r="E581" s="2392"/>
      <c r="G581" s="2332"/>
      <c r="H581" s="2332"/>
      <c r="I581" s="2332"/>
      <c r="J581" s="2332"/>
      <c r="K581" s="2333">
        <f t="shared" si="112"/>
        <v>0</v>
      </c>
      <c r="L581" s="2328"/>
      <c r="M581" s="2328"/>
    </row>
    <row r="582" spans="1:13" x14ac:dyDescent="0.2">
      <c r="B582" s="2328"/>
      <c r="C582" s="2328"/>
      <c r="D582" s="2328"/>
      <c r="E582" s="2328"/>
      <c r="F582" s="2393"/>
      <c r="G582" s="2332"/>
      <c r="H582" s="2332"/>
      <c r="I582" s="2332"/>
      <c r="J582" s="2332"/>
      <c r="K582" s="2333">
        <f t="shared" si="112"/>
        <v>0</v>
      </c>
      <c r="L582" s="2328"/>
      <c r="M582" s="2328"/>
    </row>
    <row r="583" spans="1:13" x14ac:dyDescent="0.2">
      <c r="A583" s="2329"/>
      <c r="B583" s="2330" t="s">
        <v>387</v>
      </c>
      <c r="C583" s="2328"/>
      <c r="D583" s="2328"/>
      <c r="E583" s="2328"/>
      <c r="F583" s="2393"/>
      <c r="G583" s="2332"/>
      <c r="H583" s="2332"/>
      <c r="I583" s="2332"/>
      <c r="J583" s="2332"/>
      <c r="K583" s="2333">
        <f t="shared" si="112"/>
        <v>0</v>
      </c>
      <c r="L583" s="2328"/>
      <c r="M583" s="2328"/>
    </row>
    <row r="584" spans="1:13" x14ac:dyDescent="0.2">
      <c r="A584" s="2329">
        <v>1001</v>
      </c>
      <c r="B584" s="2258" t="s">
        <v>6943</v>
      </c>
      <c r="C584" s="2328"/>
      <c r="D584" s="2328"/>
      <c r="E584" s="2328"/>
      <c r="F584" s="2393"/>
      <c r="G584" s="2332"/>
      <c r="H584" s="2332"/>
      <c r="I584" s="2332"/>
      <c r="J584" s="2332">
        <f>[5]Sheet1!$K$284</f>
        <v>332980.21999999997</v>
      </c>
      <c r="K584" s="2333">
        <f t="shared" si="112"/>
        <v>332980.21999999997</v>
      </c>
      <c r="L584" s="2328"/>
      <c r="M584" s="2328"/>
    </row>
    <row r="585" spans="1:13" x14ac:dyDescent="0.2">
      <c r="A585" s="2329">
        <v>1005</v>
      </c>
      <c r="B585" s="2258" t="s">
        <v>6944</v>
      </c>
      <c r="C585" s="2328"/>
      <c r="D585" s="2328"/>
      <c r="E585" s="2328"/>
      <c r="F585" s="2393"/>
      <c r="G585" s="2332"/>
      <c r="H585" s="2332"/>
      <c r="I585" s="2332"/>
      <c r="J585" s="2332">
        <f>[5]Sheet1!$K$294</f>
        <v>29922</v>
      </c>
      <c r="K585" s="2333">
        <f t="shared" si="112"/>
        <v>29922</v>
      </c>
      <c r="L585" s="2328"/>
      <c r="M585" s="2328"/>
    </row>
    <row r="586" spans="1:13" x14ac:dyDescent="0.2">
      <c r="A586" s="2329">
        <v>1006</v>
      </c>
      <c r="B586" s="2258" t="s">
        <v>6945</v>
      </c>
      <c r="C586" s="2328"/>
      <c r="D586" s="2328"/>
      <c r="E586" s="2328"/>
      <c r="F586" s="2393"/>
      <c r="G586" s="2332"/>
      <c r="H586" s="2332"/>
      <c r="I586" s="2332"/>
      <c r="J586" s="2332">
        <f>[5]Sheet1!$K$295</f>
        <v>57152.7</v>
      </c>
      <c r="K586" s="2333">
        <f t="shared" si="112"/>
        <v>57152.7</v>
      </c>
      <c r="L586" s="2328"/>
      <c r="M586" s="2328"/>
    </row>
    <row r="587" spans="1:13" x14ac:dyDescent="0.2">
      <c r="A587" s="2329">
        <v>1007</v>
      </c>
      <c r="B587" s="2258" t="s">
        <v>6410</v>
      </c>
      <c r="C587" s="2328"/>
      <c r="D587" s="2328"/>
      <c r="E587" s="2328"/>
      <c r="F587" s="2393"/>
      <c r="G587" s="2332"/>
      <c r="H587" s="2332"/>
      <c r="I587" s="2332"/>
      <c r="J587" s="2332">
        <f>[5]Sheet1!$K$296</f>
        <v>4160.8999999999996</v>
      </c>
      <c r="K587" s="2333">
        <f t="shared" si="112"/>
        <v>4160.8999999999996</v>
      </c>
      <c r="L587" s="2328"/>
      <c r="M587" s="2328"/>
    </row>
    <row r="588" spans="1:13" x14ac:dyDescent="0.2">
      <c r="A588" s="2329">
        <v>1009</v>
      </c>
      <c r="B588" s="2258" t="s">
        <v>6408</v>
      </c>
      <c r="C588" s="2328"/>
      <c r="D588" s="2328"/>
      <c r="E588" s="2328"/>
      <c r="F588" s="2393"/>
      <c r="G588" s="2332"/>
      <c r="H588" s="2332"/>
      <c r="I588" s="2332"/>
      <c r="J588" s="2332">
        <f>[5]Sheet1!$K$291</f>
        <v>205</v>
      </c>
      <c r="K588" s="2333">
        <f t="shared" si="112"/>
        <v>205</v>
      </c>
      <c r="L588" s="2328"/>
      <c r="M588" s="2328"/>
    </row>
    <row r="589" spans="1:13" x14ac:dyDescent="0.2">
      <c r="A589" s="2329">
        <v>1010</v>
      </c>
      <c r="B589" s="2258" t="s">
        <v>6946</v>
      </c>
      <c r="C589" s="2328"/>
      <c r="D589" s="2328"/>
      <c r="E589" s="2328"/>
      <c r="F589" s="2393"/>
      <c r="G589" s="2332"/>
      <c r="H589" s="2332"/>
      <c r="I589" s="2332"/>
      <c r="J589" s="2332">
        <f>[5]Sheet1!$K$285</f>
        <v>4625.04</v>
      </c>
      <c r="K589" s="2333">
        <f t="shared" si="112"/>
        <v>4625.04</v>
      </c>
      <c r="L589" s="2328"/>
      <c r="M589" s="2328"/>
    </row>
    <row r="590" spans="1:13" x14ac:dyDescent="0.2">
      <c r="A590" s="2329">
        <v>1011</v>
      </c>
      <c r="B590" s="2258" t="s">
        <v>6947</v>
      </c>
      <c r="C590" s="2328"/>
      <c r="D590" s="2328"/>
      <c r="E590" s="2328"/>
      <c r="F590" s="2393"/>
      <c r="G590" s="2332"/>
      <c r="H590" s="2332"/>
      <c r="I590" s="2332"/>
      <c r="J590" s="2332"/>
      <c r="K590" s="2333">
        <f t="shared" si="112"/>
        <v>0</v>
      </c>
      <c r="L590" s="2328"/>
      <c r="M590" s="2328"/>
    </row>
    <row r="591" spans="1:13" x14ac:dyDescent="0.2">
      <c r="A591" s="2353">
        <v>1014</v>
      </c>
      <c r="B591" s="2258" t="s">
        <v>6632</v>
      </c>
      <c r="C591" s="2328"/>
      <c r="D591" s="2328"/>
      <c r="E591" s="2328"/>
      <c r="F591" s="2393"/>
      <c r="G591" s="2332"/>
      <c r="H591" s="2332"/>
      <c r="I591" s="2332"/>
      <c r="J591" s="2332">
        <f>[5]Sheet1!$K$287</f>
        <v>5020</v>
      </c>
      <c r="K591" s="2333">
        <f t="shared" si="112"/>
        <v>5020</v>
      </c>
      <c r="L591" s="2328"/>
      <c r="M591" s="2328"/>
    </row>
    <row r="592" spans="1:13" x14ac:dyDescent="0.2">
      <c r="A592" s="2329">
        <v>1015</v>
      </c>
      <c r="B592" s="2258" t="s">
        <v>6948</v>
      </c>
      <c r="C592" s="2328"/>
      <c r="D592" s="2328"/>
      <c r="E592" s="2328"/>
      <c r="F592" s="2393"/>
      <c r="G592" s="2332"/>
      <c r="H592" s="2332"/>
      <c r="I592" s="2332"/>
      <c r="J592" s="2332">
        <f>[5]Sheet1!$K$288</f>
        <v>7271.02</v>
      </c>
      <c r="K592" s="2333">
        <f t="shared" si="112"/>
        <v>7271.02</v>
      </c>
      <c r="L592" s="2328"/>
      <c r="M592" s="2328"/>
    </row>
    <row r="593" spans="1:13" x14ac:dyDescent="0.2">
      <c r="A593" s="2329">
        <v>1016</v>
      </c>
      <c r="B593" s="2258" t="s">
        <v>6949</v>
      </c>
      <c r="C593" s="2328"/>
      <c r="D593" s="2328"/>
      <c r="E593" s="2328"/>
      <c r="F593" s="2393"/>
      <c r="G593" s="2332"/>
      <c r="H593" s="2332"/>
      <c r="I593" s="2332"/>
      <c r="J593" s="2332"/>
      <c r="K593" s="2333">
        <f t="shared" si="112"/>
        <v>0</v>
      </c>
      <c r="L593" s="2328"/>
      <c r="M593" s="2328"/>
    </row>
    <row r="594" spans="1:13" x14ac:dyDescent="0.2">
      <c r="A594" s="2329">
        <v>1017</v>
      </c>
      <c r="B594" s="2258" t="s">
        <v>6950</v>
      </c>
      <c r="C594" s="2328"/>
      <c r="D594" s="2328"/>
      <c r="E594" s="2328"/>
      <c r="F594" s="2393"/>
      <c r="G594" s="2332"/>
      <c r="H594" s="2332"/>
      <c r="I594" s="2332"/>
      <c r="J594" s="2332">
        <f>[5]Sheet1!$K$292</f>
        <v>4125</v>
      </c>
      <c r="K594" s="2333">
        <f t="shared" si="112"/>
        <v>4125</v>
      </c>
      <c r="L594" s="2328"/>
      <c r="M594" s="2328"/>
    </row>
    <row r="595" spans="1:13" x14ac:dyDescent="0.2">
      <c r="A595" s="2329">
        <v>1046</v>
      </c>
      <c r="B595" s="2258" t="s">
        <v>6951</v>
      </c>
      <c r="C595" s="2328"/>
      <c r="D595" s="2328"/>
      <c r="E595" s="2328"/>
      <c r="F595" s="2394"/>
      <c r="G595" s="2332"/>
      <c r="H595" s="2332"/>
      <c r="I595" s="2332"/>
      <c r="J595" s="2332">
        <f>[5]Sheet1!$K$290</f>
        <v>28000</v>
      </c>
      <c r="K595" s="2333">
        <f t="shared" si="112"/>
        <v>28000</v>
      </c>
      <c r="L595" s="2328"/>
      <c r="M595" s="2328"/>
    </row>
    <row r="596" spans="1:13" x14ac:dyDescent="0.2">
      <c r="A596" s="2329">
        <v>1182</v>
      </c>
      <c r="B596" s="2334" t="s">
        <v>6952</v>
      </c>
      <c r="C596" s="2395"/>
      <c r="D596" s="2395"/>
      <c r="E596" s="2395"/>
      <c r="F596" s="2396"/>
      <c r="G596" s="2335"/>
      <c r="H596" s="2335"/>
      <c r="I596" s="2335"/>
      <c r="J596" s="2335"/>
      <c r="K596" s="2336">
        <f t="shared" si="112"/>
        <v>0</v>
      </c>
      <c r="L596" s="2395"/>
      <c r="M596" s="2395"/>
    </row>
    <row r="597" spans="1:13" x14ac:dyDescent="0.2">
      <c r="A597" s="2329"/>
      <c r="B597" s="2330" t="s">
        <v>6588</v>
      </c>
      <c r="C597" s="2328"/>
      <c r="D597" s="2328"/>
      <c r="E597" s="2328"/>
      <c r="F597" s="2393"/>
      <c r="G597" s="2332"/>
      <c r="H597" s="2332"/>
      <c r="I597" s="2332"/>
      <c r="J597" s="2332">
        <f>SUM(J584:J596)</f>
        <v>473461.88</v>
      </c>
      <c r="K597" s="2333">
        <f t="shared" ref="K597:K660" si="123">J597</f>
        <v>473461.88</v>
      </c>
      <c r="L597" s="2328"/>
      <c r="M597" s="2328"/>
    </row>
    <row r="598" spans="1:13" x14ac:dyDescent="0.2">
      <c r="B598" s="2328"/>
      <c r="C598" s="2328"/>
      <c r="D598" s="2328"/>
      <c r="E598" s="2328"/>
      <c r="F598" s="2393"/>
      <c r="G598" s="2332"/>
      <c r="H598" s="2332"/>
      <c r="I598" s="2332"/>
      <c r="J598" s="2332">
        <f>J597-[5]Sheet1!$K$297</f>
        <v>0</v>
      </c>
      <c r="K598" s="2333">
        <f t="shared" si="123"/>
        <v>0</v>
      </c>
      <c r="L598" s="2328"/>
      <c r="M598" s="2328"/>
    </row>
    <row r="599" spans="1:13" x14ac:dyDescent="0.2">
      <c r="B599" s="2330" t="s">
        <v>6673</v>
      </c>
      <c r="C599" s="2332"/>
      <c r="D599" s="2332"/>
      <c r="E599" s="2386"/>
      <c r="F599" s="2309"/>
      <c r="G599" s="2332"/>
      <c r="H599" s="2332"/>
      <c r="I599" s="2386"/>
      <c r="J599" s="2386"/>
      <c r="K599" s="2333">
        <f t="shared" si="123"/>
        <v>0</v>
      </c>
      <c r="L599" s="2332"/>
      <c r="M599" s="2332"/>
    </row>
    <row r="600" spans="1:13" x14ac:dyDescent="0.2">
      <c r="A600" s="2353">
        <v>2500</v>
      </c>
      <c r="B600" s="2334" t="s">
        <v>7070</v>
      </c>
      <c r="C600" s="2335">
        <v>1125524</v>
      </c>
      <c r="D600" s="2335">
        <v>735398</v>
      </c>
      <c r="E600" s="2335">
        <v>735398</v>
      </c>
      <c r="F600" s="2335">
        <v>735398</v>
      </c>
      <c r="G600" s="2335">
        <f>+F600</f>
        <v>735398</v>
      </c>
      <c r="H600" s="2335"/>
      <c r="I600" s="2335">
        <f>ROUND(I568*0.12,0)-299150</f>
        <v>946888</v>
      </c>
      <c r="J600" s="2335">
        <f>[5]Sheet1!$K$300</f>
        <v>322742.21999999997</v>
      </c>
      <c r="K600" s="2336">
        <f t="shared" si="123"/>
        <v>322742.21999999997</v>
      </c>
      <c r="L600" s="2335">
        <f>ROUND(L568*0.1,0)</f>
        <v>1100667</v>
      </c>
      <c r="M600" s="2335">
        <f>ROUND(M568*0.1,0)</f>
        <v>1166707</v>
      </c>
    </row>
    <row r="601" spans="1:13" x14ac:dyDescent="0.2">
      <c r="B601" s="2330" t="s">
        <v>6674</v>
      </c>
      <c r="C601" s="2349">
        <f t="shared" ref="C601:M601" si="124">SUM(C600)</f>
        <v>1125524</v>
      </c>
      <c r="D601" s="2349">
        <f t="shared" si="124"/>
        <v>735398</v>
      </c>
      <c r="E601" s="2349">
        <f t="shared" si="124"/>
        <v>735398</v>
      </c>
      <c r="F601" s="2349">
        <f t="shared" si="124"/>
        <v>735398</v>
      </c>
      <c r="G601" s="2349">
        <f t="shared" si="124"/>
        <v>735398</v>
      </c>
      <c r="H601" s="2349"/>
      <c r="I601" s="2349">
        <f t="shared" si="124"/>
        <v>946888</v>
      </c>
      <c r="J601" s="2349">
        <f>J600</f>
        <v>322742.21999999997</v>
      </c>
      <c r="K601" s="2333">
        <f t="shared" si="123"/>
        <v>322742.21999999997</v>
      </c>
      <c r="L601" s="2349">
        <f t="shared" si="124"/>
        <v>1100667</v>
      </c>
      <c r="M601" s="2349">
        <f t="shared" si="124"/>
        <v>1166707</v>
      </c>
    </row>
    <row r="602" spans="1:13" x14ac:dyDescent="0.2">
      <c r="B602" s="2328"/>
      <c r="C602" s="2328"/>
      <c r="D602" s="2328"/>
      <c r="E602" s="2328"/>
      <c r="G602" s="2332"/>
      <c r="H602" s="2332"/>
      <c r="I602" s="2332"/>
      <c r="J602" s="2332">
        <f>J601-[5]Sheet1!$K$301</f>
        <v>0</v>
      </c>
      <c r="K602" s="2333">
        <f t="shared" si="123"/>
        <v>0</v>
      </c>
      <c r="L602" s="2328"/>
      <c r="M602" s="2328"/>
    </row>
    <row r="603" spans="1:13" x14ac:dyDescent="0.2">
      <c r="B603" s="2330" t="s">
        <v>6599</v>
      </c>
      <c r="C603" s="2386"/>
      <c r="D603" s="2332"/>
      <c r="E603" s="2332"/>
      <c r="G603" s="2332"/>
      <c r="H603" s="2332"/>
      <c r="I603" s="2332"/>
      <c r="J603" s="2332"/>
      <c r="K603" s="2333">
        <f t="shared" si="123"/>
        <v>0</v>
      </c>
      <c r="L603" s="2258"/>
      <c r="M603" s="2258"/>
    </row>
    <row r="604" spans="1:13" x14ac:dyDescent="0.2">
      <c r="A604" s="2353">
        <v>2219</v>
      </c>
      <c r="B604" s="2258" t="s">
        <v>7071</v>
      </c>
      <c r="C604" s="2375">
        <v>376165</v>
      </c>
      <c r="D604" s="2364">
        <v>0</v>
      </c>
      <c r="E604" s="2364">
        <v>0</v>
      </c>
      <c r="F604" s="2364">
        <v>0</v>
      </c>
      <c r="G604" s="2332">
        <v>0</v>
      </c>
      <c r="H604" s="2332"/>
      <c r="I604" s="2332">
        <f>ROUND([8]Levies!R26,0)</f>
        <v>436762</v>
      </c>
      <c r="J604" s="2332">
        <f>[5]Sheet1!$K$312</f>
        <v>149037.23000000001</v>
      </c>
      <c r="K604" s="2333">
        <f t="shared" si="123"/>
        <v>149037.23000000001</v>
      </c>
      <c r="L604" s="2332">
        <f>ROUND(I604*1.06,0)</f>
        <v>462968</v>
      </c>
      <c r="M604" s="2332">
        <f>ROUND(L604*1.06,0)</f>
        <v>490746</v>
      </c>
    </row>
    <row r="605" spans="1:13" x14ac:dyDescent="0.2">
      <c r="A605" s="2024" t="s">
        <v>5140</v>
      </c>
      <c r="B605" s="2024" t="s">
        <v>6690</v>
      </c>
      <c r="C605" s="2375"/>
      <c r="D605" s="2364"/>
      <c r="E605" s="2364"/>
      <c r="F605" s="2364"/>
      <c r="G605" s="2332"/>
      <c r="H605" s="2332"/>
      <c r="I605" s="2332"/>
      <c r="J605" s="2332">
        <v>38443.68</v>
      </c>
      <c r="K605" s="2333">
        <f t="shared" si="123"/>
        <v>38443.68</v>
      </c>
      <c r="L605" s="2332"/>
      <c r="M605" s="2332"/>
    </row>
    <row r="606" spans="1:13" x14ac:dyDescent="0.2">
      <c r="A606" s="2024" t="s">
        <v>5143</v>
      </c>
      <c r="B606" s="2024" t="s">
        <v>6605</v>
      </c>
      <c r="C606" s="2375"/>
      <c r="D606" s="2364"/>
      <c r="E606" s="2364"/>
      <c r="F606" s="2364"/>
      <c r="G606" s="2332"/>
      <c r="H606" s="2332"/>
      <c r="I606" s="2332"/>
      <c r="J606" s="2332">
        <v>2445</v>
      </c>
      <c r="K606" s="2333">
        <f t="shared" si="123"/>
        <v>2445</v>
      </c>
      <c r="L606" s="2332"/>
      <c r="M606" s="2332"/>
    </row>
    <row r="607" spans="1:13" x14ac:dyDescent="0.2">
      <c r="A607" s="2024" t="s">
        <v>5144</v>
      </c>
      <c r="B607" s="2024" t="s">
        <v>6606</v>
      </c>
      <c r="C607" s="2375"/>
      <c r="D607" s="2364"/>
      <c r="E607" s="2364"/>
      <c r="F607" s="2364"/>
      <c r="G607" s="2332"/>
      <c r="H607" s="2332"/>
      <c r="I607" s="2332"/>
      <c r="J607" s="2332">
        <v>177085.6</v>
      </c>
      <c r="K607" s="2333">
        <f t="shared" si="123"/>
        <v>177085.6</v>
      </c>
      <c r="L607" s="2332"/>
      <c r="M607" s="2332"/>
    </row>
    <row r="608" spans="1:13" x14ac:dyDescent="0.2">
      <c r="A608" s="2024" t="s">
        <v>5145</v>
      </c>
      <c r="B608" s="2024" t="s">
        <v>6608</v>
      </c>
      <c r="C608" s="2375"/>
      <c r="D608" s="2364"/>
      <c r="E608" s="2364"/>
      <c r="F608" s="2364"/>
      <c r="G608" s="2332"/>
      <c r="H608" s="2332"/>
      <c r="I608" s="2332"/>
      <c r="J608" s="2332">
        <v>44.92</v>
      </c>
      <c r="K608" s="2333">
        <f t="shared" si="123"/>
        <v>44.92</v>
      </c>
      <c r="L608" s="2332"/>
      <c r="M608" s="2332"/>
    </row>
    <row r="609" spans="1:13" x14ac:dyDescent="0.2">
      <c r="A609" s="2024" t="s">
        <v>5146</v>
      </c>
      <c r="B609" s="2024" t="s">
        <v>6609</v>
      </c>
      <c r="C609" s="2375"/>
      <c r="D609" s="2364"/>
      <c r="E609" s="2364"/>
      <c r="F609" s="2364"/>
      <c r="G609" s="2332"/>
      <c r="H609" s="2332"/>
      <c r="I609" s="2332"/>
      <c r="J609" s="2332">
        <v>44474.9</v>
      </c>
      <c r="K609" s="2333">
        <f t="shared" si="123"/>
        <v>44474.9</v>
      </c>
      <c r="L609" s="2332"/>
      <c r="M609" s="2332"/>
    </row>
    <row r="610" spans="1:13" x14ac:dyDescent="0.2">
      <c r="A610" s="2024" t="s">
        <v>5147</v>
      </c>
      <c r="B610" s="2024" t="s">
        <v>6110</v>
      </c>
      <c r="C610" s="2375"/>
      <c r="D610" s="2364"/>
      <c r="E610" s="2364"/>
      <c r="F610" s="2364"/>
      <c r="G610" s="2332"/>
      <c r="H610" s="2332"/>
      <c r="I610" s="2332"/>
      <c r="J610" s="2332">
        <v>217171.96000000002</v>
      </c>
      <c r="K610" s="2333">
        <f t="shared" si="123"/>
        <v>217171.96000000002</v>
      </c>
      <c r="L610" s="2332"/>
      <c r="M610" s="2332"/>
    </row>
    <row r="611" spans="1:13" x14ac:dyDescent="0.2">
      <c r="A611" s="2024" t="s">
        <v>5148</v>
      </c>
      <c r="B611" s="2024" t="s">
        <v>6610</v>
      </c>
      <c r="C611" s="2375"/>
      <c r="D611" s="2364"/>
      <c r="E611" s="2364"/>
      <c r="F611" s="2364"/>
      <c r="G611" s="2332"/>
      <c r="H611" s="2332"/>
      <c r="I611" s="2332"/>
      <c r="J611" s="2332">
        <v>2154</v>
      </c>
      <c r="K611" s="2333">
        <f t="shared" si="123"/>
        <v>2154</v>
      </c>
      <c r="L611" s="2332"/>
      <c r="M611" s="2332"/>
    </row>
    <row r="612" spans="1:13" x14ac:dyDescent="0.2">
      <c r="A612" s="2024" t="s">
        <v>5150</v>
      </c>
      <c r="B612" s="2024" t="s">
        <v>6033</v>
      </c>
      <c r="C612" s="2375"/>
      <c r="D612" s="2364"/>
      <c r="E612" s="2364"/>
      <c r="F612" s="2364"/>
      <c r="G612" s="2332"/>
      <c r="H612" s="2332"/>
      <c r="I612" s="2332"/>
      <c r="J612" s="2332">
        <v>66.14</v>
      </c>
      <c r="K612" s="2333">
        <f t="shared" si="123"/>
        <v>66.14</v>
      </c>
      <c r="L612" s="2332"/>
      <c r="M612" s="2332"/>
    </row>
    <row r="613" spans="1:13" x14ac:dyDescent="0.2">
      <c r="A613" s="2353">
        <v>2308</v>
      </c>
      <c r="B613" s="2334" t="s">
        <v>7072</v>
      </c>
      <c r="C613" s="2335">
        <v>8437</v>
      </c>
      <c r="D613" s="2335">
        <v>2001050</v>
      </c>
      <c r="E613" s="2335">
        <f>2001050-1000000</f>
        <v>1001050</v>
      </c>
      <c r="F613" s="2335">
        <v>373605</v>
      </c>
      <c r="G613" s="2335">
        <f>F613/$F$11*$G$11</f>
        <v>448326</v>
      </c>
      <c r="H613" s="2335"/>
      <c r="I613" s="2335">
        <v>1000000</v>
      </c>
      <c r="J613" s="2335">
        <f>[5]Sheet1!$K$330</f>
        <v>2405336.7400000002</v>
      </c>
      <c r="K613" s="2336">
        <f t="shared" si="123"/>
        <v>2405336.7400000002</v>
      </c>
      <c r="L613" s="2335">
        <v>100000</v>
      </c>
      <c r="M613" s="2335">
        <f>ROUND(L613*1.05,0)</f>
        <v>105000</v>
      </c>
    </row>
    <row r="614" spans="1:13" x14ac:dyDescent="0.2">
      <c r="B614" s="2330" t="s">
        <v>6614</v>
      </c>
      <c r="C614" s="2349">
        <f>SUM(C604:C613)</f>
        <v>384602</v>
      </c>
      <c r="D614" s="2349">
        <f>SUM(D604:D613)</f>
        <v>2001050</v>
      </c>
      <c r="E614" s="2349">
        <f>SUM(E604:E613)</f>
        <v>1001050</v>
      </c>
      <c r="F614" s="2349">
        <f>SUM(F604:F613)</f>
        <v>373605</v>
      </c>
      <c r="G614" s="2349">
        <f>SUM(G604:G613)</f>
        <v>448326</v>
      </c>
      <c r="H614" s="2349"/>
      <c r="I614" s="2349">
        <f>SUM(I604:I613)</f>
        <v>1436762</v>
      </c>
      <c r="J614" s="2349">
        <f>SUM(J604:J613)</f>
        <v>3036260.1700000004</v>
      </c>
      <c r="K614" s="2333">
        <f t="shared" si="123"/>
        <v>3036260.1700000004</v>
      </c>
      <c r="L614" s="2349">
        <f>SUM(L604:L613)</f>
        <v>562968</v>
      </c>
      <c r="M614" s="2349">
        <f>SUM(M604:M613)</f>
        <v>595746</v>
      </c>
    </row>
    <row r="615" spans="1:13" x14ac:dyDescent="0.2">
      <c r="B615" s="2338"/>
      <c r="C615" s="2335"/>
      <c r="D615" s="2335"/>
      <c r="E615" s="2335"/>
      <c r="F615" s="2335"/>
      <c r="G615" s="2335"/>
      <c r="H615" s="2335"/>
      <c r="I615" s="2335"/>
      <c r="J615" s="2335">
        <f>J614-[5]Sheet1!$K$313-[5]Sheet1!$K$318-[5]Sheet1!$K$321-[5]Sheet1!$K$322-[5]Sheet1!$K$323-[5]Sheet1!$K$325-[5]Sheet1!$K$326-[5]Sheet1!$K$327-[5]Sheet1!$K$329-[5]Sheet1!$K$330</f>
        <v>0</v>
      </c>
      <c r="K615" s="2336">
        <f t="shared" si="123"/>
        <v>0</v>
      </c>
      <c r="L615" s="2335"/>
      <c r="M615" s="2335"/>
    </row>
    <row r="616" spans="1:13" x14ac:dyDescent="0.2">
      <c r="B616" s="2330" t="s">
        <v>6972</v>
      </c>
      <c r="C616" s="2351">
        <f>C601+C614</f>
        <v>1510126</v>
      </c>
      <c r="D616" s="2351">
        <f>D601+D614</f>
        <v>2736448</v>
      </c>
      <c r="E616" s="2351">
        <f>E601+E614</f>
        <v>1736448</v>
      </c>
      <c r="F616" s="2351">
        <f>F601+F614</f>
        <v>1109003</v>
      </c>
      <c r="G616" s="2351">
        <f>G601+G614</f>
        <v>1183724</v>
      </c>
      <c r="H616" s="2351"/>
      <c r="I616" s="2351">
        <f>I601+I614</f>
        <v>2383650</v>
      </c>
      <c r="J616" s="2351">
        <f>J601+J614+J597</f>
        <v>3832464.2700000005</v>
      </c>
      <c r="K616" s="2333">
        <f t="shared" si="123"/>
        <v>3832464.2700000005</v>
      </c>
      <c r="L616" s="2351">
        <f>L601+L614</f>
        <v>1663635</v>
      </c>
      <c r="M616" s="2351">
        <f>M601+M614</f>
        <v>1762453</v>
      </c>
    </row>
    <row r="617" spans="1:13" x14ac:dyDescent="0.2">
      <c r="B617" s="2330"/>
      <c r="C617" s="2351"/>
      <c r="D617" s="2351"/>
      <c r="E617" s="2351"/>
      <c r="F617" s="2309"/>
      <c r="G617" s="2332"/>
      <c r="H617" s="2332"/>
      <c r="I617" s="2332"/>
      <c r="J617" s="2332"/>
      <c r="K617" s="2333">
        <f t="shared" si="123"/>
        <v>0</v>
      </c>
      <c r="L617" s="2351"/>
      <c r="M617" s="2351"/>
    </row>
    <row r="618" spans="1:13" x14ac:dyDescent="0.2">
      <c r="B618" s="2330" t="s">
        <v>6974</v>
      </c>
      <c r="K618" s="2333">
        <f t="shared" si="123"/>
        <v>0</v>
      </c>
    </row>
    <row r="619" spans="1:13" x14ac:dyDescent="0.2">
      <c r="A619" s="2353">
        <v>4209</v>
      </c>
      <c r="B619" s="2334" t="s">
        <v>7022</v>
      </c>
      <c r="C619" s="2339">
        <v>54948</v>
      </c>
      <c r="D619" s="2397">
        <v>0</v>
      </c>
      <c r="E619" s="2397">
        <v>0</v>
      </c>
      <c r="F619" s="2335">
        <v>0</v>
      </c>
      <c r="G619" s="2335">
        <v>0</v>
      </c>
      <c r="H619" s="2335"/>
      <c r="I619" s="2335">
        <v>0</v>
      </c>
      <c r="J619" s="2335">
        <v>0</v>
      </c>
      <c r="K619" s="2336">
        <f t="shared" si="123"/>
        <v>0</v>
      </c>
      <c r="L619" s="2397">
        <v>0</v>
      </c>
      <c r="M619" s="2397">
        <v>0</v>
      </c>
    </row>
    <row r="620" spans="1:13" x14ac:dyDescent="0.2">
      <c r="B620" s="2330" t="s">
        <v>6979</v>
      </c>
      <c r="C620" s="2398">
        <f t="shared" ref="C620:M620" si="125">SUM(C619)</f>
        <v>54948</v>
      </c>
      <c r="D620" s="2398">
        <f t="shared" si="125"/>
        <v>0</v>
      </c>
      <c r="E620" s="2398">
        <f t="shared" si="125"/>
        <v>0</v>
      </c>
      <c r="F620" s="2398">
        <f t="shared" si="125"/>
        <v>0</v>
      </c>
      <c r="G620" s="2398">
        <f t="shared" si="125"/>
        <v>0</v>
      </c>
      <c r="H620" s="2398"/>
      <c r="I620" s="2398">
        <f t="shared" si="125"/>
        <v>0</v>
      </c>
      <c r="J620" s="2398">
        <f>J619</f>
        <v>0</v>
      </c>
      <c r="K620" s="2333">
        <f t="shared" si="123"/>
        <v>0</v>
      </c>
      <c r="L620" s="2398">
        <f t="shared" si="125"/>
        <v>0</v>
      </c>
      <c r="M620" s="2398">
        <f t="shared" si="125"/>
        <v>0</v>
      </c>
    </row>
    <row r="621" spans="1:13" x14ac:dyDescent="0.2">
      <c r="B621" s="2330"/>
      <c r="C621" s="2349"/>
      <c r="D621" s="2349"/>
      <c r="E621" s="2349"/>
      <c r="F621" s="2349"/>
      <c r="G621" s="2349"/>
      <c r="H621" s="2349"/>
      <c r="I621" s="2349"/>
      <c r="J621" s="2349"/>
      <c r="K621" s="2333">
        <f t="shared" si="123"/>
        <v>0</v>
      </c>
      <c r="L621" s="2349"/>
      <c r="M621" s="2349"/>
    </row>
    <row r="622" spans="1:13" ht="13.5" thickBot="1" x14ac:dyDescent="0.25">
      <c r="B622" s="2342" t="s">
        <v>6980</v>
      </c>
      <c r="C622" s="2354">
        <f t="shared" ref="C622:M622" si="126">C616+C620</f>
        <v>1565074</v>
      </c>
      <c r="D622" s="2354">
        <f t="shared" si="126"/>
        <v>2736448</v>
      </c>
      <c r="E622" s="2354">
        <f t="shared" si="126"/>
        <v>1736448</v>
      </c>
      <c r="F622" s="2354">
        <f t="shared" si="126"/>
        <v>1109003</v>
      </c>
      <c r="G622" s="2354">
        <f t="shared" si="126"/>
        <v>1183724</v>
      </c>
      <c r="H622" s="2354"/>
      <c r="I622" s="2354">
        <f t="shared" si="126"/>
        <v>2383650</v>
      </c>
      <c r="J622" s="2354">
        <f>J616+J620</f>
        <v>3832464.2700000005</v>
      </c>
      <c r="K622" s="2344">
        <f t="shared" si="123"/>
        <v>3832464.2700000005</v>
      </c>
      <c r="L622" s="2354">
        <f t="shared" si="126"/>
        <v>1663635</v>
      </c>
      <c r="M622" s="2354">
        <f t="shared" si="126"/>
        <v>1762453</v>
      </c>
    </row>
    <row r="623" spans="1:13" ht="13.5" thickTop="1" x14ac:dyDescent="0.2">
      <c r="B623" s="2330"/>
      <c r="C623" s="2349"/>
      <c r="D623" s="2349"/>
      <c r="E623" s="2349"/>
      <c r="F623" s="2349"/>
      <c r="G623" s="2349"/>
      <c r="H623" s="2349"/>
      <c r="I623" s="2349"/>
      <c r="J623" s="2349"/>
      <c r="K623" s="2333">
        <f t="shared" si="123"/>
        <v>0</v>
      </c>
      <c r="L623" s="2349"/>
      <c r="M623" s="2349"/>
    </row>
    <row r="624" spans="1:13" ht="13.5" thickBot="1" x14ac:dyDescent="0.25">
      <c r="B624" s="2342" t="s">
        <v>6624</v>
      </c>
      <c r="C624" s="2355">
        <f>C579-C622</f>
        <v>2615868</v>
      </c>
      <c r="D624" s="2355">
        <f>D579-D622</f>
        <v>1949059</v>
      </c>
      <c r="E624" s="2355">
        <f>E579-E622</f>
        <v>2292601</v>
      </c>
      <c r="F624" s="2355">
        <f>F579-F622</f>
        <v>5154824.16</v>
      </c>
      <c r="G624" s="2355">
        <f>G579-G622</f>
        <v>5117420.96</v>
      </c>
      <c r="H624" s="2355"/>
      <c r="I624" s="2355">
        <f>I579-I622</f>
        <v>5590574</v>
      </c>
      <c r="J624" s="2355">
        <f>J579-J622</f>
        <v>782562.55999999866</v>
      </c>
      <c r="K624" s="2344">
        <f t="shared" si="123"/>
        <v>782562.55999999866</v>
      </c>
      <c r="L624" s="2355">
        <f>L579-L622</f>
        <v>6192487</v>
      </c>
      <c r="M624" s="2355">
        <f>M579-M622</f>
        <v>8462082</v>
      </c>
    </row>
    <row r="625" spans="1:13" ht="13.5" thickTop="1" x14ac:dyDescent="0.2">
      <c r="B625" s="2330"/>
      <c r="C625" s="2356"/>
      <c r="D625" s="2356"/>
      <c r="E625" s="2356"/>
      <c r="G625" s="2332"/>
      <c r="H625" s="2332"/>
      <c r="I625" s="2332"/>
      <c r="J625" s="2332"/>
      <c r="K625" s="2333">
        <f t="shared" si="123"/>
        <v>0</v>
      </c>
      <c r="L625" s="2356"/>
      <c r="M625" s="2356"/>
    </row>
    <row r="626" spans="1:13" x14ac:dyDescent="0.2">
      <c r="A626" s="2369"/>
      <c r="B626" s="2369"/>
      <c r="C626" s="2369"/>
      <c r="D626" s="2369"/>
      <c r="E626" s="2369"/>
      <c r="G626" s="2332"/>
      <c r="H626" s="2332"/>
      <c r="I626" s="2332"/>
      <c r="J626" s="2332"/>
      <c r="K626" s="2333">
        <f t="shared" si="123"/>
        <v>0</v>
      </c>
      <c r="L626" s="2369"/>
      <c r="M626" s="2369"/>
    </row>
    <row r="627" spans="1:13" ht="15" x14ac:dyDescent="0.25">
      <c r="A627" s="2365">
        <v>1120</v>
      </c>
      <c r="B627" s="2366" t="s">
        <v>6708</v>
      </c>
      <c r="G627" s="2332"/>
      <c r="H627" s="2332"/>
      <c r="I627" s="2332"/>
      <c r="J627" s="2332"/>
      <c r="K627" s="2333">
        <f t="shared" si="123"/>
        <v>0</v>
      </c>
    </row>
    <row r="628" spans="1:13" x14ac:dyDescent="0.2">
      <c r="A628" s="2345"/>
      <c r="B628" s="2346"/>
      <c r="C628" s="2346"/>
      <c r="D628" s="2346"/>
      <c r="E628" s="2346"/>
      <c r="G628" s="2332"/>
      <c r="H628" s="2332"/>
      <c r="I628" s="2332"/>
      <c r="J628" s="2332"/>
      <c r="K628" s="2333">
        <f t="shared" si="123"/>
        <v>0</v>
      </c>
      <c r="L628" s="2346"/>
      <c r="M628" s="2346"/>
    </row>
    <row r="629" spans="1:13" x14ac:dyDescent="0.2">
      <c r="A629" s="2327"/>
      <c r="B629" s="2328" t="s">
        <v>235</v>
      </c>
      <c r="C629" s="2328"/>
      <c r="D629" s="2328"/>
      <c r="E629" s="2328"/>
      <c r="G629" s="2332"/>
      <c r="H629" s="2332"/>
      <c r="I629" s="2332"/>
      <c r="J629" s="2332"/>
      <c r="K629" s="2333">
        <f t="shared" si="123"/>
        <v>0</v>
      </c>
      <c r="L629" s="2328"/>
      <c r="M629" s="2328"/>
    </row>
    <row r="630" spans="1:13" x14ac:dyDescent="0.2">
      <c r="A630" s="2327"/>
      <c r="B630" s="2328"/>
      <c r="C630" s="2328"/>
      <c r="D630" s="2328"/>
      <c r="E630" s="2328"/>
      <c r="G630" s="2332"/>
      <c r="H630" s="2332"/>
      <c r="I630" s="2332"/>
      <c r="J630" s="2332"/>
      <c r="K630" s="2333">
        <f t="shared" si="123"/>
        <v>0</v>
      </c>
      <c r="L630" s="2328"/>
      <c r="M630" s="2328"/>
    </row>
    <row r="631" spans="1:13" x14ac:dyDescent="0.2">
      <c r="A631" s="2329"/>
      <c r="B631" s="2330" t="s">
        <v>387</v>
      </c>
      <c r="C631" s="2332"/>
      <c r="D631" s="2332"/>
      <c r="E631" s="2332"/>
      <c r="G631" s="2332"/>
      <c r="H631" s="2332"/>
      <c r="I631" s="2332"/>
      <c r="J631" s="2332"/>
      <c r="K631" s="2333">
        <f t="shared" si="123"/>
        <v>0</v>
      </c>
      <c r="L631" s="2332"/>
      <c r="M631" s="2332"/>
    </row>
    <row r="632" spans="1:13" x14ac:dyDescent="0.2">
      <c r="A632" s="2329">
        <v>1001</v>
      </c>
      <c r="B632" s="2258" t="s">
        <v>6943</v>
      </c>
      <c r="C632" s="2332">
        <v>227994</v>
      </c>
      <c r="D632" s="2332">
        <v>271435</v>
      </c>
      <c r="E632" s="2332">
        <v>256311</v>
      </c>
      <c r="F632" s="2332">
        <v>252129</v>
      </c>
      <c r="G632" s="2332">
        <f t="shared" ref="G632:G644" si="127">F632/$F$11*$G$11</f>
        <v>302554.80000000005</v>
      </c>
      <c r="H632" s="2332"/>
      <c r="I632" s="2332">
        <f>[6]Salary_Bdgt!$H$141</f>
        <v>233607</v>
      </c>
      <c r="J632" s="2332">
        <f>[5]Sheet1!$K$469</f>
        <v>133177.72</v>
      </c>
      <c r="K632" s="2333">
        <f t="shared" si="123"/>
        <v>133177.72</v>
      </c>
      <c r="L632" s="2332">
        <f t="shared" ref="L632:L644" si="128">ROUND(I632*1.08,0)</f>
        <v>252296</v>
      </c>
      <c r="M632" s="2332">
        <f t="shared" ref="M632:M644" si="129">ROUND(L632*1.08,0)</f>
        <v>272480</v>
      </c>
    </row>
    <row r="633" spans="1:13" x14ac:dyDescent="0.2">
      <c r="A633" s="2329">
        <v>1005</v>
      </c>
      <c r="B633" s="2258" t="s">
        <v>6944</v>
      </c>
      <c r="C633" s="2332">
        <v>34755</v>
      </c>
      <c r="D633" s="2332">
        <v>22905</v>
      </c>
      <c r="E633" s="2332">
        <f>+D633+7553</f>
        <v>30458</v>
      </c>
      <c r="F633" s="2332">
        <v>31006</v>
      </c>
      <c r="G633" s="2332">
        <f t="shared" si="127"/>
        <v>37207.199999999997</v>
      </c>
      <c r="H633" s="2332"/>
      <c r="I633" s="2332">
        <f>+[6]Salary_Bdgt!$L$141</f>
        <v>26539</v>
      </c>
      <c r="J633" s="2332">
        <f>[5]Sheet1!$K$479</f>
        <v>11968.8</v>
      </c>
      <c r="K633" s="2333">
        <f t="shared" si="123"/>
        <v>11968.8</v>
      </c>
      <c r="L633" s="2332">
        <f t="shared" si="128"/>
        <v>28662</v>
      </c>
      <c r="M633" s="2332">
        <f t="shared" si="129"/>
        <v>30955</v>
      </c>
    </row>
    <row r="634" spans="1:13" x14ac:dyDescent="0.2">
      <c r="A634" s="2329">
        <v>1006</v>
      </c>
      <c r="B634" s="2258" t="s">
        <v>6945</v>
      </c>
      <c r="C634" s="2332">
        <v>43794</v>
      </c>
      <c r="D634" s="2332">
        <v>40921</v>
      </c>
      <c r="E634" s="2332">
        <f>+D634+7571</f>
        <v>48492</v>
      </c>
      <c r="F634" s="2332">
        <v>51138</v>
      </c>
      <c r="G634" s="2332">
        <f t="shared" si="127"/>
        <v>61365.600000000006</v>
      </c>
      <c r="H634" s="2332"/>
      <c r="I634" s="2332">
        <f>+[6]Salary_Bdgt!$N$141</f>
        <v>37240</v>
      </c>
      <c r="J634" s="2332">
        <f>[5]Sheet1!$K$480</f>
        <v>22861.08</v>
      </c>
      <c r="K634" s="2333">
        <f t="shared" si="123"/>
        <v>22861.08</v>
      </c>
      <c r="L634" s="2332">
        <f t="shared" si="128"/>
        <v>40219</v>
      </c>
      <c r="M634" s="2332">
        <f t="shared" si="129"/>
        <v>43437</v>
      </c>
    </row>
    <row r="635" spans="1:13" x14ac:dyDescent="0.2">
      <c r="A635" s="2329">
        <v>1007</v>
      </c>
      <c r="B635" s="2258" t="s">
        <v>6410</v>
      </c>
      <c r="C635" s="2332">
        <v>3357</v>
      </c>
      <c r="D635" s="2332">
        <v>5136</v>
      </c>
      <c r="E635" s="2332">
        <f>+D635</f>
        <v>5136</v>
      </c>
      <c r="F635" s="2332">
        <v>3470</v>
      </c>
      <c r="G635" s="2332">
        <f t="shared" si="127"/>
        <v>4164</v>
      </c>
      <c r="H635" s="2332"/>
      <c r="I635" s="2332">
        <f>+[6]Salary_Bdgt!$I$141</f>
        <v>4057</v>
      </c>
      <c r="J635" s="2332">
        <f>[5]Sheet1!$K$481</f>
        <v>1731.44</v>
      </c>
      <c r="K635" s="2333">
        <f t="shared" si="123"/>
        <v>1731.44</v>
      </c>
      <c r="L635" s="2332">
        <f t="shared" si="128"/>
        <v>4382</v>
      </c>
      <c r="M635" s="2332">
        <f t="shared" si="129"/>
        <v>4733</v>
      </c>
    </row>
    <row r="636" spans="1:13" x14ac:dyDescent="0.2">
      <c r="A636" s="2329">
        <v>1009</v>
      </c>
      <c r="B636" s="2258" t="s">
        <v>6408</v>
      </c>
      <c r="C636" s="2332">
        <v>145</v>
      </c>
      <c r="D636" s="2332">
        <f>[7]Sal_RIA!$M$105</f>
        <v>154</v>
      </c>
      <c r="E636" s="2332">
        <f>+D636</f>
        <v>154</v>
      </c>
      <c r="F636" s="2332">
        <v>150</v>
      </c>
      <c r="G636" s="2332">
        <f t="shared" si="127"/>
        <v>180</v>
      </c>
      <c r="H636" s="2332"/>
      <c r="I636" s="2332">
        <f>+[6]Salary_Bdgt!$M$141</f>
        <v>135</v>
      </c>
      <c r="J636" s="2332">
        <f>[5]Sheet1!$K$476</f>
        <v>82</v>
      </c>
      <c r="K636" s="2333">
        <f t="shared" si="123"/>
        <v>82</v>
      </c>
      <c r="L636" s="2332">
        <f t="shared" si="128"/>
        <v>146</v>
      </c>
      <c r="M636" s="2332">
        <f t="shared" si="129"/>
        <v>158</v>
      </c>
    </row>
    <row r="637" spans="1:13" x14ac:dyDescent="0.2">
      <c r="A637" s="2329">
        <v>1010</v>
      </c>
      <c r="B637" s="2258" t="s">
        <v>6946</v>
      </c>
      <c r="C637" s="2332">
        <v>17156</v>
      </c>
      <c r="D637" s="2332">
        <v>22620</v>
      </c>
      <c r="E637" s="2332">
        <f>+D637</f>
        <v>22620</v>
      </c>
      <c r="F637" s="2332">
        <v>25337</v>
      </c>
      <c r="G637" s="2332">
        <f t="shared" si="127"/>
        <v>30404.399999999998</v>
      </c>
      <c r="H637" s="2332"/>
      <c r="I637" s="2332">
        <f>+[6]Salary_Bdgt!$Q$141</f>
        <v>19467</v>
      </c>
      <c r="J637" s="2332">
        <f>[5]Sheet1!$K$470</f>
        <v>5312.02</v>
      </c>
      <c r="K637" s="2333">
        <f t="shared" si="123"/>
        <v>5312.02</v>
      </c>
      <c r="L637" s="2332">
        <f t="shared" si="128"/>
        <v>21024</v>
      </c>
      <c r="M637" s="2332">
        <f t="shared" si="129"/>
        <v>22706</v>
      </c>
    </row>
    <row r="638" spans="1:13" x14ac:dyDescent="0.2">
      <c r="A638" s="2329">
        <v>1011</v>
      </c>
      <c r="B638" s="2258" t="s">
        <v>6947</v>
      </c>
      <c r="C638" s="2332">
        <v>0</v>
      </c>
      <c r="D638" s="2332">
        <v>0</v>
      </c>
      <c r="E638" s="2332">
        <v>0</v>
      </c>
      <c r="F638" s="2332">
        <v>0</v>
      </c>
      <c r="G638" s="2332">
        <f t="shared" si="127"/>
        <v>0</v>
      </c>
      <c r="H638" s="2332"/>
      <c r="I638" s="2332">
        <f>+[6]Salary_Bdgt!$U$141</f>
        <v>29336</v>
      </c>
      <c r="J638" s="2332">
        <f>[5]Sheet1!$K$471</f>
        <v>0</v>
      </c>
      <c r="K638" s="2333">
        <f t="shared" si="123"/>
        <v>0</v>
      </c>
      <c r="L638" s="2332">
        <f t="shared" si="128"/>
        <v>31683</v>
      </c>
      <c r="M638" s="2332">
        <f t="shared" si="129"/>
        <v>34218</v>
      </c>
    </row>
    <row r="639" spans="1:13" x14ac:dyDescent="0.2">
      <c r="A639" s="2329">
        <v>1014</v>
      </c>
      <c r="B639" s="2258" t="s">
        <v>6632</v>
      </c>
      <c r="C639" s="2332">
        <v>8856</v>
      </c>
      <c r="D639" s="2332">
        <f>[7]Sal_RIA!$S$105</f>
        <v>8012</v>
      </c>
      <c r="E639" s="2332">
        <f t="shared" ref="E639:E644" si="130">+D639</f>
        <v>8012</v>
      </c>
      <c r="F639" s="2332">
        <v>5705</v>
      </c>
      <c r="G639" s="2332">
        <f t="shared" si="127"/>
        <v>6846</v>
      </c>
      <c r="H639" s="2332"/>
      <c r="I639" s="2332">
        <f>+[6]Salary_Bdgt!$S$141</f>
        <v>6402</v>
      </c>
      <c r="J639" s="2332">
        <f>[5]Sheet1!$K$472</f>
        <v>2008</v>
      </c>
      <c r="K639" s="2333">
        <f t="shared" si="123"/>
        <v>2008</v>
      </c>
      <c r="L639" s="2332">
        <f t="shared" si="128"/>
        <v>6914</v>
      </c>
      <c r="M639" s="2332">
        <f t="shared" si="129"/>
        <v>7467</v>
      </c>
    </row>
    <row r="640" spans="1:13" x14ac:dyDescent="0.2">
      <c r="A640" s="2329">
        <v>1015</v>
      </c>
      <c r="B640" s="2258" t="s">
        <v>6948</v>
      </c>
      <c r="C640" s="2332">
        <v>40498</v>
      </c>
      <c r="D640" s="2332">
        <v>55182</v>
      </c>
      <c r="E640" s="2332">
        <f t="shared" si="130"/>
        <v>55182</v>
      </c>
      <c r="F640" s="2332">
        <v>441</v>
      </c>
      <c r="G640" s="2332">
        <f t="shared" si="127"/>
        <v>529.20000000000005</v>
      </c>
      <c r="H640" s="2332"/>
      <c r="I640" s="2332">
        <f>+[6]Salary_Bdgt!$O$141+[6]Salary_Bdgt!$P$141+[6]Salary_Bdgt!$W$141</f>
        <v>0</v>
      </c>
      <c r="J640" s="2332">
        <f>[5]Sheet1!$K$473</f>
        <v>3982.9800000000005</v>
      </c>
      <c r="K640" s="2333">
        <f t="shared" si="123"/>
        <v>3982.9800000000005</v>
      </c>
      <c r="L640" s="2332">
        <f t="shared" si="128"/>
        <v>0</v>
      </c>
      <c r="M640" s="2332">
        <f t="shared" si="129"/>
        <v>0</v>
      </c>
    </row>
    <row r="641" spans="1:13" x14ac:dyDescent="0.2">
      <c r="A641" s="2329">
        <v>1016</v>
      </c>
      <c r="B641" s="2258" t="s">
        <v>6949</v>
      </c>
      <c r="C641" s="2332">
        <v>0</v>
      </c>
      <c r="D641" s="2332">
        <v>29879</v>
      </c>
      <c r="E641" s="2332">
        <f t="shared" si="130"/>
        <v>29879</v>
      </c>
      <c r="F641" s="2332">
        <v>5159</v>
      </c>
      <c r="G641" s="2332">
        <f t="shared" si="127"/>
        <v>6190.7999999999993</v>
      </c>
      <c r="H641" s="2332"/>
      <c r="I641" s="2332">
        <f>+[6]Salary_Bdgt!$T$141+[6]Salary_Bdgt!$V$141</f>
        <v>68222</v>
      </c>
      <c r="J641" s="2332">
        <f>[5]Sheet1!$K$474</f>
        <v>0</v>
      </c>
      <c r="K641" s="2333">
        <f t="shared" si="123"/>
        <v>0</v>
      </c>
      <c r="L641" s="2332">
        <f t="shared" si="128"/>
        <v>73680</v>
      </c>
      <c r="M641" s="2332">
        <f t="shared" si="129"/>
        <v>79574</v>
      </c>
    </row>
    <row r="642" spans="1:13" x14ac:dyDescent="0.2">
      <c r="A642" s="2329">
        <v>1017</v>
      </c>
      <c r="B642" s="2258" t="s">
        <v>6950</v>
      </c>
      <c r="C642" s="2332">
        <v>3893</v>
      </c>
      <c r="D642" s="2332">
        <v>6546</v>
      </c>
      <c r="E642" s="2332">
        <f t="shared" si="130"/>
        <v>6546</v>
      </c>
      <c r="F642" s="2332">
        <v>1798</v>
      </c>
      <c r="G642" s="2332">
        <f t="shared" si="127"/>
        <v>2157.6000000000004</v>
      </c>
      <c r="H642" s="2332"/>
      <c r="I642" s="2332">
        <f>+[6]Salary_Bdgt!$J$141</f>
        <v>5433</v>
      </c>
      <c r="J642" s="2332">
        <f>[5]Sheet1!$K$477</f>
        <v>1681.1399999999999</v>
      </c>
      <c r="K642" s="2333">
        <f t="shared" si="123"/>
        <v>1681.1399999999999</v>
      </c>
      <c r="L642" s="2332">
        <f t="shared" si="128"/>
        <v>5868</v>
      </c>
      <c r="M642" s="2332">
        <f t="shared" si="129"/>
        <v>6337</v>
      </c>
    </row>
    <row r="643" spans="1:13" x14ac:dyDescent="0.2">
      <c r="A643" s="2329">
        <v>1046</v>
      </c>
      <c r="B643" s="2258" t="s">
        <v>6951</v>
      </c>
      <c r="C643" s="2332">
        <v>33600</v>
      </c>
      <c r="D643" s="2332">
        <v>36960</v>
      </c>
      <c r="E643" s="2332">
        <f t="shared" si="130"/>
        <v>36960</v>
      </c>
      <c r="F643" s="2332">
        <v>28000</v>
      </c>
      <c r="G643" s="2332">
        <f t="shared" si="127"/>
        <v>33600</v>
      </c>
      <c r="H643" s="2332"/>
      <c r="I643" s="2332">
        <f>+[6]Salary_Bdgt!$R$141</f>
        <v>36288</v>
      </c>
      <c r="J643" s="2332">
        <f>[5]Sheet1!$K$475</f>
        <v>11200</v>
      </c>
      <c r="K643" s="2333">
        <f t="shared" si="123"/>
        <v>11200</v>
      </c>
      <c r="L643" s="2332">
        <f t="shared" si="128"/>
        <v>39191</v>
      </c>
      <c r="M643" s="2332">
        <f t="shared" si="129"/>
        <v>42326</v>
      </c>
    </row>
    <row r="644" spans="1:13" x14ac:dyDescent="0.2">
      <c r="A644" s="2329">
        <v>1182</v>
      </c>
      <c r="B644" s="2334" t="s">
        <v>6952</v>
      </c>
      <c r="C644" s="2335">
        <v>2759</v>
      </c>
      <c r="D644" s="2335">
        <v>6088</v>
      </c>
      <c r="E644" s="2335">
        <f t="shared" si="130"/>
        <v>6088</v>
      </c>
      <c r="F644" s="2335">
        <v>0</v>
      </c>
      <c r="G644" s="2335">
        <f t="shared" si="127"/>
        <v>0</v>
      </c>
      <c r="H644" s="2335"/>
      <c r="I644" s="2335">
        <f>+[6]Salary_Bdgt!$K$141</f>
        <v>5053</v>
      </c>
      <c r="J644" s="2335">
        <f>[5]Sheet1!$K$478</f>
        <v>1725.4</v>
      </c>
      <c r="K644" s="2336">
        <f t="shared" si="123"/>
        <v>1725.4</v>
      </c>
      <c r="L644" s="2335">
        <f t="shared" si="128"/>
        <v>5457</v>
      </c>
      <c r="M644" s="2335">
        <f t="shared" si="129"/>
        <v>5894</v>
      </c>
    </row>
    <row r="645" spans="1:13" x14ac:dyDescent="0.2">
      <c r="A645" s="2329"/>
      <c r="B645" s="2330" t="s">
        <v>6588</v>
      </c>
      <c r="C645" s="2349">
        <f t="shared" ref="C645:M645" si="131">SUM(C632:C644)</f>
        <v>416807</v>
      </c>
      <c r="D645" s="2349">
        <f t="shared" si="131"/>
        <v>505838</v>
      </c>
      <c r="E645" s="2349">
        <f t="shared" si="131"/>
        <v>505838</v>
      </c>
      <c r="F645" s="2349">
        <f t="shared" si="131"/>
        <v>404333</v>
      </c>
      <c r="G645" s="2349">
        <f t="shared" si="131"/>
        <v>485199.60000000009</v>
      </c>
      <c r="H645" s="2349"/>
      <c r="I645" s="2349">
        <f>SUM(I632:I644)</f>
        <v>471779</v>
      </c>
      <c r="J645" s="2349">
        <f>SUM(J632:J644)</f>
        <v>195730.58</v>
      </c>
      <c r="K645" s="2333">
        <f t="shared" si="123"/>
        <v>195730.58</v>
      </c>
      <c r="L645" s="2349">
        <f t="shared" si="131"/>
        <v>509522</v>
      </c>
      <c r="M645" s="2349">
        <f t="shared" si="131"/>
        <v>550285</v>
      </c>
    </row>
    <row r="646" spans="1:13" x14ac:dyDescent="0.2">
      <c r="A646" s="2329"/>
      <c r="B646" s="2330"/>
      <c r="C646" s="2332"/>
      <c r="D646" s="2332"/>
      <c r="E646" s="2332"/>
      <c r="G646" s="2332"/>
      <c r="H646" s="2332"/>
      <c r="I646" s="2332"/>
      <c r="J646" s="2332">
        <f>J645-[5]Sheet1!$K$482</f>
        <v>0</v>
      </c>
      <c r="K646" s="2333">
        <f t="shared" si="123"/>
        <v>0</v>
      </c>
      <c r="L646" s="2332"/>
      <c r="M646" s="2332"/>
    </row>
    <row r="647" spans="1:13" x14ac:dyDescent="0.2">
      <c r="A647" s="2329"/>
      <c r="B647" s="2330" t="s">
        <v>6953</v>
      </c>
      <c r="C647" s="2332"/>
      <c r="D647" s="2332"/>
      <c r="E647" s="2332"/>
      <c r="G647" s="2332"/>
      <c r="H647" s="2332"/>
      <c r="I647" s="2332"/>
      <c r="J647" s="2332"/>
      <c r="K647" s="2333">
        <f t="shared" si="123"/>
        <v>0</v>
      </c>
      <c r="L647" s="2332"/>
      <c r="M647" s="2332"/>
    </row>
    <row r="648" spans="1:13" x14ac:dyDescent="0.2">
      <c r="A648" s="2329">
        <v>3207</v>
      </c>
      <c r="B648" s="2258" t="s">
        <v>6954</v>
      </c>
      <c r="C648" s="2332">
        <v>20181</v>
      </c>
      <c r="D648" s="2332">
        <v>105000</v>
      </c>
      <c r="E648" s="2332">
        <v>105000</v>
      </c>
      <c r="F648" s="2332">
        <v>10233</v>
      </c>
      <c r="G648" s="2332">
        <f>F648/$F$11*$G$11</f>
        <v>12279.599999999999</v>
      </c>
      <c r="H648" s="2332"/>
      <c r="I648" s="2332">
        <v>0</v>
      </c>
      <c r="J648" s="2332">
        <v>0</v>
      </c>
      <c r="K648" s="2333">
        <f t="shared" si="123"/>
        <v>0</v>
      </c>
      <c r="L648" s="2332">
        <f>ROUND(I648*1.06,0)</f>
        <v>0</v>
      </c>
      <c r="M648" s="2332">
        <f>ROUND(L648*1.06,0)</f>
        <v>0</v>
      </c>
    </row>
    <row r="649" spans="1:13" x14ac:dyDescent="0.2">
      <c r="A649" s="2329">
        <v>3215</v>
      </c>
      <c r="B649" s="2334" t="s">
        <v>6955</v>
      </c>
      <c r="C649" s="2335">
        <v>104218</v>
      </c>
      <c r="D649" s="2335">
        <v>294000</v>
      </c>
      <c r="E649" s="2335">
        <v>294000</v>
      </c>
      <c r="F649" s="2335">
        <v>51095</v>
      </c>
      <c r="G649" s="2335">
        <f>F649/$F$11*$G$11</f>
        <v>61314</v>
      </c>
      <c r="H649" s="2335"/>
      <c r="I649" s="2335">
        <v>0</v>
      </c>
      <c r="J649" s="2335">
        <v>0</v>
      </c>
      <c r="K649" s="2336">
        <f t="shared" si="123"/>
        <v>0</v>
      </c>
      <c r="L649" s="2335">
        <f>ROUND(I649*1.06,0)</f>
        <v>0</v>
      </c>
      <c r="M649" s="2335">
        <f>ROUND(L649*1.06,0)</f>
        <v>0</v>
      </c>
    </row>
    <row r="650" spans="1:13" x14ac:dyDescent="0.2">
      <c r="A650" s="2329"/>
      <c r="B650" s="2330" t="s">
        <v>6956</v>
      </c>
      <c r="C650" s="2349">
        <f>SUM(C648:C649)</f>
        <v>124399</v>
      </c>
      <c r="D650" s="2349">
        <f t="shared" ref="D650:M650" si="132">SUM(D648:D649)</f>
        <v>399000</v>
      </c>
      <c r="E650" s="2349">
        <f t="shared" si="132"/>
        <v>399000</v>
      </c>
      <c r="F650" s="2349">
        <f t="shared" si="132"/>
        <v>61328</v>
      </c>
      <c r="G650" s="2349">
        <f t="shared" si="132"/>
        <v>73593.600000000006</v>
      </c>
      <c r="H650" s="2349"/>
      <c r="I650" s="2349">
        <f t="shared" si="132"/>
        <v>0</v>
      </c>
      <c r="J650" s="2349">
        <v>0</v>
      </c>
      <c r="K650" s="2333">
        <f t="shared" si="123"/>
        <v>0</v>
      </c>
      <c r="L650" s="2349">
        <f t="shared" si="132"/>
        <v>0</v>
      </c>
      <c r="M650" s="2349">
        <f t="shared" si="132"/>
        <v>0</v>
      </c>
    </row>
    <row r="651" spans="1:13" x14ac:dyDescent="0.2">
      <c r="A651" s="2329"/>
      <c r="B651" s="2330"/>
      <c r="C651" s="2332"/>
      <c r="D651" s="2332"/>
      <c r="E651" s="2332"/>
      <c r="G651" s="2332"/>
      <c r="H651" s="2332"/>
      <c r="I651" s="2332"/>
      <c r="J651" s="2332"/>
      <c r="K651" s="2333">
        <f t="shared" si="123"/>
        <v>0</v>
      </c>
      <c r="L651" s="2332"/>
      <c r="M651" s="2332"/>
    </row>
    <row r="652" spans="1:13" x14ac:dyDescent="0.2">
      <c r="A652" s="2329"/>
      <c r="B652" s="2330" t="s">
        <v>6599</v>
      </c>
      <c r="C652" s="2332"/>
      <c r="D652" s="2332"/>
      <c r="E652" s="2332"/>
      <c r="G652" s="2332"/>
      <c r="H652" s="2332"/>
      <c r="I652" s="2332"/>
      <c r="J652" s="2332"/>
      <c r="K652" s="2333">
        <f t="shared" si="123"/>
        <v>0</v>
      </c>
      <c r="L652" s="2332"/>
      <c r="M652" s="2332"/>
    </row>
    <row r="653" spans="1:13" x14ac:dyDescent="0.2">
      <c r="A653" s="2329">
        <v>2113</v>
      </c>
      <c r="B653" s="2258" t="s">
        <v>6958</v>
      </c>
      <c r="C653" s="2332">
        <v>0</v>
      </c>
      <c r="D653" s="2332">
        <v>1050</v>
      </c>
      <c r="E653" s="2332">
        <v>1050</v>
      </c>
      <c r="F653" s="2332">
        <v>3133</v>
      </c>
      <c r="G653" s="2332">
        <f t="shared" ref="G653:G665" si="133">F653/$F$11*$G$11</f>
        <v>3759.6000000000004</v>
      </c>
      <c r="H653" s="2332"/>
      <c r="I653" s="2332">
        <f>ROUND(E653*1.05,0)</f>
        <v>1103</v>
      </c>
      <c r="J653" s="2332">
        <f>[5]Sheet1!$K$486</f>
        <v>375.06</v>
      </c>
      <c r="K653" s="2333">
        <f t="shared" si="123"/>
        <v>375.06</v>
      </c>
      <c r="L653" s="2332">
        <f t="shared" ref="L653:L665" si="134">ROUND(I653*1.06,0)</f>
        <v>1169</v>
      </c>
      <c r="M653" s="2332">
        <f t="shared" ref="M653:M665" si="135">ROUND(L653*1.06,0)</f>
        <v>1239</v>
      </c>
    </row>
    <row r="654" spans="1:13" x14ac:dyDescent="0.2">
      <c r="A654" s="2329">
        <v>2138</v>
      </c>
      <c r="B654" s="2341" t="s">
        <v>625</v>
      </c>
      <c r="C654" s="2332">
        <v>0</v>
      </c>
      <c r="D654" s="2332">
        <v>75000</v>
      </c>
      <c r="E654" s="2332">
        <f>75000</f>
        <v>75000</v>
      </c>
      <c r="F654" s="2332">
        <v>0</v>
      </c>
      <c r="G654" s="2332">
        <f t="shared" si="133"/>
        <v>0</v>
      </c>
      <c r="H654" s="2332"/>
      <c r="I654" s="2332">
        <f>ROUND(E654*1.05,0)</f>
        <v>78750</v>
      </c>
      <c r="J654" s="2332">
        <f>[5]Sheet1!$K$487</f>
        <v>26872.63</v>
      </c>
      <c r="K654" s="2333">
        <f t="shared" si="123"/>
        <v>26872.63</v>
      </c>
      <c r="L654" s="2332">
        <f t="shared" si="134"/>
        <v>83475</v>
      </c>
      <c r="M654" s="2332">
        <f t="shared" si="135"/>
        <v>88484</v>
      </c>
    </row>
    <row r="655" spans="1:13" x14ac:dyDescent="0.2">
      <c r="A655" s="2329">
        <v>2207</v>
      </c>
      <c r="B655" s="2258" t="s">
        <v>7008</v>
      </c>
      <c r="C655" s="2332">
        <v>0</v>
      </c>
      <c r="D655" s="2332">
        <v>1050</v>
      </c>
      <c r="E655" s="2332">
        <v>1050</v>
      </c>
      <c r="F655" s="2332">
        <v>0</v>
      </c>
      <c r="G655" s="2332">
        <f t="shared" si="133"/>
        <v>0</v>
      </c>
      <c r="H655" s="2332"/>
      <c r="I655" s="2332">
        <v>0</v>
      </c>
      <c r="J655" s="2332">
        <v>0</v>
      </c>
      <c r="K655" s="2333">
        <f t="shared" si="123"/>
        <v>0</v>
      </c>
      <c r="L655" s="2332">
        <f t="shared" si="134"/>
        <v>0</v>
      </c>
      <c r="M655" s="2332">
        <f t="shared" si="135"/>
        <v>0</v>
      </c>
    </row>
    <row r="656" spans="1:13" x14ac:dyDescent="0.2">
      <c r="A656" s="2329">
        <v>2212</v>
      </c>
      <c r="B656" s="2258" t="s">
        <v>6963</v>
      </c>
      <c r="C656" s="2332">
        <v>0</v>
      </c>
      <c r="D656" s="2332">
        <v>525</v>
      </c>
      <c r="E656" s="2332">
        <v>525</v>
      </c>
      <c r="F656" s="2332">
        <v>0</v>
      </c>
      <c r="G656" s="2332">
        <f t="shared" si="133"/>
        <v>0</v>
      </c>
      <c r="H656" s="2332"/>
      <c r="I656" s="2332">
        <f>ROUND(E656*1.05,0)</f>
        <v>551</v>
      </c>
      <c r="J656" s="2332">
        <f>[5]Sheet1!$K$489</f>
        <v>187.24</v>
      </c>
      <c r="K656" s="2333">
        <f t="shared" si="123"/>
        <v>187.24</v>
      </c>
      <c r="L656" s="2332">
        <f t="shared" si="134"/>
        <v>584</v>
      </c>
      <c r="M656" s="2332">
        <f t="shared" si="135"/>
        <v>619</v>
      </c>
    </row>
    <row r="657" spans="1:13" x14ac:dyDescent="0.2">
      <c r="A657" s="2353">
        <v>2224</v>
      </c>
      <c r="B657" s="2258" t="s">
        <v>6964</v>
      </c>
      <c r="C657" s="2332">
        <v>18092</v>
      </c>
      <c r="D657" s="2332">
        <v>1659</v>
      </c>
      <c r="E657" s="2332">
        <v>1659</v>
      </c>
      <c r="F657" s="2332">
        <v>1722</v>
      </c>
      <c r="G657" s="2332">
        <f t="shared" si="133"/>
        <v>2066.3999999999996</v>
      </c>
      <c r="H657" s="2332"/>
      <c r="I657" s="2332">
        <f>ROUND(E657*1.05,0)</f>
        <v>1742</v>
      </c>
      <c r="J657" s="2332">
        <f>[5]Sheet1!$K$490</f>
        <v>593.22</v>
      </c>
      <c r="K657" s="2333">
        <f t="shared" si="123"/>
        <v>593.22</v>
      </c>
      <c r="L657" s="2332">
        <f t="shared" si="134"/>
        <v>1847</v>
      </c>
      <c r="M657" s="2332">
        <f t="shared" si="135"/>
        <v>1958</v>
      </c>
    </row>
    <row r="658" spans="1:13" x14ac:dyDescent="0.2">
      <c r="A658" s="2329">
        <v>2225</v>
      </c>
      <c r="B658" s="2258" t="s">
        <v>6965</v>
      </c>
      <c r="C658" s="2332">
        <v>148019</v>
      </c>
      <c r="D658" s="2332">
        <v>567000</v>
      </c>
      <c r="E658" s="2332">
        <v>567000</v>
      </c>
      <c r="F658" s="2332">
        <f>1793+4995</f>
        <v>6788</v>
      </c>
      <c r="G658" s="2332">
        <f t="shared" si="133"/>
        <v>8145.5999999999995</v>
      </c>
      <c r="H658" s="2332"/>
      <c r="I658" s="2332">
        <f>ROUND(E658*1.05,0)</f>
        <v>595350</v>
      </c>
      <c r="J658" s="2332">
        <f>[5]Sheet1!$K$491</f>
        <v>206246.29</v>
      </c>
      <c r="K658" s="2333">
        <f t="shared" si="123"/>
        <v>206246.29</v>
      </c>
      <c r="L658" s="2332">
        <f t="shared" si="134"/>
        <v>631071</v>
      </c>
      <c r="M658" s="2332">
        <f t="shared" si="135"/>
        <v>668935</v>
      </c>
    </row>
    <row r="659" spans="1:13" x14ac:dyDescent="0.2">
      <c r="A659" s="2353">
        <v>2227</v>
      </c>
      <c r="B659" s="2258" t="s">
        <v>231</v>
      </c>
      <c r="C659" s="2332">
        <v>777</v>
      </c>
      <c r="D659" s="2332">
        <v>1050</v>
      </c>
      <c r="E659" s="2332">
        <v>1050</v>
      </c>
      <c r="F659" s="2332">
        <v>0</v>
      </c>
      <c r="G659" s="2332">
        <f t="shared" si="133"/>
        <v>0</v>
      </c>
      <c r="H659" s="2332"/>
      <c r="I659" s="2332">
        <f>ROUND(E659*1.05,0)</f>
        <v>1103</v>
      </c>
      <c r="J659" s="2332">
        <f>[5]Sheet1!$K$492</f>
        <v>375.06</v>
      </c>
      <c r="K659" s="2333">
        <f t="shared" si="123"/>
        <v>375.06</v>
      </c>
      <c r="L659" s="2332">
        <f t="shared" si="134"/>
        <v>1169</v>
      </c>
      <c r="M659" s="2332">
        <f t="shared" si="135"/>
        <v>1239</v>
      </c>
    </row>
    <row r="660" spans="1:13" x14ac:dyDescent="0.2">
      <c r="A660" s="2329">
        <v>2233</v>
      </c>
      <c r="B660" s="2258" t="s">
        <v>6966</v>
      </c>
      <c r="C660" s="2332">
        <v>7620</v>
      </c>
      <c r="D660" s="2332">
        <v>25000</v>
      </c>
      <c r="E660" s="2332">
        <v>25000</v>
      </c>
      <c r="F660" s="2332">
        <v>0</v>
      </c>
      <c r="G660" s="2332">
        <f t="shared" si="133"/>
        <v>0</v>
      </c>
      <c r="H660" s="2332"/>
      <c r="I660" s="2332">
        <v>0</v>
      </c>
      <c r="J660" s="2332">
        <v>0</v>
      </c>
      <c r="K660" s="2333">
        <f t="shared" si="123"/>
        <v>0</v>
      </c>
      <c r="L660" s="2332">
        <f t="shared" si="134"/>
        <v>0</v>
      </c>
      <c r="M660" s="2332">
        <f t="shared" si="135"/>
        <v>0</v>
      </c>
    </row>
    <row r="661" spans="1:13" x14ac:dyDescent="0.2">
      <c r="A661" s="2329">
        <v>2238</v>
      </c>
      <c r="B661" s="2258" t="s">
        <v>6967</v>
      </c>
      <c r="C661" s="2332">
        <v>11761</v>
      </c>
      <c r="D661" s="2332">
        <v>50000</v>
      </c>
      <c r="E661" s="2332">
        <v>50000</v>
      </c>
      <c r="F661" s="2332">
        <v>22750</v>
      </c>
      <c r="G661" s="2332">
        <f t="shared" si="133"/>
        <v>27300</v>
      </c>
      <c r="H661" s="2332"/>
      <c r="I661" s="2332">
        <f>ROUND(E661*1.05,0)</f>
        <v>52500</v>
      </c>
      <c r="J661" s="2332">
        <f>[5]Sheet1!$K$493</f>
        <v>12473.54</v>
      </c>
      <c r="K661" s="2333">
        <f t="shared" ref="K661:K724" si="136">J661</f>
        <v>12473.54</v>
      </c>
      <c r="L661" s="2332">
        <f t="shared" si="134"/>
        <v>55650</v>
      </c>
      <c r="M661" s="2332">
        <f t="shared" si="135"/>
        <v>58989</v>
      </c>
    </row>
    <row r="662" spans="1:13" x14ac:dyDescent="0.2">
      <c r="A662" s="2353">
        <v>2240</v>
      </c>
      <c r="B662" s="2258" t="s">
        <v>7073</v>
      </c>
      <c r="C662" s="2332">
        <f>344167-136329</f>
        <v>207838</v>
      </c>
      <c r="D662" s="2332">
        <v>457500</v>
      </c>
      <c r="E662" s="2332">
        <v>457500</v>
      </c>
      <c r="F662" s="2332">
        <f>155451+190138</f>
        <v>345589</v>
      </c>
      <c r="G662" s="2332">
        <f t="shared" si="133"/>
        <v>414706.80000000005</v>
      </c>
      <c r="H662" s="2332"/>
      <c r="I662" s="2332">
        <f>ROUND(E662*1.05,0)</f>
        <v>480375</v>
      </c>
      <c r="J662" s="2332">
        <f>[5]Sheet1!$K$494</f>
        <v>163918.97</v>
      </c>
      <c r="K662" s="2333">
        <f t="shared" si="136"/>
        <v>163918.97</v>
      </c>
      <c r="L662" s="2332">
        <f t="shared" si="134"/>
        <v>509198</v>
      </c>
      <c r="M662" s="2332">
        <f t="shared" si="135"/>
        <v>539750</v>
      </c>
    </row>
    <row r="663" spans="1:13" x14ac:dyDescent="0.2">
      <c r="A663" s="2329">
        <v>2246</v>
      </c>
      <c r="B663" s="2258" t="s">
        <v>6968</v>
      </c>
      <c r="C663" s="2332">
        <v>2329</v>
      </c>
      <c r="D663" s="2332">
        <v>1050</v>
      </c>
      <c r="E663" s="2332">
        <v>1050</v>
      </c>
      <c r="F663" s="2332">
        <v>3360</v>
      </c>
      <c r="G663" s="2332">
        <f t="shared" si="133"/>
        <v>4032</v>
      </c>
      <c r="H663" s="2332"/>
      <c r="I663" s="2332">
        <f>ROUND(E663*1.05,0)</f>
        <v>1103</v>
      </c>
      <c r="J663" s="2332">
        <f>[5]Sheet1!$K$495</f>
        <v>375.06</v>
      </c>
      <c r="K663" s="2333">
        <f t="shared" si="136"/>
        <v>375.06</v>
      </c>
      <c r="L663" s="2332">
        <f t="shared" si="134"/>
        <v>1169</v>
      </c>
      <c r="M663" s="2332">
        <f t="shared" si="135"/>
        <v>1239</v>
      </c>
    </row>
    <row r="664" spans="1:13" x14ac:dyDescent="0.2">
      <c r="A664" s="2329">
        <v>2256</v>
      </c>
      <c r="B664" s="2258" t="s">
        <v>6482</v>
      </c>
      <c r="C664" s="2332">
        <v>89825</v>
      </c>
      <c r="D664" s="2332">
        <v>27038</v>
      </c>
      <c r="E664" s="2332">
        <v>27038</v>
      </c>
      <c r="F664" s="2332">
        <v>910368</v>
      </c>
      <c r="G664" s="2332">
        <f t="shared" si="133"/>
        <v>1092441.6000000001</v>
      </c>
      <c r="H664" s="2332"/>
      <c r="I664" s="2332">
        <v>0</v>
      </c>
      <c r="J664" s="2332">
        <v>0</v>
      </c>
      <c r="K664" s="2333">
        <f t="shared" si="136"/>
        <v>0</v>
      </c>
      <c r="L664" s="2332">
        <f t="shared" si="134"/>
        <v>0</v>
      </c>
      <c r="M664" s="2332">
        <f t="shared" si="135"/>
        <v>0</v>
      </c>
    </row>
    <row r="665" spans="1:13" x14ac:dyDescent="0.2">
      <c r="A665" s="2353">
        <v>2305</v>
      </c>
      <c r="B665" s="2334" t="s">
        <v>6970</v>
      </c>
      <c r="C665" s="2335">
        <v>151</v>
      </c>
      <c r="D665" s="2335">
        <v>1050</v>
      </c>
      <c r="E665" s="2335">
        <v>1050</v>
      </c>
      <c r="F665" s="2335">
        <v>0</v>
      </c>
      <c r="G665" s="2335">
        <f t="shared" si="133"/>
        <v>0</v>
      </c>
      <c r="H665" s="2335"/>
      <c r="I665" s="2335">
        <f>ROUND(E665*1.05,0)</f>
        <v>1103</v>
      </c>
      <c r="J665" s="2335">
        <f>[5]Sheet1!$K$497</f>
        <v>375.06</v>
      </c>
      <c r="K665" s="2336">
        <f t="shared" si="136"/>
        <v>375.06</v>
      </c>
      <c r="L665" s="2335">
        <f t="shared" si="134"/>
        <v>1169</v>
      </c>
      <c r="M665" s="2335">
        <f t="shared" si="135"/>
        <v>1239</v>
      </c>
    </row>
    <row r="666" spans="1:13" x14ac:dyDescent="0.2">
      <c r="A666" s="2329"/>
      <c r="B666" s="2330" t="s">
        <v>6614</v>
      </c>
      <c r="C666" s="2349">
        <f t="shared" ref="C666:M666" si="137">SUM(C653:C665)</f>
        <v>486412</v>
      </c>
      <c r="D666" s="2349">
        <f t="shared" si="137"/>
        <v>1208972</v>
      </c>
      <c r="E666" s="2349">
        <f t="shared" si="137"/>
        <v>1208972</v>
      </c>
      <c r="F666" s="2349">
        <f t="shared" si="137"/>
        <v>1293710</v>
      </c>
      <c r="G666" s="2349">
        <f t="shared" si="137"/>
        <v>1552452</v>
      </c>
      <c r="H666" s="2349"/>
      <c r="I666" s="2349">
        <f t="shared" si="137"/>
        <v>1213680</v>
      </c>
      <c r="J666" s="2349">
        <f>SUM(J653:J665)</f>
        <v>411792.13</v>
      </c>
      <c r="K666" s="2333">
        <f t="shared" si="136"/>
        <v>411792.13</v>
      </c>
      <c r="L666" s="2349">
        <f t="shared" si="137"/>
        <v>1286501</v>
      </c>
      <c r="M666" s="2349">
        <f t="shared" si="137"/>
        <v>1363691</v>
      </c>
    </row>
    <row r="667" spans="1:13" x14ac:dyDescent="0.2">
      <c r="A667" s="2329"/>
      <c r="B667" s="2330"/>
      <c r="C667" s="2349"/>
      <c r="D667" s="2349"/>
      <c r="E667" s="2349"/>
      <c r="F667" s="2349"/>
      <c r="G667" s="2349"/>
      <c r="H667" s="2349"/>
      <c r="I667" s="2349"/>
      <c r="J667" s="2349"/>
      <c r="K667" s="2333">
        <f t="shared" si="136"/>
        <v>0</v>
      </c>
      <c r="L667" s="2349"/>
      <c r="M667" s="2349"/>
    </row>
    <row r="668" spans="1:13" x14ac:dyDescent="0.2">
      <c r="A668" s="2329"/>
      <c r="B668" s="2330" t="s">
        <v>7074</v>
      </c>
      <c r="C668" s="2349"/>
      <c r="D668" s="2349"/>
      <c r="E668" s="2349"/>
      <c r="F668" s="2349"/>
      <c r="G668" s="2349"/>
      <c r="H668" s="2349"/>
      <c r="I668" s="2349"/>
      <c r="J668" s="2349"/>
      <c r="K668" s="2333">
        <f t="shared" si="136"/>
        <v>0</v>
      </c>
      <c r="L668" s="2349"/>
      <c r="M668" s="2349"/>
    </row>
    <row r="669" spans="1:13" x14ac:dyDescent="0.2">
      <c r="A669" s="2329"/>
      <c r="B669" s="2334" t="s">
        <v>6686</v>
      </c>
      <c r="C669" s="2335">
        <v>0</v>
      </c>
      <c r="D669" s="2335">
        <v>0</v>
      </c>
      <c r="E669" s="2335">
        <v>0</v>
      </c>
      <c r="F669" s="2335">
        <v>0</v>
      </c>
      <c r="G669" s="2335">
        <v>0</v>
      </c>
      <c r="H669" s="2335"/>
      <c r="I669" s="2335">
        <v>2322154</v>
      </c>
      <c r="J669" s="2335">
        <f>[5]Sheet1!$K$485</f>
        <v>2332154</v>
      </c>
      <c r="K669" s="2336">
        <f t="shared" si="136"/>
        <v>2332154</v>
      </c>
      <c r="L669" s="2335">
        <v>2322154</v>
      </c>
      <c r="M669" s="2335">
        <v>2322154</v>
      </c>
    </row>
    <row r="670" spans="1:13" x14ac:dyDescent="0.2">
      <c r="A670" s="2329"/>
      <c r="B670" s="2330" t="s">
        <v>7075</v>
      </c>
      <c r="C670" s="2349">
        <f t="shared" ref="C670:M670" si="138">SUM(C669)</f>
        <v>0</v>
      </c>
      <c r="D670" s="2349">
        <f t="shared" si="138"/>
        <v>0</v>
      </c>
      <c r="E670" s="2349">
        <f t="shared" si="138"/>
        <v>0</v>
      </c>
      <c r="F670" s="2349">
        <f t="shared" si="138"/>
        <v>0</v>
      </c>
      <c r="G670" s="2349">
        <f t="shared" si="138"/>
        <v>0</v>
      </c>
      <c r="H670" s="2349"/>
      <c r="I670" s="2349">
        <f t="shared" si="138"/>
        <v>2322154</v>
      </c>
      <c r="J670" s="2349">
        <f>J669</f>
        <v>2332154</v>
      </c>
      <c r="K670" s="2333">
        <f t="shared" si="136"/>
        <v>2332154</v>
      </c>
      <c r="L670" s="2349">
        <f t="shared" si="138"/>
        <v>2322154</v>
      </c>
      <c r="M670" s="2349">
        <f t="shared" si="138"/>
        <v>2322154</v>
      </c>
    </row>
    <row r="671" spans="1:13" x14ac:dyDescent="0.2">
      <c r="A671" s="2329"/>
      <c r="B671" s="2330"/>
      <c r="C671" s="2349"/>
      <c r="D671" s="2349"/>
      <c r="E671" s="2349"/>
      <c r="F671" s="2349"/>
      <c r="G671" s="2349"/>
      <c r="H671" s="2349"/>
      <c r="I671" s="2349"/>
      <c r="J671" s="2349">
        <f>J670+J666-[5]Sheet1!$K$498</f>
        <v>-9688.6100000008009</v>
      </c>
      <c r="K671" s="2333">
        <f t="shared" si="136"/>
        <v>-9688.6100000008009</v>
      </c>
      <c r="L671" s="2349"/>
      <c r="M671" s="2349"/>
    </row>
    <row r="672" spans="1:13" x14ac:dyDescent="0.2">
      <c r="A672" s="2345"/>
      <c r="B672" s="2338"/>
      <c r="C672" s="2380"/>
      <c r="D672" s="2380"/>
      <c r="E672" s="2380"/>
      <c r="F672" s="2380"/>
      <c r="G672" s="2380"/>
      <c r="H672" s="2380"/>
      <c r="I672" s="2380"/>
      <c r="J672" s="2380"/>
      <c r="K672" s="2336">
        <f t="shared" si="136"/>
        <v>0</v>
      </c>
      <c r="L672" s="2380"/>
      <c r="M672" s="2380"/>
    </row>
    <row r="673" spans="1:13" x14ac:dyDescent="0.2">
      <c r="A673" s="2341"/>
      <c r="B673" s="2330" t="s">
        <v>6972</v>
      </c>
      <c r="C673" s="2351">
        <f t="shared" ref="C673:M673" si="139">C645+C650+C666+C670</f>
        <v>1027618</v>
      </c>
      <c r="D673" s="2351">
        <f t="shared" si="139"/>
        <v>2113810</v>
      </c>
      <c r="E673" s="2351">
        <f t="shared" si="139"/>
        <v>2113810</v>
      </c>
      <c r="F673" s="2351">
        <f t="shared" si="139"/>
        <v>1759371</v>
      </c>
      <c r="G673" s="2351">
        <f t="shared" si="139"/>
        <v>2111245.2000000002</v>
      </c>
      <c r="H673" s="2351"/>
      <c r="I673" s="2351">
        <f t="shared" si="139"/>
        <v>4007613</v>
      </c>
      <c r="J673" s="2351">
        <f>J645+J650+J666+J670</f>
        <v>2939676.71</v>
      </c>
      <c r="K673" s="2333">
        <f t="shared" si="136"/>
        <v>2939676.71</v>
      </c>
      <c r="L673" s="2351">
        <f t="shared" si="139"/>
        <v>4118177</v>
      </c>
      <c r="M673" s="2351">
        <f t="shared" si="139"/>
        <v>4236130</v>
      </c>
    </row>
    <row r="674" spans="1:13" x14ac:dyDescent="0.2">
      <c r="A674" s="2341"/>
      <c r="B674" s="2330"/>
      <c r="C674" s="2351"/>
      <c r="D674" s="2351"/>
      <c r="E674" s="2351"/>
      <c r="G674" s="2332"/>
      <c r="H674" s="2332"/>
      <c r="I674" s="2332"/>
      <c r="J674" s="2332"/>
      <c r="K674" s="2333">
        <f t="shared" si="136"/>
        <v>0</v>
      </c>
      <c r="L674" s="2351"/>
      <c r="M674" s="2351"/>
    </row>
    <row r="675" spans="1:13" x14ac:dyDescent="0.2">
      <c r="A675" s="2345"/>
      <c r="B675" s="2330" t="s">
        <v>7076</v>
      </c>
      <c r="C675" s="2371"/>
      <c r="D675" s="2371"/>
      <c r="E675" s="2371"/>
      <c r="F675" s="2371"/>
      <c r="G675" s="2371"/>
      <c r="H675" s="2371"/>
      <c r="I675" s="2371"/>
      <c r="J675" s="2371"/>
      <c r="K675" s="2333">
        <f t="shared" si="136"/>
        <v>0</v>
      </c>
      <c r="L675" s="2371"/>
      <c r="M675" s="2371"/>
    </row>
    <row r="676" spans="1:13" x14ac:dyDescent="0.2">
      <c r="A676" s="2399" t="s">
        <v>4888</v>
      </c>
      <c r="B676" s="2399" t="s">
        <v>6613</v>
      </c>
      <c r="C676" s="2371"/>
      <c r="D676" s="2371"/>
      <c r="E676" s="2371"/>
      <c r="F676" s="2371"/>
      <c r="G676" s="2371"/>
      <c r="H676" s="2371"/>
      <c r="I676" s="2400">
        <v>39373</v>
      </c>
      <c r="J676" s="2371">
        <f>[5]Sheet1!$K$60</f>
        <v>13435.15</v>
      </c>
      <c r="K676" s="2333">
        <f t="shared" si="136"/>
        <v>13435.15</v>
      </c>
      <c r="L676" s="2371"/>
      <c r="M676" s="2371"/>
    </row>
    <row r="677" spans="1:13" x14ac:dyDescent="0.2">
      <c r="A677" s="2399" t="s">
        <v>5149</v>
      </c>
      <c r="B677" s="2399" t="s">
        <v>6613</v>
      </c>
      <c r="C677" s="2371"/>
      <c r="D677" s="2371"/>
      <c r="E677" s="2371"/>
      <c r="F677" s="2371"/>
      <c r="G677" s="2371"/>
      <c r="H677" s="2371"/>
      <c r="I677" s="2400">
        <f>[5]Sheet1!$C$328</f>
        <v>0</v>
      </c>
      <c r="J677" s="2371">
        <f>[5]Sheet1!$K$328</f>
        <v>1443165.54</v>
      </c>
      <c r="K677" s="2333">
        <f t="shared" si="136"/>
        <v>1443165.54</v>
      </c>
      <c r="L677" s="2371"/>
      <c r="M677" s="2371"/>
    </row>
    <row r="678" spans="1:13" x14ac:dyDescent="0.2">
      <c r="A678" s="2341"/>
      <c r="B678" s="2258" t="str">
        <f>B677</f>
        <v>Fuel &amp; Oil - Ve</v>
      </c>
      <c r="C678" s="2371"/>
      <c r="D678" s="2371"/>
      <c r="E678" s="2371"/>
      <c r="F678" s="2371"/>
      <c r="G678" s="2371"/>
      <c r="H678" s="2371"/>
      <c r="I678" s="2371">
        <f>[5]Sheet1!$C$496</f>
        <v>28390</v>
      </c>
      <c r="J678" s="2371">
        <f>[5]Sheet1!$K$496</f>
        <v>9688.61</v>
      </c>
      <c r="K678" s="2333">
        <f t="shared" si="136"/>
        <v>9688.61</v>
      </c>
      <c r="L678" s="2371"/>
      <c r="M678" s="2371"/>
    </row>
    <row r="679" spans="1:13" x14ac:dyDescent="0.2">
      <c r="A679" s="2399" t="s">
        <v>7077</v>
      </c>
      <c r="B679" s="2399" t="s">
        <v>6613</v>
      </c>
      <c r="C679" s="2371"/>
      <c r="D679" s="2371"/>
      <c r="E679" s="2371"/>
      <c r="F679" s="2371"/>
      <c r="G679" s="2371"/>
      <c r="H679" s="2371"/>
      <c r="I679" s="2371">
        <f>[5]Sheet1!$E$965</f>
        <v>3596.63</v>
      </c>
      <c r="J679" s="2371">
        <f>[5]Sheet1!$K$965</f>
        <v>7193.26</v>
      </c>
      <c r="K679" s="2333">
        <f t="shared" si="136"/>
        <v>7193.26</v>
      </c>
      <c r="L679" s="2371"/>
      <c r="M679" s="2371"/>
    </row>
    <row r="680" spans="1:13" x14ac:dyDescent="0.2">
      <c r="A680" s="2399" t="s">
        <v>5699</v>
      </c>
      <c r="B680" s="2399" t="s">
        <v>6613</v>
      </c>
      <c r="C680" s="2371"/>
      <c r="D680" s="2371"/>
      <c r="E680" s="2371"/>
      <c r="F680" s="2371"/>
      <c r="G680" s="2371"/>
      <c r="H680" s="2371"/>
      <c r="I680" s="2371">
        <f>[5]Sheet1!$C$1087</f>
        <v>448810</v>
      </c>
      <c r="J680" s="2371">
        <f>[5]Sheet1!$K$1087</f>
        <v>55805.86</v>
      </c>
      <c r="K680" s="2333">
        <f t="shared" si="136"/>
        <v>55805.86</v>
      </c>
      <c r="L680" s="2371"/>
      <c r="M680" s="2371"/>
    </row>
    <row r="681" spans="1:13" x14ac:dyDescent="0.2">
      <c r="A681" s="2399" t="s">
        <v>7078</v>
      </c>
      <c r="B681" s="2399" t="s">
        <v>6613</v>
      </c>
      <c r="C681" s="2371"/>
      <c r="D681" s="2371"/>
      <c r="E681" s="2371"/>
      <c r="F681" s="2371"/>
      <c r="G681" s="2371"/>
      <c r="H681" s="2371"/>
      <c r="I681" s="2400">
        <v>541628</v>
      </c>
      <c r="J681" s="2371">
        <f>[5]Sheet1!$K$1173</f>
        <v>16183.18</v>
      </c>
      <c r="K681" s="2333">
        <f t="shared" si="136"/>
        <v>16183.18</v>
      </c>
      <c r="L681" s="2371"/>
      <c r="M681" s="2371"/>
    </row>
    <row r="682" spans="1:13" x14ac:dyDescent="0.2">
      <c r="A682" s="2399" t="s">
        <v>7079</v>
      </c>
      <c r="B682" s="2399" t="s">
        <v>6613</v>
      </c>
      <c r="C682" s="2371"/>
      <c r="D682" s="2371"/>
      <c r="E682" s="2371"/>
      <c r="F682" s="2371"/>
      <c r="G682" s="2371"/>
      <c r="H682" s="2371"/>
      <c r="I682" s="2400">
        <v>569999</v>
      </c>
      <c r="J682" s="2371">
        <f>[5]Sheet1!$K$1283</f>
        <v>36920.519999999997</v>
      </c>
      <c r="K682" s="2333">
        <f t="shared" si="136"/>
        <v>36920.519999999997</v>
      </c>
      <c r="L682" s="2371"/>
      <c r="M682" s="2371"/>
    </row>
    <row r="683" spans="1:13" x14ac:dyDescent="0.2">
      <c r="A683" s="2399" t="s">
        <v>7080</v>
      </c>
      <c r="B683" s="2399" t="s">
        <v>6613</v>
      </c>
      <c r="C683" s="2371"/>
      <c r="D683" s="2371"/>
      <c r="E683" s="2371"/>
      <c r="F683" s="2371"/>
      <c r="G683" s="2371"/>
      <c r="H683" s="2371"/>
      <c r="I683" s="2371">
        <f>[5]Sheet1!$C$1339</f>
        <v>28665</v>
      </c>
      <c r="J683" s="2371"/>
      <c r="K683" s="2333">
        <f t="shared" si="136"/>
        <v>0</v>
      </c>
      <c r="L683" s="2371"/>
      <c r="M683" s="2371"/>
    </row>
    <row r="684" spans="1:13" x14ac:dyDescent="0.2">
      <c r="A684" s="2399" t="s">
        <v>5868</v>
      </c>
      <c r="B684" s="2399" t="s">
        <v>6613</v>
      </c>
      <c r="C684" s="2371"/>
      <c r="D684" s="2371"/>
      <c r="E684" s="2371"/>
      <c r="F684" s="2371"/>
      <c r="G684" s="2371"/>
      <c r="H684" s="2371"/>
      <c r="I684" s="2371">
        <f>[5]Sheet1!$C$1431</f>
        <v>35487</v>
      </c>
      <c r="J684" s="2371">
        <f>[5]Sheet1!$K$1431</f>
        <v>47589.1</v>
      </c>
      <c r="K684" s="2333">
        <f t="shared" si="136"/>
        <v>47589.1</v>
      </c>
      <c r="L684" s="2371"/>
      <c r="M684" s="2371"/>
    </row>
    <row r="685" spans="1:13" x14ac:dyDescent="0.2">
      <c r="A685" s="2399" t="s">
        <v>5917</v>
      </c>
      <c r="B685" s="2399" t="s">
        <v>6613</v>
      </c>
      <c r="C685" s="2371"/>
      <c r="D685" s="2371"/>
      <c r="E685" s="2371"/>
      <c r="F685" s="2371"/>
      <c r="G685" s="2371"/>
      <c r="H685" s="2371"/>
      <c r="I685" s="2371">
        <f>[5]Sheet1!$C$1507</f>
        <v>81396</v>
      </c>
      <c r="J685" s="2371">
        <f>[5]Sheet1!$K$1507</f>
        <v>28534.75</v>
      </c>
      <c r="K685" s="2336">
        <f t="shared" si="136"/>
        <v>28534.75</v>
      </c>
      <c r="L685" s="2371"/>
      <c r="M685" s="2371"/>
    </row>
    <row r="686" spans="1:13" x14ac:dyDescent="0.2">
      <c r="A686" s="2401"/>
      <c r="B686" s="2372"/>
      <c r="C686" s="2402"/>
      <c r="D686" s="2402"/>
      <c r="E686" s="2402"/>
      <c r="F686" s="2402"/>
      <c r="G686" s="2402"/>
      <c r="H686" s="2402"/>
      <c r="I686" s="2402">
        <f>SUM(I676:I685)</f>
        <v>1777344.63</v>
      </c>
      <c r="J686" s="2402">
        <f>SUM(J676:J685)</f>
        <v>1658515.9700000002</v>
      </c>
      <c r="K686" s="2333">
        <f t="shared" si="136"/>
        <v>1658515.9700000002</v>
      </c>
      <c r="L686" s="2402"/>
      <c r="M686" s="2402"/>
    </row>
    <row r="687" spans="1:13" x14ac:dyDescent="0.2">
      <c r="B687" s="2330" t="s">
        <v>7081</v>
      </c>
      <c r="C687" s="2364"/>
      <c r="D687" s="2364"/>
      <c r="E687" s="2364"/>
      <c r="G687" s="2332"/>
      <c r="H687" s="2332"/>
      <c r="I687" s="2332"/>
      <c r="J687" s="2332">
        <f>J686-[5]Sheet1!$K$60-[5]Sheet1!$K$328-[5]Sheet1!$K$450-[5]Sheet1!$K$496-[5]Sheet1!$K$571-[5]Sheet1!$K$767-[5]Sheet1!$K$965-[5]Sheet1!$K$1087-[5]Sheet1!$K$1173-[5]Sheet1!$K$1283-[5]Sheet1!$K$1339-[5]Sheet1!$K$1431-[5]Sheet1!$K$1507</f>
        <v>2.6921043172478676E-10</v>
      </c>
      <c r="K687" s="2333">
        <f t="shared" si="136"/>
        <v>2.6921043172478676E-10</v>
      </c>
      <c r="L687" s="2364"/>
      <c r="M687" s="2364"/>
    </row>
    <row r="688" spans="1:13" x14ac:dyDescent="0.2">
      <c r="A688" s="2403"/>
      <c r="B688" s="2334" t="s">
        <v>7082</v>
      </c>
      <c r="C688" s="2335">
        <v>0</v>
      </c>
      <c r="D688" s="2335">
        <v>0</v>
      </c>
      <c r="E688" s="2335">
        <v>0</v>
      </c>
      <c r="F688" s="2335">
        <v>0</v>
      </c>
      <c r="G688" s="2335">
        <f>F688/$F$11*$G$11</f>
        <v>0</v>
      </c>
      <c r="H688" s="2335"/>
      <c r="I688" s="2335">
        <f>G688/$F$11*$G$11</f>
        <v>0</v>
      </c>
      <c r="J688" s="2335">
        <v>0</v>
      </c>
      <c r="K688" s="2336">
        <f t="shared" si="136"/>
        <v>0</v>
      </c>
      <c r="L688" s="2335">
        <v>0</v>
      </c>
      <c r="M688" s="2335">
        <v>0</v>
      </c>
    </row>
    <row r="689" spans="1:13" x14ac:dyDescent="0.2">
      <c r="A689" s="2404"/>
      <c r="B689" s="2330" t="s">
        <v>7083</v>
      </c>
      <c r="C689" s="2351">
        <f t="shared" ref="C689:M689" si="140">SUM(C688)</f>
        <v>0</v>
      </c>
      <c r="D689" s="2351">
        <f t="shared" si="140"/>
        <v>0</v>
      </c>
      <c r="E689" s="2351">
        <f t="shared" si="140"/>
        <v>0</v>
      </c>
      <c r="F689" s="2351">
        <f t="shared" si="140"/>
        <v>0</v>
      </c>
      <c r="G689" s="2351">
        <f t="shared" si="140"/>
        <v>0</v>
      </c>
      <c r="H689" s="2351"/>
      <c r="I689" s="2351">
        <f t="shared" si="140"/>
        <v>0</v>
      </c>
      <c r="J689" s="2351">
        <v>0</v>
      </c>
      <c r="K689" s="2333">
        <f t="shared" si="136"/>
        <v>0</v>
      </c>
      <c r="L689" s="2351">
        <f t="shared" si="140"/>
        <v>0</v>
      </c>
      <c r="M689" s="2351">
        <f t="shared" si="140"/>
        <v>0</v>
      </c>
    </row>
    <row r="690" spans="1:13" x14ac:dyDescent="0.2">
      <c r="A690" s="2329"/>
      <c r="B690" s="2330"/>
      <c r="C690" s="2364"/>
      <c r="D690" s="2364"/>
      <c r="E690" s="2364"/>
      <c r="G690" s="2332"/>
      <c r="H690" s="2332"/>
      <c r="I690" s="2332"/>
      <c r="J690" s="2332"/>
      <c r="K690" s="2333">
        <f t="shared" si="136"/>
        <v>0</v>
      </c>
      <c r="L690" s="2364"/>
      <c r="M690" s="2364"/>
    </row>
    <row r="691" spans="1:13" x14ac:dyDescent="0.2">
      <c r="A691" s="2353"/>
      <c r="B691" s="2330" t="s">
        <v>6974</v>
      </c>
      <c r="C691" s="2332"/>
      <c r="D691" s="2332"/>
      <c r="E691" s="2332"/>
      <c r="G691" s="2332"/>
      <c r="H691" s="2332"/>
      <c r="I691" s="2332"/>
      <c r="J691" s="2332"/>
      <c r="K691" s="2333">
        <f t="shared" si="136"/>
        <v>0</v>
      </c>
      <c r="L691" s="2332"/>
      <c r="M691" s="2332"/>
    </row>
    <row r="692" spans="1:13" x14ac:dyDescent="0.2">
      <c r="A692" s="2329">
        <v>4106</v>
      </c>
      <c r="B692" s="2258" t="s">
        <v>6975</v>
      </c>
      <c r="C692" s="2332">
        <v>39912</v>
      </c>
      <c r="D692" s="2332">
        <v>0</v>
      </c>
      <c r="E692" s="2332">
        <v>0</v>
      </c>
      <c r="F692" s="2332">
        <v>0</v>
      </c>
      <c r="G692" s="2332">
        <v>0</v>
      </c>
      <c r="H692" s="2332"/>
      <c r="I692" s="2332">
        <f>ROUND(E692*1.08,0)</f>
        <v>0</v>
      </c>
      <c r="J692" s="2332"/>
      <c r="K692" s="2333">
        <f t="shared" si="136"/>
        <v>0</v>
      </c>
      <c r="L692" s="2332">
        <f>ROUND(I692*1.08,0)</f>
        <v>0</v>
      </c>
      <c r="M692" s="2332">
        <f>ROUND(L692*1.08,0)</f>
        <v>0</v>
      </c>
    </row>
    <row r="693" spans="1:13" x14ac:dyDescent="0.2">
      <c r="A693" s="2329">
        <v>4209</v>
      </c>
      <c r="B693" s="2258" t="s">
        <v>7022</v>
      </c>
      <c r="C693" s="2332">
        <v>1363</v>
      </c>
      <c r="D693" s="2332">
        <v>0</v>
      </c>
      <c r="E693" s="2332">
        <v>0</v>
      </c>
      <c r="F693" s="2332">
        <v>0</v>
      </c>
      <c r="G693" s="2332">
        <v>0</v>
      </c>
      <c r="H693" s="2332"/>
      <c r="I693" s="2332">
        <f>ROUND(E693*1.08,0)</f>
        <v>0</v>
      </c>
      <c r="J693" s="2332"/>
      <c r="K693" s="2333">
        <f t="shared" si="136"/>
        <v>0</v>
      </c>
      <c r="L693" s="2332">
        <f>ROUND(I693*1.08,0)</f>
        <v>0</v>
      </c>
      <c r="M693" s="2332">
        <f>ROUND(L693*1.08,0)</f>
        <v>0</v>
      </c>
    </row>
    <row r="694" spans="1:13" x14ac:dyDescent="0.2">
      <c r="A694" s="2353">
        <v>4204</v>
      </c>
      <c r="B694" s="2258" t="s">
        <v>6976</v>
      </c>
      <c r="C694" s="2332">
        <v>2531</v>
      </c>
      <c r="D694" s="2332">
        <v>11859</v>
      </c>
      <c r="E694" s="2332">
        <v>11859</v>
      </c>
      <c r="F694" s="2332">
        <v>11859</v>
      </c>
      <c r="G694" s="2332">
        <f>+F694</f>
        <v>11859</v>
      </c>
      <c r="H694" s="2332"/>
      <c r="I694" s="2332">
        <f>ROUND(E694*1.08,0)</f>
        <v>12808</v>
      </c>
      <c r="J694" s="2332">
        <f>[5]Sheet1!$K$506</f>
        <v>4370.67</v>
      </c>
      <c r="K694" s="2333">
        <f t="shared" si="136"/>
        <v>4370.67</v>
      </c>
      <c r="L694" s="2332">
        <f>ROUND(I694*1.08,0)</f>
        <v>13833</v>
      </c>
      <c r="M694" s="2332">
        <f>ROUND(L694*1.08,0)</f>
        <v>14940</v>
      </c>
    </row>
    <row r="695" spans="1:13" x14ac:dyDescent="0.2">
      <c r="A695" s="2353">
        <v>4207</v>
      </c>
      <c r="B695" s="2334" t="s">
        <v>6977</v>
      </c>
      <c r="C695" s="2335">
        <v>2179</v>
      </c>
      <c r="D695" s="2335">
        <v>11927</v>
      </c>
      <c r="E695" s="2335">
        <v>11927</v>
      </c>
      <c r="F695" s="2335">
        <v>11927</v>
      </c>
      <c r="G695" s="2335">
        <f>+F695</f>
        <v>11927</v>
      </c>
      <c r="H695" s="2335"/>
      <c r="I695" s="2335">
        <f>ROUND(E695*1.08,0)</f>
        <v>12881</v>
      </c>
      <c r="J695" s="2335">
        <f>[5]Sheet1!$K$507</f>
        <v>4395.75</v>
      </c>
      <c r="K695" s="2336">
        <f t="shared" si="136"/>
        <v>4395.75</v>
      </c>
      <c r="L695" s="2335">
        <f>ROUND(I695*1.08,0)</f>
        <v>13911</v>
      </c>
      <c r="M695" s="2335">
        <f>ROUND(L695*1.08,0)</f>
        <v>15024</v>
      </c>
    </row>
    <row r="696" spans="1:13" x14ac:dyDescent="0.2">
      <c r="A696" s="2353"/>
      <c r="B696" s="2330" t="s">
        <v>6979</v>
      </c>
      <c r="C696" s="2337">
        <f t="shared" ref="C696:M696" si="141">SUM(C692:C695)</f>
        <v>45985</v>
      </c>
      <c r="D696" s="2337">
        <f t="shared" si="141"/>
        <v>23786</v>
      </c>
      <c r="E696" s="2337">
        <f t="shared" si="141"/>
        <v>23786</v>
      </c>
      <c r="F696" s="2337">
        <f t="shared" si="141"/>
        <v>23786</v>
      </c>
      <c r="G696" s="2337">
        <f t="shared" si="141"/>
        <v>23786</v>
      </c>
      <c r="H696" s="2337"/>
      <c r="I696" s="2337">
        <f t="shared" si="141"/>
        <v>25689</v>
      </c>
      <c r="J696" s="2337">
        <f>J694+J695</f>
        <v>8766.42</v>
      </c>
      <c r="K696" s="2333">
        <f t="shared" si="136"/>
        <v>8766.42</v>
      </c>
      <c r="L696" s="2337">
        <f t="shared" si="141"/>
        <v>27744</v>
      </c>
      <c r="M696" s="2337">
        <f t="shared" si="141"/>
        <v>29964</v>
      </c>
    </row>
    <row r="697" spans="1:13" x14ac:dyDescent="0.2">
      <c r="A697" s="2329"/>
      <c r="B697" s="2330"/>
      <c r="C697" s="2364"/>
      <c r="D697" s="2364"/>
      <c r="E697" s="2364"/>
      <c r="F697" s="2309"/>
      <c r="G697" s="2332"/>
      <c r="H697" s="2332"/>
      <c r="I697" s="2332"/>
      <c r="J697" s="2332">
        <f>J696-[5]Sheet1!$K$508</f>
        <v>0</v>
      </c>
      <c r="K697" s="2333">
        <f t="shared" si="136"/>
        <v>0</v>
      </c>
      <c r="L697" s="2364"/>
      <c r="M697" s="2364"/>
    </row>
    <row r="698" spans="1:13" ht="13.5" thickBot="1" x14ac:dyDescent="0.25">
      <c r="A698" s="2341"/>
      <c r="B698" s="2342" t="s">
        <v>6980</v>
      </c>
      <c r="C698" s="2354">
        <f>C673+C696+C689</f>
        <v>1073603</v>
      </c>
      <c r="D698" s="2354">
        <f>D673+D696+D689</f>
        <v>2137596</v>
      </c>
      <c r="E698" s="2354">
        <f>E673+E696+E689</f>
        <v>2137596</v>
      </c>
      <c r="F698" s="2354">
        <f>F673+F696+F689</f>
        <v>1783157</v>
      </c>
      <c r="G698" s="2354">
        <f>G673+G696+G689</f>
        <v>2135031.2000000002</v>
      </c>
      <c r="H698" s="2354"/>
      <c r="I698" s="2354">
        <f>I673+I696+I689+I686</f>
        <v>5810646.6299999999</v>
      </c>
      <c r="J698" s="2354">
        <f>J673+J696+J689+J686</f>
        <v>4606959.0999999996</v>
      </c>
      <c r="K698" s="2344">
        <f t="shared" si="136"/>
        <v>4606959.0999999996</v>
      </c>
      <c r="L698" s="2354">
        <f>L673+L696+L689</f>
        <v>4145921</v>
      </c>
      <c r="M698" s="2354">
        <f>M673+M696+M689</f>
        <v>4266094</v>
      </c>
    </row>
    <row r="699" spans="1:13" ht="13.5" thickTop="1" x14ac:dyDescent="0.2">
      <c r="A699" s="2341"/>
      <c r="B699" s="2330"/>
      <c r="C699" s="2349"/>
      <c r="D699" s="2349"/>
      <c r="E699" s="2349"/>
      <c r="F699" s="2349"/>
      <c r="G699" s="2349"/>
      <c r="H699" s="2349"/>
      <c r="I699" s="2349"/>
      <c r="J699" s="2349"/>
      <c r="K699" s="2333">
        <f t="shared" si="136"/>
        <v>0</v>
      </c>
      <c r="L699" s="2349"/>
      <c r="M699" s="2349"/>
    </row>
    <row r="700" spans="1:13" ht="13.5" thickBot="1" x14ac:dyDescent="0.25">
      <c r="A700" s="2345"/>
      <c r="B700" s="2342" t="s">
        <v>6624</v>
      </c>
      <c r="C700" s="2355">
        <f t="shared" ref="C700:M700" si="142">-C698</f>
        <v>-1073603</v>
      </c>
      <c r="D700" s="2355">
        <f t="shared" si="142"/>
        <v>-2137596</v>
      </c>
      <c r="E700" s="2355">
        <f t="shared" si="142"/>
        <v>-2137596</v>
      </c>
      <c r="F700" s="2355">
        <f t="shared" si="142"/>
        <v>-1783157</v>
      </c>
      <c r="G700" s="2355">
        <f t="shared" si="142"/>
        <v>-2135031.2000000002</v>
      </c>
      <c r="H700" s="2355"/>
      <c r="I700" s="2355">
        <f t="shared" si="142"/>
        <v>-5810646.6299999999</v>
      </c>
      <c r="J700" s="2355">
        <f>-J698</f>
        <v>-4606959.0999999996</v>
      </c>
      <c r="K700" s="2344">
        <f t="shared" si="136"/>
        <v>-4606959.0999999996</v>
      </c>
      <c r="L700" s="2355">
        <f t="shared" si="142"/>
        <v>-4145921</v>
      </c>
      <c r="M700" s="2355">
        <f t="shared" si="142"/>
        <v>-4266094</v>
      </c>
    </row>
    <row r="701" spans="1:13" ht="13.5" thickTop="1" x14ac:dyDescent="0.2">
      <c r="A701" s="2345"/>
      <c r="B701" s="2330"/>
      <c r="C701" s="2356"/>
      <c r="D701" s="2356"/>
      <c r="E701" s="2356"/>
      <c r="G701" s="2332"/>
      <c r="H701" s="2332"/>
      <c r="I701" s="2332"/>
      <c r="J701" s="2332"/>
      <c r="K701" s="2333">
        <f t="shared" si="136"/>
        <v>0</v>
      </c>
      <c r="L701" s="2356"/>
      <c r="M701" s="2356"/>
    </row>
    <row r="702" spans="1:13" x14ac:dyDescent="0.2">
      <c r="A702" s="2369"/>
      <c r="B702" s="2369"/>
      <c r="C702" s="2369"/>
      <c r="D702" s="2369"/>
      <c r="E702" s="2369"/>
      <c r="G702" s="2332"/>
      <c r="H702" s="2332"/>
      <c r="I702" s="2332"/>
      <c r="J702" s="2332"/>
      <c r="K702" s="2333">
        <f t="shared" si="136"/>
        <v>0</v>
      </c>
      <c r="L702" s="2369"/>
      <c r="M702" s="2369"/>
    </row>
    <row r="703" spans="1:13" ht="15" x14ac:dyDescent="0.25">
      <c r="A703" s="2365">
        <v>1130</v>
      </c>
      <c r="B703" s="2366" t="s">
        <v>7084</v>
      </c>
      <c r="G703" s="2332"/>
      <c r="H703" s="2332"/>
      <c r="I703" s="2332"/>
      <c r="J703" s="2332"/>
      <c r="K703" s="2333">
        <f t="shared" si="136"/>
        <v>0</v>
      </c>
    </row>
    <row r="704" spans="1:13" ht="15" x14ac:dyDescent="0.25">
      <c r="A704" s="2367">
        <v>1131</v>
      </c>
      <c r="B704" s="2359" t="s">
        <v>7085</v>
      </c>
      <c r="C704" s="2326"/>
      <c r="D704" s="2326"/>
      <c r="E704" s="2326"/>
      <c r="G704" s="2332"/>
      <c r="H704" s="2332"/>
      <c r="I704" s="2332"/>
      <c r="J704" s="2332"/>
      <c r="K704" s="2333">
        <f t="shared" si="136"/>
        <v>0</v>
      </c>
    </row>
    <row r="705" spans="1:13" ht="15" x14ac:dyDescent="0.25">
      <c r="B705" s="2326"/>
      <c r="C705" s="2326"/>
      <c r="D705" s="2326"/>
      <c r="E705" s="2326"/>
      <c r="G705" s="2332"/>
      <c r="H705" s="2332"/>
      <c r="I705" s="2332"/>
      <c r="J705" s="2332"/>
      <c r="K705" s="2333">
        <f t="shared" si="136"/>
        <v>0</v>
      </c>
    </row>
    <row r="706" spans="1:13" x14ac:dyDescent="0.2">
      <c r="B706" s="2328" t="s">
        <v>247</v>
      </c>
      <c r="C706" s="2328"/>
      <c r="D706" s="2328"/>
      <c r="E706" s="2328"/>
      <c r="G706" s="2332"/>
      <c r="H706" s="2332"/>
      <c r="I706" s="2332"/>
      <c r="J706" s="2332"/>
      <c r="K706" s="2333">
        <f t="shared" si="136"/>
        <v>0</v>
      </c>
    </row>
    <row r="707" spans="1:13" x14ac:dyDescent="0.2">
      <c r="B707" s="2323"/>
      <c r="C707" s="2323"/>
      <c r="D707" s="2323"/>
      <c r="E707" s="2323"/>
      <c r="G707" s="2332"/>
      <c r="H707" s="2332"/>
      <c r="I707" s="2332"/>
      <c r="J707" s="2332"/>
      <c r="K707" s="2333">
        <f t="shared" si="136"/>
        <v>0</v>
      </c>
    </row>
    <row r="708" spans="1:13" x14ac:dyDescent="0.2">
      <c r="B708" s="2330" t="s">
        <v>6644</v>
      </c>
      <c r="C708" s="2375"/>
      <c r="D708" s="2375"/>
      <c r="E708" s="2375"/>
      <c r="G708" s="2332"/>
      <c r="H708" s="2332"/>
      <c r="I708" s="2332"/>
      <c r="J708" s="2332"/>
      <c r="K708" s="2333">
        <f t="shared" si="136"/>
        <v>0</v>
      </c>
    </row>
    <row r="709" spans="1:13" x14ac:dyDescent="0.2">
      <c r="A709" s="2353">
        <v>5202</v>
      </c>
      <c r="B709" s="2258" t="s">
        <v>7086</v>
      </c>
      <c r="C709" s="2375">
        <v>17805</v>
      </c>
      <c r="D709" s="2332">
        <v>17700</v>
      </c>
      <c r="E709" s="2332">
        <v>17700</v>
      </c>
      <c r="F709" s="2332">
        <v>16694</v>
      </c>
      <c r="G709" s="2332">
        <f>F709/$F$11*$G$11</f>
        <v>20032.800000000003</v>
      </c>
      <c r="H709" s="2332"/>
      <c r="I709" s="2332">
        <f>ROUND(G709*1.1,0)</f>
        <v>22036</v>
      </c>
      <c r="J709" s="2332">
        <f>-[5]Sheet1!$K$512</f>
        <v>21375.32</v>
      </c>
      <c r="K709" s="2333">
        <f t="shared" si="136"/>
        <v>21375.32</v>
      </c>
      <c r="L709" s="2332">
        <f>ROUND(I709*1.06,0)</f>
        <v>23358</v>
      </c>
      <c r="M709" s="2332">
        <f>ROUND(L709*1.06,0)</f>
        <v>24759</v>
      </c>
    </row>
    <row r="710" spans="1:13" x14ac:dyDescent="0.2">
      <c r="A710" s="2353">
        <v>5205</v>
      </c>
      <c r="B710" s="2258" t="s">
        <v>7087</v>
      </c>
      <c r="C710" s="2375">
        <v>230</v>
      </c>
      <c r="D710" s="2332">
        <v>5000</v>
      </c>
      <c r="E710" s="2332">
        <v>5000</v>
      </c>
      <c r="F710" s="2332">
        <v>0</v>
      </c>
      <c r="G710" s="2332">
        <f>F710/$F$11*$G$11</f>
        <v>0</v>
      </c>
      <c r="H710" s="2332"/>
      <c r="I710" s="2332">
        <v>1000</v>
      </c>
      <c r="J710" s="2332">
        <f>-[5]Sheet1!$K$513</f>
        <v>585</v>
      </c>
      <c r="K710" s="2333">
        <f t="shared" si="136"/>
        <v>585</v>
      </c>
      <c r="L710" s="2332">
        <f>ROUND(I710*1.06,0)</f>
        <v>1060</v>
      </c>
      <c r="M710" s="2332">
        <f>ROUND(L710*1.06,0)</f>
        <v>1124</v>
      </c>
    </row>
    <row r="711" spans="1:13" x14ac:dyDescent="0.2">
      <c r="A711" s="2353">
        <v>5812</v>
      </c>
      <c r="B711" s="2334" t="s">
        <v>7088</v>
      </c>
      <c r="C711" s="2339">
        <v>194604</v>
      </c>
      <c r="D711" s="2335">
        <v>70100</v>
      </c>
      <c r="E711" s="2335">
        <v>70100</v>
      </c>
      <c r="F711" s="2335">
        <v>138693</v>
      </c>
      <c r="G711" s="2335">
        <f>F711/$F$11*$G$11</f>
        <v>166431.59999999998</v>
      </c>
      <c r="H711" s="2335"/>
      <c r="I711" s="2335">
        <f>ROUND(G711*1.1,0)</f>
        <v>183075</v>
      </c>
      <c r="J711" s="2335">
        <f>-[5]Sheet1!$K$514</f>
        <v>127162.56</v>
      </c>
      <c r="K711" s="2336">
        <f t="shared" si="136"/>
        <v>127162.56</v>
      </c>
      <c r="L711" s="2335">
        <f>ROUND(I711*1.06,0)</f>
        <v>194060</v>
      </c>
      <c r="M711" s="2335">
        <f>ROUND(L711*1.06,0)</f>
        <v>205704</v>
      </c>
    </row>
    <row r="712" spans="1:13" x14ac:dyDescent="0.2">
      <c r="B712" s="2330" t="s">
        <v>6646</v>
      </c>
      <c r="C712" s="2376">
        <f t="shared" ref="C712:M712" si="143">SUM(C709:C711)</f>
        <v>212639</v>
      </c>
      <c r="D712" s="2376">
        <f t="shared" si="143"/>
        <v>92800</v>
      </c>
      <c r="E712" s="2376">
        <f t="shared" si="143"/>
        <v>92800</v>
      </c>
      <c r="F712" s="2376">
        <f t="shared" si="143"/>
        <v>155387</v>
      </c>
      <c r="G712" s="2376">
        <f t="shared" si="143"/>
        <v>186464.39999999997</v>
      </c>
      <c r="H712" s="2376"/>
      <c r="I712" s="2376">
        <f t="shared" si="143"/>
        <v>206111</v>
      </c>
      <c r="J712" s="2376">
        <f>SUM(J709:J711)</f>
        <v>149122.88</v>
      </c>
      <c r="K712" s="2333">
        <f t="shared" si="136"/>
        <v>149122.88</v>
      </c>
      <c r="L712" s="2376">
        <f t="shared" si="143"/>
        <v>218478</v>
      </c>
      <c r="M712" s="2376">
        <f t="shared" si="143"/>
        <v>231587</v>
      </c>
    </row>
    <row r="713" spans="1:13" x14ac:dyDescent="0.2">
      <c r="B713" s="2330"/>
      <c r="C713" s="2375"/>
      <c r="D713" s="2375"/>
      <c r="E713" s="2375"/>
      <c r="F713" s="2309"/>
      <c r="G713" s="2332"/>
      <c r="H713" s="2332"/>
      <c r="I713" s="2332"/>
      <c r="J713" s="2332"/>
      <c r="K713" s="2333">
        <f t="shared" si="136"/>
        <v>0</v>
      </c>
      <c r="L713" s="2375"/>
      <c r="M713" s="2375"/>
    </row>
    <row r="714" spans="1:13" ht="13.5" thickBot="1" x14ac:dyDescent="0.25">
      <c r="B714" s="2342" t="s">
        <v>6579</v>
      </c>
      <c r="C714" s="2343">
        <f t="shared" ref="C714:M714" si="144">C712</f>
        <v>212639</v>
      </c>
      <c r="D714" s="2343">
        <f t="shared" si="144"/>
        <v>92800</v>
      </c>
      <c r="E714" s="2343">
        <f t="shared" si="144"/>
        <v>92800</v>
      </c>
      <c r="F714" s="2343">
        <f t="shared" si="144"/>
        <v>155387</v>
      </c>
      <c r="G714" s="2343">
        <f t="shared" si="144"/>
        <v>186464.39999999997</v>
      </c>
      <c r="H714" s="2343"/>
      <c r="I714" s="2343">
        <f t="shared" si="144"/>
        <v>206111</v>
      </c>
      <c r="J714" s="2343">
        <f>J712</f>
        <v>149122.88</v>
      </c>
      <c r="K714" s="2344">
        <f t="shared" si="136"/>
        <v>149122.88</v>
      </c>
      <c r="L714" s="2343">
        <f t="shared" si="144"/>
        <v>218478</v>
      </c>
      <c r="M714" s="2343">
        <f t="shared" si="144"/>
        <v>231587</v>
      </c>
    </row>
    <row r="715" spans="1:13" ht="13.5" thickTop="1" x14ac:dyDescent="0.2">
      <c r="B715" s="2346"/>
      <c r="C715" s="2346"/>
      <c r="D715" s="2346"/>
      <c r="E715" s="2346"/>
      <c r="G715" s="2332"/>
      <c r="H715" s="2332"/>
      <c r="I715" s="2332"/>
      <c r="J715" s="2332">
        <f>J714+[5]Sheet1!$K$515</f>
        <v>0</v>
      </c>
      <c r="K715" s="2333">
        <f t="shared" si="136"/>
        <v>0</v>
      </c>
      <c r="L715" s="2346"/>
      <c r="M715" s="2346"/>
    </row>
    <row r="716" spans="1:13" x14ac:dyDescent="0.2">
      <c r="B716" s="2328" t="s">
        <v>235</v>
      </c>
      <c r="C716" s="2328"/>
      <c r="D716" s="2328"/>
      <c r="E716" s="2328"/>
      <c r="G716" s="2332"/>
      <c r="H716" s="2332"/>
      <c r="I716" s="2332"/>
      <c r="J716" s="2332"/>
      <c r="K716" s="2333">
        <f t="shared" si="136"/>
        <v>0</v>
      </c>
      <c r="L716" s="2328"/>
      <c r="M716" s="2328"/>
    </row>
    <row r="717" spans="1:13" x14ac:dyDescent="0.2">
      <c r="B717" s="2328"/>
      <c r="C717" s="2328"/>
      <c r="D717" s="2328"/>
      <c r="E717" s="2328"/>
      <c r="G717" s="2332"/>
      <c r="H717" s="2332"/>
      <c r="I717" s="2332"/>
      <c r="J717" s="2332"/>
      <c r="K717" s="2333">
        <f t="shared" si="136"/>
        <v>0</v>
      </c>
      <c r="L717" s="2328"/>
      <c r="M717" s="2328"/>
    </row>
    <row r="718" spans="1:13" x14ac:dyDescent="0.2">
      <c r="B718" s="2330" t="s">
        <v>6953</v>
      </c>
      <c r="C718" s="2332"/>
      <c r="D718" s="2332"/>
      <c r="E718" s="2332"/>
      <c r="F718" s="2322"/>
      <c r="G718" s="2332"/>
      <c r="H718" s="2332"/>
      <c r="I718" s="2332"/>
      <c r="J718" s="2332"/>
      <c r="K718" s="2333">
        <f t="shared" si="136"/>
        <v>0</v>
      </c>
      <c r="L718" s="2332"/>
      <c r="M718" s="2332"/>
    </row>
    <row r="719" spans="1:13" x14ac:dyDescent="0.2">
      <c r="A719" s="2405"/>
      <c r="B719" s="2406" t="s">
        <v>7089</v>
      </c>
      <c r="C719" s="2407"/>
      <c r="D719" s="2407"/>
      <c r="E719" s="2407"/>
      <c r="F719" s="2408"/>
      <c r="G719" s="2407"/>
      <c r="H719" s="2407"/>
      <c r="I719" s="2332"/>
      <c r="J719" s="2332"/>
      <c r="K719" s="2333">
        <f t="shared" si="136"/>
        <v>0</v>
      </c>
      <c r="L719" s="2407"/>
      <c r="M719" s="2407"/>
    </row>
    <row r="720" spans="1:13" x14ac:dyDescent="0.2">
      <c r="A720" s="2409" t="s">
        <v>4892</v>
      </c>
      <c r="B720" s="2409" t="s">
        <v>6616</v>
      </c>
      <c r="C720" s="2407"/>
      <c r="D720" s="2407"/>
      <c r="E720" s="2407"/>
      <c r="F720" s="2408"/>
      <c r="G720" s="2407"/>
      <c r="H720" s="2407"/>
      <c r="I720" s="2400">
        <v>5250</v>
      </c>
      <c r="J720" s="2332">
        <f>[5]Sheet1!$K$65</f>
        <v>1790.73</v>
      </c>
      <c r="K720" s="2333">
        <f t="shared" si="136"/>
        <v>1790.73</v>
      </c>
      <c r="L720" s="2407"/>
      <c r="M720" s="2407"/>
    </row>
    <row r="721" spans="1:13" x14ac:dyDescent="0.2">
      <c r="A721" s="2409" t="s">
        <v>4894</v>
      </c>
      <c r="B721" s="2409" t="s">
        <v>6617</v>
      </c>
      <c r="C721" s="2407"/>
      <c r="D721" s="2407"/>
      <c r="E721" s="2407"/>
      <c r="F721" s="2408"/>
      <c r="G721" s="2407"/>
      <c r="H721" s="2407"/>
      <c r="I721" s="2400">
        <v>11550</v>
      </c>
      <c r="J721" s="2332">
        <f>[5]Sheet1!$K$66</f>
        <v>3940.19</v>
      </c>
      <c r="K721" s="2333">
        <f t="shared" si="136"/>
        <v>3940.19</v>
      </c>
      <c r="L721" s="2407"/>
      <c r="M721" s="2407"/>
    </row>
    <row r="722" spans="1:13" x14ac:dyDescent="0.2">
      <c r="A722" s="2405"/>
      <c r="B722" s="2406" t="s">
        <v>3749</v>
      </c>
      <c r="C722" s="2407"/>
      <c r="D722" s="2407"/>
      <c r="E722" s="2407"/>
      <c r="F722" s="2408"/>
      <c r="G722" s="2407"/>
      <c r="H722" s="2407"/>
      <c r="I722" s="2332"/>
      <c r="J722" s="2332"/>
      <c r="K722" s="2333">
        <f t="shared" si="136"/>
        <v>0</v>
      </c>
      <c r="L722" s="2407"/>
      <c r="M722" s="2407"/>
    </row>
    <row r="723" spans="1:13" x14ac:dyDescent="0.2">
      <c r="A723" s="2409" t="s">
        <v>7090</v>
      </c>
      <c r="B723" s="2409" t="s">
        <v>6616</v>
      </c>
      <c r="C723" s="2407"/>
      <c r="D723" s="2407"/>
      <c r="E723" s="2407"/>
      <c r="F723" s="2408"/>
      <c r="G723" s="2407"/>
      <c r="H723" s="2407"/>
      <c r="I723" s="2400">
        <v>1103</v>
      </c>
      <c r="J723" s="2332">
        <f>[5]Sheet1!$K$138</f>
        <v>375.06</v>
      </c>
      <c r="K723" s="2333">
        <f t="shared" si="136"/>
        <v>375.06</v>
      </c>
      <c r="L723" s="2407"/>
      <c r="M723" s="2407"/>
    </row>
    <row r="724" spans="1:13" x14ac:dyDescent="0.2">
      <c r="A724" s="2405"/>
      <c r="B724" s="2406" t="s">
        <v>6505</v>
      </c>
      <c r="C724" s="2407"/>
      <c r="D724" s="2407"/>
      <c r="E724" s="2407"/>
      <c r="F724" s="2408"/>
      <c r="G724" s="2407"/>
      <c r="H724" s="2407"/>
      <c r="I724" s="2332"/>
      <c r="J724" s="2332"/>
      <c r="K724" s="2333">
        <f t="shared" si="136"/>
        <v>0</v>
      </c>
      <c r="L724" s="2407"/>
      <c r="M724" s="2407"/>
    </row>
    <row r="725" spans="1:13" x14ac:dyDescent="0.2">
      <c r="A725" s="2409" t="s">
        <v>5121</v>
      </c>
      <c r="B725" s="2409" t="s">
        <v>6616</v>
      </c>
      <c r="C725" s="2407"/>
      <c r="D725" s="2407"/>
      <c r="E725" s="2407"/>
      <c r="F725" s="2408"/>
      <c r="G725" s="2407"/>
      <c r="H725" s="2407"/>
      <c r="I725" s="2400">
        <v>22050</v>
      </c>
      <c r="J725" s="2332">
        <f>[5]Sheet1!$K$262</f>
        <v>23304.560000000001</v>
      </c>
      <c r="K725" s="2333">
        <f t="shared" ref="K725:K788" si="145">J725</f>
        <v>23304.560000000001</v>
      </c>
      <c r="L725" s="2407"/>
      <c r="M725" s="2407"/>
    </row>
    <row r="726" spans="1:13" x14ac:dyDescent="0.2">
      <c r="A726" s="2409"/>
      <c r="B726" s="2410" t="s">
        <v>404</v>
      </c>
      <c r="C726" s="2407"/>
      <c r="D726" s="2407"/>
      <c r="E726" s="2407"/>
      <c r="F726" s="2408"/>
      <c r="G726" s="2407"/>
      <c r="H726" s="2407"/>
      <c r="I726" s="2400"/>
      <c r="J726" s="2332"/>
      <c r="K726" s="2333">
        <f t="shared" si="145"/>
        <v>0</v>
      </c>
      <c r="L726" s="2407"/>
      <c r="M726" s="2407"/>
    </row>
    <row r="727" spans="1:13" x14ac:dyDescent="0.2">
      <c r="A727" s="2409" t="s">
        <v>5152</v>
      </c>
      <c r="B727" s="2409" t="s">
        <v>6617</v>
      </c>
      <c r="C727" s="2407"/>
      <c r="D727" s="2407"/>
      <c r="E727" s="2407"/>
      <c r="F727" s="2408"/>
      <c r="G727" s="2407"/>
      <c r="H727" s="2407"/>
      <c r="I727" s="2400">
        <f>[5]Sheet1!$E$335</f>
        <v>6442.66</v>
      </c>
      <c r="J727" s="2332">
        <f>[5]Sheet1!$K$335</f>
        <v>12885.32</v>
      </c>
      <c r="K727" s="2333">
        <f t="shared" si="145"/>
        <v>12885.32</v>
      </c>
      <c r="L727" s="2407"/>
      <c r="M727" s="2407"/>
    </row>
    <row r="728" spans="1:13" x14ac:dyDescent="0.2">
      <c r="A728" s="2410"/>
      <c r="B728" s="2410" t="s">
        <v>1408</v>
      </c>
      <c r="C728" s="2411"/>
      <c r="D728" s="2411"/>
      <c r="E728" s="2411"/>
      <c r="F728" s="2406"/>
      <c r="G728" s="2411"/>
      <c r="H728" s="2411"/>
      <c r="I728" s="2349"/>
      <c r="J728" s="2349"/>
      <c r="K728" s="2333">
        <f t="shared" si="145"/>
        <v>0</v>
      </c>
      <c r="L728" s="2411"/>
      <c r="M728" s="2411"/>
    </row>
    <row r="729" spans="1:13" x14ac:dyDescent="0.2">
      <c r="A729" s="2409" t="s">
        <v>7091</v>
      </c>
      <c r="B729" s="2409" t="s">
        <v>6616</v>
      </c>
      <c r="C729" s="2407"/>
      <c r="D729" s="2407"/>
      <c r="E729" s="2407"/>
      <c r="F729" s="2408"/>
      <c r="G729" s="2407"/>
      <c r="H729" s="2407"/>
      <c r="I729" s="2400">
        <v>1103</v>
      </c>
      <c r="J729" s="2332">
        <f>[5]Sheet1!$K$399</f>
        <v>375.06</v>
      </c>
      <c r="K729" s="2333">
        <f t="shared" si="145"/>
        <v>375.06</v>
      </c>
      <c r="L729" s="2407"/>
      <c r="M729" s="2407"/>
    </row>
    <row r="730" spans="1:13" x14ac:dyDescent="0.2">
      <c r="A730" s="2410"/>
      <c r="B730" s="2410" t="s">
        <v>7092</v>
      </c>
      <c r="C730" s="2411"/>
      <c r="D730" s="2411"/>
      <c r="E730" s="2411"/>
      <c r="F730" s="2406"/>
      <c r="G730" s="2411"/>
      <c r="H730" s="2411"/>
      <c r="I730" s="2412"/>
      <c r="J730" s="2349"/>
      <c r="K730" s="2333">
        <f t="shared" si="145"/>
        <v>0</v>
      </c>
      <c r="L730" s="2411"/>
      <c r="M730" s="2411"/>
    </row>
    <row r="731" spans="1:13" x14ac:dyDescent="0.2">
      <c r="A731" s="2413">
        <v>3205</v>
      </c>
      <c r="B731" s="2408" t="s">
        <v>200</v>
      </c>
      <c r="C731" s="2407">
        <v>25219</v>
      </c>
      <c r="D731" s="2407">
        <v>168000</v>
      </c>
      <c r="E731" s="2407">
        <v>168000</v>
      </c>
      <c r="F731" s="2407">
        <f>177469+160</f>
        <v>177629</v>
      </c>
      <c r="G731" s="2407">
        <f>F731/$F$11*$G$11</f>
        <v>213154.80000000002</v>
      </c>
      <c r="H731" s="2407"/>
      <c r="I731" s="2332">
        <f>ROUND(E731*1.05,0)</f>
        <v>176400</v>
      </c>
      <c r="J731" s="2332">
        <f>[5]Sheet1!$K$523</f>
        <v>283229.96000000002</v>
      </c>
      <c r="K731" s="2333">
        <f t="shared" si="145"/>
        <v>283229.96000000002</v>
      </c>
      <c r="L731" s="2407">
        <f>ROUND(I731*1.06,0)</f>
        <v>186984</v>
      </c>
      <c r="M731" s="2407">
        <f>ROUND(L731*1.06,0)</f>
        <v>198203</v>
      </c>
    </row>
    <row r="732" spans="1:13" x14ac:dyDescent="0.2">
      <c r="A732" s="2414"/>
      <c r="B732" s="2406" t="s">
        <v>6667</v>
      </c>
      <c r="C732" s="2411"/>
      <c r="D732" s="2411"/>
      <c r="E732" s="2411"/>
      <c r="F732" s="2411"/>
      <c r="G732" s="2411"/>
      <c r="H732" s="2411"/>
      <c r="I732" s="2349"/>
      <c r="J732" s="2349"/>
      <c r="K732" s="2333">
        <f t="shared" si="145"/>
        <v>0</v>
      </c>
      <c r="L732" s="2411"/>
      <c r="M732" s="2411"/>
    </row>
    <row r="733" spans="1:13" x14ac:dyDescent="0.2">
      <c r="A733" s="2409" t="s">
        <v>7093</v>
      </c>
      <c r="B733" s="2409" t="s">
        <v>6616</v>
      </c>
      <c r="C733" s="2407"/>
      <c r="D733" s="2407"/>
      <c r="E733" s="2407"/>
      <c r="F733" s="2407"/>
      <c r="G733" s="2407"/>
      <c r="H733" s="2407"/>
      <c r="I733" s="2400">
        <v>5513</v>
      </c>
      <c r="J733" s="2332">
        <f>[5]Sheet1!$K$460</f>
        <v>1879.98</v>
      </c>
      <c r="K733" s="2333">
        <f t="shared" si="145"/>
        <v>1879.98</v>
      </c>
      <c r="L733" s="2407"/>
      <c r="M733" s="2407"/>
    </row>
    <row r="734" spans="1:13" x14ac:dyDescent="0.2">
      <c r="A734" s="2414"/>
      <c r="B734" s="2406" t="s">
        <v>7094</v>
      </c>
      <c r="C734" s="2411"/>
      <c r="D734" s="2411"/>
      <c r="E734" s="2411"/>
      <c r="F734" s="2411"/>
      <c r="G734" s="2411"/>
      <c r="H734" s="2411"/>
      <c r="I734" s="2349"/>
      <c r="J734" s="2349"/>
      <c r="K734" s="2333">
        <f t="shared" si="145"/>
        <v>0</v>
      </c>
      <c r="L734" s="2411"/>
      <c r="M734" s="2411"/>
    </row>
    <row r="735" spans="1:13" x14ac:dyDescent="0.2">
      <c r="A735" s="2409" t="s">
        <v>7095</v>
      </c>
      <c r="B735" s="2409" t="s">
        <v>6616</v>
      </c>
      <c r="C735" s="2407"/>
      <c r="D735" s="2407"/>
      <c r="E735" s="2407"/>
      <c r="F735" s="2407"/>
      <c r="G735" s="2407"/>
      <c r="H735" s="2407"/>
      <c r="I735" s="2400">
        <v>110250</v>
      </c>
      <c r="J735" s="2415">
        <f>[5]Sheet1!$K$501</f>
        <v>37619.93</v>
      </c>
      <c r="K735" s="2333">
        <f t="shared" si="145"/>
        <v>37619.93</v>
      </c>
      <c r="L735" s="2407"/>
      <c r="M735" s="2407"/>
    </row>
    <row r="736" spans="1:13" x14ac:dyDescent="0.2">
      <c r="A736" s="2409" t="s">
        <v>7096</v>
      </c>
      <c r="B736" s="2409" t="s">
        <v>6617</v>
      </c>
      <c r="C736" s="2407"/>
      <c r="D736" s="2407"/>
      <c r="E736" s="2407"/>
      <c r="F736" s="2407"/>
      <c r="G736" s="2407"/>
      <c r="H736" s="2407"/>
      <c r="I736" s="2400">
        <v>0</v>
      </c>
      <c r="J736" s="2415">
        <f>[5]Sheet1!$K$502</f>
        <v>20729</v>
      </c>
      <c r="K736" s="2333">
        <f t="shared" si="145"/>
        <v>20729</v>
      </c>
      <c r="L736" s="2407"/>
      <c r="M736" s="2407"/>
    </row>
    <row r="737" spans="1:13" x14ac:dyDescent="0.2">
      <c r="A737" s="2414"/>
      <c r="B737" s="2406" t="s">
        <v>7097</v>
      </c>
      <c r="C737" s="2411"/>
      <c r="D737" s="2411"/>
      <c r="E737" s="2411"/>
      <c r="F737" s="2411"/>
      <c r="G737" s="2411"/>
      <c r="H737" s="2411"/>
      <c r="I737" s="2349"/>
      <c r="J737" s="2349"/>
      <c r="K737" s="2333">
        <f t="shared" si="145"/>
        <v>0</v>
      </c>
      <c r="L737" s="2411"/>
      <c r="M737" s="2411"/>
    </row>
    <row r="738" spans="1:13" x14ac:dyDescent="0.2">
      <c r="A738" s="2409" t="s">
        <v>5355</v>
      </c>
      <c r="B738" s="2409" t="s">
        <v>6616</v>
      </c>
      <c r="C738" s="2407"/>
      <c r="D738" s="2407"/>
      <c r="E738" s="2407"/>
      <c r="F738" s="2407"/>
      <c r="G738" s="2407"/>
      <c r="H738" s="2407"/>
      <c r="I738" s="2400">
        <v>1103</v>
      </c>
      <c r="J738" s="2332">
        <f>[5]Sheet1!$K$579</f>
        <v>375.06</v>
      </c>
      <c r="K738" s="2333">
        <f t="shared" si="145"/>
        <v>375.06</v>
      </c>
      <c r="L738" s="2407"/>
      <c r="M738" s="2407"/>
    </row>
    <row r="739" spans="1:13" x14ac:dyDescent="0.2">
      <c r="A739" s="2410"/>
      <c r="B739" s="2410" t="s">
        <v>2215</v>
      </c>
      <c r="C739" s="2411"/>
      <c r="D739" s="2411"/>
      <c r="E739" s="2411"/>
      <c r="F739" s="2411"/>
      <c r="G739" s="2411"/>
      <c r="H739" s="2411"/>
      <c r="I739" s="2412"/>
      <c r="J739" s="2349"/>
      <c r="K739" s="2333">
        <f t="shared" si="145"/>
        <v>0</v>
      </c>
      <c r="L739" s="2411"/>
      <c r="M739" s="2411"/>
    </row>
    <row r="740" spans="1:13" x14ac:dyDescent="0.2">
      <c r="A740" s="2409" t="s">
        <v>7098</v>
      </c>
      <c r="B740" s="2409" t="s">
        <v>6616</v>
      </c>
      <c r="C740" s="2407"/>
      <c r="D740" s="2407"/>
      <c r="E740" s="2407"/>
      <c r="F740" s="2407"/>
      <c r="G740" s="2407"/>
      <c r="H740" s="2407"/>
      <c r="I740" s="2400">
        <f>[5]Sheet1!$C$674</f>
        <v>1103</v>
      </c>
      <c r="J740" s="2332">
        <f>[5]Sheet1!$K$675</f>
        <v>115.95999999999998</v>
      </c>
      <c r="K740" s="2333">
        <f t="shared" si="145"/>
        <v>115.95999999999998</v>
      </c>
      <c r="L740" s="2407"/>
      <c r="M740" s="2407"/>
    </row>
    <row r="741" spans="1:13" x14ac:dyDescent="0.2">
      <c r="A741" s="2410"/>
      <c r="B741" s="2410" t="s">
        <v>228</v>
      </c>
      <c r="C741" s="2411"/>
      <c r="D741" s="2411"/>
      <c r="E741" s="2411"/>
      <c r="F741" s="2411"/>
      <c r="G741" s="2411"/>
      <c r="H741" s="2411"/>
      <c r="I741" s="2412"/>
      <c r="J741" s="2349"/>
      <c r="K741" s="2333">
        <f t="shared" si="145"/>
        <v>0</v>
      </c>
      <c r="L741" s="2411"/>
      <c r="M741" s="2411"/>
    </row>
    <row r="742" spans="1:13" x14ac:dyDescent="0.2">
      <c r="A742" s="2409" t="s">
        <v>7099</v>
      </c>
      <c r="B742" s="2409" t="s">
        <v>6616</v>
      </c>
      <c r="C742" s="2407"/>
      <c r="D742" s="2407"/>
      <c r="E742" s="2407"/>
      <c r="F742" s="2407"/>
      <c r="G742" s="2407"/>
      <c r="H742" s="2407"/>
      <c r="I742" s="2400">
        <v>33075</v>
      </c>
      <c r="J742" s="2332">
        <f>[5]Sheet1!$K$721</f>
        <v>11286.85</v>
      </c>
      <c r="K742" s="2333">
        <f t="shared" si="145"/>
        <v>11286.85</v>
      </c>
      <c r="L742" s="2407"/>
      <c r="M742" s="2407"/>
    </row>
    <row r="743" spans="1:13" x14ac:dyDescent="0.2">
      <c r="A743" s="2410"/>
      <c r="B743" s="2410" t="s">
        <v>7100</v>
      </c>
      <c r="C743" s="2411"/>
      <c r="D743" s="2411"/>
      <c r="E743" s="2411"/>
      <c r="F743" s="2411"/>
      <c r="G743" s="2411"/>
      <c r="H743" s="2411"/>
      <c r="I743" s="2412"/>
      <c r="J743" s="2349"/>
      <c r="K743" s="2333">
        <f t="shared" si="145"/>
        <v>0</v>
      </c>
      <c r="L743" s="2411"/>
      <c r="M743" s="2411"/>
    </row>
    <row r="744" spans="1:13" x14ac:dyDescent="0.2">
      <c r="A744" s="2409" t="s">
        <v>5427</v>
      </c>
      <c r="B744" s="2409" t="s">
        <v>6715</v>
      </c>
      <c r="C744" s="2407"/>
      <c r="D744" s="2407"/>
      <c r="E744" s="2407"/>
      <c r="F744" s="2407"/>
      <c r="G744" s="2407"/>
      <c r="H744" s="2407"/>
      <c r="I744" s="2400">
        <v>525000</v>
      </c>
      <c r="J744" s="2332">
        <f>[5]Sheet1!$K$777</f>
        <v>11651.7</v>
      </c>
      <c r="K744" s="2333">
        <f t="shared" si="145"/>
        <v>11651.7</v>
      </c>
      <c r="L744" s="2407"/>
      <c r="M744" s="2407"/>
    </row>
    <row r="745" spans="1:13" x14ac:dyDescent="0.2">
      <c r="A745" s="2409" t="s">
        <v>7101</v>
      </c>
      <c r="B745" s="2409" t="s">
        <v>6700</v>
      </c>
      <c r="C745" s="2407"/>
      <c r="D745" s="2407"/>
      <c r="E745" s="2407"/>
      <c r="F745" s="2407"/>
      <c r="G745" s="2407"/>
      <c r="H745" s="2407"/>
      <c r="I745" s="2400">
        <v>5513</v>
      </c>
      <c r="J745" s="2332">
        <f>[5]Sheet1!$K$778</f>
        <v>1879.98</v>
      </c>
      <c r="K745" s="2333">
        <f t="shared" si="145"/>
        <v>1879.98</v>
      </c>
      <c r="L745" s="2407"/>
      <c r="M745" s="2407"/>
    </row>
    <row r="746" spans="1:13" x14ac:dyDescent="0.2">
      <c r="A746" s="2409" t="s">
        <v>7102</v>
      </c>
      <c r="B746" s="2409" t="s">
        <v>6174</v>
      </c>
      <c r="C746" s="2407"/>
      <c r="D746" s="2407"/>
      <c r="E746" s="2407"/>
      <c r="F746" s="2407"/>
      <c r="G746" s="2407"/>
      <c r="H746" s="2407"/>
      <c r="I746" s="2400">
        <v>5513</v>
      </c>
      <c r="J746" s="2332">
        <f>[5]Sheet1!$K$780</f>
        <v>1040</v>
      </c>
      <c r="K746" s="2333">
        <f t="shared" si="145"/>
        <v>1040</v>
      </c>
      <c r="L746" s="2407"/>
      <c r="M746" s="2407"/>
    </row>
    <row r="747" spans="1:13" x14ac:dyDescent="0.2">
      <c r="A747" s="2410"/>
      <c r="B747" s="2410" t="s">
        <v>7103</v>
      </c>
      <c r="C747" s="2411"/>
      <c r="D747" s="2411"/>
      <c r="E747" s="2411"/>
      <c r="F747" s="2411"/>
      <c r="G747" s="2411"/>
      <c r="H747" s="2411"/>
      <c r="I747" s="2412"/>
      <c r="J747" s="2349"/>
      <c r="K747" s="2333">
        <f t="shared" si="145"/>
        <v>0</v>
      </c>
      <c r="L747" s="2411"/>
      <c r="M747" s="2411"/>
    </row>
    <row r="748" spans="1:13" x14ac:dyDescent="0.2">
      <c r="A748" s="2409" t="s">
        <v>7104</v>
      </c>
      <c r="B748" s="2409" t="s">
        <v>6177</v>
      </c>
      <c r="C748" s="2407"/>
      <c r="D748" s="2407"/>
      <c r="E748" s="2407"/>
      <c r="F748" s="2407"/>
      <c r="G748" s="2407"/>
      <c r="H748" s="2407"/>
      <c r="I748" s="2400">
        <v>210000</v>
      </c>
      <c r="J748" s="2332">
        <f>[5]Sheet1!$K$806</f>
        <v>71658.41</v>
      </c>
      <c r="K748" s="2333">
        <f t="shared" si="145"/>
        <v>71658.41</v>
      </c>
      <c r="L748" s="2407"/>
      <c r="M748" s="2407"/>
    </row>
    <row r="749" spans="1:13" x14ac:dyDescent="0.2">
      <c r="A749" s="2409" t="s">
        <v>7105</v>
      </c>
      <c r="B749" s="2409" t="s">
        <v>6769</v>
      </c>
      <c r="C749" s="2407"/>
      <c r="D749" s="2407"/>
      <c r="E749" s="2407"/>
      <c r="F749" s="2407"/>
      <c r="G749" s="2407"/>
      <c r="H749" s="2407"/>
      <c r="I749" s="2400">
        <v>210000</v>
      </c>
      <c r="J749" s="2332">
        <f>[5]Sheet1!$K$807</f>
        <v>93444.66</v>
      </c>
      <c r="K749" s="2333">
        <f t="shared" si="145"/>
        <v>93444.66</v>
      </c>
      <c r="L749" s="2407"/>
      <c r="M749" s="2407"/>
    </row>
    <row r="750" spans="1:13" x14ac:dyDescent="0.2">
      <c r="A750" s="2410"/>
      <c r="B750" s="2410" t="s">
        <v>7106</v>
      </c>
      <c r="C750" s="2411"/>
      <c r="D750" s="2411"/>
      <c r="E750" s="2411"/>
      <c r="F750" s="2411"/>
      <c r="G750" s="2411"/>
      <c r="H750" s="2411"/>
      <c r="I750" s="2412"/>
      <c r="J750" s="2349"/>
      <c r="K750" s="2333">
        <f t="shared" si="145"/>
        <v>0</v>
      </c>
      <c r="L750" s="2411"/>
      <c r="M750" s="2411"/>
    </row>
    <row r="751" spans="1:13" x14ac:dyDescent="0.2">
      <c r="A751" s="2409" t="s">
        <v>7107</v>
      </c>
      <c r="B751" s="2409" t="s">
        <v>6177</v>
      </c>
      <c r="C751" s="2407"/>
      <c r="D751" s="2407"/>
      <c r="E751" s="2407"/>
      <c r="F751" s="2407"/>
      <c r="G751" s="2407"/>
      <c r="H751" s="2407"/>
      <c r="I751" s="2400">
        <v>84000</v>
      </c>
      <c r="J751" s="2332">
        <f>[5]Sheet1!$K$839</f>
        <v>28663.360000000001</v>
      </c>
      <c r="K751" s="2333">
        <f t="shared" si="145"/>
        <v>28663.360000000001</v>
      </c>
      <c r="L751" s="2407"/>
      <c r="M751" s="2407"/>
    </row>
    <row r="752" spans="1:13" x14ac:dyDescent="0.2">
      <c r="A752" s="2410"/>
      <c r="B752" s="2410" t="s">
        <v>202</v>
      </c>
      <c r="C752" s="2411"/>
      <c r="D752" s="2411"/>
      <c r="E752" s="2411"/>
      <c r="F752" s="2411"/>
      <c r="G752" s="2411"/>
      <c r="H752" s="2411"/>
      <c r="I752" s="2412"/>
      <c r="J752" s="2349"/>
      <c r="K752" s="2333">
        <f t="shared" si="145"/>
        <v>0</v>
      </c>
      <c r="L752" s="2411"/>
      <c r="M752" s="2411"/>
    </row>
    <row r="753" spans="1:13" x14ac:dyDescent="0.2">
      <c r="A753" s="2409" t="s">
        <v>5507</v>
      </c>
      <c r="B753" s="2409" t="s">
        <v>6616</v>
      </c>
      <c r="C753" s="2407"/>
      <c r="D753" s="2407"/>
      <c r="E753" s="2407"/>
      <c r="F753" s="2407"/>
      <c r="G753" s="2407"/>
      <c r="H753" s="2407"/>
      <c r="I753" s="2400">
        <v>1103</v>
      </c>
      <c r="J753" s="2332">
        <f>[5]Sheet1!$K$888</f>
        <v>375.06</v>
      </c>
      <c r="K753" s="2333">
        <f t="shared" si="145"/>
        <v>375.06</v>
      </c>
      <c r="L753" s="2407"/>
      <c r="M753" s="2407"/>
    </row>
    <row r="754" spans="1:13" x14ac:dyDescent="0.2">
      <c r="A754" s="2410"/>
      <c r="B754" s="2410" t="s">
        <v>7108</v>
      </c>
      <c r="C754" s="2411"/>
      <c r="D754" s="2411"/>
      <c r="E754" s="2411"/>
      <c r="F754" s="2411"/>
      <c r="G754" s="2411"/>
      <c r="H754" s="2411"/>
      <c r="I754" s="2412"/>
      <c r="J754" s="2349"/>
      <c r="K754" s="2333">
        <f t="shared" si="145"/>
        <v>0</v>
      </c>
      <c r="L754" s="2411"/>
      <c r="M754" s="2411"/>
    </row>
    <row r="755" spans="1:13" x14ac:dyDescent="0.2">
      <c r="A755" s="2409" t="s">
        <v>5545</v>
      </c>
      <c r="B755" s="2409" t="s">
        <v>6700</v>
      </c>
      <c r="C755" s="2407"/>
      <c r="D755" s="2407"/>
      <c r="E755" s="2407"/>
      <c r="F755" s="2407"/>
      <c r="G755" s="2407"/>
      <c r="H755" s="2407"/>
      <c r="I755" s="2400">
        <v>105000</v>
      </c>
      <c r="J755" s="2332">
        <f>[5]Sheet1!$K$918</f>
        <v>35829.199999999997</v>
      </c>
      <c r="K755" s="2333">
        <f t="shared" si="145"/>
        <v>35829.199999999997</v>
      </c>
      <c r="L755" s="2407"/>
      <c r="M755" s="2407"/>
    </row>
    <row r="756" spans="1:13" x14ac:dyDescent="0.2">
      <c r="A756" s="2409" t="s">
        <v>7109</v>
      </c>
      <c r="B756" s="2409" t="s">
        <v>6617</v>
      </c>
      <c r="C756" s="2407"/>
      <c r="D756" s="2407"/>
      <c r="E756" s="2407"/>
      <c r="F756" s="2407"/>
      <c r="G756" s="2407"/>
      <c r="H756" s="2407"/>
      <c r="I756" s="2400">
        <v>0</v>
      </c>
      <c r="J756" s="2332">
        <f>[5]Sheet1!$K$920</f>
        <v>1580</v>
      </c>
      <c r="K756" s="2333">
        <f t="shared" si="145"/>
        <v>1580</v>
      </c>
      <c r="L756" s="2407"/>
      <c r="M756" s="2407"/>
    </row>
    <row r="757" spans="1:13" x14ac:dyDescent="0.2">
      <c r="A757" s="2410"/>
      <c r="B757" s="2410" t="s">
        <v>693</v>
      </c>
      <c r="C757" s="2411"/>
      <c r="D757" s="2411"/>
      <c r="E757" s="2411"/>
      <c r="F757" s="2411"/>
      <c r="G757" s="2411"/>
      <c r="H757" s="2411"/>
      <c r="I757" s="2412"/>
      <c r="J757" s="2349"/>
      <c r="K757" s="2333">
        <f t="shared" si="145"/>
        <v>0</v>
      </c>
      <c r="L757" s="2411"/>
      <c r="M757" s="2411"/>
    </row>
    <row r="758" spans="1:13" x14ac:dyDescent="0.2">
      <c r="A758" s="2409" t="s">
        <v>7110</v>
      </c>
      <c r="B758" s="2409" t="s">
        <v>6715</v>
      </c>
      <c r="C758" s="2407"/>
      <c r="D758" s="2407"/>
      <c r="E758" s="2407"/>
      <c r="F758" s="2407"/>
      <c r="G758" s="2407"/>
      <c r="H758" s="2407"/>
      <c r="I758" s="2400">
        <v>11025</v>
      </c>
      <c r="J758" s="2332">
        <f>[5]Sheet1!$K$972</f>
        <v>3762.29</v>
      </c>
      <c r="K758" s="2333">
        <f t="shared" si="145"/>
        <v>3762.29</v>
      </c>
      <c r="L758" s="2407"/>
      <c r="M758" s="2407"/>
    </row>
    <row r="759" spans="1:13" x14ac:dyDescent="0.2">
      <c r="A759" s="2409" t="s">
        <v>7111</v>
      </c>
      <c r="B759" s="2409" t="s">
        <v>6700</v>
      </c>
      <c r="C759" s="2407"/>
      <c r="D759" s="2407"/>
      <c r="E759" s="2407"/>
      <c r="F759" s="2407"/>
      <c r="G759" s="2407"/>
      <c r="H759" s="2407"/>
      <c r="I759" s="2400">
        <v>19742</v>
      </c>
      <c r="J759" s="2332">
        <f>[5]Sheet1!$K$973</f>
        <v>13523.32</v>
      </c>
      <c r="K759" s="2333">
        <f t="shared" si="145"/>
        <v>13523.32</v>
      </c>
      <c r="L759" s="2407"/>
      <c r="M759" s="2407"/>
    </row>
    <row r="760" spans="1:13" x14ac:dyDescent="0.2">
      <c r="A760" s="2409" t="s">
        <v>7112</v>
      </c>
      <c r="B760" s="2409" t="s">
        <v>6177</v>
      </c>
      <c r="C760" s="2407"/>
      <c r="D760" s="2407"/>
      <c r="E760" s="2407"/>
      <c r="F760" s="2407"/>
      <c r="G760" s="2407"/>
      <c r="H760" s="2407"/>
      <c r="I760" s="2400">
        <v>52500</v>
      </c>
      <c r="J760" s="2332">
        <f>[5]Sheet1!$K$974</f>
        <v>17913.14</v>
      </c>
      <c r="K760" s="2333">
        <f t="shared" si="145"/>
        <v>17913.14</v>
      </c>
      <c r="L760" s="2407"/>
      <c r="M760" s="2407"/>
    </row>
    <row r="761" spans="1:13" x14ac:dyDescent="0.2">
      <c r="A761" s="2409" t="s">
        <v>7113</v>
      </c>
      <c r="B761" s="2409" t="s">
        <v>6617</v>
      </c>
      <c r="C761" s="2407"/>
      <c r="D761" s="2407"/>
      <c r="E761" s="2407"/>
      <c r="F761" s="2407"/>
      <c r="G761" s="2407"/>
      <c r="H761" s="2407"/>
      <c r="I761" s="2400">
        <v>0</v>
      </c>
      <c r="J761" s="2332">
        <f>[5]Sheet1!$K$975</f>
        <v>3640</v>
      </c>
      <c r="K761" s="2333">
        <f t="shared" si="145"/>
        <v>3640</v>
      </c>
      <c r="L761" s="2407"/>
      <c r="M761" s="2407"/>
    </row>
    <row r="762" spans="1:13" x14ac:dyDescent="0.2">
      <c r="A762" s="2410"/>
      <c r="B762" s="2410" t="s">
        <v>7114</v>
      </c>
      <c r="C762" s="2411"/>
      <c r="D762" s="2411"/>
      <c r="E762" s="2411"/>
      <c r="F762" s="2411"/>
      <c r="G762" s="2411"/>
      <c r="H762" s="2411"/>
      <c r="I762" s="2412"/>
      <c r="J762" s="2349"/>
      <c r="K762" s="2333">
        <f t="shared" si="145"/>
        <v>0</v>
      </c>
      <c r="L762" s="2411"/>
      <c r="M762" s="2411"/>
    </row>
    <row r="763" spans="1:13" x14ac:dyDescent="0.2">
      <c r="A763" s="2409" t="s">
        <v>7115</v>
      </c>
      <c r="B763" s="2409" t="s">
        <v>6715</v>
      </c>
      <c r="C763" s="2407"/>
      <c r="D763" s="2407"/>
      <c r="E763" s="2407"/>
      <c r="F763" s="2407"/>
      <c r="G763" s="2407"/>
      <c r="H763" s="2407"/>
      <c r="I763" s="2400">
        <v>23153</v>
      </c>
      <c r="J763" s="2332">
        <f>[5]Sheet1!$K$1013</f>
        <v>7899.63</v>
      </c>
      <c r="K763" s="2333">
        <f t="shared" si="145"/>
        <v>7899.63</v>
      </c>
      <c r="L763" s="2407"/>
      <c r="M763" s="2407"/>
    </row>
    <row r="764" spans="1:13" x14ac:dyDescent="0.2">
      <c r="A764" s="2409" t="s">
        <v>7116</v>
      </c>
      <c r="B764" s="2409" t="s">
        <v>6700</v>
      </c>
      <c r="C764" s="2407"/>
      <c r="D764" s="2407"/>
      <c r="E764" s="2407"/>
      <c r="F764" s="2407"/>
      <c r="G764" s="2407"/>
      <c r="H764" s="2407"/>
      <c r="I764" s="2400">
        <v>6615</v>
      </c>
      <c r="J764" s="2332">
        <f>[5]Sheet1!$K$1014</f>
        <v>12.279999999999998</v>
      </c>
      <c r="K764" s="2333">
        <f t="shared" si="145"/>
        <v>12.279999999999998</v>
      </c>
      <c r="L764" s="2407"/>
      <c r="M764" s="2407"/>
    </row>
    <row r="765" spans="1:13" x14ac:dyDescent="0.2">
      <c r="A765" s="2409" t="s">
        <v>7117</v>
      </c>
      <c r="B765" s="2409" t="s">
        <v>6805</v>
      </c>
      <c r="C765" s="2407"/>
      <c r="D765" s="2407"/>
      <c r="E765" s="2407"/>
      <c r="F765" s="2407"/>
      <c r="G765" s="2407"/>
      <c r="H765" s="2407"/>
      <c r="I765" s="2400">
        <v>5513</v>
      </c>
      <c r="J765" s="2332">
        <f>[5]Sheet1!$K$1015</f>
        <v>1879.98</v>
      </c>
      <c r="K765" s="2333">
        <f t="shared" si="145"/>
        <v>1879.98</v>
      </c>
      <c r="L765" s="2407"/>
      <c r="M765" s="2407"/>
    </row>
    <row r="766" spans="1:13" x14ac:dyDescent="0.2">
      <c r="A766" s="2414"/>
      <c r="B766" s="2406" t="s">
        <v>7118</v>
      </c>
      <c r="C766" s="2411"/>
      <c r="D766" s="2411"/>
      <c r="E766" s="2411"/>
      <c r="F766" s="2411"/>
      <c r="G766" s="2411"/>
      <c r="H766" s="2411"/>
      <c r="I766" s="2349"/>
      <c r="J766" s="2349"/>
      <c r="K766" s="2333">
        <f t="shared" si="145"/>
        <v>0</v>
      </c>
      <c r="L766" s="2411"/>
      <c r="M766" s="2411"/>
    </row>
    <row r="767" spans="1:13" x14ac:dyDescent="0.2">
      <c r="A767" s="2409" t="s">
        <v>5706</v>
      </c>
      <c r="B767" s="2409" t="s">
        <v>6715</v>
      </c>
      <c r="C767" s="2407"/>
      <c r="D767" s="2407"/>
      <c r="E767" s="2407"/>
      <c r="F767" s="2407"/>
      <c r="G767" s="2407"/>
      <c r="H767" s="2407"/>
      <c r="I767" s="2400">
        <v>22050</v>
      </c>
      <c r="J767" s="2332">
        <f>[5]Sheet1!$K$1096</f>
        <v>7524.57</v>
      </c>
      <c r="K767" s="2333">
        <f t="shared" si="145"/>
        <v>7524.57</v>
      </c>
      <c r="L767" s="2407"/>
      <c r="M767" s="2407"/>
    </row>
    <row r="768" spans="1:13" x14ac:dyDescent="0.2">
      <c r="A768" s="2409" t="s">
        <v>5707</v>
      </c>
      <c r="B768" s="2409" t="s">
        <v>6700</v>
      </c>
      <c r="C768" s="2407"/>
      <c r="D768" s="2407"/>
      <c r="E768" s="2407"/>
      <c r="F768" s="2407"/>
      <c r="G768" s="2407"/>
      <c r="H768" s="2407"/>
      <c r="I768" s="2400">
        <v>25358</v>
      </c>
      <c r="J768" s="2332">
        <f>[5]Sheet1!$K$1097</f>
        <v>8652.09</v>
      </c>
      <c r="K768" s="2333">
        <f t="shared" si="145"/>
        <v>8652.09</v>
      </c>
      <c r="L768" s="2407"/>
      <c r="M768" s="2407"/>
    </row>
    <row r="769" spans="1:13" x14ac:dyDescent="0.2">
      <c r="A769" s="2409" t="s">
        <v>5710</v>
      </c>
      <c r="B769" s="2409" t="s">
        <v>6821</v>
      </c>
      <c r="C769" s="2407"/>
      <c r="D769" s="2407"/>
      <c r="E769" s="2407"/>
      <c r="F769" s="2407"/>
      <c r="G769" s="2407"/>
      <c r="H769" s="2407"/>
      <c r="I769" s="2400">
        <v>165375</v>
      </c>
      <c r="J769" s="2332">
        <f>[5]Sheet1!$K$1099</f>
        <v>56431.360000000001</v>
      </c>
      <c r="K769" s="2333">
        <f t="shared" si="145"/>
        <v>56431.360000000001</v>
      </c>
      <c r="L769" s="2407"/>
      <c r="M769" s="2407"/>
    </row>
    <row r="770" spans="1:13" x14ac:dyDescent="0.2">
      <c r="A770" s="2409" t="s">
        <v>5711</v>
      </c>
      <c r="B770" s="2409" t="s">
        <v>6769</v>
      </c>
      <c r="C770" s="2407"/>
      <c r="D770" s="2407"/>
      <c r="E770" s="2407"/>
      <c r="F770" s="2407"/>
      <c r="G770" s="2407"/>
      <c r="H770" s="2407"/>
      <c r="I770" s="2400">
        <v>110250</v>
      </c>
      <c r="J770" s="2332">
        <f>[5]Sheet1!$K$1100</f>
        <v>15938.720000000001</v>
      </c>
      <c r="K770" s="2333">
        <f t="shared" si="145"/>
        <v>15938.720000000001</v>
      </c>
      <c r="L770" s="2407"/>
      <c r="M770" s="2407"/>
    </row>
    <row r="771" spans="1:13" x14ac:dyDescent="0.2">
      <c r="A771" s="2410"/>
      <c r="B771" s="2410" t="s">
        <v>21</v>
      </c>
      <c r="C771" s="2411"/>
      <c r="D771" s="2411"/>
      <c r="E771" s="2411"/>
      <c r="F771" s="2411"/>
      <c r="G771" s="2411"/>
      <c r="H771" s="2411"/>
      <c r="I771" s="2412"/>
      <c r="J771" s="2349"/>
      <c r="K771" s="2333">
        <f t="shared" si="145"/>
        <v>0</v>
      </c>
      <c r="L771" s="2411"/>
      <c r="M771" s="2411"/>
    </row>
    <row r="772" spans="1:13" x14ac:dyDescent="0.2">
      <c r="A772" s="2409" t="s">
        <v>7119</v>
      </c>
      <c r="B772" s="2409" t="s">
        <v>6700</v>
      </c>
      <c r="C772" s="2407"/>
      <c r="D772" s="2407"/>
      <c r="E772" s="2407"/>
      <c r="F772" s="2407"/>
      <c r="G772" s="2407"/>
      <c r="H772" s="2407"/>
      <c r="I772" s="2400">
        <v>5513</v>
      </c>
      <c r="J772" s="2332">
        <f>[5]Sheet1!$K$1179</f>
        <v>419.8</v>
      </c>
      <c r="K772" s="2333">
        <f t="shared" si="145"/>
        <v>419.8</v>
      </c>
      <c r="L772" s="2407"/>
      <c r="M772" s="2407"/>
    </row>
    <row r="773" spans="1:13" x14ac:dyDescent="0.2">
      <c r="A773" s="2409" t="s">
        <v>7120</v>
      </c>
      <c r="B773" s="2409" t="s">
        <v>6177</v>
      </c>
      <c r="C773" s="2407"/>
      <c r="D773" s="2407"/>
      <c r="E773" s="2407"/>
      <c r="F773" s="2407"/>
      <c r="G773" s="2407"/>
      <c r="H773" s="2407"/>
      <c r="I773" s="2400">
        <v>110250</v>
      </c>
      <c r="J773" s="2332">
        <f>[5]Sheet1!$K$1180</f>
        <v>282650.92</v>
      </c>
      <c r="K773" s="2333">
        <f t="shared" si="145"/>
        <v>282650.92</v>
      </c>
      <c r="L773" s="2407"/>
      <c r="M773" s="2407"/>
    </row>
    <row r="774" spans="1:13" x14ac:dyDescent="0.2">
      <c r="A774" s="2409" t="s">
        <v>7121</v>
      </c>
      <c r="B774" s="2409" t="s">
        <v>6617</v>
      </c>
      <c r="C774" s="2407"/>
      <c r="D774" s="2407"/>
      <c r="E774" s="2407"/>
      <c r="F774" s="2407"/>
      <c r="G774" s="2407"/>
      <c r="H774" s="2407"/>
      <c r="I774" s="2400">
        <v>0</v>
      </c>
      <c r="J774" s="2332">
        <f>[5]Sheet1!$K$1181</f>
        <v>249643.56</v>
      </c>
      <c r="K774" s="2333">
        <f t="shared" si="145"/>
        <v>249643.56</v>
      </c>
      <c r="L774" s="2407"/>
      <c r="M774" s="2407"/>
    </row>
    <row r="775" spans="1:13" x14ac:dyDescent="0.2">
      <c r="A775" s="2409" t="s">
        <v>7122</v>
      </c>
      <c r="B775" s="2409" t="s">
        <v>6827</v>
      </c>
      <c r="C775" s="2407"/>
      <c r="D775" s="2407"/>
      <c r="E775" s="2407"/>
      <c r="F775" s="2407"/>
      <c r="G775" s="2407"/>
      <c r="H775" s="2407"/>
      <c r="I775" s="2400">
        <v>52500</v>
      </c>
      <c r="J775" s="2332">
        <f>[5]Sheet1!$K$1182</f>
        <v>17913.14</v>
      </c>
      <c r="K775" s="2333">
        <f t="shared" si="145"/>
        <v>17913.14</v>
      </c>
      <c r="L775" s="2407"/>
      <c r="M775" s="2407"/>
    </row>
    <row r="776" spans="1:13" x14ac:dyDescent="0.2">
      <c r="A776" s="2409" t="s">
        <v>7123</v>
      </c>
      <c r="B776" s="2409" t="s">
        <v>6821</v>
      </c>
      <c r="C776" s="2407"/>
      <c r="D776" s="2407"/>
      <c r="E776" s="2407"/>
      <c r="F776" s="2407"/>
      <c r="G776" s="2407"/>
      <c r="H776" s="2407"/>
      <c r="I776" s="2400">
        <v>66150</v>
      </c>
      <c r="J776" s="2332">
        <f>[5]Sheet1!$K$1183</f>
        <v>22573.71</v>
      </c>
      <c r="K776" s="2333">
        <f t="shared" si="145"/>
        <v>22573.71</v>
      </c>
      <c r="L776" s="2407"/>
      <c r="M776" s="2407"/>
    </row>
    <row r="777" spans="1:13" x14ac:dyDescent="0.2">
      <c r="A777" s="2410"/>
      <c r="B777" s="2410" t="s">
        <v>7124</v>
      </c>
      <c r="C777" s="2411"/>
      <c r="D777" s="2411"/>
      <c r="E777" s="2411"/>
      <c r="F777" s="2411"/>
      <c r="G777" s="2411"/>
      <c r="H777" s="2411"/>
      <c r="I777" s="2412"/>
      <c r="J777" s="2349"/>
      <c r="K777" s="2333">
        <f t="shared" si="145"/>
        <v>0</v>
      </c>
      <c r="L777" s="2411"/>
      <c r="M777" s="2411"/>
    </row>
    <row r="778" spans="1:13" x14ac:dyDescent="0.2">
      <c r="A778" s="2409" t="s">
        <v>7125</v>
      </c>
      <c r="B778" s="2409" t="s">
        <v>6833</v>
      </c>
      <c r="C778" s="2407"/>
      <c r="D778" s="2407"/>
      <c r="E778" s="2407"/>
      <c r="F778" s="2407"/>
      <c r="G778" s="2407"/>
      <c r="H778" s="2407"/>
      <c r="I778" s="2400">
        <v>315000</v>
      </c>
      <c r="J778" s="2332">
        <f>[5]Sheet1!$K$1292</f>
        <v>32270.82</v>
      </c>
      <c r="K778" s="2333">
        <f t="shared" si="145"/>
        <v>32270.82</v>
      </c>
      <c r="L778" s="2407"/>
      <c r="M778" s="2407"/>
    </row>
    <row r="779" spans="1:13" x14ac:dyDescent="0.2">
      <c r="A779" s="2409" t="s">
        <v>7126</v>
      </c>
      <c r="B779" s="2409" t="s">
        <v>6617</v>
      </c>
      <c r="C779" s="2407"/>
      <c r="D779" s="2407"/>
      <c r="E779" s="2407"/>
      <c r="F779" s="2407"/>
      <c r="G779" s="2407"/>
      <c r="H779" s="2407"/>
      <c r="I779" s="2400">
        <v>0</v>
      </c>
      <c r="J779" s="2332">
        <f>[5]Sheet1!$K$1293</f>
        <v>1918.06</v>
      </c>
      <c r="K779" s="2333">
        <f t="shared" si="145"/>
        <v>1918.06</v>
      </c>
      <c r="L779" s="2407"/>
      <c r="M779" s="2407"/>
    </row>
    <row r="780" spans="1:13" x14ac:dyDescent="0.2">
      <c r="A780" s="2410"/>
      <c r="B780" s="2410" t="s">
        <v>1838</v>
      </c>
      <c r="C780" s="2411"/>
      <c r="D780" s="2411"/>
      <c r="E780" s="2411"/>
      <c r="F780" s="2411"/>
      <c r="G780" s="2411"/>
      <c r="H780" s="2411"/>
      <c r="I780" s="2412"/>
      <c r="J780" s="2349"/>
      <c r="K780" s="2333">
        <f t="shared" si="145"/>
        <v>0</v>
      </c>
      <c r="L780" s="2411"/>
      <c r="M780" s="2411"/>
    </row>
    <row r="781" spans="1:13" x14ac:dyDescent="0.2">
      <c r="A781" s="2409" t="s">
        <v>7127</v>
      </c>
      <c r="B781" s="2409" t="s">
        <v>6700</v>
      </c>
      <c r="C781" s="2407"/>
      <c r="D781" s="2407"/>
      <c r="E781" s="2407"/>
      <c r="F781" s="2407"/>
      <c r="G781" s="2407"/>
      <c r="H781" s="2407"/>
      <c r="I781" s="2400">
        <v>33075</v>
      </c>
      <c r="J781" s="2332">
        <f>[5]Sheet1!$K$1345</f>
        <v>11286.85</v>
      </c>
      <c r="K781" s="2333">
        <f t="shared" si="145"/>
        <v>11286.85</v>
      </c>
      <c r="L781" s="2407"/>
      <c r="M781" s="2407"/>
    </row>
    <row r="782" spans="1:13" x14ac:dyDescent="0.2">
      <c r="A782" s="2409" t="s">
        <v>7128</v>
      </c>
      <c r="B782" s="2409" t="s">
        <v>6790</v>
      </c>
      <c r="C782" s="2407"/>
      <c r="D782" s="2407"/>
      <c r="E782" s="2407"/>
      <c r="F782" s="2407"/>
      <c r="G782" s="2407"/>
      <c r="H782" s="2407"/>
      <c r="I782" s="2400">
        <v>157500</v>
      </c>
      <c r="J782" s="2332">
        <f>[5]Sheet1!$K$1346</f>
        <v>53742.35</v>
      </c>
      <c r="K782" s="2333">
        <f t="shared" si="145"/>
        <v>53742.35</v>
      </c>
      <c r="L782" s="2407"/>
      <c r="M782" s="2407"/>
    </row>
    <row r="783" spans="1:13" x14ac:dyDescent="0.2">
      <c r="A783" s="2410"/>
      <c r="B783" s="2410" t="s">
        <v>1857</v>
      </c>
      <c r="C783" s="2411"/>
      <c r="D783" s="2411"/>
      <c r="E783" s="2411"/>
      <c r="F783" s="2411"/>
      <c r="G783" s="2411"/>
      <c r="H783" s="2411"/>
      <c r="I783" s="2412"/>
      <c r="J783" s="2349"/>
      <c r="K783" s="2333">
        <f t="shared" si="145"/>
        <v>0</v>
      </c>
      <c r="L783" s="2411"/>
      <c r="M783" s="2411"/>
    </row>
    <row r="784" spans="1:13" x14ac:dyDescent="0.2">
      <c r="A784" s="2409" t="s">
        <v>5874</v>
      </c>
      <c r="B784" s="2409" t="s">
        <v>6715</v>
      </c>
      <c r="C784" s="2407"/>
      <c r="D784" s="2407"/>
      <c r="E784" s="2407"/>
      <c r="F784" s="2407"/>
      <c r="G784" s="2407"/>
      <c r="H784" s="2407"/>
      <c r="I784" s="2400">
        <v>110250</v>
      </c>
      <c r="J784" s="2332">
        <f>[5]Sheet1!$K$1440</f>
        <v>0</v>
      </c>
      <c r="K784" s="2333">
        <f t="shared" si="145"/>
        <v>0</v>
      </c>
      <c r="L784" s="2407"/>
      <c r="M784" s="2407"/>
    </row>
    <row r="785" spans="1:13" x14ac:dyDescent="0.2">
      <c r="A785" s="2409" t="s">
        <v>5875</v>
      </c>
      <c r="B785" s="2409" t="s">
        <v>6700</v>
      </c>
      <c r="C785" s="2407"/>
      <c r="D785" s="2407"/>
      <c r="E785" s="2407"/>
      <c r="F785" s="2407"/>
      <c r="G785" s="2407"/>
      <c r="H785" s="2407"/>
      <c r="I785" s="2400">
        <v>11025</v>
      </c>
      <c r="J785" s="2332"/>
      <c r="K785" s="2333">
        <f t="shared" si="145"/>
        <v>0</v>
      </c>
      <c r="L785" s="2407"/>
      <c r="M785" s="2407"/>
    </row>
    <row r="786" spans="1:13" x14ac:dyDescent="0.2">
      <c r="A786" s="2409" t="s">
        <v>5876</v>
      </c>
      <c r="B786" s="2409" t="s">
        <v>6844</v>
      </c>
      <c r="C786" s="2407"/>
      <c r="D786" s="2407"/>
      <c r="E786" s="2407"/>
      <c r="F786" s="2407"/>
      <c r="G786" s="2407"/>
      <c r="H786" s="2407"/>
      <c r="I786" s="2400">
        <v>52500</v>
      </c>
      <c r="J786" s="2332"/>
      <c r="K786" s="2333">
        <f t="shared" si="145"/>
        <v>0</v>
      </c>
      <c r="L786" s="2407"/>
      <c r="M786" s="2407"/>
    </row>
    <row r="787" spans="1:13" x14ac:dyDescent="0.2">
      <c r="A787" s="2409" t="s">
        <v>5877</v>
      </c>
      <c r="B787" s="2409" t="s">
        <v>6617</v>
      </c>
      <c r="C787" s="2407"/>
      <c r="D787" s="2407"/>
      <c r="E787" s="2407"/>
      <c r="F787" s="2407"/>
      <c r="G787" s="2407"/>
      <c r="H787" s="2407"/>
      <c r="I787" s="2400">
        <v>0</v>
      </c>
      <c r="J787" s="2332">
        <f>[5]Sheet1!$K$1443</f>
        <v>15965.2</v>
      </c>
      <c r="K787" s="2333">
        <f t="shared" si="145"/>
        <v>15965.2</v>
      </c>
      <c r="L787" s="2407"/>
      <c r="M787" s="2407"/>
    </row>
    <row r="788" spans="1:13" x14ac:dyDescent="0.2">
      <c r="A788" s="2409" t="s">
        <v>5878</v>
      </c>
      <c r="B788" s="2409" t="s">
        <v>6845</v>
      </c>
      <c r="C788" s="2407"/>
      <c r="D788" s="2407"/>
      <c r="E788" s="2407"/>
      <c r="F788" s="2407"/>
      <c r="G788" s="2407"/>
      <c r="H788" s="2407"/>
      <c r="I788" s="2400">
        <v>573174</v>
      </c>
      <c r="J788" s="2332"/>
      <c r="K788" s="2333">
        <f t="shared" si="145"/>
        <v>0</v>
      </c>
      <c r="L788" s="2407"/>
      <c r="M788" s="2407"/>
    </row>
    <row r="789" spans="1:13" x14ac:dyDescent="0.2">
      <c r="A789" s="2416"/>
      <c r="B789" s="2416" t="s">
        <v>229</v>
      </c>
      <c r="C789" s="2349"/>
      <c r="D789" s="2349"/>
      <c r="E789" s="2349"/>
      <c r="F789" s="2349"/>
      <c r="G789" s="2349"/>
      <c r="H789" s="2349"/>
      <c r="I789" s="2412"/>
      <c r="J789" s="2349"/>
      <c r="K789" s="2333">
        <f t="shared" ref="K789:K852" si="146">J789</f>
        <v>0</v>
      </c>
      <c r="L789" s="2349"/>
      <c r="M789" s="2349"/>
    </row>
    <row r="790" spans="1:13" x14ac:dyDescent="0.2">
      <c r="A790" s="2399" t="s">
        <v>5920</v>
      </c>
      <c r="B790" s="2399" t="s">
        <v>6855</v>
      </c>
      <c r="C790" s="2400">
        <v>48441</v>
      </c>
      <c r="D790" s="2332"/>
      <c r="E790" s="2332"/>
      <c r="F790" s="2332"/>
      <c r="G790" s="2332"/>
      <c r="H790" s="2332"/>
      <c r="I790" s="2400">
        <v>48441</v>
      </c>
      <c r="J790" s="2332">
        <f>[5]Sheet1!$K$1513</f>
        <v>16528.39</v>
      </c>
      <c r="K790" s="2333">
        <f t="shared" si="146"/>
        <v>16528.39</v>
      </c>
      <c r="L790" s="2332"/>
      <c r="M790" s="2332"/>
    </row>
    <row r="791" spans="1:13" x14ac:dyDescent="0.2">
      <c r="A791" s="2399" t="s">
        <v>5921</v>
      </c>
      <c r="B791" s="2399" t="s">
        <v>6821</v>
      </c>
      <c r="C791" s="2400">
        <v>1505</v>
      </c>
      <c r="D791" s="2332"/>
      <c r="E791" s="2332"/>
      <c r="F791" s="2332"/>
      <c r="G791" s="2332"/>
      <c r="H791" s="2332"/>
      <c r="I791" s="2400">
        <v>1505</v>
      </c>
      <c r="J791" s="2332">
        <f>[5]Sheet1!$K$1514</f>
        <v>513.29999999999995</v>
      </c>
      <c r="K791" s="2333">
        <f t="shared" si="146"/>
        <v>513.29999999999995</v>
      </c>
      <c r="L791" s="2332"/>
      <c r="M791" s="2332"/>
    </row>
    <row r="792" spans="1:13" x14ac:dyDescent="0.2">
      <c r="A792" s="2399" t="s">
        <v>5922</v>
      </c>
      <c r="B792" s="2399" t="s">
        <v>6265</v>
      </c>
      <c r="C792" s="2400">
        <v>239295</v>
      </c>
      <c r="D792" s="2332"/>
      <c r="E792" s="2332"/>
      <c r="F792" s="2332"/>
      <c r="G792" s="2332"/>
      <c r="H792" s="2332"/>
      <c r="I792" s="2400">
        <v>239295</v>
      </c>
      <c r="J792" s="2332">
        <f>[5]Sheet1!$K$1515</f>
        <v>81656.17</v>
      </c>
      <c r="K792" s="2333">
        <f t="shared" si="146"/>
        <v>81656.17</v>
      </c>
      <c r="L792" s="2332"/>
      <c r="M792" s="2332"/>
    </row>
    <row r="793" spans="1:13" x14ac:dyDescent="0.2">
      <c r="A793" s="2399" t="s">
        <v>5923</v>
      </c>
      <c r="B793" s="2399" t="s">
        <v>6856</v>
      </c>
      <c r="C793" s="2400">
        <v>67069</v>
      </c>
      <c r="D793" s="2332"/>
      <c r="E793" s="2332"/>
      <c r="F793" s="2332"/>
      <c r="G793" s="2332"/>
      <c r="H793" s="2332"/>
      <c r="I793" s="2400">
        <v>67069</v>
      </c>
      <c r="J793" s="2332">
        <f>[5]Sheet1!$K$1516</f>
        <v>22885.19</v>
      </c>
      <c r="K793" s="2333">
        <f t="shared" si="146"/>
        <v>22885.19</v>
      </c>
      <c r="L793" s="2332"/>
      <c r="M793" s="2332"/>
    </row>
    <row r="794" spans="1:13" x14ac:dyDescent="0.2">
      <c r="A794" s="2399"/>
      <c r="B794" s="2416" t="s">
        <v>6776</v>
      </c>
      <c r="C794" s="2332"/>
      <c r="D794" s="2332"/>
      <c r="E794" s="2332"/>
      <c r="F794" s="2332"/>
      <c r="G794" s="2332"/>
      <c r="H794" s="2332"/>
      <c r="I794" s="2400"/>
      <c r="J794" s="2332"/>
      <c r="K794" s="2333">
        <f t="shared" si="146"/>
        <v>0</v>
      </c>
      <c r="L794" s="2332"/>
      <c r="M794" s="2332"/>
    </row>
    <row r="795" spans="1:13" x14ac:dyDescent="0.2">
      <c r="A795" s="2399" t="s">
        <v>7129</v>
      </c>
      <c r="B795" s="2399" t="s">
        <v>6177</v>
      </c>
      <c r="C795" s="2332"/>
      <c r="D795" s="2332"/>
      <c r="E795" s="2332"/>
      <c r="F795" s="2332"/>
      <c r="G795" s="2332"/>
      <c r="H795" s="2332"/>
      <c r="I795" s="2400">
        <v>133403</v>
      </c>
      <c r="J795" s="2332">
        <f>[5]Sheet1!$K$1542</f>
        <v>45522.48</v>
      </c>
      <c r="K795" s="2336">
        <f t="shared" si="146"/>
        <v>45522.48</v>
      </c>
      <c r="L795" s="2332"/>
      <c r="M795" s="2332"/>
    </row>
    <row r="796" spans="1:13" x14ac:dyDescent="0.2">
      <c r="B796" s="2372" t="s">
        <v>6956</v>
      </c>
      <c r="C796" s="2417">
        <f>SUM(C731:C731)</f>
        <v>25219</v>
      </c>
      <c r="D796" s="2417">
        <f t="shared" ref="D796:M796" si="147">SUM(D731:D731)</f>
        <v>168000</v>
      </c>
      <c r="E796" s="2417">
        <f t="shared" si="147"/>
        <v>168000</v>
      </c>
      <c r="F796" s="2417">
        <f t="shared" si="147"/>
        <v>177629</v>
      </c>
      <c r="G796" s="2417">
        <f t="shared" si="147"/>
        <v>213154.80000000002</v>
      </c>
      <c r="H796" s="2417"/>
      <c r="I796" s="2417">
        <f>SUM(I719:I795)</f>
        <v>3939302.66</v>
      </c>
      <c r="J796" s="2417">
        <f>SUM(J719:J795)</f>
        <v>1636697.3499999999</v>
      </c>
      <c r="K796" s="2333">
        <f t="shared" si="146"/>
        <v>1636697.3499999999</v>
      </c>
      <c r="L796" s="2417">
        <f t="shared" si="147"/>
        <v>186984</v>
      </c>
      <c r="M796" s="2417">
        <f t="shared" si="147"/>
        <v>198203</v>
      </c>
    </row>
    <row r="797" spans="1:13" x14ac:dyDescent="0.2">
      <c r="B797" s="2330"/>
      <c r="C797" s="2349"/>
      <c r="D797" s="2349"/>
      <c r="E797" s="2349"/>
      <c r="G797" s="2332"/>
      <c r="H797" s="2332"/>
      <c r="I797" s="2332"/>
      <c r="J797" s="2332">
        <f>J796-[5]Sheet1!$K$67-[5]Sheet1!$K$139-[5]Sheet1!$K$262-[5]Sheet1!$K$336-[5]Sheet1!$K$400-[5]Sheet1!$K$460-[5]Sheet1!$K$503-[5]Sheet1!$K$524-[5]Sheet1!$K$580-[5]Sheet1!$K$675-[5]Sheet1!$K$722-[5]Sheet1!$K$781-[5]Sheet1!$K$808-[5]Sheet1!$K$840-[5]Sheet1!$K$889-[5]Sheet1!$K$921-[5]Sheet1!$K$977-[5]Sheet1!$K$1016-[5]Sheet1!$K$1101-[5]Sheet1!$K$1184-[5]Sheet1!$K$1295-[5]Sheet1!$K$1347-[5]Sheet1!$K$1446-[5]Sheet1!$K$1517-[5]Sheet1!$K$1542</f>
        <v>-3.2741809263825417E-10</v>
      </c>
      <c r="K797" s="2333">
        <f t="shared" si="146"/>
        <v>-3.2741809263825417E-10</v>
      </c>
      <c r="L797" s="2349"/>
      <c r="M797" s="2349"/>
    </row>
    <row r="798" spans="1:13" x14ac:dyDescent="0.2">
      <c r="B798" s="2330" t="s">
        <v>6599</v>
      </c>
      <c r="C798" s="2349"/>
      <c r="D798" s="2349"/>
      <c r="E798" s="2349"/>
      <c r="G798" s="2332"/>
      <c r="H798" s="2332"/>
      <c r="I798" s="2332"/>
      <c r="J798" s="2332"/>
      <c r="K798" s="2333">
        <f t="shared" si="146"/>
        <v>0</v>
      </c>
      <c r="L798" s="2349"/>
      <c r="M798" s="2349"/>
    </row>
    <row r="799" spans="1:13" x14ac:dyDescent="0.2">
      <c r="A799" s="2329">
        <v>2256</v>
      </c>
      <c r="B799" s="2258" t="s">
        <v>30</v>
      </c>
      <c r="C799" s="2332">
        <v>271042</v>
      </c>
      <c r="D799" s="2332">
        <v>290950</v>
      </c>
      <c r="E799" s="2332">
        <v>290950</v>
      </c>
      <c r="F799" s="2332">
        <v>298169</v>
      </c>
      <c r="G799" s="2332">
        <f>F799/$F$11*$G$11</f>
        <v>357802.80000000005</v>
      </c>
      <c r="H799" s="2332"/>
      <c r="I799" s="2332">
        <f>ROUND(E799*1.05,0)</f>
        <v>305498</v>
      </c>
      <c r="J799" s="2332">
        <f>[5]Sheet1!$K$519</f>
        <v>349029.84</v>
      </c>
      <c r="K799" s="2333">
        <f t="shared" si="146"/>
        <v>349029.84</v>
      </c>
      <c r="L799" s="2332">
        <f>ROUND(I799*1.06,0)</f>
        <v>323828</v>
      </c>
      <c r="M799" s="2332">
        <f>ROUND(L799*1.06,0)</f>
        <v>343258</v>
      </c>
    </row>
    <row r="800" spans="1:13" x14ac:dyDescent="0.2">
      <c r="A800" s="2329">
        <v>4106</v>
      </c>
      <c r="B800" s="2258" t="s">
        <v>7130</v>
      </c>
      <c r="C800" s="2332">
        <v>8681</v>
      </c>
      <c r="D800" s="2332">
        <v>0</v>
      </c>
      <c r="E800" s="2332">
        <v>0</v>
      </c>
      <c r="F800" s="2332">
        <v>0</v>
      </c>
      <c r="G800" s="2332">
        <f>F800/$F$11*$G$11</f>
        <v>0</v>
      </c>
      <c r="H800" s="2332"/>
      <c r="I800" s="2332">
        <f>ROUND(E800*1.05,0)</f>
        <v>0</v>
      </c>
      <c r="J800" s="2332">
        <v>0</v>
      </c>
      <c r="K800" s="2333">
        <f t="shared" si="146"/>
        <v>0</v>
      </c>
      <c r="L800" s="2332">
        <f>ROUND(I800*1.05,0)</f>
        <v>0</v>
      </c>
      <c r="M800" s="2332">
        <f>ROUND(L800*1.05,0)</f>
        <v>0</v>
      </c>
    </row>
    <row r="801" spans="1:13" x14ac:dyDescent="0.2">
      <c r="A801" s="2329">
        <v>4209</v>
      </c>
      <c r="B801" s="2258" t="s">
        <v>7022</v>
      </c>
      <c r="C801" s="2332">
        <v>2126</v>
      </c>
      <c r="D801" s="2332">
        <v>0</v>
      </c>
      <c r="E801" s="2332">
        <v>0</v>
      </c>
      <c r="F801" s="2332">
        <v>0</v>
      </c>
      <c r="G801" s="2332">
        <f>F801/$F$11*$G$11</f>
        <v>0</v>
      </c>
      <c r="H801" s="2332"/>
      <c r="I801" s="2332">
        <f>ROUND(E801*1.05,0)</f>
        <v>0</v>
      </c>
      <c r="J801" s="2332">
        <v>0</v>
      </c>
      <c r="K801" s="2333">
        <f t="shared" si="146"/>
        <v>0</v>
      </c>
      <c r="L801" s="2332">
        <f>ROUND(I801*1.05,0)</f>
        <v>0</v>
      </c>
      <c r="M801" s="2332">
        <f>ROUND(L801*1.05,0)</f>
        <v>0</v>
      </c>
    </row>
    <row r="802" spans="1:13" x14ac:dyDescent="0.2">
      <c r="A802" s="2353">
        <v>2252</v>
      </c>
      <c r="B802" s="2334" t="s">
        <v>603</v>
      </c>
      <c r="C802" s="2335">
        <v>20496</v>
      </c>
      <c r="D802" s="2335">
        <v>21000</v>
      </c>
      <c r="E802" s="2335">
        <v>21000</v>
      </c>
      <c r="F802" s="2335">
        <v>19317</v>
      </c>
      <c r="G802" s="2335">
        <f>F802/$F$11*$G$11</f>
        <v>23180.400000000001</v>
      </c>
      <c r="H802" s="2335"/>
      <c r="I802" s="2335">
        <f>ROUND(E802*1.05,0)</f>
        <v>22050</v>
      </c>
      <c r="J802" s="2335">
        <f>[5]Sheet1!$K$518</f>
        <v>27531.42</v>
      </c>
      <c r="K802" s="2336">
        <f t="shared" si="146"/>
        <v>27531.42</v>
      </c>
      <c r="L802" s="2335">
        <f>ROUND(I802*1.06,0)</f>
        <v>23373</v>
      </c>
      <c r="M802" s="2335">
        <f>ROUND(L802*1.06,0)</f>
        <v>24775</v>
      </c>
    </row>
    <row r="803" spans="1:13" x14ac:dyDescent="0.2">
      <c r="A803" s="2329"/>
      <c r="B803" s="2330" t="s">
        <v>6614</v>
      </c>
      <c r="C803" s="2349">
        <f t="shared" ref="C803:M803" si="148">SUM(C799:C802)</f>
        <v>302345</v>
      </c>
      <c r="D803" s="2349">
        <f t="shared" si="148"/>
        <v>311950</v>
      </c>
      <c r="E803" s="2349">
        <f t="shared" si="148"/>
        <v>311950</v>
      </c>
      <c r="F803" s="2349">
        <f t="shared" si="148"/>
        <v>317486</v>
      </c>
      <c r="G803" s="2349">
        <f t="shared" si="148"/>
        <v>380983.20000000007</v>
      </c>
      <c r="H803" s="2349"/>
      <c r="I803" s="2349">
        <f t="shared" si="148"/>
        <v>327548</v>
      </c>
      <c r="J803" s="2349">
        <f>SUM(J799:J802)</f>
        <v>376561.26</v>
      </c>
      <c r="K803" s="2333">
        <f t="shared" si="146"/>
        <v>376561.26</v>
      </c>
      <c r="L803" s="2349">
        <f t="shared" si="148"/>
        <v>347201</v>
      </c>
      <c r="M803" s="2349">
        <f t="shared" si="148"/>
        <v>368033</v>
      </c>
    </row>
    <row r="804" spans="1:13" x14ac:dyDescent="0.2">
      <c r="A804" s="2345"/>
      <c r="B804" s="2338"/>
      <c r="C804" s="2380"/>
      <c r="D804" s="2380"/>
      <c r="E804" s="2380"/>
      <c r="F804" s="2380"/>
      <c r="G804" s="2380"/>
      <c r="H804" s="2380"/>
      <c r="I804" s="2380"/>
      <c r="J804" s="2380">
        <f>J803-[5]Sheet1!$K$520</f>
        <v>0</v>
      </c>
      <c r="K804" s="2336">
        <f t="shared" si="146"/>
        <v>0</v>
      </c>
      <c r="L804" s="2380"/>
      <c r="M804" s="2380"/>
    </row>
    <row r="805" spans="1:13" x14ac:dyDescent="0.2">
      <c r="A805" s="2341"/>
      <c r="B805" s="2330" t="s">
        <v>6972</v>
      </c>
      <c r="C805" s="2351">
        <f t="shared" ref="C805:M805" si="149">+C796+C803</f>
        <v>327564</v>
      </c>
      <c r="D805" s="2351">
        <f t="shared" si="149"/>
        <v>479950</v>
      </c>
      <c r="E805" s="2351">
        <f t="shared" si="149"/>
        <v>479950</v>
      </c>
      <c r="F805" s="2351">
        <f t="shared" si="149"/>
        <v>495115</v>
      </c>
      <c r="G805" s="2351">
        <f t="shared" si="149"/>
        <v>594138.00000000012</v>
      </c>
      <c r="H805" s="2351"/>
      <c r="I805" s="2351">
        <f>+I796+I803</f>
        <v>4266850.66</v>
      </c>
      <c r="J805" s="2351">
        <f>+J796+J803</f>
        <v>2013258.6099999999</v>
      </c>
      <c r="K805" s="2333">
        <f t="shared" si="146"/>
        <v>2013258.6099999999</v>
      </c>
      <c r="L805" s="2351">
        <f t="shared" si="149"/>
        <v>534185</v>
      </c>
      <c r="M805" s="2351">
        <f t="shared" si="149"/>
        <v>566236</v>
      </c>
    </row>
    <row r="806" spans="1:13" x14ac:dyDescent="0.2">
      <c r="B806" s="2330"/>
      <c r="C806" s="2332"/>
      <c r="D806" s="2332"/>
      <c r="E806" s="2332"/>
      <c r="F806" s="2332"/>
      <c r="G806" s="2332"/>
      <c r="H806" s="2332"/>
      <c r="I806" s="2332"/>
      <c r="J806" s="2332"/>
      <c r="K806" s="2333">
        <f t="shared" si="146"/>
        <v>0</v>
      </c>
      <c r="L806" s="2332"/>
      <c r="M806" s="2332"/>
    </row>
    <row r="807" spans="1:13" ht="13.5" thickBot="1" x14ac:dyDescent="0.25">
      <c r="B807" s="2342" t="s">
        <v>6623</v>
      </c>
      <c r="C807" s="2354">
        <f t="shared" ref="C807:M807" si="150">+C805</f>
        <v>327564</v>
      </c>
      <c r="D807" s="2354">
        <f t="shared" si="150"/>
        <v>479950</v>
      </c>
      <c r="E807" s="2354">
        <f t="shared" si="150"/>
        <v>479950</v>
      </c>
      <c r="F807" s="2354">
        <f t="shared" si="150"/>
        <v>495115</v>
      </c>
      <c r="G807" s="2354">
        <f t="shared" si="150"/>
        <v>594138.00000000012</v>
      </c>
      <c r="H807" s="2354"/>
      <c r="I807" s="2354">
        <f t="shared" si="150"/>
        <v>4266850.66</v>
      </c>
      <c r="J807" s="2354">
        <f>+J805</f>
        <v>2013258.6099999999</v>
      </c>
      <c r="K807" s="2344">
        <f t="shared" si="146"/>
        <v>2013258.6099999999</v>
      </c>
      <c r="L807" s="2354">
        <f t="shared" si="150"/>
        <v>534185</v>
      </c>
      <c r="M807" s="2354">
        <f t="shared" si="150"/>
        <v>566236</v>
      </c>
    </row>
    <row r="808" spans="1:13" ht="13.5" thickTop="1" x14ac:dyDescent="0.2">
      <c r="B808" s="2330"/>
      <c r="C808" s="2349"/>
      <c r="D808" s="2349"/>
      <c r="E808" s="2349"/>
      <c r="F808" s="2349"/>
      <c r="G808" s="2349"/>
      <c r="H808" s="2349"/>
      <c r="I808" s="2349"/>
      <c r="J808" s="2349"/>
      <c r="K808" s="2333">
        <f t="shared" si="146"/>
        <v>0</v>
      </c>
      <c r="L808" s="2349"/>
      <c r="M808" s="2349"/>
    </row>
    <row r="809" spans="1:13" ht="13.5" thickBot="1" x14ac:dyDescent="0.25">
      <c r="B809" s="2342" t="s">
        <v>6624</v>
      </c>
      <c r="C809" s="2355">
        <f>C714-C807</f>
        <v>-114925</v>
      </c>
      <c r="D809" s="2355">
        <f>D714-D807</f>
        <v>-387150</v>
      </c>
      <c r="E809" s="2355">
        <f>E714-E807</f>
        <v>-387150</v>
      </c>
      <c r="F809" s="2355">
        <f>F714-F807</f>
        <v>-339728</v>
      </c>
      <c r="G809" s="2355">
        <f>G714-G807</f>
        <v>-407673.60000000015</v>
      </c>
      <c r="H809" s="2355"/>
      <c r="I809" s="2355">
        <f>I714-I807</f>
        <v>-4060739.66</v>
      </c>
      <c r="J809" s="2355">
        <f>J714-J807</f>
        <v>-1864135.73</v>
      </c>
      <c r="K809" s="2344">
        <f t="shared" si="146"/>
        <v>-1864135.73</v>
      </c>
      <c r="L809" s="2355">
        <f>L714-L807</f>
        <v>-315707</v>
      </c>
      <c r="M809" s="2355">
        <f>M714-M807</f>
        <v>-334649</v>
      </c>
    </row>
    <row r="810" spans="1:13" ht="13.5" thickTop="1" x14ac:dyDescent="0.2">
      <c r="B810" s="2330"/>
      <c r="C810" s="2356"/>
      <c r="D810" s="2356"/>
      <c r="E810" s="2356"/>
      <c r="G810" s="2332"/>
      <c r="H810" s="2332"/>
      <c r="I810" s="2332"/>
      <c r="J810" s="2332"/>
      <c r="K810" s="2333">
        <f t="shared" si="146"/>
        <v>0</v>
      </c>
      <c r="L810" s="2356"/>
      <c r="M810" s="2356"/>
    </row>
    <row r="811" spans="1:13" x14ac:dyDescent="0.2">
      <c r="A811" s="2369"/>
      <c r="B811" s="2381"/>
      <c r="C811" s="2381"/>
      <c r="D811" s="2381"/>
      <c r="E811" s="2381"/>
      <c r="G811" s="2332"/>
      <c r="H811" s="2332"/>
      <c r="I811" s="2332"/>
      <c r="J811" s="2332"/>
      <c r="K811" s="2333">
        <f t="shared" si="146"/>
        <v>0</v>
      </c>
      <c r="L811" s="2381"/>
      <c r="M811" s="2381"/>
    </row>
    <row r="812" spans="1:13" ht="15" x14ac:dyDescent="0.25">
      <c r="A812" s="2365">
        <v>1130</v>
      </c>
      <c r="B812" s="2366" t="s">
        <v>7084</v>
      </c>
      <c r="G812" s="2332"/>
      <c r="H812" s="2332"/>
      <c r="I812" s="2332"/>
      <c r="J812" s="2332"/>
      <c r="K812" s="2333">
        <f t="shared" si="146"/>
        <v>0</v>
      </c>
    </row>
    <row r="813" spans="1:13" ht="15" x14ac:dyDescent="0.25">
      <c r="A813" s="2367">
        <v>1132</v>
      </c>
      <c r="B813" s="2359" t="s">
        <v>7131</v>
      </c>
      <c r="C813" s="2326"/>
      <c r="D813" s="2326"/>
      <c r="E813" s="2326"/>
      <c r="G813" s="2332"/>
      <c r="H813" s="2332"/>
      <c r="I813" s="2332"/>
      <c r="J813" s="2332"/>
      <c r="K813" s="2333">
        <f t="shared" si="146"/>
        <v>0</v>
      </c>
    </row>
    <row r="814" spans="1:13" ht="15" x14ac:dyDescent="0.25">
      <c r="B814" s="2326"/>
      <c r="C814" s="2326"/>
      <c r="D814" s="2326"/>
      <c r="E814" s="2326"/>
      <c r="G814" s="2332"/>
      <c r="H814" s="2332"/>
      <c r="I814" s="2332"/>
      <c r="J814" s="2332"/>
      <c r="K814" s="2333">
        <f t="shared" si="146"/>
        <v>0</v>
      </c>
    </row>
    <row r="815" spans="1:13" x14ac:dyDescent="0.2">
      <c r="B815" s="2328" t="s">
        <v>247</v>
      </c>
      <c r="C815" s="2328"/>
      <c r="D815" s="2328"/>
      <c r="E815" s="2328"/>
      <c r="G815" s="2332"/>
      <c r="H815" s="2332"/>
      <c r="I815" s="2332"/>
      <c r="J815" s="2332"/>
      <c r="K815" s="2333">
        <f t="shared" si="146"/>
        <v>0</v>
      </c>
    </row>
    <row r="816" spans="1:13" x14ac:dyDescent="0.2">
      <c r="B816" s="2323"/>
      <c r="C816" s="2323"/>
      <c r="D816" s="2323"/>
      <c r="E816" s="2323"/>
      <c r="G816" s="2332"/>
      <c r="H816" s="2332"/>
      <c r="I816" s="2332"/>
      <c r="J816" s="2332"/>
      <c r="K816" s="2333">
        <f t="shared" si="146"/>
        <v>0</v>
      </c>
    </row>
    <row r="817" spans="1:13" x14ac:dyDescent="0.2">
      <c r="B817" s="2330" t="s">
        <v>6644</v>
      </c>
      <c r="C817" s="2375"/>
      <c r="D817" s="2375"/>
      <c r="E817" s="2375"/>
      <c r="G817" s="2332"/>
      <c r="H817" s="2332"/>
      <c r="I817" s="2332"/>
      <c r="J817" s="2332"/>
      <c r="K817" s="2333">
        <f t="shared" si="146"/>
        <v>0</v>
      </c>
    </row>
    <row r="818" spans="1:13" x14ac:dyDescent="0.2">
      <c r="B818" s="2334" t="s">
        <v>6714</v>
      </c>
      <c r="C818" s="2339">
        <v>0</v>
      </c>
      <c r="D818" s="2335">
        <v>0</v>
      </c>
      <c r="E818" s="2335">
        <v>0</v>
      </c>
      <c r="F818" s="2335">
        <v>0</v>
      </c>
      <c r="G818" s="2335">
        <f>F818/$F$11*$G$11</f>
        <v>0</v>
      </c>
      <c r="H818" s="2335"/>
      <c r="I818" s="2335">
        <v>0</v>
      </c>
      <c r="J818" s="2335">
        <v>0</v>
      </c>
      <c r="K818" s="2336">
        <f t="shared" si="146"/>
        <v>0</v>
      </c>
      <c r="L818" s="2335">
        <f>ROUND(I818*1.06,0)</f>
        <v>0</v>
      </c>
      <c r="M818" s="2335">
        <f>ROUND(L818*1.06,0)</f>
        <v>0</v>
      </c>
    </row>
    <row r="819" spans="1:13" x14ac:dyDescent="0.2">
      <c r="B819" s="2330" t="s">
        <v>6646</v>
      </c>
      <c r="C819" s="2376">
        <f t="shared" ref="C819:M819" si="151">SUM(C818:C818)</f>
        <v>0</v>
      </c>
      <c r="D819" s="2376">
        <f t="shared" si="151"/>
        <v>0</v>
      </c>
      <c r="E819" s="2376">
        <f t="shared" si="151"/>
        <v>0</v>
      </c>
      <c r="F819" s="2376">
        <f t="shared" si="151"/>
        <v>0</v>
      </c>
      <c r="G819" s="2376">
        <f t="shared" si="151"/>
        <v>0</v>
      </c>
      <c r="H819" s="2376"/>
      <c r="I819" s="2376">
        <f t="shared" si="151"/>
        <v>0</v>
      </c>
      <c r="J819" s="2376">
        <v>0</v>
      </c>
      <c r="K819" s="2333">
        <f t="shared" si="146"/>
        <v>0</v>
      </c>
      <c r="L819" s="2376">
        <f t="shared" si="151"/>
        <v>0</v>
      </c>
      <c r="M819" s="2376">
        <f t="shared" si="151"/>
        <v>0</v>
      </c>
    </row>
    <row r="820" spans="1:13" x14ac:dyDescent="0.2">
      <c r="B820" s="2338"/>
      <c r="C820" s="2339"/>
      <c r="D820" s="2339"/>
      <c r="E820" s="2339"/>
      <c r="F820" s="2339"/>
      <c r="G820" s="2339"/>
      <c r="H820" s="2339"/>
      <c r="I820" s="2339"/>
      <c r="J820" s="2339"/>
      <c r="K820" s="2336">
        <f t="shared" si="146"/>
        <v>0</v>
      </c>
      <c r="L820" s="2339"/>
      <c r="M820" s="2339"/>
    </row>
    <row r="821" spans="1:13" ht="13.5" thickBot="1" x14ac:dyDescent="0.25">
      <c r="B821" s="2342" t="s">
        <v>6579</v>
      </c>
      <c r="C821" s="2343">
        <f t="shared" ref="C821:M821" si="152">+C819</f>
        <v>0</v>
      </c>
      <c r="D821" s="2343">
        <f t="shared" si="152"/>
        <v>0</v>
      </c>
      <c r="E821" s="2343">
        <f t="shared" si="152"/>
        <v>0</v>
      </c>
      <c r="F821" s="2343">
        <f t="shared" si="152"/>
        <v>0</v>
      </c>
      <c r="G821" s="2343">
        <f t="shared" si="152"/>
        <v>0</v>
      </c>
      <c r="H821" s="2343"/>
      <c r="I821" s="2343">
        <f t="shared" si="152"/>
        <v>0</v>
      </c>
      <c r="J821" s="2343">
        <v>0</v>
      </c>
      <c r="K821" s="2344">
        <f t="shared" si="146"/>
        <v>0</v>
      </c>
      <c r="L821" s="2343">
        <f t="shared" si="152"/>
        <v>0</v>
      </c>
      <c r="M821" s="2343">
        <f t="shared" si="152"/>
        <v>0</v>
      </c>
    </row>
    <row r="822" spans="1:13" ht="13.5" thickTop="1" x14ac:dyDescent="0.2">
      <c r="B822" s="2346"/>
      <c r="C822" s="2346"/>
      <c r="D822" s="2346"/>
      <c r="E822" s="2346"/>
      <c r="F822" s="2346"/>
      <c r="G822" s="2346"/>
      <c r="H822" s="2346"/>
      <c r="I822" s="2346"/>
      <c r="J822" s="2346"/>
      <c r="K822" s="2333">
        <f t="shared" si="146"/>
        <v>0</v>
      </c>
      <c r="L822" s="2346"/>
      <c r="M822" s="2346"/>
    </row>
    <row r="823" spans="1:13" ht="13.5" thickBot="1" x14ac:dyDescent="0.25">
      <c r="B823" s="2342" t="s">
        <v>6624</v>
      </c>
      <c r="C823" s="2355">
        <f t="shared" ref="C823:M823" si="153">C821</f>
        <v>0</v>
      </c>
      <c r="D823" s="2355">
        <f t="shared" si="153"/>
        <v>0</v>
      </c>
      <c r="E823" s="2355">
        <f t="shared" si="153"/>
        <v>0</v>
      </c>
      <c r="F823" s="2355">
        <f t="shared" si="153"/>
        <v>0</v>
      </c>
      <c r="G823" s="2355">
        <f t="shared" si="153"/>
        <v>0</v>
      </c>
      <c r="H823" s="2355"/>
      <c r="I823" s="2355">
        <f t="shared" si="153"/>
        <v>0</v>
      </c>
      <c r="J823" s="2355">
        <v>0</v>
      </c>
      <c r="K823" s="2344">
        <f t="shared" si="146"/>
        <v>0</v>
      </c>
      <c r="L823" s="2355">
        <f t="shared" si="153"/>
        <v>0</v>
      </c>
      <c r="M823" s="2355">
        <f t="shared" si="153"/>
        <v>0</v>
      </c>
    </row>
    <row r="824" spans="1:13" ht="13.5" thickTop="1" x14ac:dyDescent="0.2">
      <c r="B824" s="2330"/>
      <c r="C824" s="2356"/>
      <c r="D824" s="2356"/>
      <c r="E824" s="2356"/>
      <c r="G824" s="2332"/>
      <c r="H824" s="2332"/>
      <c r="I824" s="2332"/>
      <c r="J824" s="2332"/>
      <c r="K824" s="2333">
        <f t="shared" si="146"/>
        <v>0</v>
      </c>
      <c r="L824" s="2356"/>
      <c r="M824" s="2356"/>
    </row>
    <row r="825" spans="1:13" x14ac:dyDescent="0.2">
      <c r="A825" s="2369"/>
      <c r="B825" s="2369"/>
      <c r="C825" s="2369"/>
      <c r="D825" s="2369"/>
      <c r="E825" s="2369"/>
      <c r="G825" s="2332"/>
      <c r="H825" s="2332"/>
      <c r="I825" s="2332"/>
      <c r="J825" s="2332"/>
      <c r="K825" s="2333">
        <f t="shared" si="146"/>
        <v>0</v>
      </c>
      <c r="L825" s="2369"/>
      <c r="M825" s="2369"/>
    </row>
    <row r="826" spans="1:13" ht="15" x14ac:dyDescent="0.25">
      <c r="A826" s="2365">
        <v>1140</v>
      </c>
      <c r="B826" s="2370" t="s">
        <v>7132</v>
      </c>
      <c r="C826" s="2356"/>
      <c r="D826" s="2356"/>
      <c r="E826" s="2356"/>
      <c r="G826" s="2332"/>
      <c r="H826" s="2332"/>
      <c r="I826" s="2332"/>
      <c r="J826" s="2332"/>
      <c r="K826" s="2333">
        <f t="shared" si="146"/>
        <v>0</v>
      </c>
      <c r="L826" s="2356"/>
      <c r="M826" s="2356"/>
    </row>
    <row r="827" spans="1:13" x14ac:dyDescent="0.2">
      <c r="B827" s="2330"/>
      <c r="C827" s="2356"/>
      <c r="D827" s="2356"/>
      <c r="E827" s="2356"/>
      <c r="G827" s="2332"/>
      <c r="H827" s="2332"/>
      <c r="I827" s="2332"/>
      <c r="J827" s="2332"/>
      <c r="K827" s="2333">
        <f t="shared" si="146"/>
        <v>0</v>
      </c>
      <c r="L827" s="2356"/>
      <c r="M827" s="2356"/>
    </row>
    <row r="828" spans="1:13" x14ac:dyDescent="0.2">
      <c r="B828" s="2328" t="s">
        <v>235</v>
      </c>
      <c r="C828" s="2328"/>
      <c r="D828" s="2328"/>
      <c r="E828" s="2328"/>
      <c r="G828" s="2332"/>
      <c r="H828" s="2332"/>
      <c r="I828" s="2332"/>
      <c r="J828" s="2332"/>
      <c r="K828" s="2333">
        <f t="shared" si="146"/>
        <v>0</v>
      </c>
      <c r="L828" s="2328"/>
      <c r="M828" s="2328"/>
    </row>
    <row r="829" spans="1:13" x14ac:dyDescent="0.2">
      <c r="B829" s="2328"/>
      <c r="C829" s="2328"/>
      <c r="D829" s="2328"/>
      <c r="E829" s="2328"/>
      <c r="G829" s="2332"/>
      <c r="H829" s="2332"/>
      <c r="I829" s="2332"/>
      <c r="J829" s="2332"/>
      <c r="K829" s="2333">
        <f t="shared" si="146"/>
        <v>0</v>
      </c>
      <c r="L829" s="2328"/>
      <c r="M829" s="2328"/>
    </row>
    <row r="830" spans="1:13" x14ac:dyDescent="0.2">
      <c r="B830" s="2330" t="s">
        <v>387</v>
      </c>
      <c r="C830" s="2332"/>
      <c r="D830" s="2332"/>
      <c r="E830" s="2332"/>
      <c r="G830" s="2332"/>
      <c r="H830" s="2332"/>
      <c r="I830" s="2332"/>
      <c r="J830" s="2332"/>
      <c r="K830" s="2333">
        <f t="shared" si="146"/>
        <v>0</v>
      </c>
      <c r="L830" s="2332"/>
      <c r="M830" s="2332"/>
    </row>
    <row r="831" spans="1:13" x14ac:dyDescent="0.2">
      <c r="A831" s="2329">
        <v>1001</v>
      </c>
      <c r="B831" s="2258" t="s">
        <v>6943</v>
      </c>
      <c r="C831" s="2332">
        <v>232138</v>
      </c>
      <c r="D831" s="2332">
        <v>216454</v>
      </c>
      <c r="E831" s="2332">
        <v>216454</v>
      </c>
      <c r="F831" s="2332">
        <v>220798</v>
      </c>
      <c r="G831" s="2332">
        <f t="shared" ref="G831:G842" si="154">F831/$F$11*$G$11</f>
        <v>264957.59999999998</v>
      </c>
      <c r="H831" s="2332"/>
      <c r="I831" s="2332">
        <f>[6]Salary_Bdgt!$H$150</f>
        <v>517693</v>
      </c>
      <c r="J831" s="2332">
        <f>[5]Sheet1!$K$373</f>
        <v>810433.31</v>
      </c>
      <c r="K831" s="2333">
        <f t="shared" si="146"/>
        <v>810433.31</v>
      </c>
      <c r="L831" s="2332">
        <f t="shared" ref="L831:L842" si="155">ROUND(I831*1.08,0)</f>
        <v>559108</v>
      </c>
      <c r="M831" s="2332">
        <f t="shared" ref="M831:M842" si="156">ROUND(L831*1.08,0)</f>
        <v>603837</v>
      </c>
    </row>
    <row r="832" spans="1:13" x14ac:dyDescent="0.2">
      <c r="A832" s="2329">
        <v>1005</v>
      </c>
      <c r="B832" s="2258" t="s">
        <v>6944</v>
      </c>
      <c r="C832" s="2332">
        <v>15749</v>
      </c>
      <c r="D832" s="2332">
        <v>5837</v>
      </c>
      <c r="E832" s="2332">
        <f>+D832</f>
        <v>5837</v>
      </c>
      <c r="F832" s="2332">
        <v>22478</v>
      </c>
      <c r="G832" s="2332">
        <f t="shared" si="154"/>
        <v>26973.600000000002</v>
      </c>
      <c r="H832" s="2332"/>
      <c r="I832" s="2332">
        <f>+[6]Salary_Bdgt!$L$150</f>
        <v>65844</v>
      </c>
      <c r="J832" s="2332">
        <f>[5]Sheet1!$K$381</f>
        <v>46206</v>
      </c>
      <c r="K832" s="2333">
        <f t="shared" si="146"/>
        <v>46206</v>
      </c>
      <c r="L832" s="2332">
        <f t="shared" si="155"/>
        <v>71112</v>
      </c>
      <c r="M832" s="2332">
        <f t="shared" si="156"/>
        <v>76801</v>
      </c>
    </row>
    <row r="833" spans="1:13" x14ac:dyDescent="0.2">
      <c r="A833" s="2329">
        <v>1006</v>
      </c>
      <c r="B833" s="2258" t="s">
        <v>6945</v>
      </c>
      <c r="C833" s="2332">
        <v>41258</v>
      </c>
      <c r="D833" s="2332">
        <v>39113</v>
      </c>
      <c r="E833" s="2332">
        <f>+D833</f>
        <v>39113</v>
      </c>
      <c r="F833" s="2332">
        <v>37295</v>
      </c>
      <c r="G833" s="2332">
        <f t="shared" si="154"/>
        <v>44754</v>
      </c>
      <c r="H833" s="2332"/>
      <c r="I833" s="2332">
        <f>+[6]Salary_Bdgt!$N$150</f>
        <v>87255</v>
      </c>
      <c r="J833" s="2332">
        <f>[5]Sheet1!$K$382</f>
        <v>107880.64</v>
      </c>
      <c r="K833" s="2333">
        <f t="shared" si="146"/>
        <v>107880.64</v>
      </c>
      <c r="L833" s="2332">
        <f t="shared" si="155"/>
        <v>94235</v>
      </c>
      <c r="M833" s="2332">
        <f t="shared" si="156"/>
        <v>101774</v>
      </c>
    </row>
    <row r="834" spans="1:13" x14ac:dyDescent="0.2">
      <c r="A834" s="2329">
        <v>1007</v>
      </c>
      <c r="B834" s="2258" t="s">
        <v>6410</v>
      </c>
      <c r="C834" s="2332">
        <v>2376</v>
      </c>
      <c r="D834" s="2332">
        <v>2832</v>
      </c>
      <c r="E834" s="2332">
        <f>+D834</f>
        <v>2832</v>
      </c>
      <c r="F834" s="2332">
        <v>1861</v>
      </c>
      <c r="G834" s="2332">
        <f t="shared" si="154"/>
        <v>2233.1999999999998</v>
      </c>
      <c r="H834" s="2332"/>
      <c r="I834" s="2332">
        <f>+[6]Salary_Bdgt!$I$150</f>
        <v>6252</v>
      </c>
      <c r="J834" s="2332">
        <f>[5]Sheet1!$K$383</f>
        <v>6045.84</v>
      </c>
      <c r="K834" s="2333">
        <f t="shared" si="146"/>
        <v>6045.84</v>
      </c>
      <c r="L834" s="2332">
        <f t="shared" si="155"/>
        <v>6752</v>
      </c>
      <c r="M834" s="2332">
        <f t="shared" si="156"/>
        <v>7292</v>
      </c>
    </row>
    <row r="835" spans="1:13" x14ac:dyDescent="0.2">
      <c r="A835" s="2329">
        <v>1009</v>
      </c>
      <c r="B835" s="2258" t="s">
        <v>6408</v>
      </c>
      <c r="C835" s="2332">
        <v>104</v>
      </c>
      <c r="D835" s="2332">
        <f>[7]Sal_RIA!$M$113</f>
        <v>77</v>
      </c>
      <c r="E835" s="2332">
        <f>+D835</f>
        <v>77</v>
      </c>
      <c r="F835" s="2332">
        <v>243</v>
      </c>
      <c r="G835" s="2332">
        <f t="shared" si="154"/>
        <v>291.60000000000002</v>
      </c>
      <c r="H835" s="2332"/>
      <c r="I835" s="2332">
        <f>+[6]Salary_Bdgt!$M$150</f>
        <v>180</v>
      </c>
      <c r="J835" s="2332">
        <f>[5]Sheet1!$K$378</f>
        <v>287</v>
      </c>
      <c r="K835" s="2333">
        <f t="shared" si="146"/>
        <v>287</v>
      </c>
      <c r="L835" s="2332">
        <f t="shared" si="155"/>
        <v>194</v>
      </c>
      <c r="M835" s="2332">
        <f t="shared" si="156"/>
        <v>210</v>
      </c>
    </row>
    <row r="836" spans="1:13" x14ac:dyDescent="0.2">
      <c r="A836" s="2329">
        <v>1010</v>
      </c>
      <c r="B836" s="2258" t="s">
        <v>6946</v>
      </c>
      <c r="C836" s="2332">
        <v>25716</v>
      </c>
      <c r="D836" s="2332">
        <v>18038</v>
      </c>
      <c r="E836" s="2332">
        <f>+D836</f>
        <v>18038</v>
      </c>
      <c r="F836" s="2332">
        <v>18120</v>
      </c>
      <c r="G836" s="2332">
        <f t="shared" si="154"/>
        <v>21744</v>
      </c>
      <c r="H836" s="2332"/>
      <c r="I836" s="2332">
        <f>+[6]Salary_Bdgt!$Q$150</f>
        <v>43141</v>
      </c>
      <c r="J836" s="2332">
        <f>[5]Sheet1!$K$374</f>
        <v>62123.08</v>
      </c>
      <c r="K836" s="2333">
        <f t="shared" si="146"/>
        <v>62123.08</v>
      </c>
      <c r="L836" s="2332">
        <f t="shared" si="155"/>
        <v>46592</v>
      </c>
      <c r="M836" s="2332">
        <f t="shared" si="156"/>
        <v>50319</v>
      </c>
    </row>
    <row r="837" spans="1:13" x14ac:dyDescent="0.2">
      <c r="A837" s="2329">
        <v>1011</v>
      </c>
      <c r="B837" s="2258" t="s">
        <v>6947</v>
      </c>
      <c r="C837" s="2332">
        <v>0</v>
      </c>
      <c r="D837" s="2332">
        <v>0</v>
      </c>
      <c r="E837" s="2332">
        <v>0</v>
      </c>
      <c r="F837" s="2332">
        <v>0</v>
      </c>
      <c r="G837" s="2332">
        <f t="shared" si="154"/>
        <v>0</v>
      </c>
      <c r="H837" s="2332"/>
      <c r="I837" s="2332">
        <f>+[6]Salary_Bdgt!$U$150</f>
        <v>6480</v>
      </c>
      <c r="J837" s="2332">
        <f>[5]Sheet1!$K$375</f>
        <v>7000</v>
      </c>
      <c r="K837" s="2333">
        <f t="shared" si="146"/>
        <v>7000</v>
      </c>
      <c r="L837" s="2332">
        <f t="shared" si="155"/>
        <v>6998</v>
      </c>
      <c r="M837" s="2332">
        <f t="shared" si="156"/>
        <v>7558</v>
      </c>
    </row>
    <row r="838" spans="1:13" x14ac:dyDescent="0.2">
      <c r="A838" s="2329">
        <v>1015</v>
      </c>
      <c r="B838" s="2258" t="s">
        <v>6948</v>
      </c>
      <c r="C838" s="2332">
        <v>0</v>
      </c>
      <c r="D838" s="2332">
        <v>0</v>
      </c>
      <c r="E838" s="2332">
        <v>0</v>
      </c>
      <c r="F838" s="2332">
        <v>0</v>
      </c>
      <c r="G838" s="2332">
        <f t="shared" si="154"/>
        <v>0</v>
      </c>
      <c r="H838" s="2332"/>
      <c r="I838" s="2332">
        <f>+[6]Salary_Bdgt!$O$150+[6]Salary_Bdgt!$P$150+[6]Salary_Bdgt!$W$150</f>
        <v>0</v>
      </c>
      <c r="J838" s="2332">
        <v>0</v>
      </c>
      <c r="K838" s="2333">
        <f t="shared" si="146"/>
        <v>0</v>
      </c>
      <c r="L838" s="2332">
        <f t="shared" si="155"/>
        <v>0</v>
      </c>
      <c r="M838" s="2332">
        <f t="shared" si="156"/>
        <v>0</v>
      </c>
    </row>
    <row r="839" spans="1:13" x14ac:dyDescent="0.2">
      <c r="A839" s="2329">
        <v>1016</v>
      </c>
      <c r="B839" s="2258" t="s">
        <v>6949</v>
      </c>
      <c r="C839" s="2332">
        <v>0</v>
      </c>
      <c r="D839" s="2332">
        <v>0</v>
      </c>
      <c r="E839" s="2332">
        <v>0</v>
      </c>
      <c r="F839" s="2332">
        <v>0</v>
      </c>
      <c r="G839" s="2332">
        <f t="shared" si="154"/>
        <v>0</v>
      </c>
      <c r="H839" s="2332"/>
      <c r="I839" s="2332">
        <f>+[6]Salary_Bdgt!$T$150+[6]Salary_Bdgt!$V$150</f>
        <v>52851</v>
      </c>
      <c r="J839" s="2332">
        <v>0</v>
      </c>
      <c r="K839" s="2333">
        <f t="shared" si="146"/>
        <v>0</v>
      </c>
      <c r="L839" s="2332">
        <f t="shared" si="155"/>
        <v>57079</v>
      </c>
      <c r="M839" s="2332">
        <f t="shared" si="156"/>
        <v>61645</v>
      </c>
    </row>
    <row r="840" spans="1:13" x14ac:dyDescent="0.2">
      <c r="A840" s="2353">
        <v>1017</v>
      </c>
      <c r="B840" s="2258" t="s">
        <v>6950</v>
      </c>
      <c r="C840" s="2332">
        <v>2755</v>
      </c>
      <c r="D840" s="2332">
        <v>4329</v>
      </c>
      <c r="E840" s="2332">
        <f>+D840</f>
        <v>4329</v>
      </c>
      <c r="F840" s="2332">
        <v>797</v>
      </c>
      <c r="G840" s="2332">
        <f t="shared" si="154"/>
        <v>956.40000000000009</v>
      </c>
      <c r="H840" s="2332"/>
      <c r="I840" s="2332">
        <f>+[6]Salary_Bdgt!$J$150</f>
        <v>10807</v>
      </c>
      <c r="J840" s="2332">
        <f>[5]Sheet1!$K$379</f>
        <v>7036.68</v>
      </c>
      <c r="K840" s="2333">
        <f t="shared" si="146"/>
        <v>7036.68</v>
      </c>
      <c r="L840" s="2332">
        <f t="shared" si="155"/>
        <v>11672</v>
      </c>
      <c r="M840" s="2332">
        <f t="shared" si="156"/>
        <v>12606</v>
      </c>
    </row>
    <row r="841" spans="1:13" x14ac:dyDescent="0.2">
      <c r="A841" s="2329">
        <v>1046</v>
      </c>
      <c r="B841" s="2258" t="s">
        <v>6951</v>
      </c>
      <c r="C841" s="2332">
        <v>21685</v>
      </c>
      <c r="D841" s="2332">
        <f>[7]Sal_RIA!$R$113</f>
        <v>0</v>
      </c>
      <c r="E841" s="2332">
        <f>+D841</f>
        <v>0</v>
      </c>
      <c r="F841" s="2332">
        <v>0</v>
      </c>
      <c r="G841" s="2332">
        <f t="shared" si="154"/>
        <v>0</v>
      </c>
      <c r="H841" s="2332"/>
      <c r="I841" s="2332">
        <f>+[6]Salary_Bdgt!$R$150</f>
        <v>32400</v>
      </c>
      <c r="J841" s="2332">
        <f>[5]Sheet1!$K$377</f>
        <v>35000</v>
      </c>
      <c r="K841" s="2333">
        <f t="shared" si="146"/>
        <v>35000</v>
      </c>
      <c r="L841" s="2332">
        <f t="shared" si="155"/>
        <v>34992</v>
      </c>
      <c r="M841" s="2332">
        <f t="shared" si="156"/>
        <v>37791</v>
      </c>
    </row>
    <row r="842" spans="1:13" x14ac:dyDescent="0.2">
      <c r="A842" s="2329">
        <v>1182</v>
      </c>
      <c r="B842" s="2334" t="s">
        <v>6952</v>
      </c>
      <c r="C842" s="2335">
        <v>2665</v>
      </c>
      <c r="D842" s="2335">
        <v>4026</v>
      </c>
      <c r="E842" s="2335">
        <f>+D842</f>
        <v>4026</v>
      </c>
      <c r="F842" s="2335">
        <v>0</v>
      </c>
      <c r="G842" s="2335">
        <f t="shared" si="154"/>
        <v>0</v>
      </c>
      <c r="H842" s="2335"/>
      <c r="I842" s="2335">
        <f>+[6]Salary_Bdgt!$K$150</f>
        <v>10050</v>
      </c>
      <c r="J842" s="2335">
        <f>[5]Sheet1!$K$380</f>
        <v>3429.8</v>
      </c>
      <c r="K842" s="2336">
        <f t="shared" si="146"/>
        <v>3429.8</v>
      </c>
      <c r="L842" s="2335">
        <f t="shared" si="155"/>
        <v>10854</v>
      </c>
      <c r="M842" s="2335">
        <f t="shared" si="156"/>
        <v>11722</v>
      </c>
    </row>
    <row r="843" spans="1:13" x14ac:dyDescent="0.2">
      <c r="B843" s="2330" t="s">
        <v>6588</v>
      </c>
      <c r="C843" s="2349">
        <f t="shared" ref="C843:M843" si="157">SUM(C831:C842)</f>
        <v>344446</v>
      </c>
      <c r="D843" s="2349">
        <f t="shared" si="157"/>
        <v>290706</v>
      </c>
      <c r="E843" s="2349">
        <f t="shared" si="157"/>
        <v>290706</v>
      </c>
      <c r="F843" s="2349">
        <f t="shared" si="157"/>
        <v>301592</v>
      </c>
      <c r="G843" s="2349">
        <f t="shared" si="157"/>
        <v>361910.39999999997</v>
      </c>
      <c r="H843" s="2349"/>
      <c r="I843" s="2349">
        <f>SUM(I831:I842)</f>
        <v>832953</v>
      </c>
      <c r="J843" s="2349">
        <f>SUM(J831:J842)</f>
        <v>1085442.3500000001</v>
      </c>
      <c r="K843" s="2333">
        <f t="shared" si="146"/>
        <v>1085442.3500000001</v>
      </c>
      <c r="L843" s="2349">
        <f t="shared" si="157"/>
        <v>899588</v>
      </c>
      <c r="M843" s="2349">
        <f t="shared" si="157"/>
        <v>971555</v>
      </c>
    </row>
    <row r="844" spans="1:13" x14ac:dyDescent="0.2">
      <c r="B844" s="2330"/>
      <c r="C844" s="2332"/>
      <c r="D844" s="2332"/>
      <c r="E844" s="2332"/>
      <c r="G844" s="2332"/>
      <c r="H844" s="2332"/>
      <c r="I844" s="2332"/>
      <c r="J844" s="2332">
        <f>J843-[5]Sheet1!$K$384</f>
        <v>0</v>
      </c>
      <c r="K844" s="2333">
        <f t="shared" si="146"/>
        <v>0</v>
      </c>
      <c r="L844" s="2332"/>
      <c r="M844" s="2332"/>
    </row>
    <row r="845" spans="1:13" x14ac:dyDescent="0.2">
      <c r="B845" s="2330" t="s">
        <v>6953</v>
      </c>
      <c r="C845" s="2332"/>
      <c r="D845" s="2332"/>
      <c r="E845" s="2332"/>
      <c r="F845" s="2332"/>
      <c r="G845" s="2332"/>
      <c r="H845" s="2332"/>
      <c r="I845" s="2332"/>
      <c r="J845" s="2332"/>
      <c r="K845" s="2333">
        <f t="shared" si="146"/>
        <v>0</v>
      </c>
      <c r="L845" s="2332"/>
      <c r="M845" s="2332"/>
    </row>
    <row r="846" spans="1:13" x14ac:dyDescent="0.2">
      <c r="A846" s="2329">
        <v>3207</v>
      </c>
      <c r="B846" s="2334" t="s">
        <v>6954</v>
      </c>
      <c r="C846" s="2335">
        <v>0</v>
      </c>
      <c r="D846" s="2335">
        <v>1050</v>
      </c>
      <c r="E846" s="2335">
        <v>1050</v>
      </c>
      <c r="F846" s="2335">
        <v>0</v>
      </c>
      <c r="G846" s="2335">
        <f>F846/$F$11*$G$11</f>
        <v>0</v>
      </c>
      <c r="H846" s="2335"/>
      <c r="I846" s="2335">
        <v>0</v>
      </c>
      <c r="J846" s="2335">
        <v>0</v>
      </c>
      <c r="K846" s="2336">
        <f t="shared" si="146"/>
        <v>0</v>
      </c>
      <c r="L846" s="2335">
        <f>ROUND(I846*1.06,0)</f>
        <v>0</v>
      </c>
      <c r="M846" s="2335">
        <f>ROUND(L846*1.06,0)</f>
        <v>0</v>
      </c>
    </row>
    <row r="847" spans="1:13" x14ac:dyDescent="0.2">
      <c r="B847" s="2330" t="s">
        <v>6956</v>
      </c>
      <c r="C847" s="2349">
        <f>SUM(C846:C846)</f>
        <v>0</v>
      </c>
      <c r="D847" s="2349">
        <f t="shared" ref="D847:M847" si="158">SUM(D846:D846)</f>
        <v>1050</v>
      </c>
      <c r="E847" s="2349">
        <f t="shared" si="158"/>
        <v>1050</v>
      </c>
      <c r="F847" s="2349">
        <f t="shared" si="158"/>
        <v>0</v>
      </c>
      <c r="G847" s="2349">
        <f t="shared" si="158"/>
        <v>0</v>
      </c>
      <c r="H847" s="2349"/>
      <c r="I847" s="2349">
        <f t="shared" si="158"/>
        <v>0</v>
      </c>
      <c r="J847" s="2349">
        <v>0</v>
      </c>
      <c r="K847" s="2333">
        <f t="shared" si="146"/>
        <v>0</v>
      </c>
      <c r="L847" s="2349">
        <f t="shared" si="158"/>
        <v>0</v>
      </c>
      <c r="M847" s="2349">
        <f t="shared" si="158"/>
        <v>0</v>
      </c>
    </row>
    <row r="848" spans="1:13" x14ac:dyDescent="0.2">
      <c r="B848" s="2330"/>
      <c r="C848" s="2332"/>
      <c r="D848" s="2332"/>
      <c r="E848" s="2332"/>
      <c r="G848" s="2332"/>
      <c r="H848" s="2332"/>
      <c r="I848" s="2332"/>
      <c r="J848" s="2332"/>
      <c r="K848" s="2333">
        <f t="shared" si="146"/>
        <v>0</v>
      </c>
      <c r="L848" s="2332"/>
      <c r="M848" s="2332"/>
    </row>
    <row r="849" spans="1:13" x14ac:dyDescent="0.2">
      <c r="B849" s="2330" t="s">
        <v>6599</v>
      </c>
      <c r="C849" s="2332"/>
      <c r="D849" s="2332"/>
      <c r="E849" s="2332"/>
      <c r="G849" s="2332"/>
      <c r="H849" s="2332"/>
      <c r="I849" s="2332"/>
      <c r="J849" s="2332"/>
      <c r="K849" s="2333">
        <f t="shared" si="146"/>
        <v>0</v>
      </c>
      <c r="L849" s="2332"/>
      <c r="M849" s="2332"/>
    </row>
    <row r="850" spans="1:13" x14ac:dyDescent="0.2">
      <c r="A850" s="2329">
        <v>2081</v>
      </c>
      <c r="B850" s="2258" t="s">
        <v>7133</v>
      </c>
      <c r="C850" s="2332">
        <v>0</v>
      </c>
      <c r="D850" s="2332">
        <v>20000</v>
      </c>
      <c r="E850" s="2332">
        <f>20000-9046</f>
        <v>10954</v>
      </c>
      <c r="F850" s="2332">
        <v>0</v>
      </c>
      <c r="G850" s="2332">
        <f t="shared" ref="G850:G858" si="159">F850/$F$11*$G$11</f>
        <v>0</v>
      </c>
      <c r="H850" s="2332"/>
      <c r="I850" s="2332">
        <f>ROUND(E850*1.05,0)</f>
        <v>11502</v>
      </c>
      <c r="J850" s="2332">
        <f>[5]Sheet1!$K$388</f>
        <v>3923.86</v>
      </c>
      <c r="K850" s="2333">
        <f t="shared" si="146"/>
        <v>3923.86</v>
      </c>
      <c r="L850" s="2332">
        <f t="shared" ref="L850:L858" si="160">ROUND(I850*1.06,0)</f>
        <v>12192</v>
      </c>
      <c r="M850" s="2332">
        <f t="shared" ref="M850:M858" si="161">ROUND(L850*1.06,0)</f>
        <v>12924</v>
      </c>
    </row>
    <row r="851" spans="1:13" x14ac:dyDescent="0.2">
      <c r="A851" s="2329">
        <v>2113</v>
      </c>
      <c r="B851" s="2258" t="s">
        <v>6958</v>
      </c>
      <c r="C851" s="2332">
        <v>0</v>
      </c>
      <c r="D851" s="2332">
        <v>5250</v>
      </c>
      <c r="E851" s="2332">
        <v>5250</v>
      </c>
      <c r="F851" s="2332">
        <v>0</v>
      </c>
      <c r="G851" s="2332">
        <f t="shared" si="159"/>
        <v>0</v>
      </c>
      <c r="H851" s="2332"/>
      <c r="I851" s="2332">
        <f>ROUND(E851*1.05,0)</f>
        <v>5513</v>
      </c>
      <c r="J851" s="2332">
        <f>[5]Sheet1!$K$389</f>
        <v>1879.98</v>
      </c>
      <c r="K851" s="2333">
        <f t="shared" si="146"/>
        <v>1879.98</v>
      </c>
      <c r="L851" s="2332">
        <f t="shared" si="160"/>
        <v>5844</v>
      </c>
      <c r="M851" s="2332">
        <f t="shared" si="161"/>
        <v>6195</v>
      </c>
    </row>
    <row r="852" spans="1:13" x14ac:dyDescent="0.2">
      <c r="A852" s="2329">
        <v>2212</v>
      </c>
      <c r="B852" s="2258" t="s">
        <v>6963</v>
      </c>
      <c r="C852" s="2332">
        <v>15</v>
      </c>
      <c r="D852" s="2332">
        <v>1050</v>
      </c>
      <c r="E852" s="2332">
        <f>1050-880</f>
        <v>170</v>
      </c>
      <c r="F852" s="2332">
        <v>105</v>
      </c>
      <c r="G852" s="2332">
        <f t="shared" si="159"/>
        <v>126</v>
      </c>
      <c r="H852" s="2332"/>
      <c r="I852" s="2332">
        <f>ROUND(E852*1.05,0)</f>
        <v>179</v>
      </c>
      <c r="J852" s="2332">
        <f>[5]Sheet1!$K$390</f>
        <v>60.66</v>
      </c>
      <c r="K852" s="2333">
        <f t="shared" si="146"/>
        <v>60.66</v>
      </c>
      <c r="L852" s="2332">
        <f t="shared" si="160"/>
        <v>190</v>
      </c>
      <c r="M852" s="2332">
        <f t="shared" si="161"/>
        <v>201</v>
      </c>
    </row>
    <row r="853" spans="1:13" x14ac:dyDescent="0.2">
      <c r="A853" s="2353">
        <v>2227</v>
      </c>
      <c r="B853" s="2258" t="s">
        <v>231</v>
      </c>
      <c r="C853" s="2332">
        <v>0</v>
      </c>
      <c r="D853" s="2332">
        <v>1050</v>
      </c>
      <c r="E853" s="2332">
        <v>1050</v>
      </c>
      <c r="F853" s="2332">
        <v>0</v>
      </c>
      <c r="G853" s="2332">
        <f t="shared" si="159"/>
        <v>0</v>
      </c>
      <c r="H853" s="2332"/>
      <c r="I853" s="2332">
        <f>ROUND(E853*1.05,0)</f>
        <v>1103</v>
      </c>
      <c r="J853" s="2332">
        <f>[5]Sheet1!$K$391</f>
        <v>375.06</v>
      </c>
      <c r="K853" s="2333">
        <f t="shared" ref="K853:K916" si="162">J853</f>
        <v>375.06</v>
      </c>
      <c r="L853" s="2332">
        <f t="shared" si="160"/>
        <v>1169</v>
      </c>
      <c r="M853" s="2332">
        <f t="shared" si="161"/>
        <v>1239</v>
      </c>
    </row>
    <row r="854" spans="1:13" x14ac:dyDescent="0.2">
      <c r="A854" s="2329">
        <v>2233</v>
      </c>
      <c r="B854" s="2258" t="s">
        <v>6966</v>
      </c>
      <c r="C854" s="2332">
        <v>830</v>
      </c>
      <c r="D854" s="2332">
        <v>1050</v>
      </c>
      <c r="E854" s="2332">
        <f>1050+9046+30000</f>
        <v>40096</v>
      </c>
      <c r="F854" s="2332">
        <v>0</v>
      </c>
      <c r="G854" s="2332">
        <f t="shared" si="159"/>
        <v>0</v>
      </c>
      <c r="H854" s="2332"/>
      <c r="I854" s="2332">
        <v>0</v>
      </c>
      <c r="J854" s="2332">
        <v>0</v>
      </c>
      <c r="K854" s="2333">
        <f t="shared" si="162"/>
        <v>0</v>
      </c>
      <c r="L854" s="2332">
        <f t="shared" si="160"/>
        <v>0</v>
      </c>
      <c r="M854" s="2332">
        <f t="shared" si="161"/>
        <v>0</v>
      </c>
    </row>
    <row r="855" spans="1:13" x14ac:dyDescent="0.2">
      <c r="A855" s="2329">
        <v>2238</v>
      </c>
      <c r="B855" s="2258" t="s">
        <v>6967</v>
      </c>
      <c r="C855" s="2332">
        <v>24582</v>
      </c>
      <c r="D855" s="2332">
        <v>30000</v>
      </c>
      <c r="E855" s="2332">
        <v>30000</v>
      </c>
      <c r="F855" s="2332">
        <v>27796</v>
      </c>
      <c r="G855" s="2332">
        <f t="shared" si="159"/>
        <v>33355.199999999997</v>
      </c>
      <c r="H855" s="2332"/>
      <c r="I855" s="2332">
        <f>ROUND(E855*1.05,0)</f>
        <v>31500</v>
      </c>
      <c r="J855" s="2332">
        <f>[5]Sheet1!$K$393</f>
        <v>152821.72</v>
      </c>
      <c r="K855" s="2333">
        <f t="shared" si="162"/>
        <v>152821.72</v>
      </c>
      <c r="L855" s="2332">
        <f t="shared" si="160"/>
        <v>33390</v>
      </c>
      <c r="M855" s="2332">
        <f t="shared" si="161"/>
        <v>35393</v>
      </c>
    </row>
    <row r="856" spans="1:13" x14ac:dyDescent="0.2">
      <c r="A856" s="2329">
        <v>2246</v>
      </c>
      <c r="B856" s="2258" t="s">
        <v>6968</v>
      </c>
      <c r="C856" s="2332">
        <v>0</v>
      </c>
      <c r="D856" s="2332">
        <v>2100</v>
      </c>
      <c r="E856" s="2332">
        <f>2100+880</f>
        <v>2980</v>
      </c>
      <c r="F856" s="2332">
        <v>1692</v>
      </c>
      <c r="G856" s="2332">
        <f t="shared" si="159"/>
        <v>2030.3999999999999</v>
      </c>
      <c r="H856" s="2332"/>
      <c r="I856" s="2332">
        <f>ROUND(E856*1.05,0)</f>
        <v>3129</v>
      </c>
      <c r="J856" s="2332">
        <f>[5]Sheet1!$K$394</f>
        <v>1069.77</v>
      </c>
      <c r="K856" s="2333">
        <f t="shared" si="162"/>
        <v>1069.77</v>
      </c>
      <c r="L856" s="2332">
        <f t="shared" si="160"/>
        <v>3317</v>
      </c>
      <c r="M856" s="2332">
        <f t="shared" si="161"/>
        <v>3516</v>
      </c>
    </row>
    <row r="857" spans="1:13" x14ac:dyDescent="0.2">
      <c r="A857" s="2353">
        <v>2305</v>
      </c>
      <c r="B857" s="2258" t="s">
        <v>6970</v>
      </c>
      <c r="C857" s="2332">
        <v>57</v>
      </c>
      <c r="D857" s="2332">
        <v>1050</v>
      </c>
      <c r="E857" s="2332">
        <v>1050</v>
      </c>
      <c r="F857" s="2332">
        <v>0</v>
      </c>
      <c r="G857" s="2332">
        <f t="shared" si="159"/>
        <v>0</v>
      </c>
      <c r="H857" s="2332"/>
      <c r="I857" s="2332">
        <f>ROUND(E857*1.05,0)</f>
        <v>1103</v>
      </c>
      <c r="J857" s="2332">
        <f>[5]Sheet1!$K$395</f>
        <v>375.06</v>
      </c>
      <c r="K857" s="2333">
        <f t="shared" si="162"/>
        <v>375.06</v>
      </c>
      <c r="L857" s="2332">
        <f t="shared" si="160"/>
        <v>1169</v>
      </c>
      <c r="M857" s="2332">
        <f t="shared" si="161"/>
        <v>1239</v>
      </c>
    </row>
    <row r="858" spans="1:13" x14ac:dyDescent="0.2">
      <c r="A858" s="2329"/>
      <c r="B858" s="2334" t="s">
        <v>7134</v>
      </c>
      <c r="C858" s="2335">
        <v>0</v>
      </c>
      <c r="D858" s="2335">
        <v>500000</v>
      </c>
      <c r="E858" s="2335">
        <f>500000-30000-150000</f>
        <v>320000</v>
      </c>
      <c r="F858" s="2335">
        <v>0</v>
      </c>
      <c r="G858" s="2335">
        <f t="shared" si="159"/>
        <v>0</v>
      </c>
      <c r="H858" s="2335"/>
      <c r="I858" s="2335">
        <v>0</v>
      </c>
      <c r="J858" s="2335">
        <v>0</v>
      </c>
      <c r="K858" s="2336">
        <f t="shared" si="162"/>
        <v>0</v>
      </c>
      <c r="L858" s="2335">
        <f t="shared" si="160"/>
        <v>0</v>
      </c>
      <c r="M858" s="2335">
        <f t="shared" si="161"/>
        <v>0</v>
      </c>
    </row>
    <row r="859" spans="1:13" x14ac:dyDescent="0.2">
      <c r="B859" s="2330" t="s">
        <v>6614</v>
      </c>
      <c r="C859" s="2349">
        <f t="shared" ref="C859:M859" si="163">SUM(C850:C858)</f>
        <v>25484</v>
      </c>
      <c r="D859" s="2349">
        <f t="shared" si="163"/>
        <v>561550</v>
      </c>
      <c r="E859" s="2349">
        <f t="shared" si="163"/>
        <v>411550</v>
      </c>
      <c r="F859" s="2349">
        <f t="shared" si="163"/>
        <v>29593</v>
      </c>
      <c r="G859" s="2349">
        <f t="shared" si="163"/>
        <v>35511.599999999999</v>
      </c>
      <c r="H859" s="2349"/>
      <c r="I859" s="2349">
        <f t="shared" si="163"/>
        <v>54029</v>
      </c>
      <c r="J859" s="2349">
        <f>SUM(J850:J858)</f>
        <v>160506.10999999999</v>
      </c>
      <c r="K859" s="2333">
        <f t="shared" si="162"/>
        <v>160506.10999999999</v>
      </c>
      <c r="L859" s="2349">
        <f t="shared" si="163"/>
        <v>57271</v>
      </c>
      <c r="M859" s="2349">
        <f t="shared" si="163"/>
        <v>60707</v>
      </c>
    </row>
    <row r="860" spans="1:13" x14ac:dyDescent="0.2">
      <c r="B860" s="2338"/>
      <c r="C860" s="2335"/>
      <c r="D860" s="2335"/>
      <c r="E860" s="2335"/>
      <c r="F860" s="2335"/>
      <c r="G860" s="2335"/>
      <c r="H860" s="2335"/>
      <c r="I860" s="2335"/>
      <c r="J860" s="2335">
        <f>J859-[5]Sheet1!$K$396</f>
        <v>0</v>
      </c>
      <c r="K860" s="2336">
        <f t="shared" si="162"/>
        <v>0</v>
      </c>
      <c r="L860" s="2335"/>
      <c r="M860" s="2335"/>
    </row>
    <row r="861" spans="1:13" x14ac:dyDescent="0.2">
      <c r="B861" s="2330" t="s">
        <v>6972</v>
      </c>
      <c r="C861" s="2351">
        <f t="shared" ref="C861:M861" si="164">C843+C847+C859</f>
        <v>369930</v>
      </c>
      <c r="D861" s="2351">
        <f t="shared" si="164"/>
        <v>853306</v>
      </c>
      <c r="E861" s="2351">
        <f t="shared" si="164"/>
        <v>703306</v>
      </c>
      <c r="F861" s="2351">
        <f t="shared" si="164"/>
        <v>331185</v>
      </c>
      <c r="G861" s="2351">
        <f t="shared" si="164"/>
        <v>397421.99999999994</v>
      </c>
      <c r="H861" s="2351"/>
      <c r="I861" s="2351">
        <f t="shared" si="164"/>
        <v>886982</v>
      </c>
      <c r="J861" s="2351">
        <f t="shared" si="164"/>
        <v>1245948.46</v>
      </c>
      <c r="K861" s="2333">
        <f t="shared" si="162"/>
        <v>1245948.46</v>
      </c>
      <c r="L861" s="2351">
        <f t="shared" si="164"/>
        <v>956859</v>
      </c>
      <c r="M861" s="2351">
        <f t="shared" si="164"/>
        <v>1032262</v>
      </c>
    </row>
    <row r="862" spans="1:13" x14ac:dyDescent="0.2">
      <c r="B862" s="2330"/>
      <c r="C862" s="2351"/>
      <c r="D862" s="2351"/>
      <c r="E862" s="2351"/>
      <c r="G862" s="2332"/>
      <c r="H862" s="2332"/>
      <c r="I862" s="2332"/>
      <c r="J862" s="2332"/>
      <c r="K862" s="2333">
        <f t="shared" si="162"/>
        <v>0</v>
      </c>
      <c r="L862" s="2351"/>
      <c r="M862" s="2351"/>
    </row>
    <row r="863" spans="1:13" x14ac:dyDescent="0.2">
      <c r="A863" s="2353"/>
      <c r="B863" s="2330" t="s">
        <v>6974</v>
      </c>
      <c r="C863" s="2332"/>
      <c r="D863" s="2332"/>
      <c r="E863" s="2332"/>
      <c r="G863" s="2332"/>
      <c r="H863" s="2332"/>
      <c r="I863" s="2332"/>
      <c r="J863" s="2332"/>
      <c r="K863" s="2333">
        <f t="shared" si="162"/>
        <v>0</v>
      </c>
      <c r="L863" s="2332"/>
      <c r="M863" s="2332"/>
    </row>
    <row r="864" spans="1:13" x14ac:dyDescent="0.2">
      <c r="A864" s="2353">
        <v>4204</v>
      </c>
      <c r="B864" s="2258" t="s">
        <v>6976</v>
      </c>
      <c r="C864" s="2332">
        <v>0</v>
      </c>
      <c r="D864" s="2332">
        <v>9833</v>
      </c>
      <c r="E864" s="2332">
        <v>9833</v>
      </c>
      <c r="F864" s="2332">
        <v>0</v>
      </c>
      <c r="G864" s="2332">
        <f>F864/$F$11*$G$11</f>
        <v>0</v>
      </c>
      <c r="H864" s="2332"/>
      <c r="I864" s="2332">
        <f>ROUND(E864*1.08,0)</f>
        <v>10620</v>
      </c>
      <c r="J864" s="2332">
        <f>[5]Sheet1!$K$403</f>
        <v>3625.21</v>
      </c>
      <c r="K864" s="2333">
        <f t="shared" si="162"/>
        <v>3625.21</v>
      </c>
      <c r="L864" s="2332">
        <f>ROUND(I864*1.08,0)</f>
        <v>11470</v>
      </c>
      <c r="M864" s="2332">
        <f>ROUND(L864*1.08,0)</f>
        <v>12388</v>
      </c>
    </row>
    <row r="865" spans="1:13" x14ac:dyDescent="0.2">
      <c r="A865" s="2353">
        <v>4207</v>
      </c>
      <c r="B865" s="2334" t="s">
        <v>6977</v>
      </c>
      <c r="C865" s="2335">
        <v>5531</v>
      </c>
      <c r="D865" s="2335">
        <v>13167</v>
      </c>
      <c r="E865" s="2335">
        <v>13167</v>
      </c>
      <c r="F865" s="2335">
        <v>0</v>
      </c>
      <c r="G865" s="2335">
        <f>F865/$F$11*$G$11</f>
        <v>0</v>
      </c>
      <c r="H865" s="2335"/>
      <c r="I865" s="2335">
        <f>ROUND(E865*1.08,0)</f>
        <v>14220</v>
      </c>
      <c r="J865" s="2335">
        <f>[5]Sheet1!$K$404</f>
        <v>4853.0600000000004</v>
      </c>
      <c r="K865" s="2336">
        <f t="shared" si="162"/>
        <v>4853.0600000000004</v>
      </c>
      <c r="L865" s="2335">
        <f>ROUND(I865*1.08,0)</f>
        <v>15358</v>
      </c>
      <c r="M865" s="2335">
        <f>ROUND(L865*1.08,0)</f>
        <v>16587</v>
      </c>
    </row>
    <row r="866" spans="1:13" x14ac:dyDescent="0.2">
      <c r="A866" s="2353"/>
      <c r="B866" s="2330" t="s">
        <v>6979</v>
      </c>
      <c r="C866" s="2337">
        <f t="shared" ref="C866:M866" si="165">SUM(C864:C865)</f>
        <v>5531</v>
      </c>
      <c r="D866" s="2337">
        <f t="shared" si="165"/>
        <v>23000</v>
      </c>
      <c r="E866" s="2337">
        <f t="shared" si="165"/>
        <v>23000</v>
      </c>
      <c r="F866" s="2337">
        <f t="shared" si="165"/>
        <v>0</v>
      </c>
      <c r="G866" s="2337">
        <f t="shared" si="165"/>
        <v>0</v>
      </c>
      <c r="H866" s="2337"/>
      <c r="I866" s="2337">
        <f t="shared" si="165"/>
        <v>24840</v>
      </c>
      <c r="J866" s="2337">
        <f>J864+J865</f>
        <v>8478.27</v>
      </c>
      <c r="K866" s="2333">
        <f t="shared" si="162"/>
        <v>8478.27</v>
      </c>
      <c r="L866" s="2337">
        <f t="shared" si="165"/>
        <v>26828</v>
      </c>
      <c r="M866" s="2337">
        <f t="shared" si="165"/>
        <v>28975</v>
      </c>
    </row>
    <row r="867" spans="1:13" x14ac:dyDescent="0.2">
      <c r="B867" s="2330"/>
      <c r="C867" s="2351"/>
      <c r="D867" s="2351"/>
      <c r="E867" s="2351"/>
      <c r="F867" s="2309"/>
      <c r="G867" s="2332"/>
      <c r="H867" s="2332"/>
      <c r="I867" s="2332"/>
      <c r="J867" s="2332">
        <f>J866-[5]Sheet1!$K$405</f>
        <v>0</v>
      </c>
      <c r="K867" s="2333">
        <f t="shared" si="162"/>
        <v>0</v>
      </c>
      <c r="L867" s="2351"/>
      <c r="M867" s="2351"/>
    </row>
    <row r="868" spans="1:13" ht="13.5" thickBot="1" x14ac:dyDescent="0.25">
      <c r="B868" s="2342" t="s">
        <v>6980</v>
      </c>
      <c r="C868" s="2354">
        <f t="shared" ref="C868:M868" si="166">C861+C866</f>
        <v>375461</v>
      </c>
      <c r="D868" s="2354">
        <f t="shared" si="166"/>
        <v>876306</v>
      </c>
      <c r="E868" s="2354">
        <f t="shared" si="166"/>
        <v>726306</v>
      </c>
      <c r="F868" s="2354">
        <f t="shared" si="166"/>
        <v>331185</v>
      </c>
      <c r="G868" s="2354">
        <f t="shared" si="166"/>
        <v>397421.99999999994</v>
      </c>
      <c r="H868" s="2354"/>
      <c r="I868" s="2354">
        <f t="shared" si="166"/>
        <v>911822</v>
      </c>
      <c r="J868" s="2354">
        <f>J861+J866</f>
        <v>1254426.73</v>
      </c>
      <c r="K868" s="2344">
        <f t="shared" si="162"/>
        <v>1254426.73</v>
      </c>
      <c r="L868" s="2354">
        <f t="shared" si="166"/>
        <v>983687</v>
      </c>
      <c r="M868" s="2354">
        <f t="shared" si="166"/>
        <v>1061237</v>
      </c>
    </row>
    <row r="869" spans="1:13" ht="13.5" thickTop="1" x14ac:dyDescent="0.2">
      <c r="B869" s="2330"/>
      <c r="C869" s="2349"/>
      <c r="D869" s="2349"/>
      <c r="E869" s="2349"/>
      <c r="F869" s="2349"/>
      <c r="G869" s="2349"/>
      <c r="H869" s="2349"/>
      <c r="I869" s="2349"/>
      <c r="J869" s="2349"/>
      <c r="K869" s="2333">
        <f t="shared" si="162"/>
        <v>0</v>
      </c>
      <c r="L869" s="2349"/>
      <c r="M869" s="2349"/>
    </row>
    <row r="870" spans="1:13" ht="13.5" thickBot="1" x14ac:dyDescent="0.25">
      <c r="B870" s="2342" t="s">
        <v>6624</v>
      </c>
      <c r="C870" s="2355">
        <f t="shared" ref="C870:M870" si="167">-C868</f>
        <v>-375461</v>
      </c>
      <c r="D870" s="2355">
        <f t="shared" si="167"/>
        <v>-876306</v>
      </c>
      <c r="E870" s="2355">
        <f t="shared" si="167"/>
        <v>-726306</v>
      </c>
      <c r="F870" s="2355">
        <f t="shared" si="167"/>
        <v>-331185</v>
      </c>
      <c r="G870" s="2355">
        <f t="shared" si="167"/>
        <v>-397421.99999999994</v>
      </c>
      <c r="H870" s="2355"/>
      <c r="I870" s="2355">
        <f t="shared" si="167"/>
        <v>-911822</v>
      </c>
      <c r="J870" s="2355">
        <f>-J868</f>
        <v>-1254426.73</v>
      </c>
      <c r="K870" s="2344">
        <f t="shared" si="162"/>
        <v>-1254426.73</v>
      </c>
      <c r="L870" s="2355">
        <f t="shared" si="167"/>
        <v>-983687</v>
      </c>
      <c r="M870" s="2355">
        <f t="shared" si="167"/>
        <v>-1061237</v>
      </c>
    </row>
    <row r="871" spans="1:13" ht="13.5" thickTop="1" x14ac:dyDescent="0.2">
      <c r="B871" s="2330"/>
      <c r="C871" s="2356"/>
      <c r="D871" s="2356"/>
      <c r="E871" s="2356"/>
      <c r="G871" s="2332"/>
      <c r="H871" s="2332"/>
      <c r="I871" s="2332"/>
      <c r="J871" s="2332"/>
      <c r="K871" s="2333">
        <f t="shared" si="162"/>
        <v>0</v>
      </c>
      <c r="L871" s="2356"/>
      <c r="M871" s="2356"/>
    </row>
    <row r="872" spans="1:13" x14ac:dyDescent="0.2">
      <c r="A872" s="2369"/>
      <c r="B872" s="2369"/>
      <c r="C872" s="2369"/>
      <c r="D872" s="2369"/>
      <c r="E872" s="2369"/>
      <c r="G872" s="2332"/>
      <c r="H872" s="2332"/>
      <c r="I872" s="2332"/>
      <c r="J872" s="2332"/>
      <c r="K872" s="2333">
        <f t="shared" si="162"/>
        <v>0</v>
      </c>
      <c r="L872" s="2369"/>
      <c r="M872" s="2369"/>
    </row>
    <row r="873" spans="1:13" ht="15" x14ac:dyDescent="0.25">
      <c r="A873" s="2365">
        <v>1150</v>
      </c>
      <c r="B873" s="2326" t="s">
        <v>7135</v>
      </c>
      <c r="C873" s="2326"/>
      <c r="D873" s="2326"/>
      <c r="E873" s="2326"/>
      <c r="G873" s="2332"/>
      <c r="H873" s="2332"/>
      <c r="I873" s="2332"/>
      <c r="J873" s="2332"/>
      <c r="K873" s="2333">
        <f t="shared" si="162"/>
        <v>0</v>
      </c>
    </row>
    <row r="874" spans="1:13" ht="15" x14ac:dyDescent="0.25">
      <c r="B874" s="2326"/>
      <c r="C874" s="2326"/>
      <c r="D874" s="2326"/>
      <c r="E874" s="2326"/>
      <c r="G874" s="2332"/>
      <c r="H874" s="2332"/>
      <c r="I874" s="2332"/>
      <c r="J874" s="2332"/>
      <c r="K874" s="2333">
        <f t="shared" si="162"/>
        <v>0</v>
      </c>
    </row>
    <row r="875" spans="1:13" x14ac:dyDescent="0.2">
      <c r="B875" s="2328" t="s">
        <v>247</v>
      </c>
      <c r="C875" s="2328"/>
      <c r="D875" s="2328"/>
      <c r="E875" s="2328"/>
      <c r="G875" s="2332"/>
      <c r="H875" s="2332"/>
      <c r="I875" s="2332"/>
      <c r="J875" s="2332"/>
      <c r="K875" s="2333">
        <f t="shared" si="162"/>
        <v>0</v>
      </c>
    </row>
    <row r="876" spans="1:13" x14ac:dyDescent="0.2">
      <c r="B876" s="2328"/>
      <c r="C876" s="2328"/>
      <c r="D876" s="2328"/>
      <c r="E876" s="2328"/>
      <c r="G876" s="2332"/>
      <c r="H876" s="2332"/>
      <c r="I876" s="2332"/>
      <c r="J876" s="2332"/>
      <c r="K876" s="2333">
        <f t="shared" si="162"/>
        <v>0</v>
      </c>
    </row>
    <row r="877" spans="1:13" x14ac:dyDescent="0.2">
      <c r="A877" s="2353"/>
      <c r="B877" s="2330" t="s">
        <v>6929</v>
      </c>
      <c r="C877" s="2332"/>
      <c r="D877" s="2332"/>
      <c r="E877" s="2332"/>
      <c r="G877" s="2332"/>
      <c r="H877" s="2332"/>
      <c r="I877" s="2332"/>
      <c r="J877" s="2332"/>
      <c r="K877" s="2333">
        <f t="shared" si="162"/>
        <v>0</v>
      </c>
      <c r="L877" s="2332"/>
      <c r="M877" s="2332"/>
    </row>
    <row r="878" spans="1:13" x14ac:dyDescent="0.2">
      <c r="B878" s="2258" t="s">
        <v>1700</v>
      </c>
      <c r="C878" s="2332">
        <v>0</v>
      </c>
      <c r="D878" s="2332">
        <v>735000</v>
      </c>
      <c r="E878" s="2332">
        <v>735000</v>
      </c>
      <c r="F878" s="2332">
        <v>735000</v>
      </c>
      <c r="G878" s="2332">
        <f>+F878</f>
        <v>735000</v>
      </c>
      <c r="H878" s="2332"/>
      <c r="I878" s="2332">
        <v>750000</v>
      </c>
      <c r="J878" s="2332">
        <f>-[5]Sheet1!$K$410</f>
        <v>852240.65</v>
      </c>
      <c r="K878" s="2333">
        <f t="shared" si="162"/>
        <v>852240.65</v>
      </c>
      <c r="L878" s="2332">
        <v>790000</v>
      </c>
      <c r="M878" s="2332">
        <v>800000</v>
      </c>
    </row>
    <row r="879" spans="1:13" x14ac:dyDescent="0.2">
      <c r="B879" s="2334" t="s">
        <v>595</v>
      </c>
      <c r="C879" s="2397">
        <v>0</v>
      </c>
      <c r="D879" s="2397">
        <v>0</v>
      </c>
      <c r="E879" s="2397">
        <v>681000</v>
      </c>
      <c r="F879" s="2397">
        <v>681000</v>
      </c>
      <c r="G879" s="2397">
        <f>+F879</f>
        <v>681000</v>
      </c>
      <c r="H879" s="2397"/>
      <c r="I879" s="2397">
        <v>0</v>
      </c>
      <c r="J879" s="2397">
        <v>0</v>
      </c>
      <c r="K879" s="2336">
        <f t="shared" si="162"/>
        <v>0</v>
      </c>
      <c r="L879" s="2397">
        <v>0</v>
      </c>
      <c r="M879" s="2397">
        <v>0</v>
      </c>
    </row>
    <row r="880" spans="1:13" x14ac:dyDescent="0.2">
      <c r="B880" s="2330" t="s">
        <v>6932</v>
      </c>
      <c r="C880" s="2351">
        <f t="shared" ref="C880:M880" si="168">SUM(C878:C879)</f>
        <v>0</v>
      </c>
      <c r="D880" s="2351">
        <f t="shared" si="168"/>
        <v>735000</v>
      </c>
      <c r="E880" s="2351">
        <f t="shared" si="168"/>
        <v>1416000</v>
      </c>
      <c r="F880" s="2351">
        <f t="shared" si="168"/>
        <v>1416000</v>
      </c>
      <c r="G880" s="2351">
        <f t="shared" si="168"/>
        <v>1416000</v>
      </c>
      <c r="H880" s="2351"/>
      <c r="I880" s="2351">
        <f t="shared" si="168"/>
        <v>750000</v>
      </c>
      <c r="J880" s="2351">
        <f>J878</f>
        <v>852240.65</v>
      </c>
      <c r="K880" s="2333">
        <f t="shared" si="162"/>
        <v>852240.65</v>
      </c>
      <c r="L880" s="2351">
        <f t="shared" si="168"/>
        <v>790000</v>
      </c>
      <c r="M880" s="2351">
        <f t="shared" si="168"/>
        <v>800000</v>
      </c>
    </row>
    <row r="881" spans="1:13" x14ac:dyDescent="0.2">
      <c r="B881" s="2330"/>
      <c r="C881" s="2376"/>
      <c r="D881" s="2376"/>
      <c r="E881" s="2376"/>
      <c r="G881" s="2332"/>
      <c r="H881" s="2332"/>
      <c r="I881" s="2332"/>
      <c r="J881" s="2332"/>
      <c r="K881" s="2333">
        <f t="shared" si="162"/>
        <v>0</v>
      </c>
      <c r="L881" s="2376"/>
      <c r="M881" s="2376"/>
    </row>
    <row r="882" spans="1:13" x14ac:dyDescent="0.2">
      <c r="B882" s="2330" t="s">
        <v>1637</v>
      </c>
      <c r="C882" s="2328"/>
      <c r="D882" s="2328"/>
      <c r="E882" s="2328"/>
      <c r="G882" s="2332"/>
      <c r="H882" s="2332"/>
      <c r="I882" s="2332"/>
      <c r="J882" s="2332"/>
      <c r="K882" s="2333">
        <f t="shared" si="162"/>
        <v>0</v>
      </c>
    </row>
    <row r="883" spans="1:13" x14ac:dyDescent="0.2">
      <c r="A883" s="2353">
        <v>5807</v>
      </c>
      <c r="B883" s="2258" t="s">
        <v>3740</v>
      </c>
      <c r="C883" s="2332">
        <v>70</v>
      </c>
      <c r="D883" s="2332">
        <v>0</v>
      </c>
      <c r="E883" s="2332">
        <v>0</v>
      </c>
      <c r="F883" s="2332">
        <v>0</v>
      </c>
      <c r="G883" s="2332">
        <v>0</v>
      </c>
      <c r="H883" s="2332"/>
      <c r="I883" s="2332">
        <v>0</v>
      </c>
      <c r="J883" s="2332">
        <v>0</v>
      </c>
      <c r="K883" s="2333">
        <f t="shared" si="162"/>
        <v>0</v>
      </c>
      <c r="L883" s="2332">
        <v>0</v>
      </c>
      <c r="M883" s="2332">
        <v>0</v>
      </c>
    </row>
    <row r="884" spans="1:13" x14ac:dyDescent="0.2">
      <c r="B884" s="2418" t="s">
        <v>12</v>
      </c>
      <c r="C884" s="2332">
        <v>0</v>
      </c>
      <c r="D884" s="2332">
        <v>0</v>
      </c>
      <c r="E884" s="2332">
        <v>570000</v>
      </c>
      <c r="F884" s="2332">
        <v>570000</v>
      </c>
      <c r="G884" s="2332">
        <f>F884</f>
        <v>570000</v>
      </c>
      <c r="H884" s="2332"/>
      <c r="I884" s="2332">
        <v>0</v>
      </c>
      <c r="J884" s="2332">
        <v>0</v>
      </c>
      <c r="K884" s="2333">
        <f t="shared" si="162"/>
        <v>0</v>
      </c>
      <c r="L884" s="2332">
        <v>0</v>
      </c>
      <c r="M884" s="2332">
        <v>0</v>
      </c>
    </row>
    <row r="885" spans="1:13" x14ac:dyDescent="0.2">
      <c r="A885" s="2353">
        <v>5807</v>
      </c>
      <c r="B885" s="2419" t="s">
        <v>7037</v>
      </c>
      <c r="C885" s="2335">
        <v>3775</v>
      </c>
      <c r="D885" s="2335">
        <v>105000</v>
      </c>
      <c r="E885" s="2335">
        <v>105000</v>
      </c>
      <c r="F885" s="2335">
        <v>0</v>
      </c>
      <c r="G885" s="2335">
        <f>F885/$F$11*$G$11</f>
        <v>0</v>
      </c>
      <c r="H885" s="2335"/>
      <c r="I885" s="2335">
        <v>0</v>
      </c>
      <c r="J885" s="2335">
        <v>0</v>
      </c>
      <c r="K885" s="2336">
        <f t="shared" si="162"/>
        <v>0</v>
      </c>
      <c r="L885" s="2335">
        <f>ROUND(I885*1.05,0)</f>
        <v>0</v>
      </c>
      <c r="M885" s="2335">
        <f>ROUND(L885*1.05,0)</f>
        <v>0</v>
      </c>
    </row>
    <row r="886" spans="1:13" x14ac:dyDescent="0.2">
      <c r="B886" s="2330" t="s">
        <v>6670</v>
      </c>
      <c r="C886" s="2420">
        <f t="shared" ref="C886:M886" si="169">SUM(C883:C885)</f>
        <v>3845</v>
      </c>
      <c r="D886" s="2420">
        <f t="shared" si="169"/>
        <v>105000</v>
      </c>
      <c r="E886" s="2420">
        <f t="shared" si="169"/>
        <v>675000</v>
      </c>
      <c r="F886" s="2420">
        <f t="shared" si="169"/>
        <v>570000</v>
      </c>
      <c r="G886" s="2420">
        <f t="shared" si="169"/>
        <v>570000</v>
      </c>
      <c r="H886" s="2420"/>
      <c r="I886" s="2420">
        <f t="shared" si="169"/>
        <v>0</v>
      </c>
      <c r="J886" s="2420">
        <v>0</v>
      </c>
      <c r="K886" s="2333">
        <f t="shared" si="162"/>
        <v>0</v>
      </c>
      <c r="L886" s="2420">
        <f t="shared" si="169"/>
        <v>0</v>
      </c>
      <c r="M886" s="2420">
        <f t="shared" si="169"/>
        <v>0</v>
      </c>
    </row>
    <row r="887" spans="1:13" x14ac:dyDescent="0.2">
      <c r="B887" s="2330"/>
      <c r="C887" s="2376"/>
      <c r="D887" s="2376"/>
      <c r="E887" s="2376"/>
      <c r="F887" s="2376"/>
      <c r="G887" s="2376"/>
      <c r="H887" s="2376"/>
      <c r="I887" s="2376"/>
      <c r="J887" s="2376"/>
      <c r="K887" s="2333">
        <f t="shared" si="162"/>
        <v>0</v>
      </c>
      <c r="L887" s="2376"/>
      <c r="M887" s="2376"/>
    </row>
    <row r="888" spans="1:13" ht="13.5" thickBot="1" x14ac:dyDescent="0.25">
      <c r="B888" s="2342" t="s">
        <v>6579</v>
      </c>
      <c r="C888" s="2343">
        <f t="shared" ref="C888:M888" si="170">+C886+C880</f>
        <v>3845</v>
      </c>
      <c r="D888" s="2343">
        <f t="shared" si="170"/>
        <v>840000</v>
      </c>
      <c r="E888" s="2343">
        <f t="shared" si="170"/>
        <v>2091000</v>
      </c>
      <c r="F888" s="2343">
        <f t="shared" si="170"/>
        <v>1986000</v>
      </c>
      <c r="G888" s="2343">
        <f t="shared" si="170"/>
        <v>1986000</v>
      </c>
      <c r="H888" s="2343"/>
      <c r="I888" s="2343">
        <f t="shared" si="170"/>
        <v>750000</v>
      </c>
      <c r="J888" s="2343">
        <f t="shared" si="170"/>
        <v>852240.65</v>
      </c>
      <c r="K888" s="2344">
        <f t="shared" si="162"/>
        <v>852240.65</v>
      </c>
      <c r="L888" s="2343">
        <f t="shared" si="170"/>
        <v>790000</v>
      </c>
      <c r="M888" s="2343">
        <f t="shared" si="170"/>
        <v>800000</v>
      </c>
    </row>
    <row r="889" spans="1:13" ht="13.5" thickTop="1" x14ac:dyDescent="0.2">
      <c r="B889" s="2346"/>
      <c r="C889" s="2346"/>
      <c r="D889" s="2346"/>
      <c r="E889" s="2346"/>
      <c r="G889" s="2332"/>
      <c r="H889" s="2332"/>
      <c r="I889" s="2332"/>
      <c r="J889" s="2332">
        <f>J888+[5]Sheet1!$K$411</f>
        <v>0</v>
      </c>
      <c r="K889" s="2333">
        <f t="shared" si="162"/>
        <v>0</v>
      </c>
      <c r="L889" s="2346"/>
      <c r="M889" s="2346"/>
    </row>
    <row r="890" spans="1:13" x14ac:dyDescent="0.2">
      <c r="B890" s="2328" t="s">
        <v>235</v>
      </c>
      <c r="C890" s="2328"/>
      <c r="D890" s="2328"/>
      <c r="E890" s="2328"/>
      <c r="G890" s="2332"/>
      <c r="H890" s="2332"/>
      <c r="I890" s="2332"/>
      <c r="J890" s="2332"/>
      <c r="K890" s="2333">
        <f t="shared" si="162"/>
        <v>0</v>
      </c>
      <c r="L890" s="2328"/>
      <c r="M890" s="2328"/>
    </row>
    <row r="891" spans="1:13" x14ac:dyDescent="0.2">
      <c r="B891" s="2328"/>
      <c r="C891" s="2328"/>
      <c r="D891" s="2328"/>
      <c r="E891" s="2328"/>
      <c r="G891" s="2332"/>
      <c r="H891" s="2332"/>
      <c r="I891" s="2332"/>
      <c r="J891" s="2332"/>
      <c r="K891" s="2333">
        <f t="shared" si="162"/>
        <v>0</v>
      </c>
      <c r="L891" s="2328"/>
      <c r="M891" s="2328"/>
    </row>
    <row r="892" spans="1:13" x14ac:dyDescent="0.2">
      <c r="B892" s="2330" t="s">
        <v>387</v>
      </c>
      <c r="C892" s="2332"/>
      <c r="D892" s="2332"/>
      <c r="E892" s="2332"/>
      <c r="G892" s="2332"/>
      <c r="H892" s="2332"/>
      <c r="I892" s="2332"/>
      <c r="J892" s="2332"/>
      <c r="K892" s="2333">
        <f t="shared" si="162"/>
        <v>0</v>
      </c>
      <c r="L892" s="2332"/>
      <c r="M892" s="2332"/>
    </row>
    <row r="893" spans="1:13" x14ac:dyDescent="0.2">
      <c r="A893" s="2329">
        <v>1001</v>
      </c>
      <c r="B893" s="2258" t="s">
        <v>6943</v>
      </c>
      <c r="C893" s="2332">
        <v>967941</v>
      </c>
      <c r="D893" s="2332">
        <v>893942</v>
      </c>
      <c r="E893" s="2332">
        <v>842755</v>
      </c>
      <c r="F893" s="2332">
        <v>798054</v>
      </c>
      <c r="G893" s="2332">
        <f t="shared" ref="G893:G906" si="171">F893/$F$11*$G$11</f>
        <v>957664.79999999993</v>
      </c>
      <c r="H893" s="2332"/>
      <c r="I893" s="2332">
        <f>[6]Salary_Bdgt!$H$167</f>
        <v>801991</v>
      </c>
      <c r="J893" s="2332">
        <f>[5]Sheet1!$K$419</f>
        <v>1246837.76</v>
      </c>
      <c r="K893" s="2333">
        <f t="shared" si="162"/>
        <v>1246837.76</v>
      </c>
      <c r="L893" s="2332">
        <f t="shared" ref="L893:L906" si="172">ROUND(I893*1.08,0)</f>
        <v>866150</v>
      </c>
      <c r="M893" s="2332">
        <f t="shared" ref="M893:M906" si="173">ROUND(L893*1.08,0)</f>
        <v>935442</v>
      </c>
    </row>
    <row r="894" spans="1:13" x14ac:dyDescent="0.2">
      <c r="A894" s="2329">
        <v>1005</v>
      </c>
      <c r="B894" s="2258" t="s">
        <v>6944</v>
      </c>
      <c r="C894" s="2332">
        <v>102790</v>
      </c>
      <c r="D894" s="2332">
        <v>75390</v>
      </c>
      <c r="E894" s="2332">
        <f>+D894+36064</f>
        <v>111454</v>
      </c>
      <c r="F894" s="2332">
        <v>100493</v>
      </c>
      <c r="G894" s="2332">
        <f t="shared" si="171"/>
        <v>120591.59999999999</v>
      </c>
      <c r="H894" s="2332"/>
      <c r="I894" s="2332">
        <f>+[6]Salary_Bdgt!$L$167</f>
        <v>89964</v>
      </c>
      <c r="J894" s="2332">
        <f>[5]Sheet1!$K$429</f>
        <v>157139.20000000001</v>
      </c>
      <c r="K894" s="2333">
        <f t="shared" si="162"/>
        <v>157139.20000000001</v>
      </c>
      <c r="L894" s="2332">
        <f t="shared" si="172"/>
        <v>97161</v>
      </c>
      <c r="M894" s="2332">
        <f t="shared" si="173"/>
        <v>104934</v>
      </c>
    </row>
    <row r="895" spans="1:13" x14ac:dyDescent="0.2">
      <c r="A895" s="2329">
        <v>1006</v>
      </c>
      <c r="B895" s="2258" t="s">
        <v>6945</v>
      </c>
      <c r="C895" s="2332">
        <v>168522</v>
      </c>
      <c r="D895" s="2332">
        <v>120724</v>
      </c>
      <c r="E895" s="2332">
        <f>+D895+15123</f>
        <v>135847</v>
      </c>
      <c r="F895" s="2332">
        <v>142514</v>
      </c>
      <c r="G895" s="2332">
        <f t="shared" si="171"/>
        <v>171016.8</v>
      </c>
      <c r="H895" s="2332"/>
      <c r="I895" s="2332">
        <f>+[6]Salary_Bdgt!$N$167</f>
        <v>167693</v>
      </c>
      <c r="J895" s="2332">
        <f>[5]Sheet1!$K$430</f>
        <v>226499.74</v>
      </c>
      <c r="K895" s="2333">
        <f t="shared" si="162"/>
        <v>226499.74</v>
      </c>
      <c r="L895" s="2332">
        <f t="shared" si="172"/>
        <v>181108</v>
      </c>
      <c r="M895" s="2332">
        <f t="shared" si="173"/>
        <v>195597</v>
      </c>
    </row>
    <row r="896" spans="1:13" x14ac:dyDescent="0.2">
      <c r="A896" s="2329">
        <v>1007</v>
      </c>
      <c r="B896" s="2258" t="s">
        <v>6410</v>
      </c>
      <c r="C896" s="2332">
        <v>9608</v>
      </c>
      <c r="D896" s="2332">
        <v>12508</v>
      </c>
      <c r="E896" s="2332">
        <f>+D896</f>
        <v>12508</v>
      </c>
      <c r="F896" s="2332">
        <v>7835</v>
      </c>
      <c r="G896" s="2332">
        <f t="shared" si="171"/>
        <v>9402</v>
      </c>
      <c r="H896" s="2332"/>
      <c r="I896" s="2332">
        <f>+[6]Salary_Bdgt!$I$167</f>
        <v>10888</v>
      </c>
      <c r="J896" s="2332">
        <f>[5]Sheet1!$K$431</f>
        <v>11638.86</v>
      </c>
      <c r="K896" s="2333">
        <f t="shared" si="162"/>
        <v>11638.86</v>
      </c>
      <c r="L896" s="2332">
        <f t="shared" si="172"/>
        <v>11759</v>
      </c>
      <c r="M896" s="2332">
        <f t="shared" si="173"/>
        <v>12700</v>
      </c>
    </row>
    <row r="897" spans="1:13" x14ac:dyDescent="0.2">
      <c r="A897" s="2329">
        <v>1009</v>
      </c>
      <c r="B897" s="2258" t="s">
        <v>6408</v>
      </c>
      <c r="C897" s="2332">
        <v>511</v>
      </c>
      <c r="D897" s="2332">
        <f>[7]Sal_RIA!$M$128</f>
        <v>384</v>
      </c>
      <c r="E897" s="2332">
        <f>+D897</f>
        <v>384</v>
      </c>
      <c r="F897" s="2332">
        <v>371</v>
      </c>
      <c r="G897" s="2332">
        <f t="shared" si="171"/>
        <v>445.20000000000005</v>
      </c>
      <c r="H897" s="2332"/>
      <c r="I897" s="2332">
        <f>+[6]Salary_Bdgt!$M$167</f>
        <v>360</v>
      </c>
      <c r="J897" s="2332">
        <f>[5]Sheet1!$K$426</f>
        <v>574</v>
      </c>
      <c r="K897" s="2333">
        <f t="shared" si="162"/>
        <v>574</v>
      </c>
      <c r="L897" s="2332">
        <f t="shared" si="172"/>
        <v>389</v>
      </c>
      <c r="M897" s="2332">
        <f t="shared" si="173"/>
        <v>420</v>
      </c>
    </row>
    <row r="898" spans="1:13" x14ac:dyDescent="0.2">
      <c r="A898" s="2329">
        <v>1010</v>
      </c>
      <c r="B898" s="2258" t="s">
        <v>6946</v>
      </c>
      <c r="C898" s="2332">
        <v>75539</v>
      </c>
      <c r="D898" s="2332">
        <v>74495</v>
      </c>
      <c r="E898" s="2332">
        <f>+D898</f>
        <v>74495</v>
      </c>
      <c r="F898" s="2332">
        <v>56500</v>
      </c>
      <c r="G898" s="2332">
        <f t="shared" si="171"/>
        <v>67800</v>
      </c>
      <c r="H898" s="2332"/>
      <c r="I898" s="2332">
        <f>+[6]Salary_Bdgt!$Q$167</f>
        <v>66833</v>
      </c>
      <c r="J898" s="2332">
        <f>[5]Sheet1!$K$420</f>
        <v>23253.34</v>
      </c>
      <c r="K898" s="2333">
        <f t="shared" si="162"/>
        <v>23253.34</v>
      </c>
      <c r="L898" s="2332">
        <f t="shared" si="172"/>
        <v>72180</v>
      </c>
      <c r="M898" s="2332">
        <f t="shared" si="173"/>
        <v>77954</v>
      </c>
    </row>
    <row r="899" spans="1:13" x14ac:dyDescent="0.2">
      <c r="A899" s="2329">
        <v>1011</v>
      </c>
      <c r="B899" s="2258" t="s">
        <v>6947</v>
      </c>
      <c r="C899" s="2332">
        <v>6400</v>
      </c>
      <c r="D899" s="2332">
        <v>0</v>
      </c>
      <c r="E899" s="2332">
        <v>0</v>
      </c>
      <c r="F899" s="2332">
        <v>0</v>
      </c>
      <c r="G899" s="2332">
        <f t="shared" si="171"/>
        <v>0</v>
      </c>
      <c r="H899" s="2332"/>
      <c r="I899" s="2332">
        <f>+[6]Salary_Bdgt!$U$167</f>
        <v>0</v>
      </c>
      <c r="J899" s="2332">
        <f>[5]Sheet1!$K$421</f>
        <v>7000</v>
      </c>
      <c r="K899" s="2333">
        <f t="shared" si="162"/>
        <v>7000</v>
      </c>
      <c r="L899" s="2332">
        <f t="shared" si="172"/>
        <v>0</v>
      </c>
      <c r="M899" s="2332">
        <f t="shared" si="173"/>
        <v>0</v>
      </c>
    </row>
    <row r="900" spans="1:13" x14ac:dyDescent="0.2">
      <c r="A900" s="2353">
        <v>1014</v>
      </c>
      <c r="B900" s="2258" t="s">
        <v>6632</v>
      </c>
      <c r="C900" s="2332">
        <v>11833</v>
      </c>
      <c r="D900" s="2332">
        <f>[7]Sal_RIA!$S$128</f>
        <v>11198</v>
      </c>
      <c r="E900" s="2332">
        <f t="shared" ref="E900:E906" si="174">+D900</f>
        <v>11198</v>
      </c>
      <c r="F900" s="2332">
        <v>7239</v>
      </c>
      <c r="G900" s="2332">
        <f t="shared" si="171"/>
        <v>8686.7999999999993</v>
      </c>
      <c r="H900" s="2332"/>
      <c r="I900" s="2332">
        <f>+[6]Salary_Bdgt!$S$167</f>
        <v>1532</v>
      </c>
      <c r="J900" s="2332">
        <f>[5]Sheet1!$K$422</f>
        <v>1660.96</v>
      </c>
      <c r="K900" s="2333">
        <f t="shared" si="162"/>
        <v>1660.96</v>
      </c>
      <c r="L900" s="2332">
        <f t="shared" si="172"/>
        <v>1655</v>
      </c>
      <c r="M900" s="2332">
        <f t="shared" si="173"/>
        <v>1787</v>
      </c>
    </row>
    <row r="901" spans="1:13" x14ac:dyDescent="0.2">
      <c r="A901" s="2353">
        <v>1015</v>
      </c>
      <c r="B901" s="2258" t="s">
        <v>6948</v>
      </c>
      <c r="C901" s="2332">
        <v>1369</v>
      </c>
      <c r="D901" s="2332">
        <f>[7]Sal_RIA!$O$128+[7]Sal_RIA!$P$128</f>
        <v>0</v>
      </c>
      <c r="E901" s="2332">
        <f t="shared" si="174"/>
        <v>0</v>
      </c>
      <c r="F901" s="2332"/>
      <c r="G901" s="2332">
        <f t="shared" si="171"/>
        <v>0</v>
      </c>
      <c r="H901" s="2332"/>
      <c r="I901" s="2332">
        <f>+[6]Salary_Bdgt!$O$167+[6]Salary_Bdgt!$P$167+[6]Salary_Bdgt!$W$167</f>
        <v>0</v>
      </c>
      <c r="J901" s="2332"/>
      <c r="K901" s="2333">
        <f t="shared" si="162"/>
        <v>0</v>
      </c>
      <c r="L901" s="2332">
        <f t="shared" si="172"/>
        <v>0</v>
      </c>
      <c r="M901" s="2332">
        <f t="shared" si="173"/>
        <v>0</v>
      </c>
    </row>
    <row r="902" spans="1:13" x14ac:dyDescent="0.2">
      <c r="A902" s="2329">
        <v>1016</v>
      </c>
      <c r="B902" s="2258" t="s">
        <v>6949</v>
      </c>
      <c r="C902" s="2332">
        <v>0</v>
      </c>
      <c r="D902" s="2332">
        <v>68050</v>
      </c>
      <c r="E902" s="2332">
        <f t="shared" si="174"/>
        <v>68050</v>
      </c>
      <c r="F902" s="2332">
        <f>5063+14799</f>
        <v>19862</v>
      </c>
      <c r="G902" s="2332">
        <f t="shared" si="171"/>
        <v>23834.400000000001</v>
      </c>
      <c r="H902" s="2332"/>
      <c r="I902" s="2332">
        <f>+[6]Salary_Bdgt!$T$167+[6]Salary_Bdgt!$V$167</f>
        <v>89176</v>
      </c>
      <c r="J902" s="2332"/>
      <c r="K902" s="2333">
        <f t="shared" si="162"/>
        <v>0</v>
      </c>
      <c r="L902" s="2332">
        <f t="shared" si="172"/>
        <v>96310</v>
      </c>
      <c r="M902" s="2332">
        <f t="shared" si="173"/>
        <v>104015</v>
      </c>
    </row>
    <row r="903" spans="1:13" x14ac:dyDescent="0.2">
      <c r="A903" s="2353">
        <v>1017</v>
      </c>
      <c r="B903" s="2258" t="s">
        <v>6950</v>
      </c>
      <c r="C903" s="2332">
        <v>11141</v>
      </c>
      <c r="D903" s="2332">
        <v>19052</v>
      </c>
      <c r="E903" s="2332">
        <f t="shared" si="174"/>
        <v>19052</v>
      </c>
      <c r="F903" s="2332">
        <v>5090</v>
      </c>
      <c r="G903" s="2332">
        <f t="shared" si="171"/>
        <v>6108</v>
      </c>
      <c r="H903" s="2332"/>
      <c r="I903" s="2332">
        <f>+[6]Salary_Bdgt!$J$167</f>
        <v>16237</v>
      </c>
      <c r="J903" s="2332">
        <f>[5]Sheet1!$K$427</f>
        <v>13509.219999999998</v>
      </c>
      <c r="K903" s="2333">
        <f t="shared" si="162"/>
        <v>13509.219999999998</v>
      </c>
      <c r="L903" s="2332">
        <f t="shared" si="172"/>
        <v>17536</v>
      </c>
      <c r="M903" s="2332">
        <f t="shared" si="173"/>
        <v>18939</v>
      </c>
    </row>
    <row r="904" spans="1:13" x14ac:dyDescent="0.2">
      <c r="A904" s="2329">
        <v>1025</v>
      </c>
      <c r="B904" s="2258" t="s">
        <v>7136</v>
      </c>
      <c r="C904" s="2332">
        <v>0</v>
      </c>
      <c r="D904" s="2332">
        <v>34003</v>
      </c>
      <c r="E904" s="2332">
        <f t="shared" si="174"/>
        <v>34003</v>
      </c>
      <c r="F904" s="2332">
        <v>0</v>
      </c>
      <c r="G904" s="2332">
        <f t="shared" si="171"/>
        <v>0</v>
      </c>
      <c r="H904" s="2332"/>
      <c r="I904" s="2332">
        <f>+[6]Salary_Bdgt!$Y$575</f>
        <v>26127</v>
      </c>
      <c r="J904" s="2332">
        <f>[5]Sheet1!$K$432</f>
        <v>8913.99</v>
      </c>
      <c r="K904" s="2333">
        <f t="shared" si="162"/>
        <v>8913.99</v>
      </c>
      <c r="L904" s="2332">
        <f t="shared" si="172"/>
        <v>28217</v>
      </c>
      <c r="M904" s="2332">
        <f t="shared" si="173"/>
        <v>30474</v>
      </c>
    </row>
    <row r="905" spans="1:13" x14ac:dyDescent="0.2">
      <c r="A905" s="2329">
        <v>1046</v>
      </c>
      <c r="B905" s="2258" t="s">
        <v>6951</v>
      </c>
      <c r="C905" s="2332">
        <v>36735</v>
      </c>
      <c r="D905" s="2332">
        <v>37722</v>
      </c>
      <c r="E905" s="2332">
        <f t="shared" si="174"/>
        <v>37722</v>
      </c>
      <c r="F905" s="2332">
        <v>28578</v>
      </c>
      <c r="G905" s="2332">
        <f t="shared" si="171"/>
        <v>34293.600000000006</v>
      </c>
      <c r="H905" s="2332"/>
      <c r="I905" s="2332">
        <f>+[6]Salary_Bdgt!$R$167</f>
        <v>0</v>
      </c>
      <c r="J905" s="2332">
        <f>[5]Sheet1!$K$425</f>
        <v>40008.639999999999</v>
      </c>
      <c r="K905" s="2333">
        <f t="shared" si="162"/>
        <v>40008.639999999999</v>
      </c>
      <c r="L905" s="2332">
        <f t="shared" si="172"/>
        <v>0</v>
      </c>
      <c r="M905" s="2332">
        <f t="shared" si="173"/>
        <v>0</v>
      </c>
    </row>
    <row r="906" spans="1:13" x14ac:dyDescent="0.2">
      <c r="A906" s="2329">
        <v>1182</v>
      </c>
      <c r="B906" s="2334" t="s">
        <v>6952</v>
      </c>
      <c r="C906" s="2335">
        <v>9713</v>
      </c>
      <c r="D906" s="2335">
        <v>17718</v>
      </c>
      <c r="E906" s="2335">
        <f t="shared" si="174"/>
        <v>17718</v>
      </c>
      <c r="F906" s="2335">
        <v>0</v>
      </c>
      <c r="G906" s="2335">
        <f t="shared" si="171"/>
        <v>0</v>
      </c>
      <c r="H906" s="2335"/>
      <c r="I906" s="2335">
        <f>+[6]Salary_Bdgt!$K$167</f>
        <v>15100</v>
      </c>
      <c r="J906" s="2335">
        <f>[5]Sheet1!$K$428</f>
        <v>5153.46</v>
      </c>
      <c r="K906" s="2336">
        <f t="shared" si="162"/>
        <v>5153.46</v>
      </c>
      <c r="L906" s="2335">
        <f t="shared" si="172"/>
        <v>16308</v>
      </c>
      <c r="M906" s="2335">
        <f t="shared" si="173"/>
        <v>17613</v>
      </c>
    </row>
    <row r="907" spans="1:13" x14ac:dyDescent="0.2">
      <c r="B907" s="2330" t="s">
        <v>6588</v>
      </c>
      <c r="C907" s="2349">
        <f t="shared" ref="C907:M907" si="175">SUM(C893:C906)</f>
        <v>1402102</v>
      </c>
      <c r="D907" s="2349">
        <f t="shared" si="175"/>
        <v>1365186</v>
      </c>
      <c r="E907" s="2349">
        <f t="shared" si="175"/>
        <v>1365186</v>
      </c>
      <c r="F907" s="2349">
        <f t="shared" si="175"/>
        <v>1166536</v>
      </c>
      <c r="G907" s="2349">
        <f t="shared" si="175"/>
        <v>1399843.2</v>
      </c>
      <c r="H907" s="2349"/>
      <c r="I907" s="2349">
        <f t="shared" si="175"/>
        <v>1285901</v>
      </c>
      <c r="J907" s="2349">
        <f>SUM(J893:J906)</f>
        <v>1742189.17</v>
      </c>
      <c r="K907" s="2333">
        <f t="shared" si="162"/>
        <v>1742189.17</v>
      </c>
      <c r="L907" s="2349">
        <f t="shared" si="175"/>
        <v>1388773</v>
      </c>
      <c r="M907" s="2349">
        <f t="shared" si="175"/>
        <v>1499875</v>
      </c>
    </row>
    <row r="908" spans="1:13" x14ac:dyDescent="0.2">
      <c r="B908" s="2330"/>
      <c r="C908" s="2332"/>
      <c r="D908" s="2332"/>
      <c r="E908" s="2332"/>
      <c r="G908" s="2332"/>
      <c r="H908" s="2332"/>
      <c r="I908" s="2332"/>
      <c r="J908" s="2332">
        <f>J907-[5]Sheet1!$K$433</f>
        <v>0</v>
      </c>
      <c r="K908" s="2333">
        <f t="shared" si="162"/>
        <v>0</v>
      </c>
      <c r="L908" s="2332"/>
      <c r="M908" s="2332"/>
    </row>
    <row r="909" spans="1:13" x14ac:dyDescent="0.2">
      <c r="B909" s="2330" t="s">
        <v>6953</v>
      </c>
      <c r="C909" s="2332"/>
      <c r="D909" s="2332"/>
      <c r="E909" s="2332"/>
      <c r="G909" s="2332"/>
      <c r="H909" s="2332"/>
      <c r="I909" s="2332"/>
      <c r="J909" s="2332"/>
      <c r="K909" s="2333">
        <f t="shared" si="162"/>
        <v>0</v>
      </c>
      <c r="L909" s="2332"/>
      <c r="M909" s="2332"/>
    </row>
    <row r="910" spans="1:13" x14ac:dyDescent="0.2">
      <c r="A910" s="2329">
        <v>3205</v>
      </c>
      <c r="B910" s="2258" t="s">
        <v>200</v>
      </c>
      <c r="C910" s="2332">
        <v>0</v>
      </c>
      <c r="D910" s="2332">
        <v>0</v>
      </c>
      <c r="E910" s="2332">
        <v>0</v>
      </c>
      <c r="F910" s="2332">
        <v>0</v>
      </c>
      <c r="G910" s="2332">
        <f>F910/$F$11*$G$11</f>
        <v>0</v>
      </c>
      <c r="H910" s="2332"/>
      <c r="I910" s="2332">
        <v>0</v>
      </c>
      <c r="J910" s="2332">
        <v>0</v>
      </c>
      <c r="K910" s="2333">
        <f t="shared" si="162"/>
        <v>0</v>
      </c>
      <c r="L910" s="2332">
        <f>ROUND(I910*1.06,0)</f>
        <v>0</v>
      </c>
      <c r="M910" s="2332">
        <f>ROUND(L910*1.06,0)</f>
        <v>0</v>
      </c>
    </row>
    <row r="911" spans="1:13" x14ac:dyDescent="0.2">
      <c r="A911" s="2329">
        <v>3207</v>
      </c>
      <c r="B911" s="2334" t="s">
        <v>6954</v>
      </c>
      <c r="C911" s="2335">
        <v>2824</v>
      </c>
      <c r="D911" s="2335">
        <v>5250</v>
      </c>
      <c r="E911" s="2335">
        <v>5250</v>
      </c>
      <c r="F911" s="2335">
        <v>4553</v>
      </c>
      <c r="G911" s="2335">
        <f>F911/$F$11*$G$11</f>
        <v>5463.6</v>
      </c>
      <c r="H911" s="2335"/>
      <c r="I911" s="2335">
        <v>0</v>
      </c>
      <c r="J911" s="2335">
        <v>0</v>
      </c>
      <c r="K911" s="2336">
        <f t="shared" si="162"/>
        <v>0</v>
      </c>
      <c r="L911" s="2335">
        <f>ROUND(I911*1.06,0)</f>
        <v>0</v>
      </c>
      <c r="M911" s="2335">
        <f>ROUND(L911*1.06,0)</f>
        <v>0</v>
      </c>
    </row>
    <row r="912" spans="1:13" x14ac:dyDescent="0.2">
      <c r="B912" s="2330" t="s">
        <v>6956</v>
      </c>
      <c r="C912" s="2349">
        <f>SUM(C910:C911)</f>
        <v>2824</v>
      </c>
      <c r="D912" s="2349">
        <f t="shared" ref="D912:M912" si="176">SUM(D910:D911)</f>
        <v>5250</v>
      </c>
      <c r="E912" s="2349">
        <f t="shared" si="176"/>
        <v>5250</v>
      </c>
      <c r="F912" s="2349">
        <f t="shared" si="176"/>
        <v>4553</v>
      </c>
      <c r="G912" s="2349">
        <f t="shared" si="176"/>
        <v>5463.6</v>
      </c>
      <c r="H912" s="2349"/>
      <c r="I912" s="2349">
        <f t="shared" si="176"/>
        <v>0</v>
      </c>
      <c r="J912" s="2349">
        <v>0</v>
      </c>
      <c r="K912" s="2333">
        <f t="shared" si="162"/>
        <v>0</v>
      </c>
      <c r="L912" s="2349">
        <f t="shared" si="176"/>
        <v>0</v>
      </c>
      <c r="M912" s="2349">
        <f t="shared" si="176"/>
        <v>0</v>
      </c>
    </row>
    <row r="913" spans="1:13" x14ac:dyDescent="0.2">
      <c r="B913" s="2330"/>
      <c r="C913" s="2332"/>
      <c r="D913" s="2332"/>
      <c r="E913" s="2332"/>
      <c r="G913" s="2332"/>
      <c r="H913" s="2332"/>
      <c r="I913" s="2332"/>
      <c r="J913" s="2332"/>
      <c r="K913" s="2333">
        <f t="shared" si="162"/>
        <v>0</v>
      </c>
      <c r="L913" s="2332"/>
      <c r="M913" s="2332"/>
    </row>
    <row r="914" spans="1:13" x14ac:dyDescent="0.2">
      <c r="B914" s="2330" t="s">
        <v>6599</v>
      </c>
      <c r="C914" s="2332"/>
      <c r="D914" s="2332"/>
      <c r="E914" s="2332"/>
      <c r="F914" s="2309"/>
      <c r="G914" s="2332"/>
      <c r="H914" s="2332"/>
      <c r="I914" s="2332"/>
      <c r="J914" s="2332"/>
      <c r="K914" s="2333">
        <f t="shared" si="162"/>
        <v>0</v>
      </c>
      <c r="L914" s="2332"/>
      <c r="M914" s="2332"/>
    </row>
    <row r="915" spans="1:13" x14ac:dyDescent="0.2">
      <c r="A915" s="2353">
        <v>2007</v>
      </c>
      <c r="B915" s="2258" t="s">
        <v>7137</v>
      </c>
      <c r="C915" s="2332">
        <v>0</v>
      </c>
      <c r="D915" s="2332">
        <v>42000</v>
      </c>
      <c r="E915" s="2332">
        <v>42000</v>
      </c>
      <c r="F915" s="2332">
        <v>989</v>
      </c>
      <c r="G915" s="2332">
        <f t="shared" ref="G915:G928" si="177">F915/$F$11*$G$11</f>
        <v>1186.8000000000002</v>
      </c>
      <c r="H915" s="2332"/>
      <c r="I915" s="2332">
        <f>ROUND(E915*1.05,0)</f>
        <v>44100</v>
      </c>
      <c r="J915" s="2332">
        <f>[5]Sheet1!$K$436</f>
        <v>71578.960000000006</v>
      </c>
      <c r="K915" s="2333">
        <f t="shared" si="162"/>
        <v>71578.960000000006</v>
      </c>
      <c r="L915" s="2332">
        <f t="shared" ref="L915:L928" si="178">ROUND(I915*1.06,0)</f>
        <v>46746</v>
      </c>
      <c r="M915" s="2332">
        <f t="shared" ref="M915:M928" si="179">ROUND(L915*1.06,0)</f>
        <v>49551</v>
      </c>
    </row>
    <row r="916" spans="1:13" x14ac:dyDescent="0.2">
      <c r="A916" s="2329">
        <v>2081</v>
      </c>
      <c r="B916" s="2258" t="s">
        <v>7133</v>
      </c>
      <c r="C916" s="2332">
        <v>214967</v>
      </c>
      <c r="D916" s="2332">
        <v>367500</v>
      </c>
      <c r="E916" s="2332">
        <v>367500</v>
      </c>
      <c r="F916" s="2332">
        <v>163048</v>
      </c>
      <c r="G916" s="2332">
        <f t="shared" si="177"/>
        <v>195657.59999999998</v>
      </c>
      <c r="H916" s="2332"/>
      <c r="I916" s="2332">
        <f>ROUND(E916*1.05,0)</f>
        <v>385875</v>
      </c>
      <c r="J916" s="2332">
        <f>[5]Sheet1!$K$437</f>
        <v>610392</v>
      </c>
      <c r="K916" s="2333">
        <f t="shared" si="162"/>
        <v>610392</v>
      </c>
      <c r="L916" s="2332">
        <f t="shared" si="178"/>
        <v>409028</v>
      </c>
      <c r="M916" s="2332">
        <f t="shared" si="179"/>
        <v>433570</v>
      </c>
    </row>
    <row r="917" spans="1:13" x14ac:dyDescent="0.2">
      <c r="A917" s="2353">
        <v>2104</v>
      </c>
      <c r="B917" s="2258" t="s">
        <v>1630</v>
      </c>
      <c r="C917" s="2332">
        <v>714763</v>
      </c>
      <c r="D917" s="2332">
        <v>105000</v>
      </c>
      <c r="E917" s="2332">
        <v>105000</v>
      </c>
      <c r="F917" s="2332">
        <v>474312</v>
      </c>
      <c r="G917" s="2332">
        <f t="shared" si="177"/>
        <v>569174.39999999991</v>
      </c>
      <c r="H917" s="2332"/>
      <c r="I917" s="2332">
        <f>ROUND(E917*1.05,0)</f>
        <v>110250</v>
      </c>
      <c r="J917" s="2332">
        <f>[5]Sheet1!$K$453</f>
        <v>1042573.66</v>
      </c>
      <c r="K917" s="2333">
        <f t="shared" ref="K917:K980" si="180">J917</f>
        <v>1042573.66</v>
      </c>
      <c r="L917" s="2332">
        <f t="shared" si="178"/>
        <v>116865</v>
      </c>
      <c r="M917" s="2332">
        <f t="shared" si="179"/>
        <v>123877</v>
      </c>
    </row>
    <row r="918" spans="1:13" x14ac:dyDescent="0.2">
      <c r="A918" s="2329">
        <v>2113</v>
      </c>
      <c r="B918" s="2258" t="s">
        <v>6958</v>
      </c>
      <c r="C918" s="2332">
        <v>25287</v>
      </c>
      <c r="D918" s="2332">
        <v>21000</v>
      </c>
      <c r="E918" s="2332">
        <f>21000+47558</f>
        <v>68558</v>
      </c>
      <c r="F918" s="2332">
        <v>33441</v>
      </c>
      <c r="G918" s="2332">
        <f t="shared" si="177"/>
        <v>40129.199999999997</v>
      </c>
      <c r="H918" s="2332"/>
      <c r="I918" s="2332">
        <f>ROUND(E918*1.05,0)</f>
        <v>71986</v>
      </c>
      <c r="J918" s="2332">
        <f>[5]Sheet1!$K$438</f>
        <v>444536.38</v>
      </c>
      <c r="K918" s="2333">
        <f t="shared" si="180"/>
        <v>444536.38</v>
      </c>
      <c r="L918" s="2332">
        <f t="shared" si="178"/>
        <v>76305</v>
      </c>
      <c r="M918" s="2332">
        <f t="shared" si="179"/>
        <v>80883</v>
      </c>
    </row>
    <row r="919" spans="1:13" x14ac:dyDescent="0.2">
      <c r="A919" s="2329">
        <v>2207</v>
      </c>
      <c r="B919" s="2258" t="s">
        <v>7008</v>
      </c>
      <c r="C919" s="2332">
        <v>30361</v>
      </c>
      <c r="D919" s="2332">
        <v>10500</v>
      </c>
      <c r="E919" s="2332">
        <v>10500</v>
      </c>
      <c r="F919" s="2332">
        <f>8380+15390+1034+64539</f>
        <v>89343</v>
      </c>
      <c r="G919" s="2332">
        <f t="shared" si="177"/>
        <v>107211.59999999999</v>
      </c>
      <c r="H919" s="2332"/>
      <c r="I919" s="2332">
        <v>64045</v>
      </c>
      <c r="J919" s="2332">
        <f>[5]Sheet1!$K$439</f>
        <v>22712.82</v>
      </c>
      <c r="K919" s="2333">
        <f t="shared" si="180"/>
        <v>22712.82</v>
      </c>
      <c r="L919" s="2332">
        <f t="shared" si="178"/>
        <v>67888</v>
      </c>
      <c r="M919" s="2332">
        <f t="shared" si="179"/>
        <v>71961</v>
      </c>
    </row>
    <row r="920" spans="1:13" x14ac:dyDescent="0.2">
      <c r="A920" s="2329">
        <v>2212</v>
      </c>
      <c r="B920" s="2258" t="s">
        <v>6963</v>
      </c>
      <c r="C920" s="2332">
        <v>2741</v>
      </c>
      <c r="D920" s="2332">
        <v>84000</v>
      </c>
      <c r="E920" s="2332">
        <f>84000-47558</f>
        <v>36442</v>
      </c>
      <c r="F920" s="2332">
        <v>2517</v>
      </c>
      <c r="G920" s="2332">
        <f t="shared" si="177"/>
        <v>3020.3999999999996</v>
      </c>
      <c r="H920" s="2332"/>
      <c r="I920" s="2332">
        <f>ROUND(E920*1.05,0)</f>
        <v>38264</v>
      </c>
      <c r="J920" s="2332">
        <f>[5]Sheet1!$K$440</f>
        <v>35970.14</v>
      </c>
      <c r="K920" s="2333">
        <f t="shared" si="180"/>
        <v>35970.14</v>
      </c>
      <c r="L920" s="2332">
        <f t="shared" si="178"/>
        <v>40560</v>
      </c>
      <c r="M920" s="2332">
        <f t="shared" si="179"/>
        <v>42994</v>
      </c>
    </row>
    <row r="921" spans="1:13" x14ac:dyDescent="0.2">
      <c r="A921" s="2353">
        <v>2218</v>
      </c>
      <c r="B921" s="2258" t="s">
        <v>1783</v>
      </c>
      <c r="C921" s="2332">
        <v>3000</v>
      </c>
      <c r="D921" s="2332">
        <v>157500</v>
      </c>
      <c r="E921" s="2332">
        <f>157500+150000</f>
        <v>307500</v>
      </c>
      <c r="F921" s="2332">
        <v>179510</v>
      </c>
      <c r="G921" s="2332">
        <f t="shared" si="177"/>
        <v>215412</v>
      </c>
      <c r="H921" s="2332"/>
      <c r="I921" s="2332">
        <f>ROUND(E921*1.05,0)</f>
        <v>322875</v>
      </c>
      <c r="J921" s="2332">
        <f>[5]Sheet1!$K$441</f>
        <v>697842.74</v>
      </c>
      <c r="K921" s="2333">
        <f t="shared" si="180"/>
        <v>697842.74</v>
      </c>
      <c r="L921" s="2332">
        <f t="shared" si="178"/>
        <v>342248</v>
      </c>
      <c r="M921" s="2332">
        <f t="shared" si="179"/>
        <v>362783</v>
      </c>
    </row>
    <row r="922" spans="1:13" x14ac:dyDescent="0.2">
      <c r="A922" s="2353">
        <v>2220</v>
      </c>
      <c r="B922" s="2258" t="s">
        <v>7044</v>
      </c>
      <c r="C922" s="2332">
        <v>23969</v>
      </c>
      <c r="D922" s="2332">
        <v>862500</v>
      </c>
      <c r="E922" s="2332">
        <f>862500+570000+600000</f>
        <v>2032500</v>
      </c>
      <c r="F922" s="2332">
        <v>1611193</v>
      </c>
      <c r="G922" s="2332">
        <f t="shared" si="177"/>
        <v>1933431.5999999999</v>
      </c>
      <c r="H922" s="2332"/>
      <c r="I922" s="2332">
        <f>ROUND(E922*1.05,0)</f>
        <v>2134125</v>
      </c>
      <c r="J922" s="2332">
        <f>[5]Sheet1!$K$442</f>
        <v>2135069.56</v>
      </c>
      <c r="K922" s="2333">
        <f t="shared" si="180"/>
        <v>2135069.56</v>
      </c>
      <c r="L922" s="2332">
        <f t="shared" si="178"/>
        <v>2262173</v>
      </c>
      <c r="M922" s="2332">
        <f t="shared" si="179"/>
        <v>2397903</v>
      </c>
    </row>
    <row r="923" spans="1:13" x14ac:dyDescent="0.2">
      <c r="A923" s="2353">
        <v>2227</v>
      </c>
      <c r="B923" s="2258" t="s">
        <v>231</v>
      </c>
      <c r="C923" s="2332">
        <v>0</v>
      </c>
      <c r="D923" s="2332">
        <v>60000</v>
      </c>
      <c r="E923" s="2332">
        <v>60000</v>
      </c>
      <c r="F923" s="2332">
        <v>1658</v>
      </c>
      <c r="G923" s="2332">
        <f t="shared" si="177"/>
        <v>1989.6000000000001</v>
      </c>
      <c r="H923" s="2332"/>
      <c r="I923" s="2332">
        <f>ROUND(E923*1.05,0)</f>
        <v>63000</v>
      </c>
      <c r="J923" s="2332">
        <f>[5]Sheet1!$K$443</f>
        <v>468.67999999999995</v>
      </c>
      <c r="K923" s="2333">
        <f t="shared" si="180"/>
        <v>468.67999999999995</v>
      </c>
      <c r="L923" s="2332">
        <f t="shared" si="178"/>
        <v>66780</v>
      </c>
      <c r="M923" s="2332">
        <f t="shared" si="179"/>
        <v>70787</v>
      </c>
    </row>
    <row r="924" spans="1:13" x14ac:dyDescent="0.2">
      <c r="A924" s="2329">
        <v>2233</v>
      </c>
      <c r="B924" s="2258" t="s">
        <v>6966</v>
      </c>
      <c r="C924" s="2332">
        <v>6655</v>
      </c>
      <c r="D924" s="2332">
        <v>15000</v>
      </c>
      <c r="E924" s="2332">
        <v>15000</v>
      </c>
      <c r="F924" s="2332">
        <f>7999+24160+12540+65740</f>
        <v>110439</v>
      </c>
      <c r="G924" s="2332">
        <f t="shared" si="177"/>
        <v>132526.79999999999</v>
      </c>
      <c r="H924" s="2332"/>
      <c r="I924" s="2332">
        <v>420030</v>
      </c>
      <c r="J924" s="2332">
        <f>[5]Sheet1!$K$444</f>
        <v>44708</v>
      </c>
      <c r="K924" s="2333">
        <f t="shared" si="180"/>
        <v>44708</v>
      </c>
      <c r="L924" s="2332">
        <f t="shared" si="178"/>
        <v>445232</v>
      </c>
      <c r="M924" s="2332">
        <f t="shared" si="179"/>
        <v>471946</v>
      </c>
    </row>
    <row r="925" spans="1:13" x14ac:dyDescent="0.2">
      <c r="A925" s="2353">
        <v>2238</v>
      </c>
      <c r="B925" s="2258" t="s">
        <v>6967</v>
      </c>
      <c r="C925" s="2332">
        <v>31509</v>
      </c>
      <c r="D925" s="2332">
        <v>31500</v>
      </c>
      <c r="E925" s="2332">
        <v>31500</v>
      </c>
      <c r="F925" s="2332">
        <v>47585</v>
      </c>
      <c r="G925" s="2332">
        <f t="shared" si="177"/>
        <v>57102</v>
      </c>
      <c r="H925" s="2332"/>
      <c r="I925" s="2332">
        <f>ROUND(E925*1.05,0)</f>
        <v>33075</v>
      </c>
      <c r="J925" s="2332">
        <f>[5]Sheet1!$K$445</f>
        <v>43705.84</v>
      </c>
      <c r="K925" s="2333">
        <f t="shared" si="180"/>
        <v>43705.84</v>
      </c>
      <c r="L925" s="2332">
        <f t="shared" si="178"/>
        <v>35060</v>
      </c>
      <c r="M925" s="2332">
        <f t="shared" si="179"/>
        <v>37164</v>
      </c>
    </row>
    <row r="926" spans="1:13" x14ac:dyDescent="0.2">
      <c r="A926" s="2329">
        <v>2246</v>
      </c>
      <c r="B926" s="2258" t="s">
        <v>6968</v>
      </c>
      <c r="C926" s="2332">
        <v>586327</v>
      </c>
      <c r="D926" s="2332">
        <v>294000</v>
      </c>
      <c r="E926" s="2332">
        <f>294000+300000</f>
        <v>594000</v>
      </c>
      <c r="F926" s="2332">
        <v>587023</v>
      </c>
      <c r="G926" s="2332">
        <f t="shared" si="177"/>
        <v>704427.60000000009</v>
      </c>
      <c r="H926" s="2332"/>
      <c r="I926" s="2332">
        <f>ROUND(E926*1.05,0)</f>
        <v>623700</v>
      </c>
      <c r="J926" s="2332">
        <f>[5]Sheet1!$K$448</f>
        <v>1162042.6599999999</v>
      </c>
      <c r="K926" s="2333">
        <f t="shared" si="180"/>
        <v>1162042.6599999999</v>
      </c>
      <c r="L926" s="2332">
        <f t="shared" si="178"/>
        <v>661122</v>
      </c>
      <c r="M926" s="2332">
        <f t="shared" si="179"/>
        <v>700789</v>
      </c>
    </row>
    <row r="927" spans="1:13" x14ac:dyDescent="0.2">
      <c r="A927" s="2329">
        <v>2502</v>
      </c>
      <c r="B927" s="2258" t="s">
        <v>6733</v>
      </c>
      <c r="C927" s="2332">
        <v>0</v>
      </c>
      <c r="D927" s="2332">
        <v>0</v>
      </c>
      <c r="E927" s="2332">
        <v>0</v>
      </c>
      <c r="F927" s="2332">
        <v>0</v>
      </c>
      <c r="G927" s="2332">
        <f t="shared" si="177"/>
        <v>0</v>
      </c>
      <c r="H927" s="2332"/>
      <c r="I927" s="2332">
        <f>I878</f>
        <v>750000</v>
      </c>
      <c r="J927" s="2332">
        <f>[5]Sheet1!$K$452</f>
        <v>255922.88</v>
      </c>
      <c r="K927" s="2333">
        <f t="shared" si="180"/>
        <v>255922.88</v>
      </c>
      <c r="L927" s="2332">
        <f t="shared" si="178"/>
        <v>795000</v>
      </c>
      <c r="M927" s="2332">
        <f t="shared" si="179"/>
        <v>842700</v>
      </c>
    </row>
    <row r="928" spans="1:13" x14ac:dyDescent="0.2">
      <c r="A928" s="2353">
        <v>2305</v>
      </c>
      <c r="B928" s="2334" t="s">
        <v>6970</v>
      </c>
      <c r="C928" s="2335">
        <v>3359</v>
      </c>
      <c r="D928" s="2335">
        <v>5250</v>
      </c>
      <c r="E928" s="2335">
        <v>5250</v>
      </c>
      <c r="F928" s="2335">
        <v>4771</v>
      </c>
      <c r="G928" s="2335">
        <f t="shared" si="177"/>
        <v>5725.2000000000007</v>
      </c>
      <c r="H928" s="2332"/>
      <c r="I928" s="2332">
        <f>ROUND(E928*1.05,0)</f>
        <v>5513</v>
      </c>
      <c r="J928" s="2332">
        <f>[5]Sheet1!$K$451</f>
        <v>1540.1599999999999</v>
      </c>
      <c r="K928" s="2336">
        <f t="shared" si="180"/>
        <v>1540.1599999999999</v>
      </c>
      <c r="L928" s="2335">
        <f t="shared" si="178"/>
        <v>5844</v>
      </c>
      <c r="M928" s="2335">
        <f t="shared" si="179"/>
        <v>6195</v>
      </c>
    </row>
    <row r="929" spans="1:13" x14ac:dyDescent="0.2">
      <c r="B929" s="2330" t="s">
        <v>6614</v>
      </c>
      <c r="C929" s="2417">
        <f t="shared" ref="C929:M929" si="181">SUM(C915:C928)</f>
        <v>1642938</v>
      </c>
      <c r="D929" s="2417">
        <f t="shared" si="181"/>
        <v>2055750</v>
      </c>
      <c r="E929" s="2417">
        <f t="shared" si="181"/>
        <v>3675750</v>
      </c>
      <c r="F929" s="2417">
        <f t="shared" si="181"/>
        <v>3305829</v>
      </c>
      <c r="G929" s="2417">
        <f t="shared" si="181"/>
        <v>3966994.8</v>
      </c>
      <c r="H929" s="2417"/>
      <c r="I929" s="2417">
        <f t="shared" si="181"/>
        <v>5066838</v>
      </c>
      <c r="J929" s="2417">
        <f>SUM(J915:J928)</f>
        <v>6569064.4799999995</v>
      </c>
      <c r="K929" s="2333">
        <f t="shared" si="180"/>
        <v>6569064.4799999995</v>
      </c>
      <c r="L929" s="2417">
        <f t="shared" si="181"/>
        <v>5370851</v>
      </c>
      <c r="M929" s="2417">
        <f t="shared" si="181"/>
        <v>5693103</v>
      </c>
    </row>
    <row r="930" spans="1:13" x14ac:dyDescent="0.2">
      <c r="B930" s="2338"/>
      <c r="C930" s="2362"/>
      <c r="D930" s="2362"/>
      <c r="E930" s="2362"/>
      <c r="F930" s="2362"/>
      <c r="G930" s="2362"/>
      <c r="H930" s="2362"/>
      <c r="I930" s="2362"/>
      <c r="J930" s="2362">
        <f>J929-[5]Sheet1!$K$454</f>
        <v>0</v>
      </c>
      <c r="K930" s="2336">
        <f t="shared" si="180"/>
        <v>0</v>
      </c>
      <c r="L930" s="2362"/>
      <c r="M930" s="2362"/>
    </row>
    <row r="931" spans="1:13" x14ac:dyDescent="0.2">
      <c r="B931" s="2330" t="s">
        <v>6972</v>
      </c>
      <c r="C931" s="2351">
        <f t="shared" ref="C931:M931" si="182">C907+C912+C929</f>
        <v>3047864</v>
      </c>
      <c r="D931" s="2351">
        <f t="shared" si="182"/>
        <v>3426186</v>
      </c>
      <c r="E931" s="2351">
        <f t="shared" si="182"/>
        <v>5046186</v>
      </c>
      <c r="F931" s="2351">
        <f t="shared" si="182"/>
        <v>4476918</v>
      </c>
      <c r="G931" s="2351">
        <f t="shared" si="182"/>
        <v>5372301.5999999996</v>
      </c>
      <c r="H931" s="2351"/>
      <c r="I931" s="2351">
        <f t="shared" si="182"/>
        <v>6352739</v>
      </c>
      <c r="J931" s="2351">
        <f t="shared" si="182"/>
        <v>8311253.6499999994</v>
      </c>
      <c r="K931" s="2333">
        <f t="shared" si="180"/>
        <v>8311253.6499999994</v>
      </c>
      <c r="L931" s="2351">
        <f t="shared" si="182"/>
        <v>6759624</v>
      </c>
      <c r="M931" s="2351">
        <f t="shared" si="182"/>
        <v>7192978</v>
      </c>
    </row>
    <row r="932" spans="1:13" x14ac:dyDescent="0.2">
      <c r="B932" s="2330"/>
      <c r="C932" s="2364"/>
      <c r="D932" s="2364"/>
      <c r="E932" s="2364"/>
      <c r="F932" s="2309"/>
      <c r="G932" s="2332"/>
      <c r="H932" s="2332"/>
      <c r="I932" s="2332"/>
      <c r="J932" s="2332"/>
      <c r="K932" s="2333">
        <f t="shared" si="180"/>
        <v>0</v>
      </c>
      <c r="L932" s="2364"/>
      <c r="M932" s="2364"/>
    </row>
    <row r="933" spans="1:13" x14ac:dyDescent="0.2">
      <c r="A933" s="2369"/>
      <c r="B933" s="2369"/>
      <c r="C933" s="2369"/>
      <c r="D933" s="2369"/>
      <c r="E933" s="2369"/>
      <c r="F933" s="2309"/>
      <c r="G933" s="2332"/>
      <c r="H933" s="2332"/>
      <c r="I933" s="2332"/>
      <c r="J933" s="2332"/>
      <c r="K933" s="2333">
        <f t="shared" si="180"/>
        <v>0</v>
      </c>
      <c r="L933" s="2369"/>
      <c r="M933" s="2369"/>
    </row>
    <row r="934" spans="1:13" ht="15" x14ac:dyDescent="0.25">
      <c r="A934" s="2365">
        <v>1150</v>
      </c>
      <c r="B934" s="2326" t="s">
        <v>7138</v>
      </c>
      <c r="C934" s="2364"/>
      <c r="D934" s="2364"/>
      <c r="E934" s="2364"/>
      <c r="F934" s="2309"/>
      <c r="G934" s="2332"/>
      <c r="H934" s="2332"/>
      <c r="I934" s="2332"/>
      <c r="J934" s="2332"/>
      <c r="K934" s="2333">
        <f t="shared" si="180"/>
        <v>0</v>
      </c>
      <c r="L934" s="2364"/>
      <c r="M934" s="2364"/>
    </row>
    <row r="935" spans="1:13" x14ac:dyDescent="0.2">
      <c r="B935" s="2330"/>
      <c r="C935" s="2364"/>
      <c r="D935" s="2364"/>
      <c r="E935" s="2364"/>
      <c r="F935" s="2309"/>
      <c r="G935" s="2332"/>
      <c r="H935" s="2332"/>
      <c r="I935" s="2332"/>
      <c r="J935" s="2332"/>
      <c r="K935" s="2333">
        <f t="shared" si="180"/>
        <v>0</v>
      </c>
      <c r="L935" s="2364"/>
      <c r="M935" s="2364"/>
    </row>
    <row r="936" spans="1:13" x14ac:dyDescent="0.2">
      <c r="B936" s="2330" t="s">
        <v>6974</v>
      </c>
      <c r="C936" s="2364"/>
      <c r="D936" s="2364"/>
      <c r="E936" s="2364"/>
      <c r="G936" s="2332"/>
      <c r="H936" s="2332"/>
      <c r="I936" s="2332"/>
      <c r="J936" s="2332"/>
      <c r="K936" s="2333">
        <f t="shared" si="180"/>
        <v>0</v>
      </c>
      <c r="L936" s="2364"/>
      <c r="M936" s="2364"/>
    </row>
    <row r="937" spans="1:13" x14ac:dyDescent="0.2">
      <c r="A937" s="2329">
        <v>4106</v>
      </c>
      <c r="B937" s="2258" t="s">
        <v>6975</v>
      </c>
      <c r="C937" s="2332">
        <v>14432</v>
      </c>
      <c r="D937" s="2332">
        <v>0</v>
      </c>
      <c r="E937" s="2332">
        <v>0</v>
      </c>
      <c r="F937" s="2332">
        <v>0</v>
      </c>
      <c r="G937" s="2332">
        <v>0</v>
      </c>
      <c r="H937" s="2332"/>
      <c r="I937" s="2332">
        <f>ROUND(E937*1.05,0)</f>
        <v>0</v>
      </c>
      <c r="J937" s="2332">
        <f>[5]Sheet1!$K$462</f>
        <v>0</v>
      </c>
      <c r="K937" s="2333">
        <f t="shared" si="180"/>
        <v>0</v>
      </c>
      <c r="L937" s="2332">
        <f>ROUND(I937*1.05,0)</f>
        <v>0</v>
      </c>
      <c r="M937" s="2332">
        <f>ROUND(L937*1.05,0)</f>
        <v>0</v>
      </c>
    </row>
    <row r="938" spans="1:13" x14ac:dyDescent="0.2">
      <c r="A938" s="2329">
        <v>4209</v>
      </c>
      <c r="B938" s="2258" t="s">
        <v>7022</v>
      </c>
      <c r="C938" s="2332">
        <v>38</v>
      </c>
      <c r="D938" s="2332">
        <v>0</v>
      </c>
      <c r="E938" s="2332">
        <v>0</v>
      </c>
      <c r="F938" s="2332">
        <v>0</v>
      </c>
      <c r="G938" s="2332">
        <v>0</v>
      </c>
      <c r="H938" s="2332"/>
      <c r="I938" s="2332">
        <f>ROUND(E938*1.05,0)</f>
        <v>0</v>
      </c>
      <c r="J938" s="2332">
        <v>0</v>
      </c>
      <c r="K938" s="2333">
        <f t="shared" si="180"/>
        <v>0</v>
      </c>
      <c r="L938" s="2332">
        <f>ROUND(I938*1.05,0)</f>
        <v>0</v>
      </c>
      <c r="M938" s="2332">
        <f>ROUND(L938*1.05,0)</f>
        <v>0</v>
      </c>
    </row>
    <row r="939" spans="1:13" x14ac:dyDescent="0.2">
      <c r="A939" s="2353">
        <v>4204</v>
      </c>
      <c r="B939" s="2258" t="s">
        <v>6976</v>
      </c>
      <c r="C939" s="2364">
        <v>30085</v>
      </c>
      <c r="D939" s="2332">
        <v>34671</v>
      </c>
      <c r="E939" s="2332">
        <v>34671</v>
      </c>
      <c r="F939" s="2332">
        <v>0</v>
      </c>
      <c r="G939" s="2332">
        <f>F939/$F$11*$G$11</f>
        <v>0</v>
      </c>
      <c r="H939" s="2332"/>
      <c r="I939" s="2332">
        <f>ROUND(E939*1.08,0)</f>
        <v>37445</v>
      </c>
      <c r="J939" s="2332">
        <f>[5]Sheet1!$K$463</f>
        <v>12777.19</v>
      </c>
      <c r="K939" s="2333">
        <f t="shared" si="180"/>
        <v>12777.19</v>
      </c>
      <c r="L939" s="2332">
        <f>ROUND(I939*1.08,0)</f>
        <v>40441</v>
      </c>
      <c r="M939" s="2332">
        <f>ROUND(L939*1.08,0)</f>
        <v>43676</v>
      </c>
    </row>
    <row r="940" spans="1:13" x14ac:dyDescent="0.2">
      <c r="A940" s="2353">
        <v>4207</v>
      </c>
      <c r="B940" s="2334" t="s">
        <v>6977</v>
      </c>
      <c r="C940" s="2397">
        <v>41069</v>
      </c>
      <c r="D940" s="2335">
        <v>38166</v>
      </c>
      <c r="E940" s="2335">
        <v>38166</v>
      </c>
      <c r="F940" s="2335">
        <v>0</v>
      </c>
      <c r="G940" s="2335">
        <f>F940/$F$11*$G$11</f>
        <v>0</v>
      </c>
      <c r="H940" s="2335"/>
      <c r="I940" s="2335">
        <f>ROUND(E940*1.08,0)</f>
        <v>41219</v>
      </c>
      <c r="J940" s="2335">
        <f>[5]Sheet1!$K$464</f>
        <v>14065.7</v>
      </c>
      <c r="K940" s="2336">
        <f t="shared" si="180"/>
        <v>14065.7</v>
      </c>
      <c r="L940" s="2335">
        <f>ROUND(I940*1.08,0)</f>
        <v>44517</v>
      </c>
      <c r="M940" s="2335">
        <f>ROUND(L940*1.08,0)</f>
        <v>48078</v>
      </c>
    </row>
    <row r="941" spans="1:13" x14ac:dyDescent="0.2">
      <c r="B941" s="2330" t="s">
        <v>6979</v>
      </c>
      <c r="C941" s="2349">
        <f t="shared" ref="C941:M941" si="183">SUM(C937:C940)</f>
        <v>85624</v>
      </c>
      <c r="D941" s="2349">
        <f t="shared" si="183"/>
        <v>72837</v>
      </c>
      <c r="E941" s="2349">
        <f t="shared" si="183"/>
        <v>72837</v>
      </c>
      <c r="F941" s="2349">
        <f t="shared" si="183"/>
        <v>0</v>
      </c>
      <c r="G941" s="2349">
        <f t="shared" si="183"/>
        <v>0</v>
      </c>
      <c r="H941" s="2349"/>
      <c r="I941" s="2349">
        <f t="shared" si="183"/>
        <v>78664</v>
      </c>
      <c r="J941" s="2349">
        <f>J939+J940</f>
        <v>26842.89</v>
      </c>
      <c r="K941" s="2333">
        <f t="shared" si="180"/>
        <v>26842.89</v>
      </c>
      <c r="L941" s="2349">
        <f t="shared" si="183"/>
        <v>84958</v>
      </c>
      <c r="M941" s="2349">
        <f t="shared" si="183"/>
        <v>91754</v>
      </c>
    </row>
    <row r="942" spans="1:13" x14ac:dyDescent="0.2">
      <c r="B942" s="2330"/>
      <c r="C942" s="2349"/>
      <c r="D942" s="2349"/>
      <c r="E942" s="2349"/>
      <c r="F942" s="2349"/>
      <c r="G942" s="2349"/>
      <c r="H942" s="2349"/>
      <c r="I942" s="2349"/>
      <c r="J942" s="2349">
        <f>J941-[5]Sheet1!$K$465</f>
        <v>0</v>
      </c>
      <c r="K942" s="2333">
        <f t="shared" si="180"/>
        <v>0</v>
      </c>
      <c r="L942" s="2349"/>
      <c r="M942" s="2349"/>
    </row>
    <row r="943" spans="1:13" ht="13.5" thickBot="1" x14ac:dyDescent="0.25">
      <c r="B943" s="2342" t="s">
        <v>6980</v>
      </c>
      <c r="C943" s="2354">
        <f>C931+C941</f>
        <v>3133488</v>
      </c>
      <c r="D943" s="2354">
        <f>D931+D941</f>
        <v>3499023</v>
      </c>
      <c r="E943" s="2354">
        <f>E931+E941</f>
        <v>5119023</v>
      </c>
      <c r="F943" s="2354">
        <f>F931+F941</f>
        <v>4476918</v>
      </c>
      <c r="G943" s="2354">
        <f>G931+G941</f>
        <v>5372301.5999999996</v>
      </c>
      <c r="H943" s="2354"/>
      <c r="I943" s="2354">
        <f>I931+I941</f>
        <v>6431403</v>
      </c>
      <c r="J943" s="2354">
        <f>J931+J941</f>
        <v>8338096.5399999991</v>
      </c>
      <c r="K943" s="2344">
        <f t="shared" si="180"/>
        <v>8338096.5399999991</v>
      </c>
      <c r="L943" s="2354">
        <f>L931+L941</f>
        <v>6844582</v>
      </c>
      <c r="M943" s="2354">
        <f>M931+M941</f>
        <v>7284732</v>
      </c>
    </row>
    <row r="944" spans="1:13" ht="13.5" thickTop="1" x14ac:dyDescent="0.2">
      <c r="B944" s="2330"/>
      <c r="C944" s="2349"/>
      <c r="D944" s="2349"/>
      <c r="E944" s="2349"/>
      <c r="F944" s="2349"/>
      <c r="G944" s="2349"/>
      <c r="H944" s="2349"/>
      <c r="I944" s="2349"/>
      <c r="J944" s="2349"/>
      <c r="K944" s="2333">
        <f t="shared" si="180"/>
        <v>0</v>
      </c>
      <c r="L944" s="2349"/>
      <c r="M944" s="2349"/>
    </row>
    <row r="945" spans="1:13" ht="13.5" thickBot="1" x14ac:dyDescent="0.25">
      <c r="B945" s="2342" t="s">
        <v>6624</v>
      </c>
      <c r="C945" s="2355">
        <f>C888-C943</f>
        <v>-3129643</v>
      </c>
      <c r="D945" s="2355">
        <f>D888-D943</f>
        <v>-2659023</v>
      </c>
      <c r="E945" s="2355">
        <f>E888-E943</f>
        <v>-3028023</v>
      </c>
      <c r="F945" s="2355">
        <f>F888-F943</f>
        <v>-2490918</v>
      </c>
      <c r="G945" s="2355">
        <f>G888-G943</f>
        <v>-3386301.5999999996</v>
      </c>
      <c r="H945" s="2355"/>
      <c r="I945" s="2355">
        <f>I888-I943</f>
        <v>-5681403</v>
      </c>
      <c r="J945" s="2355">
        <f>J888-J943</f>
        <v>-7485855.8899999987</v>
      </c>
      <c r="K945" s="2344">
        <f t="shared" si="180"/>
        <v>-7485855.8899999987</v>
      </c>
      <c r="L945" s="2355">
        <f>L888-L943</f>
        <v>-6054582</v>
      </c>
      <c r="M945" s="2355">
        <f>M888-M943</f>
        <v>-6484732</v>
      </c>
    </row>
    <row r="946" spans="1:13" ht="13.5" thickTop="1" x14ac:dyDescent="0.2">
      <c r="B946" s="2330"/>
      <c r="C946" s="2356"/>
      <c r="D946" s="2356"/>
      <c r="E946" s="2356"/>
      <c r="F946" s="2309"/>
      <c r="G946" s="2332"/>
      <c r="H946" s="2332"/>
      <c r="I946" s="2332"/>
      <c r="J946" s="2332"/>
      <c r="K946" s="2333">
        <f t="shared" si="180"/>
        <v>0</v>
      </c>
      <c r="L946" s="2356"/>
      <c r="M946" s="2356"/>
    </row>
    <row r="947" spans="1:13" x14ac:dyDescent="0.2">
      <c r="A947" s="2369"/>
      <c r="B947" s="2369"/>
      <c r="C947" s="2369"/>
      <c r="D947" s="2369"/>
      <c r="E947" s="2369"/>
      <c r="F947" s="2309"/>
      <c r="G947" s="2332"/>
      <c r="H947" s="2332"/>
      <c r="I947" s="2332"/>
      <c r="J947" s="2332"/>
      <c r="K947" s="2333">
        <f t="shared" si="180"/>
        <v>0</v>
      </c>
      <c r="L947" s="2369"/>
      <c r="M947" s="2369"/>
    </row>
    <row r="948" spans="1:13" ht="15.75" x14ac:dyDescent="0.25">
      <c r="A948" s="2374">
        <v>1200</v>
      </c>
      <c r="B948" s="2421" t="s">
        <v>6736</v>
      </c>
      <c r="G948" s="2332"/>
      <c r="H948" s="2332"/>
      <c r="I948" s="2332"/>
      <c r="J948" s="2332"/>
      <c r="K948" s="2333">
        <f t="shared" si="180"/>
        <v>0</v>
      </c>
    </row>
    <row r="949" spans="1:13" ht="15.75" x14ac:dyDescent="0.25">
      <c r="A949" s="2374"/>
      <c r="B949" s="2421"/>
      <c r="G949" s="2332"/>
      <c r="H949" s="2332"/>
      <c r="I949" s="2332"/>
      <c r="J949" s="2332"/>
      <c r="K949" s="2333">
        <f t="shared" si="180"/>
        <v>0</v>
      </c>
    </row>
    <row r="950" spans="1:13" x14ac:dyDescent="0.2">
      <c r="G950" s="2332"/>
      <c r="H950" s="2332"/>
      <c r="I950" s="2332"/>
      <c r="J950" s="2332"/>
      <c r="K950" s="2333">
        <f t="shared" si="180"/>
        <v>0</v>
      </c>
    </row>
    <row r="951" spans="1:13" ht="15" x14ac:dyDescent="0.25">
      <c r="A951" s="2365">
        <v>1210</v>
      </c>
      <c r="B951" s="2366" t="s">
        <v>7139</v>
      </c>
      <c r="G951" s="2332"/>
      <c r="H951" s="2332"/>
      <c r="I951" s="2332"/>
      <c r="J951" s="2332"/>
      <c r="K951" s="2333">
        <f t="shared" si="180"/>
        <v>0</v>
      </c>
    </row>
    <row r="952" spans="1:13" x14ac:dyDescent="0.2">
      <c r="G952" s="2332"/>
      <c r="H952" s="2332"/>
      <c r="I952" s="2332"/>
      <c r="J952" s="2332"/>
      <c r="K952" s="2333">
        <f t="shared" si="180"/>
        <v>0</v>
      </c>
    </row>
    <row r="953" spans="1:13" x14ac:dyDescent="0.2">
      <c r="B953" s="2328" t="s">
        <v>247</v>
      </c>
      <c r="C953" s="2328"/>
      <c r="D953" s="2328"/>
      <c r="E953" s="2328"/>
      <c r="G953" s="2332"/>
      <c r="H953" s="2332"/>
      <c r="I953" s="2332"/>
      <c r="J953" s="2332"/>
      <c r="K953" s="2333">
        <f t="shared" si="180"/>
        <v>0</v>
      </c>
    </row>
    <row r="954" spans="1:13" x14ac:dyDescent="0.2">
      <c r="B954" s="2328"/>
      <c r="C954" s="2328"/>
      <c r="D954" s="2328"/>
      <c r="E954" s="2328"/>
      <c r="G954" s="2332"/>
      <c r="H954" s="2332"/>
      <c r="I954" s="2332"/>
      <c r="J954" s="2332"/>
      <c r="K954" s="2333">
        <f t="shared" si="180"/>
        <v>0</v>
      </c>
    </row>
    <row r="955" spans="1:13" x14ac:dyDescent="0.2">
      <c r="A955" s="2329"/>
      <c r="B955" s="2330" t="s">
        <v>6929</v>
      </c>
      <c r="C955" s="2258"/>
      <c r="D955" s="2258"/>
      <c r="E955" s="2258"/>
      <c r="F955" s="2309"/>
      <c r="G955" s="2332"/>
      <c r="H955" s="2332"/>
      <c r="I955" s="2332"/>
      <c r="J955" s="2332"/>
      <c r="K955" s="2333">
        <f t="shared" si="180"/>
        <v>0</v>
      </c>
      <c r="L955" s="2331"/>
      <c r="M955" s="2331"/>
    </row>
    <row r="956" spans="1:13" x14ac:dyDescent="0.2">
      <c r="A956" s="2329"/>
      <c r="B956" s="2334" t="s">
        <v>7140</v>
      </c>
      <c r="C956" s="2335">
        <v>0</v>
      </c>
      <c r="D956" s="2335">
        <v>0</v>
      </c>
      <c r="E956" s="2335">
        <v>0</v>
      </c>
      <c r="F956" s="2335">
        <v>0</v>
      </c>
      <c r="G956" s="2335">
        <f>F956/$F$11*$G$11</f>
        <v>0</v>
      </c>
      <c r="H956" s="2335"/>
      <c r="I956" s="2335">
        <v>0</v>
      </c>
      <c r="J956" s="2335">
        <v>0</v>
      </c>
      <c r="K956" s="2336">
        <f t="shared" si="180"/>
        <v>0</v>
      </c>
      <c r="L956" s="2335">
        <v>0</v>
      </c>
      <c r="M956" s="2335">
        <f>ROUND(L956*1.05,0)</f>
        <v>0</v>
      </c>
    </row>
    <row r="957" spans="1:13" x14ac:dyDescent="0.2">
      <c r="A957" s="2329"/>
      <c r="B957" s="2330" t="s">
        <v>6932</v>
      </c>
      <c r="C957" s="2337">
        <f t="shared" ref="C957:M957" si="184">SUM(C956)</f>
        <v>0</v>
      </c>
      <c r="D957" s="2337">
        <f t="shared" si="184"/>
        <v>0</v>
      </c>
      <c r="E957" s="2337">
        <f t="shared" si="184"/>
        <v>0</v>
      </c>
      <c r="F957" s="2337">
        <f t="shared" si="184"/>
        <v>0</v>
      </c>
      <c r="G957" s="2337">
        <f t="shared" si="184"/>
        <v>0</v>
      </c>
      <c r="H957" s="2337"/>
      <c r="I957" s="2337">
        <f t="shared" si="184"/>
        <v>0</v>
      </c>
      <c r="J957" s="2337">
        <v>0</v>
      </c>
      <c r="K957" s="2333">
        <f t="shared" si="180"/>
        <v>0</v>
      </c>
      <c r="L957" s="2337">
        <f t="shared" si="184"/>
        <v>0</v>
      </c>
      <c r="M957" s="2337">
        <f t="shared" si="184"/>
        <v>0</v>
      </c>
    </row>
    <row r="958" spans="1:13" x14ac:dyDescent="0.2">
      <c r="A958" s="2329"/>
      <c r="B958" s="2330"/>
      <c r="C958" s="2375"/>
      <c r="D958" s="2375"/>
      <c r="E958" s="2375"/>
      <c r="F958" s="2375"/>
      <c r="G958" s="2375"/>
      <c r="H958" s="2375"/>
      <c r="I958" s="2375"/>
      <c r="J958" s="2375"/>
      <c r="K958" s="2333">
        <f t="shared" si="180"/>
        <v>0</v>
      </c>
      <c r="L958" s="2375"/>
      <c r="M958" s="2375"/>
    </row>
    <row r="959" spans="1:13" ht="13.5" thickBot="1" x14ac:dyDescent="0.25">
      <c r="B959" s="2342" t="s">
        <v>6579</v>
      </c>
      <c r="C959" s="2343">
        <f t="shared" ref="C959:M959" si="185">+C957</f>
        <v>0</v>
      </c>
      <c r="D959" s="2343">
        <f t="shared" si="185"/>
        <v>0</v>
      </c>
      <c r="E959" s="2343">
        <f t="shared" si="185"/>
        <v>0</v>
      </c>
      <c r="F959" s="2343">
        <f t="shared" si="185"/>
        <v>0</v>
      </c>
      <c r="G959" s="2343">
        <f t="shared" si="185"/>
        <v>0</v>
      </c>
      <c r="H959" s="2343"/>
      <c r="I959" s="2343">
        <f t="shared" si="185"/>
        <v>0</v>
      </c>
      <c r="J959" s="2343">
        <v>0</v>
      </c>
      <c r="K959" s="2344">
        <f t="shared" si="180"/>
        <v>0</v>
      </c>
      <c r="L959" s="2343">
        <f t="shared" si="185"/>
        <v>0</v>
      </c>
      <c r="M959" s="2343">
        <f t="shared" si="185"/>
        <v>0</v>
      </c>
    </row>
    <row r="960" spans="1:13" ht="13.5" thickTop="1" x14ac:dyDescent="0.2">
      <c r="B960" s="2346"/>
      <c r="C960" s="2346"/>
      <c r="D960" s="2346"/>
      <c r="E960" s="2346"/>
      <c r="G960" s="2332"/>
      <c r="H960" s="2332"/>
      <c r="I960" s="2332"/>
      <c r="J960" s="2332"/>
      <c r="K960" s="2333">
        <f t="shared" si="180"/>
        <v>0</v>
      </c>
      <c r="L960" s="2346"/>
      <c r="M960" s="2346"/>
    </row>
    <row r="961" spans="1:13" x14ac:dyDescent="0.2">
      <c r="B961" s="2328" t="s">
        <v>235</v>
      </c>
      <c r="C961" s="2328"/>
      <c r="D961" s="2328"/>
      <c r="E961" s="2328"/>
      <c r="G961" s="2332"/>
      <c r="H961" s="2332"/>
      <c r="I961" s="2332"/>
      <c r="J961" s="2332"/>
      <c r="K961" s="2333">
        <f t="shared" si="180"/>
        <v>0</v>
      </c>
      <c r="L961" s="2328"/>
      <c r="M961" s="2328"/>
    </row>
    <row r="962" spans="1:13" x14ac:dyDescent="0.2">
      <c r="B962" s="2328"/>
      <c r="C962" s="2328"/>
      <c r="D962" s="2328"/>
      <c r="E962" s="2328"/>
      <c r="G962" s="2332"/>
      <c r="H962" s="2332"/>
      <c r="I962" s="2332"/>
      <c r="J962" s="2332"/>
      <c r="K962" s="2333">
        <f t="shared" si="180"/>
        <v>0</v>
      </c>
      <c r="L962" s="2328"/>
      <c r="M962" s="2328"/>
    </row>
    <row r="963" spans="1:13" x14ac:dyDescent="0.2">
      <c r="B963" s="2330" t="s">
        <v>387</v>
      </c>
      <c r="C963" s="2332"/>
      <c r="D963" s="2332"/>
      <c r="E963" s="2332"/>
      <c r="G963" s="2332"/>
      <c r="H963" s="2332"/>
      <c r="I963" s="2332"/>
      <c r="J963" s="2332"/>
      <c r="K963" s="2333">
        <f t="shared" si="180"/>
        <v>0</v>
      </c>
      <c r="L963" s="2332"/>
      <c r="M963" s="2332"/>
    </row>
    <row r="964" spans="1:13" x14ac:dyDescent="0.2">
      <c r="A964" s="2329">
        <v>1001</v>
      </c>
      <c r="B964" s="2258" t="s">
        <v>6943</v>
      </c>
      <c r="C964" s="2332">
        <v>230598</v>
      </c>
      <c r="D964" s="2332">
        <v>199307</v>
      </c>
      <c r="E964" s="2332">
        <v>194865</v>
      </c>
      <c r="F964" s="2332">
        <v>146208</v>
      </c>
      <c r="G964" s="2332">
        <f t="shared" ref="G964:G976" si="186">F964/$F$11*$G$11</f>
        <v>175449.59999999998</v>
      </c>
      <c r="H964" s="2332"/>
      <c r="I964" s="2332">
        <f>[6]Salary_Bdgt!$H$178</f>
        <v>745355</v>
      </c>
      <c r="J964" s="2332">
        <f>[5]Sheet1!$K$536</f>
        <v>343009.09</v>
      </c>
      <c r="K964" s="2333">
        <f t="shared" si="180"/>
        <v>343009.09</v>
      </c>
      <c r="L964" s="2332">
        <f t="shared" ref="L964:L976" si="187">ROUND(I964*1.08,0)</f>
        <v>804983</v>
      </c>
      <c r="M964" s="2332">
        <f t="shared" ref="M964:M976" si="188">ROUND(L964*1.08,0)</f>
        <v>869382</v>
      </c>
    </row>
    <row r="965" spans="1:13" x14ac:dyDescent="0.2">
      <c r="A965" s="2329">
        <v>1005</v>
      </c>
      <c r="B965" s="2258" t="s">
        <v>6944</v>
      </c>
      <c r="C965" s="2332">
        <v>13669</v>
      </c>
      <c r="D965" s="2332">
        <v>7659</v>
      </c>
      <c r="E965" s="2332">
        <f>+D965+4442</f>
        <v>12101</v>
      </c>
      <c r="F965" s="2332">
        <v>12673</v>
      </c>
      <c r="G965" s="2332">
        <f t="shared" si="186"/>
        <v>15207.599999999999</v>
      </c>
      <c r="H965" s="2332"/>
      <c r="I965" s="2332">
        <f>+[6]Salary_Bdgt!$L$178</f>
        <v>99259</v>
      </c>
      <c r="J965" s="2332">
        <f>[5]Sheet1!$K$546</f>
        <v>15508.8</v>
      </c>
      <c r="K965" s="2333">
        <f t="shared" si="180"/>
        <v>15508.8</v>
      </c>
      <c r="L965" s="2332">
        <f t="shared" si="187"/>
        <v>107200</v>
      </c>
      <c r="M965" s="2332">
        <f t="shared" si="188"/>
        <v>115776</v>
      </c>
    </row>
    <row r="966" spans="1:13" x14ac:dyDescent="0.2">
      <c r="A966" s="2329">
        <v>1006</v>
      </c>
      <c r="B966" s="2258" t="s">
        <v>6945</v>
      </c>
      <c r="C966" s="2332">
        <v>34293</v>
      </c>
      <c r="D966" s="2332">
        <v>27433</v>
      </c>
      <c r="E966" s="2332">
        <f>+D966</f>
        <v>27433</v>
      </c>
      <c r="F966" s="2332">
        <v>26158</v>
      </c>
      <c r="G966" s="2332">
        <f t="shared" si="186"/>
        <v>31389.600000000002</v>
      </c>
      <c r="H966" s="2332"/>
      <c r="I966" s="2332">
        <f>+[6]Salary_Bdgt!$N$178</f>
        <v>96859</v>
      </c>
      <c r="J966" s="2332">
        <f>[5]Sheet1!$K$547</f>
        <v>35155.32</v>
      </c>
      <c r="K966" s="2333">
        <f t="shared" si="180"/>
        <v>35155.32</v>
      </c>
      <c r="L966" s="2332">
        <f t="shared" si="187"/>
        <v>104608</v>
      </c>
      <c r="M966" s="2332">
        <f t="shared" si="188"/>
        <v>112977</v>
      </c>
    </row>
    <row r="967" spans="1:13" x14ac:dyDescent="0.2">
      <c r="A967" s="2329">
        <v>1007</v>
      </c>
      <c r="B967" s="2258" t="s">
        <v>6410</v>
      </c>
      <c r="C967" s="2332">
        <v>1996</v>
      </c>
      <c r="D967" s="2332">
        <v>2489</v>
      </c>
      <c r="E967" s="2332">
        <f>+D967</f>
        <v>2489</v>
      </c>
      <c r="F967" s="2332">
        <v>1248</v>
      </c>
      <c r="G967" s="2332">
        <f t="shared" si="186"/>
        <v>1497.6</v>
      </c>
      <c r="H967" s="2332"/>
      <c r="I967" s="2332">
        <f>+[6]Salary_Bdgt!$I$178</f>
        <v>8896</v>
      </c>
      <c r="J967" s="2332">
        <f>[5]Sheet1!$K$548</f>
        <v>1497.36</v>
      </c>
      <c r="K967" s="2333">
        <f t="shared" si="180"/>
        <v>1497.36</v>
      </c>
      <c r="L967" s="2332">
        <f t="shared" si="187"/>
        <v>9608</v>
      </c>
      <c r="M967" s="2332">
        <f t="shared" si="188"/>
        <v>10377</v>
      </c>
    </row>
    <row r="968" spans="1:13" x14ac:dyDescent="0.2">
      <c r="A968" s="2329">
        <v>1009</v>
      </c>
      <c r="B968" s="2258" t="s">
        <v>6408</v>
      </c>
      <c r="C968" s="2332">
        <v>55</v>
      </c>
      <c r="D968" s="2332">
        <f>[7]Sal_RIA!$M$138</f>
        <v>77</v>
      </c>
      <c r="E968" s="2332">
        <f>+D968</f>
        <v>77</v>
      </c>
      <c r="F968" s="2332">
        <v>38</v>
      </c>
      <c r="G968" s="2332">
        <f t="shared" si="186"/>
        <v>45.599999999999994</v>
      </c>
      <c r="H968" s="2332"/>
      <c r="I968" s="2332">
        <f>+[6]Salary_Bdgt!$M$178</f>
        <v>270</v>
      </c>
      <c r="J968" s="2332">
        <f>[5]Sheet1!$K$543</f>
        <v>57.4</v>
      </c>
      <c r="K968" s="2333">
        <f t="shared" si="180"/>
        <v>57.4</v>
      </c>
      <c r="L968" s="2332">
        <f t="shared" si="187"/>
        <v>292</v>
      </c>
      <c r="M968" s="2332">
        <f t="shared" si="188"/>
        <v>315</v>
      </c>
    </row>
    <row r="969" spans="1:13" x14ac:dyDescent="0.2">
      <c r="A969" s="2329">
        <v>1010</v>
      </c>
      <c r="B969" s="2258" t="s">
        <v>6946</v>
      </c>
      <c r="C969" s="2332">
        <v>22964</v>
      </c>
      <c r="D969" s="2332">
        <v>16609</v>
      </c>
      <c r="E969" s="2332">
        <f>+D969</f>
        <v>16609</v>
      </c>
      <c r="F969" s="2332">
        <v>12709</v>
      </c>
      <c r="G969" s="2332">
        <f t="shared" si="186"/>
        <v>15250.800000000001</v>
      </c>
      <c r="H969" s="2332"/>
      <c r="I969" s="2332">
        <f>+[6]Salary_Bdgt!$Q$178</f>
        <v>62113</v>
      </c>
      <c r="J969" s="2332">
        <f>[5]Sheet1!$K$537</f>
        <v>21195.96</v>
      </c>
      <c r="K969" s="2333">
        <f t="shared" si="180"/>
        <v>21195.96</v>
      </c>
      <c r="L969" s="2332">
        <f t="shared" si="187"/>
        <v>67082</v>
      </c>
      <c r="M969" s="2332">
        <f t="shared" si="188"/>
        <v>72449</v>
      </c>
    </row>
    <row r="970" spans="1:13" x14ac:dyDescent="0.2">
      <c r="A970" s="2329">
        <v>1011</v>
      </c>
      <c r="B970" s="2258" t="s">
        <v>6947</v>
      </c>
      <c r="C970" s="2332">
        <v>7128</v>
      </c>
      <c r="D970" s="2332">
        <v>0</v>
      </c>
      <c r="E970" s="2332">
        <f>+D970</f>
        <v>0</v>
      </c>
      <c r="F970" s="2332">
        <v>0</v>
      </c>
      <c r="G970" s="2332">
        <f t="shared" si="186"/>
        <v>0</v>
      </c>
      <c r="H970" s="2332"/>
      <c r="I970" s="2332">
        <f>+[6]Salary_Bdgt!$U$178</f>
        <v>14878</v>
      </c>
      <c r="J970" s="2332">
        <f>[5]Sheet1!$K$538</f>
        <v>9072</v>
      </c>
      <c r="K970" s="2333">
        <f t="shared" si="180"/>
        <v>9072</v>
      </c>
      <c r="L970" s="2332">
        <f t="shared" si="187"/>
        <v>16068</v>
      </c>
      <c r="M970" s="2332">
        <f t="shared" si="188"/>
        <v>17353</v>
      </c>
    </row>
    <row r="971" spans="1:13" x14ac:dyDescent="0.2">
      <c r="A971" s="2329">
        <v>1014</v>
      </c>
      <c r="B971" s="2258" t="s">
        <v>6632</v>
      </c>
      <c r="C971" s="2332">
        <v>0</v>
      </c>
      <c r="D971" s="2332">
        <v>0</v>
      </c>
      <c r="E971" s="2332">
        <v>0</v>
      </c>
      <c r="F971" s="2332">
        <v>0</v>
      </c>
      <c r="G971" s="2332">
        <f t="shared" si="186"/>
        <v>0</v>
      </c>
      <c r="H971" s="2332"/>
      <c r="I971" s="2332">
        <f>+[6]Salary_Bdgt!$S$178</f>
        <v>6402</v>
      </c>
      <c r="J971" s="2332">
        <f>[5]Sheet1!$K$539</f>
        <v>2185.63</v>
      </c>
      <c r="K971" s="2333">
        <f t="shared" si="180"/>
        <v>2185.63</v>
      </c>
      <c r="L971" s="2332">
        <f t="shared" si="187"/>
        <v>6914</v>
      </c>
      <c r="M971" s="2332">
        <f t="shared" si="188"/>
        <v>7467</v>
      </c>
    </row>
    <row r="972" spans="1:13" x14ac:dyDescent="0.2">
      <c r="A972" s="2329">
        <v>1015</v>
      </c>
      <c r="B972" s="2258" t="s">
        <v>6948</v>
      </c>
      <c r="C972" s="2332">
        <v>0</v>
      </c>
      <c r="D972" s="2332">
        <v>0</v>
      </c>
      <c r="E972" s="2332">
        <f>+D972</f>
        <v>0</v>
      </c>
      <c r="F972" s="2332">
        <v>0</v>
      </c>
      <c r="G972" s="2332">
        <f t="shared" si="186"/>
        <v>0</v>
      </c>
      <c r="H972" s="2332"/>
      <c r="I972" s="2332">
        <f>+[6]Salary_Bdgt!$O$178+[6]Salary_Bdgt!$P$178+[6]Salary_Bdgt!$W$178</f>
        <v>0</v>
      </c>
      <c r="J972" s="2332">
        <v>0</v>
      </c>
      <c r="K972" s="2333">
        <f t="shared" si="180"/>
        <v>0</v>
      </c>
      <c r="L972" s="2332">
        <f t="shared" si="187"/>
        <v>0</v>
      </c>
      <c r="M972" s="2332">
        <f t="shared" si="188"/>
        <v>0</v>
      </c>
    </row>
    <row r="973" spans="1:13" x14ac:dyDescent="0.2">
      <c r="A973" s="2329">
        <v>1016</v>
      </c>
      <c r="B973" s="2258" t="s">
        <v>6949</v>
      </c>
      <c r="C973" s="2332">
        <v>0</v>
      </c>
      <c r="D973" s="2332">
        <v>8554</v>
      </c>
      <c r="E973" s="2332">
        <f>+D973</f>
        <v>8554</v>
      </c>
      <c r="F973" s="2332">
        <f>6480+2588</f>
        <v>9068</v>
      </c>
      <c r="G973" s="2332">
        <f t="shared" si="186"/>
        <v>10881.599999999999</v>
      </c>
      <c r="H973" s="2332"/>
      <c r="I973" s="2332">
        <f>+[6]Salary_Bdgt!$T$178+[6]Salary_Bdgt!$V$178</f>
        <v>36917</v>
      </c>
      <c r="J973" s="2332">
        <f>[5]Sheet1!$K$541</f>
        <v>12597.53</v>
      </c>
      <c r="K973" s="2333">
        <f t="shared" si="180"/>
        <v>12597.53</v>
      </c>
      <c r="L973" s="2332">
        <f t="shared" si="187"/>
        <v>39870</v>
      </c>
      <c r="M973" s="2332">
        <f t="shared" si="188"/>
        <v>43060</v>
      </c>
    </row>
    <row r="974" spans="1:13" x14ac:dyDescent="0.2">
      <c r="A974" s="2353">
        <v>1017</v>
      </c>
      <c r="B974" s="2258" t="s">
        <v>6950</v>
      </c>
      <c r="C974" s="2332">
        <v>2315</v>
      </c>
      <c r="D974" s="2332">
        <v>4421</v>
      </c>
      <c r="E974" s="2332">
        <f>+D974</f>
        <v>4421</v>
      </c>
      <c r="F974" s="2332">
        <v>676</v>
      </c>
      <c r="G974" s="2332">
        <f t="shared" si="186"/>
        <v>811.19999999999993</v>
      </c>
      <c r="H974" s="2332"/>
      <c r="I974" s="2332">
        <f>+[6]Salary_Bdgt!$J$178</f>
        <v>16280</v>
      </c>
      <c r="J974" s="2332">
        <f>[5]Sheet1!$K$544</f>
        <v>1793.7199999999998</v>
      </c>
      <c r="K974" s="2333">
        <f t="shared" si="180"/>
        <v>1793.7199999999998</v>
      </c>
      <c r="L974" s="2332">
        <f t="shared" si="187"/>
        <v>17582</v>
      </c>
      <c r="M974" s="2332">
        <f t="shared" si="188"/>
        <v>18989</v>
      </c>
    </row>
    <row r="975" spans="1:13" x14ac:dyDescent="0.2">
      <c r="A975" s="2329">
        <v>1046</v>
      </c>
      <c r="B975" s="2258" t="s">
        <v>6951</v>
      </c>
      <c r="C975" s="2332">
        <v>42608</v>
      </c>
      <c r="D975" s="2332">
        <v>34980</v>
      </c>
      <c r="E975" s="2332">
        <f>+D975</f>
        <v>34980</v>
      </c>
      <c r="F975" s="2332">
        <v>23850</v>
      </c>
      <c r="G975" s="2332">
        <f t="shared" si="186"/>
        <v>28620</v>
      </c>
      <c r="H975" s="2332"/>
      <c r="I975" s="2332">
        <f>+[6]Salary_Bdgt!$R$178</f>
        <v>103781</v>
      </c>
      <c r="J975" s="2332">
        <f>[5]Sheet1!$K$542</f>
        <v>37100</v>
      </c>
      <c r="K975" s="2333">
        <f t="shared" si="180"/>
        <v>37100</v>
      </c>
      <c r="L975" s="2332">
        <f t="shared" si="187"/>
        <v>112083</v>
      </c>
      <c r="M975" s="2332">
        <f t="shared" si="188"/>
        <v>121050</v>
      </c>
    </row>
    <row r="976" spans="1:13" x14ac:dyDescent="0.2">
      <c r="A976" s="2353">
        <v>1182</v>
      </c>
      <c r="B976" s="2334" t="s">
        <v>6952</v>
      </c>
      <c r="C976" s="2335">
        <v>2992</v>
      </c>
      <c r="D976" s="2335">
        <v>4112</v>
      </c>
      <c r="E976" s="2335">
        <f>+D976</f>
        <v>4112</v>
      </c>
      <c r="F976" s="2335">
        <v>0</v>
      </c>
      <c r="G976" s="2335">
        <f t="shared" si="186"/>
        <v>0</v>
      </c>
      <c r="H976" s="2335"/>
      <c r="I976" s="2335">
        <f>+[6]Salary_Bdgt!$K$178</f>
        <v>15141</v>
      </c>
      <c r="J976" s="2335">
        <f>[5]Sheet1!$K$545</f>
        <v>5165.7</v>
      </c>
      <c r="K976" s="2336">
        <f t="shared" si="180"/>
        <v>5165.7</v>
      </c>
      <c r="L976" s="2335">
        <f t="shared" si="187"/>
        <v>16352</v>
      </c>
      <c r="M976" s="2335">
        <f t="shared" si="188"/>
        <v>17660</v>
      </c>
    </row>
    <row r="977" spans="1:13" x14ac:dyDescent="0.2">
      <c r="B977" s="2330" t="s">
        <v>6588</v>
      </c>
      <c r="C977" s="2349">
        <f t="shared" ref="C977:M977" si="189">SUM(C964:C976)</f>
        <v>358618</v>
      </c>
      <c r="D977" s="2349">
        <f t="shared" si="189"/>
        <v>305641</v>
      </c>
      <c r="E977" s="2349">
        <f t="shared" si="189"/>
        <v>305641</v>
      </c>
      <c r="F977" s="2349">
        <f t="shared" si="189"/>
        <v>232628</v>
      </c>
      <c r="G977" s="2349">
        <f t="shared" si="189"/>
        <v>279153.59999999998</v>
      </c>
      <c r="H977" s="2349"/>
      <c r="I977" s="2349">
        <f t="shared" si="189"/>
        <v>1206151</v>
      </c>
      <c r="J977" s="2349">
        <f>SUM(J964:J976)</f>
        <v>484338.51000000007</v>
      </c>
      <c r="K977" s="2333">
        <f t="shared" si="180"/>
        <v>484338.51000000007</v>
      </c>
      <c r="L977" s="2349">
        <f t="shared" si="189"/>
        <v>1302642</v>
      </c>
      <c r="M977" s="2349">
        <f t="shared" si="189"/>
        <v>1406855</v>
      </c>
    </row>
    <row r="978" spans="1:13" x14ac:dyDescent="0.2">
      <c r="B978" s="2330"/>
      <c r="C978" s="2332"/>
      <c r="D978" s="2332"/>
      <c r="E978" s="2332"/>
      <c r="F978" s="2309"/>
      <c r="G978" s="2332"/>
      <c r="H978" s="2332"/>
      <c r="I978" s="2332"/>
      <c r="J978" s="2332">
        <f>J977-[5]Sheet1!$K$549</f>
        <v>0</v>
      </c>
      <c r="K978" s="2333">
        <f t="shared" si="180"/>
        <v>0</v>
      </c>
      <c r="L978" s="2332"/>
      <c r="M978" s="2332"/>
    </row>
    <row r="979" spans="1:13" x14ac:dyDescent="0.2">
      <c r="B979" s="2330" t="s">
        <v>6953</v>
      </c>
      <c r="C979" s="2332"/>
      <c r="D979" s="2332"/>
      <c r="E979" s="2332"/>
      <c r="F979" s="2309"/>
      <c r="G979" s="2332"/>
      <c r="H979" s="2332"/>
      <c r="I979" s="2332"/>
      <c r="J979" s="2332"/>
      <c r="K979" s="2333">
        <f t="shared" si="180"/>
        <v>0</v>
      </c>
      <c r="L979" s="2332"/>
      <c r="M979" s="2332"/>
    </row>
    <row r="980" spans="1:13" x14ac:dyDescent="0.2">
      <c r="A980" s="2353">
        <v>3207</v>
      </c>
      <c r="B980" s="2334" t="s">
        <v>6954</v>
      </c>
      <c r="C980" s="2335">
        <v>0</v>
      </c>
      <c r="D980" s="2335">
        <v>1050</v>
      </c>
      <c r="E980" s="2335">
        <v>1050</v>
      </c>
      <c r="F980" s="2335">
        <v>0</v>
      </c>
      <c r="G980" s="2335">
        <f>F980/$F$11*$G$11</f>
        <v>0</v>
      </c>
      <c r="H980" s="2335"/>
      <c r="I980" s="2335">
        <v>0</v>
      </c>
      <c r="J980" s="2335">
        <v>0</v>
      </c>
      <c r="K980" s="2336">
        <f t="shared" si="180"/>
        <v>0</v>
      </c>
      <c r="L980" s="2335">
        <f>ROUND(I980*1.06,0)</f>
        <v>0</v>
      </c>
      <c r="M980" s="2335">
        <f>ROUND(L980*1.06,0)</f>
        <v>0</v>
      </c>
    </row>
    <row r="981" spans="1:13" x14ac:dyDescent="0.2">
      <c r="B981" s="2330" t="s">
        <v>6956</v>
      </c>
      <c r="C981" s="2349">
        <f>SUM(C980:C980)</f>
        <v>0</v>
      </c>
      <c r="D981" s="2349">
        <f t="shared" ref="D981:M981" si="190">SUM(D980:D980)</f>
        <v>1050</v>
      </c>
      <c r="E981" s="2349">
        <f t="shared" si="190"/>
        <v>1050</v>
      </c>
      <c r="F981" s="2349">
        <f t="shared" si="190"/>
        <v>0</v>
      </c>
      <c r="G981" s="2349">
        <f t="shared" si="190"/>
        <v>0</v>
      </c>
      <c r="H981" s="2349"/>
      <c r="I981" s="2349">
        <f t="shared" si="190"/>
        <v>0</v>
      </c>
      <c r="J981" s="2349">
        <v>0</v>
      </c>
      <c r="K981" s="2333">
        <f t="shared" ref="K981:K1044" si="191">J981</f>
        <v>0</v>
      </c>
      <c r="L981" s="2349">
        <f t="shared" si="190"/>
        <v>0</v>
      </c>
      <c r="M981" s="2349">
        <f t="shared" si="190"/>
        <v>0</v>
      </c>
    </row>
    <row r="982" spans="1:13" x14ac:dyDescent="0.2">
      <c r="B982" s="2330"/>
      <c r="C982" s="2332"/>
      <c r="D982" s="2332"/>
      <c r="E982" s="2332"/>
      <c r="G982" s="2332"/>
      <c r="H982" s="2332"/>
      <c r="I982" s="2332"/>
      <c r="J982" s="2332"/>
      <c r="K982" s="2333">
        <f t="shared" si="191"/>
        <v>0</v>
      </c>
      <c r="L982" s="2332"/>
      <c r="M982" s="2332"/>
    </row>
    <row r="983" spans="1:13" x14ac:dyDescent="0.2">
      <c r="B983" s="2330" t="s">
        <v>6599</v>
      </c>
      <c r="C983" s="2332"/>
      <c r="D983" s="2332"/>
      <c r="E983" s="2332"/>
      <c r="G983" s="2332"/>
      <c r="H983" s="2332"/>
      <c r="I983" s="2332"/>
      <c r="J983" s="2332"/>
      <c r="K983" s="2333">
        <f t="shared" si="191"/>
        <v>0</v>
      </c>
      <c r="L983" s="2332"/>
      <c r="M983" s="2332"/>
    </row>
    <row r="984" spans="1:13" x14ac:dyDescent="0.2">
      <c r="A984" s="2353">
        <v>2003</v>
      </c>
      <c r="B984" s="2258" t="s">
        <v>7141</v>
      </c>
      <c r="C984" s="2332">
        <v>18331</v>
      </c>
      <c r="D984" s="2332">
        <v>0</v>
      </c>
      <c r="E984" s="2332">
        <v>0</v>
      </c>
      <c r="F984" s="2332">
        <v>0</v>
      </c>
      <c r="G984" s="2332">
        <f t="shared" ref="G984:G999" si="192">F984/$F$11*$G$11</f>
        <v>0</v>
      </c>
      <c r="H984" s="2332"/>
      <c r="I984" s="2332">
        <v>20000</v>
      </c>
      <c r="J984" s="2332">
        <f>[5]Sheet1!$K$552</f>
        <v>2100</v>
      </c>
      <c r="K984" s="2333">
        <f t="shared" si="191"/>
        <v>2100</v>
      </c>
      <c r="L984" s="2332">
        <v>500000</v>
      </c>
      <c r="M984" s="2332">
        <v>500000</v>
      </c>
    </row>
    <row r="985" spans="1:13" x14ac:dyDescent="0.2">
      <c r="A985" s="2353"/>
      <c r="B985" s="2258" t="s">
        <v>7142</v>
      </c>
      <c r="C985" s="2332">
        <v>0</v>
      </c>
      <c r="D985" s="2332">
        <v>126000</v>
      </c>
      <c r="E985" s="2332">
        <v>126000</v>
      </c>
      <c r="F985" s="2332">
        <v>0</v>
      </c>
      <c r="G985" s="2332">
        <f t="shared" si="192"/>
        <v>0</v>
      </c>
      <c r="H985" s="2332"/>
      <c r="I985" s="2332">
        <f t="shared" ref="I985:I994" si="193">ROUND(E985*1.05,0)</f>
        <v>132300</v>
      </c>
      <c r="J985" s="2332">
        <f>[5]Sheet1!$K$558</f>
        <v>45144.5</v>
      </c>
      <c r="K985" s="2333">
        <f t="shared" si="191"/>
        <v>45144.5</v>
      </c>
      <c r="L985" s="2332">
        <f t="shared" ref="L985:L999" si="194">ROUND(I985*1.06,0)</f>
        <v>140238</v>
      </c>
      <c r="M985" s="2332">
        <f t="shared" ref="M985:M999" si="195">ROUND(L985*1.06,0)</f>
        <v>148652</v>
      </c>
    </row>
    <row r="986" spans="1:13" x14ac:dyDescent="0.2">
      <c r="A986" s="2353">
        <v>2013</v>
      </c>
      <c r="B986" s="2258" t="s">
        <v>7143</v>
      </c>
      <c r="C986" s="2332">
        <v>0</v>
      </c>
      <c r="D986" s="2332">
        <v>300750</v>
      </c>
      <c r="E986" s="2332">
        <v>300750</v>
      </c>
      <c r="F986" s="2332">
        <v>20641</v>
      </c>
      <c r="G986" s="2332">
        <f t="shared" si="192"/>
        <v>24769.199999999997</v>
      </c>
      <c r="H986" s="2332"/>
      <c r="I986" s="2332">
        <f t="shared" si="193"/>
        <v>315788</v>
      </c>
      <c r="J986" s="2332">
        <f>[5]Sheet1!$K$555</f>
        <v>3250</v>
      </c>
      <c r="K986" s="2333">
        <f t="shared" si="191"/>
        <v>3250</v>
      </c>
      <c r="L986" s="2332">
        <f t="shared" si="194"/>
        <v>334735</v>
      </c>
      <c r="M986" s="2332">
        <f t="shared" si="195"/>
        <v>354819</v>
      </c>
    </row>
    <row r="987" spans="1:13" x14ac:dyDescent="0.2">
      <c r="A987" s="2353">
        <v>2014</v>
      </c>
      <c r="B987" s="2258" t="s">
        <v>7144</v>
      </c>
      <c r="C987" s="2332">
        <v>0</v>
      </c>
      <c r="D987" s="2332">
        <v>0</v>
      </c>
      <c r="E987" s="2332">
        <v>0</v>
      </c>
      <c r="F987" s="2332">
        <v>0</v>
      </c>
      <c r="G987" s="2332">
        <f t="shared" si="192"/>
        <v>0</v>
      </c>
      <c r="H987" s="2332"/>
      <c r="I987" s="2332">
        <f t="shared" si="193"/>
        <v>0</v>
      </c>
      <c r="J987" s="2332">
        <v>0</v>
      </c>
      <c r="K987" s="2333">
        <f t="shared" si="191"/>
        <v>0</v>
      </c>
      <c r="L987" s="2332">
        <f t="shared" si="194"/>
        <v>0</v>
      </c>
      <c r="M987" s="2332">
        <f t="shared" si="195"/>
        <v>0</v>
      </c>
    </row>
    <row r="988" spans="1:13" x14ac:dyDescent="0.2">
      <c r="A988" s="2353">
        <v>2017</v>
      </c>
      <c r="B988" s="2258" t="s">
        <v>7145</v>
      </c>
      <c r="C988" s="2332">
        <v>0</v>
      </c>
      <c r="D988" s="2332">
        <v>0</v>
      </c>
      <c r="E988" s="2332">
        <v>0</v>
      </c>
      <c r="F988" s="2332">
        <v>0</v>
      </c>
      <c r="G988" s="2332">
        <f t="shared" si="192"/>
        <v>0</v>
      </c>
      <c r="H988" s="2332"/>
      <c r="I988" s="2332">
        <f t="shared" si="193"/>
        <v>0</v>
      </c>
      <c r="J988" s="2332">
        <v>0</v>
      </c>
      <c r="K988" s="2333">
        <f t="shared" si="191"/>
        <v>0</v>
      </c>
      <c r="L988" s="2332">
        <f t="shared" si="194"/>
        <v>0</v>
      </c>
      <c r="M988" s="2332">
        <f t="shared" si="195"/>
        <v>0</v>
      </c>
    </row>
    <row r="989" spans="1:13" x14ac:dyDescent="0.2">
      <c r="A989" s="2353">
        <v>2018</v>
      </c>
      <c r="B989" s="2258" t="s">
        <v>7146</v>
      </c>
      <c r="C989" s="2332">
        <v>0</v>
      </c>
      <c r="D989" s="2332">
        <v>0</v>
      </c>
      <c r="E989" s="2332">
        <v>0</v>
      </c>
      <c r="F989" s="2332">
        <v>0</v>
      </c>
      <c r="G989" s="2332">
        <f t="shared" si="192"/>
        <v>0</v>
      </c>
      <c r="H989" s="2332"/>
      <c r="I989" s="2332">
        <f t="shared" si="193"/>
        <v>0</v>
      </c>
      <c r="J989" s="2332">
        <v>0</v>
      </c>
      <c r="K989" s="2333">
        <f t="shared" si="191"/>
        <v>0</v>
      </c>
      <c r="L989" s="2332">
        <f t="shared" si="194"/>
        <v>0</v>
      </c>
      <c r="M989" s="2332">
        <f t="shared" si="195"/>
        <v>0</v>
      </c>
    </row>
    <row r="990" spans="1:13" x14ac:dyDescent="0.2">
      <c r="A990" s="2329">
        <v>2081</v>
      </c>
      <c r="B990" s="2258" t="s">
        <v>7133</v>
      </c>
      <c r="C990" s="2332">
        <v>0</v>
      </c>
      <c r="D990" s="2332">
        <v>31500</v>
      </c>
      <c r="E990" s="2332">
        <v>31500</v>
      </c>
      <c r="F990" s="2332">
        <v>0</v>
      </c>
      <c r="G990" s="2332">
        <f t="shared" si="192"/>
        <v>0</v>
      </c>
      <c r="H990" s="2332"/>
      <c r="I990" s="2332">
        <f t="shared" si="193"/>
        <v>33075</v>
      </c>
      <c r="J990" s="2332">
        <f>[5]Sheet1!$K$559</f>
        <v>11286.85</v>
      </c>
      <c r="K990" s="2333">
        <f t="shared" si="191"/>
        <v>11286.85</v>
      </c>
      <c r="L990" s="2332">
        <f t="shared" si="194"/>
        <v>35060</v>
      </c>
      <c r="M990" s="2332">
        <f t="shared" si="195"/>
        <v>37164</v>
      </c>
    </row>
    <row r="991" spans="1:13" x14ac:dyDescent="0.2">
      <c r="A991" s="2353">
        <v>2104</v>
      </c>
      <c r="B991" s="2258" t="s">
        <v>1630</v>
      </c>
      <c r="C991" s="2332">
        <v>0</v>
      </c>
      <c r="D991" s="2332">
        <v>30000</v>
      </c>
      <c r="E991" s="2332">
        <v>30000</v>
      </c>
      <c r="F991" s="2332">
        <v>0</v>
      </c>
      <c r="G991" s="2332">
        <f t="shared" si="192"/>
        <v>0</v>
      </c>
      <c r="H991" s="2332"/>
      <c r="I991" s="2332">
        <f t="shared" si="193"/>
        <v>31500</v>
      </c>
      <c r="J991" s="2332">
        <f>[5]Sheet1!$K$574</f>
        <v>10747.3</v>
      </c>
      <c r="K991" s="2333">
        <f t="shared" si="191"/>
        <v>10747.3</v>
      </c>
      <c r="L991" s="2332">
        <f t="shared" si="194"/>
        <v>33390</v>
      </c>
      <c r="M991" s="2332">
        <f t="shared" si="195"/>
        <v>35393</v>
      </c>
    </row>
    <row r="992" spans="1:13" x14ac:dyDescent="0.2">
      <c r="A992" s="2329">
        <v>2113</v>
      </c>
      <c r="B992" s="2258" t="s">
        <v>6958</v>
      </c>
      <c r="C992" s="2332">
        <v>0</v>
      </c>
      <c r="D992" s="2332">
        <v>5250</v>
      </c>
      <c r="E992" s="2332">
        <v>5250</v>
      </c>
      <c r="F992" s="2332">
        <v>0</v>
      </c>
      <c r="G992" s="2332">
        <f t="shared" si="192"/>
        <v>0</v>
      </c>
      <c r="H992" s="2332"/>
      <c r="I992" s="2332">
        <f t="shared" si="193"/>
        <v>5513</v>
      </c>
      <c r="J992" s="2332">
        <f>[5]Sheet1!$K$560</f>
        <v>100</v>
      </c>
      <c r="K992" s="2333">
        <f t="shared" si="191"/>
        <v>100</v>
      </c>
      <c r="L992" s="2332">
        <f t="shared" si="194"/>
        <v>5844</v>
      </c>
      <c r="M992" s="2332">
        <f t="shared" si="195"/>
        <v>6195</v>
      </c>
    </row>
    <row r="993" spans="1:13" x14ac:dyDescent="0.2">
      <c r="A993" s="2329">
        <v>2212</v>
      </c>
      <c r="B993" s="2258" t="s">
        <v>6963</v>
      </c>
      <c r="C993" s="2332">
        <v>0</v>
      </c>
      <c r="D993" s="2332">
        <v>1050</v>
      </c>
      <c r="E993" s="2332">
        <v>1050</v>
      </c>
      <c r="F993" s="2332">
        <v>0</v>
      </c>
      <c r="G993" s="2332">
        <f t="shared" si="192"/>
        <v>0</v>
      </c>
      <c r="H993" s="2332"/>
      <c r="I993" s="2332">
        <f t="shared" si="193"/>
        <v>1103</v>
      </c>
      <c r="J993" s="2332">
        <f>[5]Sheet1!$K$561</f>
        <v>375.06</v>
      </c>
      <c r="K993" s="2333">
        <f t="shared" si="191"/>
        <v>375.06</v>
      </c>
      <c r="L993" s="2332">
        <f t="shared" si="194"/>
        <v>1169</v>
      </c>
      <c r="M993" s="2332">
        <f t="shared" si="195"/>
        <v>1239</v>
      </c>
    </row>
    <row r="994" spans="1:13" x14ac:dyDescent="0.2">
      <c r="A994" s="2353">
        <v>2227</v>
      </c>
      <c r="B994" s="2258" t="s">
        <v>231</v>
      </c>
      <c r="C994" s="2332">
        <v>0</v>
      </c>
      <c r="D994" s="2332">
        <v>1050</v>
      </c>
      <c r="E994" s="2332">
        <v>1050</v>
      </c>
      <c r="F994" s="2332">
        <v>0</v>
      </c>
      <c r="G994" s="2332">
        <f t="shared" si="192"/>
        <v>0</v>
      </c>
      <c r="H994" s="2332"/>
      <c r="I994" s="2332">
        <f t="shared" si="193"/>
        <v>1103</v>
      </c>
      <c r="J994" s="2332">
        <f>[5]Sheet1!$K$562</f>
        <v>375.06</v>
      </c>
      <c r="K994" s="2333">
        <f t="shared" si="191"/>
        <v>375.06</v>
      </c>
      <c r="L994" s="2332">
        <f t="shared" si="194"/>
        <v>1169</v>
      </c>
      <c r="M994" s="2332">
        <f t="shared" si="195"/>
        <v>1239</v>
      </c>
    </row>
    <row r="995" spans="1:13" x14ac:dyDescent="0.2">
      <c r="A995" s="2329">
        <v>2233</v>
      </c>
      <c r="B995" s="2258" t="s">
        <v>6966</v>
      </c>
      <c r="C995" s="2332">
        <v>1596</v>
      </c>
      <c r="D995" s="2332">
        <v>26250</v>
      </c>
      <c r="E995" s="2332">
        <v>26250</v>
      </c>
      <c r="F995" s="2332">
        <v>0</v>
      </c>
      <c r="G995" s="2332">
        <f t="shared" si="192"/>
        <v>0</v>
      </c>
      <c r="H995" s="2332"/>
      <c r="I995" s="2332">
        <v>0</v>
      </c>
      <c r="J995" s="2332">
        <v>0</v>
      </c>
      <c r="K995" s="2333">
        <f t="shared" si="191"/>
        <v>0</v>
      </c>
      <c r="L995" s="2332">
        <f t="shared" si="194"/>
        <v>0</v>
      </c>
      <c r="M995" s="2332">
        <f t="shared" si="195"/>
        <v>0</v>
      </c>
    </row>
    <row r="996" spans="1:13" x14ac:dyDescent="0.2">
      <c r="A996" s="2353">
        <v>2238</v>
      </c>
      <c r="B996" s="2258" t="s">
        <v>6967</v>
      </c>
      <c r="C996" s="2332">
        <v>75939</v>
      </c>
      <c r="D996" s="2332">
        <v>30000</v>
      </c>
      <c r="E996" s="2332">
        <f>30000+100000</f>
        <v>130000</v>
      </c>
      <c r="F996" s="2332">
        <v>163803</v>
      </c>
      <c r="G996" s="2332">
        <f t="shared" si="192"/>
        <v>196563.59999999998</v>
      </c>
      <c r="H996" s="2332"/>
      <c r="I996" s="2332">
        <f>ROUND(E996*1.05,0)</f>
        <v>136500</v>
      </c>
      <c r="J996" s="2332">
        <f>[5]Sheet1!$K$565</f>
        <v>227640.51999999996</v>
      </c>
      <c r="K996" s="2333">
        <f t="shared" si="191"/>
        <v>227640.51999999996</v>
      </c>
      <c r="L996" s="2332">
        <f t="shared" si="194"/>
        <v>144690</v>
      </c>
      <c r="M996" s="2332">
        <f t="shared" si="195"/>
        <v>153371</v>
      </c>
    </row>
    <row r="997" spans="1:13" x14ac:dyDescent="0.2">
      <c r="A997" s="2329">
        <v>2246</v>
      </c>
      <c r="B997" s="2258" t="s">
        <v>6968</v>
      </c>
      <c r="C997" s="2332">
        <v>12859</v>
      </c>
      <c r="D997" s="2332">
        <v>24150</v>
      </c>
      <c r="E997" s="2332">
        <v>24150</v>
      </c>
      <c r="F997" s="2332">
        <v>21851</v>
      </c>
      <c r="G997" s="2332">
        <f t="shared" si="192"/>
        <v>26221.199999999997</v>
      </c>
      <c r="H997" s="2332"/>
      <c r="I997" s="2332">
        <f>ROUND(E997*1.05,0)</f>
        <v>25358</v>
      </c>
      <c r="J997" s="2332">
        <f>[5]Sheet1!$K$567</f>
        <v>59047.16</v>
      </c>
      <c r="K997" s="2333">
        <f t="shared" si="191"/>
        <v>59047.16</v>
      </c>
      <c r="L997" s="2332">
        <f t="shared" si="194"/>
        <v>26879</v>
      </c>
      <c r="M997" s="2332">
        <f t="shared" si="195"/>
        <v>28492</v>
      </c>
    </row>
    <row r="998" spans="1:13" x14ac:dyDescent="0.2">
      <c r="A998" s="2353">
        <v>2248</v>
      </c>
      <c r="B998" s="2258" t="s">
        <v>604</v>
      </c>
      <c r="C998" s="2332">
        <v>0</v>
      </c>
      <c r="D998" s="2332">
        <v>26250</v>
      </c>
      <c r="E998" s="2332">
        <v>26250</v>
      </c>
      <c r="F998" s="2332">
        <v>0</v>
      </c>
      <c r="G998" s="2332">
        <f t="shared" si="192"/>
        <v>0</v>
      </c>
      <c r="H998" s="2332"/>
      <c r="I998" s="2332">
        <f>ROUND(E998*1.05,0)</f>
        <v>27563</v>
      </c>
      <c r="J998" s="2332">
        <f>[5]Sheet1!$K$568</f>
        <v>9404.5499999999993</v>
      </c>
      <c r="K998" s="2333">
        <f t="shared" si="191"/>
        <v>9404.5499999999993</v>
      </c>
      <c r="L998" s="2332">
        <f t="shared" si="194"/>
        <v>29217</v>
      </c>
      <c r="M998" s="2332">
        <f t="shared" si="195"/>
        <v>30970</v>
      </c>
    </row>
    <row r="999" spans="1:13" x14ac:dyDescent="0.2">
      <c r="A999" s="2353">
        <v>2305</v>
      </c>
      <c r="B999" s="2334" t="s">
        <v>6970</v>
      </c>
      <c r="C999" s="2335">
        <v>0</v>
      </c>
      <c r="D999" s="2335">
        <v>1050</v>
      </c>
      <c r="E999" s="2335">
        <v>1050</v>
      </c>
      <c r="F999" s="2335">
        <v>0</v>
      </c>
      <c r="G999" s="2335">
        <f t="shared" si="192"/>
        <v>0</v>
      </c>
      <c r="H999" s="2332"/>
      <c r="I999" s="2332">
        <f>ROUND(E999*1.05,0)</f>
        <v>1103</v>
      </c>
      <c r="J999" s="2332">
        <f>[5]Sheet1!$K$572</f>
        <v>375.06</v>
      </c>
      <c r="K999" s="2336">
        <f t="shared" si="191"/>
        <v>375.06</v>
      </c>
      <c r="L999" s="2335">
        <f t="shared" si="194"/>
        <v>1169</v>
      </c>
      <c r="M999" s="2335">
        <f t="shared" si="195"/>
        <v>1239</v>
      </c>
    </row>
    <row r="1000" spans="1:13" x14ac:dyDescent="0.2">
      <c r="B1000" s="2330" t="s">
        <v>6614</v>
      </c>
      <c r="C1000" s="2417">
        <f t="shared" ref="C1000:M1000" si="196">SUM(C984:C999)</f>
        <v>108725</v>
      </c>
      <c r="D1000" s="2417">
        <f t="shared" si="196"/>
        <v>603300</v>
      </c>
      <c r="E1000" s="2417">
        <f t="shared" si="196"/>
        <v>703300</v>
      </c>
      <c r="F1000" s="2417">
        <f t="shared" si="196"/>
        <v>206295</v>
      </c>
      <c r="G1000" s="2417">
        <f t="shared" si="196"/>
        <v>247554</v>
      </c>
      <c r="H1000" s="2417"/>
      <c r="I1000" s="2417">
        <f t="shared" si="196"/>
        <v>730906</v>
      </c>
      <c r="J1000" s="2417">
        <f>SUM(J984:J999)</f>
        <v>369846.05999999994</v>
      </c>
      <c r="K1000" s="2422">
        <f t="shared" si="191"/>
        <v>369846.05999999994</v>
      </c>
      <c r="L1000" s="2417">
        <f t="shared" si="196"/>
        <v>1253560</v>
      </c>
      <c r="M1000" s="2417">
        <f t="shared" si="196"/>
        <v>1298773</v>
      </c>
    </row>
    <row r="1001" spans="1:13" x14ac:dyDescent="0.2">
      <c r="B1001" s="2338"/>
      <c r="C1001" s="2362"/>
      <c r="D1001" s="2362"/>
      <c r="E1001" s="2362"/>
      <c r="F1001" s="2362"/>
      <c r="G1001" s="2362"/>
      <c r="H1001" s="2362"/>
      <c r="I1001" s="2362"/>
      <c r="J1001" s="2362">
        <f>J1000-[5]Sheet1!$K$575</f>
        <v>0</v>
      </c>
      <c r="K1001" s="2336">
        <f t="shared" si="191"/>
        <v>0</v>
      </c>
      <c r="L1001" s="2362"/>
      <c r="M1001" s="2362"/>
    </row>
    <row r="1002" spans="1:13" x14ac:dyDescent="0.2">
      <c r="B1002" s="2330" t="s">
        <v>6972</v>
      </c>
      <c r="C1002" s="2351">
        <f t="shared" ref="C1002:M1002" si="197">C977+C981+C1000</f>
        <v>467343</v>
      </c>
      <c r="D1002" s="2351">
        <f t="shared" si="197"/>
        <v>909991</v>
      </c>
      <c r="E1002" s="2351">
        <f t="shared" si="197"/>
        <v>1009991</v>
      </c>
      <c r="F1002" s="2351">
        <f t="shared" si="197"/>
        <v>438923</v>
      </c>
      <c r="G1002" s="2351">
        <f t="shared" si="197"/>
        <v>526707.6</v>
      </c>
      <c r="H1002" s="2351"/>
      <c r="I1002" s="2351">
        <f t="shared" si="197"/>
        <v>1937057</v>
      </c>
      <c r="J1002" s="2351">
        <f t="shared" si="197"/>
        <v>854184.57000000007</v>
      </c>
      <c r="K1002" s="2422">
        <f t="shared" si="191"/>
        <v>854184.57000000007</v>
      </c>
      <c r="L1002" s="2351">
        <f t="shared" si="197"/>
        <v>2556202</v>
      </c>
      <c r="M1002" s="2351">
        <f t="shared" si="197"/>
        <v>2705628</v>
      </c>
    </row>
    <row r="1003" spans="1:13" x14ac:dyDescent="0.2">
      <c r="A1003" s="2353"/>
      <c r="B1003" s="2330"/>
      <c r="C1003" s="2351"/>
      <c r="D1003" s="2351"/>
      <c r="E1003" s="2351"/>
      <c r="F1003" s="2309"/>
      <c r="G1003" s="2332"/>
      <c r="H1003" s="2332"/>
      <c r="I1003" s="2332"/>
      <c r="J1003" s="2332"/>
      <c r="K1003" s="2333">
        <f t="shared" si="191"/>
        <v>0</v>
      </c>
      <c r="L1003" s="2351"/>
      <c r="M1003" s="2351"/>
    </row>
    <row r="1004" spans="1:13" x14ac:dyDescent="0.2">
      <c r="B1004" s="2330" t="s">
        <v>6974</v>
      </c>
      <c r="C1004" s="2364"/>
      <c r="D1004" s="2364"/>
      <c r="E1004" s="2364"/>
      <c r="G1004" s="2332"/>
      <c r="H1004" s="2332"/>
      <c r="I1004" s="2332"/>
      <c r="J1004" s="2332"/>
      <c r="K1004" s="2333">
        <f t="shared" si="191"/>
        <v>0</v>
      </c>
      <c r="L1004" s="2364"/>
      <c r="M1004" s="2364"/>
    </row>
    <row r="1005" spans="1:13" x14ac:dyDescent="0.2">
      <c r="A1005" s="2353">
        <v>4204</v>
      </c>
      <c r="B1005" s="2258" t="s">
        <v>6976</v>
      </c>
      <c r="C1005" s="2364">
        <v>0</v>
      </c>
      <c r="D1005" s="2332">
        <v>13125</v>
      </c>
      <c r="E1005" s="2332">
        <v>13125</v>
      </c>
      <c r="F1005" s="2332">
        <v>0</v>
      </c>
      <c r="G1005" s="2332">
        <f>F1005/$F$11*$G$11</f>
        <v>0</v>
      </c>
      <c r="H1005" s="2332"/>
      <c r="I1005" s="2332">
        <f>ROUND(E1005*1.05,0)</f>
        <v>13781</v>
      </c>
      <c r="J1005" s="2332">
        <f>[5]Sheet1!$K$583</f>
        <v>4701.9799999999996</v>
      </c>
      <c r="K1005" s="2333">
        <f t="shared" si="191"/>
        <v>4701.9799999999996</v>
      </c>
      <c r="L1005" s="2332">
        <f>ROUND(I1005*1.08,0)</f>
        <v>14883</v>
      </c>
      <c r="M1005" s="2332">
        <f>ROUND(L1005*1.08,0)</f>
        <v>16074</v>
      </c>
    </row>
    <row r="1006" spans="1:13" x14ac:dyDescent="0.2">
      <c r="A1006" s="2353">
        <v>4207</v>
      </c>
      <c r="B1006" s="2334" t="s">
        <v>6977</v>
      </c>
      <c r="C1006" s="2397">
        <v>0</v>
      </c>
      <c r="D1006" s="2335">
        <v>13416</v>
      </c>
      <c r="E1006" s="2335">
        <v>13416</v>
      </c>
      <c r="F1006" s="2335">
        <v>0</v>
      </c>
      <c r="G1006" s="2335">
        <f>F1006/$F$11*$G$11</f>
        <v>0</v>
      </c>
      <c r="H1006" s="2335"/>
      <c r="I1006" s="2335">
        <f>ROUND(E1006*1.05,0)</f>
        <v>14087</v>
      </c>
      <c r="J1006" s="2332">
        <f>[5]Sheet1!$K$584</f>
        <v>4807.5600000000004</v>
      </c>
      <c r="K1006" s="2336">
        <f t="shared" si="191"/>
        <v>4807.5600000000004</v>
      </c>
      <c r="L1006" s="2332">
        <f>ROUND(I1006*1.08,0)</f>
        <v>15214</v>
      </c>
      <c r="M1006" s="2332">
        <f>ROUND(L1006*1.08,0)</f>
        <v>16431</v>
      </c>
    </row>
    <row r="1007" spans="1:13" x14ac:dyDescent="0.2">
      <c r="B1007" s="2330" t="s">
        <v>6979</v>
      </c>
      <c r="C1007" s="2417">
        <f t="shared" ref="C1007:M1007" si="198">SUM(C1005:C1006)</f>
        <v>0</v>
      </c>
      <c r="D1007" s="2417">
        <f t="shared" si="198"/>
        <v>26541</v>
      </c>
      <c r="E1007" s="2417">
        <f t="shared" si="198"/>
        <v>26541</v>
      </c>
      <c r="F1007" s="2417">
        <f t="shared" si="198"/>
        <v>0</v>
      </c>
      <c r="G1007" s="2417">
        <f t="shared" si="198"/>
        <v>0</v>
      </c>
      <c r="H1007" s="2417"/>
      <c r="I1007" s="2417">
        <f t="shared" si="198"/>
        <v>27868</v>
      </c>
      <c r="J1007" s="2417">
        <f>J1005+J1006</f>
        <v>9509.5400000000009</v>
      </c>
      <c r="K1007" s="2422">
        <f t="shared" si="191"/>
        <v>9509.5400000000009</v>
      </c>
      <c r="L1007" s="2417">
        <f t="shared" si="198"/>
        <v>30097</v>
      </c>
      <c r="M1007" s="2417">
        <f t="shared" si="198"/>
        <v>32505</v>
      </c>
    </row>
    <row r="1008" spans="1:13" x14ac:dyDescent="0.2">
      <c r="B1008" s="2338"/>
      <c r="C1008" s="2362"/>
      <c r="D1008" s="2362"/>
      <c r="E1008" s="2362"/>
      <c r="F1008" s="2362"/>
      <c r="G1008" s="2362"/>
      <c r="H1008" s="2362"/>
      <c r="I1008" s="2362"/>
      <c r="J1008" s="2362">
        <f>J1007-[5]Sheet1!$K$585</f>
        <v>0</v>
      </c>
      <c r="K1008" s="2336">
        <f t="shared" si="191"/>
        <v>0</v>
      </c>
      <c r="L1008" s="2362"/>
      <c r="M1008" s="2362"/>
    </row>
    <row r="1009" spans="1:13" x14ac:dyDescent="0.2">
      <c r="A1009" s="2353"/>
      <c r="B1009" s="2330" t="s">
        <v>7147</v>
      </c>
      <c r="C1009" s="2351">
        <f t="shared" ref="C1009:M1009" si="199">+C1002+C1007</f>
        <v>467343</v>
      </c>
      <c r="D1009" s="2351">
        <f t="shared" si="199"/>
        <v>936532</v>
      </c>
      <c r="E1009" s="2351">
        <f t="shared" si="199"/>
        <v>1036532</v>
      </c>
      <c r="F1009" s="2351">
        <f t="shared" si="199"/>
        <v>438923</v>
      </c>
      <c r="G1009" s="2351">
        <f t="shared" si="199"/>
        <v>526707.6</v>
      </c>
      <c r="H1009" s="2351"/>
      <c r="I1009" s="2351">
        <f t="shared" si="199"/>
        <v>1964925</v>
      </c>
      <c r="J1009" s="2351">
        <f t="shared" si="199"/>
        <v>863694.1100000001</v>
      </c>
      <c r="K1009" s="2333">
        <f t="shared" si="191"/>
        <v>863694.1100000001</v>
      </c>
      <c r="L1009" s="2351">
        <f t="shared" si="199"/>
        <v>2586299</v>
      </c>
      <c r="M1009" s="2351">
        <f t="shared" si="199"/>
        <v>2738133</v>
      </c>
    </row>
    <row r="1010" spans="1:13" x14ac:dyDescent="0.2">
      <c r="A1010" s="2353"/>
      <c r="B1010" s="2330"/>
      <c r="C1010" s="2351"/>
      <c r="D1010" s="2351"/>
      <c r="E1010" s="2351"/>
      <c r="F1010" s="2309"/>
      <c r="G1010" s="2332"/>
      <c r="H1010" s="2332"/>
      <c r="I1010" s="2332"/>
      <c r="J1010" s="2332"/>
      <c r="K1010" s="2333">
        <f t="shared" si="191"/>
        <v>0</v>
      </c>
      <c r="L1010" s="2351"/>
      <c r="M1010" s="2351"/>
    </row>
    <row r="1011" spans="1:13" x14ac:dyDescent="0.2">
      <c r="A1011" s="2341"/>
      <c r="B1011" s="2330" t="s">
        <v>6974</v>
      </c>
      <c r="C1011" s="2351"/>
      <c r="D1011" s="2351"/>
      <c r="E1011" s="2351"/>
      <c r="G1011" s="2332"/>
      <c r="H1011" s="2332"/>
      <c r="I1011" s="2332"/>
      <c r="J1011" s="2332"/>
      <c r="K1011" s="2333">
        <f t="shared" si="191"/>
        <v>0</v>
      </c>
      <c r="L1011" s="2351"/>
      <c r="M1011" s="2351"/>
    </row>
    <row r="1012" spans="1:13" x14ac:dyDescent="0.2">
      <c r="A1012" s="2341">
        <v>4105</v>
      </c>
      <c r="B1012" s="2334" t="s">
        <v>6975</v>
      </c>
      <c r="C1012" s="2335">
        <v>0</v>
      </c>
      <c r="D1012" s="2335">
        <v>0</v>
      </c>
      <c r="E1012" s="2335">
        <v>0</v>
      </c>
      <c r="F1012" s="2335">
        <v>0</v>
      </c>
      <c r="G1012" s="2335">
        <f>F1012/$F$11*$G$11</f>
        <v>0</v>
      </c>
      <c r="H1012" s="2335"/>
      <c r="I1012" s="2335">
        <v>0</v>
      </c>
      <c r="J1012" s="2335">
        <v>0</v>
      </c>
      <c r="K1012" s="2336">
        <f t="shared" si="191"/>
        <v>0</v>
      </c>
      <c r="L1012" s="2335">
        <f>ROUND(D1012*1.05,0)</f>
        <v>0</v>
      </c>
      <c r="M1012" s="2335">
        <f>ROUND(L1012*1.05,0)</f>
        <v>0</v>
      </c>
    </row>
    <row r="1013" spans="1:13" x14ac:dyDescent="0.2">
      <c r="A1013" s="2341"/>
      <c r="B1013" s="2330" t="s">
        <v>6979</v>
      </c>
      <c r="C1013" s="2349">
        <f t="shared" ref="C1013:M1013" si="200">SUM(C1012)</f>
        <v>0</v>
      </c>
      <c r="D1013" s="2349">
        <f t="shared" si="200"/>
        <v>0</v>
      </c>
      <c r="E1013" s="2349">
        <f t="shared" si="200"/>
        <v>0</v>
      </c>
      <c r="F1013" s="2349">
        <f t="shared" si="200"/>
        <v>0</v>
      </c>
      <c r="G1013" s="2349">
        <f t="shared" si="200"/>
        <v>0</v>
      </c>
      <c r="H1013" s="2349"/>
      <c r="I1013" s="2349">
        <f t="shared" si="200"/>
        <v>0</v>
      </c>
      <c r="J1013" s="2349">
        <v>0</v>
      </c>
      <c r="K1013" s="2333">
        <f t="shared" si="191"/>
        <v>0</v>
      </c>
      <c r="L1013" s="2349">
        <f t="shared" si="200"/>
        <v>0</v>
      </c>
      <c r="M1013" s="2349">
        <f t="shared" si="200"/>
        <v>0</v>
      </c>
    </row>
    <row r="1014" spans="1:13" x14ac:dyDescent="0.2">
      <c r="A1014" s="2341"/>
      <c r="B1014" s="2330"/>
      <c r="C1014" s="2349"/>
      <c r="D1014" s="2349"/>
      <c r="E1014" s="2349"/>
      <c r="F1014" s="2349"/>
      <c r="G1014" s="2349"/>
      <c r="H1014" s="2349"/>
      <c r="I1014" s="2349"/>
      <c r="J1014" s="2349"/>
      <c r="K1014" s="2333">
        <f t="shared" si="191"/>
        <v>0</v>
      </c>
      <c r="L1014" s="2349"/>
      <c r="M1014" s="2349"/>
    </row>
    <row r="1015" spans="1:13" ht="13.5" thickBot="1" x14ac:dyDescent="0.25">
      <c r="B1015" s="2342" t="s">
        <v>6980</v>
      </c>
      <c r="C1015" s="2354">
        <f t="shared" ref="C1015:M1015" si="201">+C1009+C1013</f>
        <v>467343</v>
      </c>
      <c r="D1015" s="2354">
        <f t="shared" si="201"/>
        <v>936532</v>
      </c>
      <c r="E1015" s="2354">
        <f t="shared" si="201"/>
        <v>1036532</v>
      </c>
      <c r="F1015" s="2354">
        <f t="shared" si="201"/>
        <v>438923</v>
      </c>
      <c r="G1015" s="2354">
        <f t="shared" si="201"/>
        <v>526707.6</v>
      </c>
      <c r="H1015" s="2354"/>
      <c r="I1015" s="2354">
        <f t="shared" si="201"/>
        <v>1964925</v>
      </c>
      <c r="J1015" s="2354">
        <f t="shared" si="201"/>
        <v>863694.1100000001</v>
      </c>
      <c r="K1015" s="2344">
        <f t="shared" si="191"/>
        <v>863694.1100000001</v>
      </c>
      <c r="L1015" s="2354">
        <f t="shared" si="201"/>
        <v>2586299</v>
      </c>
      <c r="M1015" s="2354">
        <f t="shared" si="201"/>
        <v>2738133</v>
      </c>
    </row>
    <row r="1016" spans="1:13" ht="13.5" thickTop="1" x14ac:dyDescent="0.2">
      <c r="B1016" s="2330"/>
      <c r="C1016" s="2349"/>
      <c r="D1016" s="2349"/>
      <c r="E1016" s="2349"/>
      <c r="F1016" s="2349"/>
      <c r="G1016" s="2349"/>
      <c r="H1016" s="2349"/>
      <c r="I1016" s="2349"/>
      <c r="J1016" s="2349"/>
      <c r="K1016" s="2333">
        <f t="shared" si="191"/>
        <v>0</v>
      </c>
      <c r="L1016" s="2349"/>
      <c r="M1016" s="2349"/>
    </row>
    <row r="1017" spans="1:13" ht="13.5" thickBot="1" x14ac:dyDescent="0.25">
      <c r="B1017" s="2342" t="s">
        <v>6624</v>
      </c>
      <c r="C1017" s="2355">
        <f t="shared" ref="C1017:M1017" si="202">C959-C1015</f>
        <v>-467343</v>
      </c>
      <c r="D1017" s="2355">
        <f t="shared" si="202"/>
        <v>-936532</v>
      </c>
      <c r="E1017" s="2355">
        <f t="shared" si="202"/>
        <v>-1036532</v>
      </c>
      <c r="F1017" s="2355">
        <f t="shared" si="202"/>
        <v>-438923</v>
      </c>
      <c r="G1017" s="2355">
        <f t="shared" si="202"/>
        <v>-526707.6</v>
      </c>
      <c r="H1017" s="2355"/>
      <c r="I1017" s="2355">
        <f t="shared" si="202"/>
        <v>-1964925</v>
      </c>
      <c r="J1017" s="2355">
        <f t="shared" si="202"/>
        <v>-863694.1100000001</v>
      </c>
      <c r="K1017" s="2344">
        <f t="shared" si="191"/>
        <v>-863694.1100000001</v>
      </c>
      <c r="L1017" s="2355">
        <f t="shared" si="202"/>
        <v>-2586299</v>
      </c>
      <c r="M1017" s="2355">
        <f t="shared" si="202"/>
        <v>-2738133</v>
      </c>
    </row>
    <row r="1018" spans="1:13" ht="13.5" thickTop="1" x14ac:dyDescent="0.2">
      <c r="B1018" s="2330"/>
      <c r="C1018" s="2356"/>
      <c r="D1018" s="2356"/>
      <c r="E1018" s="2356"/>
      <c r="G1018" s="2332"/>
      <c r="H1018" s="2332"/>
      <c r="I1018" s="2332"/>
      <c r="J1018" s="2332"/>
      <c r="K1018" s="2333">
        <f t="shared" si="191"/>
        <v>0</v>
      </c>
      <c r="L1018" s="2356"/>
      <c r="M1018" s="2356"/>
    </row>
    <row r="1019" spans="1:13" x14ac:dyDescent="0.2">
      <c r="A1019" s="2369"/>
      <c r="B1019" s="2369"/>
      <c r="C1019" s="2369"/>
      <c r="D1019" s="2369"/>
      <c r="E1019" s="2369"/>
      <c r="G1019" s="2332"/>
      <c r="H1019" s="2332"/>
      <c r="I1019" s="2332"/>
      <c r="J1019" s="2332"/>
      <c r="K1019" s="2333">
        <f t="shared" si="191"/>
        <v>0</v>
      </c>
      <c r="L1019" s="2369"/>
      <c r="M1019" s="2369"/>
    </row>
    <row r="1020" spans="1:13" ht="15.75" x14ac:dyDescent="0.25">
      <c r="A1020" s="2374">
        <v>1300</v>
      </c>
      <c r="B1020" s="2421" t="s">
        <v>7148</v>
      </c>
      <c r="F1020" s="2309"/>
      <c r="G1020" s="2332"/>
      <c r="H1020" s="2332"/>
      <c r="I1020" s="2332"/>
      <c r="J1020" s="2332"/>
      <c r="K1020" s="2333">
        <f t="shared" si="191"/>
        <v>0</v>
      </c>
    </row>
    <row r="1021" spans="1:13" ht="15" x14ac:dyDescent="0.25">
      <c r="A1021" s="2365">
        <v>1310</v>
      </c>
      <c r="B1021" s="2326" t="s">
        <v>7149</v>
      </c>
      <c r="C1021" s="2326"/>
      <c r="D1021" s="2326" t="s">
        <v>7150</v>
      </c>
      <c r="E1021" s="2326"/>
      <c r="F1021" s="2309"/>
      <c r="G1021" s="2332"/>
      <c r="H1021" s="2332"/>
      <c r="I1021" s="2332"/>
      <c r="J1021" s="2332"/>
      <c r="K1021" s="2333">
        <f t="shared" si="191"/>
        <v>0</v>
      </c>
    </row>
    <row r="1022" spans="1:13" ht="15" x14ac:dyDescent="0.25">
      <c r="B1022" s="2326"/>
      <c r="C1022" s="2326"/>
      <c r="D1022" s="2326"/>
      <c r="E1022" s="2326"/>
      <c r="F1022" s="2309"/>
      <c r="G1022" s="2332"/>
      <c r="H1022" s="2332"/>
      <c r="I1022" s="2332"/>
      <c r="J1022" s="2332"/>
      <c r="K1022" s="2333">
        <f t="shared" si="191"/>
        <v>0</v>
      </c>
    </row>
    <row r="1023" spans="1:13" x14ac:dyDescent="0.2">
      <c r="B1023" s="2328" t="s">
        <v>247</v>
      </c>
      <c r="C1023" s="2328"/>
      <c r="D1023" s="2328"/>
      <c r="E1023" s="2328"/>
      <c r="G1023" s="2332"/>
      <c r="H1023" s="2332"/>
      <c r="I1023" s="2332"/>
      <c r="J1023" s="2332"/>
      <c r="K1023" s="2333">
        <f t="shared" si="191"/>
        <v>0</v>
      </c>
    </row>
    <row r="1024" spans="1:13" x14ac:dyDescent="0.2">
      <c r="B1024" s="2328"/>
      <c r="C1024" s="2328"/>
      <c r="D1024" s="2328"/>
      <c r="E1024" s="2328"/>
      <c r="G1024" s="2332"/>
      <c r="H1024" s="2332"/>
      <c r="I1024" s="2332"/>
      <c r="J1024" s="2332"/>
      <c r="K1024" s="2333">
        <f t="shared" si="191"/>
        <v>0</v>
      </c>
    </row>
    <row r="1025" spans="1:13" x14ac:dyDescent="0.2">
      <c r="A1025" s="2329"/>
      <c r="B1025" s="2330" t="s">
        <v>6929</v>
      </c>
      <c r="C1025" s="2258"/>
      <c r="D1025" s="2258"/>
      <c r="E1025" s="2258"/>
      <c r="F1025" s="2309"/>
      <c r="G1025" s="2332"/>
      <c r="H1025" s="2332"/>
      <c r="I1025" s="2332"/>
      <c r="J1025" s="2332"/>
      <c r="K1025" s="2333">
        <f t="shared" si="191"/>
        <v>0</v>
      </c>
      <c r="L1025" s="2331"/>
      <c r="M1025" s="2331"/>
    </row>
    <row r="1026" spans="1:13" x14ac:dyDescent="0.2">
      <c r="A1026" s="2329"/>
      <c r="B1026" s="2334" t="s">
        <v>7151</v>
      </c>
      <c r="C1026" s="2335">
        <v>0</v>
      </c>
      <c r="D1026" s="2335">
        <v>0</v>
      </c>
      <c r="E1026" s="2335">
        <v>0</v>
      </c>
      <c r="F1026" s="2335">
        <v>0</v>
      </c>
      <c r="G1026" s="2335">
        <f>F1026/$F$11*$G$11</f>
        <v>0</v>
      </c>
      <c r="H1026" s="2335"/>
      <c r="I1026" s="2335">
        <f>+I1056</f>
        <v>216573</v>
      </c>
      <c r="J1026" s="2335">
        <f>I1026</f>
        <v>216573</v>
      </c>
      <c r="K1026" s="2336">
        <f t="shared" si="191"/>
        <v>216573</v>
      </c>
      <c r="L1026" s="2335">
        <f>+L1056</f>
        <v>233542</v>
      </c>
      <c r="M1026" s="2335">
        <f>+M1056</f>
        <v>251849</v>
      </c>
    </row>
    <row r="1027" spans="1:13" x14ac:dyDescent="0.2">
      <c r="A1027" s="2329"/>
      <c r="B1027" s="2330" t="s">
        <v>6932</v>
      </c>
      <c r="C1027" s="2337">
        <f t="shared" ref="C1027:M1027" si="203">SUM(C1026)</f>
        <v>0</v>
      </c>
      <c r="D1027" s="2337">
        <f t="shared" si="203"/>
        <v>0</v>
      </c>
      <c r="E1027" s="2337">
        <f t="shared" si="203"/>
        <v>0</v>
      </c>
      <c r="F1027" s="2337">
        <f t="shared" si="203"/>
        <v>0</v>
      </c>
      <c r="G1027" s="2337">
        <f t="shared" si="203"/>
        <v>0</v>
      </c>
      <c r="H1027" s="2337"/>
      <c r="I1027" s="2337">
        <f t="shared" si="203"/>
        <v>216573</v>
      </c>
      <c r="J1027" s="2337">
        <f>J1026</f>
        <v>216573</v>
      </c>
      <c r="K1027" s="2333">
        <f t="shared" si="191"/>
        <v>216573</v>
      </c>
      <c r="L1027" s="2337">
        <f t="shared" si="203"/>
        <v>233542</v>
      </c>
      <c r="M1027" s="2337">
        <f t="shared" si="203"/>
        <v>251849</v>
      </c>
    </row>
    <row r="1028" spans="1:13" x14ac:dyDescent="0.2">
      <c r="A1028" s="2329"/>
      <c r="B1028" s="2330"/>
      <c r="C1028" s="2375"/>
      <c r="D1028" s="2375"/>
      <c r="E1028" s="2375"/>
      <c r="F1028" s="2375"/>
      <c r="G1028" s="2375"/>
      <c r="H1028" s="2375"/>
      <c r="I1028" s="2375"/>
      <c r="J1028" s="2375"/>
      <c r="K1028" s="2333">
        <f t="shared" si="191"/>
        <v>0</v>
      </c>
      <c r="L1028" s="2375"/>
      <c r="M1028" s="2375"/>
    </row>
    <row r="1029" spans="1:13" ht="13.5" thickBot="1" x14ac:dyDescent="0.25">
      <c r="B1029" s="2342" t="s">
        <v>6579</v>
      </c>
      <c r="C1029" s="2343">
        <f t="shared" ref="C1029:M1029" si="204">+C1027</f>
        <v>0</v>
      </c>
      <c r="D1029" s="2343">
        <f t="shared" si="204"/>
        <v>0</v>
      </c>
      <c r="E1029" s="2343">
        <f t="shared" si="204"/>
        <v>0</v>
      </c>
      <c r="F1029" s="2343">
        <f t="shared" si="204"/>
        <v>0</v>
      </c>
      <c r="G1029" s="2343">
        <f t="shared" si="204"/>
        <v>0</v>
      </c>
      <c r="H1029" s="2343"/>
      <c r="I1029" s="2343">
        <f t="shared" si="204"/>
        <v>216573</v>
      </c>
      <c r="J1029" s="2343">
        <f>J1027</f>
        <v>216573</v>
      </c>
      <c r="K1029" s="2344">
        <f t="shared" si="191"/>
        <v>216573</v>
      </c>
      <c r="L1029" s="2343">
        <f t="shared" si="204"/>
        <v>233542</v>
      </c>
      <c r="M1029" s="2343">
        <f t="shared" si="204"/>
        <v>251849</v>
      </c>
    </row>
    <row r="1030" spans="1:13" ht="15.75" thickTop="1" x14ac:dyDescent="0.25">
      <c r="B1030" s="2326"/>
      <c r="C1030" s="2326"/>
      <c r="D1030" s="2326"/>
      <c r="E1030" s="2326"/>
      <c r="F1030" s="2309"/>
      <c r="G1030" s="2332"/>
      <c r="H1030" s="2332"/>
      <c r="I1030" s="2332"/>
      <c r="J1030" s="2332">
        <f>J1029+[5]Sheet1!$K$590</f>
        <v>0</v>
      </c>
      <c r="K1030" s="2333">
        <f t="shared" si="191"/>
        <v>0</v>
      </c>
    </row>
    <row r="1031" spans="1:13" x14ac:dyDescent="0.2">
      <c r="B1031" s="2328" t="s">
        <v>235</v>
      </c>
      <c r="C1031" s="2328"/>
      <c r="D1031" s="2328"/>
      <c r="E1031" s="2328"/>
      <c r="G1031" s="2332"/>
      <c r="H1031" s="2332"/>
      <c r="I1031" s="2332"/>
      <c r="J1031" s="2332"/>
      <c r="K1031" s="2333">
        <f t="shared" si="191"/>
        <v>0</v>
      </c>
      <c r="L1031" s="2328"/>
      <c r="M1031" s="2328"/>
    </row>
    <row r="1032" spans="1:13" x14ac:dyDescent="0.2">
      <c r="B1032" s="2328"/>
      <c r="C1032" s="2328"/>
      <c r="D1032" s="2328"/>
      <c r="E1032" s="2328"/>
      <c r="G1032" s="2332"/>
      <c r="H1032" s="2332"/>
      <c r="I1032" s="2332"/>
      <c r="J1032" s="2332"/>
      <c r="K1032" s="2333">
        <f t="shared" si="191"/>
        <v>0</v>
      </c>
      <c r="L1032" s="2328"/>
      <c r="M1032" s="2328"/>
    </row>
    <row r="1033" spans="1:13" x14ac:dyDescent="0.2">
      <c r="B1033" s="2330" t="s">
        <v>387</v>
      </c>
      <c r="C1033" s="2332"/>
      <c r="D1033" s="2332"/>
      <c r="E1033" s="2332"/>
      <c r="G1033" s="2332"/>
      <c r="H1033" s="2332"/>
      <c r="I1033" s="2332"/>
      <c r="J1033" s="2332"/>
      <c r="K1033" s="2333">
        <f t="shared" si="191"/>
        <v>0</v>
      </c>
      <c r="L1033" s="2332"/>
      <c r="M1033" s="2332"/>
    </row>
    <row r="1034" spans="1:13" x14ac:dyDescent="0.2">
      <c r="A1034" s="2329">
        <v>1001</v>
      </c>
      <c r="B1034" s="2258" t="s">
        <v>6943</v>
      </c>
      <c r="C1034" s="2332">
        <v>0</v>
      </c>
      <c r="D1034" s="2332">
        <v>0</v>
      </c>
      <c r="E1034" s="2332">
        <v>0</v>
      </c>
      <c r="F1034" s="2332">
        <v>41066</v>
      </c>
      <c r="G1034" s="2332">
        <f t="shared" ref="G1034:G1046" si="205">F1034/$F$11*$G$11</f>
        <v>49279.200000000004</v>
      </c>
      <c r="H1034" s="2332"/>
      <c r="I1034" s="2332">
        <f>[6]Salary_Bdgt!$H$184</f>
        <v>175701</v>
      </c>
      <c r="J1034" s="2332">
        <f>I1034</f>
        <v>175701</v>
      </c>
      <c r="K1034" s="2333">
        <f t="shared" si="191"/>
        <v>175701</v>
      </c>
      <c r="L1034" s="2332">
        <f t="shared" ref="L1034:L1046" si="206">ROUND(I1034*1.08,0)</f>
        <v>189757</v>
      </c>
      <c r="M1034" s="2332">
        <f t="shared" ref="M1034:M1046" si="207">ROUND(L1034*1.08,0)</f>
        <v>204938</v>
      </c>
    </row>
    <row r="1035" spans="1:13" x14ac:dyDescent="0.2">
      <c r="A1035" s="2329">
        <v>1005</v>
      </c>
      <c r="B1035" s="2258" t="s">
        <v>6944</v>
      </c>
      <c r="C1035" s="2332">
        <v>0</v>
      </c>
      <c r="D1035" s="2332">
        <v>0</v>
      </c>
      <c r="E1035" s="2332">
        <v>0</v>
      </c>
      <c r="F1035" s="2332">
        <v>0</v>
      </c>
      <c r="G1035" s="2332">
        <f t="shared" si="205"/>
        <v>0</v>
      </c>
      <c r="H1035" s="2332"/>
      <c r="I1035" s="2332">
        <f>+[6]Salary_Bdgt!$L$184</f>
        <v>0</v>
      </c>
      <c r="J1035" s="2332">
        <v>0</v>
      </c>
      <c r="K1035" s="2333">
        <f t="shared" si="191"/>
        <v>0</v>
      </c>
      <c r="L1035" s="2332">
        <f t="shared" si="206"/>
        <v>0</v>
      </c>
      <c r="M1035" s="2332">
        <f t="shared" si="207"/>
        <v>0</v>
      </c>
    </row>
    <row r="1036" spans="1:13" x14ac:dyDescent="0.2">
      <c r="A1036" s="2329">
        <v>1006</v>
      </c>
      <c r="B1036" s="2258" t="s">
        <v>6945</v>
      </c>
      <c r="C1036" s="2332">
        <v>0</v>
      </c>
      <c r="D1036" s="2332">
        <v>0</v>
      </c>
      <c r="E1036" s="2332">
        <f>+D1036</f>
        <v>0</v>
      </c>
      <c r="F1036" s="2332">
        <v>0</v>
      </c>
      <c r="G1036" s="2332">
        <f t="shared" si="205"/>
        <v>0</v>
      </c>
      <c r="H1036" s="2332"/>
      <c r="I1036" s="2332">
        <f>+[6]Salary_Bdgt!$N$184</f>
        <v>0</v>
      </c>
      <c r="J1036" s="2332">
        <v>0</v>
      </c>
      <c r="K1036" s="2333">
        <f t="shared" si="191"/>
        <v>0</v>
      </c>
      <c r="L1036" s="2332">
        <f t="shared" si="206"/>
        <v>0</v>
      </c>
      <c r="M1036" s="2332">
        <f t="shared" si="207"/>
        <v>0</v>
      </c>
    </row>
    <row r="1037" spans="1:13" x14ac:dyDescent="0.2">
      <c r="A1037" s="2329">
        <v>1007</v>
      </c>
      <c r="B1037" s="2258" t="s">
        <v>6410</v>
      </c>
      <c r="C1037" s="2332">
        <v>0</v>
      </c>
      <c r="D1037" s="2332">
        <v>0</v>
      </c>
      <c r="E1037" s="2332">
        <f>+D1037</f>
        <v>0</v>
      </c>
      <c r="F1037" s="2332">
        <v>785</v>
      </c>
      <c r="G1037" s="2332">
        <f t="shared" si="205"/>
        <v>942</v>
      </c>
      <c r="H1037" s="2332"/>
      <c r="I1037" s="2332">
        <f>+[6]Salary_Bdgt!$I$184</f>
        <v>1617</v>
      </c>
      <c r="J1037" s="2332">
        <f>I1037</f>
        <v>1617</v>
      </c>
      <c r="K1037" s="2333">
        <f t="shared" si="191"/>
        <v>1617</v>
      </c>
      <c r="L1037" s="2332">
        <f t="shared" si="206"/>
        <v>1746</v>
      </c>
      <c r="M1037" s="2332">
        <f t="shared" si="207"/>
        <v>1886</v>
      </c>
    </row>
    <row r="1038" spans="1:13" x14ac:dyDescent="0.2">
      <c r="A1038" s="2329">
        <v>1009</v>
      </c>
      <c r="B1038" s="2258" t="s">
        <v>6408</v>
      </c>
      <c r="C1038" s="2332">
        <v>0</v>
      </c>
      <c r="D1038" s="2332">
        <v>0</v>
      </c>
      <c r="E1038" s="2332">
        <f>+D1038</f>
        <v>0</v>
      </c>
      <c r="F1038" s="2332">
        <v>11</v>
      </c>
      <c r="G1038" s="2332">
        <f t="shared" si="205"/>
        <v>13.200000000000001</v>
      </c>
      <c r="H1038" s="2332"/>
      <c r="I1038" s="2332">
        <f>+[6]Salary_Bdgt!$M$184</f>
        <v>45</v>
      </c>
      <c r="J1038" s="2332">
        <f>I1038</f>
        <v>45</v>
      </c>
      <c r="K1038" s="2333">
        <f t="shared" si="191"/>
        <v>45</v>
      </c>
      <c r="L1038" s="2332">
        <f t="shared" si="206"/>
        <v>49</v>
      </c>
      <c r="M1038" s="2332">
        <f t="shared" si="207"/>
        <v>53</v>
      </c>
    </row>
    <row r="1039" spans="1:13" x14ac:dyDescent="0.2">
      <c r="A1039" s="2329">
        <v>1010</v>
      </c>
      <c r="B1039" s="2258" t="s">
        <v>6946</v>
      </c>
      <c r="C1039" s="2332">
        <v>0</v>
      </c>
      <c r="D1039" s="2332">
        <v>0</v>
      </c>
      <c r="E1039" s="2332">
        <f>+D1039</f>
        <v>0</v>
      </c>
      <c r="F1039" s="2332">
        <v>0</v>
      </c>
      <c r="G1039" s="2332">
        <f t="shared" si="205"/>
        <v>0</v>
      </c>
      <c r="H1039" s="2332"/>
      <c r="I1039" s="2332">
        <f>+[6]Salary_Bdgt!$Q$184</f>
        <v>14642</v>
      </c>
      <c r="J1039" s="2332">
        <f>I1039</f>
        <v>14642</v>
      </c>
      <c r="K1039" s="2333">
        <f t="shared" si="191"/>
        <v>14642</v>
      </c>
      <c r="L1039" s="2332">
        <f t="shared" si="206"/>
        <v>15813</v>
      </c>
      <c r="M1039" s="2332">
        <f t="shared" si="207"/>
        <v>17078</v>
      </c>
    </row>
    <row r="1040" spans="1:13" x14ac:dyDescent="0.2">
      <c r="A1040" s="2329">
        <v>1011</v>
      </c>
      <c r="B1040" s="2258" t="s">
        <v>6947</v>
      </c>
      <c r="C1040" s="2332">
        <v>0</v>
      </c>
      <c r="D1040" s="2332">
        <v>0</v>
      </c>
      <c r="E1040" s="2332">
        <f>+D1040</f>
        <v>0</v>
      </c>
      <c r="F1040" s="2332">
        <v>0</v>
      </c>
      <c r="G1040" s="2332">
        <f t="shared" si="205"/>
        <v>0</v>
      </c>
      <c r="H1040" s="2332"/>
      <c r="I1040" s="2332">
        <f>+[6]Salary_Bdgt!$U$184</f>
        <v>0</v>
      </c>
      <c r="J1040" s="2332">
        <v>0</v>
      </c>
      <c r="K1040" s="2333">
        <f t="shared" si="191"/>
        <v>0</v>
      </c>
      <c r="L1040" s="2332">
        <f t="shared" si="206"/>
        <v>0</v>
      </c>
      <c r="M1040" s="2332">
        <f t="shared" si="207"/>
        <v>0</v>
      </c>
    </row>
    <row r="1041" spans="1:13" x14ac:dyDescent="0.2">
      <c r="A1041" s="2329">
        <v>1014</v>
      </c>
      <c r="B1041" s="2258" t="s">
        <v>6632</v>
      </c>
      <c r="C1041" s="2332">
        <v>0</v>
      </c>
      <c r="D1041" s="2332">
        <v>0</v>
      </c>
      <c r="E1041" s="2332">
        <v>0</v>
      </c>
      <c r="F1041" s="2332">
        <v>0</v>
      </c>
      <c r="G1041" s="2332">
        <f t="shared" si="205"/>
        <v>0</v>
      </c>
      <c r="H1041" s="2332"/>
      <c r="I1041" s="2332">
        <f>+[6]Salary_Bdgt!$S$184</f>
        <v>0</v>
      </c>
      <c r="J1041" s="2332">
        <v>0</v>
      </c>
      <c r="K1041" s="2333">
        <f t="shared" si="191"/>
        <v>0</v>
      </c>
      <c r="L1041" s="2332">
        <f t="shared" si="206"/>
        <v>0</v>
      </c>
      <c r="M1041" s="2332">
        <f t="shared" si="207"/>
        <v>0</v>
      </c>
    </row>
    <row r="1042" spans="1:13" x14ac:dyDescent="0.2">
      <c r="A1042" s="2329">
        <v>1015</v>
      </c>
      <c r="B1042" s="2258" t="s">
        <v>6948</v>
      </c>
      <c r="C1042" s="2332">
        <v>0</v>
      </c>
      <c r="D1042" s="2332">
        <v>0</v>
      </c>
      <c r="E1042" s="2332">
        <f>+D1042</f>
        <v>0</v>
      </c>
      <c r="F1042" s="2332">
        <v>0</v>
      </c>
      <c r="G1042" s="2332">
        <f t="shared" si="205"/>
        <v>0</v>
      </c>
      <c r="H1042" s="2332"/>
      <c r="I1042" s="2332">
        <f>+[6]Salary_Bdgt!$O$184+[6]Salary_Bdgt!$P$184+[6]Salary_Bdgt!$W$184</f>
        <v>0</v>
      </c>
      <c r="J1042" s="2332">
        <v>0</v>
      </c>
      <c r="K1042" s="2333">
        <f t="shared" si="191"/>
        <v>0</v>
      </c>
      <c r="L1042" s="2332">
        <f t="shared" si="206"/>
        <v>0</v>
      </c>
      <c r="M1042" s="2332">
        <f t="shared" si="207"/>
        <v>0</v>
      </c>
    </row>
    <row r="1043" spans="1:13" x14ac:dyDescent="0.2">
      <c r="A1043" s="2329">
        <v>1016</v>
      </c>
      <c r="B1043" s="2258" t="s">
        <v>6949</v>
      </c>
      <c r="C1043" s="2332">
        <v>0</v>
      </c>
      <c r="D1043" s="2332">
        <v>0</v>
      </c>
      <c r="E1043" s="2332">
        <f>+D1043</f>
        <v>0</v>
      </c>
      <c r="F1043" s="2332">
        <v>0</v>
      </c>
      <c r="G1043" s="2332">
        <f t="shared" si="205"/>
        <v>0</v>
      </c>
      <c r="H1043" s="2332"/>
      <c r="I1043" s="2332">
        <f>+[6]Salary_Bdgt!$T$184+[6]Salary_Bdgt!$V$184</f>
        <v>0</v>
      </c>
      <c r="J1043" s="2332">
        <v>0</v>
      </c>
      <c r="K1043" s="2333">
        <f t="shared" si="191"/>
        <v>0</v>
      </c>
      <c r="L1043" s="2332">
        <f t="shared" si="206"/>
        <v>0</v>
      </c>
      <c r="M1043" s="2332">
        <f t="shared" si="207"/>
        <v>0</v>
      </c>
    </row>
    <row r="1044" spans="1:13" x14ac:dyDescent="0.2">
      <c r="A1044" s="2353">
        <v>1017</v>
      </c>
      <c r="B1044" s="2258" t="s">
        <v>6950</v>
      </c>
      <c r="C1044" s="2332">
        <v>0</v>
      </c>
      <c r="D1044" s="2332">
        <v>0</v>
      </c>
      <c r="E1044" s="2332">
        <f>+D1044</f>
        <v>0</v>
      </c>
      <c r="F1044" s="2332">
        <v>0</v>
      </c>
      <c r="G1044" s="2332">
        <f t="shared" si="205"/>
        <v>0</v>
      </c>
      <c r="H1044" s="2332"/>
      <c r="I1044" s="2332">
        <f>+[6]Salary_Bdgt!$J$184</f>
        <v>3514</v>
      </c>
      <c r="J1044" s="2332">
        <f>I1044</f>
        <v>3514</v>
      </c>
      <c r="K1044" s="2333">
        <f t="shared" si="191"/>
        <v>3514</v>
      </c>
      <c r="L1044" s="2332">
        <f t="shared" si="206"/>
        <v>3795</v>
      </c>
      <c r="M1044" s="2332">
        <f t="shared" si="207"/>
        <v>4099</v>
      </c>
    </row>
    <row r="1045" spans="1:13" x14ac:dyDescent="0.2">
      <c r="A1045" s="2329">
        <v>1046</v>
      </c>
      <c r="B1045" s="2258" t="s">
        <v>6951</v>
      </c>
      <c r="C1045" s="2332">
        <v>0</v>
      </c>
      <c r="D1045" s="2332">
        <v>0</v>
      </c>
      <c r="E1045" s="2332">
        <f>+D1045</f>
        <v>0</v>
      </c>
      <c r="F1045" s="2332">
        <v>0</v>
      </c>
      <c r="G1045" s="2332">
        <f t="shared" si="205"/>
        <v>0</v>
      </c>
      <c r="H1045" s="2332"/>
      <c r="I1045" s="2332">
        <f>+[6]Salary_Bdgt!$R$184</f>
        <v>0</v>
      </c>
      <c r="J1045" s="2332">
        <v>0</v>
      </c>
      <c r="K1045" s="2333">
        <f t="shared" ref="K1045:K1108" si="208">J1045</f>
        <v>0</v>
      </c>
      <c r="L1045" s="2332">
        <f t="shared" si="206"/>
        <v>0</v>
      </c>
      <c r="M1045" s="2332">
        <f t="shared" si="207"/>
        <v>0</v>
      </c>
    </row>
    <row r="1046" spans="1:13" x14ac:dyDescent="0.2">
      <c r="A1046" s="2353">
        <v>1182</v>
      </c>
      <c r="B1046" s="2334" t="s">
        <v>6952</v>
      </c>
      <c r="C1046" s="2335">
        <v>0</v>
      </c>
      <c r="D1046" s="2335">
        <v>0</v>
      </c>
      <c r="E1046" s="2335">
        <f>+D1046</f>
        <v>0</v>
      </c>
      <c r="F1046" s="2335">
        <v>0</v>
      </c>
      <c r="G1046" s="2335">
        <f t="shared" si="205"/>
        <v>0</v>
      </c>
      <c r="H1046" s="2335"/>
      <c r="I1046" s="2335">
        <f>+[6]Salary_Bdgt!$K$184</f>
        <v>3268</v>
      </c>
      <c r="J1046" s="2335">
        <f>I1046</f>
        <v>3268</v>
      </c>
      <c r="K1046" s="2336">
        <f t="shared" si="208"/>
        <v>3268</v>
      </c>
      <c r="L1046" s="2335">
        <f t="shared" si="206"/>
        <v>3529</v>
      </c>
      <c r="M1046" s="2335">
        <f t="shared" si="207"/>
        <v>3811</v>
      </c>
    </row>
    <row r="1047" spans="1:13" x14ac:dyDescent="0.2">
      <c r="B1047" s="2330" t="s">
        <v>6588</v>
      </c>
      <c r="C1047" s="2349">
        <f t="shared" ref="C1047:M1047" si="209">SUM(C1034:C1046)</f>
        <v>0</v>
      </c>
      <c r="D1047" s="2349">
        <f t="shared" si="209"/>
        <v>0</v>
      </c>
      <c r="E1047" s="2349">
        <f t="shared" si="209"/>
        <v>0</v>
      </c>
      <c r="F1047" s="2349">
        <f t="shared" si="209"/>
        <v>41862</v>
      </c>
      <c r="G1047" s="2349">
        <f t="shared" si="209"/>
        <v>50234.400000000001</v>
      </c>
      <c r="H1047" s="2349"/>
      <c r="I1047" s="2349">
        <f t="shared" si="209"/>
        <v>198787</v>
      </c>
      <c r="J1047" s="2349">
        <f>I1047</f>
        <v>198787</v>
      </c>
      <c r="K1047" s="2333">
        <f t="shared" si="208"/>
        <v>198787</v>
      </c>
      <c r="L1047" s="2349">
        <f t="shared" si="209"/>
        <v>214689</v>
      </c>
      <c r="M1047" s="2349">
        <f t="shared" si="209"/>
        <v>231865</v>
      </c>
    </row>
    <row r="1048" spans="1:13" ht="15" x14ac:dyDescent="0.25">
      <c r="B1048" s="2326"/>
      <c r="C1048" s="2326"/>
      <c r="D1048" s="2326"/>
      <c r="E1048" s="2326"/>
      <c r="F1048" s="2309"/>
      <c r="G1048" s="2332"/>
      <c r="H1048" s="2332"/>
      <c r="I1048" s="2332"/>
      <c r="J1048" s="2332">
        <f>J1047-[5]Sheet1!$K$602</f>
        <v>0</v>
      </c>
      <c r="K1048" s="2333">
        <f t="shared" si="208"/>
        <v>0</v>
      </c>
    </row>
    <row r="1049" spans="1:13" x14ac:dyDescent="0.2">
      <c r="B1049" s="2330" t="s">
        <v>6599</v>
      </c>
      <c r="C1049" s="2332"/>
      <c r="D1049" s="2332"/>
      <c r="E1049" s="2332"/>
      <c r="G1049" s="2332"/>
      <c r="H1049" s="2332"/>
      <c r="I1049" s="2332"/>
      <c r="J1049" s="2332"/>
      <c r="K1049" s="2333">
        <f t="shared" si="208"/>
        <v>0</v>
      </c>
      <c r="L1049" s="2332"/>
      <c r="M1049" s="2332"/>
    </row>
    <row r="1050" spans="1:13" x14ac:dyDescent="0.2">
      <c r="A1050" s="2353">
        <v>2238</v>
      </c>
      <c r="B1050" s="2258" t="s">
        <v>6967</v>
      </c>
      <c r="C1050" s="2332">
        <v>0</v>
      </c>
      <c r="D1050" s="2332">
        <v>0</v>
      </c>
      <c r="E1050" s="2332">
        <v>0</v>
      </c>
      <c r="F1050" s="2332">
        <v>13983</v>
      </c>
      <c r="G1050" s="2332">
        <f>F1050/$F$11*$G$11</f>
        <v>16779.599999999999</v>
      </c>
      <c r="H1050" s="2332"/>
      <c r="I1050" s="2332">
        <f>ROUND(+G1050*1.06,0)</f>
        <v>17786</v>
      </c>
      <c r="J1050" s="2332">
        <f>I1050</f>
        <v>17786</v>
      </c>
      <c r="K1050" s="2333">
        <f t="shared" si="208"/>
        <v>17786</v>
      </c>
      <c r="L1050" s="2332">
        <f>ROUND(+I1050*1.06,0)</f>
        <v>18853</v>
      </c>
      <c r="M1050" s="2332">
        <f>ROUND(+L1050*1.06,0)</f>
        <v>19984</v>
      </c>
    </row>
    <row r="1051" spans="1:13" x14ac:dyDescent="0.2">
      <c r="A1051" s="2353">
        <v>2246</v>
      </c>
      <c r="B1051" s="2334" t="s">
        <v>7152</v>
      </c>
      <c r="C1051" s="2335">
        <v>0</v>
      </c>
      <c r="D1051" s="2335">
        <v>0</v>
      </c>
      <c r="E1051" s="2335">
        <v>0</v>
      </c>
      <c r="F1051" s="2335">
        <v>0</v>
      </c>
      <c r="G1051" s="2335">
        <f>F1051/$F$11*$G$11</f>
        <v>0</v>
      </c>
      <c r="H1051" s="2335"/>
      <c r="I1051" s="2335">
        <v>0</v>
      </c>
      <c r="J1051" s="2335">
        <v>0</v>
      </c>
      <c r="K1051" s="2336">
        <f t="shared" si="208"/>
        <v>0</v>
      </c>
      <c r="L1051" s="2335">
        <v>0</v>
      </c>
      <c r="M1051" s="2335">
        <v>0</v>
      </c>
    </row>
    <row r="1052" spans="1:13" x14ac:dyDescent="0.2">
      <c r="B1052" s="2330" t="s">
        <v>6614</v>
      </c>
      <c r="C1052" s="2349">
        <f t="shared" ref="C1052:M1052" si="210">SUM(C1050:C1051)</f>
        <v>0</v>
      </c>
      <c r="D1052" s="2349">
        <f t="shared" si="210"/>
        <v>0</v>
      </c>
      <c r="E1052" s="2349">
        <f t="shared" si="210"/>
        <v>0</v>
      </c>
      <c r="F1052" s="2349">
        <f t="shared" si="210"/>
        <v>13983</v>
      </c>
      <c r="G1052" s="2349">
        <f t="shared" si="210"/>
        <v>16779.599999999999</v>
      </c>
      <c r="H1052" s="2349"/>
      <c r="I1052" s="2349">
        <f t="shared" si="210"/>
        <v>17786</v>
      </c>
      <c r="J1052" s="2349">
        <f>J1050</f>
        <v>17786</v>
      </c>
      <c r="K1052" s="2333">
        <f t="shared" si="208"/>
        <v>17786</v>
      </c>
      <c r="L1052" s="2349">
        <f t="shared" si="210"/>
        <v>18853</v>
      </c>
      <c r="M1052" s="2349">
        <f t="shared" si="210"/>
        <v>19984</v>
      </c>
    </row>
    <row r="1053" spans="1:13" x14ac:dyDescent="0.2">
      <c r="B1053" s="2338"/>
      <c r="C1053" s="2380"/>
      <c r="D1053" s="2380"/>
      <c r="E1053" s="2380"/>
      <c r="F1053" s="2380"/>
      <c r="G1053" s="2380"/>
      <c r="H1053" s="2380"/>
      <c r="I1053" s="2380"/>
      <c r="J1053" s="2380">
        <f>J1052-[5]Sheet1!$K$612</f>
        <v>0</v>
      </c>
      <c r="K1053" s="2336">
        <f t="shared" si="208"/>
        <v>0</v>
      </c>
      <c r="L1053" s="2380"/>
      <c r="M1053" s="2380"/>
    </row>
    <row r="1054" spans="1:13" x14ac:dyDescent="0.2">
      <c r="B1054" s="2330" t="s">
        <v>6972</v>
      </c>
      <c r="C1054" s="2351">
        <f t="shared" ref="C1054:M1054" si="211">+C1052+C1047</f>
        <v>0</v>
      </c>
      <c r="D1054" s="2351">
        <f t="shared" si="211"/>
        <v>0</v>
      </c>
      <c r="E1054" s="2351">
        <f t="shared" si="211"/>
        <v>0</v>
      </c>
      <c r="F1054" s="2351">
        <f t="shared" si="211"/>
        <v>55845</v>
      </c>
      <c r="G1054" s="2351">
        <f t="shared" si="211"/>
        <v>67014</v>
      </c>
      <c r="H1054" s="2351"/>
      <c r="I1054" s="2351">
        <f t="shared" si="211"/>
        <v>216573</v>
      </c>
      <c r="J1054" s="2351">
        <f>I1054</f>
        <v>216573</v>
      </c>
      <c r="K1054" s="2333">
        <f t="shared" si="208"/>
        <v>216573</v>
      </c>
      <c r="L1054" s="2351">
        <f t="shared" si="211"/>
        <v>233542</v>
      </c>
      <c r="M1054" s="2351">
        <f t="shared" si="211"/>
        <v>251849</v>
      </c>
    </row>
    <row r="1055" spans="1:13" x14ac:dyDescent="0.2">
      <c r="B1055" s="2330"/>
      <c r="C1055" s="2364"/>
      <c r="D1055" s="2364"/>
      <c r="E1055" s="2364"/>
      <c r="F1055" s="2364"/>
      <c r="G1055" s="2364"/>
      <c r="H1055" s="2364"/>
      <c r="I1055" s="2364"/>
      <c r="J1055" s="2364"/>
      <c r="K1055" s="2333">
        <f t="shared" si="208"/>
        <v>0</v>
      </c>
      <c r="L1055" s="2364"/>
      <c r="M1055" s="2364"/>
    </row>
    <row r="1056" spans="1:13" ht="13.5" thickBot="1" x14ac:dyDescent="0.25">
      <c r="B1056" s="2342" t="s">
        <v>6623</v>
      </c>
      <c r="C1056" s="2354">
        <f t="shared" ref="C1056:M1056" si="212">C1054</f>
        <v>0</v>
      </c>
      <c r="D1056" s="2354">
        <f t="shared" si="212"/>
        <v>0</v>
      </c>
      <c r="E1056" s="2354">
        <f t="shared" si="212"/>
        <v>0</v>
      </c>
      <c r="F1056" s="2354">
        <f t="shared" si="212"/>
        <v>55845</v>
      </c>
      <c r="G1056" s="2354">
        <f t="shared" si="212"/>
        <v>67014</v>
      </c>
      <c r="H1056" s="2354"/>
      <c r="I1056" s="2354">
        <f t="shared" si="212"/>
        <v>216573</v>
      </c>
      <c r="J1056" s="2354">
        <f>I1056</f>
        <v>216573</v>
      </c>
      <c r="K1056" s="2344">
        <f t="shared" si="208"/>
        <v>216573</v>
      </c>
      <c r="L1056" s="2354">
        <f t="shared" si="212"/>
        <v>233542</v>
      </c>
      <c r="M1056" s="2354">
        <f t="shared" si="212"/>
        <v>251849</v>
      </c>
    </row>
    <row r="1057" spans="1:13" ht="13.5" thickTop="1" x14ac:dyDescent="0.2">
      <c r="B1057" s="2330"/>
      <c r="C1057" s="2349"/>
      <c r="D1057" s="2349"/>
      <c r="E1057" s="2349"/>
      <c r="F1057" s="2349"/>
      <c r="G1057" s="2349"/>
      <c r="H1057" s="2349"/>
      <c r="I1057" s="2349"/>
      <c r="J1057" s="2349"/>
      <c r="K1057" s="2333">
        <f t="shared" si="208"/>
        <v>0</v>
      </c>
      <c r="L1057" s="2349"/>
      <c r="M1057" s="2349"/>
    </row>
    <row r="1058" spans="1:13" ht="13.5" thickBot="1" x14ac:dyDescent="0.25">
      <c r="B1058" s="2342" t="s">
        <v>6624</v>
      </c>
      <c r="C1058" s="2355">
        <f t="shared" ref="C1058:M1058" si="213">+C1029-C1056</f>
        <v>0</v>
      </c>
      <c r="D1058" s="2355">
        <f t="shared" si="213"/>
        <v>0</v>
      </c>
      <c r="E1058" s="2355">
        <f t="shared" si="213"/>
        <v>0</v>
      </c>
      <c r="F1058" s="2355">
        <f t="shared" si="213"/>
        <v>-55845</v>
      </c>
      <c r="G1058" s="2355">
        <f t="shared" si="213"/>
        <v>-67014</v>
      </c>
      <c r="H1058" s="2355"/>
      <c r="I1058" s="2355">
        <f t="shared" si="213"/>
        <v>0</v>
      </c>
      <c r="J1058" s="2355">
        <v>0</v>
      </c>
      <c r="K1058" s="2344">
        <f t="shared" si="208"/>
        <v>0</v>
      </c>
      <c r="L1058" s="2355">
        <f t="shared" si="213"/>
        <v>0</v>
      </c>
      <c r="M1058" s="2355">
        <f t="shared" si="213"/>
        <v>0</v>
      </c>
    </row>
    <row r="1059" spans="1:13" ht="13.5" thickTop="1" x14ac:dyDescent="0.2">
      <c r="B1059" s="2330"/>
      <c r="C1059" s="2356"/>
      <c r="D1059" s="2356"/>
      <c r="E1059" s="2356"/>
      <c r="G1059" s="2332"/>
      <c r="H1059" s="2332"/>
      <c r="I1059" s="2332"/>
      <c r="J1059" s="2332"/>
      <c r="K1059" s="2333">
        <f t="shared" si="208"/>
        <v>0</v>
      </c>
      <c r="L1059" s="2356"/>
      <c r="M1059" s="2356"/>
    </row>
    <row r="1060" spans="1:13" x14ac:dyDescent="0.2">
      <c r="F1060" s="2309"/>
      <c r="G1060" s="2332"/>
      <c r="H1060" s="2332"/>
      <c r="I1060" s="2332"/>
      <c r="J1060" s="2332"/>
      <c r="K1060" s="2333">
        <f t="shared" si="208"/>
        <v>0</v>
      </c>
    </row>
    <row r="1061" spans="1:13" ht="15.75" x14ac:dyDescent="0.25">
      <c r="A1061" s="2374">
        <v>1400</v>
      </c>
      <c r="B1061" s="2421" t="s">
        <v>7153</v>
      </c>
      <c r="G1061" s="2332"/>
      <c r="H1061" s="2332"/>
      <c r="I1061" s="2332"/>
      <c r="J1061" s="2332"/>
      <c r="K1061" s="2333">
        <f t="shared" si="208"/>
        <v>0</v>
      </c>
    </row>
    <row r="1062" spans="1:13" ht="15" x14ac:dyDescent="0.25">
      <c r="A1062" s="2365">
        <v>1410</v>
      </c>
      <c r="B1062" s="2326" t="s">
        <v>7154</v>
      </c>
      <c r="C1062" s="2326"/>
      <c r="D1062" s="2326"/>
      <c r="E1062" s="2326"/>
      <c r="G1062" s="2332"/>
      <c r="H1062" s="2332"/>
      <c r="I1062" s="2332"/>
      <c r="J1062" s="2332"/>
      <c r="K1062" s="2333">
        <f t="shared" si="208"/>
        <v>0</v>
      </c>
    </row>
    <row r="1063" spans="1:13" ht="15" x14ac:dyDescent="0.25">
      <c r="B1063" s="2326"/>
      <c r="C1063" s="2326"/>
      <c r="D1063" s="2326"/>
      <c r="E1063" s="2326"/>
      <c r="G1063" s="2332"/>
      <c r="H1063" s="2332"/>
      <c r="I1063" s="2332"/>
      <c r="J1063" s="2332"/>
      <c r="K1063" s="2333">
        <f t="shared" si="208"/>
        <v>0</v>
      </c>
    </row>
    <row r="1064" spans="1:13" x14ac:dyDescent="0.2">
      <c r="B1064" s="2328" t="s">
        <v>235</v>
      </c>
      <c r="C1064" s="2328"/>
      <c r="D1064" s="2328"/>
      <c r="E1064" s="2328"/>
      <c r="G1064" s="2332"/>
      <c r="H1064" s="2332"/>
      <c r="I1064" s="2332"/>
      <c r="J1064" s="2332"/>
      <c r="K1064" s="2333">
        <f t="shared" si="208"/>
        <v>0</v>
      </c>
      <c r="L1064" s="2328"/>
      <c r="M1064" s="2328"/>
    </row>
    <row r="1065" spans="1:13" x14ac:dyDescent="0.2">
      <c r="B1065" s="2328"/>
      <c r="C1065" s="2328"/>
      <c r="D1065" s="2328"/>
      <c r="E1065" s="2328"/>
      <c r="G1065" s="2332"/>
      <c r="H1065" s="2332"/>
      <c r="I1065" s="2332"/>
      <c r="J1065" s="2332"/>
      <c r="K1065" s="2333">
        <f t="shared" si="208"/>
        <v>0</v>
      </c>
      <c r="L1065" s="2328"/>
      <c r="M1065" s="2328"/>
    </row>
    <row r="1066" spans="1:13" x14ac:dyDescent="0.2">
      <c r="B1066" s="2330" t="s">
        <v>387</v>
      </c>
      <c r="C1066" s="2332"/>
      <c r="D1066" s="2332"/>
      <c r="E1066" s="2332"/>
      <c r="G1066" s="2332"/>
      <c r="H1066" s="2332"/>
      <c r="I1066" s="2332"/>
      <c r="J1066" s="2332"/>
      <c r="K1066" s="2333">
        <f t="shared" si="208"/>
        <v>0</v>
      </c>
      <c r="L1066" s="2332"/>
      <c r="M1066" s="2332"/>
    </row>
    <row r="1067" spans="1:13" x14ac:dyDescent="0.2">
      <c r="A1067" s="2329">
        <v>1001</v>
      </c>
      <c r="B1067" s="2258" t="s">
        <v>6943</v>
      </c>
      <c r="C1067" s="2332">
        <v>213820</v>
      </c>
      <c r="D1067" s="2332">
        <v>320311</v>
      </c>
      <c r="E1067" s="2332">
        <v>304902</v>
      </c>
      <c r="F1067" s="2332">
        <v>347952</v>
      </c>
      <c r="G1067" s="2332">
        <f t="shared" ref="G1067:G1079" si="214">F1067/$F$11*$G$11</f>
        <v>417542.39999999997</v>
      </c>
      <c r="H1067" s="2332"/>
      <c r="I1067" s="2332">
        <f>[6]Salary_Bdgt!$H$190</f>
        <v>68482</v>
      </c>
      <c r="J1067" s="2332">
        <f>[5]Sheet1!$K$648</f>
        <v>682635.68</v>
      </c>
      <c r="K1067" s="2333">
        <f t="shared" si="208"/>
        <v>682635.68</v>
      </c>
      <c r="L1067" s="2332">
        <f t="shared" ref="L1067:L1079" si="215">ROUND(I1067*1.08,0)</f>
        <v>73961</v>
      </c>
      <c r="M1067" s="2332">
        <f t="shared" ref="M1067:M1079" si="216">ROUND(L1067*1.08,0)</f>
        <v>79878</v>
      </c>
    </row>
    <row r="1068" spans="1:13" x14ac:dyDescent="0.2">
      <c r="A1068" s="2329">
        <v>1005</v>
      </c>
      <c r="B1068" s="2258" t="s">
        <v>6944</v>
      </c>
      <c r="C1068" s="2332">
        <v>32996</v>
      </c>
      <c r="D1068" s="2332">
        <v>39220</v>
      </c>
      <c r="E1068" s="2332">
        <f>+D1068</f>
        <v>39220</v>
      </c>
      <c r="F1068" s="2332">
        <v>45333</v>
      </c>
      <c r="G1068" s="2332">
        <f t="shared" si="214"/>
        <v>54399.600000000006</v>
      </c>
      <c r="H1068" s="2332"/>
      <c r="I1068" s="2332">
        <f>+[6]Salary_Bdgt!$L$190</f>
        <v>3751</v>
      </c>
      <c r="J1068" s="2332">
        <f>[5]Sheet1!$K$656</f>
        <v>65297.3</v>
      </c>
      <c r="K1068" s="2333">
        <f t="shared" si="208"/>
        <v>65297.3</v>
      </c>
      <c r="L1068" s="2332">
        <f t="shared" si="215"/>
        <v>4051</v>
      </c>
      <c r="M1068" s="2332">
        <f t="shared" si="216"/>
        <v>4375</v>
      </c>
    </row>
    <row r="1069" spans="1:13" x14ac:dyDescent="0.2">
      <c r="A1069" s="2329">
        <v>1006</v>
      </c>
      <c r="B1069" s="2258" t="s">
        <v>6945</v>
      </c>
      <c r="C1069" s="2332">
        <v>41505</v>
      </c>
      <c r="D1069" s="2332">
        <v>34643</v>
      </c>
      <c r="E1069" s="2332">
        <f>+D1069+15378</f>
        <v>50021</v>
      </c>
      <c r="F1069" s="2332">
        <v>65592</v>
      </c>
      <c r="G1069" s="2332">
        <f t="shared" si="214"/>
        <v>78710.399999999994</v>
      </c>
      <c r="H1069" s="2332"/>
      <c r="I1069" s="2332">
        <f>+[6]Salary_Bdgt!$N$190</f>
        <v>14553</v>
      </c>
      <c r="J1069" s="2332">
        <f>[5]Sheet1!$K$657</f>
        <v>120621.56</v>
      </c>
      <c r="K1069" s="2333">
        <f t="shared" si="208"/>
        <v>120621.56</v>
      </c>
      <c r="L1069" s="2332">
        <f t="shared" si="215"/>
        <v>15717</v>
      </c>
      <c r="M1069" s="2332">
        <f t="shared" si="216"/>
        <v>16974</v>
      </c>
    </row>
    <row r="1070" spans="1:13" x14ac:dyDescent="0.2">
      <c r="A1070" s="2329">
        <v>1007</v>
      </c>
      <c r="B1070" s="2258" t="s">
        <v>6410</v>
      </c>
      <c r="C1070" s="2332">
        <v>2263</v>
      </c>
      <c r="D1070" s="2332">
        <v>4341</v>
      </c>
      <c r="E1070" s="2332">
        <f>+D1070</f>
        <v>4341</v>
      </c>
      <c r="F1070" s="2332">
        <v>3512</v>
      </c>
      <c r="G1070" s="2332">
        <f t="shared" si="214"/>
        <v>4214.3999999999996</v>
      </c>
      <c r="H1070" s="2332"/>
      <c r="I1070" s="2332">
        <f>+[6]Salary_Bdgt!$I$190</f>
        <v>1385</v>
      </c>
      <c r="J1070" s="2332">
        <f>[5]Sheet1!$K$658</f>
        <v>6294.2</v>
      </c>
      <c r="K1070" s="2333">
        <f t="shared" si="208"/>
        <v>6294.2</v>
      </c>
      <c r="L1070" s="2332">
        <f t="shared" si="215"/>
        <v>1496</v>
      </c>
      <c r="M1070" s="2332">
        <f t="shared" si="216"/>
        <v>1616</v>
      </c>
    </row>
    <row r="1071" spans="1:13" x14ac:dyDescent="0.2">
      <c r="A1071" s="2329">
        <v>1009</v>
      </c>
      <c r="B1071" s="2258" t="s">
        <v>6408</v>
      </c>
      <c r="C1071" s="2332">
        <v>104</v>
      </c>
      <c r="D1071" s="2332">
        <f>[7]Sal_RIA!$M$153</f>
        <v>77</v>
      </c>
      <c r="E1071" s="2332">
        <f>+D1071+31</f>
        <v>108</v>
      </c>
      <c r="F1071" s="2332">
        <v>131</v>
      </c>
      <c r="G1071" s="2332">
        <f t="shared" si="214"/>
        <v>157.19999999999999</v>
      </c>
      <c r="H1071" s="2332"/>
      <c r="I1071" s="2332">
        <f>+[6]Salary_Bdgt!$M$190</f>
        <v>45</v>
      </c>
      <c r="J1071" s="2332">
        <f>[5]Sheet1!$K$653</f>
        <v>246</v>
      </c>
      <c r="K1071" s="2333">
        <f t="shared" si="208"/>
        <v>246</v>
      </c>
      <c r="L1071" s="2332">
        <f t="shared" si="215"/>
        <v>49</v>
      </c>
      <c r="M1071" s="2332">
        <f t="shared" si="216"/>
        <v>53</v>
      </c>
    </row>
    <row r="1072" spans="1:13" x14ac:dyDescent="0.2">
      <c r="A1072" s="2329">
        <v>1010</v>
      </c>
      <c r="B1072" s="2258" t="s">
        <v>6946</v>
      </c>
      <c r="C1072" s="2332">
        <v>20617</v>
      </c>
      <c r="D1072" s="2332">
        <v>26693</v>
      </c>
      <c r="E1072" s="2332">
        <f>+D1072</f>
        <v>26693</v>
      </c>
      <c r="F1072" s="2332">
        <v>26814</v>
      </c>
      <c r="G1072" s="2332">
        <f t="shared" si="214"/>
        <v>32176.800000000003</v>
      </c>
      <c r="H1072" s="2332"/>
      <c r="I1072" s="2332">
        <f>+[6]Salary_Bdgt!$Q$190</f>
        <v>5707</v>
      </c>
      <c r="J1072" s="2332">
        <f>[5]Sheet1!$K$649</f>
        <v>80488.78</v>
      </c>
      <c r="K1072" s="2333">
        <f t="shared" si="208"/>
        <v>80488.78</v>
      </c>
      <c r="L1072" s="2332">
        <f t="shared" si="215"/>
        <v>6164</v>
      </c>
      <c r="M1072" s="2332">
        <f t="shared" si="216"/>
        <v>6657</v>
      </c>
    </row>
    <row r="1073" spans="1:13" x14ac:dyDescent="0.2">
      <c r="A1073" s="2329">
        <v>1011</v>
      </c>
      <c r="B1073" s="2258" t="s">
        <v>6947</v>
      </c>
      <c r="C1073" s="2332">
        <v>0</v>
      </c>
      <c r="D1073" s="2332">
        <v>0</v>
      </c>
      <c r="E1073" s="2332">
        <v>0</v>
      </c>
      <c r="F1073" s="2332">
        <v>0</v>
      </c>
      <c r="G1073" s="2332">
        <f t="shared" si="214"/>
        <v>0</v>
      </c>
      <c r="H1073" s="2332"/>
      <c r="I1073" s="2332">
        <f>+[6]Salary_Bdgt!$U$190</f>
        <v>0</v>
      </c>
      <c r="J1073" s="2332">
        <f>[5]Sheet1!$K$650</f>
        <v>7000</v>
      </c>
      <c r="K1073" s="2333">
        <f t="shared" si="208"/>
        <v>7000</v>
      </c>
      <c r="L1073" s="2332">
        <f t="shared" si="215"/>
        <v>0</v>
      </c>
      <c r="M1073" s="2332">
        <f t="shared" si="216"/>
        <v>0</v>
      </c>
    </row>
    <row r="1074" spans="1:13" x14ac:dyDescent="0.2">
      <c r="A1074" s="2329">
        <v>1014</v>
      </c>
      <c r="B1074" s="2258" t="s">
        <v>6632</v>
      </c>
      <c r="C1074" s="2332">
        <v>0</v>
      </c>
      <c r="D1074" s="2332">
        <v>0</v>
      </c>
      <c r="E1074" s="2332">
        <v>0</v>
      </c>
      <c r="F1074" s="2332">
        <v>0</v>
      </c>
      <c r="G1074" s="2332">
        <f t="shared" si="214"/>
        <v>0</v>
      </c>
      <c r="H1074" s="2332"/>
      <c r="I1074" s="2332">
        <f>+[6]Salary_Bdgt!$S$190</f>
        <v>0</v>
      </c>
      <c r="J1074" s="2332">
        <v>0</v>
      </c>
      <c r="K1074" s="2333">
        <f t="shared" si="208"/>
        <v>0</v>
      </c>
      <c r="L1074" s="2332">
        <f t="shared" si="215"/>
        <v>0</v>
      </c>
      <c r="M1074" s="2332">
        <f t="shared" si="216"/>
        <v>0</v>
      </c>
    </row>
    <row r="1075" spans="1:13" x14ac:dyDescent="0.2">
      <c r="A1075" s="2329">
        <v>1015</v>
      </c>
      <c r="B1075" s="2258" t="s">
        <v>6948</v>
      </c>
      <c r="C1075" s="2332">
        <v>0</v>
      </c>
      <c r="D1075" s="2332">
        <v>0</v>
      </c>
      <c r="E1075" s="2332">
        <v>0</v>
      </c>
      <c r="F1075" s="2332">
        <v>0</v>
      </c>
      <c r="G1075" s="2332">
        <f t="shared" si="214"/>
        <v>0</v>
      </c>
      <c r="H1075" s="2332"/>
      <c r="I1075" s="2332">
        <f>+[6]Salary_Bdgt!$O$190+[6]Salary_Bdgt!$P$190+[6]Salary_Bdgt!$W$190</f>
        <v>0</v>
      </c>
      <c r="J1075" s="2332">
        <v>0</v>
      </c>
      <c r="K1075" s="2333">
        <f t="shared" si="208"/>
        <v>0</v>
      </c>
      <c r="L1075" s="2332">
        <f t="shared" si="215"/>
        <v>0</v>
      </c>
      <c r="M1075" s="2332">
        <f t="shared" si="216"/>
        <v>0</v>
      </c>
    </row>
    <row r="1076" spans="1:13" x14ac:dyDescent="0.2">
      <c r="A1076" s="2329">
        <v>1016</v>
      </c>
      <c r="B1076" s="2258" t="s">
        <v>6949</v>
      </c>
      <c r="C1076" s="2332">
        <v>0</v>
      </c>
      <c r="D1076" s="2332">
        <v>0</v>
      </c>
      <c r="E1076" s="2332">
        <v>0</v>
      </c>
      <c r="F1076" s="2332">
        <v>13427</v>
      </c>
      <c r="G1076" s="2332">
        <f t="shared" si="214"/>
        <v>16112.400000000001</v>
      </c>
      <c r="H1076" s="2332"/>
      <c r="I1076" s="2332">
        <f>+[6]Salary_Bdgt!$T$190+[6]Salary_Bdgt!$V$190</f>
        <v>1549</v>
      </c>
      <c r="J1076" s="2332">
        <f>[5]Sheet1!$K$651</f>
        <v>527.29999999999995</v>
      </c>
      <c r="K1076" s="2333">
        <f t="shared" si="208"/>
        <v>527.29999999999995</v>
      </c>
      <c r="L1076" s="2332">
        <f t="shared" si="215"/>
        <v>1673</v>
      </c>
      <c r="M1076" s="2332">
        <f t="shared" si="216"/>
        <v>1807</v>
      </c>
    </row>
    <row r="1077" spans="1:13" x14ac:dyDescent="0.2">
      <c r="A1077" s="2329">
        <v>1046</v>
      </c>
      <c r="B1077" s="2258" t="s">
        <v>6951</v>
      </c>
      <c r="C1077" s="2332">
        <v>0</v>
      </c>
      <c r="D1077" s="2332">
        <v>0</v>
      </c>
      <c r="E1077" s="2332">
        <v>0</v>
      </c>
      <c r="F1077" s="2332">
        <v>0</v>
      </c>
      <c r="G1077" s="2332">
        <f t="shared" si="214"/>
        <v>0</v>
      </c>
      <c r="H1077" s="2332"/>
      <c r="I1077" s="2332">
        <f>+[6]Salary_Bdgt!$R$190</f>
        <v>0</v>
      </c>
      <c r="J1077" s="2332">
        <f>[5]Sheet1!$K$652</f>
        <v>35000</v>
      </c>
      <c r="K1077" s="2333">
        <f t="shared" si="208"/>
        <v>35000</v>
      </c>
      <c r="L1077" s="2332">
        <f t="shared" si="215"/>
        <v>0</v>
      </c>
      <c r="M1077" s="2332">
        <f t="shared" si="216"/>
        <v>0</v>
      </c>
    </row>
    <row r="1078" spans="1:13" x14ac:dyDescent="0.2">
      <c r="A1078" s="2353">
        <v>1182</v>
      </c>
      <c r="B1078" s="2258" t="s">
        <v>6952</v>
      </c>
      <c r="C1078" s="2332">
        <v>1996</v>
      </c>
      <c r="D1078" s="2332">
        <v>6406</v>
      </c>
      <c r="E1078" s="2332">
        <f>+D1078</f>
        <v>6406</v>
      </c>
      <c r="F1078" s="2332">
        <v>0</v>
      </c>
      <c r="G1078" s="2332">
        <f t="shared" si="214"/>
        <v>0</v>
      </c>
      <c r="H1078" s="2332"/>
      <c r="I1078" s="2332">
        <f>+[6]Salary_Bdgt!$K$190</f>
        <v>1288</v>
      </c>
      <c r="J1078" s="2332">
        <f>[5]Sheet1!$K$655</f>
        <v>439.22</v>
      </c>
      <c r="K1078" s="2333">
        <f t="shared" si="208"/>
        <v>439.22</v>
      </c>
      <c r="L1078" s="2332">
        <f t="shared" si="215"/>
        <v>1391</v>
      </c>
      <c r="M1078" s="2332">
        <f t="shared" si="216"/>
        <v>1502</v>
      </c>
    </row>
    <row r="1079" spans="1:13" x14ac:dyDescent="0.2">
      <c r="A1079" s="2353">
        <v>1017</v>
      </c>
      <c r="B1079" s="2334" t="s">
        <v>6950</v>
      </c>
      <c r="C1079" s="2335">
        <v>2625</v>
      </c>
      <c r="D1079" s="2335">
        <v>5958</v>
      </c>
      <c r="E1079" s="2335">
        <f>+D1079</f>
        <v>5958</v>
      </c>
      <c r="F1079" s="2335">
        <v>2372</v>
      </c>
      <c r="G1079" s="2335">
        <f t="shared" si="214"/>
        <v>2846.3999999999996</v>
      </c>
      <c r="H1079" s="2335"/>
      <c r="I1079" s="2335">
        <f>+[6]Salary_Bdgt!$J$190</f>
        <v>1385</v>
      </c>
      <c r="J1079" s="2335">
        <f>[5]Sheet1!$K$654</f>
        <v>9828.66</v>
      </c>
      <c r="K1079" s="2336">
        <f t="shared" si="208"/>
        <v>9828.66</v>
      </c>
      <c r="L1079" s="2335">
        <f t="shared" si="215"/>
        <v>1496</v>
      </c>
      <c r="M1079" s="2335">
        <f t="shared" si="216"/>
        <v>1616</v>
      </c>
    </row>
    <row r="1080" spans="1:13" x14ac:dyDescent="0.2">
      <c r="B1080" s="2330" t="s">
        <v>6588</v>
      </c>
      <c r="C1080" s="2349">
        <f t="shared" ref="C1080:M1080" si="217">SUM(C1067:C1079)</f>
        <v>315926</v>
      </c>
      <c r="D1080" s="2349">
        <f t="shared" si="217"/>
        <v>437649</v>
      </c>
      <c r="E1080" s="2349">
        <f t="shared" si="217"/>
        <v>437649</v>
      </c>
      <c r="F1080" s="2349">
        <f t="shared" si="217"/>
        <v>505133</v>
      </c>
      <c r="G1080" s="2349">
        <f t="shared" si="217"/>
        <v>606159.60000000009</v>
      </c>
      <c r="H1080" s="2349"/>
      <c r="I1080" s="2349">
        <f t="shared" si="217"/>
        <v>98145</v>
      </c>
      <c r="J1080" s="2349">
        <f>SUM(J1067:J1079)</f>
        <v>1008378.7000000001</v>
      </c>
      <c r="K1080" s="2333">
        <f t="shared" si="208"/>
        <v>1008378.7000000001</v>
      </c>
      <c r="L1080" s="2349">
        <f t="shared" si="217"/>
        <v>105998</v>
      </c>
      <c r="M1080" s="2349">
        <f t="shared" si="217"/>
        <v>114478</v>
      </c>
    </row>
    <row r="1081" spans="1:13" x14ac:dyDescent="0.2">
      <c r="B1081" s="2330"/>
      <c r="C1081" s="2332"/>
      <c r="D1081" s="2332"/>
      <c r="E1081" s="2332"/>
      <c r="F1081" s="2391"/>
      <c r="G1081" s="2332"/>
      <c r="H1081" s="2332"/>
      <c r="I1081" s="2332"/>
      <c r="J1081" s="2332">
        <f>J1080-[5]Sheet1!$K$659</f>
        <v>0</v>
      </c>
      <c r="K1081" s="2333">
        <f t="shared" si="208"/>
        <v>0</v>
      </c>
      <c r="L1081" s="2332"/>
      <c r="M1081" s="2332"/>
    </row>
    <row r="1082" spans="1:13" x14ac:dyDescent="0.2">
      <c r="B1082" s="2330" t="s">
        <v>6953</v>
      </c>
      <c r="C1082" s="2332"/>
      <c r="D1082" s="2332"/>
      <c r="E1082" s="2332"/>
      <c r="G1082" s="2332"/>
      <c r="H1082" s="2332"/>
      <c r="I1082" s="2332"/>
      <c r="J1082" s="2332"/>
      <c r="K1082" s="2333">
        <f t="shared" si="208"/>
        <v>0</v>
      </c>
      <c r="L1082" s="2332"/>
      <c r="M1082" s="2332"/>
    </row>
    <row r="1083" spans="1:13" x14ac:dyDescent="0.2">
      <c r="A1083" s="2353">
        <v>3207</v>
      </c>
      <c r="B1083" s="2334" t="s">
        <v>6954</v>
      </c>
      <c r="C1083" s="2335">
        <v>0</v>
      </c>
      <c r="D1083" s="2335">
        <v>1050</v>
      </c>
      <c r="E1083" s="2335">
        <v>1050</v>
      </c>
      <c r="F1083" s="2335">
        <v>1000</v>
      </c>
      <c r="G1083" s="2335">
        <f>F1083/$F$11*$G$11</f>
        <v>1200</v>
      </c>
      <c r="H1083" s="2335"/>
      <c r="I1083" s="2335">
        <v>0</v>
      </c>
      <c r="J1083" s="2335"/>
      <c r="K1083" s="2336">
        <f t="shared" si="208"/>
        <v>0</v>
      </c>
      <c r="L1083" s="2335">
        <f>ROUND(I1083*1.06,0)</f>
        <v>0</v>
      </c>
      <c r="M1083" s="2335">
        <f>ROUND(L1083*1.06,0)</f>
        <v>0</v>
      </c>
    </row>
    <row r="1084" spans="1:13" x14ac:dyDescent="0.2">
      <c r="B1084" s="2330" t="s">
        <v>6956</v>
      </c>
      <c r="C1084" s="2349">
        <f>SUM(C1083:C1083)</f>
        <v>0</v>
      </c>
      <c r="D1084" s="2349">
        <f t="shared" ref="D1084:M1084" si="218">SUM(D1083:D1083)</f>
        <v>1050</v>
      </c>
      <c r="E1084" s="2349">
        <f t="shared" si="218"/>
        <v>1050</v>
      </c>
      <c r="F1084" s="2349">
        <f t="shared" si="218"/>
        <v>1000</v>
      </c>
      <c r="G1084" s="2349">
        <f t="shared" si="218"/>
        <v>1200</v>
      </c>
      <c r="H1084" s="2349"/>
      <c r="I1084" s="2349">
        <f t="shared" si="218"/>
        <v>0</v>
      </c>
      <c r="J1084" s="2349"/>
      <c r="K1084" s="2333">
        <f t="shared" si="208"/>
        <v>0</v>
      </c>
      <c r="L1084" s="2349">
        <f t="shared" si="218"/>
        <v>0</v>
      </c>
      <c r="M1084" s="2349">
        <f t="shared" si="218"/>
        <v>0</v>
      </c>
    </row>
    <row r="1085" spans="1:13" x14ac:dyDescent="0.2">
      <c r="B1085" s="2330"/>
      <c r="C1085" s="2332"/>
      <c r="D1085" s="2332"/>
      <c r="E1085" s="2332"/>
      <c r="F1085" s="2309"/>
      <c r="G1085" s="2332"/>
      <c r="H1085" s="2332"/>
      <c r="I1085" s="2332"/>
      <c r="J1085" s="2332"/>
      <c r="K1085" s="2333">
        <f t="shared" si="208"/>
        <v>0</v>
      </c>
      <c r="L1085" s="2332"/>
      <c r="M1085" s="2332"/>
    </row>
    <row r="1086" spans="1:13" x14ac:dyDescent="0.2">
      <c r="B1086" s="2330" t="s">
        <v>6599</v>
      </c>
      <c r="C1086" s="2332"/>
      <c r="D1086" s="2332"/>
      <c r="E1086" s="2332"/>
      <c r="F1086" s="2309"/>
      <c r="G1086" s="2332"/>
      <c r="H1086" s="2332"/>
      <c r="I1086" s="2332"/>
      <c r="J1086" s="2332"/>
      <c r="K1086" s="2333">
        <f t="shared" si="208"/>
        <v>0</v>
      </c>
      <c r="L1086" s="2332"/>
      <c r="M1086" s="2332"/>
    </row>
    <row r="1087" spans="1:13" x14ac:dyDescent="0.2">
      <c r="A1087" s="2329">
        <v>2113</v>
      </c>
      <c r="B1087" s="2258" t="s">
        <v>6958</v>
      </c>
      <c r="C1087" s="2332">
        <v>56</v>
      </c>
      <c r="D1087" s="2332">
        <v>5250</v>
      </c>
      <c r="E1087" s="2332">
        <v>5250</v>
      </c>
      <c r="F1087" s="2332">
        <v>543</v>
      </c>
      <c r="G1087" s="2332">
        <f t="shared" ref="G1087:G1094" si="219">F1087/$F$11*$G$11</f>
        <v>651.59999999999991</v>
      </c>
      <c r="H1087" s="2332"/>
      <c r="I1087" s="2332">
        <f>ROUND(E1087*1.05,0)</f>
        <v>5513</v>
      </c>
      <c r="J1087" s="2332">
        <f>[5]Sheet1!$K$662</f>
        <v>1879.98</v>
      </c>
      <c r="K1087" s="2333">
        <f t="shared" si="208"/>
        <v>1879.98</v>
      </c>
      <c r="L1087" s="2332">
        <f t="shared" ref="L1087:L1094" si="220">ROUND(I1087*1.06,0)</f>
        <v>5844</v>
      </c>
      <c r="M1087" s="2332">
        <f t="shared" ref="M1087:M1094" si="221">ROUND(L1087*1.06,0)</f>
        <v>6195</v>
      </c>
    </row>
    <row r="1088" spans="1:13" x14ac:dyDescent="0.2">
      <c r="A1088" s="2329">
        <v>2207</v>
      </c>
      <c r="B1088" s="2258" t="s">
        <v>7008</v>
      </c>
      <c r="C1088" s="2332">
        <v>0</v>
      </c>
      <c r="D1088" s="2332">
        <v>1050</v>
      </c>
      <c r="E1088" s="2332">
        <v>1050</v>
      </c>
      <c r="F1088" s="2332">
        <v>0</v>
      </c>
      <c r="G1088" s="2332">
        <f t="shared" si="219"/>
        <v>0</v>
      </c>
      <c r="H1088" s="2332"/>
      <c r="I1088" s="2332">
        <v>0</v>
      </c>
      <c r="J1088" s="2332">
        <f>[5]Sheet1!$K$663</f>
        <v>0</v>
      </c>
      <c r="K1088" s="2333">
        <f t="shared" si="208"/>
        <v>0</v>
      </c>
      <c r="L1088" s="2332">
        <f t="shared" si="220"/>
        <v>0</v>
      </c>
      <c r="M1088" s="2332">
        <f t="shared" si="221"/>
        <v>0</v>
      </c>
    </row>
    <row r="1089" spans="1:13" x14ac:dyDescent="0.2">
      <c r="A1089" s="2329">
        <v>2212</v>
      </c>
      <c r="B1089" s="2258" t="s">
        <v>6963</v>
      </c>
      <c r="C1089" s="2332">
        <v>0</v>
      </c>
      <c r="D1089" s="2332">
        <v>1050</v>
      </c>
      <c r="E1089" s="2332">
        <v>1050</v>
      </c>
      <c r="F1089" s="2332">
        <v>0</v>
      </c>
      <c r="G1089" s="2332">
        <f t="shared" si="219"/>
        <v>0</v>
      </c>
      <c r="H1089" s="2332"/>
      <c r="I1089" s="2332">
        <f>ROUND(E1089*1.05,0)</f>
        <v>1103</v>
      </c>
      <c r="J1089" s="2332">
        <f>[5]Sheet1!$K$664</f>
        <v>414.66</v>
      </c>
      <c r="K1089" s="2333">
        <f t="shared" si="208"/>
        <v>414.66</v>
      </c>
      <c r="L1089" s="2332">
        <f t="shared" si="220"/>
        <v>1169</v>
      </c>
      <c r="M1089" s="2332">
        <f t="shared" si="221"/>
        <v>1239</v>
      </c>
    </row>
    <row r="1090" spans="1:13" x14ac:dyDescent="0.2">
      <c r="A1090" s="2353">
        <v>2227</v>
      </c>
      <c r="B1090" s="2258" t="s">
        <v>231</v>
      </c>
      <c r="C1090" s="2332">
        <v>1579</v>
      </c>
      <c r="D1090" s="2332">
        <v>1050</v>
      </c>
      <c r="E1090" s="2332">
        <v>1050</v>
      </c>
      <c r="F1090" s="2332">
        <v>160</v>
      </c>
      <c r="G1090" s="2332">
        <f t="shared" si="219"/>
        <v>192</v>
      </c>
      <c r="H1090" s="2332"/>
      <c r="I1090" s="2332">
        <f>ROUND(E1090*1.05,0)</f>
        <v>1103</v>
      </c>
      <c r="J1090" s="2332">
        <f>[5]Sheet1!$K$665</f>
        <v>375.06</v>
      </c>
      <c r="K1090" s="2333">
        <f t="shared" si="208"/>
        <v>375.06</v>
      </c>
      <c r="L1090" s="2332">
        <f t="shared" si="220"/>
        <v>1169</v>
      </c>
      <c r="M1090" s="2332">
        <f t="shared" si="221"/>
        <v>1239</v>
      </c>
    </row>
    <row r="1091" spans="1:13" x14ac:dyDescent="0.2">
      <c r="A1091" s="2329">
        <v>2233</v>
      </c>
      <c r="B1091" s="2258" t="s">
        <v>6966</v>
      </c>
      <c r="C1091" s="2332">
        <v>730</v>
      </c>
      <c r="D1091" s="2332">
        <v>5250</v>
      </c>
      <c r="E1091" s="2332">
        <v>5250</v>
      </c>
      <c r="F1091" s="2332">
        <v>0</v>
      </c>
      <c r="G1091" s="2332">
        <f t="shared" si="219"/>
        <v>0</v>
      </c>
      <c r="H1091" s="2332"/>
      <c r="I1091" s="2332">
        <v>0</v>
      </c>
      <c r="J1091" s="2332">
        <v>0</v>
      </c>
      <c r="K1091" s="2333">
        <f t="shared" si="208"/>
        <v>0</v>
      </c>
      <c r="L1091" s="2332">
        <f t="shared" si="220"/>
        <v>0</v>
      </c>
      <c r="M1091" s="2332">
        <f t="shared" si="221"/>
        <v>0</v>
      </c>
    </row>
    <row r="1092" spans="1:13" x14ac:dyDescent="0.2">
      <c r="A1092" s="2329">
        <v>2238</v>
      </c>
      <c r="B1092" s="2258" t="s">
        <v>6967</v>
      </c>
      <c r="C1092" s="2332">
        <v>0</v>
      </c>
      <c r="D1092" s="2332">
        <v>1050</v>
      </c>
      <c r="E1092" s="2332">
        <v>1050</v>
      </c>
      <c r="F1092" s="2332">
        <v>18529</v>
      </c>
      <c r="G1092" s="2332">
        <f t="shared" si="219"/>
        <v>22234.800000000003</v>
      </c>
      <c r="H1092" s="2332"/>
      <c r="I1092" s="2332">
        <f>ROUND(E1092*1.05,0)</f>
        <v>1103</v>
      </c>
      <c r="J1092" s="2332">
        <f>[5]Sheet1!$K$667</f>
        <v>56940.400000000009</v>
      </c>
      <c r="K1092" s="2333">
        <f t="shared" si="208"/>
        <v>56940.400000000009</v>
      </c>
      <c r="L1092" s="2332">
        <f t="shared" si="220"/>
        <v>1169</v>
      </c>
      <c r="M1092" s="2332">
        <f t="shared" si="221"/>
        <v>1239</v>
      </c>
    </row>
    <row r="1093" spans="1:13" x14ac:dyDescent="0.2">
      <c r="A1093" s="2329">
        <v>2246</v>
      </c>
      <c r="B1093" s="2258" t="s">
        <v>6968</v>
      </c>
      <c r="C1093" s="2332">
        <v>0</v>
      </c>
      <c r="D1093" s="2332">
        <v>2100</v>
      </c>
      <c r="E1093" s="2332">
        <v>2100</v>
      </c>
      <c r="F1093" s="2332">
        <v>0</v>
      </c>
      <c r="G1093" s="2332">
        <f t="shared" si="219"/>
        <v>0</v>
      </c>
      <c r="H1093" s="2332"/>
      <c r="I1093" s="2332">
        <f>ROUND(E1093*1.05,0)</f>
        <v>2205</v>
      </c>
      <c r="J1093" s="2332">
        <f>[5]Sheet1!$K$668</f>
        <v>752.46</v>
      </c>
      <c r="K1093" s="2333">
        <f t="shared" si="208"/>
        <v>752.46</v>
      </c>
      <c r="L1093" s="2332">
        <f t="shared" si="220"/>
        <v>2337</v>
      </c>
      <c r="M1093" s="2332">
        <f t="shared" si="221"/>
        <v>2477</v>
      </c>
    </row>
    <row r="1094" spans="1:13" x14ac:dyDescent="0.2">
      <c r="A1094" s="2353">
        <v>2305</v>
      </c>
      <c r="B1094" s="2334" t="s">
        <v>6970</v>
      </c>
      <c r="C1094" s="2335">
        <v>79</v>
      </c>
      <c r="D1094" s="2335">
        <v>1050</v>
      </c>
      <c r="E1094" s="2335">
        <v>1050</v>
      </c>
      <c r="F1094" s="2335">
        <v>2457</v>
      </c>
      <c r="G1094" s="2335">
        <f t="shared" si="219"/>
        <v>2948.3999999999996</v>
      </c>
      <c r="H1094" s="2335"/>
      <c r="I1094" s="2335">
        <f>ROUND(E1094*1.05,0)</f>
        <v>1103</v>
      </c>
      <c r="J1094" s="2335">
        <f>[5]Sheet1!$K$669</f>
        <v>505.52</v>
      </c>
      <c r="K1094" s="2336">
        <f t="shared" si="208"/>
        <v>505.52</v>
      </c>
      <c r="L1094" s="2335">
        <f t="shared" si="220"/>
        <v>1169</v>
      </c>
      <c r="M1094" s="2335">
        <f t="shared" si="221"/>
        <v>1239</v>
      </c>
    </row>
    <row r="1095" spans="1:13" x14ac:dyDescent="0.2">
      <c r="B1095" s="2330" t="s">
        <v>6614</v>
      </c>
      <c r="C1095" s="2349">
        <f t="shared" ref="C1095:M1095" si="222">SUM(C1087:C1094)</f>
        <v>2444</v>
      </c>
      <c r="D1095" s="2349">
        <f t="shared" si="222"/>
        <v>17850</v>
      </c>
      <c r="E1095" s="2349">
        <f t="shared" si="222"/>
        <v>17850</v>
      </c>
      <c r="F1095" s="2349">
        <f t="shared" si="222"/>
        <v>21689</v>
      </c>
      <c r="G1095" s="2349">
        <f t="shared" si="222"/>
        <v>26026.800000000003</v>
      </c>
      <c r="H1095" s="2349"/>
      <c r="I1095" s="2349">
        <f t="shared" si="222"/>
        <v>12130</v>
      </c>
      <c r="J1095" s="2349">
        <f>SUM(J1087:J1094)</f>
        <v>60868.08</v>
      </c>
      <c r="K1095" s="2333">
        <f t="shared" si="208"/>
        <v>60868.08</v>
      </c>
      <c r="L1095" s="2349">
        <f t="shared" si="222"/>
        <v>12857</v>
      </c>
      <c r="M1095" s="2349">
        <f t="shared" si="222"/>
        <v>13628</v>
      </c>
    </row>
    <row r="1096" spans="1:13" x14ac:dyDescent="0.2">
      <c r="B1096" s="2338"/>
      <c r="C1096" s="2380"/>
      <c r="D1096" s="2380"/>
      <c r="E1096" s="2380"/>
      <c r="F1096" s="2380"/>
      <c r="G1096" s="2380"/>
      <c r="H1096" s="2380"/>
      <c r="I1096" s="2380"/>
      <c r="J1096" s="2380">
        <f>J1095-[5]Sheet1!$K$670</f>
        <v>0</v>
      </c>
      <c r="K1096" s="2336">
        <f t="shared" si="208"/>
        <v>0</v>
      </c>
      <c r="L1096" s="2380"/>
      <c r="M1096" s="2380"/>
    </row>
    <row r="1097" spans="1:13" x14ac:dyDescent="0.2">
      <c r="B1097" s="2330" t="s">
        <v>6972</v>
      </c>
      <c r="C1097" s="2351">
        <f t="shared" ref="C1097:M1097" si="223">C1080+C1084+C1095</f>
        <v>318370</v>
      </c>
      <c r="D1097" s="2351">
        <f t="shared" si="223"/>
        <v>456549</v>
      </c>
      <c r="E1097" s="2351">
        <f t="shared" si="223"/>
        <v>456549</v>
      </c>
      <c r="F1097" s="2351">
        <f t="shared" si="223"/>
        <v>527822</v>
      </c>
      <c r="G1097" s="2351">
        <f t="shared" si="223"/>
        <v>633386.40000000014</v>
      </c>
      <c r="H1097" s="2351"/>
      <c r="I1097" s="2351">
        <f t="shared" si="223"/>
        <v>110275</v>
      </c>
      <c r="J1097" s="2351">
        <f t="shared" si="223"/>
        <v>1069246.78</v>
      </c>
      <c r="K1097" s="2333">
        <f t="shared" si="208"/>
        <v>1069246.78</v>
      </c>
      <c r="L1097" s="2351">
        <f t="shared" si="223"/>
        <v>118855</v>
      </c>
      <c r="M1097" s="2351">
        <f t="shared" si="223"/>
        <v>128106</v>
      </c>
    </row>
    <row r="1098" spans="1:13" x14ac:dyDescent="0.2">
      <c r="B1098" s="2330"/>
      <c r="C1098" s="2364"/>
      <c r="D1098" s="2364"/>
      <c r="E1098" s="2364"/>
      <c r="G1098" s="2332"/>
      <c r="H1098" s="2332"/>
      <c r="I1098" s="2332"/>
      <c r="J1098" s="2332"/>
      <c r="K1098" s="2333">
        <f t="shared" si="208"/>
        <v>0</v>
      </c>
      <c r="L1098" s="2364"/>
      <c r="M1098" s="2364"/>
    </row>
    <row r="1099" spans="1:13" x14ac:dyDescent="0.2">
      <c r="B1099" s="2330" t="s">
        <v>6974</v>
      </c>
      <c r="C1099" s="2364"/>
      <c r="D1099" s="2364"/>
      <c r="E1099" s="2364"/>
      <c r="G1099" s="2332"/>
      <c r="H1099" s="2332"/>
      <c r="I1099" s="2332"/>
      <c r="J1099" s="2332"/>
      <c r="K1099" s="2333">
        <f t="shared" si="208"/>
        <v>0</v>
      </c>
      <c r="L1099" s="2364"/>
      <c r="M1099" s="2364"/>
    </row>
    <row r="1100" spans="1:13" x14ac:dyDescent="0.2">
      <c r="A1100" s="2353">
        <v>4204</v>
      </c>
      <c r="B1100" s="2258" t="s">
        <v>6976</v>
      </c>
      <c r="C1100" s="2364">
        <v>0</v>
      </c>
      <c r="D1100" s="2332">
        <v>6336</v>
      </c>
      <c r="E1100" s="2332">
        <v>6336</v>
      </c>
      <c r="F1100" s="2332">
        <v>0</v>
      </c>
      <c r="G1100" s="2332">
        <f>F1100/$F$11*$G$11</f>
        <v>0</v>
      </c>
      <c r="H1100" s="2332"/>
      <c r="I1100" s="2332">
        <f>ROUND(E1100*1.05,0)</f>
        <v>6653</v>
      </c>
      <c r="J1100" s="2332">
        <f>[5]Sheet1!$K$678</f>
        <v>176020.76</v>
      </c>
      <c r="K1100" s="2333">
        <f t="shared" si="208"/>
        <v>176020.76</v>
      </c>
      <c r="L1100" s="2332">
        <f>ROUND(I1100*1.05,0)</f>
        <v>6986</v>
      </c>
      <c r="M1100" s="2332">
        <f>ROUND(L1100*1.05,0)</f>
        <v>7335</v>
      </c>
    </row>
    <row r="1101" spans="1:13" x14ac:dyDescent="0.2">
      <c r="A1101" s="2353">
        <v>4207</v>
      </c>
      <c r="B1101" s="2334" t="s">
        <v>6977</v>
      </c>
      <c r="C1101" s="2397">
        <v>0</v>
      </c>
      <c r="D1101" s="2335">
        <v>8885</v>
      </c>
      <c r="E1101" s="2335">
        <v>8885</v>
      </c>
      <c r="F1101" s="2335">
        <v>0</v>
      </c>
      <c r="G1101" s="2335">
        <f>F1101/$F$11*$G$11</f>
        <v>0</v>
      </c>
      <c r="H1101" s="2335"/>
      <c r="I1101" s="2335">
        <f>ROUND(E1101*1.05,0)</f>
        <v>9329</v>
      </c>
      <c r="J1101" s="2335">
        <f>[5]Sheet1!$K$679</f>
        <v>26176.800000000003</v>
      </c>
      <c r="K1101" s="2336">
        <f t="shared" si="208"/>
        <v>26176.800000000003</v>
      </c>
      <c r="L1101" s="2335">
        <f>ROUND(I1101*1.05,0)</f>
        <v>9795</v>
      </c>
      <c r="M1101" s="2335">
        <f>ROUND(L1101*1.05,0)</f>
        <v>10285</v>
      </c>
    </row>
    <row r="1102" spans="1:13" x14ac:dyDescent="0.2">
      <c r="B1102" s="2330" t="s">
        <v>6979</v>
      </c>
      <c r="C1102" s="2349">
        <f t="shared" ref="C1102:M1102" si="224">SUM(C1100:C1101)</f>
        <v>0</v>
      </c>
      <c r="D1102" s="2349">
        <f t="shared" si="224"/>
        <v>15221</v>
      </c>
      <c r="E1102" s="2349">
        <f t="shared" si="224"/>
        <v>15221</v>
      </c>
      <c r="F1102" s="2349">
        <f t="shared" si="224"/>
        <v>0</v>
      </c>
      <c r="G1102" s="2349">
        <f t="shared" si="224"/>
        <v>0</v>
      </c>
      <c r="H1102" s="2349"/>
      <c r="I1102" s="2349">
        <f t="shared" si="224"/>
        <v>15982</v>
      </c>
      <c r="J1102" s="2349">
        <f>J1100+J1101</f>
        <v>202197.56</v>
      </c>
      <c r="K1102" s="2333">
        <f t="shared" si="208"/>
        <v>202197.56</v>
      </c>
      <c r="L1102" s="2349">
        <f t="shared" si="224"/>
        <v>16781</v>
      </c>
      <c r="M1102" s="2349">
        <f t="shared" si="224"/>
        <v>17620</v>
      </c>
    </row>
    <row r="1103" spans="1:13" x14ac:dyDescent="0.2">
      <c r="B1103" s="2330"/>
      <c r="C1103" s="2364"/>
      <c r="D1103" s="2364"/>
      <c r="E1103" s="2364"/>
      <c r="F1103" s="2364"/>
      <c r="G1103" s="2364"/>
      <c r="H1103" s="2364"/>
      <c r="I1103" s="2364"/>
      <c r="J1103" s="2364">
        <f>J1102-[5]Sheet1!$K$680</f>
        <v>0</v>
      </c>
      <c r="K1103" s="2333">
        <f t="shared" si="208"/>
        <v>0</v>
      </c>
      <c r="L1103" s="2364"/>
      <c r="M1103" s="2364"/>
    </row>
    <row r="1104" spans="1:13" ht="13.5" thickBot="1" x14ac:dyDescent="0.25">
      <c r="B1104" s="2342" t="s">
        <v>6980</v>
      </c>
      <c r="C1104" s="2354">
        <f t="shared" ref="C1104:M1104" si="225">C1097+C1102</f>
        <v>318370</v>
      </c>
      <c r="D1104" s="2354">
        <f t="shared" si="225"/>
        <v>471770</v>
      </c>
      <c r="E1104" s="2354">
        <f t="shared" si="225"/>
        <v>471770</v>
      </c>
      <c r="F1104" s="2354">
        <f t="shared" si="225"/>
        <v>527822</v>
      </c>
      <c r="G1104" s="2354">
        <f t="shared" si="225"/>
        <v>633386.40000000014</v>
      </c>
      <c r="H1104" s="2354"/>
      <c r="I1104" s="2354">
        <f t="shared" si="225"/>
        <v>126257</v>
      </c>
      <c r="J1104" s="2354">
        <f>J1097+J1102</f>
        <v>1271444.3400000001</v>
      </c>
      <c r="K1104" s="2344">
        <f t="shared" si="208"/>
        <v>1271444.3400000001</v>
      </c>
      <c r="L1104" s="2354">
        <f t="shared" si="225"/>
        <v>135636</v>
      </c>
      <c r="M1104" s="2354">
        <f t="shared" si="225"/>
        <v>145726</v>
      </c>
    </row>
    <row r="1105" spans="1:13" ht="13.5" thickTop="1" x14ac:dyDescent="0.2">
      <c r="B1105" s="2330"/>
      <c r="C1105" s="2349"/>
      <c r="D1105" s="2349"/>
      <c r="E1105" s="2349"/>
      <c r="F1105" s="2349"/>
      <c r="G1105" s="2349"/>
      <c r="H1105" s="2349"/>
      <c r="I1105" s="2349"/>
      <c r="J1105" s="2349"/>
      <c r="K1105" s="2333">
        <f t="shared" si="208"/>
        <v>0</v>
      </c>
      <c r="L1105" s="2349"/>
      <c r="M1105" s="2349"/>
    </row>
    <row r="1106" spans="1:13" ht="13.5" thickBot="1" x14ac:dyDescent="0.25">
      <c r="B1106" s="2342" t="s">
        <v>6624</v>
      </c>
      <c r="C1106" s="2355">
        <f t="shared" ref="C1106:M1106" si="226">-C1104</f>
        <v>-318370</v>
      </c>
      <c r="D1106" s="2355">
        <f t="shared" si="226"/>
        <v>-471770</v>
      </c>
      <c r="E1106" s="2355">
        <f t="shared" si="226"/>
        <v>-471770</v>
      </c>
      <c r="F1106" s="2355">
        <f t="shared" si="226"/>
        <v>-527822</v>
      </c>
      <c r="G1106" s="2355">
        <f t="shared" si="226"/>
        <v>-633386.40000000014</v>
      </c>
      <c r="H1106" s="2355"/>
      <c r="I1106" s="2355">
        <f t="shared" si="226"/>
        <v>-126257</v>
      </c>
      <c r="J1106" s="2355">
        <f>-J1104</f>
        <v>-1271444.3400000001</v>
      </c>
      <c r="K1106" s="2344">
        <f t="shared" si="208"/>
        <v>-1271444.3400000001</v>
      </c>
      <c r="L1106" s="2355">
        <f t="shared" si="226"/>
        <v>-135636</v>
      </c>
      <c r="M1106" s="2355">
        <f t="shared" si="226"/>
        <v>-145726</v>
      </c>
    </row>
    <row r="1107" spans="1:13" ht="13.5" thickTop="1" x14ac:dyDescent="0.2">
      <c r="B1107" s="2330"/>
      <c r="C1107" s="2356"/>
      <c r="D1107" s="2356"/>
      <c r="E1107" s="2356"/>
      <c r="G1107" s="2332"/>
      <c r="H1107" s="2332"/>
      <c r="I1107" s="2332"/>
      <c r="J1107" s="2332"/>
      <c r="K1107" s="2333">
        <f t="shared" si="208"/>
        <v>0</v>
      </c>
      <c r="L1107" s="2356"/>
      <c r="M1107" s="2356"/>
    </row>
    <row r="1108" spans="1:13" x14ac:dyDescent="0.2">
      <c r="A1108" s="2369"/>
      <c r="B1108" s="2369"/>
      <c r="C1108" s="2369"/>
      <c r="D1108" s="2369"/>
      <c r="E1108" s="2369"/>
      <c r="G1108" s="2332"/>
      <c r="H1108" s="2332"/>
      <c r="I1108" s="2332"/>
      <c r="J1108" s="2332"/>
      <c r="K1108" s="2333">
        <f t="shared" si="208"/>
        <v>0</v>
      </c>
      <c r="L1108" s="2369"/>
      <c r="M1108" s="2369"/>
    </row>
    <row r="1109" spans="1:13" ht="15" x14ac:dyDescent="0.25">
      <c r="A1109" s="2365">
        <v>1420</v>
      </c>
      <c r="B1109" s="2326" t="s">
        <v>7155</v>
      </c>
      <c r="C1109" s="2326"/>
      <c r="D1109" s="2326"/>
      <c r="E1109" s="2326"/>
      <c r="G1109" s="2332"/>
      <c r="H1109" s="2332"/>
      <c r="I1109" s="2332"/>
      <c r="J1109" s="2332"/>
      <c r="K1109" s="2333">
        <f t="shared" ref="K1109:K1172" si="227">J1109</f>
        <v>0</v>
      </c>
    </row>
    <row r="1110" spans="1:13" ht="15" x14ac:dyDescent="0.25">
      <c r="B1110" s="2326"/>
      <c r="C1110" s="2326"/>
      <c r="D1110" s="2326"/>
      <c r="E1110" s="2326"/>
      <c r="G1110" s="2332"/>
      <c r="H1110" s="2332"/>
      <c r="I1110" s="2332"/>
      <c r="J1110" s="2332"/>
      <c r="K1110" s="2333">
        <f t="shared" si="227"/>
        <v>0</v>
      </c>
    </row>
    <row r="1111" spans="1:13" x14ac:dyDescent="0.2">
      <c r="B1111" s="2328" t="s">
        <v>247</v>
      </c>
      <c r="C1111" s="2328"/>
      <c r="D1111" s="2328"/>
      <c r="E1111" s="2328"/>
      <c r="G1111" s="2332"/>
      <c r="H1111" s="2332"/>
      <c r="I1111" s="2332"/>
      <c r="J1111" s="2332"/>
      <c r="K1111" s="2333">
        <f t="shared" si="227"/>
        <v>0</v>
      </c>
    </row>
    <row r="1112" spans="1:13" x14ac:dyDescent="0.2">
      <c r="B1112" s="2323"/>
      <c r="C1112" s="2323"/>
      <c r="D1112" s="2323"/>
      <c r="E1112" s="2323"/>
      <c r="G1112" s="2332"/>
      <c r="H1112" s="2332"/>
      <c r="I1112" s="2332"/>
      <c r="J1112" s="2332"/>
      <c r="K1112" s="2333">
        <f t="shared" si="227"/>
        <v>0</v>
      </c>
    </row>
    <row r="1113" spans="1:13" x14ac:dyDescent="0.2">
      <c r="B1113" s="2330" t="s">
        <v>6789</v>
      </c>
      <c r="C1113" s="2375"/>
      <c r="D1113" s="2375"/>
      <c r="E1113" s="2375"/>
      <c r="F1113" s="2309"/>
      <c r="G1113" s="2332"/>
      <c r="H1113" s="2332"/>
      <c r="I1113" s="2332"/>
      <c r="J1113" s="2332"/>
      <c r="K1113" s="2333">
        <f t="shared" si="227"/>
        <v>0</v>
      </c>
      <c r="L1113" s="2375"/>
      <c r="M1113" s="2375"/>
    </row>
    <row r="1114" spans="1:13" x14ac:dyDescent="0.2">
      <c r="A1114" s="2353">
        <v>5631</v>
      </c>
      <c r="B1114" s="2334" t="s">
        <v>7156</v>
      </c>
      <c r="C1114" s="2335">
        <v>11</v>
      </c>
      <c r="D1114" s="2335">
        <v>525</v>
      </c>
      <c r="E1114" s="2335">
        <v>525</v>
      </c>
      <c r="F1114" s="2335">
        <v>0</v>
      </c>
      <c r="G1114" s="2335">
        <f>F1114/$F$11*$G$11</f>
        <v>0</v>
      </c>
      <c r="H1114" s="2335"/>
      <c r="I1114" s="2335">
        <v>0</v>
      </c>
      <c r="J1114" s="2335">
        <f>[5]Sheet1!$K$684</f>
        <v>0</v>
      </c>
      <c r="K1114" s="2336">
        <f t="shared" si="227"/>
        <v>0</v>
      </c>
      <c r="L1114" s="2335">
        <f>ROUND(I1114*1.05,0)</f>
        <v>0</v>
      </c>
      <c r="M1114" s="2335">
        <f>ROUND(L1114*1.05,0)</f>
        <v>0</v>
      </c>
    </row>
    <row r="1115" spans="1:13" x14ac:dyDescent="0.2">
      <c r="B1115" s="2330" t="s">
        <v>6749</v>
      </c>
      <c r="C1115" s="2376">
        <f t="shared" ref="C1115:M1115" si="228">SUM(C1114)</f>
        <v>11</v>
      </c>
      <c r="D1115" s="2376">
        <f t="shared" si="228"/>
        <v>525</v>
      </c>
      <c r="E1115" s="2376">
        <f t="shared" si="228"/>
        <v>525</v>
      </c>
      <c r="F1115" s="2376">
        <f t="shared" si="228"/>
        <v>0</v>
      </c>
      <c r="G1115" s="2376">
        <f t="shared" si="228"/>
        <v>0</v>
      </c>
      <c r="H1115" s="2376"/>
      <c r="I1115" s="2376">
        <f t="shared" si="228"/>
        <v>0</v>
      </c>
      <c r="J1115" s="2376">
        <v>0</v>
      </c>
      <c r="K1115" s="2333">
        <f t="shared" si="227"/>
        <v>0</v>
      </c>
      <c r="L1115" s="2376">
        <f t="shared" si="228"/>
        <v>0</v>
      </c>
      <c r="M1115" s="2376">
        <f t="shared" si="228"/>
        <v>0</v>
      </c>
    </row>
    <row r="1116" spans="1:13" x14ac:dyDescent="0.2">
      <c r="B1116" s="2330"/>
      <c r="C1116" s="2375"/>
      <c r="D1116" s="2375"/>
      <c r="E1116" s="2375"/>
      <c r="G1116" s="2332"/>
      <c r="H1116" s="2332"/>
      <c r="I1116" s="2332"/>
      <c r="J1116" s="2332"/>
      <c r="K1116" s="2333">
        <f t="shared" si="227"/>
        <v>0</v>
      </c>
      <c r="L1116" s="2375"/>
      <c r="M1116" s="2375"/>
    </row>
    <row r="1117" spans="1:13" x14ac:dyDescent="0.2">
      <c r="B1117" s="2330" t="s">
        <v>1637</v>
      </c>
      <c r="C1117" s="2375"/>
      <c r="D1117" s="2375"/>
      <c r="E1117" s="2375"/>
      <c r="G1117" s="2332"/>
      <c r="H1117" s="2332"/>
      <c r="I1117" s="2332"/>
      <c r="J1117" s="2332"/>
      <c r="K1117" s="2333">
        <f t="shared" si="227"/>
        <v>0</v>
      </c>
      <c r="L1117" s="2375"/>
      <c r="M1117" s="2375"/>
    </row>
    <row r="1118" spans="1:13" x14ac:dyDescent="0.2">
      <c r="A1118" s="2353">
        <v>5634</v>
      </c>
      <c r="B1118" s="2258" t="s">
        <v>7035</v>
      </c>
      <c r="C1118" s="2375">
        <v>144</v>
      </c>
      <c r="D1118" s="2375">
        <v>0</v>
      </c>
      <c r="E1118" s="2375">
        <v>0</v>
      </c>
      <c r="F1118" s="2375">
        <v>25</v>
      </c>
      <c r="G1118" s="2332">
        <f>F1118/$F$11*$G$11</f>
        <v>30</v>
      </c>
      <c r="H1118" s="2332"/>
      <c r="I1118" s="2332">
        <f>ROUND(G1118*1.1,0)</f>
        <v>33</v>
      </c>
      <c r="J1118" s="2332">
        <f>-[5]Sheet1!$K$692</f>
        <v>26</v>
      </c>
      <c r="K1118" s="2333">
        <f t="shared" si="227"/>
        <v>26</v>
      </c>
      <c r="L1118" s="2332">
        <f>ROUND(I1118*1.06,0)</f>
        <v>35</v>
      </c>
      <c r="M1118" s="2332">
        <f>ROUND(L1118*1.06,0)</f>
        <v>37</v>
      </c>
    </row>
    <row r="1119" spans="1:13" x14ac:dyDescent="0.2">
      <c r="A1119" s="2353">
        <v>5819</v>
      </c>
      <c r="B1119" s="2334" t="s">
        <v>7157</v>
      </c>
      <c r="C1119" s="2339">
        <v>169</v>
      </c>
      <c r="D1119" s="2335">
        <v>840</v>
      </c>
      <c r="E1119" s="2335">
        <v>840</v>
      </c>
      <c r="F1119" s="2335">
        <v>0</v>
      </c>
      <c r="G1119" s="2335">
        <f>F1119/$F$11*$G$11</f>
        <v>0</v>
      </c>
      <c r="H1119" s="2335"/>
      <c r="I1119" s="2335">
        <f>ROUND(G1119*1.1,0)</f>
        <v>0</v>
      </c>
      <c r="J1119" s="2335">
        <v>0</v>
      </c>
      <c r="K1119" s="2336">
        <f t="shared" si="227"/>
        <v>0</v>
      </c>
      <c r="L1119" s="2335">
        <f>ROUND(I1119*1.06,0)</f>
        <v>0</v>
      </c>
      <c r="M1119" s="2335">
        <f>ROUND(L1119*1.06,0)</f>
        <v>0</v>
      </c>
    </row>
    <row r="1120" spans="1:13" x14ac:dyDescent="0.2">
      <c r="B1120" s="2330" t="s">
        <v>6670</v>
      </c>
      <c r="C1120" s="2376">
        <f t="shared" ref="C1120:M1120" si="229">SUM(C1118:C1119)</f>
        <v>313</v>
      </c>
      <c r="D1120" s="2376">
        <f t="shared" si="229"/>
        <v>840</v>
      </c>
      <c r="E1120" s="2376">
        <f t="shared" si="229"/>
        <v>840</v>
      </c>
      <c r="F1120" s="2376">
        <f t="shared" si="229"/>
        <v>25</v>
      </c>
      <c r="G1120" s="2376">
        <f t="shared" si="229"/>
        <v>30</v>
      </c>
      <c r="H1120" s="2376"/>
      <c r="I1120" s="2376">
        <f t="shared" si="229"/>
        <v>33</v>
      </c>
      <c r="J1120" s="2376">
        <f>J1118</f>
        <v>26</v>
      </c>
      <c r="K1120" s="2333">
        <f t="shared" si="227"/>
        <v>26</v>
      </c>
      <c r="L1120" s="2376">
        <f t="shared" si="229"/>
        <v>35</v>
      </c>
      <c r="M1120" s="2376">
        <f t="shared" si="229"/>
        <v>37</v>
      </c>
    </row>
    <row r="1121" spans="1:13" x14ac:dyDescent="0.2">
      <c r="B1121" s="2338"/>
      <c r="C1121" s="2339"/>
      <c r="D1121" s="2339"/>
      <c r="E1121" s="2339"/>
      <c r="F1121" s="2339"/>
      <c r="G1121" s="2339"/>
      <c r="H1121" s="2339"/>
      <c r="I1121" s="2339"/>
      <c r="J1121" s="2339"/>
      <c r="K1121" s="2336">
        <f t="shared" si="227"/>
        <v>0</v>
      </c>
      <c r="L1121" s="2339"/>
      <c r="M1121" s="2339"/>
    </row>
    <row r="1122" spans="1:13" x14ac:dyDescent="0.2">
      <c r="B1122" s="2330" t="s">
        <v>7158</v>
      </c>
      <c r="C1122" s="2351">
        <f t="shared" ref="C1122:M1122" si="230">+C1115+C1120</f>
        <v>324</v>
      </c>
      <c r="D1122" s="2351">
        <f t="shared" si="230"/>
        <v>1365</v>
      </c>
      <c r="E1122" s="2351">
        <f t="shared" si="230"/>
        <v>1365</v>
      </c>
      <c r="F1122" s="2351">
        <f t="shared" si="230"/>
        <v>25</v>
      </c>
      <c r="G1122" s="2351">
        <f t="shared" si="230"/>
        <v>30</v>
      </c>
      <c r="H1122" s="2351"/>
      <c r="I1122" s="2351">
        <f t="shared" si="230"/>
        <v>33</v>
      </c>
      <c r="J1122" s="2351">
        <f>J1120+J1115</f>
        <v>26</v>
      </c>
      <c r="K1122" s="2333">
        <f t="shared" si="227"/>
        <v>26</v>
      </c>
      <c r="L1122" s="2351">
        <f t="shared" si="230"/>
        <v>35</v>
      </c>
      <c r="M1122" s="2351">
        <f t="shared" si="230"/>
        <v>37</v>
      </c>
    </row>
    <row r="1123" spans="1:13" x14ac:dyDescent="0.2">
      <c r="B1123" s="2330"/>
      <c r="C1123" s="2364"/>
      <c r="D1123" s="2364"/>
      <c r="E1123" s="2364"/>
      <c r="G1123" s="2332"/>
      <c r="H1123" s="2332"/>
      <c r="I1123" s="2332"/>
      <c r="J1123" s="2332">
        <f>J1122+[5]Sheet1!$K$694</f>
        <v>0</v>
      </c>
      <c r="K1123" s="2333">
        <f t="shared" si="227"/>
        <v>0</v>
      </c>
      <c r="L1123" s="2364"/>
      <c r="M1123" s="2364"/>
    </row>
    <row r="1124" spans="1:13" x14ac:dyDescent="0.2">
      <c r="B1124" s="2330" t="s">
        <v>6929</v>
      </c>
      <c r="C1124" s="2332"/>
      <c r="D1124" s="2332"/>
      <c r="E1124" s="2332"/>
      <c r="G1124" s="2332"/>
      <c r="H1124" s="2332"/>
      <c r="I1124" s="2332"/>
      <c r="J1124" s="2332"/>
      <c r="K1124" s="2333">
        <f t="shared" si="227"/>
        <v>0</v>
      </c>
      <c r="L1124" s="2332"/>
      <c r="M1124" s="2332"/>
    </row>
    <row r="1125" spans="1:13" x14ac:dyDescent="0.2">
      <c r="A1125" s="2353">
        <v>5501</v>
      </c>
      <c r="B1125" s="2334" t="s">
        <v>7159</v>
      </c>
      <c r="C1125" s="2339">
        <v>1018660</v>
      </c>
      <c r="D1125" s="2339">
        <v>1296402</v>
      </c>
      <c r="E1125" s="2339">
        <v>1296402</v>
      </c>
      <c r="F1125" s="2335">
        <f>F1170-F1122</f>
        <v>931987</v>
      </c>
      <c r="G1125" s="2335">
        <f>G1170-G1122</f>
        <v>1118384.4000000001</v>
      </c>
      <c r="H1125" s="2335"/>
      <c r="I1125" s="2335">
        <f>I1170-I1122</f>
        <v>1197413</v>
      </c>
      <c r="J1125" s="2335">
        <f>-[5]Sheet1!$K$688</f>
        <v>1138843.1900000002</v>
      </c>
      <c r="K1125" s="2336">
        <f t="shared" si="227"/>
        <v>1138843.1900000002</v>
      </c>
      <c r="L1125" s="2335">
        <f>L1170-L1122</f>
        <v>1292083</v>
      </c>
      <c r="M1125" s="2335">
        <f>M1170-M1122</f>
        <v>1394257</v>
      </c>
    </row>
    <row r="1126" spans="1:13" x14ac:dyDescent="0.2">
      <c r="B1126" s="2330" t="s">
        <v>6932</v>
      </c>
      <c r="C1126" s="2376">
        <f t="shared" ref="C1126:M1126" si="231">SUM(C1125)</f>
        <v>1018660</v>
      </c>
      <c r="D1126" s="2376">
        <f t="shared" si="231"/>
        <v>1296402</v>
      </c>
      <c r="E1126" s="2376">
        <f t="shared" si="231"/>
        <v>1296402</v>
      </c>
      <c r="F1126" s="2376">
        <f t="shared" si="231"/>
        <v>931987</v>
      </c>
      <c r="G1126" s="2376">
        <f t="shared" si="231"/>
        <v>1118384.4000000001</v>
      </c>
      <c r="H1126" s="2376"/>
      <c r="I1126" s="2376">
        <f t="shared" si="231"/>
        <v>1197413</v>
      </c>
      <c r="J1126" s="2376">
        <f>J1125</f>
        <v>1138843.1900000002</v>
      </c>
      <c r="K1126" s="2333">
        <f t="shared" si="227"/>
        <v>1138843.1900000002</v>
      </c>
      <c r="L1126" s="2376">
        <f t="shared" si="231"/>
        <v>1292083</v>
      </c>
      <c r="M1126" s="2376">
        <f t="shared" si="231"/>
        <v>1394257</v>
      </c>
    </row>
    <row r="1127" spans="1:13" x14ac:dyDescent="0.2">
      <c r="B1127" s="2330"/>
      <c r="C1127" s="2375"/>
      <c r="D1127" s="2375"/>
      <c r="E1127" s="2375"/>
      <c r="F1127" s="2375"/>
      <c r="G1127" s="2375"/>
      <c r="H1127" s="2375"/>
      <c r="I1127" s="2375"/>
      <c r="J1127" s="2375">
        <f>J1126+[5]Sheet1!$K$689</f>
        <v>0</v>
      </c>
      <c r="K1127" s="2333">
        <f t="shared" si="227"/>
        <v>0</v>
      </c>
      <c r="L1127" s="2375"/>
      <c r="M1127" s="2375"/>
    </row>
    <row r="1128" spans="1:13" ht="13.5" thickBot="1" x14ac:dyDescent="0.25">
      <c r="B1128" s="2342" t="s">
        <v>6751</v>
      </c>
      <c r="C1128" s="2343">
        <f t="shared" ref="C1128:M1128" si="232">C1122+C1126</f>
        <v>1018984</v>
      </c>
      <c r="D1128" s="2343">
        <f t="shared" si="232"/>
        <v>1297767</v>
      </c>
      <c r="E1128" s="2343">
        <f t="shared" si="232"/>
        <v>1297767</v>
      </c>
      <c r="F1128" s="2343">
        <f t="shared" si="232"/>
        <v>932012</v>
      </c>
      <c r="G1128" s="2343">
        <f t="shared" si="232"/>
        <v>1118414.4000000001</v>
      </c>
      <c r="H1128" s="2343"/>
      <c r="I1128" s="2343">
        <f t="shared" si="232"/>
        <v>1197446</v>
      </c>
      <c r="J1128" s="2343">
        <f>J1126+J1122</f>
        <v>1138869.1900000002</v>
      </c>
      <c r="K1128" s="2344">
        <f t="shared" si="227"/>
        <v>1138869.1900000002</v>
      </c>
      <c r="L1128" s="2343">
        <f t="shared" si="232"/>
        <v>1292118</v>
      </c>
      <c r="M1128" s="2343">
        <f t="shared" si="232"/>
        <v>1394294</v>
      </c>
    </row>
    <row r="1129" spans="1:13" ht="13.5" thickTop="1" x14ac:dyDescent="0.2">
      <c r="B1129" s="2346"/>
      <c r="C1129" s="2346"/>
      <c r="D1129" s="2346"/>
      <c r="E1129" s="2346"/>
      <c r="G1129" s="2332"/>
      <c r="H1129" s="2332"/>
      <c r="I1129" s="2332"/>
      <c r="J1129" s="2332"/>
      <c r="K1129" s="2333">
        <f t="shared" si="227"/>
        <v>0</v>
      </c>
      <c r="L1129" s="2346"/>
      <c r="M1129" s="2346"/>
    </row>
    <row r="1130" spans="1:13" x14ac:dyDescent="0.2">
      <c r="B1130" s="2328" t="s">
        <v>235</v>
      </c>
      <c r="C1130" s="2328"/>
      <c r="D1130" s="2328"/>
      <c r="E1130" s="2328"/>
      <c r="G1130" s="2332"/>
      <c r="H1130" s="2332"/>
      <c r="I1130" s="2332"/>
      <c r="J1130" s="2332"/>
      <c r="K1130" s="2333">
        <f t="shared" si="227"/>
        <v>0</v>
      </c>
      <c r="L1130" s="2328"/>
      <c r="M1130" s="2328"/>
    </row>
    <row r="1131" spans="1:13" x14ac:dyDescent="0.2">
      <c r="B1131" s="2328"/>
      <c r="C1131" s="2328"/>
      <c r="D1131" s="2328"/>
      <c r="E1131" s="2328"/>
      <c r="G1131" s="2332"/>
      <c r="H1131" s="2332"/>
      <c r="I1131" s="2332"/>
      <c r="J1131" s="2332"/>
      <c r="K1131" s="2333">
        <f t="shared" si="227"/>
        <v>0</v>
      </c>
      <c r="L1131" s="2328"/>
      <c r="M1131" s="2328"/>
    </row>
    <row r="1132" spans="1:13" x14ac:dyDescent="0.2">
      <c r="B1132" s="2330" t="s">
        <v>387</v>
      </c>
      <c r="C1132" s="2332"/>
      <c r="D1132" s="2332"/>
      <c r="E1132" s="2332"/>
      <c r="G1132" s="2332"/>
      <c r="H1132" s="2332"/>
      <c r="I1132" s="2332"/>
      <c r="J1132" s="2332"/>
      <c r="K1132" s="2333">
        <f t="shared" si="227"/>
        <v>0</v>
      </c>
      <c r="L1132" s="2332"/>
      <c r="M1132" s="2332"/>
    </row>
    <row r="1133" spans="1:13" x14ac:dyDescent="0.2">
      <c r="A1133" s="2329">
        <v>1001</v>
      </c>
      <c r="B1133" s="2258" t="s">
        <v>6943</v>
      </c>
      <c r="C1133" s="2332">
        <v>690784</v>
      </c>
      <c r="D1133" s="2332">
        <v>842186</v>
      </c>
      <c r="E1133" s="2332">
        <v>832672</v>
      </c>
      <c r="F1133" s="2332">
        <v>676361</v>
      </c>
      <c r="G1133" s="2332">
        <f t="shared" ref="G1133:G1144" si="233">F1133/$F$11*$G$11</f>
        <v>811633.20000000007</v>
      </c>
      <c r="H1133" s="2332"/>
      <c r="I1133" s="2332">
        <f>[6]Salary_Bdgt!$H$211</f>
        <v>774183</v>
      </c>
      <c r="J1133" s="2332">
        <f>[5]Sheet1!$K$697</f>
        <v>766226.03</v>
      </c>
      <c r="K1133" s="2333">
        <f t="shared" si="227"/>
        <v>766226.03</v>
      </c>
      <c r="L1133" s="2332">
        <f t="shared" ref="L1133:L1144" si="234">ROUND(I1133*1.08,0)</f>
        <v>836118</v>
      </c>
      <c r="M1133" s="2332">
        <f t="shared" ref="M1133:M1144" si="235">ROUND(L1133*1.08,0)</f>
        <v>903007</v>
      </c>
    </row>
    <row r="1134" spans="1:13" x14ac:dyDescent="0.2">
      <c r="A1134" s="2329">
        <v>1005</v>
      </c>
      <c r="B1134" s="2258" t="s">
        <v>6944</v>
      </c>
      <c r="C1134" s="2332">
        <v>59241</v>
      </c>
      <c r="D1134" s="2332">
        <v>46522</v>
      </c>
      <c r="E1134" s="2332">
        <f>+D1134+5092</f>
        <v>51614</v>
      </c>
      <c r="F1134" s="2332">
        <v>43469</v>
      </c>
      <c r="G1134" s="2332">
        <f t="shared" si="233"/>
        <v>52162.799999999996</v>
      </c>
      <c r="H1134" s="2332"/>
      <c r="I1134" s="2332">
        <f>+[6]Salary_Bdgt!$L$211</f>
        <v>41594</v>
      </c>
      <c r="J1134" s="2332">
        <f>[5]Sheet1!$K$703</f>
        <v>48526.8</v>
      </c>
      <c r="K1134" s="2333">
        <f t="shared" si="227"/>
        <v>48526.8</v>
      </c>
      <c r="L1134" s="2332">
        <f t="shared" si="234"/>
        <v>44922</v>
      </c>
      <c r="M1134" s="2332">
        <f t="shared" si="235"/>
        <v>48516</v>
      </c>
    </row>
    <row r="1135" spans="1:13" x14ac:dyDescent="0.2">
      <c r="A1135" s="2329">
        <v>1006</v>
      </c>
      <c r="B1135" s="2258" t="s">
        <v>6945</v>
      </c>
      <c r="C1135" s="2332">
        <v>129366</v>
      </c>
      <c r="D1135" s="2332">
        <v>143184</v>
      </c>
      <c r="E1135" s="2332">
        <f>+D1135+3864</f>
        <v>147048</v>
      </c>
      <c r="F1135" s="2332">
        <v>128041</v>
      </c>
      <c r="G1135" s="2332">
        <f t="shared" si="233"/>
        <v>153649.20000000001</v>
      </c>
      <c r="H1135" s="2332"/>
      <c r="I1135" s="2332">
        <f>+[6]Salary_Bdgt!$N$211</f>
        <v>150214</v>
      </c>
      <c r="J1135" s="2332">
        <f>[5]Sheet1!$K$704</f>
        <v>145474</v>
      </c>
      <c r="K1135" s="2333">
        <f t="shared" si="227"/>
        <v>145474</v>
      </c>
      <c r="L1135" s="2332">
        <f t="shared" si="234"/>
        <v>162231</v>
      </c>
      <c r="M1135" s="2332">
        <f t="shared" si="235"/>
        <v>175209</v>
      </c>
    </row>
    <row r="1136" spans="1:13" x14ac:dyDescent="0.2">
      <c r="A1136" s="2329">
        <v>1007</v>
      </c>
      <c r="B1136" s="2258" t="s">
        <v>6410</v>
      </c>
      <c r="C1136" s="2332">
        <v>7585</v>
      </c>
      <c r="D1136" s="2332">
        <v>11681</v>
      </c>
      <c r="E1136" s="2332">
        <f>+D1136</f>
        <v>11681</v>
      </c>
      <c r="F1136" s="2332">
        <v>7107</v>
      </c>
      <c r="G1136" s="2332">
        <f t="shared" si="233"/>
        <v>8528.4000000000015</v>
      </c>
      <c r="H1136" s="2332"/>
      <c r="I1136" s="2332">
        <f>+[6]Salary_Bdgt!$I$211</f>
        <v>10840</v>
      </c>
      <c r="J1136" s="2332">
        <f>[5]Sheet1!$K$705</f>
        <v>7947</v>
      </c>
      <c r="K1136" s="2333">
        <f t="shared" si="227"/>
        <v>7947</v>
      </c>
      <c r="L1136" s="2332">
        <f t="shared" si="234"/>
        <v>11707</v>
      </c>
      <c r="M1136" s="2332">
        <f t="shared" si="235"/>
        <v>12644</v>
      </c>
    </row>
    <row r="1137" spans="1:13" x14ac:dyDescent="0.2">
      <c r="A1137" s="2329">
        <v>1009</v>
      </c>
      <c r="B1137" s="2258" t="s">
        <v>7160</v>
      </c>
      <c r="C1137" s="2332">
        <v>421</v>
      </c>
      <c r="D1137" s="2332">
        <v>346</v>
      </c>
      <c r="E1137" s="2332">
        <f>+D1137+7</f>
        <v>353</v>
      </c>
      <c r="F1137" s="2332">
        <v>326</v>
      </c>
      <c r="G1137" s="2332">
        <f t="shared" si="233"/>
        <v>391.20000000000005</v>
      </c>
      <c r="H1137" s="2332"/>
      <c r="I1137" s="2332">
        <f>+[6]Salary_Bdgt!$M$211</f>
        <v>360</v>
      </c>
      <c r="J1137" s="2332">
        <f>[5]Sheet1!$K$700</f>
        <v>401.8</v>
      </c>
      <c r="K1137" s="2333">
        <f t="shared" si="227"/>
        <v>401.8</v>
      </c>
      <c r="L1137" s="2332">
        <f t="shared" si="234"/>
        <v>389</v>
      </c>
      <c r="M1137" s="2332">
        <f t="shared" si="235"/>
        <v>420</v>
      </c>
    </row>
    <row r="1138" spans="1:13" x14ac:dyDescent="0.2">
      <c r="A1138" s="2329">
        <v>1010</v>
      </c>
      <c r="B1138" s="2258" t="s">
        <v>6946</v>
      </c>
      <c r="C1138" s="2332">
        <v>58684</v>
      </c>
      <c r="D1138" s="2332">
        <v>70182</v>
      </c>
      <c r="E1138" s="2332">
        <f>+D1138+551</f>
        <v>70733</v>
      </c>
      <c r="F1138" s="2332">
        <v>59864</v>
      </c>
      <c r="G1138" s="2332">
        <f t="shared" si="233"/>
        <v>71836.799999999988</v>
      </c>
      <c r="H1138" s="2332"/>
      <c r="I1138" s="2332">
        <f>+[6]Salary_Bdgt!$Q$211</f>
        <v>64515</v>
      </c>
      <c r="J1138" s="2332">
        <f>[5]Sheet1!$K$698</f>
        <v>114035.92000000001</v>
      </c>
      <c r="K1138" s="2333">
        <f t="shared" si="227"/>
        <v>114035.92000000001</v>
      </c>
      <c r="L1138" s="2332">
        <f t="shared" si="234"/>
        <v>69676</v>
      </c>
      <c r="M1138" s="2332">
        <f t="shared" si="235"/>
        <v>75250</v>
      </c>
    </row>
    <row r="1139" spans="1:13" x14ac:dyDescent="0.2">
      <c r="A1139" s="2329">
        <v>1011</v>
      </c>
      <c r="B1139" s="2258" t="s">
        <v>6947</v>
      </c>
      <c r="C1139" s="2332">
        <v>0</v>
      </c>
      <c r="D1139" s="2332">
        <v>0</v>
      </c>
      <c r="E1139" s="2332">
        <v>0</v>
      </c>
      <c r="F1139" s="2332">
        <v>0</v>
      </c>
      <c r="G1139" s="2332">
        <f t="shared" si="233"/>
        <v>0</v>
      </c>
      <c r="H1139" s="2332"/>
      <c r="I1139" s="2332">
        <f>+[6]Salary_Bdgt!$U$211</f>
        <v>0</v>
      </c>
      <c r="J1139" s="2332">
        <v>0</v>
      </c>
      <c r="K1139" s="2333">
        <f t="shared" si="227"/>
        <v>0</v>
      </c>
      <c r="L1139" s="2332">
        <f t="shared" si="234"/>
        <v>0</v>
      </c>
      <c r="M1139" s="2332">
        <f t="shared" si="235"/>
        <v>0</v>
      </c>
    </row>
    <row r="1140" spans="1:13" x14ac:dyDescent="0.2">
      <c r="A1140" s="2329">
        <v>1015</v>
      </c>
      <c r="B1140" s="2258" t="s">
        <v>6948</v>
      </c>
      <c r="C1140" s="2332">
        <v>0</v>
      </c>
      <c r="D1140" s="2332">
        <v>0</v>
      </c>
      <c r="E1140" s="2332">
        <v>0</v>
      </c>
      <c r="F1140" s="2332">
        <v>0</v>
      </c>
      <c r="G1140" s="2332">
        <f t="shared" si="233"/>
        <v>0</v>
      </c>
      <c r="H1140" s="2332"/>
      <c r="I1140" s="2332">
        <f>+[6]Salary_Bdgt!$O$211+[6]Salary_Bdgt!$P$211+[6]Salary_Bdgt!$W$211</f>
        <v>0</v>
      </c>
      <c r="J1140" s="2332">
        <v>0</v>
      </c>
      <c r="K1140" s="2333">
        <f t="shared" si="227"/>
        <v>0</v>
      </c>
      <c r="L1140" s="2332">
        <f t="shared" si="234"/>
        <v>0</v>
      </c>
      <c r="M1140" s="2332">
        <f t="shared" si="235"/>
        <v>0</v>
      </c>
    </row>
    <row r="1141" spans="1:13" x14ac:dyDescent="0.2">
      <c r="A1141" s="2329">
        <v>1016</v>
      </c>
      <c r="B1141" s="2258" t="s">
        <v>6949</v>
      </c>
      <c r="C1141" s="2332">
        <v>0</v>
      </c>
      <c r="D1141" s="2332">
        <v>0</v>
      </c>
      <c r="E1141" s="2332">
        <v>0</v>
      </c>
      <c r="F1141" s="2332">
        <v>5650</v>
      </c>
      <c r="G1141" s="2332">
        <f t="shared" si="233"/>
        <v>6780</v>
      </c>
      <c r="H1141" s="2332"/>
      <c r="I1141" s="2332">
        <f>+[6]Salary_Bdgt!$T$211+[6]Salary_Bdgt!$V$211</f>
        <v>17516</v>
      </c>
      <c r="J1141" s="2332">
        <f>[5]Sheet1!$K$699</f>
        <v>5976.49</v>
      </c>
      <c r="K1141" s="2333">
        <f t="shared" si="227"/>
        <v>5976.49</v>
      </c>
      <c r="L1141" s="2332">
        <f t="shared" si="234"/>
        <v>18917</v>
      </c>
      <c r="M1141" s="2332">
        <f t="shared" si="235"/>
        <v>20430</v>
      </c>
    </row>
    <row r="1142" spans="1:13" x14ac:dyDescent="0.2">
      <c r="A1142" s="2353">
        <v>1017</v>
      </c>
      <c r="B1142" s="2258" t="s">
        <v>6950</v>
      </c>
      <c r="C1142" s="2332">
        <v>8796</v>
      </c>
      <c r="D1142" s="2332">
        <v>16844</v>
      </c>
      <c r="E1142" s="2332">
        <f>+D1142</f>
        <v>16844</v>
      </c>
      <c r="F1142" s="2332">
        <v>3148</v>
      </c>
      <c r="G1142" s="2332">
        <f t="shared" si="233"/>
        <v>3777.6000000000004</v>
      </c>
      <c r="H1142" s="2332"/>
      <c r="I1142" s="2332">
        <f>+[6]Salary_Bdgt!$J$211</f>
        <v>15659</v>
      </c>
      <c r="J1142" s="2332">
        <f>[5]Sheet1!$K$701</f>
        <v>8299.2800000000007</v>
      </c>
      <c r="K1142" s="2333">
        <f t="shared" si="227"/>
        <v>8299.2800000000007</v>
      </c>
      <c r="L1142" s="2332">
        <f t="shared" si="234"/>
        <v>16912</v>
      </c>
      <c r="M1142" s="2332">
        <f t="shared" si="235"/>
        <v>18265</v>
      </c>
    </row>
    <row r="1143" spans="1:13" x14ac:dyDescent="0.2">
      <c r="A1143" s="2353">
        <v>1046</v>
      </c>
      <c r="B1143" s="2258" t="s">
        <v>6951</v>
      </c>
      <c r="C1143" s="2332">
        <v>0</v>
      </c>
      <c r="D1143" s="2332">
        <v>0</v>
      </c>
      <c r="E1143" s="2332">
        <v>0</v>
      </c>
      <c r="F1143" s="2332">
        <v>0</v>
      </c>
      <c r="G1143" s="2332">
        <f t="shared" si="233"/>
        <v>0</v>
      </c>
      <c r="H1143" s="2332"/>
      <c r="I1143" s="2332">
        <f>+[6]Salary_Bdgt!$R$211</f>
        <v>0</v>
      </c>
      <c r="J1143" s="2332">
        <v>0</v>
      </c>
      <c r="K1143" s="2333">
        <f t="shared" si="227"/>
        <v>0</v>
      </c>
      <c r="L1143" s="2332">
        <f t="shared" si="234"/>
        <v>0</v>
      </c>
      <c r="M1143" s="2332">
        <f t="shared" si="235"/>
        <v>0</v>
      </c>
    </row>
    <row r="1144" spans="1:13" x14ac:dyDescent="0.2">
      <c r="A1144" s="2353">
        <v>1182</v>
      </c>
      <c r="B1144" s="2334" t="s">
        <v>6952</v>
      </c>
      <c r="C1144" s="2335">
        <v>6424</v>
      </c>
      <c r="D1144" s="2335">
        <v>15665</v>
      </c>
      <c r="E1144" s="2335">
        <f>+D1144</f>
        <v>15665</v>
      </c>
      <c r="F1144" s="2335">
        <v>0</v>
      </c>
      <c r="G1144" s="2335">
        <f t="shared" si="233"/>
        <v>0</v>
      </c>
      <c r="H1144" s="2335"/>
      <c r="I1144" s="2335">
        <f>+[6]Salary_Bdgt!$K$211</f>
        <v>14563</v>
      </c>
      <c r="J1144" s="2335">
        <f>[5]Sheet1!$K$702</f>
        <v>4968.55</v>
      </c>
      <c r="K1144" s="2336">
        <f t="shared" si="227"/>
        <v>4968.55</v>
      </c>
      <c r="L1144" s="2335">
        <f t="shared" si="234"/>
        <v>15728</v>
      </c>
      <c r="M1144" s="2335">
        <f t="shared" si="235"/>
        <v>16986</v>
      </c>
    </row>
    <row r="1145" spans="1:13" x14ac:dyDescent="0.2">
      <c r="B1145" s="2330" t="s">
        <v>6588</v>
      </c>
      <c r="C1145" s="2349">
        <f t="shared" ref="C1145:M1145" si="236">SUM(C1133:C1144)</f>
        <v>961301</v>
      </c>
      <c r="D1145" s="2349">
        <f t="shared" si="236"/>
        <v>1146610</v>
      </c>
      <c r="E1145" s="2349">
        <f t="shared" si="236"/>
        <v>1146610</v>
      </c>
      <c r="F1145" s="2349">
        <f t="shared" si="236"/>
        <v>923966</v>
      </c>
      <c r="G1145" s="2349">
        <f t="shared" si="236"/>
        <v>1108759.2000000002</v>
      </c>
      <c r="H1145" s="2349"/>
      <c r="I1145" s="2349">
        <f t="shared" si="236"/>
        <v>1089444</v>
      </c>
      <c r="J1145" s="2349">
        <f>SUM(J1133:J1144)</f>
        <v>1101855.8700000001</v>
      </c>
      <c r="K1145" s="2333">
        <f t="shared" si="227"/>
        <v>1101855.8700000001</v>
      </c>
      <c r="L1145" s="2349">
        <f t="shared" si="236"/>
        <v>1176600</v>
      </c>
      <c r="M1145" s="2349">
        <f t="shared" si="236"/>
        <v>1270727</v>
      </c>
    </row>
    <row r="1146" spans="1:13" x14ac:dyDescent="0.2">
      <c r="B1146" s="2330"/>
      <c r="C1146" s="2332"/>
      <c r="D1146" s="2332"/>
      <c r="E1146" s="2332"/>
      <c r="G1146" s="2332"/>
      <c r="H1146" s="2332"/>
      <c r="I1146" s="2332"/>
      <c r="J1146" s="2332">
        <f>J1145-[5]Sheet1!$K$706</f>
        <v>0</v>
      </c>
      <c r="K1146" s="2333">
        <f t="shared" si="227"/>
        <v>0</v>
      </c>
      <c r="L1146" s="2332"/>
      <c r="M1146" s="2332"/>
    </row>
    <row r="1147" spans="1:13" x14ac:dyDescent="0.2">
      <c r="B1147" s="2330" t="s">
        <v>6953</v>
      </c>
      <c r="C1147" s="2332"/>
      <c r="D1147" s="2332"/>
      <c r="E1147" s="2332"/>
      <c r="F1147" s="2309"/>
      <c r="G1147" s="2332"/>
      <c r="H1147" s="2332"/>
      <c r="I1147" s="2332"/>
      <c r="J1147" s="2332"/>
      <c r="K1147" s="2333">
        <f t="shared" si="227"/>
        <v>0</v>
      </c>
      <c r="L1147" s="2332"/>
      <c r="M1147" s="2332"/>
    </row>
    <row r="1148" spans="1:13" x14ac:dyDescent="0.2">
      <c r="A1148" s="2353">
        <v>3207</v>
      </c>
      <c r="B1148" s="2334" t="s">
        <v>6954</v>
      </c>
      <c r="C1148" s="2335">
        <v>621</v>
      </c>
      <c r="D1148" s="2335">
        <v>31500</v>
      </c>
      <c r="E1148" s="2335">
        <v>31500</v>
      </c>
      <c r="F1148" s="2335">
        <v>0</v>
      </c>
      <c r="G1148" s="2335">
        <f>F1148/$F$11*$G$11</f>
        <v>0</v>
      </c>
      <c r="H1148" s="2335"/>
      <c r="I1148" s="2335">
        <v>0</v>
      </c>
      <c r="J1148" s="2335">
        <v>0</v>
      </c>
      <c r="K1148" s="2336">
        <f t="shared" si="227"/>
        <v>0</v>
      </c>
      <c r="L1148" s="2335">
        <f>ROUND(I1148*1.06,0)</f>
        <v>0</v>
      </c>
      <c r="M1148" s="2335">
        <f>ROUND(L1148*1.06,0)</f>
        <v>0</v>
      </c>
    </row>
    <row r="1149" spans="1:13" x14ac:dyDescent="0.2">
      <c r="B1149" s="2330" t="s">
        <v>6956</v>
      </c>
      <c r="C1149" s="2349">
        <f>SUM(C1148:C1148)</f>
        <v>621</v>
      </c>
      <c r="D1149" s="2349">
        <f t="shared" ref="D1149:M1149" si="237">SUM(D1148:D1148)</f>
        <v>31500</v>
      </c>
      <c r="E1149" s="2349">
        <f t="shared" si="237"/>
        <v>31500</v>
      </c>
      <c r="F1149" s="2349">
        <f t="shared" si="237"/>
        <v>0</v>
      </c>
      <c r="G1149" s="2349">
        <f t="shared" si="237"/>
        <v>0</v>
      </c>
      <c r="H1149" s="2349"/>
      <c r="I1149" s="2349">
        <f t="shared" si="237"/>
        <v>0</v>
      </c>
      <c r="J1149" s="2349">
        <v>0</v>
      </c>
      <c r="K1149" s="2333">
        <f t="shared" si="227"/>
        <v>0</v>
      </c>
      <c r="L1149" s="2349">
        <f t="shared" si="237"/>
        <v>0</v>
      </c>
      <c r="M1149" s="2349">
        <f t="shared" si="237"/>
        <v>0</v>
      </c>
    </row>
    <row r="1150" spans="1:13" x14ac:dyDescent="0.2">
      <c r="B1150" s="2330"/>
      <c r="C1150" s="2332"/>
      <c r="D1150" s="2332"/>
      <c r="E1150" s="2332"/>
      <c r="F1150" s="2309"/>
      <c r="G1150" s="2332"/>
      <c r="H1150" s="2332"/>
      <c r="I1150" s="2332"/>
      <c r="J1150" s="2332"/>
      <c r="K1150" s="2333">
        <f t="shared" si="227"/>
        <v>0</v>
      </c>
      <c r="L1150" s="2332"/>
      <c r="M1150" s="2332"/>
    </row>
    <row r="1151" spans="1:13" x14ac:dyDescent="0.2">
      <c r="B1151" s="2330" t="s">
        <v>6599</v>
      </c>
      <c r="C1151" s="2332"/>
      <c r="D1151" s="2332"/>
      <c r="E1151" s="2332"/>
      <c r="G1151" s="2332"/>
      <c r="H1151" s="2332"/>
      <c r="I1151" s="2332"/>
      <c r="J1151" s="2332"/>
      <c r="K1151" s="2333">
        <f t="shared" si="227"/>
        <v>0</v>
      </c>
      <c r="L1151" s="2332"/>
      <c r="M1151" s="2332"/>
    </row>
    <row r="1152" spans="1:13" x14ac:dyDescent="0.2">
      <c r="A1152" s="2353">
        <v>2113</v>
      </c>
      <c r="B1152" s="2258" t="s">
        <v>6958</v>
      </c>
      <c r="C1152" s="2332">
        <v>86</v>
      </c>
      <c r="D1152" s="2332">
        <v>11550</v>
      </c>
      <c r="E1152" s="2332">
        <v>11550</v>
      </c>
      <c r="F1152" s="2332">
        <v>0</v>
      </c>
      <c r="G1152" s="2332">
        <f t="shared" ref="G1152:G1159" si="238">F1152/$F$11*$G$11</f>
        <v>0</v>
      </c>
      <c r="H1152" s="2332"/>
      <c r="I1152" s="2332">
        <f>ROUND(E1152*1.05,0)</f>
        <v>12128</v>
      </c>
      <c r="J1152" s="2332">
        <f>[5]Sheet1!$K$709</f>
        <v>4137.3500000000004</v>
      </c>
      <c r="K1152" s="2333">
        <f t="shared" si="227"/>
        <v>4137.3500000000004</v>
      </c>
      <c r="L1152" s="2332">
        <f t="shared" ref="L1152:L1159" si="239">ROUND(I1152*1.06,0)</f>
        <v>12856</v>
      </c>
      <c r="M1152" s="2332">
        <f t="shared" ref="M1152:M1159" si="240">ROUND(L1152*1.06,0)</f>
        <v>13627</v>
      </c>
    </row>
    <row r="1153" spans="1:13" x14ac:dyDescent="0.2">
      <c r="A1153" s="2329">
        <v>2212</v>
      </c>
      <c r="B1153" s="2258" t="s">
        <v>6963</v>
      </c>
      <c r="C1153" s="2332">
        <v>0</v>
      </c>
      <c r="D1153" s="2332">
        <v>525</v>
      </c>
      <c r="E1153" s="2332">
        <v>525</v>
      </c>
      <c r="F1153" s="2332">
        <v>0</v>
      </c>
      <c r="G1153" s="2332">
        <f t="shared" si="238"/>
        <v>0</v>
      </c>
      <c r="H1153" s="2332"/>
      <c r="I1153" s="2332">
        <f>ROUND(E1153*1.05,0)</f>
        <v>551</v>
      </c>
      <c r="J1153" s="2332">
        <f>[5]Sheet1!$K$711</f>
        <v>187.24</v>
      </c>
      <c r="K1153" s="2333">
        <f t="shared" si="227"/>
        <v>187.24</v>
      </c>
      <c r="L1153" s="2332">
        <f t="shared" si="239"/>
        <v>584</v>
      </c>
      <c r="M1153" s="2332">
        <f t="shared" si="240"/>
        <v>619</v>
      </c>
    </row>
    <row r="1154" spans="1:13" x14ac:dyDescent="0.2">
      <c r="A1154" s="2329">
        <v>2233</v>
      </c>
      <c r="B1154" s="2258" t="s">
        <v>6966</v>
      </c>
      <c r="C1154" s="2332">
        <v>0</v>
      </c>
      <c r="D1154" s="2332">
        <v>16800</v>
      </c>
      <c r="E1154" s="2332">
        <v>16800</v>
      </c>
      <c r="F1154" s="2332">
        <v>0</v>
      </c>
      <c r="G1154" s="2332">
        <f t="shared" si="238"/>
        <v>0</v>
      </c>
      <c r="H1154" s="2332"/>
      <c r="I1154" s="2332">
        <v>0</v>
      </c>
      <c r="J1154" s="2332">
        <v>0</v>
      </c>
      <c r="K1154" s="2333">
        <f t="shared" si="227"/>
        <v>0</v>
      </c>
      <c r="L1154" s="2332">
        <f t="shared" si="239"/>
        <v>0</v>
      </c>
      <c r="M1154" s="2332">
        <f t="shared" si="240"/>
        <v>0</v>
      </c>
    </row>
    <row r="1155" spans="1:13" x14ac:dyDescent="0.2">
      <c r="A1155" s="2353">
        <v>2238</v>
      </c>
      <c r="B1155" s="2258" t="s">
        <v>6967</v>
      </c>
      <c r="C1155" s="2332">
        <v>0</v>
      </c>
      <c r="D1155" s="2332">
        <v>2100</v>
      </c>
      <c r="E1155" s="2332">
        <v>2100</v>
      </c>
      <c r="F1155" s="2332">
        <v>0</v>
      </c>
      <c r="G1155" s="2332">
        <f t="shared" si="238"/>
        <v>0</v>
      </c>
      <c r="H1155" s="2332"/>
      <c r="I1155" s="2332">
        <f>ROUND(E1155*1.05,0)</f>
        <v>2205</v>
      </c>
      <c r="J1155" s="2332">
        <f>[5]Sheet1!$K$713</f>
        <v>752.46</v>
      </c>
      <c r="K1155" s="2333">
        <f t="shared" si="227"/>
        <v>752.46</v>
      </c>
      <c r="L1155" s="2332">
        <f t="shared" si="239"/>
        <v>2337</v>
      </c>
      <c r="M1155" s="2332">
        <f t="shared" si="240"/>
        <v>2477</v>
      </c>
    </row>
    <row r="1156" spans="1:13" x14ac:dyDescent="0.2">
      <c r="A1156" s="2329">
        <v>2246</v>
      </c>
      <c r="B1156" s="2258" t="s">
        <v>6968</v>
      </c>
      <c r="C1156" s="2332">
        <v>15717</v>
      </c>
      <c r="D1156" s="2332">
        <v>33075</v>
      </c>
      <c r="E1156" s="2332">
        <v>33075</v>
      </c>
      <c r="F1156" s="2332">
        <v>8005</v>
      </c>
      <c r="G1156" s="2332">
        <f t="shared" si="238"/>
        <v>9606</v>
      </c>
      <c r="H1156" s="2332"/>
      <c r="I1156" s="2332">
        <f>ROUND(E1156*1.05,0)</f>
        <v>34729</v>
      </c>
      <c r="J1156" s="2332">
        <f>[5]Sheet1!$K$714</f>
        <v>12149.3</v>
      </c>
      <c r="K1156" s="2333">
        <f t="shared" si="227"/>
        <v>12149.3</v>
      </c>
      <c r="L1156" s="2332">
        <f t="shared" si="239"/>
        <v>36813</v>
      </c>
      <c r="M1156" s="2332">
        <f t="shared" si="240"/>
        <v>39022</v>
      </c>
    </row>
    <row r="1157" spans="1:13" x14ac:dyDescent="0.2">
      <c r="A1157" s="2353">
        <v>2251</v>
      </c>
      <c r="B1157" s="2258" t="s">
        <v>7157</v>
      </c>
      <c r="C1157" s="2332">
        <v>0</v>
      </c>
      <c r="D1157" s="2332">
        <v>5250</v>
      </c>
      <c r="E1157" s="2332">
        <v>5250</v>
      </c>
      <c r="F1157" s="2332">
        <v>0</v>
      </c>
      <c r="G1157" s="2332">
        <f t="shared" si="238"/>
        <v>0</v>
      </c>
      <c r="H1157" s="2332"/>
      <c r="I1157" s="2332">
        <f>ROUND(E1157*1.05,0)</f>
        <v>5513</v>
      </c>
      <c r="J1157" s="2332">
        <f>[5]Sheet1!$K$715</f>
        <v>1879.98</v>
      </c>
      <c r="K1157" s="2333">
        <f t="shared" si="227"/>
        <v>1879.98</v>
      </c>
      <c r="L1157" s="2332">
        <f t="shared" si="239"/>
        <v>5844</v>
      </c>
      <c r="M1157" s="2332">
        <f t="shared" si="240"/>
        <v>6195</v>
      </c>
    </row>
    <row r="1158" spans="1:13" x14ac:dyDescent="0.2">
      <c r="A1158" s="2353">
        <v>2252</v>
      </c>
      <c r="B1158" s="2258" t="s">
        <v>30</v>
      </c>
      <c r="C1158" s="2332">
        <v>0</v>
      </c>
      <c r="D1158" s="2332">
        <v>0</v>
      </c>
      <c r="E1158" s="2332">
        <v>0</v>
      </c>
      <c r="F1158" s="2332"/>
      <c r="G1158" s="2332">
        <f t="shared" si="238"/>
        <v>0</v>
      </c>
      <c r="H1158" s="2332"/>
      <c r="I1158" s="2332">
        <f>ROUND(E1158*1.05,0)</f>
        <v>0</v>
      </c>
      <c r="J1158" s="2332">
        <v>0</v>
      </c>
      <c r="K1158" s="2333">
        <f t="shared" si="227"/>
        <v>0</v>
      </c>
      <c r="L1158" s="2332">
        <f t="shared" si="239"/>
        <v>0</v>
      </c>
      <c r="M1158" s="2332">
        <f t="shared" si="240"/>
        <v>0</v>
      </c>
    </row>
    <row r="1159" spans="1:13" x14ac:dyDescent="0.2">
      <c r="A1159" s="2353">
        <v>2305</v>
      </c>
      <c r="B1159" s="2334" t="s">
        <v>6970</v>
      </c>
      <c r="C1159" s="2335">
        <v>630</v>
      </c>
      <c r="D1159" s="2335">
        <v>1050</v>
      </c>
      <c r="E1159" s="2335">
        <v>1050</v>
      </c>
      <c r="F1159" s="2335">
        <v>41</v>
      </c>
      <c r="G1159" s="2335">
        <f t="shared" si="238"/>
        <v>49.199999999999996</v>
      </c>
      <c r="H1159" s="2335"/>
      <c r="I1159" s="2335">
        <f>ROUND(E1159*1.05,0)</f>
        <v>1103</v>
      </c>
      <c r="J1159" s="2335">
        <f>[5]Sheet1!$K$717</f>
        <v>240</v>
      </c>
      <c r="K1159" s="2336">
        <f t="shared" si="227"/>
        <v>240</v>
      </c>
      <c r="L1159" s="2335">
        <f t="shared" si="239"/>
        <v>1169</v>
      </c>
      <c r="M1159" s="2335">
        <f t="shared" si="240"/>
        <v>1239</v>
      </c>
    </row>
    <row r="1160" spans="1:13" x14ac:dyDescent="0.2">
      <c r="B1160" s="2330" t="s">
        <v>6614</v>
      </c>
      <c r="C1160" s="2349">
        <f t="shared" ref="C1160:M1160" si="241">SUM(C1152:C1159)</f>
        <v>16433</v>
      </c>
      <c r="D1160" s="2349">
        <f t="shared" si="241"/>
        <v>70350</v>
      </c>
      <c r="E1160" s="2349">
        <f t="shared" si="241"/>
        <v>70350</v>
      </c>
      <c r="F1160" s="2349">
        <f t="shared" si="241"/>
        <v>8046</v>
      </c>
      <c r="G1160" s="2349">
        <f t="shared" si="241"/>
        <v>9655.2000000000007</v>
      </c>
      <c r="H1160" s="2349"/>
      <c r="I1160" s="2349">
        <f t="shared" si="241"/>
        <v>56229</v>
      </c>
      <c r="J1160" s="2349">
        <f>SUM(J1152:J1159)</f>
        <v>19346.329999999998</v>
      </c>
      <c r="K1160" s="2333">
        <f t="shared" si="227"/>
        <v>19346.329999999998</v>
      </c>
      <c r="L1160" s="2349">
        <f t="shared" si="241"/>
        <v>59603</v>
      </c>
      <c r="M1160" s="2349">
        <f t="shared" si="241"/>
        <v>63179</v>
      </c>
    </row>
    <row r="1161" spans="1:13" x14ac:dyDescent="0.2">
      <c r="B1161" s="2338"/>
      <c r="C1161" s="2380"/>
      <c r="D1161" s="2380"/>
      <c r="E1161" s="2380"/>
      <c r="F1161" s="2380"/>
      <c r="G1161" s="2380"/>
      <c r="H1161" s="2380"/>
      <c r="I1161" s="2380"/>
      <c r="J1161" s="2380">
        <f>J1160-[5]Sheet1!$K$718</f>
        <v>0</v>
      </c>
      <c r="K1161" s="2336">
        <f t="shared" si="227"/>
        <v>0</v>
      </c>
      <c r="L1161" s="2380"/>
      <c r="M1161" s="2380"/>
    </row>
    <row r="1162" spans="1:13" x14ac:dyDescent="0.2">
      <c r="B1162" s="2330" t="s">
        <v>6972</v>
      </c>
      <c r="C1162" s="2351">
        <f t="shared" ref="C1162:M1162" si="242">C1145+C1149+C1160</f>
        <v>978355</v>
      </c>
      <c r="D1162" s="2351">
        <f t="shared" si="242"/>
        <v>1248460</v>
      </c>
      <c r="E1162" s="2351">
        <f t="shared" si="242"/>
        <v>1248460</v>
      </c>
      <c r="F1162" s="2351">
        <f t="shared" si="242"/>
        <v>932012</v>
      </c>
      <c r="G1162" s="2351">
        <f t="shared" si="242"/>
        <v>1118414.4000000001</v>
      </c>
      <c r="H1162" s="2351"/>
      <c r="I1162" s="2351">
        <f t="shared" si="242"/>
        <v>1145673</v>
      </c>
      <c r="J1162" s="2351">
        <f t="shared" si="242"/>
        <v>1121202.2000000002</v>
      </c>
      <c r="K1162" s="2333">
        <f t="shared" si="227"/>
        <v>1121202.2000000002</v>
      </c>
      <c r="L1162" s="2351">
        <f t="shared" si="242"/>
        <v>1236203</v>
      </c>
      <c r="M1162" s="2351">
        <f t="shared" si="242"/>
        <v>1333906</v>
      </c>
    </row>
    <row r="1163" spans="1:13" x14ac:dyDescent="0.2">
      <c r="B1163" s="2330"/>
      <c r="C1163" s="2351"/>
      <c r="D1163" s="2351"/>
      <c r="E1163" s="2351"/>
      <c r="F1163" s="2309"/>
      <c r="G1163" s="2332"/>
      <c r="H1163" s="2332"/>
      <c r="I1163" s="2332"/>
      <c r="J1163" s="2332"/>
      <c r="K1163" s="2333">
        <f t="shared" si="227"/>
        <v>0</v>
      </c>
      <c r="L1163" s="2351"/>
      <c r="M1163" s="2351"/>
    </row>
    <row r="1164" spans="1:13" x14ac:dyDescent="0.2">
      <c r="B1164" s="2330" t="s">
        <v>6974</v>
      </c>
      <c r="C1164" s="2364"/>
      <c r="D1164" s="2364"/>
      <c r="E1164" s="2364"/>
      <c r="G1164" s="2332"/>
      <c r="H1164" s="2332"/>
      <c r="I1164" s="2332"/>
      <c r="J1164" s="2332"/>
      <c r="K1164" s="2333">
        <f t="shared" si="227"/>
        <v>0</v>
      </c>
      <c r="L1164" s="2364"/>
      <c r="M1164" s="2364"/>
    </row>
    <row r="1165" spans="1:13" x14ac:dyDescent="0.2">
      <c r="A1165" s="2353">
        <v>4204</v>
      </c>
      <c r="B1165" s="2258" t="s">
        <v>6976</v>
      </c>
      <c r="C1165" s="2364">
        <v>11737</v>
      </c>
      <c r="D1165" s="2332">
        <v>26055</v>
      </c>
      <c r="E1165" s="2332">
        <v>26055</v>
      </c>
      <c r="F1165" s="2332">
        <v>0</v>
      </c>
      <c r="G1165" s="2332">
        <f>F1165/$F$11*$G$11</f>
        <v>0</v>
      </c>
      <c r="H1165" s="2332"/>
      <c r="I1165" s="2332">
        <f>ROUND(E1165*1.05,0)</f>
        <v>27358</v>
      </c>
      <c r="J1165" s="2332">
        <f>[5]Sheet1!$K$725</f>
        <v>9334.5499999999993</v>
      </c>
      <c r="K1165" s="2333">
        <f t="shared" si="227"/>
        <v>9334.5499999999993</v>
      </c>
      <c r="L1165" s="2332">
        <f>ROUND(I1165*1.08,0)</f>
        <v>29547</v>
      </c>
      <c r="M1165" s="2332">
        <f>ROUND(L1165*1.08,0)</f>
        <v>31911</v>
      </c>
    </row>
    <row r="1166" spans="1:13" x14ac:dyDescent="0.2">
      <c r="A1166" s="2353">
        <v>4209</v>
      </c>
      <c r="B1166" s="2258" t="s">
        <v>6449</v>
      </c>
      <c r="C1166" s="2364">
        <v>4</v>
      </c>
      <c r="D1166" s="2332">
        <v>0</v>
      </c>
      <c r="E1166" s="2332">
        <v>0</v>
      </c>
      <c r="F1166" s="2332">
        <v>0</v>
      </c>
      <c r="G1166" s="2332">
        <f>F1166/$F$11*$G$11</f>
        <v>0</v>
      </c>
      <c r="H1166" s="2332"/>
      <c r="I1166" s="2332">
        <f>ROUND(E1166*1.05,0)</f>
        <v>0</v>
      </c>
      <c r="J1166" s="2332">
        <f>0</f>
        <v>0</v>
      </c>
      <c r="K1166" s="2333">
        <f t="shared" si="227"/>
        <v>0</v>
      </c>
      <c r="L1166" s="2332">
        <f>ROUND(I1166*1.05,0)</f>
        <v>0</v>
      </c>
      <c r="M1166" s="2332">
        <f>ROUND(L1166*1.05,0)</f>
        <v>0</v>
      </c>
    </row>
    <row r="1167" spans="1:13" x14ac:dyDescent="0.2">
      <c r="A1167" s="2353">
        <v>4207</v>
      </c>
      <c r="B1167" s="2334" t="s">
        <v>6977</v>
      </c>
      <c r="C1167" s="2397">
        <v>28888</v>
      </c>
      <c r="D1167" s="2335">
        <v>23252</v>
      </c>
      <c r="E1167" s="2335">
        <v>23252</v>
      </c>
      <c r="F1167" s="2335">
        <v>0</v>
      </c>
      <c r="G1167" s="2335">
        <f>F1167/$F$11*$G$11</f>
        <v>0</v>
      </c>
      <c r="H1167" s="2335"/>
      <c r="I1167" s="2335">
        <f>ROUND(E1167*1.05,0)</f>
        <v>24415</v>
      </c>
      <c r="J1167" s="2335">
        <f>[5]Sheet1!$K$726</f>
        <v>8332.44</v>
      </c>
      <c r="K1167" s="2336">
        <f t="shared" si="227"/>
        <v>8332.44</v>
      </c>
      <c r="L1167" s="2335">
        <f>ROUND(I1167*1.08,0)</f>
        <v>26368</v>
      </c>
      <c r="M1167" s="2335">
        <f>ROUND(L1167*1.08,0)</f>
        <v>28477</v>
      </c>
    </row>
    <row r="1168" spans="1:13" x14ac:dyDescent="0.2">
      <c r="B1168" s="2330" t="s">
        <v>6979</v>
      </c>
      <c r="C1168" s="2349">
        <f t="shared" ref="C1168:M1168" si="243">SUM(C1165:C1167)</f>
        <v>40629</v>
      </c>
      <c r="D1168" s="2349">
        <f t="shared" si="243"/>
        <v>49307</v>
      </c>
      <c r="E1168" s="2349">
        <f t="shared" si="243"/>
        <v>49307</v>
      </c>
      <c r="F1168" s="2349">
        <f t="shared" si="243"/>
        <v>0</v>
      </c>
      <c r="G1168" s="2349">
        <f t="shared" si="243"/>
        <v>0</v>
      </c>
      <c r="H1168" s="2349"/>
      <c r="I1168" s="2349">
        <f t="shared" si="243"/>
        <v>51773</v>
      </c>
      <c r="J1168" s="2349">
        <f>J1165+J1167</f>
        <v>17666.989999999998</v>
      </c>
      <c r="K1168" s="2333">
        <f t="shared" si="227"/>
        <v>17666.989999999998</v>
      </c>
      <c r="L1168" s="2349">
        <f t="shared" si="243"/>
        <v>55915</v>
      </c>
      <c r="M1168" s="2349">
        <f t="shared" si="243"/>
        <v>60388</v>
      </c>
    </row>
    <row r="1169" spans="1:13" x14ac:dyDescent="0.2">
      <c r="B1169" s="2330"/>
      <c r="C1169" s="2364"/>
      <c r="D1169" s="2364"/>
      <c r="E1169" s="2364"/>
      <c r="G1169" s="2332"/>
      <c r="H1169" s="2332"/>
      <c r="I1169" s="2332"/>
      <c r="J1169" s="2332">
        <f>J1168-[5]Sheet1!$K$727</f>
        <v>0</v>
      </c>
      <c r="K1169" s="2333">
        <f t="shared" si="227"/>
        <v>0</v>
      </c>
      <c r="L1169" s="2364"/>
      <c r="M1169" s="2364"/>
    </row>
    <row r="1170" spans="1:13" ht="13.5" thickBot="1" x14ac:dyDescent="0.25">
      <c r="B1170" s="2342" t="s">
        <v>6980</v>
      </c>
      <c r="C1170" s="2354">
        <f t="shared" ref="C1170:M1170" si="244">C1162+C1168</f>
        <v>1018984</v>
      </c>
      <c r="D1170" s="2354">
        <f t="shared" si="244"/>
        <v>1297767</v>
      </c>
      <c r="E1170" s="2354">
        <f t="shared" si="244"/>
        <v>1297767</v>
      </c>
      <c r="F1170" s="2354">
        <f t="shared" si="244"/>
        <v>932012</v>
      </c>
      <c r="G1170" s="2354">
        <f t="shared" si="244"/>
        <v>1118414.4000000001</v>
      </c>
      <c r="H1170" s="2354"/>
      <c r="I1170" s="2354">
        <f t="shared" si="244"/>
        <v>1197446</v>
      </c>
      <c r="J1170" s="2354">
        <f>J1162+J1168</f>
        <v>1138869.1900000002</v>
      </c>
      <c r="K1170" s="2344">
        <f t="shared" si="227"/>
        <v>1138869.1900000002</v>
      </c>
      <c r="L1170" s="2354">
        <f t="shared" si="244"/>
        <v>1292118</v>
      </c>
      <c r="M1170" s="2354">
        <f t="shared" si="244"/>
        <v>1394294</v>
      </c>
    </row>
    <row r="1171" spans="1:13" ht="13.5" thickTop="1" x14ac:dyDescent="0.2">
      <c r="B1171" s="2330"/>
      <c r="C1171" s="2349"/>
      <c r="D1171" s="2349"/>
      <c r="E1171" s="2349"/>
      <c r="F1171" s="2349"/>
      <c r="G1171" s="2349"/>
      <c r="H1171" s="2349"/>
      <c r="I1171" s="2349"/>
      <c r="J1171" s="2349"/>
      <c r="K1171" s="2333">
        <f t="shared" si="227"/>
        <v>0</v>
      </c>
      <c r="L1171" s="2349"/>
      <c r="M1171" s="2349"/>
    </row>
    <row r="1172" spans="1:13" ht="13.5" thickBot="1" x14ac:dyDescent="0.25">
      <c r="B1172" s="2342" t="s">
        <v>6624</v>
      </c>
      <c r="C1172" s="2355">
        <f t="shared" ref="C1172:M1172" si="245">C1128-C1170</f>
        <v>0</v>
      </c>
      <c r="D1172" s="2355">
        <f t="shared" si="245"/>
        <v>0</v>
      </c>
      <c r="E1172" s="2355">
        <f t="shared" si="245"/>
        <v>0</v>
      </c>
      <c r="F1172" s="2355">
        <f t="shared" si="245"/>
        <v>0</v>
      </c>
      <c r="G1172" s="2355">
        <f t="shared" si="245"/>
        <v>0</v>
      </c>
      <c r="H1172" s="2355"/>
      <c r="I1172" s="2355">
        <f t="shared" si="245"/>
        <v>0</v>
      </c>
      <c r="J1172" s="2355">
        <f>J1128-J1170</f>
        <v>0</v>
      </c>
      <c r="K1172" s="2344">
        <f t="shared" si="227"/>
        <v>0</v>
      </c>
      <c r="L1172" s="2355">
        <f t="shared" si="245"/>
        <v>0</v>
      </c>
      <c r="M1172" s="2355">
        <f t="shared" si="245"/>
        <v>0</v>
      </c>
    </row>
    <row r="1173" spans="1:13" ht="13.5" thickTop="1" x14ac:dyDescent="0.2">
      <c r="B1173" s="2330"/>
      <c r="C1173" s="2356"/>
      <c r="D1173" s="2356"/>
      <c r="E1173" s="2356"/>
      <c r="G1173" s="2332"/>
      <c r="H1173" s="2332"/>
      <c r="I1173" s="2332"/>
      <c r="J1173" s="2332"/>
      <c r="K1173" s="2333">
        <f t="shared" ref="K1173:K1236" si="246">J1173</f>
        <v>0</v>
      </c>
      <c r="L1173" s="2356"/>
      <c r="M1173" s="2356"/>
    </row>
    <row r="1174" spans="1:13" x14ac:dyDescent="0.2">
      <c r="G1174" s="2332"/>
      <c r="H1174" s="2332"/>
      <c r="I1174" s="2332"/>
      <c r="J1174" s="2332"/>
      <c r="K1174" s="2333">
        <f t="shared" si="246"/>
        <v>0</v>
      </c>
    </row>
    <row r="1175" spans="1:13" ht="15" x14ac:dyDescent="0.25">
      <c r="A1175" s="2365">
        <v>1430</v>
      </c>
      <c r="B1175" s="2326" t="s">
        <v>7161</v>
      </c>
      <c r="C1175" s="2326"/>
      <c r="D1175" s="2326"/>
      <c r="E1175" s="2326"/>
      <c r="G1175" s="2332"/>
      <c r="H1175" s="2332"/>
      <c r="I1175" s="2332"/>
      <c r="J1175" s="2332"/>
      <c r="K1175" s="2333">
        <f t="shared" si="246"/>
        <v>0</v>
      </c>
    </row>
    <row r="1176" spans="1:13" ht="15" x14ac:dyDescent="0.25">
      <c r="B1176" s="2326"/>
      <c r="C1176" s="2326"/>
      <c r="D1176" s="2326"/>
      <c r="E1176" s="2326"/>
      <c r="G1176" s="2332"/>
      <c r="H1176" s="2332"/>
      <c r="I1176" s="2332"/>
      <c r="J1176" s="2332"/>
      <c r="K1176" s="2333">
        <f t="shared" si="246"/>
        <v>0</v>
      </c>
    </row>
    <row r="1177" spans="1:13" x14ac:dyDescent="0.2">
      <c r="B1177" s="2328" t="s">
        <v>247</v>
      </c>
      <c r="C1177" s="2328"/>
      <c r="D1177" s="2328"/>
      <c r="E1177" s="2328"/>
      <c r="G1177" s="2332"/>
      <c r="H1177" s="2332"/>
      <c r="I1177" s="2332"/>
      <c r="J1177" s="2332"/>
      <c r="K1177" s="2333">
        <f t="shared" si="246"/>
        <v>0</v>
      </c>
    </row>
    <row r="1178" spans="1:13" x14ac:dyDescent="0.2">
      <c r="B1178" s="2323"/>
      <c r="C1178" s="2323"/>
      <c r="D1178" s="2323"/>
      <c r="E1178" s="2323"/>
      <c r="G1178" s="2332"/>
      <c r="H1178" s="2332"/>
      <c r="I1178" s="2332"/>
      <c r="J1178" s="2332"/>
      <c r="K1178" s="2333">
        <f t="shared" si="246"/>
        <v>0</v>
      </c>
    </row>
    <row r="1179" spans="1:13" x14ac:dyDescent="0.2">
      <c r="B1179" s="2330" t="s">
        <v>6644</v>
      </c>
      <c r="C1179" s="2375"/>
      <c r="D1179" s="2375"/>
      <c r="E1179" s="2375"/>
      <c r="G1179" s="2332"/>
      <c r="H1179" s="2332"/>
      <c r="I1179" s="2332"/>
      <c r="J1179" s="2332"/>
      <c r="K1179" s="2333">
        <f t="shared" si="246"/>
        <v>0</v>
      </c>
    </row>
    <row r="1180" spans="1:13" x14ac:dyDescent="0.2">
      <c r="A1180" s="2353">
        <v>5205</v>
      </c>
      <c r="B1180" s="2258" t="s">
        <v>7162</v>
      </c>
      <c r="C1180" s="2375">
        <v>7430</v>
      </c>
      <c r="D1180" s="2332">
        <v>12500</v>
      </c>
      <c r="E1180" s="2332">
        <v>12500</v>
      </c>
      <c r="F1180" s="2332">
        <v>10189</v>
      </c>
      <c r="G1180" s="2332">
        <f>F1180/$F$11*$G$11</f>
        <v>12226.8</v>
      </c>
      <c r="H1180" s="2332"/>
      <c r="I1180" s="2332">
        <f>ROUND(G1180*1.1,0)</f>
        <v>13449</v>
      </c>
      <c r="J1180" s="2332">
        <f>-[5]Sheet1!$K$731</f>
        <v>16486.2</v>
      </c>
      <c r="K1180" s="2333">
        <f t="shared" si="246"/>
        <v>16486.2</v>
      </c>
      <c r="L1180" s="2332">
        <f>ROUND(I1180*1.1,0)</f>
        <v>14794</v>
      </c>
      <c r="M1180" s="2332">
        <f>ROUND(L1180*1.1,0)</f>
        <v>16273</v>
      </c>
    </row>
    <row r="1181" spans="1:13" x14ac:dyDescent="0.2">
      <c r="A1181" s="2353">
        <v>5627</v>
      </c>
      <c r="B1181" s="2334" t="s">
        <v>7163</v>
      </c>
      <c r="C1181" s="2335">
        <v>295</v>
      </c>
      <c r="D1181" s="2335">
        <v>600</v>
      </c>
      <c r="E1181" s="2335">
        <v>600</v>
      </c>
      <c r="F1181" s="2335">
        <v>682</v>
      </c>
      <c r="G1181" s="2335">
        <f>F1181/$F$11*$G$11</f>
        <v>818.40000000000009</v>
      </c>
      <c r="H1181" s="2335"/>
      <c r="I1181" s="2335">
        <f>ROUND(G1181*1.1,0)</f>
        <v>900</v>
      </c>
      <c r="J1181" s="2335">
        <f>-[5]Sheet1!$K$732</f>
        <v>1354.06</v>
      </c>
      <c r="K1181" s="2336">
        <f t="shared" si="246"/>
        <v>1354.06</v>
      </c>
      <c r="L1181" s="2335">
        <f>ROUND(I1181*1.1,0)</f>
        <v>990</v>
      </c>
      <c r="M1181" s="2335">
        <f>ROUND(L1181*1.1,0)</f>
        <v>1089</v>
      </c>
    </row>
    <row r="1182" spans="1:13" x14ac:dyDescent="0.2">
      <c r="B1182" s="2330" t="s">
        <v>6646</v>
      </c>
      <c r="C1182" s="2376">
        <f t="shared" ref="C1182:M1182" si="247">SUM(C1180:C1181)</f>
        <v>7725</v>
      </c>
      <c r="D1182" s="2376">
        <f t="shared" si="247"/>
        <v>13100</v>
      </c>
      <c r="E1182" s="2376">
        <f t="shared" si="247"/>
        <v>13100</v>
      </c>
      <c r="F1182" s="2376">
        <f t="shared" si="247"/>
        <v>10871</v>
      </c>
      <c r="G1182" s="2376">
        <f t="shared" si="247"/>
        <v>13045.199999999999</v>
      </c>
      <c r="H1182" s="2376"/>
      <c r="I1182" s="2376">
        <f t="shared" si="247"/>
        <v>14349</v>
      </c>
      <c r="J1182" s="2376">
        <f>J1180+J1181</f>
        <v>17840.260000000002</v>
      </c>
      <c r="K1182" s="2333">
        <f t="shared" si="246"/>
        <v>17840.260000000002</v>
      </c>
      <c r="L1182" s="2376">
        <f t="shared" si="247"/>
        <v>15784</v>
      </c>
      <c r="M1182" s="2376">
        <f t="shared" si="247"/>
        <v>17362</v>
      </c>
    </row>
    <row r="1183" spans="1:13" x14ac:dyDescent="0.2">
      <c r="B1183" s="2330"/>
      <c r="C1183" s="2375"/>
      <c r="D1183" s="2375"/>
      <c r="E1183" s="2375"/>
      <c r="F1183" s="2375"/>
      <c r="G1183" s="2375"/>
      <c r="H1183" s="2375"/>
      <c r="I1183" s="2375"/>
      <c r="J1183" s="2375"/>
      <c r="K1183" s="2333">
        <f t="shared" si="246"/>
        <v>0</v>
      </c>
      <c r="L1183" s="2375"/>
      <c r="M1183" s="2375"/>
    </row>
    <row r="1184" spans="1:13" ht="13.5" thickBot="1" x14ac:dyDescent="0.25">
      <c r="B1184" s="2342" t="s">
        <v>6579</v>
      </c>
      <c r="C1184" s="2343">
        <f t="shared" ref="C1184:M1184" si="248">+C1182</f>
        <v>7725</v>
      </c>
      <c r="D1184" s="2343">
        <f t="shared" si="248"/>
        <v>13100</v>
      </c>
      <c r="E1184" s="2343">
        <f t="shared" si="248"/>
        <v>13100</v>
      </c>
      <c r="F1184" s="2343">
        <f t="shared" si="248"/>
        <v>10871</v>
      </c>
      <c r="G1184" s="2343">
        <f t="shared" si="248"/>
        <v>13045.199999999999</v>
      </c>
      <c r="H1184" s="2343"/>
      <c r="I1184" s="2343">
        <f t="shared" si="248"/>
        <v>14349</v>
      </c>
      <c r="J1184" s="2343">
        <f>J1182</f>
        <v>17840.260000000002</v>
      </c>
      <c r="K1184" s="2344">
        <f t="shared" si="246"/>
        <v>17840.260000000002</v>
      </c>
      <c r="L1184" s="2343">
        <f t="shared" si="248"/>
        <v>15784</v>
      </c>
      <c r="M1184" s="2343">
        <f t="shared" si="248"/>
        <v>17362</v>
      </c>
    </row>
    <row r="1185" spans="1:13" ht="13.5" thickTop="1" x14ac:dyDescent="0.2">
      <c r="B1185" s="2346"/>
      <c r="C1185" s="2346"/>
      <c r="D1185" s="2346"/>
      <c r="E1185" s="2346"/>
      <c r="G1185" s="2332"/>
      <c r="H1185" s="2332"/>
      <c r="I1185" s="2332"/>
      <c r="J1185" s="2332">
        <f>J1184+[5]Sheet1!$K$733</f>
        <v>0</v>
      </c>
      <c r="K1185" s="2333">
        <f t="shared" si="246"/>
        <v>0</v>
      </c>
      <c r="L1185" s="2346"/>
      <c r="M1185" s="2346"/>
    </row>
    <row r="1186" spans="1:13" x14ac:dyDescent="0.2">
      <c r="B1186" s="2328" t="s">
        <v>235</v>
      </c>
      <c r="C1186" s="2328"/>
      <c r="D1186" s="2328"/>
      <c r="E1186" s="2328"/>
      <c r="G1186" s="2332"/>
      <c r="H1186" s="2332"/>
      <c r="I1186" s="2332"/>
      <c r="J1186" s="2332"/>
      <c r="K1186" s="2333">
        <f t="shared" si="246"/>
        <v>0</v>
      </c>
      <c r="L1186" s="2328"/>
      <c r="M1186" s="2328"/>
    </row>
    <row r="1187" spans="1:13" x14ac:dyDescent="0.2">
      <c r="B1187" s="2328"/>
      <c r="C1187" s="2328"/>
      <c r="D1187" s="2328"/>
      <c r="E1187" s="2328"/>
      <c r="G1187" s="2332"/>
      <c r="H1187" s="2332"/>
      <c r="I1187" s="2332"/>
      <c r="J1187" s="2332"/>
      <c r="K1187" s="2333">
        <f t="shared" si="246"/>
        <v>0</v>
      </c>
      <c r="L1187" s="2328"/>
      <c r="M1187" s="2328"/>
    </row>
    <row r="1188" spans="1:13" x14ac:dyDescent="0.2">
      <c r="B1188" s="2330" t="s">
        <v>387</v>
      </c>
      <c r="C1188" s="2332"/>
      <c r="D1188" s="2332"/>
      <c r="E1188" s="2332"/>
      <c r="G1188" s="2332"/>
      <c r="H1188" s="2332"/>
      <c r="I1188" s="2332"/>
      <c r="J1188" s="2332"/>
      <c r="K1188" s="2333">
        <f t="shared" si="246"/>
        <v>0</v>
      </c>
      <c r="L1188" s="2332"/>
      <c r="M1188" s="2332"/>
    </row>
    <row r="1189" spans="1:13" x14ac:dyDescent="0.2">
      <c r="A1189" s="2329">
        <v>1001</v>
      </c>
      <c r="B1189" s="2258" t="s">
        <v>6943</v>
      </c>
      <c r="C1189" s="2332">
        <v>180336</v>
      </c>
      <c r="D1189" s="2332">
        <v>149411</v>
      </c>
      <c r="E1189" s="2332">
        <v>149411</v>
      </c>
      <c r="F1189" s="2332">
        <v>164373</v>
      </c>
      <c r="G1189" s="2332">
        <f t="shared" ref="G1189:G1200" si="249">F1189/$F$11*$G$11</f>
        <v>197247.59999999998</v>
      </c>
      <c r="H1189" s="2332"/>
      <c r="I1189" s="2332">
        <f>[6]Salary_Bdgt!$H$233</f>
        <v>322002</v>
      </c>
      <c r="J1189" s="2332">
        <f>[5]Sheet1!$K$740</f>
        <v>193807.68</v>
      </c>
      <c r="K1189" s="2333">
        <f t="shared" si="246"/>
        <v>193807.68</v>
      </c>
      <c r="L1189" s="2332">
        <f t="shared" ref="L1189:L1200" si="250">ROUND(I1189*1.08,0)</f>
        <v>347762</v>
      </c>
      <c r="M1189" s="2332">
        <f t="shared" ref="M1189:M1200" si="251">ROUND(L1189*1.08,0)</f>
        <v>375583</v>
      </c>
    </row>
    <row r="1190" spans="1:13" x14ac:dyDescent="0.2">
      <c r="A1190" s="2329">
        <v>1005</v>
      </c>
      <c r="B1190" s="2258" t="s">
        <v>6944</v>
      </c>
      <c r="C1190" s="2332">
        <v>10402</v>
      </c>
      <c r="D1190" s="2332">
        <v>2891</v>
      </c>
      <c r="E1190" s="2332">
        <f>+D1190</f>
        <v>2891</v>
      </c>
      <c r="F1190" s="2332">
        <v>10057</v>
      </c>
      <c r="G1190" s="2332">
        <f t="shared" si="249"/>
        <v>12068.400000000001</v>
      </c>
      <c r="H1190" s="2332"/>
      <c r="I1190" s="2332">
        <f>+[6]Salary_Bdgt!$L$233</f>
        <v>13493</v>
      </c>
      <c r="J1190" s="2332">
        <f>[5]Sheet1!$K$747</f>
        <v>10642.8</v>
      </c>
      <c r="K1190" s="2333">
        <f t="shared" si="246"/>
        <v>10642.8</v>
      </c>
      <c r="L1190" s="2332">
        <f t="shared" si="250"/>
        <v>14572</v>
      </c>
      <c r="M1190" s="2332">
        <f t="shared" si="251"/>
        <v>15738</v>
      </c>
    </row>
    <row r="1191" spans="1:13" x14ac:dyDescent="0.2">
      <c r="A1191" s="2329">
        <v>1006</v>
      </c>
      <c r="B1191" s="2258" t="s">
        <v>6945</v>
      </c>
      <c r="C1191" s="2332">
        <v>33399</v>
      </c>
      <c r="D1191" s="2332">
        <v>9000</v>
      </c>
      <c r="E1191" s="2332">
        <f>+D1191</f>
        <v>9000</v>
      </c>
      <c r="F1191" s="2332">
        <v>29420</v>
      </c>
      <c r="G1191" s="2332">
        <f t="shared" si="249"/>
        <v>35304</v>
      </c>
      <c r="H1191" s="2332"/>
      <c r="I1191" s="2332">
        <f>+[6]Salary_Bdgt!$N$233</f>
        <v>63606</v>
      </c>
      <c r="J1191" s="2332">
        <f>[5]Sheet1!$K$748</f>
        <v>35101.08</v>
      </c>
      <c r="K1191" s="2333">
        <f t="shared" si="246"/>
        <v>35101.08</v>
      </c>
      <c r="L1191" s="2332">
        <f t="shared" si="250"/>
        <v>68694</v>
      </c>
      <c r="M1191" s="2332">
        <f t="shared" si="251"/>
        <v>74190</v>
      </c>
    </row>
    <row r="1192" spans="1:13" x14ac:dyDescent="0.2">
      <c r="A1192" s="2329">
        <v>1007</v>
      </c>
      <c r="B1192" s="2258" t="s">
        <v>6410</v>
      </c>
      <c r="C1192" s="2332">
        <v>1956</v>
      </c>
      <c r="D1192" s="2332">
        <v>2988</v>
      </c>
      <c r="E1192" s="2332">
        <f>+D1192</f>
        <v>2988</v>
      </c>
      <c r="F1192" s="2332">
        <v>1837</v>
      </c>
      <c r="G1192" s="2332">
        <f t="shared" si="249"/>
        <v>2204.3999999999996</v>
      </c>
      <c r="H1192" s="2332"/>
      <c r="I1192" s="2332">
        <f>+[6]Salary_Bdgt!$I$233</f>
        <v>6513</v>
      </c>
      <c r="J1192" s="2332">
        <f>[5]Sheet1!$K$749</f>
        <v>2229.46</v>
      </c>
      <c r="K1192" s="2333">
        <f t="shared" si="246"/>
        <v>2229.46</v>
      </c>
      <c r="L1192" s="2332">
        <f t="shared" si="250"/>
        <v>7034</v>
      </c>
      <c r="M1192" s="2332">
        <f t="shared" si="251"/>
        <v>7597</v>
      </c>
    </row>
    <row r="1193" spans="1:13" x14ac:dyDescent="0.2">
      <c r="A1193" s="2329">
        <v>1009</v>
      </c>
      <c r="B1193" s="2258" t="s">
        <v>6408</v>
      </c>
      <c r="C1193" s="2332">
        <v>169</v>
      </c>
      <c r="D1193" s="2332">
        <v>115</v>
      </c>
      <c r="E1193" s="2332">
        <f>+D1193</f>
        <v>115</v>
      </c>
      <c r="F1193" s="2332">
        <v>146</v>
      </c>
      <c r="G1193" s="2332">
        <f t="shared" si="249"/>
        <v>175.2</v>
      </c>
      <c r="H1193" s="2332"/>
      <c r="I1193" s="2332">
        <f>+[6]Salary_Bdgt!$M$233</f>
        <v>270</v>
      </c>
      <c r="J1193" s="2332">
        <f>[5]Sheet1!$K$744</f>
        <v>172.2</v>
      </c>
      <c r="K1193" s="2333">
        <f t="shared" si="246"/>
        <v>172.2</v>
      </c>
      <c r="L1193" s="2332">
        <f t="shared" si="250"/>
        <v>292</v>
      </c>
      <c r="M1193" s="2332">
        <f t="shared" si="251"/>
        <v>315</v>
      </c>
    </row>
    <row r="1194" spans="1:13" x14ac:dyDescent="0.2">
      <c r="A1194" s="2329">
        <v>1010</v>
      </c>
      <c r="B1194" s="2258" t="s">
        <v>6946</v>
      </c>
      <c r="C1194" s="2332">
        <v>14843</v>
      </c>
      <c r="D1194" s="2332">
        <v>12451</v>
      </c>
      <c r="E1194" s="2332">
        <f>+D1194</f>
        <v>12451</v>
      </c>
      <c r="F1194" s="2332">
        <v>17685</v>
      </c>
      <c r="G1194" s="2332">
        <f t="shared" si="249"/>
        <v>21222</v>
      </c>
      <c r="H1194" s="2332"/>
      <c r="I1194" s="2332">
        <f>+[6]Salary_Bdgt!$Q$233</f>
        <v>26834</v>
      </c>
      <c r="J1194" s="2332">
        <f>[5]Sheet1!$K$741</f>
        <v>18500.16</v>
      </c>
      <c r="K1194" s="2333">
        <f t="shared" si="246"/>
        <v>18500.16</v>
      </c>
      <c r="L1194" s="2332">
        <f t="shared" si="250"/>
        <v>28981</v>
      </c>
      <c r="M1194" s="2332">
        <f t="shared" si="251"/>
        <v>31299</v>
      </c>
    </row>
    <row r="1195" spans="1:13" x14ac:dyDescent="0.2">
      <c r="A1195" s="2329">
        <v>1011</v>
      </c>
      <c r="B1195" s="2258" t="s">
        <v>6947</v>
      </c>
      <c r="C1195" s="2332">
        <v>0</v>
      </c>
      <c r="D1195" s="2332">
        <v>0</v>
      </c>
      <c r="E1195" s="2332">
        <v>0</v>
      </c>
      <c r="F1195" s="2332">
        <v>0</v>
      </c>
      <c r="G1195" s="2332">
        <f t="shared" si="249"/>
        <v>0</v>
      </c>
      <c r="H1195" s="2332"/>
      <c r="I1195" s="2332">
        <f>+[6]Salary_Bdgt!$U$233</f>
        <v>0</v>
      </c>
      <c r="J1195" s="2332">
        <v>0</v>
      </c>
      <c r="K1195" s="2333">
        <f t="shared" si="246"/>
        <v>0</v>
      </c>
      <c r="L1195" s="2332">
        <f t="shared" si="250"/>
        <v>0</v>
      </c>
      <c r="M1195" s="2332">
        <f t="shared" si="251"/>
        <v>0</v>
      </c>
    </row>
    <row r="1196" spans="1:13" x14ac:dyDescent="0.2">
      <c r="A1196" s="2329">
        <v>1015</v>
      </c>
      <c r="B1196" s="2258" t="s">
        <v>6948</v>
      </c>
      <c r="C1196" s="2332">
        <v>454</v>
      </c>
      <c r="D1196" s="2332">
        <v>0</v>
      </c>
      <c r="E1196" s="2332">
        <f>+D1196</f>
        <v>0</v>
      </c>
      <c r="F1196" s="2332"/>
      <c r="G1196" s="2332">
        <f t="shared" si="249"/>
        <v>0</v>
      </c>
      <c r="H1196" s="2332"/>
      <c r="I1196" s="2332">
        <f>+[6]Salary_Bdgt!$O$233+[6]Salary_Bdgt!$P$233+[6]Salary_Bdgt!$W$233</f>
        <v>0</v>
      </c>
      <c r="J1196" s="2332">
        <v>0</v>
      </c>
      <c r="K1196" s="2333">
        <f t="shared" si="246"/>
        <v>0</v>
      </c>
      <c r="L1196" s="2332">
        <f t="shared" si="250"/>
        <v>0</v>
      </c>
      <c r="M1196" s="2332">
        <f t="shared" si="251"/>
        <v>0</v>
      </c>
    </row>
    <row r="1197" spans="1:13" x14ac:dyDescent="0.2">
      <c r="A1197" s="2329">
        <v>1016</v>
      </c>
      <c r="B1197" s="2258" t="s">
        <v>6949</v>
      </c>
      <c r="C1197" s="2332">
        <v>0</v>
      </c>
      <c r="D1197" s="2332">
        <v>0</v>
      </c>
      <c r="E1197" s="2332">
        <v>0</v>
      </c>
      <c r="F1197" s="2332">
        <v>1415</v>
      </c>
      <c r="G1197" s="2332">
        <f t="shared" si="249"/>
        <v>1698</v>
      </c>
      <c r="H1197" s="2332"/>
      <c r="I1197" s="2332">
        <f>+[6]Salary_Bdgt!$T$233+[6]Salary_Bdgt!$V$233</f>
        <v>7278</v>
      </c>
      <c r="J1197" s="2332">
        <f>[5]Sheet1!$K$743</f>
        <v>2483.69</v>
      </c>
      <c r="K1197" s="2333">
        <f t="shared" si="246"/>
        <v>2483.69</v>
      </c>
      <c r="L1197" s="2332">
        <f t="shared" si="250"/>
        <v>7860</v>
      </c>
      <c r="M1197" s="2332">
        <f t="shared" si="251"/>
        <v>8489</v>
      </c>
    </row>
    <row r="1198" spans="1:13" x14ac:dyDescent="0.2">
      <c r="A1198" s="2329">
        <v>1046</v>
      </c>
      <c r="B1198" s="2258" t="s">
        <v>6951</v>
      </c>
      <c r="C1198" s="2332">
        <v>0</v>
      </c>
      <c r="D1198" s="2332">
        <v>0</v>
      </c>
      <c r="E1198" s="2332">
        <v>0</v>
      </c>
      <c r="F1198" s="2332">
        <v>0</v>
      </c>
      <c r="G1198" s="2332">
        <f t="shared" si="249"/>
        <v>0</v>
      </c>
      <c r="H1198" s="2332"/>
      <c r="I1198" s="2332">
        <f>+[6]Salary_Bdgt!$R$233</f>
        <v>0</v>
      </c>
      <c r="J1198" s="2332">
        <v>0</v>
      </c>
      <c r="K1198" s="2333">
        <f t="shared" si="246"/>
        <v>0</v>
      </c>
      <c r="L1198" s="2332">
        <f t="shared" si="250"/>
        <v>0</v>
      </c>
      <c r="M1198" s="2332">
        <f t="shared" si="251"/>
        <v>0</v>
      </c>
    </row>
    <row r="1199" spans="1:13" x14ac:dyDescent="0.2">
      <c r="A1199" s="2353">
        <v>1017</v>
      </c>
      <c r="B1199" s="2258" t="s">
        <v>6950</v>
      </c>
      <c r="C1199" s="2332">
        <v>196</v>
      </c>
      <c r="D1199" s="2332">
        <v>2988</v>
      </c>
      <c r="E1199" s="2332">
        <f>+D1199</f>
        <v>2988</v>
      </c>
      <c r="F1199" s="2332">
        <v>869</v>
      </c>
      <c r="G1199" s="2332">
        <f t="shared" si="249"/>
        <v>1042.8000000000002</v>
      </c>
      <c r="H1199" s="2332"/>
      <c r="I1199" s="2332">
        <f>+[6]Salary_Bdgt!$J$233</f>
        <v>6513</v>
      </c>
      <c r="J1199" s="2332">
        <f>[5]Sheet1!$K$745</f>
        <v>1984.3199999999997</v>
      </c>
      <c r="K1199" s="2333">
        <f t="shared" si="246"/>
        <v>1984.3199999999997</v>
      </c>
      <c r="L1199" s="2332">
        <f t="shared" si="250"/>
        <v>7034</v>
      </c>
      <c r="M1199" s="2332">
        <f t="shared" si="251"/>
        <v>7597</v>
      </c>
    </row>
    <row r="1200" spans="1:13" x14ac:dyDescent="0.2">
      <c r="A1200" s="2353">
        <v>1182</v>
      </c>
      <c r="B1200" s="2334" t="s">
        <v>6952</v>
      </c>
      <c r="C1200" s="2335">
        <v>1548</v>
      </c>
      <c r="D1200" s="2335">
        <v>2779</v>
      </c>
      <c r="E1200" s="2335">
        <f>+D1200</f>
        <v>2779</v>
      </c>
      <c r="F1200" s="2335">
        <v>0</v>
      </c>
      <c r="G1200" s="2335">
        <f t="shared" si="249"/>
        <v>0</v>
      </c>
      <c r="H1200" s="2335"/>
      <c r="I1200" s="2335">
        <f>+[6]Salary_Bdgt!$K$233</f>
        <v>6057</v>
      </c>
      <c r="J1200" s="2335">
        <f>[5]Sheet1!$K$746</f>
        <v>2066.0500000000002</v>
      </c>
      <c r="K1200" s="2336">
        <f t="shared" si="246"/>
        <v>2066.0500000000002</v>
      </c>
      <c r="L1200" s="2335">
        <f t="shared" si="250"/>
        <v>6542</v>
      </c>
      <c r="M1200" s="2335">
        <f t="shared" si="251"/>
        <v>7065</v>
      </c>
    </row>
    <row r="1201" spans="1:13" x14ac:dyDescent="0.2">
      <c r="B1201" s="2330" t="s">
        <v>6588</v>
      </c>
      <c r="C1201" s="2349">
        <f t="shared" ref="C1201:M1201" si="252">SUM(C1189:C1200)</f>
        <v>243303</v>
      </c>
      <c r="D1201" s="2349">
        <f t="shared" si="252"/>
        <v>182623</v>
      </c>
      <c r="E1201" s="2349">
        <f t="shared" si="252"/>
        <v>182623</v>
      </c>
      <c r="F1201" s="2349">
        <f t="shared" si="252"/>
        <v>225802</v>
      </c>
      <c r="G1201" s="2349">
        <f>SUM(G1189:G1200)</f>
        <v>270962.39999999997</v>
      </c>
      <c r="H1201" s="2349"/>
      <c r="I1201" s="2349">
        <f t="shared" si="252"/>
        <v>452566</v>
      </c>
      <c r="J1201" s="2349">
        <f>SUM(J1189:J1200)</f>
        <v>266987.44</v>
      </c>
      <c r="K1201" s="2333">
        <f t="shared" si="246"/>
        <v>266987.44</v>
      </c>
      <c r="L1201" s="2349">
        <f t="shared" si="252"/>
        <v>488771</v>
      </c>
      <c r="M1201" s="2349">
        <f t="shared" si="252"/>
        <v>527873</v>
      </c>
    </row>
    <row r="1202" spans="1:13" x14ac:dyDescent="0.2">
      <c r="B1202" s="2330"/>
      <c r="C1202" s="2349"/>
      <c r="D1202" s="2349"/>
      <c r="E1202" s="2349"/>
      <c r="G1202" s="2332"/>
      <c r="H1202" s="2332"/>
      <c r="I1202" s="2332"/>
      <c r="J1202" s="2332">
        <f>J1201-[5]Sheet1!$K$750</f>
        <v>0</v>
      </c>
      <c r="K1202" s="2333">
        <f t="shared" si="246"/>
        <v>0</v>
      </c>
      <c r="L1202" s="2349"/>
      <c r="M1202" s="2349"/>
    </row>
    <row r="1203" spans="1:13" x14ac:dyDescent="0.2">
      <c r="B1203" s="2330" t="s">
        <v>6953</v>
      </c>
      <c r="C1203" s="2332"/>
      <c r="D1203" s="2332"/>
      <c r="E1203" s="2332"/>
      <c r="G1203" s="2332"/>
      <c r="H1203" s="2332"/>
      <c r="I1203" s="2332"/>
      <c r="J1203" s="2332"/>
      <c r="K1203" s="2333">
        <f t="shared" si="246"/>
        <v>0</v>
      </c>
      <c r="L1203" s="2332"/>
      <c r="M1203" s="2332"/>
    </row>
    <row r="1204" spans="1:13" x14ac:dyDescent="0.2">
      <c r="A1204" s="2329">
        <v>3205</v>
      </c>
      <c r="B1204" s="2258" t="s">
        <v>200</v>
      </c>
      <c r="C1204" s="2332">
        <v>6573</v>
      </c>
      <c r="D1204" s="2332">
        <v>500000</v>
      </c>
      <c r="E1204" s="2332">
        <v>500000</v>
      </c>
      <c r="F1204" s="2332">
        <v>32657</v>
      </c>
      <c r="G1204" s="2332">
        <f>F1204/$F$11*$G$11</f>
        <v>39188.399999999994</v>
      </c>
      <c r="H1204" s="2332"/>
      <c r="I1204" s="2332">
        <v>0</v>
      </c>
      <c r="J1204" s="2332">
        <f>0</f>
        <v>0</v>
      </c>
      <c r="K1204" s="2333">
        <f t="shared" si="246"/>
        <v>0</v>
      </c>
      <c r="L1204" s="2332">
        <f>ROUND(I1204*1.06,0)</f>
        <v>0</v>
      </c>
      <c r="M1204" s="2332">
        <f>ROUND(L1204*1.06,0)</f>
        <v>0</v>
      </c>
    </row>
    <row r="1205" spans="1:13" x14ac:dyDescent="0.2">
      <c r="A1205" s="2353">
        <v>3206</v>
      </c>
      <c r="B1205" s="2258" t="s">
        <v>7164</v>
      </c>
      <c r="C1205" s="2332">
        <v>3558</v>
      </c>
      <c r="D1205" s="2332">
        <v>5250</v>
      </c>
      <c r="E1205" s="2332">
        <v>5250</v>
      </c>
      <c r="F1205" s="2332">
        <v>697</v>
      </c>
      <c r="G1205" s="2332">
        <f>F1205/$F$11*$G$11</f>
        <v>836.40000000000009</v>
      </c>
      <c r="H1205" s="2332"/>
      <c r="I1205" s="2332">
        <v>0</v>
      </c>
      <c r="J1205" s="2332">
        <v>0</v>
      </c>
      <c r="K1205" s="2333">
        <f t="shared" si="246"/>
        <v>0</v>
      </c>
      <c r="L1205" s="2332">
        <f>ROUND(I1205*1.06,0)</f>
        <v>0</v>
      </c>
      <c r="M1205" s="2332">
        <f>ROUND(L1205*1.06,0)</f>
        <v>0</v>
      </c>
    </row>
    <row r="1206" spans="1:13" x14ac:dyDescent="0.2">
      <c r="A1206" s="2353">
        <v>3354</v>
      </c>
      <c r="B1206" s="2334" t="s">
        <v>4424</v>
      </c>
      <c r="C1206" s="2335">
        <v>4334</v>
      </c>
      <c r="D1206" s="2335">
        <v>5250</v>
      </c>
      <c r="E1206" s="2335">
        <v>5250</v>
      </c>
      <c r="F1206" s="2335">
        <v>597</v>
      </c>
      <c r="G1206" s="2335">
        <f>F1206/$F$11*$G$11</f>
        <v>716.40000000000009</v>
      </c>
      <c r="H1206" s="2335"/>
      <c r="I1206" s="2335">
        <v>0</v>
      </c>
      <c r="J1206" s="2335">
        <v>0</v>
      </c>
      <c r="K1206" s="2336">
        <f t="shared" si="246"/>
        <v>0</v>
      </c>
      <c r="L1206" s="2335">
        <f>ROUND(I1206*1.06,0)</f>
        <v>0</v>
      </c>
      <c r="M1206" s="2335">
        <f>ROUND(L1206*1.06,0)</f>
        <v>0</v>
      </c>
    </row>
    <row r="1207" spans="1:13" x14ac:dyDescent="0.2">
      <c r="B1207" s="2330" t="s">
        <v>6956</v>
      </c>
      <c r="C1207" s="2349">
        <f>SUM(C1204:C1206)</f>
        <v>14465</v>
      </c>
      <c r="D1207" s="2349">
        <f t="shared" ref="D1207:M1207" si="253">SUM(D1204:D1206)</f>
        <v>510500</v>
      </c>
      <c r="E1207" s="2349">
        <f t="shared" si="253"/>
        <v>510500</v>
      </c>
      <c r="F1207" s="2349">
        <f t="shared" si="253"/>
        <v>33951</v>
      </c>
      <c r="G1207" s="2349">
        <f t="shared" si="253"/>
        <v>40741.199999999997</v>
      </c>
      <c r="H1207" s="2349"/>
      <c r="I1207" s="2349">
        <f t="shared" si="253"/>
        <v>0</v>
      </c>
      <c r="J1207" s="2349">
        <v>0</v>
      </c>
      <c r="K1207" s="2333">
        <f t="shared" si="246"/>
        <v>0</v>
      </c>
      <c r="L1207" s="2349">
        <f t="shared" si="253"/>
        <v>0</v>
      </c>
      <c r="M1207" s="2349">
        <f t="shared" si="253"/>
        <v>0</v>
      </c>
    </row>
    <row r="1208" spans="1:13" x14ac:dyDescent="0.2">
      <c r="B1208" s="2330"/>
      <c r="C1208" s="2332"/>
      <c r="D1208" s="2332"/>
      <c r="E1208" s="2332"/>
      <c r="G1208" s="2332"/>
      <c r="H1208" s="2332"/>
      <c r="I1208" s="2332"/>
      <c r="J1208" s="2332"/>
      <c r="K1208" s="2333">
        <f t="shared" si="246"/>
        <v>0</v>
      </c>
      <c r="L1208" s="2332"/>
      <c r="M1208" s="2332"/>
    </row>
    <row r="1209" spans="1:13" x14ac:dyDescent="0.2">
      <c r="B1209" s="2330" t="s">
        <v>6599</v>
      </c>
      <c r="C1209" s="2332"/>
      <c r="D1209" s="2332"/>
      <c r="E1209" s="2332"/>
      <c r="G1209" s="2332"/>
      <c r="H1209" s="2332"/>
      <c r="I1209" s="2332"/>
      <c r="J1209" s="2332"/>
      <c r="K1209" s="2333">
        <f t="shared" si="246"/>
        <v>0</v>
      </c>
      <c r="L1209" s="2332"/>
      <c r="M1209" s="2332"/>
    </row>
    <row r="1210" spans="1:13" x14ac:dyDescent="0.2">
      <c r="A1210" s="2353">
        <v>2116</v>
      </c>
      <c r="B1210" s="2258" t="s">
        <v>7165</v>
      </c>
      <c r="C1210" s="2332">
        <v>9304</v>
      </c>
      <c r="D1210" s="2332">
        <v>6417</v>
      </c>
      <c r="E1210" s="2332">
        <f>6417+1035</f>
        <v>7452</v>
      </c>
      <c r="F1210" s="2332">
        <v>9094</v>
      </c>
      <c r="G1210" s="2332">
        <f t="shared" ref="G1210:G1215" si="254">F1210/$F$11*$G$11</f>
        <v>10912.8</v>
      </c>
      <c r="H1210" s="2332"/>
      <c r="I1210" s="2332">
        <f>ROUND(E1210*1.289,0)</f>
        <v>9606</v>
      </c>
      <c r="J1210" s="2332">
        <f>[5]Sheet1!$K$769</f>
        <v>12266.72</v>
      </c>
      <c r="K1210" s="2333">
        <f t="shared" si="246"/>
        <v>12266.72</v>
      </c>
      <c r="L1210" s="2332">
        <f>ROUND(I1210*1.258,0)</f>
        <v>12084</v>
      </c>
      <c r="M1210" s="2332">
        <f>ROUND(L1210*1.259,0)</f>
        <v>15214</v>
      </c>
    </row>
    <row r="1211" spans="1:13" x14ac:dyDescent="0.2">
      <c r="A1211" s="2353"/>
      <c r="B1211" s="2258" t="s">
        <v>7166</v>
      </c>
      <c r="C1211" s="2332">
        <v>2604</v>
      </c>
      <c r="D1211" s="2332">
        <v>9450</v>
      </c>
      <c r="E1211" s="2332">
        <v>9450</v>
      </c>
      <c r="F1211" s="2332">
        <v>0</v>
      </c>
      <c r="G1211" s="2332">
        <f t="shared" si="254"/>
        <v>0</v>
      </c>
      <c r="H1211" s="2332"/>
      <c r="I1211" s="2332">
        <f>ROUND(E1211*1.05,0)</f>
        <v>9923</v>
      </c>
      <c r="J1211" s="2332">
        <f>[5]Sheet1!$K$762</f>
        <v>4857.92</v>
      </c>
      <c r="K1211" s="2333">
        <f t="shared" si="246"/>
        <v>4857.92</v>
      </c>
      <c r="L1211" s="2332">
        <f>ROUND(I1211*1.06,0)</f>
        <v>10518</v>
      </c>
      <c r="M1211" s="2332">
        <f>ROUND(L1211*1.06,0)</f>
        <v>11149</v>
      </c>
    </row>
    <row r="1212" spans="1:13" x14ac:dyDescent="0.2">
      <c r="A1212" s="2353">
        <v>2227</v>
      </c>
      <c r="B1212" s="2258" t="s">
        <v>231</v>
      </c>
      <c r="C1212" s="2332">
        <v>482</v>
      </c>
      <c r="D1212" s="2332">
        <v>1050</v>
      </c>
      <c r="E1212" s="2332">
        <v>1050</v>
      </c>
      <c r="F1212" s="2332">
        <v>1383</v>
      </c>
      <c r="G1212" s="2332">
        <f t="shared" si="254"/>
        <v>1659.6000000000001</v>
      </c>
      <c r="H1212" s="2332"/>
      <c r="I1212" s="2332">
        <f>ROUND(E1212*1.05,0)</f>
        <v>1103</v>
      </c>
      <c r="J1212" s="2332">
        <f>[5]Sheet1!$K$763</f>
        <v>193.58</v>
      </c>
      <c r="K1212" s="2333">
        <f t="shared" si="246"/>
        <v>193.58</v>
      </c>
      <c r="L1212" s="2332">
        <f>ROUND(I1212*1.06,0)</f>
        <v>1169</v>
      </c>
      <c r="M1212" s="2332">
        <f>ROUND(L1212*1.06,0)</f>
        <v>1239</v>
      </c>
    </row>
    <row r="1213" spans="1:13" x14ac:dyDescent="0.2">
      <c r="A1213" s="2353">
        <v>2244</v>
      </c>
      <c r="B1213" s="2258" t="s">
        <v>7167</v>
      </c>
      <c r="C1213" s="2332">
        <v>68464</v>
      </c>
      <c r="D1213" s="2332">
        <v>70000</v>
      </c>
      <c r="E1213" s="2332">
        <v>70000</v>
      </c>
      <c r="F1213" s="2332">
        <v>131602</v>
      </c>
      <c r="G1213" s="2332">
        <f t="shared" si="254"/>
        <v>157922.40000000002</v>
      </c>
      <c r="H1213" s="2332"/>
      <c r="I1213" s="2332">
        <f>ROUND(E1213*1.05,0)</f>
        <v>73500</v>
      </c>
      <c r="J1213" s="2332">
        <f>[5]Sheet1!$K$764</f>
        <v>179949.08</v>
      </c>
      <c r="K1213" s="2333">
        <f t="shared" si="246"/>
        <v>179949.08</v>
      </c>
      <c r="L1213" s="2332">
        <f>ROUND(I1213*1.06,0)</f>
        <v>77910</v>
      </c>
      <c r="M1213" s="2332">
        <f>ROUND(L1213*1.06,0)</f>
        <v>82585</v>
      </c>
    </row>
    <row r="1214" spans="1:13" x14ac:dyDescent="0.2">
      <c r="A1214" s="2353">
        <v>2249</v>
      </c>
      <c r="B1214" s="2258" t="s">
        <v>7168</v>
      </c>
      <c r="C1214" s="2332">
        <v>16293</v>
      </c>
      <c r="D1214" s="2332">
        <v>50000</v>
      </c>
      <c r="E1214" s="2332">
        <v>50000</v>
      </c>
      <c r="F1214" s="2332">
        <v>39044</v>
      </c>
      <c r="G1214" s="2332">
        <f t="shared" si="254"/>
        <v>46852.800000000003</v>
      </c>
      <c r="H1214" s="2332"/>
      <c r="I1214" s="2332">
        <f>ROUND(E1214*1.05,0)</f>
        <v>52500</v>
      </c>
      <c r="J1214" s="2332">
        <f>[5]Sheet1!$K$765</f>
        <v>176.64</v>
      </c>
      <c r="K1214" s="2333">
        <f t="shared" si="246"/>
        <v>176.64</v>
      </c>
      <c r="L1214" s="2332">
        <f>ROUND(I1214*1.06,0)</f>
        <v>55650</v>
      </c>
      <c r="M1214" s="2332">
        <f>ROUND(L1214*1.06,0)</f>
        <v>58989</v>
      </c>
    </row>
    <row r="1215" spans="1:13" x14ac:dyDescent="0.2">
      <c r="A1215" s="2353">
        <v>2305</v>
      </c>
      <c r="B1215" s="2334" t="s">
        <v>6970</v>
      </c>
      <c r="C1215" s="2335">
        <v>5195</v>
      </c>
      <c r="D1215" s="2335">
        <v>5250</v>
      </c>
      <c r="E1215" s="2335">
        <f>5250-1035</f>
        <v>4215</v>
      </c>
      <c r="F1215" s="2335">
        <v>2845</v>
      </c>
      <c r="G1215" s="2335">
        <f t="shared" si="254"/>
        <v>3414</v>
      </c>
      <c r="H1215" s="2335"/>
      <c r="I1215" s="2335">
        <f>ROUND(E1215*1.05,0)</f>
        <v>4426</v>
      </c>
      <c r="J1215" s="2335">
        <f>[5]Sheet1!$K$768</f>
        <v>5837.44</v>
      </c>
      <c r="K1215" s="2336">
        <f t="shared" si="246"/>
        <v>5837.44</v>
      </c>
      <c r="L1215" s="2335">
        <f>ROUND(I1215*1.06,0)</f>
        <v>4692</v>
      </c>
      <c r="M1215" s="2335">
        <f>ROUND(L1215*1.06,0)</f>
        <v>4974</v>
      </c>
    </row>
    <row r="1216" spans="1:13" x14ac:dyDescent="0.2">
      <c r="B1216" s="2330" t="s">
        <v>6614</v>
      </c>
      <c r="C1216" s="2349">
        <f t="shared" ref="C1216:M1216" si="255">SUM(C1210:C1215)</f>
        <v>102342</v>
      </c>
      <c r="D1216" s="2349">
        <f t="shared" si="255"/>
        <v>142167</v>
      </c>
      <c r="E1216" s="2349">
        <f t="shared" si="255"/>
        <v>142167</v>
      </c>
      <c r="F1216" s="2349">
        <f t="shared" si="255"/>
        <v>183968</v>
      </c>
      <c r="G1216" s="2349">
        <f t="shared" si="255"/>
        <v>220761.60000000003</v>
      </c>
      <c r="H1216" s="2349"/>
      <c r="I1216" s="2349">
        <f t="shared" si="255"/>
        <v>151058</v>
      </c>
      <c r="J1216" s="2349">
        <f>SUM(J1210:J1215)</f>
        <v>203281.38</v>
      </c>
      <c r="K1216" s="2333">
        <f t="shared" si="246"/>
        <v>203281.38</v>
      </c>
      <c r="L1216" s="2349">
        <f t="shared" si="255"/>
        <v>162023</v>
      </c>
      <c r="M1216" s="2349">
        <f t="shared" si="255"/>
        <v>174150</v>
      </c>
    </row>
    <row r="1217" spans="1:13" x14ac:dyDescent="0.2">
      <c r="B1217" s="2338"/>
      <c r="C1217" s="2380"/>
      <c r="D1217" s="2380"/>
      <c r="E1217" s="2380"/>
      <c r="F1217" s="2380"/>
      <c r="G1217" s="2380"/>
      <c r="H1217" s="2380"/>
      <c r="I1217" s="2380"/>
      <c r="J1217" s="2380">
        <f>J1216-[5]Sheet1!$K$774</f>
        <v>0</v>
      </c>
      <c r="K1217" s="2336">
        <f t="shared" si="246"/>
        <v>0</v>
      </c>
      <c r="L1217" s="2380"/>
      <c r="M1217" s="2380"/>
    </row>
    <row r="1218" spans="1:13" x14ac:dyDescent="0.2">
      <c r="B1218" s="2330" t="s">
        <v>6972</v>
      </c>
      <c r="C1218" s="2351">
        <f t="shared" ref="C1218:M1218" si="256">C1201+C1207+C1216</f>
        <v>360110</v>
      </c>
      <c r="D1218" s="2351">
        <f t="shared" si="256"/>
        <v>835290</v>
      </c>
      <c r="E1218" s="2351">
        <f t="shared" si="256"/>
        <v>835290</v>
      </c>
      <c r="F1218" s="2351">
        <f t="shared" si="256"/>
        <v>443721</v>
      </c>
      <c r="G1218" s="2351">
        <f t="shared" si="256"/>
        <v>532465.19999999995</v>
      </c>
      <c r="H1218" s="2351"/>
      <c r="I1218" s="2351">
        <f t="shared" si="256"/>
        <v>603624</v>
      </c>
      <c r="J1218" s="2351">
        <f t="shared" si="256"/>
        <v>470268.82</v>
      </c>
      <c r="K1218" s="2333">
        <f t="shared" si="246"/>
        <v>470268.82</v>
      </c>
      <c r="L1218" s="2351">
        <f t="shared" si="256"/>
        <v>650794</v>
      </c>
      <c r="M1218" s="2351">
        <f t="shared" si="256"/>
        <v>702023</v>
      </c>
    </row>
    <row r="1219" spans="1:13" x14ac:dyDescent="0.2">
      <c r="B1219" s="2330"/>
      <c r="C1219" s="2351"/>
      <c r="D1219" s="2351"/>
      <c r="E1219" s="2351"/>
      <c r="G1219" s="2332"/>
      <c r="H1219" s="2332"/>
      <c r="I1219" s="2332"/>
      <c r="J1219" s="2332"/>
      <c r="K1219" s="2333">
        <f t="shared" si="246"/>
        <v>0</v>
      </c>
      <c r="L1219" s="2351"/>
      <c r="M1219" s="2351"/>
    </row>
    <row r="1220" spans="1:13" x14ac:dyDescent="0.2">
      <c r="B1220" s="2330" t="s">
        <v>6974</v>
      </c>
      <c r="C1220" s="2364"/>
      <c r="D1220" s="2364"/>
      <c r="E1220" s="2364"/>
      <c r="G1220" s="2332"/>
      <c r="H1220" s="2332"/>
      <c r="I1220" s="2332"/>
      <c r="J1220" s="2332"/>
      <c r="K1220" s="2333">
        <f t="shared" si="246"/>
        <v>0</v>
      </c>
      <c r="L1220" s="2364"/>
      <c r="M1220" s="2364"/>
    </row>
    <row r="1221" spans="1:13" x14ac:dyDescent="0.2">
      <c r="A1221" s="2353">
        <v>4204</v>
      </c>
      <c r="B1221" s="2258" t="s">
        <v>6976</v>
      </c>
      <c r="C1221" s="2364">
        <v>6729</v>
      </c>
      <c r="D1221" s="2332">
        <v>6905</v>
      </c>
      <c r="E1221" s="2332">
        <v>6905</v>
      </c>
      <c r="F1221" s="2332">
        <v>0</v>
      </c>
      <c r="G1221" s="2332">
        <f>F1221/$F$11*$G$11</f>
        <v>0</v>
      </c>
      <c r="H1221" s="2332"/>
      <c r="I1221" s="2332">
        <f>ROUND(E1221*1.08,0)</f>
        <v>7457</v>
      </c>
      <c r="J1221" s="2332">
        <f>[5]Sheet1!$K$784</f>
        <v>2544.35</v>
      </c>
      <c r="K1221" s="2333">
        <f t="shared" si="246"/>
        <v>2544.35</v>
      </c>
      <c r="L1221" s="2332">
        <f>ROUND(I1221*1.08,0)</f>
        <v>8054</v>
      </c>
      <c r="M1221" s="2332">
        <f>ROUND(L1221*1.05,0)</f>
        <v>8457</v>
      </c>
    </row>
    <row r="1222" spans="1:13" x14ac:dyDescent="0.2">
      <c r="A1222" s="2353">
        <v>4209</v>
      </c>
      <c r="B1222" s="2258" t="s">
        <v>6449</v>
      </c>
      <c r="C1222" s="2364">
        <v>80</v>
      </c>
      <c r="D1222" s="2332">
        <v>0</v>
      </c>
      <c r="E1222" s="2332">
        <v>0</v>
      </c>
      <c r="F1222" s="2332">
        <v>0</v>
      </c>
      <c r="G1222" s="2332">
        <f>F1222/$F$11*$G$11</f>
        <v>0</v>
      </c>
      <c r="H1222" s="2332"/>
      <c r="I1222" s="2332">
        <f>ROUND(E1222*1.08,0)</f>
        <v>0</v>
      </c>
      <c r="J1222" s="2332">
        <v>0</v>
      </c>
      <c r="K1222" s="2333">
        <f t="shared" si="246"/>
        <v>0</v>
      </c>
      <c r="L1222" s="2332">
        <f>ROUND(I1222*1.08,0)</f>
        <v>0</v>
      </c>
      <c r="M1222" s="2332">
        <f>ROUND(L1222*1.05,0)</f>
        <v>0</v>
      </c>
    </row>
    <row r="1223" spans="1:13" x14ac:dyDescent="0.2">
      <c r="A1223" s="2353">
        <v>4207</v>
      </c>
      <c r="B1223" s="2334" t="s">
        <v>6977</v>
      </c>
      <c r="C1223" s="2397">
        <v>10677</v>
      </c>
      <c r="D1223" s="2335">
        <v>5823</v>
      </c>
      <c r="E1223" s="2335">
        <v>5823</v>
      </c>
      <c r="F1223" s="2335">
        <v>0</v>
      </c>
      <c r="G1223" s="2335">
        <f>F1223/$F$11*$G$11</f>
        <v>0</v>
      </c>
      <c r="H1223" s="2335"/>
      <c r="I1223" s="2335">
        <f>ROUND(E1223*1.08,0)</f>
        <v>6289</v>
      </c>
      <c r="J1223" s="2335">
        <f>[5]Sheet1!$K$785</f>
        <v>2145.96</v>
      </c>
      <c r="K1223" s="2336">
        <f t="shared" si="246"/>
        <v>2145.96</v>
      </c>
      <c r="L1223" s="2335">
        <f>ROUND(I1223*1.08,0)</f>
        <v>6792</v>
      </c>
      <c r="M1223" s="2335">
        <f>ROUND(L1223*1.05,0)</f>
        <v>7132</v>
      </c>
    </row>
    <row r="1224" spans="1:13" x14ac:dyDescent="0.2">
      <c r="B1224" s="2330" t="s">
        <v>6979</v>
      </c>
      <c r="C1224" s="2349">
        <f t="shared" ref="C1224:M1224" si="257">SUM(C1221:C1223)</f>
        <v>17486</v>
      </c>
      <c r="D1224" s="2349">
        <f t="shared" si="257"/>
        <v>12728</v>
      </c>
      <c r="E1224" s="2349">
        <f t="shared" si="257"/>
        <v>12728</v>
      </c>
      <c r="F1224" s="2349">
        <f t="shared" si="257"/>
        <v>0</v>
      </c>
      <c r="G1224" s="2349">
        <f t="shared" si="257"/>
        <v>0</v>
      </c>
      <c r="H1224" s="2349"/>
      <c r="I1224" s="2349">
        <f t="shared" si="257"/>
        <v>13746</v>
      </c>
      <c r="J1224" s="2349">
        <f>J1221+J1223</f>
        <v>4690.3099999999995</v>
      </c>
      <c r="K1224" s="2333">
        <f t="shared" si="246"/>
        <v>4690.3099999999995</v>
      </c>
      <c r="L1224" s="2349">
        <f t="shared" si="257"/>
        <v>14846</v>
      </c>
      <c r="M1224" s="2349">
        <f t="shared" si="257"/>
        <v>15589</v>
      </c>
    </row>
    <row r="1225" spans="1:13" x14ac:dyDescent="0.2">
      <c r="B1225" s="2338"/>
      <c r="C1225" s="2423"/>
      <c r="D1225" s="2423"/>
      <c r="E1225" s="2423"/>
      <c r="F1225" s="2423"/>
      <c r="G1225" s="2423"/>
      <c r="H1225" s="2423"/>
      <c r="I1225" s="2423"/>
      <c r="J1225" s="2423">
        <f>J1224-[5]Sheet1!$K$786</f>
        <v>0</v>
      </c>
      <c r="K1225" s="2336">
        <f t="shared" si="246"/>
        <v>0</v>
      </c>
      <c r="L1225" s="2423"/>
      <c r="M1225" s="2423"/>
    </row>
    <row r="1226" spans="1:13" x14ac:dyDescent="0.2">
      <c r="B1226" s="2330" t="s">
        <v>7147</v>
      </c>
      <c r="C1226" s="2351">
        <f t="shared" ref="C1226:M1226" si="258">+C1218+C1224</f>
        <v>377596</v>
      </c>
      <c r="D1226" s="2351">
        <f t="shared" si="258"/>
        <v>848018</v>
      </c>
      <c r="E1226" s="2351">
        <f t="shared" si="258"/>
        <v>848018</v>
      </c>
      <c r="F1226" s="2351">
        <f t="shared" si="258"/>
        <v>443721</v>
      </c>
      <c r="G1226" s="2351">
        <f t="shared" si="258"/>
        <v>532465.19999999995</v>
      </c>
      <c r="H1226" s="2351"/>
      <c r="I1226" s="2351">
        <f t="shared" si="258"/>
        <v>617370</v>
      </c>
      <c r="J1226" s="2351">
        <f>+J1218+J1224</f>
        <v>474959.13</v>
      </c>
      <c r="K1226" s="2333">
        <f t="shared" si="246"/>
        <v>474959.13</v>
      </c>
      <c r="L1226" s="2351">
        <f t="shared" si="258"/>
        <v>665640</v>
      </c>
      <c r="M1226" s="2351">
        <f t="shared" si="258"/>
        <v>717612</v>
      </c>
    </row>
    <row r="1227" spans="1:13" x14ac:dyDescent="0.2">
      <c r="B1227" s="2330"/>
      <c r="C1227" s="2351"/>
      <c r="D1227" s="2351"/>
      <c r="E1227" s="2351"/>
      <c r="F1227" s="2351"/>
      <c r="G1227" s="2351"/>
      <c r="H1227" s="2351"/>
      <c r="I1227" s="2351"/>
      <c r="J1227" s="2351"/>
      <c r="K1227" s="2333">
        <f t="shared" si="246"/>
        <v>0</v>
      </c>
      <c r="L1227" s="2351"/>
      <c r="M1227" s="2351"/>
    </row>
    <row r="1228" spans="1:13" ht="13.5" thickBot="1" x14ac:dyDescent="0.25">
      <c r="B1228" s="2342" t="s">
        <v>6980</v>
      </c>
      <c r="C1228" s="2354">
        <f t="shared" ref="C1228:M1228" si="259">+C1226</f>
        <v>377596</v>
      </c>
      <c r="D1228" s="2354">
        <f t="shared" si="259"/>
        <v>848018</v>
      </c>
      <c r="E1228" s="2354">
        <f t="shared" si="259"/>
        <v>848018</v>
      </c>
      <c r="F1228" s="2354">
        <f t="shared" si="259"/>
        <v>443721</v>
      </c>
      <c r="G1228" s="2354">
        <f t="shared" si="259"/>
        <v>532465.19999999995</v>
      </c>
      <c r="H1228" s="2354"/>
      <c r="I1228" s="2354">
        <f t="shared" si="259"/>
        <v>617370</v>
      </c>
      <c r="J1228" s="2354">
        <f>+J1226</f>
        <v>474959.13</v>
      </c>
      <c r="K1228" s="2344">
        <f t="shared" si="246"/>
        <v>474959.13</v>
      </c>
      <c r="L1228" s="2354">
        <f t="shared" si="259"/>
        <v>665640</v>
      </c>
      <c r="M1228" s="2354">
        <f t="shared" si="259"/>
        <v>717612</v>
      </c>
    </row>
    <row r="1229" spans="1:13" ht="13.5" thickTop="1" x14ac:dyDescent="0.2">
      <c r="B1229" s="2330"/>
      <c r="C1229" s="2349"/>
      <c r="D1229" s="2349"/>
      <c r="E1229" s="2349"/>
      <c r="F1229" s="2349"/>
      <c r="G1229" s="2349"/>
      <c r="H1229" s="2349"/>
      <c r="I1229" s="2349"/>
      <c r="J1229" s="2349"/>
      <c r="K1229" s="2333">
        <f t="shared" si="246"/>
        <v>0</v>
      </c>
      <c r="L1229" s="2349"/>
      <c r="M1229" s="2349"/>
    </row>
    <row r="1230" spans="1:13" ht="13.5" thickBot="1" x14ac:dyDescent="0.25">
      <c r="B1230" s="2342" t="s">
        <v>6624</v>
      </c>
      <c r="C1230" s="2355">
        <f t="shared" ref="C1230:M1230" si="260">C1184-C1228</f>
        <v>-369871</v>
      </c>
      <c r="D1230" s="2355">
        <f t="shared" si="260"/>
        <v>-834918</v>
      </c>
      <c r="E1230" s="2355">
        <f t="shared" si="260"/>
        <v>-834918</v>
      </c>
      <c r="F1230" s="2355">
        <f t="shared" si="260"/>
        <v>-432850</v>
      </c>
      <c r="G1230" s="2355">
        <f t="shared" si="260"/>
        <v>-519419.99999999994</v>
      </c>
      <c r="H1230" s="2355"/>
      <c r="I1230" s="2355">
        <f t="shared" si="260"/>
        <v>-603021</v>
      </c>
      <c r="J1230" s="2355">
        <f>J1184-J1228</f>
        <v>-457118.87</v>
      </c>
      <c r="K1230" s="2344">
        <f t="shared" si="246"/>
        <v>-457118.87</v>
      </c>
      <c r="L1230" s="2355">
        <f t="shared" si="260"/>
        <v>-649856</v>
      </c>
      <c r="M1230" s="2355">
        <f t="shared" si="260"/>
        <v>-700250</v>
      </c>
    </row>
    <row r="1231" spans="1:13" ht="13.5" thickTop="1" x14ac:dyDescent="0.2">
      <c r="B1231" s="2330"/>
      <c r="C1231" s="2356"/>
      <c r="D1231" s="2356"/>
      <c r="E1231" s="2356"/>
      <c r="G1231" s="2332"/>
      <c r="H1231" s="2332"/>
      <c r="I1231" s="2332"/>
      <c r="J1231" s="2332"/>
      <c r="K1231" s="2333">
        <f t="shared" si="246"/>
        <v>0</v>
      </c>
      <c r="L1231" s="2356"/>
      <c r="M1231" s="2356"/>
    </row>
    <row r="1232" spans="1:13" x14ac:dyDescent="0.2">
      <c r="A1232" s="2369"/>
      <c r="B1232" s="2369"/>
      <c r="C1232" s="2369"/>
      <c r="D1232" s="2369"/>
      <c r="E1232" s="2369"/>
      <c r="G1232" s="2332"/>
      <c r="H1232" s="2332"/>
      <c r="I1232" s="2332"/>
      <c r="J1232" s="2332"/>
      <c r="K1232" s="2333">
        <f t="shared" si="246"/>
        <v>0</v>
      </c>
      <c r="L1232" s="2369"/>
      <c r="M1232" s="2369"/>
    </row>
    <row r="1233" spans="1:13" ht="15" x14ac:dyDescent="0.25">
      <c r="A1233" s="2365">
        <v>1440</v>
      </c>
      <c r="B1233" s="2326" t="s">
        <v>7169</v>
      </c>
      <c r="C1233" s="2326"/>
      <c r="D1233" s="2326"/>
      <c r="E1233" s="2326"/>
      <c r="G1233" s="2332"/>
      <c r="H1233" s="2332"/>
      <c r="I1233" s="2332"/>
      <c r="J1233" s="2332"/>
      <c r="K1233" s="2333">
        <f t="shared" si="246"/>
        <v>0</v>
      </c>
    </row>
    <row r="1234" spans="1:13" ht="15" x14ac:dyDescent="0.25">
      <c r="B1234" s="2326"/>
      <c r="C1234" s="2326"/>
      <c r="D1234" s="2326"/>
      <c r="E1234" s="2326"/>
      <c r="G1234" s="2332"/>
      <c r="H1234" s="2332"/>
      <c r="I1234" s="2332"/>
      <c r="J1234" s="2332"/>
      <c r="K1234" s="2333">
        <f t="shared" si="246"/>
        <v>0</v>
      </c>
    </row>
    <row r="1235" spans="1:13" x14ac:dyDescent="0.2">
      <c r="B1235" s="2328" t="s">
        <v>247</v>
      </c>
      <c r="C1235" s="2328"/>
      <c r="D1235" s="2328"/>
      <c r="E1235" s="2328"/>
      <c r="G1235" s="2332"/>
      <c r="H1235" s="2332"/>
      <c r="I1235" s="2332"/>
      <c r="J1235" s="2332"/>
      <c r="K1235" s="2333">
        <f t="shared" si="246"/>
        <v>0</v>
      </c>
    </row>
    <row r="1236" spans="1:13" x14ac:dyDescent="0.2">
      <c r="B1236" s="2328"/>
      <c r="C1236" s="2328"/>
      <c r="D1236" s="2328"/>
      <c r="E1236" s="2328"/>
      <c r="G1236" s="2332"/>
      <c r="H1236" s="2332"/>
      <c r="I1236" s="2332"/>
      <c r="J1236" s="2332"/>
      <c r="K1236" s="2333">
        <f t="shared" si="246"/>
        <v>0</v>
      </c>
    </row>
    <row r="1237" spans="1:13" x14ac:dyDescent="0.2">
      <c r="B1237" s="2330" t="s">
        <v>1637</v>
      </c>
      <c r="C1237" s="2375"/>
      <c r="D1237" s="2375"/>
      <c r="E1237" s="2375"/>
      <c r="G1237" s="2332"/>
      <c r="H1237" s="2332"/>
      <c r="I1237" s="2332"/>
      <c r="J1237" s="2332"/>
      <c r="K1237" s="2333">
        <f t="shared" ref="K1237:K1300" si="261">J1237</f>
        <v>0</v>
      </c>
    </row>
    <row r="1238" spans="1:13" x14ac:dyDescent="0.2">
      <c r="A1238" s="2353">
        <v>5803</v>
      </c>
      <c r="B1238" s="2334" t="s">
        <v>7170</v>
      </c>
      <c r="C1238" s="2335">
        <v>40933</v>
      </c>
      <c r="D1238" s="2335">
        <v>50863</v>
      </c>
      <c r="E1238" s="2335">
        <v>50863</v>
      </c>
      <c r="F1238" s="2335">
        <v>38750</v>
      </c>
      <c r="G1238" s="2335">
        <f>F1238/$F$11*$G$11</f>
        <v>46500</v>
      </c>
      <c r="H1238" s="2335"/>
      <c r="I1238" s="2335">
        <f>ROUND(G1238*1.1,0)</f>
        <v>51150</v>
      </c>
      <c r="J1238" s="2335">
        <f>-[5]Sheet1!$K$794</f>
        <v>78238.2</v>
      </c>
      <c r="K1238" s="2336">
        <f t="shared" si="261"/>
        <v>78238.2</v>
      </c>
      <c r="L1238" s="2335">
        <f>ROUND(I1238*1.06,0)</f>
        <v>54219</v>
      </c>
      <c r="M1238" s="2335">
        <f>ROUND(L1238*1.06,0)</f>
        <v>57472</v>
      </c>
    </row>
    <row r="1239" spans="1:13" x14ac:dyDescent="0.2">
      <c r="B1239" s="2330" t="s">
        <v>6670</v>
      </c>
      <c r="C1239" s="2376">
        <f t="shared" ref="C1239:M1239" si="262">SUM(C1238:C1238)</f>
        <v>40933</v>
      </c>
      <c r="D1239" s="2376">
        <f t="shared" si="262"/>
        <v>50863</v>
      </c>
      <c r="E1239" s="2376">
        <f t="shared" si="262"/>
        <v>50863</v>
      </c>
      <c r="F1239" s="2376">
        <f t="shared" si="262"/>
        <v>38750</v>
      </c>
      <c r="G1239" s="2376">
        <f t="shared" si="262"/>
        <v>46500</v>
      </c>
      <c r="H1239" s="2376"/>
      <c r="I1239" s="2376">
        <f t="shared" si="262"/>
        <v>51150</v>
      </c>
      <c r="J1239" s="2376">
        <f>J1238</f>
        <v>78238.2</v>
      </c>
      <c r="K1239" s="2333">
        <f t="shared" si="261"/>
        <v>78238.2</v>
      </c>
      <c r="L1239" s="2376">
        <f t="shared" si="262"/>
        <v>54219</v>
      </c>
      <c r="M1239" s="2376">
        <f t="shared" si="262"/>
        <v>57472</v>
      </c>
    </row>
    <row r="1240" spans="1:13" x14ac:dyDescent="0.2">
      <c r="B1240" s="2330"/>
      <c r="C1240" s="2375"/>
      <c r="D1240" s="2375"/>
      <c r="E1240" s="2375"/>
      <c r="F1240" s="2375"/>
      <c r="G1240" s="2375"/>
      <c r="H1240" s="2375"/>
      <c r="I1240" s="2375"/>
      <c r="J1240" s="2375"/>
      <c r="K1240" s="2333">
        <f t="shared" si="261"/>
        <v>0</v>
      </c>
      <c r="L1240" s="2375"/>
      <c r="M1240" s="2375"/>
    </row>
    <row r="1241" spans="1:13" ht="13.5" thickBot="1" x14ac:dyDescent="0.25">
      <c r="B1241" s="2342" t="s">
        <v>6579</v>
      </c>
      <c r="C1241" s="2343">
        <f t="shared" ref="C1241:M1241" si="263">+C1239</f>
        <v>40933</v>
      </c>
      <c r="D1241" s="2343">
        <f t="shared" si="263"/>
        <v>50863</v>
      </c>
      <c r="E1241" s="2343">
        <f t="shared" si="263"/>
        <v>50863</v>
      </c>
      <c r="F1241" s="2343">
        <f t="shared" si="263"/>
        <v>38750</v>
      </c>
      <c r="G1241" s="2343">
        <f t="shared" si="263"/>
        <v>46500</v>
      </c>
      <c r="H1241" s="2343"/>
      <c r="I1241" s="2343">
        <f t="shared" si="263"/>
        <v>51150</v>
      </c>
      <c r="J1241" s="2343">
        <f>J1239</f>
        <v>78238.2</v>
      </c>
      <c r="K1241" s="2344">
        <f t="shared" si="261"/>
        <v>78238.2</v>
      </c>
      <c r="L1241" s="2343">
        <f t="shared" si="263"/>
        <v>54219</v>
      </c>
      <c r="M1241" s="2343">
        <f t="shared" si="263"/>
        <v>57472</v>
      </c>
    </row>
    <row r="1242" spans="1:13" ht="13.5" thickTop="1" x14ac:dyDescent="0.2">
      <c r="B1242" s="2346"/>
      <c r="C1242" s="2346"/>
      <c r="D1242" s="2346"/>
      <c r="E1242" s="2346"/>
      <c r="G1242" s="2332"/>
      <c r="H1242" s="2332"/>
      <c r="I1242" s="2332"/>
      <c r="J1242" s="2332">
        <f>J1241+[5]Sheet1!$K$795</f>
        <v>0</v>
      </c>
      <c r="K1242" s="2333">
        <f t="shared" si="261"/>
        <v>0</v>
      </c>
      <c r="L1242" s="2346"/>
      <c r="M1242" s="2346"/>
    </row>
    <row r="1243" spans="1:13" x14ac:dyDescent="0.2">
      <c r="B1243" s="2328" t="s">
        <v>235</v>
      </c>
      <c r="C1243" s="2328"/>
      <c r="D1243" s="2328"/>
      <c r="E1243" s="2328"/>
      <c r="G1243" s="2332"/>
      <c r="H1243" s="2332"/>
      <c r="I1243" s="2332"/>
      <c r="J1243" s="2332"/>
      <c r="K1243" s="2333">
        <f t="shared" si="261"/>
        <v>0</v>
      </c>
      <c r="L1243" s="2328"/>
      <c r="M1243" s="2328"/>
    </row>
    <row r="1244" spans="1:13" x14ac:dyDescent="0.2">
      <c r="B1244" s="2328"/>
      <c r="C1244" s="2328"/>
      <c r="D1244" s="2328"/>
      <c r="E1244" s="2328"/>
      <c r="G1244" s="2332"/>
      <c r="H1244" s="2332"/>
      <c r="I1244" s="2332"/>
      <c r="J1244" s="2332"/>
      <c r="K1244" s="2333">
        <f t="shared" si="261"/>
        <v>0</v>
      </c>
      <c r="L1244" s="2328"/>
      <c r="M1244" s="2328"/>
    </row>
    <row r="1245" spans="1:13" x14ac:dyDescent="0.2">
      <c r="B1245" s="2330" t="s">
        <v>387</v>
      </c>
      <c r="C1245" s="2332"/>
      <c r="D1245" s="2332"/>
      <c r="E1245" s="2332"/>
      <c r="G1245" s="2332"/>
      <c r="H1245" s="2332"/>
      <c r="I1245" s="2332"/>
      <c r="J1245" s="2332"/>
      <c r="K1245" s="2333">
        <f t="shared" si="261"/>
        <v>0</v>
      </c>
      <c r="L1245" s="2332"/>
      <c r="M1245" s="2332"/>
    </row>
    <row r="1246" spans="1:13" x14ac:dyDescent="0.2">
      <c r="A1246" s="2353">
        <v>1182</v>
      </c>
      <c r="B1246" s="2258" t="s">
        <v>6952</v>
      </c>
      <c r="C1246" s="2332">
        <v>213</v>
      </c>
      <c r="D1246" s="2332">
        <v>0</v>
      </c>
      <c r="E1246" s="2332">
        <v>0</v>
      </c>
      <c r="F1246" s="2332">
        <v>0</v>
      </c>
      <c r="G1246" s="2332">
        <f>F1246/$F$11*$G$11</f>
        <v>0</v>
      </c>
      <c r="H1246" s="2332"/>
      <c r="I1246" s="2332">
        <v>0</v>
      </c>
      <c r="J1246" s="2332">
        <v>0</v>
      </c>
      <c r="K1246" s="2333">
        <f t="shared" si="261"/>
        <v>0</v>
      </c>
      <c r="L1246" s="2332">
        <f>ROUND(I1246*1.08,0)</f>
        <v>0</v>
      </c>
      <c r="M1246" s="2332">
        <f>ROUND(L1246*1.08,0)</f>
        <v>0</v>
      </c>
    </row>
    <row r="1247" spans="1:13" x14ac:dyDescent="0.2">
      <c r="A1247" s="2353">
        <v>1020</v>
      </c>
      <c r="B1247" s="2334" t="s">
        <v>7171</v>
      </c>
      <c r="C1247" s="2335">
        <v>0</v>
      </c>
      <c r="D1247" s="2335">
        <v>0</v>
      </c>
      <c r="E1247" s="2335">
        <v>0</v>
      </c>
      <c r="F1247" s="2335">
        <v>0</v>
      </c>
      <c r="G1247" s="2335">
        <f>F1247/$F$11*$G$11</f>
        <v>0</v>
      </c>
      <c r="H1247" s="2335"/>
      <c r="I1247" s="2335">
        <f>ROUND(G1247*1.05,0)</f>
        <v>0</v>
      </c>
      <c r="J1247" s="2335">
        <v>0</v>
      </c>
      <c r="K1247" s="2336">
        <f t="shared" si="261"/>
        <v>0</v>
      </c>
      <c r="L1247" s="2335">
        <f>ROUND(I1247*1.05,0)</f>
        <v>0</v>
      </c>
      <c r="M1247" s="2335">
        <f>ROUND(L1247*1.05,0)</f>
        <v>0</v>
      </c>
    </row>
    <row r="1248" spans="1:13" x14ac:dyDescent="0.2">
      <c r="B1248" s="2330" t="s">
        <v>6588</v>
      </c>
      <c r="C1248" s="2349">
        <f t="shared" ref="C1248:M1248" si="264">SUM(C1246:C1247)</f>
        <v>213</v>
      </c>
      <c r="D1248" s="2349">
        <f t="shared" si="264"/>
        <v>0</v>
      </c>
      <c r="E1248" s="2349">
        <f t="shared" si="264"/>
        <v>0</v>
      </c>
      <c r="F1248" s="2349">
        <f t="shared" si="264"/>
        <v>0</v>
      </c>
      <c r="G1248" s="2349">
        <f t="shared" si="264"/>
        <v>0</v>
      </c>
      <c r="H1248" s="2349"/>
      <c r="I1248" s="2349">
        <f t="shared" si="264"/>
        <v>0</v>
      </c>
      <c r="J1248" s="2349">
        <v>0</v>
      </c>
      <c r="K1248" s="2333">
        <f t="shared" si="261"/>
        <v>0</v>
      </c>
      <c r="L1248" s="2349">
        <f t="shared" si="264"/>
        <v>0</v>
      </c>
      <c r="M1248" s="2349">
        <f t="shared" si="264"/>
        <v>0</v>
      </c>
    </row>
    <row r="1249" spans="1:13" x14ac:dyDescent="0.2">
      <c r="B1249" s="2330"/>
      <c r="C1249" s="2332"/>
      <c r="D1249" s="2332"/>
      <c r="E1249" s="2332"/>
      <c r="G1249" s="2332"/>
      <c r="H1249" s="2332"/>
      <c r="I1249" s="2332"/>
      <c r="J1249" s="2332"/>
      <c r="K1249" s="2333">
        <f t="shared" si="261"/>
        <v>0</v>
      </c>
      <c r="L1249" s="2332"/>
      <c r="M1249" s="2332"/>
    </row>
    <row r="1250" spans="1:13" x14ac:dyDescent="0.2">
      <c r="B1250" s="2330" t="s">
        <v>6953</v>
      </c>
      <c r="C1250" s="2332"/>
      <c r="D1250" s="2332"/>
      <c r="E1250" s="2332"/>
      <c r="G1250" s="2332"/>
      <c r="H1250" s="2332"/>
      <c r="I1250" s="2332"/>
      <c r="J1250" s="2332"/>
      <c r="K1250" s="2333">
        <f t="shared" si="261"/>
        <v>0</v>
      </c>
      <c r="L1250" s="2332"/>
      <c r="M1250" s="2332"/>
    </row>
    <row r="1251" spans="1:13" x14ac:dyDescent="0.2">
      <c r="A1251" s="2353">
        <v>3208</v>
      </c>
      <c r="B1251" s="2258" t="s">
        <v>7172</v>
      </c>
      <c r="C1251" s="2332">
        <v>0</v>
      </c>
      <c r="D1251" s="2332">
        <v>500000</v>
      </c>
      <c r="E1251" s="2332">
        <f>500000-300000</f>
        <v>200000</v>
      </c>
      <c r="F1251" s="2332">
        <v>0</v>
      </c>
      <c r="G1251" s="2332">
        <f>F1251/$F$11*$G$11</f>
        <v>0</v>
      </c>
      <c r="H1251" s="2332"/>
      <c r="I1251" s="2332">
        <v>0</v>
      </c>
      <c r="J1251" s="2332"/>
      <c r="K1251" s="2333">
        <f t="shared" si="261"/>
        <v>0</v>
      </c>
      <c r="L1251" s="2332">
        <f>ROUND(I1251*1.06,0)</f>
        <v>0</v>
      </c>
      <c r="M1251" s="2332">
        <f>ROUND(L1251*1.06,0)</f>
        <v>0</v>
      </c>
    </row>
    <row r="1252" spans="1:13" x14ac:dyDescent="0.2">
      <c r="A1252" s="2353">
        <v>3339</v>
      </c>
      <c r="B1252" s="2334" t="s">
        <v>7173</v>
      </c>
      <c r="C1252" s="2335">
        <v>0</v>
      </c>
      <c r="D1252" s="2335">
        <v>500000</v>
      </c>
      <c r="E1252" s="2335">
        <f>500000-300000</f>
        <v>200000</v>
      </c>
      <c r="F1252" s="2335">
        <v>1433</v>
      </c>
      <c r="G1252" s="2335">
        <f>F1252/$F$11*$G$11</f>
        <v>1719.6000000000001</v>
      </c>
      <c r="H1252" s="2335"/>
      <c r="I1252" s="2335">
        <v>0</v>
      </c>
      <c r="J1252" s="2335"/>
      <c r="K1252" s="2336">
        <f t="shared" si="261"/>
        <v>0</v>
      </c>
      <c r="L1252" s="2335">
        <f>ROUND(I1252*1.06,0)</f>
        <v>0</v>
      </c>
      <c r="M1252" s="2335">
        <f>ROUND(L1252*1.06,0)</f>
        <v>0</v>
      </c>
    </row>
    <row r="1253" spans="1:13" x14ac:dyDescent="0.2">
      <c r="B1253" s="2330" t="s">
        <v>6956</v>
      </c>
      <c r="C1253" s="2349">
        <f>SUM(C1251:C1252)</f>
        <v>0</v>
      </c>
      <c r="D1253" s="2349">
        <f t="shared" ref="D1253:M1253" si="265">SUM(D1251:D1252)</f>
        <v>1000000</v>
      </c>
      <c r="E1253" s="2349">
        <f t="shared" si="265"/>
        <v>400000</v>
      </c>
      <c r="F1253" s="2349">
        <f t="shared" si="265"/>
        <v>1433</v>
      </c>
      <c r="G1253" s="2349">
        <f t="shared" si="265"/>
        <v>1719.6000000000001</v>
      </c>
      <c r="H1253" s="2349"/>
      <c r="I1253" s="2349">
        <f t="shared" si="265"/>
        <v>0</v>
      </c>
      <c r="J1253" s="2349"/>
      <c r="K1253" s="2333">
        <f t="shared" si="261"/>
        <v>0</v>
      </c>
      <c r="L1253" s="2349">
        <f t="shared" si="265"/>
        <v>0</v>
      </c>
      <c r="M1253" s="2349">
        <f t="shared" si="265"/>
        <v>0</v>
      </c>
    </row>
    <row r="1254" spans="1:13" x14ac:dyDescent="0.2">
      <c r="B1254" s="2330"/>
      <c r="C1254" s="2332"/>
      <c r="D1254" s="2332"/>
      <c r="E1254" s="2332"/>
      <c r="G1254" s="2332"/>
      <c r="H1254" s="2332"/>
      <c r="I1254" s="2332"/>
      <c r="J1254" s="2332"/>
      <c r="K1254" s="2333">
        <f t="shared" si="261"/>
        <v>0</v>
      </c>
      <c r="L1254" s="2332"/>
      <c r="M1254" s="2332"/>
    </row>
    <row r="1255" spans="1:13" x14ac:dyDescent="0.2">
      <c r="B1255" s="2330" t="s">
        <v>6599</v>
      </c>
      <c r="C1255" s="2332"/>
      <c r="D1255" s="2332"/>
      <c r="E1255" s="2332"/>
      <c r="G1255" s="2332"/>
      <c r="H1255" s="2332"/>
      <c r="I1255" s="2332"/>
      <c r="J1255" s="2332"/>
      <c r="K1255" s="2333">
        <f t="shared" si="261"/>
        <v>0</v>
      </c>
      <c r="L1255" s="2332"/>
      <c r="M1255" s="2332"/>
    </row>
    <row r="1256" spans="1:13" x14ac:dyDescent="0.2">
      <c r="A1256" s="2353">
        <v>2205</v>
      </c>
      <c r="B1256" s="2334" t="s">
        <v>7174</v>
      </c>
      <c r="C1256" s="2335">
        <v>4991</v>
      </c>
      <c r="D1256" s="2335">
        <v>50000</v>
      </c>
      <c r="E1256" s="2335">
        <v>50000</v>
      </c>
      <c r="F1256" s="2335">
        <f>13865+2400</f>
        <v>16265</v>
      </c>
      <c r="G1256" s="2335">
        <f>F1256/$F$11*$G$11</f>
        <v>19518</v>
      </c>
      <c r="H1256" s="2335"/>
      <c r="I1256" s="2335">
        <f>ROUND(G1256*1.05,0)</f>
        <v>20494</v>
      </c>
      <c r="J1256" s="2335">
        <f>[5]Sheet1!$K$802</f>
        <v>22300</v>
      </c>
      <c r="K1256" s="2336">
        <f t="shared" si="261"/>
        <v>22300</v>
      </c>
      <c r="L1256" s="2335">
        <f>ROUND(I1256*1.06,0)</f>
        <v>21724</v>
      </c>
      <c r="M1256" s="2335">
        <f>ROUND(L1256*1.06,0)</f>
        <v>23027</v>
      </c>
    </row>
    <row r="1257" spans="1:13" x14ac:dyDescent="0.2">
      <c r="B1257" s="2330" t="s">
        <v>6614</v>
      </c>
      <c r="C1257" s="2349">
        <f t="shared" ref="C1257:M1257" si="266">SUM(C1256)</f>
        <v>4991</v>
      </c>
      <c r="D1257" s="2349">
        <f t="shared" si="266"/>
        <v>50000</v>
      </c>
      <c r="E1257" s="2349">
        <f t="shared" si="266"/>
        <v>50000</v>
      </c>
      <c r="F1257" s="2349">
        <f t="shared" si="266"/>
        <v>16265</v>
      </c>
      <c r="G1257" s="2349">
        <f t="shared" si="266"/>
        <v>19518</v>
      </c>
      <c r="H1257" s="2349"/>
      <c r="I1257" s="2349">
        <f t="shared" si="266"/>
        <v>20494</v>
      </c>
      <c r="J1257" s="2349">
        <f>J1256</f>
        <v>22300</v>
      </c>
      <c r="K1257" s="2333">
        <f t="shared" si="261"/>
        <v>22300</v>
      </c>
      <c r="L1257" s="2349">
        <f t="shared" si="266"/>
        <v>21724</v>
      </c>
      <c r="M1257" s="2349">
        <f t="shared" si="266"/>
        <v>23027</v>
      </c>
    </row>
    <row r="1258" spans="1:13" x14ac:dyDescent="0.2">
      <c r="B1258" s="2338"/>
      <c r="C1258" s="2380"/>
      <c r="D1258" s="2380"/>
      <c r="E1258" s="2380"/>
      <c r="F1258" s="2380"/>
      <c r="G1258" s="2380"/>
      <c r="H1258" s="2380"/>
      <c r="I1258" s="2380"/>
      <c r="J1258" s="2380"/>
      <c r="K1258" s="2336">
        <f t="shared" si="261"/>
        <v>0</v>
      </c>
      <c r="L1258" s="2380"/>
      <c r="M1258" s="2380"/>
    </row>
    <row r="1259" spans="1:13" x14ac:dyDescent="0.2">
      <c r="B1259" s="2330" t="s">
        <v>6972</v>
      </c>
      <c r="C1259" s="2351">
        <f t="shared" ref="C1259:M1259" si="267">C1248+C1253+C1257</f>
        <v>5204</v>
      </c>
      <c r="D1259" s="2351">
        <f t="shared" si="267"/>
        <v>1050000</v>
      </c>
      <c r="E1259" s="2351">
        <f t="shared" si="267"/>
        <v>450000</v>
      </c>
      <c r="F1259" s="2351">
        <f t="shared" si="267"/>
        <v>17698</v>
      </c>
      <c r="G1259" s="2351">
        <f t="shared" si="267"/>
        <v>21237.599999999999</v>
      </c>
      <c r="H1259" s="2351"/>
      <c r="I1259" s="2351">
        <f t="shared" si="267"/>
        <v>20494</v>
      </c>
      <c r="J1259" s="2351">
        <f>J1257</f>
        <v>22300</v>
      </c>
      <c r="K1259" s="2333">
        <f t="shared" si="261"/>
        <v>22300</v>
      </c>
      <c r="L1259" s="2351">
        <f t="shared" si="267"/>
        <v>21724</v>
      </c>
      <c r="M1259" s="2351">
        <f t="shared" si="267"/>
        <v>23027</v>
      </c>
    </row>
    <row r="1260" spans="1:13" x14ac:dyDescent="0.2">
      <c r="B1260" s="2330"/>
      <c r="C1260" s="2364"/>
      <c r="D1260" s="2364"/>
      <c r="E1260" s="2364"/>
      <c r="F1260" s="2364"/>
      <c r="G1260" s="2364"/>
      <c r="H1260" s="2364"/>
      <c r="I1260" s="2364"/>
      <c r="J1260" s="2364">
        <f>J1259-[5]Sheet1!$K$802</f>
        <v>0</v>
      </c>
      <c r="K1260" s="2333">
        <f t="shared" si="261"/>
        <v>0</v>
      </c>
      <c r="L1260" s="2364"/>
      <c r="M1260" s="2364"/>
    </row>
    <row r="1261" spans="1:13" x14ac:dyDescent="0.2">
      <c r="B1261" s="2330" t="s">
        <v>6974</v>
      </c>
      <c r="C1261" s="2364"/>
      <c r="D1261" s="2364"/>
      <c r="E1261" s="2364"/>
      <c r="F1261" s="2364"/>
      <c r="G1261" s="2364"/>
      <c r="H1261" s="2364"/>
      <c r="I1261" s="2364"/>
      <c r="J1261" s="2364"/>
      <c r="K1261" s="2333">
        <f t="shared" si="261"/>
        <v>0</v>
      </c>
      <c r="L1261" s="2364"/>
      <c r="M1261" s="2364"/>
    </row>
    <row r="1262" spans="1:13" x14ac:dyDescent="0.2">
      <c r="A1262" s="2353">
        <v>4209</v>
      </c>
      <c r="B1262" s="2334" t="s">
        <v>7022</v>
      </c>
      <c r="C1262" s="2335">
        <v>359</v>
      </c>
      <c r="D1262" s="2335">
        <v>0</v>
      </c>
      <c r="E1262" s="2335">
        <v>0</v>
      </c>
      <c r="F1262" s="2335">
        <v>0</v>
      </c>
      <c r="G1262" s="2335">
        <v>0</v>
      </c>
      <c r="H1262" s="2335"/>
      <c r="I1262" s="2335">
        <v>0</v>
      </c>
      <c r="J1262" s="2335">
        <v>0</v>
      </c>
      <c r="K1262" s="2336">
        <f t="shared" si="261"/>
        <v>0</v>
      </c>
      <c r="L1262" s="2335">
        <v>0</v>
      </c>
      <c r="M1262" s="2335">
        <v>0</v>
      </c>
    </row>
    <row r="1263" spans="1:13" x14ac:dyDescent="0.2">
      <c r="B1263" s="2330" t="s">
        <v>6979</v>
      </c>
      <c r="C1263" s="2351">
        <f t="shared" ref="C1263:M1263" si="268">SUM(C1262)</f>
        <v>359</v>
      </c>
      <c r="D1263" s="2351">
        <f t="shared" si="268"/>
        <v>0</v>
      </c>
      <c r="E1263" s="2351">
        <f t="shared" si="268"/>
        <v>0</v>
      </c>
      <c r="F1263" s="2351">
        <f t="shared" si="268"/>
        <v>0</v>
      </c>
      <c r="G1263" s="2351">
        <f t="shared" si="268"/>
        <v>0</v>
      </c>
      <c r="H1263" s="2351"/>
      <c r="I1263" s="2351">
        <f t="shared" si="268"/>
        <v>0</v>
      </c>
      <c r="J1263" s="2351">
        <v>0</v>
      </c>
      <c r="K1263" s="2333">
        <f t="shared" si="261"/>
        <v>0</v>
      </c>
      <c r="L1263" s="2351">
        <f t="shared" si="268"/>
        <v>0</v>
      </c>
      <c r="M1263" s="2351">
        <f t="shared" si="268"/>
        <v>0</v>
      </c>
    </row>
    <row r="1264" spans="1:13" x14ac:dyDescent="0.2">
      <c r="B1264" s="2330"/>
      <c r="C1264" s="2364"/>
      <c r="D1264" s="2364"/>
      <c r="E1264" s="2364"/>
      <c r="F1264" s="2364"/>
      <c r="G1264" s="2364"/>
      <c r="H1264" s="2364"/>
      <c r="I1264" s="2364"/>
      <c r="J1264" s="2364"/>
      <c r="K1264" s="2333">
        <f t="shared" si="261"/>
        <v>0</v>
      </c>
      <c r="L1264" s="2364"/>
      <c r="M1264" s="2364"/>
    </row>
    <row r="1265" spans="1:13" ht="13.5" thickBot="1" x14ac:dyDescent="0.25">
      <c r="B1265" s="2342" t="s">
        <v>6980</v>
      </c>
      <c r="C1265" s="2354">
        <f t="shared" ref="C1265:M1265" si="269">C1259+C1263</f>
        <v>5563</v>
      </c>
      <c r="D1265" s="2354">
        <f t="shared" si="269"/>
        <v>1050000</v>
      </c>
      <c r="E1265" s="2354">
        <f t="shared" si="269"/>
        <v>450000</v>
      </c>
      <c r="F1265" s="2354">
        <f t="shared" si="269"/>
        <v>17698</v>
      </c>
      <c r="G1265" s="2354">
        <f t="shared" si="269"/>
        <v>21237.599999999999</v>
      </c>
      <c r="H1265" s="2354"/>
      <c r="I1265" s="2354">
        <f t="shared" si="269"/>
        <v>20494</v>
      </c>
      <c r="J1265" s="2354">
        <f>J1259</f>
        <v>22300</v>
      </c>
      <c r="K1265" s="2344">
        <f t="shared" si="261"/>
        <v>22300</v>
      </c>
      <c r="L1265" s="2354">
        <f t="shared" si="269"/>
        <v>21724</v>
      </c>
      <c r="M1265" s="2354">
        <f t="shared" si="269"/>
        <v>23027</v>
      </c>
    </row>
    <row r="1266" spans="1:13" ht="13.5" thickTop="1" x14ac:dyDescent="0.2">
      <c r="B1266" s="2330"/>
      <c r="C1266" s="2349"/>
      <c r="D1266" s="2349"/>
      <c r="E1266" s="2349"/>
      <c r="F1266" s="2349"/>
      <c r="G1266" s="2349"/>
      <c r="H1266" s="2349"/>
      <c r="I1266" s="2349"/>
      <c r="J1266" s="2349"/>
      <c r="K1266" s="2333">
        <f t="shared" si="261"/>
        <v>0</v>
      </c>
      <c r="L1266" s="2349"/>
      <c r="M1266" s="2349"/>
    </row>
    <row r="1267" spans="1:13" ht="13.5" thickBot="1" x14ac:dyDescent="0.25">
      <c r="B1267" s="2342" t="s">
        <v>6624</v>
      </c>
      <c r="C1267" s="2355">
        <f t="shared" ref="C1267:M1267" si="270">C1241-C1265</f>
        <v>35370</v>
      </c>
      <c r="D1267" s="2355">
        <f t="shared" si="270"/>
        <v>-999137</v>
      </c>
      <c r="E1267" s="2355">
        <f t="shared" si="270"/>
        <v>-399137</v>
      </c>
      <c r="F1267" s="2355">
        <f t="shared" si="270"/>
        <v>21052</v>
      </c>
      <c r="G1267" s="2355">
        <f t="shared" si="270"/>
        <v>25262.400000000001</v>
      </c>
      <c r="H1267" s="2355"/>
      <c r="I1267" s="2355">
        <f t="shared" si="270"/>
        <v>30656</v>
      </c>
      <c r="J1267" s="2355">
        <f t="shared" si="270"/>
        <v>55938.2</v>
      </c>
      <c r="K1267" s="2344">
        <f t="shared" si="261"/>
        <v>55938.2</v>
      </c>
      <c r="L1267" s="2355">
        <f t="shared" si="270"/>
        <v>32495</v>
      </c>
      <c r="M1267" s="2355">
        <f t="shared" si="270"/>
        <v>34445</v>
      </c>
    </row>
    <row r="1268" spans="1:13" ht="13.5" thickTop="1" x14ac:dyDescent="0.2">
      <c r="B1268" s="2330"/>
      <c r="C1268" s="2356"/>
      <c r="D1268" s="2356"/>
      <c r="E1268" s="2356"/>
      <c r="G1268" s="2332"/>
      <c r="H1268" s="2332"/>
      <c r="I1268" s="2332"/>
      <c r="J1268" s="2332"/>
      <c r="K1268" s="2333">
        <f t="shared" si="261"/>
        <v>0</v>
      </c>
      <c r="L1268" s="2356"/>
      <c r="M1268" s="2356"/>
    </row>
    <row r="1269" spans="1:13" x14ac:dyDescent="0.2">
      <c r="A1269" s="2369"/>
      <c r="B1269" s="2369"/>
      <c r="C1269" s="2369"/>
      <c r="D1269" s="2369"/>
      <c r="E1269" s="2369"/>
      <c r="G1269" s="2332"/>
      <c r="H1269" s="2332"/>
      <c r="I1269" s="2332"/>
      <c r="J1269" s="2332"/>
      <c r="K1269" s="2333">
        <f t="shared" si="261"/>
        <v>0</v>
      </c>
      <c r="L1269" s="2369"/>
      <c r="M1269" s="2369"/>
    </row>
    <row r="1270" spans="1:13" ht="15.75" x14ac:dyDescent="0.25">
      <c r="A1270" s="2374">
        <v>1500</v>
      </c>
      <c r="B1270" s="2421" t="s">
        <v>1734</v>
      </c>
      <c r="G1270" s="2332"/>
      <c r="H1270" s="2332"/>
      <c r="I1270" s="2332"/>
      <c r="J1270" s="2332"/>
      <c r="K1270" s="2333">
        <f t="shared" si="261"/>
        <v>0</v>
      </c>
    </row>
    <row r="1271" spans="1:13" ht="15" x14ac:dyDescent="0.25">
      <c r="A1271" s="2365">
        <v>1510</v>
      </c>
      <c r="B1271" s="2366" t="s">
        <v>7175</v>
      </c>
      <c r="G1271" s="2332"/>
      <c r="H1271" s="2332"/>
      <c r="I1271" s="2332"/>
      <c r="J1271" s="2332"/>
      <c r="K1271" s="2333">
        <f t="shared" si="261"/>
        <v>0</v>
      </c>
    </row>
    <row r="1272" spans="1:13" ht="15" x14ac:dyDescent="0.25">
      <c r="A1272" s="2365"/>
      <c r="B1272" s="2366"/>
      <c r="G1272" s="2332"/>
      <c r="H1272" s="2332"/>
      <c r="I1272" s="2332"/>
      <c r="J1272" s="2332"/>
      <c r="K1272" s="2333">
        <f t="shared" si="261"/>
        <v>0</v>
      </c>
    </row>
    <row r="1273" spans="1:13" x14ac:dyDescent="0.2">
      <c r="B1273" s="2328" t="s">
        <v>247</v>
      </c>
      <c r="C1273" s="2328"/>
      <c r="D1273" s="2328"/>
      <c r="E1273" s="2328"/>
      <c r="G1273" s="2332"/>
      <c r="H1273" s="2332"/>
      <c r="I1273" s="2332"/>
      <c r="J1273" s="2332"/>
      <c r="K1273" s="2333">
        <f t="shared" si="261"/>
        <v>0</v>
      </c>
    </row>
    <row r="1274" spans="1:13" x14ac:dyDescent="0.2">
      <c r="B1274" s="2330"/>
      <c r="C1274" s="2375"/>
      <c r="D1274" s="2375"/>
      <c r="E1274" s="2375"/>
      <c r="G1274" s="2332"/>
      <c r="H1274" s="2332"/>
      <c r="I1274" s="2332"/>
      <c r="J1274" s="2332"/>
      <c r="K1274" s="2333">
        <f t="shared" si="261"/>
        <v>0</v>
      </c>
    </row>
    <row r="1275" spans="1:13" x14ac:dyDescent="0.2">
      <c r="B1275" s="2330" t="s">
        <v>6644</v>
      </c>
      <c r="C1275" s="2375"/>
      <c r="D1275" s="2375"/>
      <c r="E1275" s="2375"/>
      <c r="G1275" s="2332"/>
      <c r="H1275" s="2332"/>
      <c r="I1275" s="2332"/>
      <c r="J1275" s="2332"/>
      <c r="K1275" s="2333">
        <f t="shared" si="261"/>
        <v>0</v>
      </c>
    </row>
    <row r="1276" spans="1:13" x14ac:dyDescent="0.2">
      <c r="A1276" s="2353">
        <v>5624</v>
      </c>
      <c r="B1276" s="2334" t="s">
        <v>7176</v>
      </c>
      <c r="C1276" s="2335">
        <v>197209</v>
      </c>
      <c r="D1276" s="2335">
        <f>198000*1.116</f>
        <v>220968.00000000003</v>
      </c>
      <c r="E1276" s="2335">
        <v>220968</v>
      </c>
      <c r="F1276" s="2335">
        <v>210213</v>
      </c>
      <c r="G1276" s="2335">
        <f>F1276/$F$11*$G$11</f>
        <v>252255.59999999998</v>
      </c>
      <c r="H1276" s="2335"/>
      <c r="I1276" s="2335">
        <f>ROUND(G1276*1.1,0)</f>
        <v>277481</v>
      </c>
      <c r="J1276" s="2335">
        <f>-[5]Sheet1!$K$849</f>
        <v>505769.37</v>
      </c>
      <c r="K1276" s="2336">
        <f t="shared" si="261"/>
        <v>505769.37</v>
      </c>
      <c r="L1276" s="2335">
        <f>ROUND(I1276*1.06,0)</f>
        <v>294130</v>
      </c>
      <c r="M1276" s="2335">
        <f>ROUND(L1276*1.06,0)</f>
        <v>311778</v>
      </c>
    </row>
    <row r="1277" spans="1:13" x14ac:dyDescent="0.2">
      <c r="A1277" s="2403"/>
      <c r="B1277" s="2330" t="s">
        <v>6646</v>
      </c>
      <c r="C1277" s="2376">
        <f t="shared" ref="C1277:M1277" si="271">SUM(C1276)</f>
        <v>197209</v>
      </c>
      <c r="D1277" s="2376">
        <f t="shared" si="271"/>
        <v>220968.00000000003</v>
      </c>
      <c r="E1277" s="2376">
        <f t="shared" si="271"/>
        <v>220968</v>
      </c>
      <c r="F1277" s="2376">
        <f t="shared" si="271"/>
        <v>210213</v>
      </c>
      <c r="G1277" s="2376">
        <f t="shared" si="271"/>
        <v>252255.59999999998</v>
      </c>
      <c r="H1277" s="2376"/>
      <c r="I1277" s="2376">
        <f t="shared" si="271"/>
        <v>277481</v>
      </c>
      <c r="J1277" s="2376">
        <f>J1276</f>
        <v>505769.37</v>
      </c>
      <c r="K1277" s="2333">
        <f t="shared" si="261"/>
        <v>505769.37</v>
      </c>
      <c r="L1277" s="2376">
        <f t="shared" si="271"/>
        <v>294130</v>
      </c>
      <c r="M1277" s="2376">
        <f t="shared" si="271"/>
        <v>311778</v>
      </c>
    </row>
    <row r="1278" spans="1:13" x14ac:dyDescent="0.2">
      <c r="B1278" s="2330"/>
      <c r="C1278" s="2375"/>
      <c r="D1278" s="2375"/>
      <c r="E1278" s="2375"/>
      <c r="F1278" s="2309"/>
      <c r="G1278" s="2332"/>
      <c r="H1278" s="2332"/>
      <c r="I1278" s="2332"/>
      <c r="J1278" s="2332"/>
      <c r="K1278" s="2333">
        <f t="shared" si="261"/>
        <v>0</v>
      </c>
    </row>
    <row r="1279" spans="1:13" x14ac:dyDescent="0.2">
      <c r="B1279" s="2330" t="s">
        <v>1637</v>
      </c>
      <c r="C1279" s="2376"/>
      <c r="D1279" s="2376"/>
      <c r="E1279" s="2376"/>
      <c r="G1279" s="2332"/>
      <c r="H1279" s="2332"/>
      <c r="I1279" s="2332"/>
      <c r="J1279" s="2332"/>
      <c r="K1279" s="2333">
        <f t="shared" si="261"/>
        <v>0</v>
      </c>
      <c r="L1279" s="2376"/>
      <c r="M1279" s="2376"/>
    </row>
    <row r="1280" spans="1:13" x14ac:dyDescent="0.2">
      <c r="A1280" s="2424">
        <v>5622</v>
      </c>
      <c r="B1280" s="2425" t="s">
        <v>7177</v>
      </c>
      <c r="C1280" s="2426">
        <v>250</v>
      </c>
      <c r="D1280" s="2426">
        <v>0</v>
      </c>
      <c r="E1280" s="2426">
        <v>0</v>
      </c>
      <c r="F1280" s="2426">
        <v>100</v>
      </c>
      <c r="G1280" s="2427">
        <f>F1280/$F$11*$G$11</f>
        <v>120</v>
      </c>
      <c r="H1280" s="2427"/>
      <c r="I1280" s="2332">
        <f>ROUND(G1280*1.1,0)</f>
        <v>132</v>
      </c>
      <c r="J1280" s="2332">
        <f>-[5]Sheet1!$K$853</f>
        <v>1327.88</v>
      </c>
      <c r="K1280" s="2333">
        <f t="shared" si="261"/>
        <v>1327.88</v>
      </c>
      <c r="L1280" s="2427">
        <f>ROUND(I1280*1.06,0)</f>
        <v>140</v>
      </c>
      <c r="M1280" s="2427">
        <f>ROUND(L1280*1.06,0)</f>
        <v>148</v>
      </c>
    </row>
    <row r="1281" spans="1:13" x14ac:dyDescent="0.2">
      <c r="A1281" s="2353">
        <v>5805</v>
      </c>
      <c r="B1281" s="2334" t="s">
        <v>7178</v>
      </c>
      <c r="C1281" s="2335">
        <v>298</v>
      </c>
      <c r="D1281" s="2335">
        <v>16500</v>
      </c>
      <c r="E1281" s="2335">
        <v>16500</v>
      </c>
      <c r="F1281" s="2335">
        <v>829</v>
      </c>
      <c r="G1281" s="2335">
        <f>F1281/$F$11*$G$11</f>
        <v>994.80000000000007</v>
      </c>
      <c r="H1281" s="2335"/>
      <c r="I1281" s="2335">
        <f>ROUND(E1281*1.1,0)</f>
        <v>18150</v>
      </c>
      <c r="J1281" s="2335">
        <f>-[5]Sheet1!$K$861</f>
        <v>10804.2</v>
      </c>
      <c r="K1281" s="2336">
        <f t="shared" si="261"/>
        <v>10804.2</v>
      </c>
      <c r="L1281" s="2335">
        <f>ROUND(I1281*1.06,0)</f>
        <v>19239</v>
      </c>
      <c r="M1281" s="2335">
        <f>ROUND(L1281*1.06,0)</f>
        <v>20393</v>
      </c>
    </row>
    <row r="1282" spans="1:13" x14ac:dyDescent="0.2">
      <c r="B1282" s="2330" t="s">
        <v>6670</v>
      </c>
      <c r="C1282" s="2376">
        <f>SUM(C1280:C1281)</f>
        <v>548</v>
      </c>
      <c r="D1282" s="2376">
        <f t="shared" ref="D1282:M1282" si="272">SUM(D1280:D1281)</f>
        <v>16500</v>
      </c>
      <c r="E1282" s="2376">
        <f t="shared" si="272"/>
        <v>16500</v>
      </c>
      <c r="F1282" s="2376">
        <f t="shared" si="272"/>
        <v>929</v>
      </c>
      <c r="G1282" s="2376">
        <f t="shared" si="272"/>
        <v>1114.8000000000002</v>
      </c>
      <c r="H1282" s="2376"/>
      <c r="I1282" s="2376">
        <f t="shared" si="272"/>
        <v>18282</v>
      </c>
      <c r="J1282" s="2376">
        <f>J1280+J1281</f>
        <v>12132.080000000002</v>
      </c>
      <c r="K1282" s="2333">
        <f t="shared" si="261"/>
        <v>12132.080000000002</v>
      </c>
      <c r="L1282" s="2376">
        <f t="shared" si="272"/>
        <v>19379</v>
      </c>
      <c r="M1282" s="2376">
        <f t="shared" si="272"/>
        <v>20541</v>
      </c>
    </row>
    <row r="1283" spans="1:13" x14ac:dyDescent="0.2">
      <c r="B1283" s="2330"/>
      <c r="C1283" s="2375"/>
      <c r="D1283" s="2375"/>
      <c r="E1283" s="2375"/>
      <c r="F1283" s="2375"/>
      <c r="G1283" s="2375"/>
      <c r="H1283" s="2375"/>
      <c r="I1283" s="2375"/>
      <c r="J1283" s="2375"/>
      <c r="K1283" s="2333">
        <f t="shared" si="261"/>
        <v>0</v>
      </c>
      <c r="L1283" s="2375"/>
      <c r="M1283" s="2375"/>
    </row>
    <row r="1284" spans="1:13" ht="13.5" thickBot="1" x14ac:dyDescent="0.25">
      <c r="B1284" s="2342" t="s">
        <v>6579</v>
      </c>
      <c r="C1284" s="2343">
        <f>+C1277+C1282</f>
        <v>197757</v>
      </c>
      <c r="D1284" s="2343">
        <f t="shared" ref="D1284:M1284" si="273">+D1277+D1282</f>
        <v>237468.00000000003</v>
      </c>
      <c r="E1284" s="2343">
        <f t="shared" si="273"/>
        <v>237468</v>
      </c>
      <c r="F1284" s="2343">
        <f t="shared" si="273"/>
        <v>211142</v>
      </c>
      <c r="G1284" s="2343">
        <f t="shared" si="273"/>
        <v>253370.39999999997</v>
      </c>
      <c r="H1284" s="2343"/>
      <c r="I1284" s="2343">
        <f t="shared" si="273"/>
        <v>295763</v>
      </c>
      <c r="J1284" s="2343">
        <f>J1282+J1277</f>
        <v>517901.45</v>
      </c>
      <c r="K1284" s="2344">
        <f t="shared" si="261"/>
        <v>517901.45</v>
      </c>
      <c r="L1284" s="2343">
        <f t="shared" si="273"/>
        <v>313509</v>
      </c>
      <c r="M1284" s="2343">
        <f t="shared" si="273"/>
        <v>332319</v>
      </c>
    </row>
    <row r="1285" spans="1:13" ht="13.5" thickTop="1" x14ac:dyDescent="0.2">
      <c r="B1285" s="2346"/>
      <c r="C1285" s="2346"/>
      <c r="D1285" s="2346"/>
      <c r="E1285" s="2346"/>
      <c r="G1285" s="2332"/>
      <c r="H1285" s="2332"/>
      <c r="I1285" s="2332"/>
      <c r="J1285" s="2332">
        <f>J1284+[5]Sheet1!$K$850+[5]Sheet1!$K$854+[5]Sheet1!$K$861</f>
        <v>1.4551915228366852E-11</v>
      </c>
      <c r="K1285" s="2333">
        <f t="shared" si="261"/>
        <v>1.4551915228366852E-11</v>
      </c>
      <c r="L1285" s="2346"/>
      <c r="M1285" s="2346"/>
    </row>
    <row r="1286" spans="1:13" x14ac:dyDescent="0.2">
      <c r="B1286" s="2328" t="s">
        <v>235</v>
      </c>
      <c r="C1286" s="2328"/>
      <c r="D1286" s="2328"/>
      <c r="E1286" s="2328"/>
      <c r="G1286" s="2332"/>
      <c r="H1286" s="2332"/>
      <c r="I1286" s="2332"/>
      <c r="J1286" s="2332"/>
      <c r="K1286" s="2333">
        <f t="shared" si="261"/>
        <v>0</v>
      </c>
      <c r="L1286" s="2328"/>
      <c r="M1286" s="2328"/>
    </row>
    <row r="1287" spans="1:13" x14ac:dyDescent="0.2">
      <c r="B1287" s="2328"/>
      <c r="C1287" s="2328"/>
      <c r="D1287" s="2328"/>
      <c r="E1287" s="2328"/>
      <c r="G1287" s="2332"/>
      <c r="H1287" s="2332"/>
      <c r="I1287" s="2332"/>
      <c r="J1287" s="2332"/>
      <c r="K1287" s="2333">
        <f t="shared" si="261"/>
        <v>0</v>
      </c>
      <c r="L1287" s="2328"/>
      <c r="M1287" s="2328"/>
    </row>
    <row r="1288" spans="1:13" x14ac:dyDescent="0.2">
      <c r="B1288" s="2330" t="s">
        <v>387</v>
      </c>
      <c r="C1288" s="2332"/>
      <c r="D1288" s="2332"/>
      <c r="E1288" s="2332"/>
      <c r="G1288" s="2332"/>
      <c r="H1288" s="2332"/>
      <c r="I1288" s="2332"/>
      <c r="J1288" s="2332"/>
      <c r="K1288" s="2333">
        <f t="shared" si="261"/>
        <v>0</v>
      </c>
      <c r="L1288" s="2332"/>
      <c r="M1288" s="2332"/>
    </row>
    <row r="1289" spans="1:13" x14ac:dyDescent="0.2">
      <c r="A1289" s="2329">
        <v>1001</v>
      </c>
      <c r="B1289" s="2258" t="s">
        <v>6943</v>
      </c>
      <c r="C1289" s="2332">
        <v>320618</v>
      </c>
      <c r="D1289" s="2332">
        <v>386971</v>
      </c>
      <c r="E1289" s="2332">
        <v>368925</v>
      </c>
      <c r="F1289" s="2332">
        <v>243172</v>
      </c>
      <c r="G1289" s="2332">
        <f t="shared" ref="G1289:G1301" si="274">F1289/$F$11*$G$11</f>
        <v>291806.40000000002</v>
      </c>
      <c r="H1289" s="2332"/>
      <c r="I1289" s="2332">
        <f>[6]Salary_Bdgt!$H$243</f>
        <v>494257</v>
      </c>
      <c r="J1289" s="2332">
        <f>[5]Sheet1!$K$865</f>
        <v>450627.87</v>
      </c>
      <c r="K1289" s="2333">
        <f t="shared" si="261"/>
        <v>450627.87</v>
      </c>
      <c r="L1289" s="2332">
        <f t="shared" ref="L1289:L1301" si="275">ROUND(I1289*1.08,0)</f>
        <v>533798</v>
      </c>
      <c r="M1289" s="2332">
        <f t="shared" ref="M1289:M1301" si="276">ROUND(L1289*1.08,0)</f>
        <v>576502</v>
      </c>
    </row>
    <row r="1290" spans="1:13" x14ac:dyDescent="0.2">
      <c r="A1290" s="2353">
        <v>1005</v>
      </c>
      <c r="B1290" s="2258" t="s">
        <v>6944</v>
      </c>
      <c r="C1290" s="2332">
        <v>20216</v>
      </c>
      <c r="D1290" s="2332">
        <v>12498</v>
      </c>
      <c r="E1290" s="2332">
        <f>+D1290+7835</f>
        <v>20333</v>
      </c>
      <c r="F1290" s="2332">
        <v>21432</v>
      </c>
      <c r="G1290" s="2332">
        <f t="shared" si="274"/>
        <v>25718.399999999998</v>
      </c>
      <c r="H1290" s="2332"/>
      <c r="I1290" s="2332">
        <f>+[6]Salary_Bdgt!$L$243</f>
        <v>22486</v>
      </c>
      <c r="J1290" s="2332">
        <f>[5]Sheet1!$K$872</f>
        <v>31777.199999999997</v>
      </c>
      <c r="K1290" s="2333">
        <f t="shared" si="261"/>
        <v>31777.199999999997</v>
      </c>
      <c r="L1290" s="2332">
        <f t="shared" si="275"/>
        <v>24285</v>
      </c>
      <c r="M1290" s="2332">
        <f t="shared" si="276"/>
        <v>26228</v>
      </c>
    </row>
    <row r="1291" spans="1:13" x14ac:dyDescent="0.2">
      <c r="A1291" s="2353">
        <v>1006</v>
      </c>
      <c r="B1291" s="2258" t="s">
        <v>6945</v>
      </c>
      <c r="C1291" s="2332">
        <v>51536</v>
      </c>
      <c r="D1291" s="2332">
        <v>27433</v>
      </c>
      <c r="E1291" s="2332">
        <f>+D1291+10211</f>
        <v>37644</v>
      </c>
      <c r="F1291" s="2332">
        <v>37287</v>
      </c>
      <c r="G1291" s="2332">
        <f t="shared" si="274"/>
        <v>44744.399999999994</v>
      </c>
      <c r="H1291" s="2332"/>
      <c r="I1291" s="2332">
        <f>+[6]Salary_Bdgt!$N$243</f>
        <v>74562</v>
      </c>
      <c r="J1291" s="2332">
        <f>[5]Sheet1!$K$873</f>
        <v>64467.58</v>
      </c>
      <c r="K1291" s="2333">
        <f t="shared" si="261"/>
        <v>64467.58</v>
      </c>
      <c r="L1291" s="2332">
        <f t="shared" si="275"/>
        <v>80527</v>
      </c>
      <c r="M1291" s="2332">
        <f t="shared" si="276"/>
        <v>86969</v>
      </c>
    </row>
    <row r="1292" spans="1:13" x14ac:dyDescent="0.2">
      <c r="A1292" s="2329">
        <v>1007</v>
      </c>
      <c r="B1292" s="2258" t="s">
        <v>6410</v>
      </c>
      <c r="C1292" s="2332">
        <v>3505</v>
      </c>
      <c r="D1292" s="2332">
        <v>5604</v>
      </c>
      <c r="E1292" s="2332">
        <f>+D1292</f>
        <v>5604</v>
      </c>
      <c r="F1292" s="2332">
        <v>2518</v>
      </c>
      <c r="G1292" s="2332">
        <f t="shared" si="274"/>
        <v>3021.6000000000004</v>
      </c>
      <c r="H1292" s="2332"/>
      <c r="I1292" s="2332">
        <f>+[6]Salary_Bdgt!$I$243</f>
        <v>7062</v>
      </c>
      <c r="J1292" s="2332">
        <f>[5]Sheet1!$K$874</f>
        <v>4630.8</v>
      </c>
      <c r="K1292" s="2333">
        <f t="shared" si="261"/>
        <v>4630.8</v>
      </c>
      <c r="L1292" s="2332">
        <f t="shared" si="275"/>
        <v>7627</v>
      </c>
      <c r="M1292" s="2332">
        <f t="shared" si="276"/>
        <v>8237</v>
      </c>
    </row>
    <row r="1293" spans="1:13" x14ac:dyDescent="0.2">
      <c r="A1293" s="2329">
        <v>1009</v>
      </c>
      <c r="B1293" s="2258" t="s">
        <v>6408</v>
      </c>
      <c r="C1293" s="2332">
        <v>166</v>
      </c>
      <c r="D1293" s="2332">
        <f>[7]Sal_RIA!$M$186</f>
        <v>154</v>
      </c>
      <c r="E1293" s="2332">
        <f>+D1293</f>
        <v>154</v>
      </c>
      <c r="F1293" s="2332">
        <v>116</v>
      </c>
      <c r="G1293" s="2332">
        <f t="shared" si="274"/>
        <v>139.19999999999999</v>
      </c>
      <c r="H1293" s="2332"/>
      <c r="I1293" s="2332">
        <f>+[6]Salary_Bdgt!$M$243</f>
        <v>225</v>
      </c>
      <c r="J1293" s="2332">
        <f>[5]Sheet1!$K$869</f>
        <v>229.6</v>
      </c>
      <c r="K1293" s="2333">
        <f t="shared" si="261"/>
        <v>229.6</v>
      </c>
      <c r="L1293" s="2332">
        <f t="shared" si="275"/>
        <v>243</v>
      </c>
      <c r="M1293" s="2332">
        <f t="shared" si="276"/>
        <v>262</v>
      </c>
    </row>
    <row r="1294" spans="1:13" x14ac:dyDescent="0.2">
      <c r="A1294" s="2353">
        <v>1010</v>
      </c>
      <c r="B1294" s="2258" t="s">
        <v>6946</v>
      </c>
      <c r="C1294" s="2332">
        <v>24957</v>
      </c>
      <c r="D1294" s="2332">
        <v>32248</v>
      </c>
      <c r="E1294" s="2332">
        <f>+D1294</f>
        <v>32248</v>
      </c>
      <c r="F1294" s="2332">
        <v>23277</v>
      </c>
      <c r="G1294" s="2332">
        <f t="shared" si="274"/>
        <v>27932.399999999998</v>
      </c>
      <c r="H1294" s="2332"/>
      <c r="I1294" s="2332">
        <f>+[6]Salary_Bdgt!$Q$243</f>
        <v>41188</v>
      </c>
      <c r="J1294" s="2332">
        <f>[5]Sheet1!$K$866</f>
        <v>40483.360000000001</v>
      </c>
      <c r="K1294" s="2333">
        <f t="shared" si="261"/>
        <v>40483.360000000001</v>
      </c>
      <c r="L1294" s="2332">
        <f t="shared" si="275"/>
        <v>44483</v>
      </c>
      <c r="M1294" s="2332">
        <f t="shared" si="276"/>
        <v>48042</v>
      </c>
    </row>
    <row r="1295" spans="1:13" x14ac:dyDescent="0.2">
      <c r="A1295" s="2353">
        <v>1011</v>
      </c>
      <c r="B1295" s="2258" t="s">
        <v>6947</v>
      </c>
      <c r="C1295" s="2332">
        <v>0</v>
      </c>
      <c r="D1295" s="2332">
        <v>0</v>
      </c>
      <c r="E1295" s="2332">
        <v>0</v>
      </c>
      <c r="F1295" s="2332">
        <v>0</v>
      </c>
      <c r="G1295" s="2332">
        <f t="shared" si="274"/>
        <v>0</v>
      </c>
      <c r="H1295" s="2332"/>
      <c r="I1295" s="2332">
        <f>+[6]Salary_Bdgt!$U$243</f>
        <v>0</v>
      </c>
      <c r="J1295" s="2332">
        <v>0</v>
      </c>
      <c r="K1295" s="2333">
        <f t="shared" si="261"/>
        <v>0</v>
      </c>
      <c r="L1295" s="2332">
        <f t="shared" si="275"/>
        <v>0</v>
      </c>
      <c r="M1295" s="2332">
        <f t="shared" si="276"/>
        <v>0</v>
      </c>
    </row>
    <row r="1296" spans="1:13" x14ac:dyDescent="0.2">
      <c r="A1296" s="2353">
        <v>1014</v>
      </c>
      <c r="B1296" s="2258" t="s">
        <v>6632</v>
      </c>
      <c r="C1296" s="2332">
        <v>0</v>
      </c>
      <c r="D1296" s="2332">
        <v>0</v>
      </c>
      <c r="E1296" s="2332">
        <v>0</v>
      </c>
      <c r="F1296" s="2332">
        <v>0</v>
      </c>
      <c r="G1296" s="2332">
        <f t="shared" si="274"/>
        <v>0</v>
      </c>
      <c r="H1296" s="2332"/>
      <c r="I1296" s="2332">
        <f>+[6]Salary_Bdgt!$S$243</f>
        <v>0</v>
      </c>
      <c r="J1296" s="2332">
        <v>0</v>
      </c>
      <c r="K1296" s="2333">
        <f t="shared" si="261"/>
        <v>0</v>
      </c>
      <c r="L1296" s="2332">
        <f t="shared" si="275"/>
        <v>0</v>
      </c>
      <c r="M1296" s="2332">
        <f t="shared" si="276"/>
        <v>0</v>
      </c>
    </row>
    <row r="1297" spans="1:13" x14ac:dyDescent="0.2">
      <c r="A1297" s="2353">
        <v>1015</v>
      </c>
      <c r="B1297" s="2258" t="s">
        <v>6948</v>
      </c>
      <c r="C1297" s="2332">
        <v>0</v>
      </c>
      <c r="D1297" s="2332">
        <v>0</v>
      </c>
      <c r="E1297" s="2332">
        <v>0</v>
      </c>
      <c r="F1297" s="2332">
        <v>0</v>
      </c>
      <c r="G1297" s="2332">
        <f t="shared" si="274"/>
        <v>0</v>
      </c>
      <c r="H1297" s="2332"/>
      <c r="I1297" s="2332">
        <f>+[6]Salary_Bdgt!$O$243+[6]Salary_Bdgt!$P$243+[6]Salary_Bdgt!$W$243</f>
        <v>0</v>
      </c>
      <c r="J1297" s="2332">
        <v>0</v>
      </c>
      <c r="K1297" s="2333">
        <f t="shared" si="261"/>
        <v>0</v>
      </c>
      <c r="L1297" s="2332">
        <f t="shared" si="275"/>
        <v>0</v>
      </c>
      <c r="M1297" s="2332">
        <f t="shared" si="276"/>
        <v>0</v>
      </c>
    </row>
    <row r="1298" spans="1:13" x14ac:dyDescent="0.2">
      <c r="A1298" s="2353">
        <v>1016</v>
      </c>
      <c r="B1298" s="2258" t="s">
        <v>6949</v>
      </c>
      <c r="C1298" s="2332">
        <v>0</v>
      </c>
      <c r="D1298" s="2332">
        <v>0</v>
      </c>
      <c r="E1298" s="2332">
        <v>0</v>
      </c>
      <c r="F1298" s="2332">
        <v>2107</v>
      </c>
      <c r="G1298" s="2332">
        <f t="shared" si="274"/>
        <v>2528.3999999999996</v>
      </c>
      <c r="H1298" s="2332"/>
      <c r="I1298" s="2332">
        <f>+[6]Salary_Bdgt!$T$243+[6]Salary_Bdgt!$V$243</f>
        <v>138944</v>
      </c>
      <c r="J1298" s="2332">
        <f>[5]Sheet1!$K$867</f>
        <v>47412.959999999999</v>
      </c>
      <c r="K1298" s="2333">
        <f t="shared" si="261"/>
        <v>47412.959999999999</v>
      </c>
      <c r="L1298" s="2332">
        <f t="shared" si="275"/>
        <v>150060</v>
      </c>
      <c r="M1298" s="2332">
        <f t="shared" si="276"/>
        <v>162065</v>
      </c>
    </row>
    <row r="1299" spans="1:13" x14ac:dyDescent="0.2">
      <c r="A1299" s="2353">
        <v>1017</v>
      </c>
      <c r="B1299" s="2258" t="s">
        <v>6950</v>
      </c>
      <c r="C1299" s="2332">
        <v>4065</v>
      </c>
      <c r="D1299" s="2332">
        <v>8069</v>
      </c>
      <c r="E1299" s="2332">
        <f>+D1299</f>
        <v>8069</v>
      </c>
      <c r="F1299" s="2332">
        <v>1834</v>
      </c>
      <c r="G1299" s="2332">
        <f t="shared" si="274"/>
        <v>2200.8000000000002</v>
      </c>
      <c r="H1299" s="2332"/>
      <c r="I1299" s="2332">
        <f>+[6]Salary_Bdgt!$J$243</f>
        <v>10305</v>
      </c>
      <c r="J1299" s="2332">
        <f>[5]Sheet1!$K$870</f>
        <v>5837.8</v>
      </c>
      <c r="K1299" s="2333">
        <f t="shared" si="261"/>
        <v>5837.8</v>
      </c>
      <c r="L1299" s="2332">
        <f t="shared" si="275"/>
        <v>11129</v>
      </c>
      <c r="M1299" s="2332">
        <f t="shared" si="276"/>
        <v>12019</v>
      </c>
    </row>
    <row r="1300" spans="1:13" x14ac:dyDescent="0.2">
      <c r="A1300" s="2329">
        <v>1046</v>
      </c>
      <c r="B1300" s="2258" t="s">
        <v>6951</v>
      </c>
      <c r="C1300" s="2332">
        <v>30000</v>
      </c>
      <c r="D1300" s="2332">
        <v>33000</v>
      </c>
      <c r="E1300" s="2332">
        <f>+D1300</f>
        <v>33000</v>
      </c>
      <c r="F1300" s="2332">
        <v>25000</v>
      </c>
      <c r="G1300" s="2332">
        <f t="shared" si="274"/>
        <v>30000</v>
      </c>
      <c r="H1300" s="2332"/>
      <c r="I1300" s="2332">
        <f>+[6]Salary_Bdgt!$R$243</f>
        <v>32400</v>
      </c>
      <c r="J1300" s="2332">
        <f>[5]Sheet1!$K$868</f>
        <v>35000</v>
      </c>
      <c r="K1300" s="2333">
        <f t="shared" si="261"/>
        <v>35000</v>
      </c>
      <c r="L1300" s="2332">
        <f t="shared" si="275"/>
        <v>34992</v>
      </c>
      <c r="M1300" s="2332">
        <f t="shared" si="276"/>
        <v>37791</v>
      </c>
    </row>
    <row r="1301" spans="1:13" x14ac:dyDescent="0.2">
      <c r="A1301" s="2353">
        <v>1182</v>
      </c>
      <c r="B1301" s="2334" t="s">
        <v>6952</v>
      </c>
      <c r="C1301" s="2335">
        <v>3244</v>
      </c>
      <c r="D1301" s="2335">
        <v>7505</v>
      </c>
      <c r="E1301" s="2335">
        <f>+D1301</f>
        <v>7505</v>
      </c>
      <c r="F1301" s="2335">
        <v>0</v>
      </c>
      <c r="G1301" s="2335">
        <f t="shared" si="274"/>
        <v>0</v>
      </c>
      <c r="H1301" s="2335"/>
      <c r="I1301" s="2335">
        <f>+[6]Salary_Bdgt!$K$243</f>
        <v>9584</v>
      </c>
      <c r="J1301" s="2335">
        <f>[5]Sheet1!$K$871</f>
        <v>3271.73</v>
      </c>
      <c r="K1301" s="2336">
        <f t="shared" ref="K1301:K1364" si="277">J1301</f>
        <v>3271.73</v>
      </c>
      <c r="L1301" s="2335">
        <f t="shared" si="275"/>
        <v>10351</v>
      </c>
      <c r="M1301" s="2335">
        <f t="shared" si="276"/>
        <v>11179</v>
      </c>
    </row>
    <row r="1302" spans="1:13" x14ac:dyDescent="0.2">
      <c r="B1302" s="2330" t="s">
        <v>6588</v>
      </c>
      <c r="C1302" s="2349">
        <f t="shared" ref="C1302:M1302" si="278">SUM(C1289:C1301)</f>
        <v>458307</v>
      </c>
      <c r="D1302" s="2349">
        <f t="shared" si="278"/>
        <v>513482</v>
      </c>
      <c r="E1302" s="2349">
        <f t="shared" si="278"/>
        <v>513482</v>
      </c>
      <c r="F1302" s="2349">
        <f t="shared" si="278"/>
        <v>356743</v>
      </c>
      <c r="G1302" s="2349">
        <f t="shared" si="278"/>
        <v>428091.60000000009</v>
      </c>
      <c r="H1302" s="2349"/>
      <c r="I1302" s="2349">
        <f t="shared" si="278"/>
        <v>831013</v>
      </c>
      <c r="J1302" s="2349">
        <f>SUM(J1289:J1301)</f>
        <v>683738.9</v>
      </c>
      <c r="K1302" s="2333">
        <f t="shared" si="277"/>
        <v>683738.9</v>
      </c>
      <c r="L1302" s="2349">
        <f t="shared" si="278"/>
        <v>897495</v>
      </c>
      <c r="M1302" s="2349">
        <f t="shared" si="278"/>
        <v>969294</v>
      </c>
    </row>
    <row r="1303" spans="1:13" x14ac:dyDescent="0.2">
      <c r="B1303" s="2330"/>
      <c r="C1303" s="2332"/>
      <c r="D1303" s="2332"/>
      <c r="E1303" s="2332"/>
      <c r="F1303" s="2309"/>
      <c r="G1303" s="2332"/>
      <c r="H1303" s="2332"/>
      <c r="I1303" s="2332"/>
      <c r="J1303" s="2332">
        <f>J1302-[5]Sheet1!$K$875</f>
        <v>0</v>
      </c>
      <c r="K1303" s="2333">
        <f t="shared" si="277"/>
        <v>0</v>
      </c>
      <c r="L1303" s="2332"/>
      <c r="M1303" s="2332"/>
    </row>
    <row r="1304" spans="1:13" x14ac:dyDescent="0.2">
      <c r="B1304" s="2330" t="s">
        <v>6953</v>
      </c>
      <c r="C1304" s="2332"/>
      <c r="D1304" s="2332"/>
      <c r="E1304" s="2332"/>
      <c r="G1304" s="2332"/>
      <c r="H1304" s="2332"/>
      <c r="I1304" s="2332"/>
      <c r="J1304" s="2332"/>
      <c r="K1304" s="2333">
        <f t="shared" si="277"/>
        <v>0</v>
      </c>
      <c r="L1304" s="2332"/>
      <c r="M1304" s="2332"/>
    </row>
    <row r="1305" spans="1:13" x14ac:dyDescent="0.2">
      <c r="A1305" s="2353">
        <v>3207</v>
      </c>
      <c r="B1305" s="2334" t="s">
        <v>6954</v>
      </c>
      <c r="C1305" s="2335">
        <v>0</v>
      </c>
      <c r="D1305" s="2335">
        <v>1050</v>
      </c>
      <c r="E1305" s="2335">
        <v>1050</v>
      </c>
      <c r="F1305" s="2335">
        <v>0</v>
      </c>
      <c r="G1305" s="2335">
        <f>F1305/$F$11*$G$11</f>
        <v>0</v>
      </c>
      <c r="H1305" s="2335"/>
      <c r="I1305" s="2335">
        <v>0</v>
      </c>
      <c r="J1305" s="2335">
        <v>0</v>
      </c>
      <c r="K1305" s="2336">
        <f t="shared" si="277"/>
        <v>0</v>
      </c>
      <c r="L1305" s="2335">
        <f>ROUND(I1305*1.06,0)</f>
        <v>0</v>
      </c>
      <c r="M1305" s="2335">
        <f>ROUND(L1305*1.06,0)</f>
        <v>0</v>
      </c>
    </row>
    <row r="1306" spans="1:13" x14ac:dyDescent="0.2">
      <c r="B1306" s="2330" t="s">
        <v>6956</v>
      </c>
      <c r="C1306" s="2349">
        <f>SUM(C1305:C1305)</f>
        <v>0</v>
      </c>
      <c r="D1306" s="2349">
        <f t="shared" ref="D1306:M1306" si="279">SUM(D1305:D1305)</f>
        <v>1050</v>
      </c>
      <c r="E1306" s="2349">
        <f t="shared" si="279"/>
        <v>1050</v>
      </c>
      <c r="F1306" s="2349">
        <f t="shared" si="279"/>
        <v>0</v>
      </c>
      <c r="G1306" s="2349">
        <f t="shared" si="279"/>
        <v>0</v>
      </c>
      <c r="H1306" s="2349"/>
      <c r="I1306" s="2349">
        <f t="shared" si="279"/>
        <v>0</v>
      </c>
      <c r="J1306" s="2349">
        <v>0</v>
      </c>
      <c r="K1306" s="2333">
        <f t="shared" si="277"/>
        <v>0</v>
      </c>
      <c r="L1306" s="2349">
        <f t="shared" si="279"/>
        <v>0</v>
      </c>
      <c r="M1306" s="2349">
        <f t="shared" si="279"/>
        <v>0</v>
      </c>
    </row>
    <row r="1307" spans="1:13" x14ac:dyDescent="0.2">
      <c r="B1307" s="2330"/>
      <c r="C1307" s="2332"/>
      <c r="D1307" s="2332"/>
      <c r="E1307" s="2332"/>
      <c r="G1307" s="2332"/>
      <c r="H1307" s="2332"/>
      <c r="I1307" s="2332"/>
      <c r="J1307" s="2332"/>
      <c r="K1307" s="2333">
        <f t="shared" si="277"/>
        <v>0</v>
      </c>
      <c r="L1307" s="2332"/>
      <c r="M1307" s="2332"/>
    </row>
    <row r="1308" spans="1:13" x14ac:dyDescent="0.2">
      <c r="B1308" s="2330" t="s">
        <v>6599</v>
      </c>
      <c r="C1308" s="2332"/>
      <c r="D1308" s="2332"/>
      <c r="E1308" s="2332"/>
      <c r="G1308" s="2332"/>
      <c r="H1308" s="2332"/>
      <c r="I1308" s="2332"/>
      <c r="J1308" s="2332"/>
      <c r="K1308" s="2333">
        <f t="shared" si="277"/>
        <v>0</v>
      </c>
      <c r="L1308" s="2332"/>
      <c r="M1308" s="2332"/>
    </row>
    <row r="1309" spans="1:13" x14ac:dyDescent="0.2">
      <c r="A1309" s="2329">
        <v>2113</v>
      </c>
      <c r="B1309" s="2258" t="s">
        <v>6958</v>
      </c>
      <c r="C1309" s="2332">
        <v>0</v>
      </c>
      <c r="D1309" s="2332">
        <v>5250</v>
      </c>
      <c r="E1309" s="2332">
        <f>5250</f>
        <v>5250</v>
      </c>
      <c r="F1309" s="2332">
        <v>193</v>
      </c>
      <c r="G1309" s="2332">
        <f t="shared" ref="G1309:G1316" si="280">F1309/$F$11*$G$11</f>
        <v>231.60000000000002</v>
      </c>
      <c r="H1309" s="2332"/>
      <c r="I1309" s="2332">
        <f>ROUND(E1309*1.05,0)</f>
        <v>5513</v>
      </c>
      <c r="J1309" s="2332">
        <f>[5]Sheet1!$K$878</f>
        <v>307.02</v>
      </c>
      <c r="K1309" s="2333">
        <f t="shared" si="277"/>
        <v>307.02</v>
      </c>
      <c r="L1309" s="2332">
        <f t="shared" ref="L1309:L1316" si="281">ROUND(I1309*1.06,0)</f>
        <v>5844</v>
      </c>
      <c r="M1309" s="2332">
        <f t="shared" ref="M1309:M1316" si="282">ROUND(L1309*1.06,0)</f>
        <v>6195</v>
      </c>
    </row>
    <row r="1310" spans="1:13" x14ac:dyDescent="0.2">
      <c r="A1310" s="2329">
        <v>2104</v>
      </c>
      <c r="B1310" s="2258" t="s">
        <v>1630</v>
      </c>
      <c r="C1310" s="2332">
        <v>6400</v>
      </c>
      <c r="D1310" s="2332">
        <v>0</v>
      </c>
      <c r="E1310" s="2332">
        <v>0</v>
      </c>
      <c r="F1310" s="2332"/>
      <c r="G1310" s="2332">
        <f t="shared" si="280"/>
        <v>0</v>
      </c>
      <c r="H1310" s="2332"/>
      <c r="I1310" s="2332">
        <f>ROUND(E1310*1.05,0)</f>
        <v>0</v>
      </c>
      <c r="J1310" s="2332">
        <v>0</v>
      </c>
      <c r="K1310" s="2333">
        <f t="shared" si="277"/>
        <v>0</v>
      </c>
      <c r="L1310" s="2332">
        <f t="shared" si="281"/>
        <v>0</v>
      </c>
      <c r="M1310" s="2332">
        <f t="shared" si="282"/>
        <v>0</v>
      </c>
    </row>
    <row r="1311" spans="1:13" x14ac:dyDescent="0.2">
      <c r="A1311" s="2329">
        <v>2212</v>
      </c>
      <c r="B1311" s="2258" t="s">
        <v>6963</v>
      </c>
      <c r="C1311" s="2332">
        <v>0</v>
      </c>
      <c r="D1311" s="2332">
        <v>1050</v>
      </c>
      <c r="E1311" s="2332">
        <f>1050-1050</f>
        <v>0</v>
      </c>
      <c r="F1311" s="2332">
        <v>0</v>
      </c>
      <c r="G1311" s="2332">
        <f t="shared" si="280"/>
        <v>0</v>
      </c>
      <c r="H1311" s="2332"/>
      <c r="I1311" s="2332">
        <f>ROUND(E1311*1.05,0)</f>
        <v>0</v>
      </c>
      <c r="J1311" s="2332">
        <v>0</v>
      </c>
      <c r="K1311" s="2333">
        <f t="shared" si="277"/>
        <v>0</v>
      </c>
      <c r="L1311" s="2332">
        <f t="shared" si="281"/>
        <v>0</v>
      </c>
      <c r="M1311" s="2332">
        <f t="shared" si="282"/>
        <v>0</v>
      </c>
    </row>
    <row r="1312" spans="1:13" x14ac:dyDescent="0.2">
      <c r="A1312" s="2353">
        <v>2227</v>
      </c>
      <c r="B1312" s="2258" t="s">
        <v>231</v>
      </c>
      <c r="C1312" s="2332">
        <v>953</v>
      </c>
      <c r="D1312" s="2332">
        <v>525</v>
      </c>
      <c r="E1312" s="2332">
        <v>525</v>
      </c>
      <c r="F1312" s="2332">
        <v>0</v>
      </c>
      <c r="G1312" s="2332">
        <f t="shared" si="280"/>
        <v>0</v>
      </c>
      <c r="H1312" s="2332"/>
      <c r="I1312" s="2332">
        <f>ROUND(E1312*1.05,0)</f>
        <v>551</v>
      </c>
      <c r="J1312" s="2332">
        <f>[5]Sheet1!$K$880</f>
        <v>187.24</v>
      </c>
      <c r="K1312" s="2333">
        <f t="shared" si="277"/>
        <v>187.24</v>
      </c>
      <c r="L1312" s="2332">
        <f t="shared" si="281"/>
        <v>584</v>
      </c>
      <c r="M1312" s="2332">
        <f t="shared" si="282"/>
        <v>619</v>
      </c>
    </row>
    <row r="1313" spans="1:13" x14ac:dyDescent="0.2">
      <c r="A1313" s="2329">
        <v>2233</v>
      </c>
      <c r="B1313" s="2258" t="s">
        <v>6966</v>
      </c>
      <c r="C1313" s="2332">
        <v>200</v>
      </c>
      <c r="D1313" s="2332">
        <v>5250</v>
      </c>
      <c r="E1313" s="2332">
        <v>5250</v>
      </c>
      <c r="F1313" s="2332">
        <v>0</v>
      </c>
      <c r="G1313" s="2332">
        <f t="shared" si="280"/>
        <v>0</v>
      </c>
      <c r="H1313" s="2332"/>
      <c r="I1313" s="2332">
        <v>0</v>
      </c>
      <c r="J1313" s="2332">
        <v>0</v>
      </c>
      <c r="K1313" s="2333">
        <f t="shared" si="277"/>
        <v>0</v>
      </c>
      <c r="L1313" s="2332">
        <f t="shared" si="281"/>
        <v>0</v>
      </c>
      <c r="M1313" s="2332">
        <f t="shared" si="282"/>
        <v>0</v>
      </c>
    </row>
    <row r="1314" spans="1:13" x14ac:dyDescent="0.2">
      <c r="A1314" s="2329">
        <v>2238</v>
      </c>
      <c r="B1314" s="2258" t="s">
        <v>6967</v>
      </c>
      <c r="C1314" s="2332">
        <v>3615</v>
      </c>
      <c r="D1314" s="2332">
        <v>2100</v>
      </c>
      <c r="E1314" s="2332">
        <v>2100</v>
      </c>
      <c r="F1314" s="2332">
        <v>0</v>
      </c>
      <c r="G1314" s="2332">
        <f t="shared" si="280"/>
        <v>0</v>
      </c>
      <c r="H1314" s="2332"/>
      <c r="I1314" s="2332">
        <f>ROUND(E1314*1.05,0)</f>
        <v>2205</v>
      </c>
      <c r="J1314" s="2332">
        <f>[5]Sheet1!$K$882</f>
        <v>480</v>
      </c>
      <c r="K1314" s="2333">
        <f t="shared" si="277"/>
        <v>480</v>
      </c>
      <c r="L1314" s="2332">
        <f t="shared" si="281"/>
        <v>2337</v>
      </c>
      <c r="M1314" s="2332">
        <f t="shared" si="282"/>
        <v>2477</v>
      </c>
    </row>
    <row r="1315" spans="1:13" x14ac:dyDescent="0.2">
      <c r="A1315" s="2329">
        <v>2246</v>
      </c>
      <c r="B1315" s="2258" t="s">
        <v>6968</v>
      </c>
      <c r="C1315" s="2332">
        <v>5597</v>
      </c>
      <c r="D1315" s="2332">
        <v>5250</v>
      </c>
      <c r="E1315" s="2332">
        <f>5250+1050+4315</f>
        <v>10615</v>
      </c>
      <c r="F1315" s="2332">
        <v>21837</v>
      </c>
      <c r="G1315" s="2332">
        <f t="shared" si="280"/>
        <v>26204.399999999998</v>
      </c>
      <c r="H1315" s="2332"/>
      <c r="I1315" s="2332">
        <f>ROUND(E1315*1.05,0)</f>
        <v>11146</v>
      </c>
      <c r="J1315" s="2332">
        <f>[5]Sheet1!$K$883</f>
        <v>60825.58</v>
      </c>
      <c r="K1315" s="2333">
        <f t="shared" si="277"/>
        <v>60825.58</v>
      </c>
      <c r="L1315" s="2332">
        <f t="shared" si="281"/>
        <v>11815</v>
      </c>
      <c r="M1315" s="2332">
        <f t="shared" si="282"/>
        <v>12524</v>
      </c>
    </row>
    <row r="1316" spans="1:13" x14ac:dyDescent="0.2">
      <c r="A1316" s="2353">
        <v>2305</v>
      </c>
      <c r="B1316" s="2334" t="s">
        <v>6970</v>
      </c>
      <c r="C1316" s="2335">
        <v>84</v>
      </c>
      <c r="D1316" s="2335">
        <v>1050</v>
      </c>
      <c r="E1316" s="2335">
        <v>1050</v>
      </c>
      <c r="F1316" s="2335">
        <v>31</v>
      </c>
      <c r="G1316" s="2335">
        <f t="shared" si="280"/>
        <v>37.200000000000003</v>
      </c>
      <c r="H1316" s="2335"/>
      <c r="I1316" s="2335">
        <f>ROUND(E1316*1.05,0)</f>
        <v>1103</v>
      </c>
      <c r="J1316" s="2335">
        <f>[5]Sheet1!$K$884</f>
        <v>375.06</v>
      </c>
      <c r="K1316" s="2336">
        <f t="shared" si="277"/>
        <v>375.06</v>
      </c>
      <c r="L1316" s="2335">
        <f t="shared" si="281"/>
        <v>1169</v>
      </c>
      <c r="M1316" s="2335">
        <f t="shared" si="282"/>
        <v>1239</v>
      </c>
    </row>
    <row r="1317" spans="1:13" x14ac:dyDescent="0.2">
      <c r="B1317" s="2330" t="s">
        <v>6614</v>
      </c>
      <c r="C1317" s="2349">
        <f t="shared" ref="C1317:M1317" si="283">SUM(C1309:C1316)</f>
        <v>16849</v>
      </c>
      <c r="D1317" s="2349">
        <f t="shared" si="283"/>
        <v>20475</v>
      </c>
      <c r="E1317" s="2349">
        <f t="shared" si="283"/>
        <v>24790</v>
      </c>
      <c r="F1317" s="2349">
        <f t="shared" si="283"/>
        <v>22061</v>
      </c>
      <c r="G1317" s="2349">
        <f t="shared" si="283"/>
        <v>26473.199999999997</v>
      </c>
      <c r="H1317" s="2349"/>
      <c r="I1317" s="2349">
        <f t="shared" si="283"/>
        <v>20518</v>
      </c>
      <c r="J1317" s="2349">
        <f>SUM(J1309:J1316)</f>
        <v>62174.9</v>
      </c>
      <c r="K1317" s="2333">
        <f t="shared" si="277"/>
        <v>62174.9</v>
      </c>
      <c r="L1317" s="2349">
        <f t="shared" si="283"/>
        <v>21749</v>
      </c>
      <c r="M1317" s="2349">
        <f t="shared" si="283"/>
        <v>23054</v>
      </c>
    </row>
    <row r="1318" spans="1:13" x14ac:dyDescent="0.2">
      <c r="B1318" s="2338"/>
      <c r="C1318" s="2380"/>
      <c r="D1318" s="2380"/>
      <c r="E1318" s="2380"/>
      <c r="F1318" s="2380"/>
      <c r="G1318" s="2380"/>
      <c r="H1318" s="2380"/>
      <c r="I1318" s="2380"/>
      <c r="J1318" s="2380">
        <f>J1317-[5]Sheet1!$K$885</f>
        <v>0</v>
      </c>
      <c r="K1318" s="2336">
        <f t="shared" si="277"/>
        <v>0</v>
      </c>
      <c r="L1318" s="2380"/>
      <c r="M1318" s="2380"/>
    </row>
    <row r="1319" spans="1:13" x14ac:dyDescent="0.2">
      <c r="B1319" s="2330" t="s">
        <v>6972</v>
      </c>
      <c r="C1319" s="2351">
        <f t="shared" ref="C1319:M1319" si="284">C1302+C1306+C1317</f>
        <v>475156</v>
      </c>
      <c r="D1319" s="2351">
        <f t="shared" si="284"/>
        <v>535007</v>
      </c>
      <c r="E1319" s="2351">
        <f t="shared" si="284"/>
        <v>539322</v>
      </c>
      <c r="F1319" s="2351">
        <f t="shared" si="284"/>
        <v>378804</v>
      </c>
      <c r="G1319" s="2351">
        <f t="shared" si="284"/>
        <v>454564.8000000001</v>
      </c>
      <c r="H1319" s="2351"/>
      <c r="I1319" s="2351">
        <f t="shared" si="284"/>
        <v>851531</v>
      </c>
      <c r="J1319" s="2351">
        <f t="shared" si="284"/>
        <v>745913.8</v>
      </c>
      <c r="K1319" s="2333">
        <f t="shared" si="277"/>
        <v>745913.8</v>
      </c>
      <c r="L1319" s="2351">
        <f t="shared" si="284"/>
        <v>919244</v>
      </c>
      <c r="M1319" s="2351">
        <f t="shared" si="284"/>
        <v>992348</v>
      </c>
    </row>
    <row r="1320" spans="1:13" x14ac:dyDescent="0.2">
      <c r="B1320" s="2330"/>
      <c r="C1320" s="2351"/>
      <c r="D1320" s="2351"/>
      <c r="E1320" s="2351"/>
      <c r="G1320" s="2332"/>
      <c r="H1320" s="2332"/>
      <c r="I1320" s="2332"/>
      <c r="J1320" s="2332"/>
      <c r="K1320" s="2333">
        <f t="shared" si="277"/>
        <v>0</v>
      </c>
      <c r="L1320" s="2351"/>
      <c r="M1320" s="2351"/>
    </row>
    <row r="1321" spans="1:13" x14ac:dyDescent="0.2">
      <c r="B1321" s="2330" t="s">
        <v>6974</v>
      </c>
      <c r="C1321" s="2364"/>
      <c r="D1321" s="2364"/>
      <c r="E1321" s="2364"/>
      <c r="G1321" s="2332"/>
      <c r="H1321" s="2332"/>
      <c r="I1321" s="2332"/>
      <c r="J1321" s="2332"/>
      <c r="K1321" s="2333">
        <f t="shared" si="277"/>
        <v>0</v>
      </c>
      <c r="L1321" s="2364"/>
      <c r="M1321" s="2364"/>
    </row>
    <row r="1322" spans="1:13" x14ac:dyDescent="0.2">
      <c r="A1322" s="2353">
        <v>4204</v>
      </c>
      <c r="B1322" s="2258" t="s">
        <v>6976</v>
      </c>
      <c r="C1322" s="2364">
        <v>14219</v>
      </c>
      <c r="D1322" s="2332">
        <v>7515</v>
      </c>
      <c r="E1322" s="2332">
        <v>7515</v>
      </c>
      <c r="F1322" s="2332">
        <f>4502-4502</f>
        <v>0</v>
      </c>
      <c r="G1322" s="2332">
        <f>F1322/$F$11*$G$11</f>
        <v>0</v>
      </c>
      <c r="H1322" s="2332"/>
      <c r="I1322" s="2332">
        <f>ROUND(E1322*1.08,0)</f>
        <v>8116</v>
      </c>
      <c r="J1322" s="2332">
        <f>[5]Sheet1!$K$892</f>
        <v>2768.34</v>
      </c>
      <c r="K1322" s="2333">
        <f t="shared" si="277"/>
        <v>2768.34</v>
      </c>
      <c r="L1322" s="2332">
        <f>ROUND(I1322*1.08,0)</f>
        <v>8765</v>
      </c>
      <c r="M1322" s="2332">
        <f>ROUND(L1322*1.08,0)</f>
        <v>9466</v>
      </c>
    </row>
    <row r="1323" spans="1:13" x14ac:dyDescent="0.2">
      <c r="A1323" s="2353">
        <v>4202</v>
      </c>
      <c r="B1323" s="2258" t="s">
        <v>7179</v>
      </c>
      <c r="C1323" s="2364">
        <v>32043</v>
      </c>
      <c r="D1323" s="2332">
        <v>0</v>
      </c>
      <c r="E1323" s="2332">
        <v>0</v>
      </c>
      <c r="F1323" s="2332">
        <v>0</v>
      </c>
      <c r="G1323" s="2332">
        <f>F1323/$F$11*$G$11</f>
        <v>0</v>
      </c>
      <c r="H1323" s="2332"/>
      <c r="I1323" s="2332">
        <f>ROUND(E1323*1.05,0)</f>
        <v>0</v>
      </c>
      <c r="J1323" s="2332">
        <v>0</v>
      </c>
      <c r="K1323" s="2333">
        <f t="shared" si="277"/>
        <v>0</v>
      </c>
      <c r="L1323" s="2332">
        <f>ROUND(I1323*1.05,0)</f>
        <v>0</v>
      </c>
      <c r="M1323" s="2332">
        <f>ROUND(L1323*1.05,0)</f>
        <v>0</v>
      </c>
    </row>
    <row r="1324" spans="1:13" x14ac:dyDescent="0.2">
      <c r="A1324" s="2353">
        <v>4209</v>
      </c>
      <c r="B1324" s="2258" t="s">
        <v>6449</v>
      </c>
      <c r="C1324" s="2364">
        <v>1978</v>
      </c>
      <c r="D1324" s="2332">
        <v>0</v>
      </c>
      <c r="E1324" s="2332">
        <v>0</v>
      </c>
      <c r="F1324" s="2332">
        <v>0</v>
      </c>
      <c r="G1324" s="2332">
        <f>F1324/$F$11*$G$11</f>
        <v>0</v>
      </c>
      <c r="H1324" s="2332"/>
      <c r="I1324" s="2332">
        <f>ROUND(E1324*1.05,0)</f>
        <v>0</v>
      </c>
      <c r="J1324" s="2332">
        <v>0</v>
      </c>
      <c r="K1324" s="2333">
        <f t="shared" si="277"/>
        <v>0</v>
      </c>
      <c r="L1324" s="2332">
        <f>ROUND(I1324*1.05,0)</f>
        <v>0</v>
      </c>
      <c r="M1324" s="2332">
        <f>ROUND(L1324*1.05,0)</f>
        <v>0</v>
      </c>
    </row>
    <row r="1325" spans="1:13" x14ac:dyDescent="0.2">
      <c r="A1325" s="2353">
        <v>4207</v>
      </c>
      <c r="B1325" s="2334" t="s">
        <v>6977</v>
      </c>
      <c r="C1325" s="2397">
        <v>15063</v>
      </c>
      <c r="D1325" s="2335">
        <v>3928</v>
      </c>
      <c r="E1325" s="2335">
        <v>3928</v>
      </c>
      <c r="F1325" s="2335">
        <v>0</v>
      </c>
      <c r="G1325" s="2335">
        <f>F1325/$F$11*$G$11</f>
        <v>0</v>
      </c>
      <c r="H1325" s="2335"/>
      <c r="I1325" s="2335">
        <f>ROUND(E1325*1.08,0)</f>
        <v>4242</v>
      </c>
      <c r="J1325" s="2335">
        <f>[5]Sheet1!$K$893</f>
        <v>1447.75</v>
      </c>
      <c r="K1325" s="2336">
        <f t="shared" si="277"/>
        <v>1447.75</v>
      </c>
      <c r="L1325" s="2335">
        <f>ROUND(I1325*1.08,0)</f>
        <v>4581</v>
      </c>
      <c r="M1325" s="2335">
        <f>ROUND(L1325*1.08,0)</f>
        <v>4947</v>
      </c>
    </row>
    <row r="1326" spans="1:13" x14ac:dyDescent="0.2">
      <c r="B1326" s="2330" t="s">
        <v>6979</v>
      </c>
      <c r="C1326" s="2349">
        <f t="shared" ref="C1326:M1326" si="285">SUM(C1322:C1325)</f>
        <v>63303</v>
      </c>
      <c r="D1326" s="2349">
        <f t="shared" si="285"/>
        <v>11443</v>
      </c>
      <c r="E1326" s="2349">
        <f t="shared" si="285"/>
        <v>11443</v>
      </c>
      <c r="F1326" s="2349">
        <f t="shared" si="285"/>
        <v>0</v>
      </c>
      <c r="G1326" s="2349">
        <f t="shared" si="285"/>
        <v>0</v>
      </c>
      <c r="H1326" s="2349"/>
      <c r="I1326" s="2349">
        <f t="shared" si="285"/>
        <v>12358</v>
      </c>
      <c r="J1326" s="2349">
        <f>J1322+J1325</f>
        <v>4216.09</v>
      </c>
      <c r="K1326" s="2333">
        <f t="shared" si="277"/>
        <v>4216.09</v>
      </c>
      <c r="L1326" s="2349">
        <f t="shared" si="285"/>
        <v>13346</v>
      </c>
      <c r="M1326" s="2349">
        <f t="shared" si="285"/>
        <v>14413</v>
      </c>
    </row>
    <row r="1327" spans="1:13" x14ac:dyDescent="0.2">
      <c r="B1327" s="2330"/>
      <c r="C1327" s="2364"/>
      <c r="D1327" s="2364"/>
      <c r="E1327" s="2364"/>
      <c r="F1327" s="2364"/>
      <c r="G1327" s="2364"/>
      <c r="H1327" s="2364"/>
      <c r="I1327" s="2364"/>
      <c r="J1327" s="2364">
        <f>J1326-[5]Sheet1!$K$894</f>
        <v>0</v>
      </c>
      <c r="K1327" s="2333">
        <f t="shared" si="277"/>
        <v>0</v>
      </c>
      <c r="L1327" s="2364"/>
      <c r="M1327" s="2364"/>
    </row>
    <row r="1328" spans="1:13" ht="13.5" thickBot="1" x14ac:dyDescent="0.25">
      <c r="B1328" s="2342" t="s">
        <v>6980</v>
      </c>
      <c r="C1328" s="2354">
        <f t="shared" ref="C1328:M1328" si="286">C1319+C1326</f>
        <v>538459</v>
      </c>
      <c r="D1328" s="2354">
        <f t="shared" si="286"/>
        <v>546450</v>
      </c>
      <c r="E1328" s="2354">
        <f t="shared" si="286"/>
        <v>550765</v>
      </c>
      <c r="F1328" s="2354">
        <f t="shared" si="286"/>
        <v>378804</v>
      </c>
      <c r="G1328" s="2354">
        <f t="shared" si="286"/>
        <v>454564.8000000001</v>
      </c>
      <c r="H1328" s="2354"/>
      <c r="I1328" s="2354">
        <f t="shared" si="286"/>
        <v>863889</v>
      </c>
      <c r="J1328" s="2354">
        <f>J1319+J1326</f>
        <v>750129.89</v>
      </c>
      <c r="K1328" s="2344">
        <f t="shared" si="277"/>
        <v>750129.89</v>
      </c>
      <c r="L1328" s="2354">
        <f t="shared" si="286"/>
        <v>932590</v>
      </c>
      <c r="M1328" s="2354">
        <f t="shared" si="286"/>
        <v>1006761</v>
      </c>
    </row>
    <row r="1329" spans="1:13" ht="13.5" thickTop="1" x14ac:dyDescent="0.2">
      <c r="B1329" s="2330"/>
      <c r="C1329" s="2349"/>
      <c r="D1329" s="2349"/>
      <c r="E1329" s="2349"/>
      <c r="F1329" s="2349"/>
      <c r="G1329" s="2349"/>
      <c r="H1329" s="2349"/>
      <c r="I1329" s="2349"/>
      <c r="J1329" s="2349"/>
      <c r="K1329" s="2333">
        <f t="shared" si="277"/>
        <v>0</v>
      </c>
      <c r="L1329" s="2349"/>
      <c r="M1329" s="2349"/>
    </row>
    <row r="1330" spans="1:13" ht="13.5" thickBot="1" x14ac:dyDescent="0.25">
      <c r="B1330" s="2342" t="s">
        <v>6624</v>
      </c>
      <c r="C1330" s="2355">
        <f t="shared" ref="C1330:M1330" si="287">C1284-C1328</f>
        <v>-340702</v>
      </c>
      <c r="D1330" s="2355">
        <f t="shared" si="287"/>
        <v>-308982</v>
      </c>
      <c r="E1330" s="2355">
        <f t="shared" si="287"/>
        <v>-313297</v>
      </c>
      <c r="F1330" s="2355">
        <f t="shared" si="287"/>
        <v>-167662</v>
      </c>
      <c r="G1330" s="2355">
        <f t="shared" si="287"/>
        <v>-201194.40000000014</v>
      </c>
      <c r="H1330" s="2355"/>
      <c r="I1330" s="2355">
        <f t="shared" si="287"/>
        <v>-568126</v>
      </c>
      <c r="J1330" s="2355">
        <f>J1284-J1328</f>
        <v>-232228.44</v>
      </c>
      <c r="K1330" s="2344">
        <f t="shared" si="277"/>
        <v>-232228.44</v>
      </c>
      <c r="L1330" s="2355">
        <f t="shared" si="287"/>
        <v>-619081</v>
      </c>
      <c r="M1330" s="2355">
        <f t="shared" si="287"/>
        <v>-674442</v>
      </c>
    </row>
    <row r="1331" spans="1:13" ht="13.5" thickTop="1" x14ac:dyDescent="0.2">
      <c r="B1331" s="2330"/>
      <c r="C1331" s="2356"/>
      <c r="D1331" s="2356"/>
      <c r="E1331" s="2356"/>
      <c r="G1331" s="2332"/>
      <c r="H1331" s="2332"/>
      <c r="I1331" s="2332"/>
      <c r="J1331" s="2332"/>
      <c r="K1331" s="2333">
        <f t="shared" si="277"/>
        <v>0</v>
      </c>
      <c r="L1331" s="2356"/>
      <c r="M1331" s="2356"/>
    </row>
    <row r="1332" spans="1:13" x14ac:dyDescent="0.2">
      <c r="A1332" s="2369"/>
      <c r="B1332" s="2369"/>
      <c r="C1332" s="2369"/>
      <c r="D1332" s="2369"/>
      <c r="E1332" s="2369"/>
      <c r="G1332" s="2332"/>
      <c r="H1332" s="2332"/>
      <c r="I1332" s="2332"/>
      <c r="J1332" s="2332"/>
      <c r="K1332" s="2333">
        <f t="shared" si="277"/>
        <v>0</v>
      </c>
      <c r="L1332" s="2369"/>
      <c r="M1332" s="2369"/>
    </row>
    <row r="1333" spans="1:13" ht="15.75" x14ac:dyDescent="0.25">
      <c r="A1333" s="2374">
        <v>1600</v>
      </c>
      <c r="B1333" s="2421" t="s">
        <v>7180</v>
      </c>
      <c r="G1333" s="2332"/>
      <c r="H1333" s="2332"/>
      <c r="I1333" s="2332"/>
      <c r="J1333" s="2332"/>
      <c r="K1333" s="2333">
        <f t="shared" si="277"/>
        <v>0</v>
      </c>
    </row>
    <row r="1334" spans="1:13" ht="15" x14ac:dyDescent="0.25">
      <c r="A1334" s="2365">
        <v>1610</v>
      </c>
      <c r="B1334" s="2326" t="s">
        <v>7181</v>
      </c>
      <c r="C1334" s="2326"/>
      <c r="D1334" s="2326"/>
      <c r="E1334" s="2326"/>
      <c r="F1334" s="2309"/>
      <c r="G1334" s="2332"/>
      <c r="H1334" s="2332"/>
      <c r="I1334" s="2332"/>
      <c r="J1334" s="2332"/>
      <c r="K1334" s="2333">
        <f t="shared" si="277"/>
        <v>0</v>
      </c>
    </row>
    <row r="1335" spans="1:13" ht="15" x14ac:dyDescent="0.25">
      <c r="B1335" s="2326"/>
      <c r="C1335" s="2326"/>
      <c r="D1335" s="2326"/>
      <c r="E1335" s="2326"/>
      <c r="F1335" s="2309"/>
      <c r="G1335" s="2332"/>
      <c r="H1335" s="2332"/>
      <c r="I1335" s="2332"/>
      <c r="J1335" s="2332"/>
      <c r="K1335" s="2333">
        <f t="shared" si="277"/>
        <v>0</v>
      </c>
    </row>
    <row r="1336" spans="1:13" ht="13.5" thickBot="1" x14ac:dyDescent="0.25">
      <c r="B1336" s="2328" t="s">
        <v>247</v>
      </c>
      <c r="C1336" s="2328"/>
      <c r="D1336" s="2328"/>
      <c r="E1336" s="2328"/>
      <c r="G1336" s="2332"/>
      <c r="H1336" s="2332"/>
      <c r="I1336" s="2332"/>
      <c r="J1336" s="2332"/>
      <c r="K1336" s="2333">
        <f t="shared" si="277"/>
        <v>0</v>
      </c>
      <c r="L1336" s="2428"/>
    </row>
    <row r="1337" spans="1:13" ht="13.5" thickTop="1" x14ac:dyDescent="0.2">
      <c r="B1337" s="2323"/>
      <c r="C1337" s="2323"/>
      <c r="D1337" s="2384"/>
      <c r="E1337" s="2384"/>
      <c r="G1337" s="2332"/>
      <c r="H1337" s="2332"/>
      <c r="I1337" s="2332"/>
      <c r="J1337" s="2332"/>
      <c r="K1337" s="2333">
        <f t="shared" si="277"/>
        <v>0</v>
      </c>
    </row>
    <row r="1338" spans="1:13" x14ac:dyDescent="0.2">
      <c r="B1338" s="2330" t="s">
        <v>6789</v>
      </c>
      <c r="C1338" s="2375"/>
      <c r="D1338" s="2375"/>
      <c r="E1338" s="2375"/>
      <c r="G1338" s="2332"/>
      <c r="H1338" s="2332"/>
      <c r="I1338" s="2332"/>
      <c r="J1338" s="2332"/>
      <c r="K1338" s="2333">
        <f t="shared" si="277"/>
        <v>0</v>
      </c>
      <c r="L1338" s="2375"/>
      <c r="M1338" s="2375"/>
    </row>
    <row r="1339" spans="1:13" x14ac:dyDescent="0.2">
      <c r="A1339" s="2353">
        <v>5600</v>
      </c>
      <c r="B1339" s="2334" t="s">
        <v>1838</v>
      </c>
      <c r="C1339" s="2335">
        <v>1033949</v>
      </c>
      <c r="D1339" s="2335">
        <v>1360360</v>
      </c>
      <c r="E1339" s="2335">
        <v>1360360</v>
      </c>
      <c r="F1339" s="2335">
        <v>901572</v>
      </c>
      <c r="G1339" s="2335">
        <f>F1339/$F$11*$G$11</f>
        <v>1081886.3999999999</v>
      </c>
      <c r="H1339" s="2335"/>
      <c r="I1339" s="2335">
        <v>1100000</v>
      </c>
      <c r="J1339" s="2335">
        <f>-[5]Sheet1!$K$1304</f>
        <v>710462.82</v>
      </c>
      <c r="K1339" s="2336">
        <f t="shared" si="277"/>
        <v>710462.82</v>
      </c>
      <c r="L1339" s="2335">
        <f>ROUND(I1339*1.06,0)</f>
        <v>1166000</v>
      </c>
      <c r="M1339" s="2335">
        <f>ROUND(L1339*1.06,0)</f>
        <v>1235960</v>
      </c>
    </row>
    <row r="1340" spans="1:13" x14ac:dyDescent="0.2">
      <c r="B1340" s="2330" t="s">
        <v>6749</v>
      </c>
      <c r="C1340" s="2376">
        <f t="shared" ref="C1340:M1340" si="288">SUM(C1339)</f>
        <v>1033949</v>
      </c>
      <c r="D1340" s="2376">
        <f t="shared" si="288"/>
        <v>1360360</v>
      </c>
      <c r="E1340" s="2376">
        <f t="shared" si="288"/>
        <v>1360360</v>
      </c>
      <c r="F1340" s="2376">
        <f t="shared" si="288"/>
        <v>901572</v>
      </c>
      <c r="G1340" s="2376">
        <f t="shared" si="288"/>
        <v>1081886.3999999999</v>
      </c>
      <c r="H1340" s="2376"/>
      <c r="I1340" s="2376">
        <f t="shared" si="288"/>
        <v>1100000</v>
      </c>
      <c r="J1340" s="2376">
        <f>J1339</f>
        <v>710462.82</v>
      </c>
      <c r="K1340" s="2333">
        <f t="shared" si="277"/>
        <v>710462.82</v>
      </c>
      <c r="L1340" s="2376">
        <f t="shared" si="288"/>
        <v>1166000</v>
      </c>
      <c r="M1340" s="2376">
        <f t="shared" si="288"/>
        <v>1235960</v>
      </c>
    </row>
    <row r="1341" spans="1:13" x14ac:dyDescent="0.2">
      <c r="B1341" s="2330"/>
      <c r="C1341" s="2375"/>
      <c r="D1341" s="2375"/>
      <c r="E1341" s="2375"/>
      <c r="F1341" s="2375"/>
      <c r="G1341" s="2375"/>
      <c r="H1341" s="2375"/>
      <c r="I1341" s="2375"/>
      <c r="J1341" s="2375"/>
      <c r="K1341" s="2333">
        <f t="shared" si="277"/>
        <v>0</v>
      </c>
      <c r="L1341" s="2375"/>
      <c r="M1341" s="2375"/>
    </row>
    <row r="1342" spans="1:13" ht="13.5" thickBot="1" x14ac:dyDescent="0.25">
      <c r="B1342" s="2342" t="s">
        <v>6579</v>
      </c>
      <c r="C1342" s="2343">
        <f t="shared" ref="C1342:M1342" si="289">+C1340</f>
        <v>1033949</v>
      </c>
      <c r="D1342" s="2343">
        <f t="shared" si="289"/>
        <v>1360360</v>
      </c>
      <c r="E1342" s="2343">
        <f t="shared" si="289"/>
        <v>1360360</v>
      </c>
      <c r="F1342" s="2343">
        <f t="shared" si="289"/>
        <v>901572</v>
      </c>
      <c r="G1342" s="2343">
        <f t="shared" si="289"/>
        <v>1081886.3999999999</v>
      </c>
      <c r="H1342" s="2343"/>
      <c r="I1342" s="2343">
        <f t="shared" si="289"/>
        <v>1100000</v>
      </c>
      <c r="J1342" s="2343">
        <f>J1340</f>
        <v>710462.82</v>
      </c>
      <c r="K1342" s="2344">
        <f t="shared" si="277"/>
        <v>710462.82</v>
      </c>
      <c r="L1342" s="2343">
        <f t="shared" si="289"/>
        <v>1166000</v>
      </c>
      <c r="M1342" s="2343">
        <f t="shared" si="289"/>
        <v>1235960</v>
      </c>
    </row>
    <row r="1343" spans="1:13" ht="13.5" thickTop="1" x14ac:dyDescent="0.2">
      <c r="B1343" s="2346"/>
      <c r="C1343" s="2346"/>
      <c r="D1343" s="2346"/>
      <c r="E1343" s="2346"/>
      <c r="G1343" s="2332"/>
      <c r="H1343" s="2332"/>
      <c r="I1343" s="2332"/>
      <c r="J1343" s="2332">
        <f>J1342+[5]Sheet1!$K$1305</f>
        <v>0</v>
      </c>
      <c r="K1343" s="2333">
        <f t="shared" si="277"/>
        <v>0</v>
      </c>
      <c r="L1343" s="2346"/>
      <c r="M1343" s="2346"/>
    </row>
    <row r="1344" spans="1:13" x14ac:dyDescent="0.2">
      <c r="B1344" s="2328" t="s">
        <v>235</v>
      </c>
      <c r="C1344" s="2328"/>
      <c r="D1344" s="2328"/>
      <c r="E1344" s="2328"/>
      <c r="F1344" s="2309"/>
      <c r="G1344" s="2332"/>
      <c r="H1344" s="2332"/>
      <c r="I1344" s="2332"/>
      <c r="J1344" s="2332"/>
      <c r="K1344" s="2333">
        <f t="shared" si="277"/>
        <v>0</v>
      </c>
      <c r="L1344" s="2328"/>
      <c r="M1344" s="2328"/>
    </row>
    <row r="1345" spans="1:13" x14ac:dyDescent="0.2">
      <c r="B1345" s="2328"/>
      <c r="C1345" s="2328"/>
      <c r="D1345" s="2328"/>
      <c r="E1345" s="2328"/>
      <c r="F1345" s="2309"/>
      <c r="G1345" s="2332"/>
      <c r="H1345" s="2332"/>
      <c r="I1345" s="2332"/>
      <c r="J1345" s="2332"/>
      <c r="K1345" s="2333">
        <f t="shared" si="277"/>
        <v>0</v>
      </c>
      <c r="L1345" s="2328"/>
      <c r="M1345" s="2328"/>
    </row>
    <row r="1346" spans="1:13" x14ac:dyDescent="0.2">
      <c r="B1346" s="2330" t="s">
        <v>387</v>
      </c>
      <c r="C1346" s="2332"/>
      <c r="D1346" s="2332"/>
      <c r="E1346" s="2332"/>
      <c r="F1346" s="2309"/>
      <c r="G1346" s="2332"/>
      <c r="H1346" s="2332"/>
      <c r="I1346" s="2332"/>
      <c r="J1346" s="2332"/>
      <c r="K1346" s="2333">
        <f t="shared" si="277"/>
        <v>0</v>
      </c>
      <c r="L1346" s="2332"/>
      <c r="M1346" s="2332"/>
    </row>
    <row r="1347" spans="1:13" x14ac:dyDescent="0.2">
      <c r="A1347" s="2329">
        <v>1001</v>
      </c>
      <c r="B1347" s="2258" t="s">
        <v>6943</v>
      </c>
      <c r="C1347" s="2332">
        <v>246104</v>
      </c>
      <c r="D1347" s="2332">
        <v>303890</v>
      </c>
      <c r="E1347" s="2332">
        <v>295070</v>
      </c>
      <c r="F1347" s="2332">
        <v>284957</v>
      </c>
      <c r="G1347" s="2332">
        <f t="shared" ref="G1347:G1359" si="290">F1347/$F$11*$G$11</f>
        <v>341948.4</v>
      </c>
      <c r="H1347" s="2332"/>
      <c r="I1347" s="2332">
        <f>[6]Salary_Bdgt!$H$260</f>
        <v>360672</v>
      </c>
      <c r="J1347" s="2332">
        <f>[5]Sheet1!$K$1312</f>
        <v>492887.24</v>
      </c>
      <c r="K1347" s="2333">
        <f t="shared" si="277"/>
        <v>492887.24</v>
      </c>
      <c r="L1347" s="2332">
        <f t="shared" ref="L1347:L1359" si="291">ROUND(I1347*1.08,0)</f>
        <v>389526</v>
      </c>
      <c r="M1347" s="2332">
        <f t="shared" ref="M1347:M1359" si="292">ROUND(L1347*1.08,0)</f>
        <v>420688</v>
      </c>
    </row>
    <row r="1348" spans="1:13" x14ac:dyDescent="0.2">
      <c r="A1348" s="2353">
        <v>1005</v>
      </c>
      <c r="B1348" s="2258" t="s">
        <v>6944</v>
      </c>
      <c r="C1348" s="2332">
        <v>38814</v>
      </c>
      <c r="D1348" s="2332">
        <v>39188</v>
      </c>
      <c r="E1348" s="2332">
        <f>+D1348</f>
        <v>39188</v>
      </c>
      <c r="F1348" s="2332">
        <v>39433</v>
      </c>
      <c r="G1348" s="2332">
        <f t="shared" si="290"/>
        <v>47319.600000000006</v>
      </c>
      <c r="H1348" s="2332"/>
      <c r="I1348" s="2332">
        <f>+[6]Salary_Bdgt!$L$260</f>
        <v>56923</v>
      </c>
      <c r="J1348" s="2332">
        <f>[5]Sheet1!$K$1322</f>
        <v>64592.3</v>
      </c>
      <c r="K1348" s="2333">
        <f t="shared" si="277"/>
        <v>64592.3</v>
      </c>
      <c r="L1348" s="2332">
        <f t="shared" si="291"/>
        <v>61477</v>
      </c>
      <c r="M1348" s="2332">
        <f t="shared" si="292"/>
        <v>66395</v>
      </c>
    </row>
    <row r="1349" spans="1:13" x14ac:dyDescent="0.2">
      <c r="A1349" s="2353">
        <v>1006</v>
      </c>
      <c r="B1349" s="2258" t="s">
        <v>6945</v>
      </c>
      <c r="C1349" s="2332">
        <v>47721</v>
      </c>
      <c r="D1349" s="2332">
        <v>45250</v>
      </c>
      <c r="E1349" s="2332">
        <f>+D1349+3379</f>
        <v>48629</v>
      </c>
      <c r="F1349" s="2332">
        <v>45907</v>
      </c>
      <c r="G1349" s="2332">
        <f t="shared" si="290"/>
        <v>55088.399999999994</v>
      </c>
      <c r="H1349" s="2332"/>
      <c r="I1349" s="2332">
        <f>+[6]Salary_Bdgt!$N$260</f>
        <v>34982</v>
      </c>
      <c r="J1349" s="2332">
        <f>[5]Sheet1!$K$1323</f>
        <v>100338.84</v>
      </c>
      <c r="K1349" s="2333">
        <f t="shared" si="277"/>
        <v>100338.84</v>
      </c>
      <c r="L1349" s="2332">
        <f t="shared" si="291"/>
        <v>37781</v>
      </c>
      <c r="M1349" s="2332">
        <f t="shared" si="292"/>
        <v>40803</v>
      </c>
    </row>
    <row r="1350" spans="1:13" x14ac:dyDescent="0.2">
      <c r="A1350" s="2329">
        <v>1007</v>
      </c>
      <c r="B1350" s="2258" t="s">
        <v>6410</v>
      </c>
      <c r="C1350" s="2332">
        <v>3306</v>
      </c>
      <c r="D1350" s="2332">
        <v>5144</v>
      </c>
      <c r="E1350" s="2332">
        <f>+D1350</f>
        <v>5144</v>
      </c>
      <c r="F1350" s="2332">
        <v>3883</v>
      </c>
      <c r="G1350" s="2332">
        <f t="shared" si="290"/>
        <v>4659.6000000000004</v>
      </c>
      <c r="H1350" s="2332"/>
      <c r="I1350" s="2332">
        <f>+[6]Salary_Bdgt!$I$260</f>
        <v>6025</v>
      </c>
      <c r="J1350" s="2332">
        <f>[5]Sheet1!$K$1324</f>
        <v>6064.18</v>
      </c>
      <c r="K1350" s="2333">
        <f t="shared" si="277"/>
        <v>6064.18</v>
      </c>
      <c r="L1350" s="2332">
        <f t="shared" si="291"/>
        <v>6507</v>
      </c>
      <c r="M1350" s="2332">
        <f t="shared" si="292"/>
        <v>7028</v>
      </c>
    </row>
    <row r="1351" spans="1:13" x14ac:dyDescent="0.2">
      <c r="A1351" s="2329">
        <v>1009</v>
      </c>
      <c r="B1351" s="2258" t="s">
        <v>6408</v>
      </c>
      <c r="C1351" s="2332">
        <v>159</v>
      </c>
      <c r="D1351" s="2332">
        <f>[7]Sal_RIA!$M$196</f>
        <v>154</v>
      </c>
      <c r="E1351" s="2332">
        <f>+D1351</f>
        <v>154</v>
      </c>
      <c r="F1351" s="2332">
        <v>169</v>
      </c>
      <c r="G1351" s="2332">
        <f t="shared" si="290"/>
        <v>202.79999999999998</v>
      </c>
      <c r="H1351" s="2332"/>
      <c r="I1351" s="2332">
        <f>+[6]Salary_Bdgt!$M$260</f>
        <v>180</v>
      </c>
      <c r="J1351" s="2332">
        <f>[5]Sheet1!$K$1319</f>
        <v>287</v>
      </c>
      <c r="K1351" s="2333">
        <f t="shared" si="277"/>
        <v>287</v>
      </c>
      <c r="L1351" s="2332">
        <f t="shared" si="291"/>
        <v>194</v>
      </c>
      <c r="M1351" s="2332">
        <f t="shared" si="292"/>
        <v>210</v>
      </c>
    </row>
    <row r="1352" spans="1:13" x14ac:dyDescent="0.2">
      <c r="A1352" s="2353">
        <v>1010</v>
      </c>
      <c r="B1352" s="2258" t="s">
        <v>6946</v>
      </c>
      <c r="C1352" s="2332">
        <v>22506</v>
      </c>
      <c r="D1352" s="2332">
        <v>25324</v>
      </c>
      <c r="E1352" s="2332">
        <f>+D1352</f>
        <v>25324</v>
      </c>
      <c r="F1352" s="2332">
        <v>26929</v>
      </c>
      <c r="G1352" s="2332">
        <f t="shared" si="290"/>
        <v>32314.800000000003</v>
      </c>
      <c r="H1352" s="2332"/>
      <c r="I1352" s="2332">
        <f>+[6]Salary_Bdgt!$Q$260</f>
        <v>30056</v>
      </c>
      <c r="J1352" s="2332">
        <f>[5]Sheet1!$K$1313</f>
        <v>69368.399999999994</v>
      </c>
      <c r="K1352" s="2333">
        <f t="shared" si="277"/>
        <v>69368.399999999994</v>
      </c>
      <c r="L1352" s="2332">
        <f t="shared" si="291"/>
        <v>32460</v>
      </c>
      <c r="M1352" s="2332">
        <f t="shared" si="292"/>
        <v>35057</v>
      </c>
    </row>
    <row r="1353" spans="1:13" x14ac:dyDescent="0.2">
      <c r="A1353" s="2353">
        <v>1011</v>
      </c>
      <c r="B1353" s="2258" t="s">
        <v>6947</v>
      </c>
      <c r="C1353" s="2332">
        <v>2160</v>
      </c>
      <c r="D1353" s="2332">
        <v>0</v>
      </c>
      <c r="E1353" s="2332">
        <v>0</v>
      </c>
      <c r="F1353" s="2332">
        <v>0</v>
      </c>
      <c r="G1353" s="2332">
        <f t="shared" si="290"/>
        <v>0</v>
      </c>
      <c r="H1353" s="2332"/>
      <c r="I1353" s="2332">
        <f>+[6]Salary_Bdgt!$U$260</f>
        <v>0</v>
      </c>
      <c r="J1353" s="2332">
        <v>0</v>
      </c>
      <c r="K1353" s="2333">
        <f t="shared" si="277"/>
        <v>0</v>
      </c>
      <c r="L1353" s="2332">
        <f t="shared" si="291"/>
        <v>0</v>
      </c>
      <c r="M1353" s="2332">
        <f t="shared" si="292"/>
        <v>0</v>
      </c>
    </row>
    <row r="1354" spans="1:13" x14ac:dyDescent="0.2">
      <c r="A1354" s="2353">
        <v>1014</v>
      </c>
      <c r="B1354" s="2258" t="s">
        <v>6632</v>
      </c>
      <c r="C1354" s="2332">
        <v>4773</v>
      </c>
      <c r="D1354" s="2332">
        <v>0</v>
      </c>
      <c r="E1354" s="2332">
        <v>3240</v>
      </c>
      <c r="F1354" s="2332">
        <v>2871</v>
      </c>
      <c r="G1354" s="2332">
        <f t="shared" si="290"/>
        <v>3445.2000000000003</v>
      </c>
      <c r="H1354" s="2332"/>
      <c r="I1354" s="2332">
        <f>+[6]Salary_Bdgt!$S$260</f>
        <v>2946</v>
      </c>
      <c r="J1354" s="2332">
        <f>[5]Sheet1!$K$1315</f>
        <v>5932.6</v>
      </c>
      <c r="K1354" s="2333">
        <f t="shared" si="277"/>
        <v>5932.6</v>
      </c>
      <c r="L1354" s="2332">
        <f t="shared" si="291"/>
        <v>3182</v>
      </c>
      <c r="M1354" s="2332">
        <f t="shared" si="292"/>
        <v>3437</v>
      </c>
    </row>
    <row r="1355" spans="1:13" x14ac:dyDescent="0.2">
      <c r="A1355" s="2329">
        <v>1015</v>
      </c>
      <c r="B1355" s="2258" t="s">
        <v>6948</v>
      </c>
      <c r="C1355" s="2332">
        <v>32360</v>
      </c>
      <c r="D1355" s="2332">
        <v>51157</v>
      </c>
      <c r="E1355" s="2332">
        <f>+D1355</f>
        <v>51157</v>
      </c>
      <c r="F1355" s="2332">
        <v>72449</v>
      </c>
      <c r="G1355" s="2332">
        <f t="shared" si="290"/>
        <v>86938.799999999988</v>
      </c>
      <c r="H1355" s="2332"/>
      <c r="I1355" s="2332">
        <f>+[6]Salary_Bdgt!$O$260+[6]Salary_Bdgt!$P$260+[6]Salary_Bdgt!$W$260</f>
        <v>162958</v>
      </c>
      <c r="J1355" s="2332">
        <f>[5]Sheet1!$K$1316</f>
        <v>55604.82</v>
      </c>
      <c r="K1355" s="2333">
        <f t="shared" si="277"/>
        <v>55604.82</v>
      </c>
      <c r="L1355" s="2332">
        <f t="shared" si="291"/>
        <v>175995</v>
      </c>
      <c r="M1355" s="2332">
        <f t="shared" si="292"/>
        <v>190075</v>
      </c>
    </row>
    <row r="1356" spans="1:13" x14ac:dyDescent="0.2">
      <c r="A1356" s="2353">
        <v>1016</v>
      </c>
      <c r="B1356" s="2258" t="s">
        <v>6949</v>
      </c>
      <c r="C1356" s="2332">
        <v>0</v>
      </c>
      <c r="D1356" s="2332">
        <v>2376</v>
      </c>
      <c r="E1356" s="2332">
        <f>+D1356+2201</f>
        <v>4577</v>
      </c>
      <c r="F1356" s="2332">
        <f>180+4264</f>
        <v>4444</v>
      </c>
      <c r="G1356" s="2332">
        <f t="shared" si="290"/>
        <v>5332.7999999999993</v>
      </c>
      <c r="H1356" s="2332"/>
      <c r="I1356" s="2332">
        <f>+[6]Salary_Bdgt!$T$260+[6]Salary_Bdgt!$V$260</f>
        <v>3862</v>
      </c>
      <c r="J1356" s="2332">
        <f>[5]Sheet1!$K$1317</f>
        <v>1316.51</v>
      </c>
      <c r="K1356" s="2333">
        <f t="shared" si="277"/>
        <v>1316.51</v>
      </c>
      <c r="L1356" s="2332">
        <f t="shared" si="291"/>
        <v>4171</v>
      </c>
      <c r="M1356" s="2332">
        <f t="shared" si="292"/>
        <v>4505</v>
      </c>
    </row>
    <row r="1357" spans="1:13" x14ac:dyDescent="0.2">
      <c r="A1357" s="2353">
        <v>1017</v>
      </c>
      <c r="B1357" s="2258" t="s">
        <v>6950</v>
      </c>
      <c r="C1357" s="2332">
        <v>3834</v>
      </c>
      <c r="D1357" s="2332">
        <v>7112</v>
      </c>
      <c r="E1357" s="2332">
        <f>+D1357</f>
        <v>7112</v>
      </c>
      <c r="F1357" s="2332">
        <v>2643</v>
      </c>
      <c r="G1357" s="2332">
        <f t="shared" si="290"/>
        <v>3171.6000000000004</v>
      </c>
      <c r="H1357" s="2332"/>
      <c r="I1357" s="2332">
        <f>+[6]Salary_Bdgt!$J$260</f>
        <v>7929</v>
      </c>
      <c r="J1357" s="2332">
        <f>[5]Sheet1!$K$1320</f>
        <v>5782.38</v>
      </c>
      <c r="K1357" s="2333">
        <f t="shared" si="277"/>
        <v>5782.38</v>
      </c>
      <c r="L1357" s="2332">
        <f t="shared" si="291"/>
        <v>8563</v>
      </c>
      <c r="M1357" s="2332">
        <f t="shared" si="292"/>
        <v>9248</v>
      </c>
    </row>
    <row r="1358" spans="1:13" x14ac:dyDescent="0.2">
      <c r="A1358" s="2353">
        <v>1046</v>
      </c>
      <c r="B1358" s="2258" t="s">
        <v>6951</v>
      </c>
      <c r="C1358" s="2332">
        <v>67200</v>
      </c>
      <c r="D1358" s="2332">
        <v>73920</v>
      </c>
      <c r="E1358" s="2332">
        <f>+D1358</f>
        <v>73920</v>
      </c>
      <c r="F1358" s="2332">
        <v>42000</v>
      </c>
      <c r="G1358" s="2332">
        <f t="shared" si="290"/>
        <v>50400</v>
      </c>
      <c r="H1358" s="2332"/>
      <c r="I1358" s="2332">
        <f>+[6]Salary_Bdgt!$R$260</f>
        <v>36288</v>
      </c>
      <c r="J1358" s="2332">
        <f>[5]Sheet1!$K$1318</f>
        <v>39200</v>
      </c>
      <c r="K1358" s="2333">
        <f t="shared" si="277"/>
        <v>39200</v>
      </c>
      <c r="L1358" s="2332">
        <f t="shared" si="291"/>
        <v>39191</v>
      </c>
      <c r="M1358" s="2332">
        <f t="shared" si="292"/>
        <v>42326</v>
      </c>
    </row>
    <row r="1359" spans="1:13" x14ac:dyDescent="0.2">
      <c r="A1359" s="2353">
        <v>1182</v>
      </c>
      <c r="B1359" s="2334" t="s">
        <v>6952</v>
      </c>
      <c r="C1359" s="2335">
        <v>3311</v>
      </c>
      <c r="D1359" s="2335">
        <v>6614</v>
      </c>
      <c r="E1359" s="2335">
        <f>+D1359</f>
        <v>6614</v>
      </c>
      <c r="F1359" s="2335">
        <v>0</v>
      </c>
      <c r="G1359" s="2335">
        <f t="shared" si="290"/>
        <v>0</v>
      </c>
      <c r="H1359" s="2335"/>
      <c r="I1359" s="2335">
        <f>+[6]Salary_Bdgt!$K$260</f>
        <v>7374</v>
      </c>
      <c r="J1359" s="2335">
        <f>[5]Sheet1!$K$1321</f>
        <v>2516.36</v>
      </c>
      <c r="K1359" s="2336">
        <f t="shared" si="277"/>
        <v>2516.36</v>
      </c>
      <c r="L1359" s="2335">
        <f t="shared" si="291"/>
        <v>7964</v>
      </c>
      <c r="M1359" s="2335">
        <f t="shared" si="292"/>
        <v>8601</v>
      </c>
    </row>
    <row r="1360" spans="1:13" x14ac:dyDescent="0.2">
      <c r="B1360" s="2330" t="s">
        <v>6588</v>
      </c>
      <c r="C1360" s="2349">
        <f t="shared" ref="C1360:M1360" si="293">SUM(C1347:C1359)</f>
        <v>472248</v>
      </c>
      <c r="D1360" s="2349">
        <f t="shared" si="293"/>
        <v>560129</v>
      </c>
      <c r="E1360" s="2349">
        <f t="shared" si="293"/>
        <v>560129</v>
      </c>
      <c r="F1360" s="2349">
        <f t="shared" si="293"/>
        <v>525685</v>
      </c>
      <c r="G1360" s="2349">
        <f t="shared" si="293"/>
        <v>630822</v>
      </c>
      <c r="H1360" s="2349"/>
      <c r="I1360" s="2349">
        <f t="shared" si="293"/>
        <v>710195</v>
      </c>
      <c r="J1360" s="2349">
        <f>SUM(J1347:J1359)</f>
        <v>843890.63</v>
      </c>
      <c r="K1360" s="2333">
        <f t="shared" si="277"/>
        <v>843890.63</v>
      </c>
      <c r="L1360" s="2349">
        <f t="shared" si="293"/>
        <v>767011</v>
      </c>
      <c r="M1360" s="2349">
        <f t="shared" si="293"/>
        <v>828373</v>
      </c>
    </row>
    <row r="1361" spans="1:13" x14ac:dyDescent="0.2">
      <c r="B1361" s="2330"/>
      <c r="C1361" s="2332"/>
      <c r="D1361" s="2332"/>
      <c r="E1361" s="2332"/>
      <c r="G1361" s="2332"/>
      <c r="H1361" s="2332"/>
      <c r="I1361" s="2332"/>
      <c r="J1361" s="2332">
        <f>J1360-[5]Sheet1!$K$1325</f>
        <v>0</v>
      </c>
      <c r="K1361" s="2333">
        <f t="shared" si="277"/>
        <v>0</v>
      </c>
      <c r="L1361" s="2332"/>
      <c r="M1361" s="2332"/>
    </row>
    <row r="1362" spans="1:13" x14ac:dyDescent="0.2">
      <c r="B1362" s="2330" t="s">
        <v>6953</v>
      </c>
      <c r="C1362" s="2332"/>
      <c r="D1362" s="2332"/>
      <c r="E1362" s="2332"/>
      <c r="F1362" s="2309"/>
      <c r="G1362" s="2332"/>
      <c r="H1362" s="2332"/>
      <c r="I1362" s="2332"/>
      <c r="J1362" s="2332"/>
      <c r="K1362" s="2333">
        <f t="shared" si="277"/>
        <v>0</v>
      </c>
      <c r="L1362" s="2332"/>
      <c r="M1362" s="2332"/>
    </row>
    <row r="1363" spans="1:13" x14ac:dyDescent="0.2">
      <c r="A1363" s="2353">
        <v>3206</v>
      </c>
      <c r="B1363" s="2258" t="s">
        <v>7164</v>
      </c>
      <c r="C1363" s="2332">
        <v>5934</v>
      </c>
      <c r="D1363" s="2332">
        <v>31500</v>
      </c>
      <c r="E1363" s="2332">
        <v>31500</v>
      </c>
      <c r="F1363" s="2332">
        <v>0</v>
      </c>
      <c r="G1363" s="2332">
        <f>F1363/$F$11*$G$11</f>
        <v>0</v>
      </c>
      <c r="H1363" s="2332"/>
      <c r="I1363" s="2332">
        <v>0</v>
      </c>
      <c r="J1363" s="2332">
        <v>0</v>
      </c>
      <c r="K1363" s="2333">
        <f t="shared" si="277"/>
        <v>0</v>
      </c>
      <c r="L1363" s="2332">
        <f>ROUND(I1363*1.06,0)</f>
        <v>0</v>
      </c>
      <c r="M1363" s="2332">
        <f>ROUND(L1363*1.06,0)</f>
        <v>0</v>
      </c>
    </row>
    <row r="1364" spans="1:13" x14ac:dyDescent="0.2">
      <c r="A1364" s="2353">
        <v>3275</v>
      </c>
      <c r="B1364" s="2334" t="s">
        <v>7182</v>
      </c>
      <c r="C1364" s="2335">
        <v>3730</v>
      </c>
      <c r="D1364" s="2335">
        <v>200000</v>
      </c>
      <c r="E1364" s="2335">
        <f>200000-50000</f>
        <v>150000</v>
      </c>
      <c r="F1364" s="2335">
        <v>219298</v>
      </c>
      <c r="G1364" s="2335">
        <f>F1364/$F$11*$G$11</f>
        <v>263157.59999999998</v>
      </c>
      <c r="H1364" s="2335"/>
      <c r="I1364" s="2335">
        <v>0</v>
      </c>
      <c r="J1364" s="2335">
        <v>0</v>
      </c>
      <c r="K1364" s="2336">
        <f t="shared" si="277"/>
        <v>0</v>
      </c>
      <c r="L1364" s="2335">
        <f>ROUND(I1364*1.06,0)</f>
        <v>0</v>
      </c>
      <c r="M1364" s="2335">
        <f>ROUND(L1364*1.06,0)</f>
        <v>0</v>
      </c>
    </row>
    <row r="1365" spans="1:13" x14ac:dyDescent="0.2">
      <c r="B1365" s="2330" t="s">
        <v>6956</v>
      </c>
      <c r="C1365" s="2349">
        <f>SUM(C1363:C1364)</f>
        <v>9664</v>
      </c>
      <c r="D1365" s="2349">
        <f t="shared" ref="D1365:M1365" si="294">SUM(D1363:D1364)</f>
        <v>231500</v>
      </c>
      <c r="E1365" s="2349">
        <f t="shared" si="294"/>
        <v>181500</v>
      </c>
      <c r="F1365" s="2349">
        <f t="shared" si="294"/>
        <v>219298</v>
      </c>
      <c r="G1365" s="2349">
        <f t="shared" si="294"/>
        <v>263157.59999999998</v>
      </c>
      <c r="H1365" s="2349"/>
      <c r="I1365" s="2349">
        <f t="shared" si="294"/>
        <v>0</v>
      </c>
      <c r="J1365" s="2349">
        <v>0</v>
      </c>
      <c r="K1365" s="2333">
        <f t="shared" ref="K1365:K1428" si="295">J1365</f>
        <v>0</v>
      </c>
      <c r="L1365" s="2349">
        <f t="shared" si="294"/>
        <v>0</v>
      </c>
      <c r="M1365" s="2349">
        <f t="shared" si="294"/>
        <v>0</v>
      </c>
    </row>
    <row r="1366" spans="1:13" x14ac:dyDescent="0.2">
      <c r="B1366" s="2330"/>
      <c r="C1366" s="2332"/>
      <c r="D1366" s="2332"/>
      <c r="E1366" s="2332"/>
      <c r="G1366" s="2332"/>
      <c r="H1366" s="2332"/>
      <c r="I1366" s="2332"/>
      <c r="J1366" s="2332"/>
      <c r="K1366" s="2333">
        <f t="shared" si="295"/>
        <v>0</v>
      </c>
      <c r="L1366" s="2332"/>
      <c r="M1366" s="2332"/>
    </row>
    <row r="1367" spans="1:13" x14ac:dyDescent="0.2">
      <c r="B1367" s="2330" t="s">
        <v>6599</v>
      </c>
      <c r="C1367" s="2332"/>
      <c r="D1367" s="2332"/>
      <c r="E1367" s="2332"/>
      <c r="G1367" s="2332"/>
      <c r="H1367" s="2332"/>
      <c r="I1367" s="2332"/>
      <c r="J1367" s="2332"/>
      <c r="K1367" s="2333">
        <f t="shared" si="295"/>
        <v>0</v>
      </c>
      <c r="L1367" s="2332"/>
      <c r="M1367" s="2332"/>
    </row>
    <row r="1368" spans="1:13" x14ac:dyDescent="0.2">
      <c r="A1368" s="2353">
        <v>2104</v>
      </c>
      <c r="B1368" s="2258" t="s">
        <v>7183</v>
      </c>
      <c r="C1368" s="2332">
        <v>2154582</v>
      </c>
      <c r="D1368" s="2332">
        <v>951300</v>
      </c>
      <c r="E1368" s="2332">
        <v>951300</v>
      </c>
      <c r="F1368" s="2332">
        <v>4431365</v>
      </c>
      <c r="G1368" s="2332">
        <f t="shared" ref="G1368:G1381" si="296">F1368/$F$11*$G$11</f>
        <v>5317638</v>
      </c>
      <c r="H1368" s="2332"/>
      <c r="I1368" s="2332">
        <f t="shared" ref="I1368:I1374" si="297">ROUND(E1368*1.05,0)</f>
        <v>998865</v>
      </c>
      <c r="J1368" s="2332">
        <f>[5]Sheet1!$K$1341</f>
        <v>340842.61</v>
      </c>
      <c r="K1368" s="2333">
        <f t="shared" si="295"/>
        <v>340842.61</v>
      </c>
      <c r="L1368" s="2332">
        <f t="shared" ref="L1368:L1381" si="298">ROUND(I1368*1.06,0)</f>
        <v>1058797</v>
      </c>
      <c r="M1368" s="2332">
        <f t="shared" ref="M1368:M1381" si="299">ROUND(L1368*1.06,0)</f>
        <v>1122325</v>
      </c>
    </row>
    <row r="1369" spans="1:13" x14ac:dyDescent="0.2">
      <c r="A1369" s="2353">
        <v>2113</v>
      </c>
      <c r="B1369" s="2258" t="s">
        <v>6958</v>
      </c>
      <c r="C1369" s="2332">
        <v>6484</v>
      </c>
      <c r="D1369" s="2332">
        <v>15750</v>
      </c>
      <c r="E1369" s="2332">
        <v>15750</v>
      </c>
      <c r="F1369" s="2332">
        <v>6066</v>
      </c>
      <c r="G1369" s="2332">
        <f t="shared" si="296"/>
        <v>7279.2000000000007</v>
      </c>
      <c r="H1369" s="2332"/>
      <c r="I1369" s="2332">
        <f t="shared" si="297"/>
        <v>16538</v>
      </c>
      <c r="J1369" s="2332">
        <f>[5]Sheet1!$K$1328</f>
        <v>0</v>
      </c>
      <c r="K1369" s="2333">
        <f t="shared" si="295"/>
        <v>0</v>
      </c>
      <c r="L1369" s="2332">
        <f t="shared" si="298"/>
        <v>17530</v>
      </c>
      <c r="M1369" s="2332">
        <f t="shared" si="299"/>
        <v>18582</v>
      </c>
    </row>
    <row r="1370" spans="1:13" x14ac:dyDescent="0.2">
      <c r="A1370" s="2329">
        <v>2212</v>
      </c>
      <c r="B1370" s="2258" t="s">
        <v>6963</v>
      </c>
      <c r="C1370" s="2332">
        <v>0</v>
      </c>
      <c r="D1370" s="2332">
        <v>1050</v>
      </c>
      <c r="E1370" s="2332">
        <v>1050</v>
      </c>
      <c r="F1370" s="2332">
        <v>0</v>
      </c>
      <c r="G1370" s="2332">
        <f t="shared" si="296"/>
        <v>0</v>
      </c>
      <c r="H1370" s="2332"/>
      <c r="I1370" s="2332">
        <f t="shared" si="297"/>
        <v>1103</v>
      </c>
      <c r="J1370" s="2332">
        <f>[5]Sheet1!$K$1329</f>
        <v>0</v>
      </c>
      <c r="K1370" s="2333">
        <f t="shared" si="295"/>
        <v>0</v>
      </c>
      <c r="L1370" s="2332">
        <f t="shared" si="298"/>
        <v>1169</v>
      </c>
      <c r="M1370" s="2332">
        <f t="shared" si="299"/>
        <v>1239</v>
      </c>
    </row>
    <row r="1371" spans="1:13" x14ac:dyDescent="0.2">
      <c r="A1371" s="2353">
        <v>2218</v>
      </c>
      <c r="B1371" s="2258" t="s">
        <v>7184</v>
      </c>
      <c r="C1371" s="2332">
        <v>0</v>
      </c>
      <c r="D1371" s="2332">
        <v>47250</v>
      </c>
      <c r="E1371" s="2332">
        <v>47250</v>
      </c>
      <c r="F1371" s="2332">
        <v>0</v>
      </c>
      <c r="G1371" s="2332">
        <f t="shared" si="296"/>
        <v>0</v>
      </c>
      <c r="H1371" s="2332"/>
      <c r="I1371" s="2332">
        <f t="shared" si="297"/>
        <v>49613</v>
      </c>
      <c r="J1371" s="2332">
        <f>[5]Sheet1!$K$1331</f>
        <v>0</v>
      </c>
      <c r="K1371" s="2333">
        <f t="shared" si="295"/>
        <v>0</v>
      </c>
      <c r="L1371" s="2332">
        <f t="shared" si="298"/>
        <v>52590</v>
      </c>
      <c r="M1371" s="2332">
        <f t="shared" si="299"/>
        <v>55745</v>
      </c>
    </row>
    <row r="1372" spans="1:13" x14ac:dyDescent="0.2">
      <c r="A1372" s="2353">
        <v>2226</v>
      </c>
      <c r="B1372" s="2258" t="s">
        <v>6607</v>
      </c>
      <c r="C1372" s="2332">
        <v>3000</v>
      </c>
      <c r="D1372" s="2332">
        <v>5000</v>
      </c>
      <c r="E1372" s="2332">
        <v>5000</v>
      </c>
      <c r="F1372" s="2332">
        <v>0</v>
      </c>
      <c r="G1372" s="2332">
        <f t="shared" si="296"/>
        <v>0</v>
      </c>
      <c r="H1372" s="2332"/>
      <c r="I1372" s="2332">
        <f t="shared" si="297"/>
        <v>5250</v>
      </c>
      <c r="J1372" s="2332">
        <f>[5]Sheet1!$K$1331</f>
        <v>0</v>
      </c>
      <c r="K1372" s="2333">
        <f t="shared" si="295"/>
        <v>0</v>
      </c>
      <c r="L1372" s="2332">
        <f t="shared" si="298"/>
        <v>5565</v>
      </c>
      <c r="M1372" s="2332">
        <f t="shared" si="299"/>
        <v>5899</v>
      </c>
    </row>
    <row r="1373" spans="1:13" x14ac:dyDescent="0.2">
      <c r="A1373" s="2353">
        <v>2227</v>
      </c>
      <c r="B1373" s="2258" t="s">
        <v>7185</v>
      </c>
      <c r="C1373" s="2332">
        <v>316</v>
      </c>
      <c r="D1373" s="2332">
        <v>0</v>
      </c>
      <c r="E1373" s="2332">
        <v>0</v>
      </c>
      <c r="F1373" s="2332">
        <v>0</v>
      </c>
      <c r="G1373" s="2332">
        <f t="shared" si="296"/>
        <v>0</v>
      </c>
      <c r="H1373" s="2332"/>
      <c r="I1373" s="2332">
        <f t="shared" si="297"/>
        <v>0</v>
      </c>
      <c r="J1373" s="2332">
        <f>[5]Sheet1!$K$1332</f>
        <v>0</v>
      </c>
      <c r="K1373" s="2333">
        <f t="shared" si="295"/>
        <v>0</v>
      </c>
      <c r="L1373" s="2332">
        <f t="shared" si="298"/>
        <v>0</v>
      </c>
      <c r="M1373" s="2332">
        <f t="shared" si="299"/>
        <v>0</v>
      </c>
    </row>
    <row r="1374" spans="1:13" x14ac:dyDescent="0.2">
      <c r="A1374" s="2353">
        <v>2231</v>
      </c>
      <c r="B1374" s="2258" t="s">
        <v>1779</v>
      </c>
      <c r="C1374" s="2332">
        <v>0</v>
      </c>
      <c r="D1374" s="2332">
        <v>5250</v>
      </c>
      <c r="E1374" s="2332">
        <v>5250</v>
      </c>
      <c r="F1374" s="2332">
        <v>0</v>
      </c>
      <c r="G1374" s="2332">
        <f t="shared" si="296"/>
        <v>0</v>
      </c>
      <c r="H1374" s="2332"/>
      <c r="I1374" s="2332">
        <f t="shared" si="297"/>
        <v>5513</v>
      </c>
      <c r="J1374" s="2332">
        <f>[5]Sheet1!$K$1333</f>
        <v>0</v>
      </c>
      <c r="K1374" s="2333">
        <f t="shared" si="295"/>
        <v>0</v>
      </c>
      <c r="L1374" s="2332">
        <f t="shared" si="298"/>
        <v>5844</v>
      </c>
      <c r="M1374" s="2332">
        <f t="shared" si="299"/>
        <v>6195</v>
      </c>
    </row>
    <row r="1375" spans="1:13" x14ac:dyDescent="0.2">
      <c r="A1375" s="2329">
        <v>2233</v>
      </c>
      <c r="B1375" s="2258" t="s">
        <v>6966</v>
      </c>
      <c r="C1375" s="2332">
        <v>1280</v>
      </c>
      <c r="D1375" s="2332">
        <v>10000</v>
      </c>
      <c r="E1375" s="2332">
        <v>10000</v>
      </c>
      <c r="F1375" s="2332">
        <v>0</v>
      </c>
      <c r="G1375" s="2332">
        <f t="shared" si="296"/>
        <v>0</v>
      </c>
      <c r="H1375" s="2332"/>
      <c r="I1375" s="2332">
        <v>0</v>
      </c>
      <c r="J1375" s="2332">
        <f>[5]Sheet1!$K$1334</f>
        <v>0</v>
      </c>
      <c r="K1375" s="2333">
        <f t="shared" si="295"/>
        <v>0</v>
      </c>
      <c r="L1375" s="2332">
        <f t="shared" si="298"/>
        <v>0</v>
      </c>
      <c r="M1375" s="2332">
        <f t="shared" si="299"/>
        <v>0</v>
      </c>
    </row>
    <row r="1376" spans="1:13" x14ac:dyDescent="0.2">
      <c r="A1376" s="2353">
        <v>2238</v>
      </c>
      <c r="B1376" s="2258" t="s">
        <v>6967</v>
      </c>
      <c r="C1376" s="2332">
        <v>5425</v>
      </c>
      <c r="D1376" s="2332">
        <v>11000</v>
      </c>
      <c r="E1376" s="2332">
        <v>11000</v>
      </c>
      <c r="F1376" s="2332">
        <v>7869</v>
      </c>
      <c r="G1376" s="2332">
        <f t="shared" si="296"/>
        <v>9442.7999999999993</v>
      </c>
      <c r="H1376" s="2332"/>
      <c r="I1376" s="2332">
        <f t="shared" ref="I1376:I1381" si="300">ROUND(E1376*1.05,0)</f>
        <v>11550</v>
      </c>
      <c r="J1376" s="2332">
        <f>[5]Sheet1!$K$1335</f>
        <v>18520</v>
      </c>
      <c r="K1376" s="2333">
        <f t="shared" si="295"/>
        <v>18520</v>
      </c>
      <c r="L1376" s="2332">
        <f t="shared" si="298"/>
        <v>12243</v>
      </c>
      <c r="M1376" s="2332">
        <f t="shared" si="299"/>
        <v>12978</v>
      </c>
    </row>
    <row r="1377" spans="1:13" x14ac:dyDescent="0.2">
      <c r="A1377" s="2353">
        <v>2240</v>
      </c>
      <c r="B1377" s="2258" t="s">
        <v>7073</v>
      </c>
      <c r="C1377" s="2332">
        <v>0</v>
      </c>
      <c r="D1377" s="2332">
        <v>31500</v>
      </c>
      <c r="E1377" s="2332">
        <v>31500</v>
      </c>
      <c r="F1377" s="2332">
        <v>0</v>
      </c>
      <c r="G1377" s="2332">
        <f t="shared" si="296"/>
        <v>0</v>
      </c>
      <c r="H1377" s="2332"/>
      <c r="I1377" s="2332">
        <f t="shared" si="300"/>
        <v>33075</v>
      </c>
      <c r="J1377" s="2332">
        <f>[5]Sheet1!$K$1336</f>
        <v>0</v>
      </c>
      <c r="K1377" s="2333">
        <f t="shared" si="295"/>
        <v>0</v>
      </c>
      <c r="L1377" s="2332">
        <f t="shared" si="298"/>
        <v>35060</v>
      </c>
      <c r="M1377" s="2332">
        <f t="shared" si="299"/>
        <v>37164</v>
      </c>
    </row>
    <row r="1378" spans="1:13" x14ac:dyDescent="0.2">
      <c r="A1378" s="2329">
        <v>2246</v>
      </c>
      <c r="B1378" s="2258" t="s">
        <v>6968</v>
      </c>
      <c r="C1378" s="2332">
        <v>857</v>
      </c>
      <c r="D1378" s="2332">
        <v>22575</v>
      </c>
      <c r="E1378" s="2332">
        <v>22575</v>
      </c>
      <c r="F1378" s="2332">
        <v>0</v>
      </c>
      <c r="G1378" s="2332">
        <f t="shared" si="296"/>
        <v>0</v>
      </c>
      <c r="H1378" s="2332"/>
      <c r="I1378" s="2332">
        <f t="shared" si="300"/>
        <v>23704</v>
      </c>
      <c r="J1378" s="2332">
        <f>[5]Sheet1!$K$1337</f>
        <v>0</v>
      </c>
      <c r="K1378" s="2333">
        <f t="shared" si="295"/>
        <v>0</v>
      </c>
      <c r="L1378" s="2332">
        <f t="shared" si="298"/>
        <v>25126</v>
      </c>
      <c r="M1378" s="2332">
        <f t="shared" si="299"/>
        <v>26634</v>
      </c>
    </row>
    <row r="1379" spans="1:13" x14ac:dyDescent="0.2">
      <c r="A1379" s="2353">
        <v>2249</v>
      </c>
      <c r="B1379" s="2258" t="s">
        <v>7168</v>
      </c>
      <c r="C1379" s="2332">
        <v>12525</v>
      </c>
      <c r="D1379" s="2332">
        <v>31500</v>
      </c>
      <c r="E1379" s="2332">
        <v>31500</v>
      </c>
      <c r="F1379" s="2332">
        <v>8954</v>
      </c>
      <c r="G1379" s="2332">
        <f t="shared" si="296"/>
        <v>10744.8</v>
      </c>
      <c r="H1379" s="2332"/>
      <c r="I1379" s="2332">
        <f t="shared" si="300"/>
        <v>33075</v>
      </c>
      <c r="J1379" s="2332">
        <f>[5]Sheet1!$K$1338</f>
        <v>11286.85</v>
      </c>
      <c r="K1379" s="2333">
        <f t="shared" si="295"/>
        <v>11286.85</v>
      </c>
      <c r="L1379" s="2332">
        <f t="shared" si="298"/>
        <v>35060</v>
      </c>
      <c r="M1379" s="2332">
        <f t="shared" si="299"/>
        <v>37164</v>
      </c>
    </row>
    <row r="1380" spans="1:13" x14ac:dyDescent="0.2">
      <c r="A1380" s="2329">
        <v>2256</v>
      </c>
      <c r="B1380" s="2258" t="s">
        <v>6482</v>
      </c>
      <c r="C1380" s="2332">
        <v>1026</v>
      </c>
      <c r="D1380" s="2332">
        <v>27300</v>
      </c>
      <c r="E1380" s="2332">
        <v>27300</v>
      </c>
      <c r="F1380" s="2332">
        <v>0</v>
      </c>
      <c r="G1380" s="2332">
        <f t="shared" si="296"/>
        <v>0</v>
      </c>
      <c r="H1380" s="2332"/>
      <c r="I1380" s="2332">
        <v>0</v>
      </c>
      <c r="J1380" s="2332">
        <v>0</v>
      </c>
      <c r="K1380" s="2333">
        <f t="shared" si="295"/>
        <v>0</v>
      </c>
      <c r="L1380" s="2332">
        <f t="shared" si="298"/>
        <v>0</v>
      </c>
      <c r="M1380" s="2332">
        <f t="shared" si="299"/>
        <v>0</v>
      </c>
    </row>
    <row r="1381" spans="1:13" x14ac:dyDescent="0.2">
      <c r="A1381" s="2353">
        <v>2305</v>
      </c>
      <c r="B1381" s="2334" t="s">
        <v>6970</v>
      </c>
      <c r="C1381" s="2335">
        <v>0</v>
      </c>
      <c r="D1381" s="2335">
        <v>5250</v>
      </c>
      <c r="E1381" s="2335">
        <v>5250</v>
      </c>
      <c r="F1381" s="2335">
        <v>0</v>
      </c>
      <c r="G1381" s="2335">
        <f t="shared" si="296"/>
        <v>0</v>
      </c>
      <c r="H1381" s="2335"/>
      <c r="I1381" s="2335">
        <f t="shared" si="300"/>
        <v>5513</v>
      </c>
      <c r="J1381" s="2335">
        <f>[5]Sheet1!$K$1340</f>
        <v>0</v>
      </c>
      <c r="K1381" s="2336">
        <f t="shared" si="295"/>
        <v>0</v>
      </c>
      <c r="L1381" s="2335">
        <f t="shared" si="298"/>
        <v>5844</v>
      </c>
      <c r="M1381" s="2335">
        <f t="shared" si="299"/>
        <v>6195</v>
      </c>
    </row>
    <row r="1382" spans="1:13" x14ac:dyDescent="0.2">
      <c r="B1382" s="2330" t="s">
        <v>6614</v>
      </c>
      <c r="C1382" s="2349">
        <f>SUM(C1368:C1381)</f>
        <v>2185495</v>
      </c>
      <c r="D1382" s="2349">
        <f>SUM(D1368:D1381)</f>
        <v>1164725</v>
      </c>
      <c r="E1382" s="2349">
        <f>SUM(E1368:E1381)</f>
        <v>1164725</v>
      </c>
      <c r="F1382" s="2349">
        <f>SUM(F1368:F1381)</f>
        <v>4454254</v>
      </c>
      <c r="G1382" s="2349">
        <f>SUM(G1368:G1381)</f>
        <v>5345104.8</v>
      </c>
      <c r="H1382" s="2349"/>
      <c r="I1382" s="2349">
        <f>SUM(I1368:I1381)</f>
        <v>1183799</v>
      </c>
      <c r="J1382" s="2349">
        <f>SUM(J1368:J1381)</f>
        <v>370649.45999999996</v>
      </c>
      <c r="K1382" s="2333">
        <f t="shared" si="295"/>
        <v>370649.45999999996</v>
      </c>
      <c r="L1382" s="2349">
        <f>SUM(L1368:L1381)</f>
        <v>1254828</v>
      </c>
      <c r="M1382" s="2349">
        <f>SUM(M1368:M1381)</f>
        <v>1330120</v>
      </c>
    </row>
    <row r="1383" spans="1:13" x14ac:dyDescent="0.2">
      <c r="B1383" s="2338"/>
      <c r="C1383" s="2380"/>
      <c r="D1383" s="2380"/>
      <c r="E1383" s="2380"/>
      <c r="F1383" s="2380"/>
      <c r="G1383" s="2380"/>
      <c r="H1383" s="2380"/>
      <c r="I1383" s="2380"/>
      <c r="J1383" s="2380">
        <f>J1382-[5]Sheet1!$K$1342</f>
        <v>0</v>
      </c>
      <c r="K1383" s="2336">
        <f t="shared" si="295"/>
        <v>0</v>
      </c>
      <c r="L1383" s="2380"/>
      <c r="M1383" s="2380"/>
    </row>
    <row r="1384" spans="1:13" x14ac:dyDescent="0.2">
      <c r="B1384" s="2330" t="s">
        <v>6972</v>
      </c>
      <c r="C1384" s="2351">
        <f>C1360+C1365+C1382</f>
        <v>2667407</v>
      </c>
      <c r="D1384" s="2351">
        <f>D1360+D1365+D1382</f>
        <v>1956354</v>
      </c>
      <c r="E1384" s="2351">
        <f>E1360+E1365+E1382</f>
        <v>1906354</v>
      </c>
      <c r="F1384" s="2351">
        <f>F1360+F1365+F1382</f>
        <v>5199237</v>
      </c>
      <c r="G1384" s="2351">
        <f>G1360+G1365+G1382</f>
        <v>6239084.3999999994</v>
      </c>
      <c r="H1384" s="2351"/>
      <c r="I1384" s="2351">
        <f>I1360+I1365+I1382</f>
        <v>1893994</v>
      </c>
      <c r="J1384" s="2351">
        <f>J1360+J1365+J1382</f>
        <v>1214540.0899999999</v>
      </c>
      <c r="K1384" s="2333">
        <f t="shared" si="295"/>
        <v>1214540.0899999999</v>
      </c>
      <c r="L1384" s="2351">
        <f>L1360+L1365+L1382</f>
        <v>2021839</v>
      </c>
      <c r="M1384" s="2351">
        <f>M1360+M1365+M1382</f>
        <v>2158493</v>
      </c>
    </row>
    <row r="1385" spans="1:13" x14ac:dyDescent="0.2">
      <c r="B1385" s="2330"/>
      <c r="C1385" s="2364"/>
      <c r="D1385" s="2364"/>
      <c r="E1385" s="2364"/>
      <c r="G1385" s="2332"/>
      <c r="H1385" s="2332"/>
      <c r="I1385" s="2332"/>
      <c r="J1385" s="2332"/>
      <c r="K1385" s="2333">
        <f t="shared" si="295"/>
        <v>0</v>
      </c>
      <c r="L1385" s="2364"/>
      <c r="M1385" s="2364"/>
    </row>
    <row r="1386" spans="1:13" x14ac:dyDescent="0.2">
      <c r="B1386" s="2330" t="s">
        <v>6974</v>
      </c>
      <c r="C1386" s="2364"/>
      <c r="D1386" s="2364"/>
      <c r="E1386" s="2364"/>
      <c r="F1386" s="2309"/>
      <c r="G1386" s="2332"/>
      <c r="H1386" s="2332"/>
      <c r="I1386" s="2332"/>
      <c r="J1386" s="2332"/>
      <c r="K1386" s="2333">
        <f t="shared" si="295"/>
        <v>0</v>
      </c>
      <c r="L1386" s="2364"/>
      <c r="M1386" s="2364"/>
    </row>
    <row r="1387" spans="1:13" x14ac:dyDescent="0.2">
      <c r="A1387" s="2353">
        <v>4204</v>
      </c>
      <c r="B1387" s="2258" t="s">
        <v>6976</v>
      </c>
      <c r="C1387" s="2364">
        <v>5454</v>
      </c>
      <c r="D1387" s="2332">
        <v>12258</v>
      </c>
      <c r="E1387" s="2332">
        <v>12258</v>
      </c>
      <c r="F1387" s="2332">
        <v>0</v>
      </c>
      <c r="G1387" s="2332">
        <f>F1387/$F$11*$G$11</f>
        <v>0</v>
      </c>
      <c r="H1387" s="2332"/>
      <c r="I1387" s="2332">
        <f>ROUND(E1387*1.08,0)</f>
        <v>13239</v>
      </c>
      <c r="J1387" s="2332">
        <f>[5]Sheet1!$K$1350</f>
        <v>4517.08</v>
      </c>
      <c r="K1387" s="2333">
        <f t="shared" si="295"/>
        <v>4517.08</v>
      </c>
      <c r="L1387" s="2332">
        <f>ROUND(I1387*1.08,0)</f>
        <v>14298</v>
      </c>
      <c r="M1387" s="2332">
        <f>ROUND(L1387*1.08,0)</f>
        <v>15442</v>
      </c>
    </row>
    <row r="1388" spans="1:13" x14ac:dyDescent="0.2">
      <c r="A1388" s="2353">
        <v>4209</v>
      </c>
      <c r="B1388" s="2258" t="s">
        <v>6449</v>
      </c>
      <c r="C1388" s="2364">
        <v>10339</v>
      </c>
      <c r="D1388" s="2332">
        <v>0</v>
      </c>
      <c r="E1388" s="2332">
        <v>0</v>
      </c>
      <c r="F1388" s="2332">
        <v>0</v>
      </c>
      <c r="G1388" s="2332">
        <f>F1388/$F$11*$G$11</f>
        <v>0</v>
      </c>
      <c r="H1388" s="2332"/>
      <c r="I1388" s="2332">
        <v>0</v>
      </c>
      <c r="J1388" s="2332">
        <v>0</v>
      </c>
      <c r="K1388" s="2333">
        <f t="shared" si="295"/>
        <v>0</v>
      </c>
      <c r="L1388" s="2332">
        <f>ROUND(D1388*1.05,0)</f>
        <v>0</v>
      </c>
      <c r="M1388" s="2332">
        <f>ROUND(L1388*1.05,0)</f>
        <v>0</v>
      </c>
    </row>
    <row r="1389" spans="1:13" x14ac:dyDescent="0.2">
      <c r="A1389" s="2353">
        <v>4207</v>
      </c>
      <c r="B1389" s="2334" t="s">
        <v>6977</v>
      </c>
      <c r="C1389" s="2397">
        <v>7214</v>
      </c>
      <c r="D1389" s="2335">
        <v>11722</v>
      </c>
      <c r="E1389" s="2335">
        <v>11722</v>
      </c>
      <c r="F1389" s="2335">
        <v>0</v>
      </c>
      <c r="G1389" s="2335">
        <f>F1389/$F$11*$G$11</f>
        <v>0</v>
      </c>
      <c r="H1389" s="2335"/>
      <c r="I1389" s="2335">
        <f>ROUND(E1389*1.08,0)</f>
        <v>12660</v>
      </c>
      <c r="J1389" s="2335">
        <f>[5]Sheet1!$K$1351</f>
        <v>4319.34</v>
      </c>
      <c r="K1389" s="2336">
        <f t="shared" si="295"/>
        <v>4319.34</v>
      </c>
      <c r="L1389" s="2335">
        <f>ROUND(I1389*1.08,0)</f>
        <v>13673</v>
      </c>
      <c r="M1389" s="2335">
        <f>ROUND(L1389*1.08,0)</f>
        <v>14767</v>
      </c>
    </row>
    <row r="1390" spans="1:13" x14ac:dyDescent="0.2">
      <c r="B1390" s="2330" t="s">
        <v>6979</v>
      </c>
      <c r="C1390" s="2349">
        <f t="shared" ref="C1390:M1390" si="301">SUM(C1387:C1389)</f>
        <v>23007</v>
      </c>
      <c r="D1390" s="2349">
        <f t="shared" si="301"/>
        <v>23980</v>
      </c>
      <c r="E1390" s="2349">
        <f t="shared" si="301"/>
        <v>23980</v>
      </c>
      <c r="F1390" s="2349">
        <f t="shared" si="301"/>
        <v>0</v>
      </c>
      <c r="G1390" s="2349">
        <f t="shared" si="301"/>
        <v>0</v>
      </c>
      <c r="H1390" s="2349"/>
      <c r="I1390" s="2349">
        <f t="shared" si="301"/>
        <v>25899</v>
      </c>
      <c r="J1390" s="2349">
        <f>J1387+J1389</f>
        <v>8836.42</v>
      </c>
      <c r="K1390" s="2333">
        <f t="shared" si="295"/>
        <v>8836.42</v>
      </c>
      <c r="L1390" s="2349">
        <f t="shared" si="301"/>
        <v>27971</v>
      </c>
      <c r="M1390" s="2349">
        <f t="shared" si="301"/>
        <v>30209</v>
      </c>
    </row>
    <row r="1391" spans="1:13" x14ac:dyDescent="0.2">
      <c r="B1391" s="2330"/>
      <c r="C1391" s="2364"/>
      <c r="D1391" s="2364"/>
      <c r="E1391" s="2364"/>
      <c r="G1391" s="2332"/>
      <c r="H1391" s="2332"/>
      <c r="I1391" s="2332"/>
      <c r="J1391" s="2332">
        <f>J1390-[5]Sheet1!$K$1352</f>
        <v>0</v>
      </c>
      <c r="K1391" s="2333">
        <f t="shared" si="295"/>
        <v>0</v>
      </c>
      <c r="L1391" s="2364"/>
      <c r="M1391" s="2364"/>
    </row>
    <row r="1392" spans="1:13" ht="13.5" thickBot="1" x14ac:dyDescent="0.25">
      <c r="B1392" s="2342" t="s">
        <v>6980</v>
      </c>
      <c r="C1392" s="2354">
        <f t="shared" ref="C1392:M1392" si="302">C1384+C1390</f>
        <v>2690414</v>
      </c>
      <c r="D1392" s="2354">
        <f t="shared" si="302"/>
        <v>1980334</v>
      </c>
      <c r="E1392" s="2354">
        <f t="shared" si="302"/>
        <v>1930334</v>
      </c>
      <c r="F1392" s="2354">
        <f t="shared" si="302"/>
        <v>5199237</v>
      </c>
      <c r="G1392" s="2354">
        <f t="shared" si="302"/>
        <v>6239084.3999999994</v>
      </c>
      <c r="H1392" s="2354"/>
      <c r="I1392" s="2354">
        <f t="shared" si="302"/>
        <v>1919893</v>
      </c>
      <c r="J1392" s="2354">
        <f>J1384+J1390</f>
        <v>1223376.5099999998</v>
      </c>
      <c r="K1392" s="2344">
        <f t="shared" si="295"/>
        <v>1223376.5099999998</v>
      </c>
      <c r="L1392" s="2354">
        <f t="shared" si="302"/>
        <v>2049810</v>
      </c>
      <c r="M1392" s="2354">
        <f t="shared" si="302"/>
        <v>2188702</v>
      </c>
    </row>
    <row r="1393" spans="1:13" ht="13.5" thickTop="1" x14ac:dyDescent="0.2">
      <c r="B1393" s="2330"/>
      <c r="C1393" s="2349"/>
      <c r="D1393" s="2349"/>
      <c r="E1393" s="2349"/>
      <c r="F1393" s="2349"/>
      <c r="G1393" s="2349"/>
      <c r="H1393" s="2349"/>
      <c r="I1393" s="2349"/>
      <c r="J1393" s="2349"/>
      <c r="K1393" s="2333">
        <f t="shared" si="295"/>
        <v>0</v>
      </c>
      <c r="L1393" s="2349"/>
      <c r="M1393" s="2349"/>
    </row>
    <row r="1394" spans="1:13" ht="13.5" thickBot="1" x14ac:dyDescent="0.25">
      <c r="B1394" s="2342" t="s">
        <v>6624</v>
      </c>
      <c r="C1394" s="2355">
        <f>C1342-C1392</f>
        <v>-1656465</v>
      </c>
      <c r="D1394" s="2355">
        <f>D1342-D1392</f>
        <v>-619974</v>
      </c>
      <c r="E1394" s="2355">
        <f>E1342-E1392</f>
        <v>-569974</v>
      </c>
      <c r="F1394" s="2355">
        <f>F1342-F1392</f>
        <v>-4297665</v>
      </c>
      <c r="G1394" s="2355">
        <f>G1342-G1392</f>
        <v>-5157198</v>
      </c>
      <c r="H1394" s="2355"/>
      <c r="I1394" s="2355">
        <f>I1342-I1392</f>
        <v>-819893</v>
      </c>
      <c r="J1394" s="2355">
        <f>J1342-J1392</f>
        <v>-512913.68999999983</v>
      </c>
      <c r="K1394" s="2344">
        <f t="shared" si="295"/>
        <v>-512913.68999999983</v>
      </c>
      <c r="L1394" s="2355">
        <f>L1342-L1392</f>
        <v>-883810</v>
      </c>
      <c r="M1394" s="2355">
        <f>M1342-M1392</f>
        <v>-952742</v>
      </c>
    </row>
    <row r="1395" spans="1:13" ht="13.5" thickTop="1" x14ac:dyDescent="0.2">
      <c r="B1395" s="2330"/>
      <c r="C1395" s="2356"/>
      <c r="D1395" s="2356"/>
      <c r="E1395" s="2356"/>
      <c r="G1395" s="2332"/>
      <c r="H1395" s="2332"/>
      <c r="I1395" s="2332"/>
      <c r="J1395" s="2332"/>
      <c r="K1395" s="2333">
        <f t="shared" si="295"/>
        <v>0</v>
      </c>
      <c r="L1395" s="2356"/>
      <c r="M1395" s="2356"/>
    </row>
    <row r="1396" spans="1:13" x14ac:dyDescent="0.2">
      <c r="A1396" s="2369"/>
      <c r="B1396" s="2369"/>
      <c r="C1396" s="2369"/>
      <c r="D1396" s="2369"/>
      <c r="E1396" s="2369"/>
      <c r="G1396" s="2332"/>
      <c r="H1396" s="2332"/>
      <c r="I1396" s="2332"/>
      <c r="J1396" s="2332"/>
      <c r="K1396" s="2333">
        <f t="shared" si="295"/>
        <v>0</v>
      </c>
      <c r="L1396" s="2369"/>
      <c r="M1396" s="2369"/>
    </row>
    <row r="1397" spans="1:13" ht="15" x14ac:dyDescent="0.25">
      <c r="A1397" s="2365">
        <v>1620</v>
      </c>
      <c r="B1397" s="2326" t="s">
        <v>7186</v>
      </c>
      <c r="C1397" s="2326" t="s">
        <v>7187</v>
      </c>
      <c r="D1397" s="2326"/>
      <c r="E1397" s="2326"/>
      <c r="F1397" s="2309"/>
      <c r="G1397" s="2332"/>
      <c r="H1397" s="2332"/>
      <c r="I1397" s="2332"/>
      <c r="J1397" s="2332"/>
      <c r="K1397" s="2333">
        <f t="shared" si="295"/>
        <v>0</v>
      </c>
    </row>
    <row r="1398" spans="1:13" ht="15" x14ac:dyDescent="0.25">
      <c r="B1398" s="2326"/>
      <c r="C1398" s="2326"/>
      <c r="D1398" s="2326"/>
      <c r="E1398" s="2326"/>
      <c r="F1398" s="2309"/>
      <c r="G1398" s="2332"/>
      <c r="H1398" s="2332"/>
      <c r="I1398" s="2332"/>
      <c r="J1398" s="2332"/>
      <c r="K1398" s="2333">
        <f t="shared" si="295"/>
        <v>0</v>
      </c>
    </row>
    <row r="1399" spans="1:13" x14ac:dyDescent="0.2">
      <c r="B1399" s="2328" t="s">
        <v>247</v>
      </c>
      <c r="C1399" s="2328"/>
      <c r="D1399" s="2328"/>
      <c r="E1399" s="2328"/>
      <c r="F1399" s="2309"/>
      <c r="G1399" s="2332"/>
      <c r="H1399" s="2332"/>
      <c r="I1399" s="2332"/>
      <c r="J1399" s="2332"/>
      <c r="K1399" s="2333">
        <f t="shared" si="295"/>
        <v>0</v>
      </c>
    </row>
    <row r="1400" spans="1:13" x14ac:dyDescent="0.2">
      <c r="B1400" s="2323"/>
      <c r="C1400" s="2323"/>
      <c r="D1400" s="2323"/>
      <c r="E1400" s="2323"/>
      <c r="F1400" s="2309"/>
      <c r="G1400" s="2332"/>
      <c r="H1400" s="2332"/>
      <c r="I1400" s="2332"/>
      <c r="J1400" s="2332"/>
      <c r="K1400" s="2333">
        <f t="shared" si="295"/>
        <v>0</v>
      </c>
    </row>
    <row r="1401" spans="1:13" x14ac:dyDescent="0.2">
      <c r="B1401" s="2330" t="s">
        <v>6929</v>
      </c>
      <c r="C1401" s="2332"/>
      <c r="D1401" s="2332"/>
      <c r="E1401" s="2332"/>
      <c r="G1401" s="2332"/>
      <c r="H1401" s="2332"/>
      <c r="I1401" s="2332"/>
      <c r="J1401" s="2332"/>
      <c r="K1401" s="2333">
        <f t="shared" si="295"/>
        <v>0</v>
      </c>
      <c r="L1401" s="2332"/>
      <c r="M1401" s="2332"/>
    </row>
    <row r="1402" spans="1:13" x14ac:dyDescent="0.2">
      <c r="A1402" s="2353">
        <v>5501</v>
      </c>
      <c r="B1402" s="2334" t="s">
        <v>7188</v>
      </c>
      <c r="C1402" s="2339">
        <v>17708</v>
      </c>
      <c r="D1402" s="2335">
        <f>31500+402000-200000</f>
        <v>233500</v>
      </c>
      <c r="E1402" s="2335">
        <f>233500-100000</f>
        <v>133500</v>
      </c>
      <c r="F1402" s="2335">
        <f>+F1421</f>
        <v>161473</v>
      </c>
      <c r="G1402" s="2335">
        <f>F1402/$F$11*$G$11</f>
        <v>193767.59999999998</v>
      </c>
      <c r="H1402" s="2335"/>
      <c r="I1402" s="2335">
        <f>+I1421</f>
        <v>35175</v>
      </c>
      <c r="J1402" s="2335">
        <f>-[5]Sheet1!$K$898</f>
        <v>35180.65</v>
      </c>
      <c r="K1402" s="2336">
        <f t="shared" si="295"/>
        <v>35180.65</v>
      </c>
      <c r="L1402" s="2335">
        <f>+L1421</f>
        <v>36934</v>
      </c>
      <c r="M1402" s="2335">
        <f>+M1421</f>
        <v>38781</v>
      </c>
    </row>
    <row r="1403" spans="1:13" x14ac:dyDescent="0.2">
      <c r="B1403" s="2330" t="s">
        <v>6932</v>
      </c>
      <c r="C1403" s="2376">
        <f t="shared" ref="C1403:M1403" si="303">SUM(C1402)</f>
        <v>17708</v>
      </c>
      <c r="D1403" s="2376">
        <f t="shared" si="303"/>
        <v>233500</v>
      </c>
      <c r="E1403" s="2376">
        <f t="shared" si="303"/>
        <v>133500</v>
      </c>
      <c r="F1403" s="2376">
        <f t="shared" si="303"/>
        <v>161473</v>
      </c>
      <c r="G1403" s="2376">
        <f t="shared" si="303"/>
        <v>193767.59999999998</v>
      </c>
      <c r="H1403" s="2376"/>
      <c r="I1403" s="2376">
        <f t="shared" si="303"/>
        <v>35175</v>
      </c>
      <c r="J1403" s="2376">
        <f>J1402</f>
        <v>35180.65</v>
      </c>
      <c r="K1403" s="2333">
        <f t="shared" si="295"/>
        <v>35180.65</v>
      </c>
      <c r="L1403" s="2376">
        <f t="shared" si="303"/>
        <v>36934</v>
      </c>
      <c r="M1403" s="2376">
        <f t="shared" si="303"/>
        <v>38781</v>
      </c>
    </row>
    <row r="1404" spans="1:13" x14ac:dyDescent="0.2">
      <c r="B1404" s="2330"/>
      <c r="C1404" s="2375"/>
      <c r="D1404" s="2375"/>
      <c r="E1404" s="2375"/>
      <c r="F1404" s="2375"/>
      <c r="G1404" s="2375"/>
      <c r="H1404" s="2375"/>
      <c r="I1404" s="2375"/>
      <c r="J1404" s="2375"/>
      <c r="K1404" s="2333">
        <f t="shared" si="295"/>
        <v>0</v>
      </c>
      <c r="L1404" s="2375"/>
      <c r="M1404" s="2375"/>
    </row>
    <row r="1405" spans="1:13" ht="13.5" thickBot="1" x14ac:dyDescent="0.25">
      <c r="B1405" s="2342" t="s">
        <v>6751</v>
      </c>
      <c r="C1405" s="2343">
        <f t="shared" ref="C1405:M1405" si="304">+C1403</f>
        <v>17708</v>
      </c>
      <c r="D1405" s="2343">
        <f t="shared" si="304"/>
        <v>233500</v>
      </c>
      <c r="E1405" s="2343">
        <f t="shared" si="304"/>
        <v>133500</v>
      </c>
      <c r="F1405" s="2343">
        <f t="shared" si="304"/>
        <v>161473</v>
      </c>
      <c r="G1405" s="2343">
        <f t="shared" si="304"/>
        <v>193767.59999999998</v>
      </c>
      <c r="H1405" s="2343"/>
      <c r="I1405" s="2343">
        <f t="shared" si="304"/>
        <v>35175</v>
      </c>
      <c r="J1405" s="2343">
        <f>J1403</f>
        <v>35180.65</v>
      </c>
      <c r="K1405" s="2344">
        <f t="shared" si="295"/>
        <v>35180.65</v>
      </c>
      <c r="L1405" s="2343">
        <f t="shared" si="304"/>
        <v>36934</v>
      </c>
      <c r="M1405" s="2343">
        <f t="shared" si="304"/>
        <v>38781</v>
      </c>
    </row>
    <row r="1406" spans="1:13" ht="13.5" thickTop="1" x14ac:dyDescent="0.2">
      <c r="B1406" s="2346"/>
      <c r="C1406" s="2346"/>
      <c r="D1406" s="2346"/>
      <c r="E1406" s="2346"/>
      <c r="G1406" s="2332"/>
      <c r="H1406" s="2332"/>
      <c r="I1406" s="2332"/>
      <c r="J1406" s="2332">
        <f>J1405+[5]Sheet1!$K$899</f>
        <v>0</v>
      </c>
      <c r="K1406" s="2333">
        <f t="shared" si="295"/>
        <v>0</v>
      </c>
      <c r="L1406" s="2346"/>
      <c r="M1406" s="2346"/>
    </row>
    <row r="1407" spans="1:13" x14ac:dyDescent="0.2">
      <c r="B1407" s="2328" t="s">
        <v>235</v>
      </c>
      <c r="C1407" s="2328"/>
      <c r="D1407" s="2328"/>
      <c r="E1407" s="2328"/>
      <c r="G1407" s="2332"/>
      <c r="H1407" s="2332"/>
      <c r="I1407" s="2332"/>
      <c r="J1407" s="2332"/>
      <c r="K1407" s="2333">
        <f t="shared" si="295"/>
        <v>0</v>
      </c>
      <c r="L1407" s="2328"/>
      <c r="M1407" s="2328"/>
    </row>
    <row r="1408" spans="1:13" x14ac:dyDescent="0.2">
      <c r="B1408" s="2328"/>
      <c r="C1408" s="2328"/>
      <c r="D1408" s="2328"/>
      <c r="E1408" s="2328"/>
      <c r="G1408" s="2332"/>
      <c r="H1408" s="2332"/>
      <c r="I1408" s="2332"/>
      <c r="J1408" s="2332"/>
      <c r="K1408" s="2333">
        <f t="shared" si="295"/>
        <v>0</v>
      </c>
      <c r="L1408" s="2328"/>
      <c r="M1408" s="2328"/>
    </row>
    <row r="1409" spans="1:13" x14ac:dyDescent="0.2">
      <c r="B1409" s="2330" t="s">
        <v>6953</v>
      </c>
      <c r="C1409" s="2332"/>
      <c r="D1409" s="2332"/>
      <c r="E1409" s="2332"/>
      <c r="G1409" s="2332"/>
      <c r="H1409" s="2332"/>
      <c r="I1409" s="2332"/>
      <c r="J1409" s="2332"/>
      <c r="K1409" s="2333">
        <f t="shared" si="295"/>
        <v>0</v>
      </c>
      <c r="L1409" s="2332"/>
      <c r="M1409" s="2332"/>
    </row>
    <row r="1410" spans="1:13" x14ac:dyDescent="0.2">
      <c r="A1410" s="2353">
        <v>3206</v>
      </c>
      <c r="B1410" s="2334" t="s">
        <v>7164</v>
      </c>
      <c r="C1410" s="2335">
        <v>498</v>
      </c>
      <c r="D1410" s="2335">
        <v>200000</v>
      </c>
      <c r="E1410" s="2335">
        <f>200000-100000</f>
        <v>100000</v>
      </c>
      <c r="F1410" s="2335">
        <v>161082</v>
      </c>
      <c r="G1410" s="2335">
        <f>F1410/$F$11*$G$11</f>
        <v>193298.40000000002</v>
      </c>
      <c r="H1410" s="2335"/>
      <c r="I1410" s="2335">
        <v>0</v>
      </c>
      <c r="J1410" s="2335">
        <v>0</v>
      </c>
      <c r="K1410" s="2336">
        <f t="shared" si="295"/>
        <v>0</v>
      </c>
      <c r="L1410" s="2335">
        <f>ROUND(I1410*1.05,0)</f>
        <v>0</v>
      </c>
      <c r="M1410" s="2335">
        <f>ROUND(L1410*1.05,0)</f>
        <v>0</v>
      </c>
    </row>
    <row r="1411" spans="1:13" x14ac:dyDescent="0.2">
      <c r="B1411" s="2330" t="s">
        <v>6956</v>
      </c>
      <c r="C1411" s="2349">
        <f>SUM(C1410:C1410)</f>
        <v>498</v>
      </c>
      <c r="D1411" s="2349">
        <f t="shared" ref="D1411:M1411" si="305">SUM(D1410:D1410)</f>
        <v>200000</v>
      </c>
      <c r="E1411" s="2349">
        <f t="shared" si="305"/>
        <v>100000</v>
      </c>
      <c r="F1411" s="2349">
        <f t="shared" si="305"/>
        <v>161082</v>
      </c>
      <c r="G1411" s="2349">
        <f t="shared" si="305"/>
        <v>193298.40000000002</v>
      </c>
      <c r="H1411" s="2349"/>
      <c r="I1411" s="2349">
        <f t="shared" si="305"/>
        <v>0</v>
      </c>
      <c r="J1411" s="2349"/>
      <c r="K1411" s="2333">
        <f t="shared" si="295"/>
        <v>0</v>
      </c>
      <c r="L1411" s="2349">
        <f t="shared" si="305"/>
        <v>0</v>
      </c>
      <c r="M1411" s="2349">
        <f t="shared" si="305"/>
        <v>0</v>
      </c>
    </row>
    <row r="1412" spans="1:13" x14ac:dyDescent="0.2">
      <c r="B1412" s="2330"/>
      <c r="C1412" s="2332"/>
      <c r="D1412" s="2332"/>
      <c r="E1412" s="2332"/>
      <c r="G1412" s="2332"/>
      <c r="H1412" s="2332"/>
      <c r="I1412" s="2332"/>
      <c r="J1412" s="2332"/>
      <c r="K1412" s="2333">
        <f t="shared" si="295"/>
        <v>0</v>
      </c>
      <c r="L1412" s="2332"/>
      <c r="M1412" s="2332"/>
    </row>
    <row r="1413" spans="1:13" x14ac:dyDescent="0.2">
      <c r="B1413" s="2330" t="s">
        <v>6599</v>
      </c>
      <c r="C1413" s="2332"/>
      <c r="D1413" s="2332"/>
      <c r="E1413" s="2332"/>
      <c r="G1413" s="2332"/>
      <c r="H1413" s="2332"/>
      <c r="I1413" s="2332"/>
      <c r="J1413" s="2332"/>
      <c r="K1413" s="2333">
        <f t="shared" si="295"/>
        <v>0</v>
      </c>
      <c r="L1413" s="2332"/>
      <c r="M1413" s="2332"/>
    </row>
    <row r="1414" spans="1:13" x14ac:dyDescent="0.2">
      <c r="A1414" s="2353">
        <v>2227</v>
      </c>
      <c r="B1414" s="2258" t="s">
        <v>231</v>
      </c>
      <c r="C1414" s="2332">
        <v>0</v>
      </c>
      <c r="D1414" s="2332">
        <v>10500</v>
      </c>
      <c r="E1414" s="2332">
        <v>10500</v>
      </c>
      <c r="F1414" s="2332">
        <v>391</v>
      </c>
      <c r="G1414" s="2332">
        <f>F1414/$F$11*$G$11</f>
        <v>469.20000000000005</v>
      </c>
      <c r="H1414" s="2332"/>
      <c r="I1414" s="2332">
        <f>ROUND(E1414*1.05,0)</f>
        <v>11025</v>
      </c>
      <c r="J1414" s="2332">
        <f>[5]Sheet1!$K$913</f>
        <v>3762.29</v>
      </c>
      <c r="K1414" s="2333">
        <f t="shared" si="295"/>
        <v>3762.29</v>
      </c>
      <c r="L1414" s="2332">
        <f>ROUND(I1414*1.05,0)</f>
        <v>11576</v>
      </c>
      <c r="M1414" s="2332">
        <f>ROUND(L1414*1.05,0)</f>
        <v>12155</v>
      </c>
    </row>
    <row r="1415" spans="1:13" x14ac:dyDescent="0.2">
      <c r="A1415" s="2353">
        <v>2226</v>
      </c>
      <c r="B1415" s="2258" t="s">
        <v>6607</v>
      </c>
      <c r="C1415" s="2332">
        <v>0</v>
      </c>
      <c r="D1415" s="2332">
        <v>0</v>
      </c>
      <c r="E1415" s="2332">
        <v>0</v>
      </c>
      <c r="F1415" s="2332">
        <v>0</v>
      </c>
      <c r="G1415" s="2332">
        <f>F1415/$F$11*$G$11</f>
        <v>0</v>
      </c>
      <c r="H1415" s="2332"/>
      <c r="I1415" s="2332">
        <f>ROUND(E1415*1.05,0)</f>
        <v>0</v>
      </c>
      <c r="J1415" s="2332">
        <v>0</v>
      </c>
      <c r="K1415" s="2333">
        <f t="shared" si="295"/>
        <v>0</v>
      </c>
      <c r="L1415" s="2332">
        <f>ROUND(I1415*1.05,0)</f>
        <v>0</v>
      </c>
      <c r="M1415" s="2332">
        <f>ROUND(L1415*1.05,0)</f>
        <v>0</v>
      </c>
    </row>
    <row r="1416" spans="1:13" x14ac:dyDescent="0.2">
      <c r="A1416" s="2353">
        <v>2249</v>
      </c>
      <c r="B1416" s="2334" t="s">
        <v>7168</v>
      </c>
      <c r="C1416" s="2335">
        <v>17210</v>
      </c>
      <c r="D1416" s="2335">
        <v>23000</v>
      </c>
      <c r="E1416" s="2335">
        <v>23000</v>
      </c>
      <c r="F1416" s="2335">
        <v>0</v>
      </c>
      <c r="G1416" s="2335">
        <f>F1416/$F$11*$G$11</f>
        <v>0</v>
      </c>
      <c r="H1416" s="2335"/>
      <c r="I1416" s="2335">
        <f>ROUND(E1416*1.05,0)</f>
        <v>24150</v>
      </c>
      <c r="J1416" s="2335">
        <f>[5]Sheet1!$K$914</f>
        <v>8242.0300000000007</v>
      </c>
      <c r="K1416" s="2336">
        <f t="shared" si="295"/>
        <v>8242.0300000000007</v>
      </c>
      <c r="L1416" s="2335">
        <f>ROUND(I1416*1.05,0)</f>
        <v>25358</v>
      </c>
      <c r="M1416" s="2335">
        <f>ROUND(L1416*1.05,0)</f>
        <v>26626</v>
      </c>
    </row>
    <row r="1417" spans="1:13" x14ac:dyDescent="0.2">
      <c r="B1417" s="2330" t="s">
        <v>6614</v>
      </c>
      <c r="C1417" s="2349">
        <f t="shared" ref="C1417:M1417" si="306">SUM(C1414:C1416)</f>
        <v>17210</v>
      </c>
      <c r="D1417" s="2349">
        <f t="shared" si="306"/>
        <v>33500</v>
      </c>
      <c r="E1417" s="2349">
        <f t="shared" si="306"/>
        <v>33500</v>
      </c>
      <c r="F1417" s="2349">
        <f t="shared" si="306"/>
        <v>391</v>
      </c>
      <c r="G1417" s="2349">
        <f t="shared" si="306"/>
        <v>469.20000000000005</v>
      </c>
      <c r="H1417" s="2349"/>
      <c r="I1417" s="2349">
        <f t="shared" si="306"/>
        <v>35175</v>
      </c>
      <c r="J1417" s="2349">
        <f>J1414+J1416</f>
        <v>12004.32</v>
      </c>
      <c r="K1417" s="2333">
        <f t="shared" si="295"/>
        <v>12004.32</v>
      </c>
      <c r="L1417" s="2349">
        <f t="shared" si="306"/>
        <v>36934</v>
      </c>
      <c r="M1417" s="2349">
        <f t="shared" si="306"/>
        <v>38781</v>
      </c>
    </row>
    <row r="1418" spans="1:13" x14ac:dyDescent="0.2">
      <c r="B1418" s="2338"/>
      <c r="C1418" s="2380"/>
      <c r="D1418" s="2380"/>
      <c r="E1418" s="2380"/>
      <c r="F1418" s="2380"/>
      <c r="G1418" s="2380"/>
      <c r="H1418" s="2380"/>
      <c r="I1418" s="2380"/>
      <c r="J1418" s="2380">
        <f>J1417-[5]Sheet1!$K$915</f>
        <v>0</v>
      </c>
      <c r="K1418" s="2336">
        <f t="shared" si="295"/>
        <v>0</v>
      </c>
      <c r="L1418" s="2380"/>
      <c r="M1418" s="2380"/>
    </row>
    <row r="1419" spans="1:13" x14ac:dyDescent="0.2">
      <c r="B1419" s="2330" t="s">
        <v>6972</v>
      </c>
      <c r="C1419" s="2351">
        <f t="shared" ref="C1419:M1419" si="307">C1411+C1417</f>
        <v>17708</v>
      </c>
      <c r="D1419" s="2351">
        <f t="shared" si="307"/>
        <v>233500</v>
      </c>
      <c r="E1419" s="2351">
        <f t="shared" si="307"/>
        <v>133500</v>
      </c>
      <c r="F1419" s="2351">
        <f t="shared" si="307"/>
        <v>161473</v>
      </c>
      <c r="G1419" s="2351">
        <f t="shared" si="307"/>
        <v>193767.60000000003</v>
      </c>
      <c r="H1419" s="2351"/>
      <c r="I1419" s="2351">
        <f t="shared" si="307"/>
        <v>35175</v>
      </c>
      <c r="J1419" s="2351">
        <f>J1411+J1417</f>
        <v>12004.32</v>
      </c>
      <c r="K1419" s="2333">
        <f t="shared" si="295"/>
        <v>12004.32</v>
      </c>
      <c r="L1419" s="2351">
        <f t="shared" si="307"/>
        <v>36934</v>
      </c>
      <c r="M1419" s="2351">
        <f t="shared" si="307"/>
        <v>38781</v>
      </c>
    </row>
    <row r="1420" spans="1:13" x14ac:dyDescent="0.2">
      <c r="B1420" s="2330"/>
      <c r="C1420" s="2364"/>
      <c r="D1420" s="2364"/>
      <c r="E1420" s="2364"/>
      <c r="F1420" s="2364"/>
      <c r="G1420" s="2364"/>
      <c r="H1420" s="2364"/>
      <c r="I1420" s="2364"/>
      <c r="J1420" s="2364"/>
      <c r="K1420" s="2333">
        <f t="shared" si="295"/>
        <v>0</v>
      </c>
      <c r="L1420" s="2364"/>
      <c r="M1420" s="2364"/>
    </row>
    <row r="1421" spans="1:13" ht="13.5" thickBot="1" x14ac:dyDescent="0.25">
      <c r="B1421" s="2342" t="s">
        <v>6623</v>
      </c>
      <c r="C1421" s="2354">
        <f t="shared" ref="C1421:M1421" si="308">C1419</f>
        <v>17708</v>
      </c>
      <c r="D1421" s="2354">
        <f t="shared" si="308"/>
        <v>233500</v>
      </c>
      <c r="E1421" s="2354">
        <f t="shared" si="308"/>
        <v>133500</v>
      </c>
      <c r="F1421" s="2354">
        <f t="shared" si="308"/>
        <v>161473</v>
      </c>
      <c r="G1421" s="2354">
        <f t="shared" si="308"/>
        <v>193767.60000000003</v>
      </c>
      <c r="H1421" s="2354"/>
      <c r="I1421" s="2354">
        <f t="shared" si="308"/>
        <v>35175</v>
      </c>
      <c r="J1421" s="2354">
        <f>J1419</f>
        <v>12004.32</v>
      </c>
      <c r="K1421" s="2344">
        <f t="shared" si="295"/>
        <v>12004.32</v>
      </c>
      <c r="L1421" s="2354">
        <f t="shared" si="308"/>
        <v>36934</v>
      </c>
      <c r="M1421" s="2354">
        <f t="shared" si="308"/>
        <v>38781</v>
      </c>
    </row>
    <row r="1422" spans="1:13" ht="13.5" thickTop="1" x14ac:dyDescent="0.2">
      <c r="B1422" s="2330"/>
      <c r="C1422" s="2349"/>
      <c r="D1422" s="2349"/>
      <c r="E1422" s="2349"/>
      <c r="G1422" s="2332"/>
      <c r="H1422" s="2332"/>
      <c r="I1422" s="2332"/>
      <c r="J1422" s="2332"/>
      <c r="K1422" s="2333">
        <f t="shared" si="295"/>
        <v>0</v>
      </c>
      <c r="L1422" s="2349"/>
      <c r="M1422" s="2349"/>
    </row>
    <row r="1423" spans="1:13" ht="13.5" thickBot="1" x14ac:dyDescent="0.25">
      <c r="B1423" s="2342" t="s">
        <v>6624</v>
      </c>
      <c r="C1423" s="2355">
        <f t="shared" ref="C1423:M1423" si="309">C1405-C1421</f>
        <v>0</v>
      </c>
      <c r="D1423" s="2355">
        <f t="shared" si="309"/>
        <v>0</v>
      </c>
      <c r="E1423" s="2355">
        <f t="shared" si="309"/>
        <v>0</v>
      </c>
      <c r="F1423" s="2355">
        <f t="shared" si="309"/>
        <v>0</v>
      </c>
      <c r="G1423" s="2355">
        <f t="shared" si="309"/>
        <v>0</v>
      </c>
      <c r="H1423" s="2355"/>
      <c r="I1423" s="2355">
        <f t="shared" si="309"/>
        <v>0</v>
      </c>
      <c r="J1423" s="2355">
        <f>J1405-J1421</f>
        <v>23176.33</v>
      </c>
      <c r="K1423" s="2344">
        <f t="shared" si="295"/>
        <v>23176.33</v>
      </c>
      <c r="L1423" s="2355">
        <f t="shared" si="309"/>
        <v>0</v>
      </c>
      <c r="M1423" s="2355">
        <f t="shared" si="309"/>
        <v>0</v>
      </c>
    </row>
    <row r="1424" spans="1:13" ht="13.5" thickTop="1" x14ac:dyDescent="0.2">
      <c r="B1424" s="2330"/>
      <c r="C1424" s="2356"/>
      <c r="D1424" s="2356"/>
      <c r="E1424" s="2356"/>
      <c r="G1424" s="2332"/>
      <c r="H1424" s="2332"/>
      <c r="I1424" s="2332"/>
      <c r="J1424" s="2332"/>
      <c r="K1424" s="2333">
        <f t="shared" si="295"/>
        <v>0</v>
      </c>
      <c r="L1424" s="2356"/>
      <c r="M1424" s="2356"/>
    </row>
    <row r="1425" spans="1:13" x14ac:dyDescent="0.2">
      <c r="A1425" s="2369"/>
      <c r="B1425" s="2369"/>
      <c r="C1425" s="2369"/>
      <c r="D1425" s="2369"/>
      <c r="E1425" s="2369"/>
      <c r="G1425" s="2332"/>
      <c r="H1425" s="2332"/>
      <c r="I1425" s="2332"/>
      <c r="J1425" s="2332"/>
      <c r="K1425" s="2333">
        <f t="shared" si="295"/>
        <v>0</v>
      </c>
      <c r="L1425" s="2369"/>
      <c r="M1425" s="2369"/>
    </row>
    <row r="1426" spans="1:13" ht="15" x14ac:dyDescent="0.25">
      <c r="A1426" s="2365">
        <v>1630</v>
      </c>
      <c r="B1426" s="2366" t="s">
        <v>7189</v>
      </c>
      <c r="G1426" s="2332"/>
      <c r="H1426" s="2332"/>
      <c r="I1426" s="2332"/>
      <c r="J1426" s="2332"/>
      <c r="K1426" s="2333">
        <f t="shared" si="295"/>
        <v>0</v>
      </c>
    </row>
    <row r="1427" spans="1:13" ht="15" x14ac:dyDescent="0.25">
      <c r="A1427" s="2365"/>
      <c r="B1427" s="2366"/>
      <c r="G1427" s="2332"/>
      <c r="H1427" s="2332"/>
      <c r="I1427" s="2332"/>
      <c r="J1427" s="2332"/>
      <c r="K1427" s="2333">
        <f t="shared" si="295"/>
        <v>0</v>
      </c>
    </row>
    <row r="1428" spans="1:13" x14ac:dyDescent="0.2">
      <c r="B1428" s="2328" t="s">
        <v>247</v>
      </c>
      <c r="C1428" s="2328"/>
      <c r="D1428" s="2328"/>
      <c r="E1428" s="2328"/>
      <c r="G1428" s="2332"/>
      <c r="H1428" s="2332"/>
      <c r="I1428" s="2332"/>
      <c r="J1428" s="2332"/>
      <c r="K1428" s="2333">
        <f t="shared" si="295"/>
        <v>0</v>
      </c>
    </row>
    <row r="1429" spans="1:13" x14ac:dyDescent="0.2">
      <c r="B1429" s="2323"/>
      <c r="C1429" s="2323"/>
      <c r="D1429" s="2323"/>
      <c r="E1429" s="2323"/>
      <c r="G1429" s="2332"/>
      <c r="H1429" s="2332"/>
      <c r="I1429" s="2332"/>
      <c r="J1429" s="2332"/>
      <c r="K1429" s="2333">
        <f t="shared" ref="K1429:K1492" si="310">J1429</f>
        <v>0</v>
      </c>
    </row>
    <row r="1430" spans="1:13" x14ac:dyDescent="0.2">
      <c r="B1430" s="2330" t="s">
        <v>1637</v>
      </c>
      <c r="C1430" s="2375"/>
      <c r="D1430" s="2375"/>
      <c r="E1430" s="2375"/>
      <c r="G1430" s="2332"/>
      <c r="H1430" s="2332"/>
      <c r="I1430" s="2332"/>
      <c r="J1430" s="2332"/>
      <c r="K1430" s="2333">
        <f t="shared" si="310"/>
        <v>0</v>
      </c>
      <c r="L1430" s="2375"/>
      <c r="M1430" s="2375"/>
    </row>
    <row r="1431" spans="1:13" x14ac:dyDescent="0.2">
      <c r="A1431" s="2353">
        <v>5638</v>
      </c>
      <c r="B1431" s="2258" t="s">
        <v>7190</v>
      </c>
      <c r="C1431" s="2375">
        <v>8500</v>
      </c>
      <c r="D1431" s="2332">
        <v>12467</v>
      </c>
      <c r="E1431" s="2332">
        <v>12467</v>
      </c>
      <c r="F1431" s="2332">
        <v>0</v>
      </c>
      <c r="G1431" s="2332">
        <f>F1431/$F$11*$G$11</f>
        <v>0</v>
      </c>
      <c r="H1431" s="2332"/>
      <c r="I1431" s="2332">
        <v>0</v>
      </c>
      <c r="J1431" s="2332">
        <v>0</v>
      </c>
      <c r="K1431" s="2333">
        <f t="shared" si="310"/>
        <v>0</v>
      </c>
      <c r="L1431" s="2332">
        <v>0</v>
      </c>
      <c r="M1431" s="2332">
        <f>ROUND(L1431*1.05,0)</f>
        <v>0</v>
      </c>
    </row>
    <row r="1432" spans="1:13" x14ac:dyDescent="0.2">
      <c r="A1432" s="2353">
        <v>5816</v>
      </c>
      <c r="B1432" s="2334" t="s">
        <v>1787</v>
      </c>
      <c r="C1432" s="2335">
        <v>7344</v>
      </c>
      <c r="D1432" s="2335">
        <v>10541</v>
      </c>
      <c r="E1432" s="2335">
        <v>10541</v>
      </c>
      <c r="F1432" s="2335">
        <v>6896</v>
      </c>
      <c r="G1432" s="2335">
        <f>F1432/$F$11*$G$11</f>
        <v>8275.2000000000007</v>
      </c>
      <c r="H1432" s="2335"/>
      <c r="I1432" s="2335">
        <f>ROUND(G1432*1.1,0)</f>
        <v>9103</v>
      </c>
      <c r="J1432" s="2335">
        <f>-[5]Sheet1!$K$813</f>
        <v>44</v>
      </c>
      <c r="K1432" s="2336">
        <f t="shared" si="310"/>
        <v>44</v>
      </c>
      <c r="L1432" s="2335">
        <f>ROUND(I1432*1.06,0)</f>
        <v>9649</v>
      </c>
      <c r="M1432" s="2335">
        <f>ROUND(L1432*1.06,0)</f>
        <v>10228</v>
      </c>
    </row>
    <row r="1433" spans="1:13" x14ac:dyDescent="0.2">
      <c r="B1433" s="2330" t="s">
        <v>6670</v>
      </c>
      <c r="C1433" s="2376">
        <f t="shared" ref="C1433:M1433" si="311">SUM(C1431:C1432)</f>
        <v>15844</v>
      </c>
      <c r="D1433" s="2376">
        <f t="shared" si="311"/>
        <v>23008</v>
      </c>
      <c r="E1433" s="2376">
        <f t="shared" si="311"/>
        <v>23008</v>
      </c>
      <c r="F1433" s="2376">
        <f t="shared" si="311"/>
        <v>6896</v>
      </c>
      <c r="G1433" s="2376">
        <f t="shared" si="311"/>
        <v>8275.2000000000007</v>
      </c>
      <c r="H1433" s="2376"/>
      <c r="I1433" s="2376">
        <f t="shared" si="311"/>
        <v>9103</v>
      </c>
      <c r="J1433" s="2376">
        <f>J1432</f>
        <v>44</v>
      </c>
      <c r="K1433" s="2333">
        <f t="shared" si="310"/>
        <v>44</v>
      </c>
      <c r="L1433" s="2376">
        <f t="shared" si="311"/>
        <v>9649</v>
      </c>
      <c r="M1433" s="2376">
        <f t="shared" si="311"/>
        <v>10228</v>
      </c>
    </row>
    <row r="1434" spans="1:13" x14ac:dyDescent="0.2">
      <c r="B1434" s="2330"/>
      <c r="C1434" s="2375"/>
      <c r="D1434" s="2375"/>
      <c r="E1434" s="2375"/>
      <c r="F1434" s="2375"/>
      <c r="G1434" s="2375"/>
      <c r="H1434" s="2375"/>
      <c r="I1434" s="2375"/>
      <c r="J1434" s="2375"/>
      <c r="K1434" s="2333">
        <f t="shared" si="310"/>
        <v>0</v>
      </c>
      <c r="L1434" s="2375"/>
      <c r="M1434" s="2375"/>
    </row>
    <row r="1435" spans="1:13" ht="13.5" thickBot="1" x14ac:dyDescent="0.25">
      <c r="B1435" s="2342" t="s">
        <v>6579</v>
      </c>
      <c r="C1435" s="2343">
        <f t="shared" ref="C1435:M1435" si="312">+C1433</f>
        <v>15844</v>
      </c>
      <c r="D1435" s="2343">
        <f t="shared" si="312"/>
        <v>23008</v>
      </c>
      <c r="E1435" s="2343">
        <f t="shared" si="312"/>
        <v>23008</v>
      </c>
      <c r="F1435" s="2343">
        <f t="shared" si="312"/>
        <v>6896</v>
      </c>
      <c r="G1435" s="2343">
        <f t="shared" si="312"/>
        <v>8275.2000000000007</v>
      </c>
      <c r="H1435" s="2343"/>
      <c r="I1435" s="2343">
        <f t="shared" si="312"/>
        <v>9103</v>
      </c>
      <c r="J1435" s="2343">
        <f>J1433</f>
        <v>44</v>
      </c>
      <c r="K1435" s="2344">
        <f t="shared" si="310"/>
        <v>44</v>
      </c>
      <c r="L1435" s="2343">
        <f t="shared" si="312"/>
        <v>9649</v>
      </c>
      <c r="M1435" s="2343">
        <f t="shared" si="312"/>
        <v>10228</v>
      </c>
    </row>
    <row r="1436" spans="1:13" ht="13.5" thickTop="1" x14ac:dyDescent="0.2">
      <c r="B1436" s="2346"/>
      <c r="C1436" s="2346"/>
      <c r="D1436" s="2346"/>
      <c r="E1436" s="2346"/>
      <c r="G1436" s="2332"/>
      <c r="H1436" s="2332"/>
      <c r="I1436" s="2332"/>
      <c r="J1436" s="2332">
        <f>J1435+[5]Sheet1!$K$814</f>
        <v>0</v>
      </c>
      <c r="K1436" s="2333">
        <f t="shared" si="310"/>
        <v>0</v>
      </c>
      <c r="L1436" s="2346"/>
      <c r="M1436" s="2346"/>
    </row>
    <row r="1437" spans="1:13" x14ac:dyDescent="0.2">
      <c r="B1437" s="2328" t="s">
        <v>235</v>
      </c>
      <c r="C1437" s="2328"/>
      <c r="D1437" s="2328"/>
      <c r="E1437" s="2328"/>
      <c r="F1437" s="2309"/>
      <c r="G1437" s="2332"/>
      <c r="H1437" s="2332"/>
      <c r="I1437" s="2332"/>
      <c r="J1437" s="2332"/>
      <c r="K1437" s="2333">
        <f t="shared" si="310"/>
        <v>0</v>
      </c>
      <c r="L1437" s="2328"/>
      <c r="M1437" s="2328"/>
    </row>
    <row r="1438" spans="1:13" x14ac:dyDescent="0.2">
      <c r="B1438" s="2328"/>
      <c r="C1438" s="2328"/>
      <c r="D1438" s="2328"/>
      <c r="E1438" s="2328"/>
      <c r="F1438" s="2309"/>
      <c r="G1438" s="2332"/>
      <c r="H1438" s="2332"/>
      <c r="I1438" s="2332"/>
      <c r="J1438" s="2332"/>
      <c r="K1438" s="2333">
        <f t="shared" si="310"/>
        <v>0</v>
      </c>
      <c r="L1438" s="2328"/>
      <c r="M1438" s="2328"/>
    </row>
    <row r="1439" spans="1:13" x14ac:dyDescent="0.2">
      <c r="B1439" s="2330" t="s">
        <v>387</v>
      </c>
      <c r="C1439" s="2332"/>
      <c r="D1439" s="2332"/>
      <c r="E1439" s="2332"/>
      <c r="F1439" s="2309"/>
      <c r="G1439" s="2332"/>
      <c r="H1439" s="2332"/>
      <c r="I1439" s="2332"/>
      <c r="J1439" s="2332"/>
      <c r="K1439" s="2333">
        <f t="shared" si="310"/>
        <v>0</v>
      </c>
      <c r="L1439" s="2332"/>
      <c r="M1439" s="2332"/>
    </row>
    <row r="1440" spans="1:13" x14ac:dyDescent="0.2">
      <c r="A1440" s="2353">
        <v>1001</v>
      </c>
      <c r="B1440" s="2258" t="s">
        <v>6943</v>
      </c>
      <c r="C1440" s="2332">
        <v>72059</v>
      </c>
      <c r="D1440" s="2332">
        <v>97297</v>
      </c>
      <c r="E1440" s="2332">
        <v>90720</v>
      </c>
      <c r="F1440" s="2332">
        <v>83030</v>
      </c>
      <c r="G1440" s="2332">
        <f t="shared" ref="G1440:G1452" si="313">F1440/$F$11*$G$11</f>
        <v>99636</v>
      </c>
      <c r="H1440" s="2332"/>
      <c r="I1440" s="2332">
        <f>[6]Salary_Bdgt!$H$271</f>
        <v>157712</v>
      </c>
      <c r="J1440" s="2332">
        <f>[5]Sheet1!$K$817</f>
        <v>126865.48</v>
      </c>
      <c r="K1440" s="2333">
        <f t="shared" si="310"/>
        <v>126865.48</v>
      </c>
      <c r="L1440" s="2332">
        <f t="shared" ref="L1440:L1452" si="314">ROUND(I1440*1.08,0)</f>
        <v>170329</v>
      </c>
      <c r="M1440" s="2332">
        <f t="shared" ref="M1440:M1452" si="315">ROUND(L1440*1.08,0)</f>
        <v>183955</v>
      </c>
    </row>
    <row r="1441" spans="1:13" x14ac:dyDescent="0.2">
      <c r="A1441" s="2329">
        <v>1005</v>
      </c>
      <c r="B1441" s="2258" t="s">
        <v>6944</v>
      </c>
      <c r="C1441" s="2332">
        <v>0</v>
      </c>
      <c r="D1441" s="2332">
        <v>0</v>
      </c>
      <c r="E1441" s="2332">
        <v>0</v>
      </c>
      <c r="F1441" s="2332">
        <v>0</v>
      </c>
      <c r="G1441" s="2332">
        <f t="shared" si="313"/>
        <v>0</v>
      </c>
      <c r="H1441" s="2332"/>
      <c r="I1441" s="2332">
        <f>+[6]Salary_Bdgt!$L$271</f>
        <v>0</v>
      </c>
      <c r="J1441" s="2332">
        <f>[5]Sheet1!$K$824</f>
        <v>0</v>
      </c>
      <c r="K1441" s="2333">
        <f t="shared" si="310"/>
        <v>0</v>
      </c>
      <c r="L1441" s="2332">
        <f t="shared" si="314"/>
        <v>0</v>
      </c>
      <c r="M1441" s="2332">
        <f t="shared" si="315"/>
        <v>0</v>
      </c>
    </row>
    <row r="1442" spans="1:13" x14ac:dyDescent="0.2">
      <c r="A1442" s="2353">
        <v>1006</v>
      </c>
      <c r="B1442" s="2258" t="s">
        <v>6945</v>
      </c>
      <c r="C1442" s="2332">
        <v>13816</v>
      </c>
      <c r="D1442" s="2332">
        <v>9000</v>
      </c>
      <c r="E1442" s="2332">
        <f>+D1442+6050</f>
        <v>15050</v>
      </c>
      <c r="F1442" s="2332">
        <v>15805</v>
      </c>
      <c r="G1442" s="2332">
        <f t="shared" si="313"/>
        <v>18966</v>
      </c>
      <c r="H1442" s="2332"/>
      <c r="I1442" s="2332">
        <f>+[6]Salary_Bdgt!$N$271</f>
        <v>32356</v>
      </c>
      <c r="J1442" s="2332">
        <f>[5]Sheet1!$K$825</f>
        <v>24679.34</v>
      </c>
      <c r="K1442" s="2333">
        <f t="shared" si="310"/>
        <v>24679.34</v>
      </c>
      <c r="L1442" s="2332">
        <f t="shared" si="314"/>
        <v>34944</v>
      </c>
      <c r="M1442" s="2332">
        <f t="shared" si="315"/>
        <v>37740</v>
      </c>
    </row>
    <row r="1443" spans="1:13" x14ac:dyDescent="0.2">
      <c r="A1443" s="2329">
        <v>1007</v>
      </c>
      <c r="B1443" s="2258" t="s">
        <v>6410</v>
      </c>
      <c r="C1443" s="2332">
        <v>767</v>
      </c>
      <c r="D1443" s="2332">
        <v>2077</v>
      </c>
      <c r="E1443" s="2332">
        <f>+D1443</f>
        <v>2077</v>
      </c>
      <c r="F1443" s="2332">
        <v>923</v>
      </c>
      <c r="G1443" s="2332">
        <f t="shared" si="313"/>
        <v>1107.5999999999999</v>
      </c>
      <c r="H1443" s="2332"/>
      <c r="I1443" s="2332">
        <f>+[6]Salary_Bdgt!$I$271</f>
        <v>3261</v>
      </c>
      <c r="J1443" s="2332">
        <f>[5]Sheet1!$K$826</f>
        <v>1359.32</v>
      </c>
      <c r="K1443" s="2333">
        <f t="shared" si="310"/>
        <v>1359.32</v>
      </c>
      <c r="L1443" s="2332">
        <f t="shared" si="314"/>
        <v>3522</v>
      </c>
      <c r="M1443" s="2332">
        <f t="shared" si="315"/>
        <v>3804</v>
      </c>
    </row>
    <row r="1444" spans="1:13" x14ac:dyDescent="0.2">
      <c r="A1444" s="2353">
        <v>1009</v>
      </c>
      <c r="B1444" s="2258" t="s">
        <v>6408</v>
      </c>
      <c r="C1444" s="2332">
        <v>69</v>
      </c>
      <c r="D1444" s="2332">
        <f>[7]Sal_RIA!$M$203</f>
        <v>77</v>
      </c>
      <c r="E1444" s="2332">
        <f>+D1444</f>
        <v>77</v>
      </c>
      <c r="F1444" s="2332">
        <v>75</v>
      </c>
      <c r="G1444" s="2332">
        <f t="shared" si="313"/>
        <v>90</v>
      </c>
      <c r="H1444" s="2332"/>
      <c r="I1444" s="2332">
        <f>+[6]Salary_Bdgt!$M$271</f>
        <v>135</v>
      </c>
      <c r="J1444" s="2332">
        <f>[5]Sheet1!$K$821</f>
        <v>114.8</v>
      </c>
      <c r="K1444" s="2333">
        <f t="shared" si="310"/>
        <v>114.8</v>
      </c>
      <c r="L1444" s="2332">
        <f t="shared" si="314"/>
        <v>146</v>
      </c>
      <c r="M1444" s="2332">
        <f t="shared" si="315"/>
        <v>158</v>
      </c>
    </row>
    <row r="1445" spans="1:13" x14ac:dyDescent="0.2">
      <c r="A1445" s="2353">
        <v>1011</v>
      </c>
      <c r="B1445" s="2258" t="s">
        <v>6947</v>
      </c>
      <c r="C1445" s="2332">
        <v>0</v>
      </c>
      <c r="D1445" s="2332">
        <v>0</v>
      </c>
      <c r="E1445" s="2332">
        <v>0</v>
      </c>
      <c r="F1445" s="2332">
        <v>0</v>
      </c>
      <c r="G1445" s="2332">
        <f t="shared" si="313"/>
        <v>0</v>
      </c>
      <c r="H1445" s="2332"/>
      <c r="I1445" s="2332">
        <f>+[6]Salary_Bdgt!$U$271</f>
        <v>0</v>
      </c>
      <c r="J1445" s="2332">
        <v>0</v>
      </c>
      <c r="K1445" s="2333">
        <f t="shared" si="310"/>
        <v>0</v>
      </c>
      <c r="L1445" s="2332">
        <f t="shared" si="314"/>
        <v>0</v>
      </c>
      <c r="M1445" s="2332">
        <f t="shared" si="315"/>
        <v>0</v>
      </c>
    </row>
    <row r="1446" spans="1:13" x14ac:dyDescent="0.2">
      <c r="A1446" s="2353">
        <v>1016</v>
      </c>
      <c r="B1446" s="2258" t="s">
        <v>6949</v>
      </c>
      <c r="C1446" s="2332">
        <v>0</v>
      </c>
      <c r="D1446" s="2332">
        <v>0</v>
      </c>
      <c r="E1446" s="2332">
        <v>0</v>
      </c>
      <c r="F1446" s="2332">
        <v>737</v>
      </c>
      <c r="G1446" s="2332">
        <f t="shared" si="313"/>
        <v>884.40000000000009</v>
      </c>
      <c r="H1446" s="2332"/>
      <c r="I1446" s="2332">
        <f>+[6]Salary_Bdgt!$T$271+[6]Salary_Bdgt!$V$271</f>
        <v>3554</v>
      </c>
      <c r="J1446" s="2332">
        <f>[5]Sheet1!$K$820</f>
        <v>1212.68</v>
      </c>
      <c r="K1446" s="2333">
        <f t="shared" si="310"/>
        <v>1212.68</v>
      </c>
      <c r="L1446" s="2332">
        <f t="shared" si="314"/>
        <v>3838</v>
      </c>
      <c r="M1446" s="2332">
        <f t="shared" si="315"/>
        <v>4145</v>
      </c>
    </row>
    <row r="1447" spans="1:13" x14ac:dyDescent="0.2">
      <c r="A1447" s="2353">
        <v>1014</v>
      </c>
      <c r="B1447" s="2258" t="s">
        <v>6632</v>
      </c>
      <c r="C1447" s="2332">
        <v>0</v>
      </c>
      <c r="D1447" s="2332">
        <v>0</v>
      </c>
      <c r="E1447" s="2332">
        <v>0</v>
      </c>
      <c r="F1447" s="2332">
        <v>0</v>
      </c>
      <c r="G1447" s="2332">
        <f t="shared" si="313"/>
        <v>0</v>
      </c>
      <c r="H1447" s="2332"/>
      <c r="I1447" s="2332">
        <f>+[6]Salary_Bdgt!$S$271</f>
        <v>0</v>
      </c>
      <c r="J1447" s="2332">
        <v>0</v>
      </c>
      <c r="K1447" s="2333">
        <f t="shared" si="310"/>
        <v>0</v>
      </c>
      <c r="L1447" s="2332">
        <f t="shared" si="314"/>
        <v>0</v>
      </c>
      <c r="M1447" s="2332">
        <f t="shared" si="315"/>
        <v>0</v>
      </c>
    </row>
    <row r="1448" spans="1:13" x14ac:dyDescent="0.2">
      <c r="A1448" s="2353">
        <v>1046</v>
      </c>
      <c r="B1448" s="2258" t="s">
        <v>6951</v>
      </c>
      <c r="C1448" s="2332">
        <v>0</v>
      </c>
      <c r="D1448" s="2332">
        <v>0</v>
      </c>
      <c r="E1448" s="2332">
        <v>0</v>
      </c>
      <c r="F1448" s="2332">
        <v>0</v>
      </c>
      <c r="G1448" s="2332">
        <f t="shared" si="313"/>
        <v>0</v>
      </c>
      <c r="H1448" s="2332"/>
      <c r="I1448" s="2332">
        <f>+[6]Salary_Bdgt!$R$271</f>
        <v>0</v>
      </c>
      <c r="J1448" s="2332">
        <v>0</v>
      </c>
      <c r="K1448" s="2333">
        <f t="shared" si="310"/>
        <v>0</v>
      </c>
      <c r="L1448" s="2332">
        <f t="shared" si="314"/>
        <v>0</v>
      </c>
      <c r="M1448" s="2332">
        <f t="shared" si="315"/>
        <v>0</v>
      </c>
    </row>
    <row r="1449" spans="1:13" x14ac:dyDescent="0.2">
      <c r="A1449" s="2353">
        <v>1010</v>
      </c>
      <c r="B1449" s="2258" t="s">
        <v>6946</v>
      </c>
      <c r="C1449" s="2332">
        <v>3773</v>
      </c>
      <c r="D1449" s="2332">
        <v>8108</v>
      </c>
      <c r="E1449" s="2332">
        <f>+D1449+527</f>
        <v>8635</v>
      </c>
      <c r="F1449" s="2332">
        <v>7767</v>
      </c>
      <c r="G1449" s="2332">
        <f t="shared" si="313"/>
        <v>9320.4000000000015</v>
      </c>
      <c r="H1449" s="2332"/>
      <c r="I1449" s="2332">
        <f>+[6]Salary_Bdgt!$Q$271</f>
        <v>13143</v>
      </c>
      <c r="J1449" s="2332">
        <f>[5]Sheet1!$K$818</f>
        <v>8873.56</v>
      </c>
      <c r="K1449" s="2333">
        <f t="shared" si="310"/>
        <v>8873.56</v>
      </c>
      <c r="L1449" s="2332">
        <f t="shared" si="314"/>
        <v>14194</v>
      </c>
      <c r="M1449" s="2332">
        <f t="shared" si="315"/>
        <v>15330</v>
      </c>
    </row>
    <row r="1450" spans="1:13" x14ac:dyDescent="0.2">
      <c r="A1450" s="2353">
        <v>1015</v>
      </c>
      <c r="B1450" s="2258" t="s">
        <v>6948</v>
      </c>
      <c r="C1450" s="2332">
        <v>853</v>
      </c>
      <c r="D1450" s="2332">
        <v>24811</v>
      </c>
      <c r="E1450" s="2332">
        <f>+D1450</f>
        <v>24811</v>
      </c>
      <c r="F1450" s="2332">
        <v>718</v>
      </c>
      <c r="G1450" s="2332">
        <f t="shared" si="313"/>
        <v>861.59999999999991</v>
      </c>
      <c r="H1450" s="2332"/>
      <c r="I1450" s="2332">
        <f>+[6]Salary_Bdgt!$O$271+[6]Salary_Bdgt!$P$271+[6]Salary_Bdgt!$W$271</f>
        <v>7125</v>
      </c>
      <c r="J1450" s="2332">
        <f>[5]Sheet1!$K$819</f>
        <v>189.72</v>
      </c>
      <c r="K1450" s="2333">
        <f t="shared" si="310"/>
        <v>189.72</v>
      </c>
      <c r="L1450" s="2332">
        <f t="shared" si="314"/>
        <v>7695</v>
      </c>
      <c r="M1450" s="2332">
        <f t="shared" si="315"/>
        <v>8311</v>
      </c>
    </row>
    <row r="1451" spans="1:13" x14ac:dyDescent="0.2">
      <c r="A1451" s="2353">
        <v>1017</v>
      </c>
      <c r="B1451" s="2258" t="s">
        <v>6950</v>
      </c>
      <c r="C1451" s="2332">
        <v>889</v>
      </c>
      <c r="D1451" s="2332">
        <v>2077</v>
      </c>
      <c r="E1451" s="2332">
        <f>+D1451</f>
        <v>2077</v>
      </c>
      <c r="F1451" s="2332">
        <v>451</v>
      </c>
      <c r="G1451" s="2332">
        <f t="shared" si="313"/>
        <v>541.20000000000005</v>
      </c>
      <c r="H1451" s="2332"/>
      <c r="I1451" s="2332">
        <f>+[6]Salary_Bdgt!$J$271</f>
        <v>3261</v>
      </c>
      <c r="J1451" s="2332">
        <f>[5]Sheet1!$K$822</f>
        <v>1310.72</v>
      </c>
      <c r="K1451" s="2333">
        <f t="shared" si="310"/>
        <v>1310.72</v>
      </c>
      <c r="L1451" s="2332">
        <f t="shared" si="314"/>
        <v>3522</v>
      </c>
      <c r="M1451" s="2332">
        <f t="shared" si="315"/>
        <v>3804</v>
      </c>
    </row>
    <row r="1452" spans="1:13" x14ac:dyDescent="0.2">
      <c r="A1452" s="2353">
        <v>1182</v>
      </c>
      <c r="B1452" s="2334" t="s">
        <v>6952</v>
      </c>
      <c r="C1452" s="2335">
        <v>681</v>
      </c>
      <c r="D1452" s="2335">
        <v>1932</v>
      </c>
      <c r="E1452" s="2335">
        <f>+D1452</f>
        <v>1932</v>
      </c>
      <c r="F1452" s="2335">
        <v>0</v>
      </c>
      <c r="G1452" s="2335">
        <f t="shared" si="313"/>
        <v>0</v>
      </c>
      <c r="H1452" s="2335"/>
      <c r="I1452" s="2335">
        <f>+[6]Salary_Bdgt!$K$271</f>
        <v>3033</v>
      </c>
      <c r="J1452" s="2335">
        <f>[5]Sheet1!$K$823</f>
        <v>1034.19</v>
      </c>
      <c r="K1452" s="2336">
        <f t="shared" si="310"/>
        <v>1034.19</v>
      </c>
      <c r="L1452" s="2335">
        <f t="shared" si="314"/>
        <v>3276</v>
      </c>
      <c r="M1452" s="2335">
        <f t="shared" si="315"/>
        <v>3538</v>
      </c>
    </row>
    <row r="1453" spans="1:13" x14ac:dyDescent="0.2">
      <c r="B1453" s="2330" t="s">
        <v>6588</v>
      </c>
      <c r="C1453" s="2349">
        <f t="shared" ref="C1453:M1453" si="316">SUM(C1440:C1452)</f>
        <v>92907</v>
      </c>
      <c r="D1453" s="2349">
        <f t="shared" si="316"/>
        <v>145379</v>
      </c>
      <c r="E1453" s="2349">
        <f t="shared" si="316"/>
        <v>145379</v>
      </c>
      <c r="F1453" s="2349">
        <f t="shared" si="316"/>
        <v>109506</v>
      </c>
      <c r="G1453" s="2349">
        <f t="shared" si="316"/>
        <v>131407.20000000001</v>
      </c>
      <c r="H1453" s="2349"/>
      <c r="I1453" s="2349">
        <f t="shared" si="316"/>
        <v>223580</v>
      </c>
      <c r="J1453" s="2349">
        <f>SUM(J1440:J1452)</f>
        <v>165639.81</v>
      </c>
      <c r="K1453" s="2333">
        <f t="shared" si="310"/>
        <v>165639.81</v>
      </c>
      <c r="L1453" s="2349">
        <f t="shared" si="316"/>
        <v>241466</v>
      </c>
      <c r="M1453" s="2349">
        <f t="shared" si="316"/>
        <v>260785</v>
      </c>
    </row>
    <row r="1454" spans="1:13" x14ac:dyDescent="0.2">
      <c r="B1454" s="2330"/>
      <c r="C1454" s="2332"/>
      <c r="D1454" s="2332"/>
      <c r="E1454" s="2332"/>
      <c r="G1454" s="2332"/>
      <c r="H1454" s="2332"/>
      <c r="I1454" s="2332"/>
      <c r="J1454" s="2332">
        <f>J1453-[5]Sheet1!$K$827</f>
        <v>0</v>
      </c>
      <c r="K1454" s="2333">
        <f t="shared" si="310"/>
        <v>0</v>
      </c>
      <c r="L1454" s="2332"/>
      <c r="M1454" s="2332"/>
    </row>
    <row r="1455" spans="1:13" x14ac:dyDescent="0.2">
      <c r="B1455" s="2330" t="s">
        <v>6953</v>
      </c>
      <c r="C1455" s="2332"/>
      <c r="D1455" s="2332"/>
      <c r="E1455" s="2332"/>
      <c r="G1455" s="2332"/>
      <c r="H1455" s="2332"/>
      <c r="I1455" s="2332"/>
      <c r="J1455" s="2332"/>
      <c r="K1455" s="2333">
        <f t="shared" si="310"/>
        <v>0</v>
      </c>
      <c r="L1455" s="2332"/>
      <c r="M1455" s="2332"/>
    </row>
    <row r="1456" spans="1:13" x14ac:dyDescent="0.2">
      <c r="A1456" s="2353">
        <v>3208</v>
      </c>
      <c r="B1456" s="2334" t="s">
        <v>7172</v>
      </c>
      <c r="C1456" s="2335">
        <v>1000</v>
      </c>
      <c r="D1456" s="2335">
        <v>80000</v>
      </c>
      <c r="E1456" s="2335">
        <v>80000</v>
      </c>
      <c r="F1456" s="2335">
        <v>0</v>
      </c>
      <c r="G1456" s="2335">
        <f>F1456/$F$11*$G$11</f>
        <v>0</v>
      </c>
      <c r="H1456" s="2335"/>
      <c r="I1456" s="2335">
        <v>0</v>
      </c>
      <c r="J1456" s="2335">
        <v>0</v>
      </c>
      <c r="K1456" s="2336">
        <f t="shared" si="310"/>
        <v>0</v>
      </c>
      <c r="L1456" s="2335">
        <f>ROUND(I1456*1.06,0)</f>
        <v>0</v>
      </c>
      <c r="M1456" s="2335">
        <f>ROUND(L1456*1.06,0)</f>
        <v>0</v>
      </c>
    </row>
    <row r="1457" spans="1:13" x14ac:dyDescent="0.2">
      <c r="B1457" s="2330" t="s">
        <v>6956</v>
      </c>
      <c r="C1457" s="2349">
        <f>SUM(C1456:C1456)</f>
        <v>1000</v>
      </c>
      <c r="D1457" s="2349">
        <f t="shared" ref="D1457:M1457" si="317">SUM(D1456:D1456)</f>
        <v>80000</v>
      </c>
      <c r="E1457" s="2349">
        <f t="shared" si="317"/>
        <v>80000</v>
      </c>
      <c r="F1457" s="2349">
        <f t="shared" si="317"/>
        <v>0</v>
      </c>
      <c r="G1457" s="2349">
        <f t="shared" si="317"/>
        <v>0</v>
      </c>
      <c r="H1457" s="2349"/>
      <c r="I1457" s="2349">
        <f t="shared" si="317"/>
        <v>0</v>
      </c>
      <c r="J1457" s="2349">
        <v>0</v>
      </c>
      <c r="K1457" s="2333">
        <f t="shared" si="310"/>
        <v>0</v>
      </c>
      <c r="L1457" s="2349">
        <f t="shared" si="317"/>
        <v>0</v>
      </c>
      <c r="M1457" s="2349">
        <f t="shared" si="317"/>
        <v>0</v>
      </c>
    </row>
    <row r="1458" spans="1:13" x14ac:dyDescent="0.2">
      <c r="B1458" s="2330"/>
      <c r="C1458" s="2332"/>
      <c r="D1458" s="2332"/>
      <c r="E1458" s="2332"/>
      <c r="F1458" s="2309"/>
      <c r="G1458" s="2332"/>
      <c r="H1458" s="2332"/>
      <c r="I1458" s="2332"/>
      <c r="J1458" s="2332"/>
      <c r="K1458" s="2333">
        <f t="shared" si="310"/>
        <v>0</v>
      </c>
      <c r="L1458" s="2332"/>
      <c r="M1458" s="2332"/>
    </row>
    <row r="1459" spans="1:13" x14ac:dyDescent="0.2">
      <c r="B1459" s="2330" t="s">
        <v>6599</v>
      </c>
      <c r="C1459" s="2332"/>
      <c r="D1459" s="2332"/>
      <c r="E1459" s="2332"/>
      <c r="F1459" s="2309"/>
      <c r="G1459" s="2332"/>
      <c r="H1459" s="2332"/>
      <c r="I1459" s="2332"/>
      <c r="J1459" s="2332"/>
      <c r="K1459" s="2333">
        <f t="shared" si="310"/>
        <v>0</v>
      </c>
      <c r="L1459" s="2332"/>
      <c r="M1459" s="2332"/>
    </row>
    <row r="1460" spans="1:13" x14ac:dyDescent="0.2">
      <c r="A1460" s="2353">
        <v>2217</v>
      </c>
      <c r="B1460" s="2258" t="s">
        <v>1101</v>
      </c>
      <c r="C1460" s="2332">
        <v>0</v>
      </c>
      <c r="D1460" s="2332">
        <v>1050</v>
      </c>
      <c r="E1460" s="2332">
        <v>1050</v>
      </c>
      <c r="F1460" s="2332">
        <v>0</v>
      </c>
      <c r="G1460" s="2332">
        <f>F1460/$F$11*$G$11</f>
        <v>0</v>
      </c>
      <c r="H1460" s="2332"/>
      <c r="I1460" s="2332">
        <f>ROUND(E1460*1.05,0)</f>
        <v>1103</v>
      </c>
      <c r="J1460" s="2332">
        <f>[5]Sheet1!$K$831</f>
        <v>375.06</v>
      </c>
      <c r="K1460" s="2333">
        <f t="shared" si="310"/>
        <v>375.06</v>
      </c>
      <c r="L1460" s="2332">
        <f>ROUND(I1460*1.06,0)</f>
        <v>1169</v>
      </c>
      <c r="M1460" s="2332">
        <f>ROUND(L1460*1.06,0)</f>
        <v>1239</v>
      </c>
    </row>
    <row r="1461" spans="1:13" x14ac:dyDescent="0.2">
      <c r="A1461" s="2353">
        <v>2221</v>
      </c>
      <c r="B1461" s="2258" t="s">
        <v>7044</v>
      </c>
      <c r="C1461" s="2332">
        <v>200</v>
      </c>
      <c r="D1461" s="2332">
        <v>0</v>
      </c>
      <c r="E1461" s="2332">
        <v>0</v>
      </c>
      <c r="F1461" s="2332">
        <v>0</v>
      </c>
      <c r="G1461" s="2332">
        <f>F1461/$F$11*$G$11</f>
        <v>0</v>
      </c>
      <c r="H1461" s="2332"/>
      <c r="I1461" s="2332">
        <f>ROUND(E1461*1.05,0)</f>
        <v>0</v>
      </c>
      <c r="J1461" s="2332"/>
      <c r="K1461" s="2333">
        <f t="shared" si="310"/>
        <v>0</v>
      </c>
      <c r="L1461" s="2332">
        <f>ROUND(I1461*1.06,0)</f>
        <v>0</v>
      </c>
      <c r="M1461" s="2332">
        <f>ROUND(L1461*1.06,0)</f>
        <v>0</v>
      </c>
    </row>
    <row r="1462" spans="1:13" x14ac:dyDescent="0.2">
      <c r="A1462" s="2353">
        <v>2081</v>
      </c>
      <c r="B1462" s="2258" t="s">
        <v>7133</v>
      </c>
      <c r="C1462" s="2332">
        <v>0</v>
      </c>
      <c r="D1462" s="2332">
        <v>0</v>
      </c>
      <c r="E1462" s="2332">
        <v>0</v>
      </c>
      <c r="F1462" s="2332">
        <v>0</v>
      </c>
      <c r="G1462" s="2332">
        <f>F1462/$F$11*$G$11</f>
        <v>0</v>
      </c>
      <c r="H1462" s="2332"/>
      <c r="I1462" s="2332">
        <f>ROUND(E1462*1.05,0)</f>
        <v>0</v>
      </c>
      <c r="J1462" s="2332"/>
      <c r="K1462" s="2333">
        <f t="shared" si="310"/>
        <v>0</v>
      </c>
      <c r="L1462" s="2332">
        <f>ROUND(I1462*1.06,0)</f>
        <v>0</v>
      </c>
      <c r="M1462" s="2332">
        <f>ROUND(L1462*1.06,0)</f>
        <v>0</v>
      </c>
    </row>
    <row r="1463" spans="1:13" x14ac:dyDescent="0.2">
      <c r="A1463" s="2353">
        <v>2297</v>
      </c>
      <c r="B1463" s="2258" t="s">
        <v>6478</v>
      </c>
      <c r="C1463" s="2332">
        <v>4326</v>
      </c>
      <c r="D1463" s="2332">
        <v>31500</v>
      </c>
      <c r="E1463" s="2332">
        <v>31500</v>
      </c>
      <c r="F1463" s="2332">
        <v>0</v>
      </c>
      <c r="G1463" s="2332">
        <f>F1463/$F$11*$G$11</f>
        <v>0</v>
      </c>
      <c r="H1463" s="2332"/>
      <c r="I1463" s="2332">
        <f>ROUND(E1463*1.05,0)</f>
        <v>33075</v>
      </c>
      <c r="J1463" s="2332">
        <f>[5]Sheet1!$K$834</f>
        <v>11286.85</v>
      </c>
      <c r="K1463" s="2333">
        <f t="shared" si="310"/>
        <v>11286.85</v>
      </c>
      <c r="L1463" s="2332">
        <f>ROUND(I1463*1.06,0)</f>
        <v>35060</v>
      </c>
      <c r="M1463" s="2332">
        <f>ROUND(L1463*1.06,0)</f>
        <v>37164</v>
      </c>
    </row>
    <row r="1464" spans="1:13" x14ac:dyDescent="0.2">
      <c r="A1464" s="2353">
        <v>2305</v>
      </c>
      <c r="B1464" s="2334" t="s">
        <v>6970</v>
      </c>
      <c r="C1464" s="2335">
        <v>0</v>
      </c>
      <c r="D1464" s="2335">
        <v>5250</v>
      </c>
      <c r="E1464" s="2335">
        <v>5250</v>
      </c>
      <c r="F1464" s="2335">
        <v>0</v>
      </c>
      <c r="G1464" s="2335">
        <f>F1464/$F$11*$G$11</f>
        <v>0</v>
      </c>
      <c r="H1464" s="2335"/>
      <c r="I1464" s="2335">
        <f>ROUND(E1464*1.05,0)</f>
        <v>5513</v>
      </c>
      <c r="J1464" s="2335">
        <f>[5]Sheet1!$K$835</f>
        <v>1879.98</v>
      </c>
      <c r="K1464" s="2336">
        <f t="shared" si="310"/>
        <v>1879.98</v>
      </c>
      <c r="L1464" s="2335">
        <f>ROUND(I1464*1.06,0)</f>
        <v>5844</v>
      </c>
      <c r="M1464" s="2335">
        <f>ROUND(L1464*1.06,0)</f>
        <v>6195</v>
      </c>
    </row>
    <row r="1465" spans="1:13" x14ac:dyDescent="0.2">
      <c r="B1465" s="2330" t="s">
        <v>6614</v>
      </c>
      <c r="C1465" s="2349">
        <f t="shared" ref="C1465:M1465" si="318">SUM(C1460:C1464)</f>
        <v>4526</v>
      </c>
      <c r="D1465" s="2349">
        <f t="shared" si="318"/>
        <v>37800</v>
      </c>
      <c r="E1465" s="2349">
        <f t="shared" si="318"/>
        <v>37800</v>
      </c>
      <c r="F1465" s="2349">
        <f t="shared" si="318"/>
        <v>0</v>
      </c>
      <c r="G1465" s="2349">
        <f t="shared" si="318"/>
        <v>0</v>
      </c>
      <c r="H1465" s="2349"/>
      <c r="I1465" s="2349">
        <f t="shared" si="318"/>
        <v>39691</v>
      </c>
      <c r="J1465" s="2349">
        <f>SUM(J1460:J1464)</f>
        <v>13541.89</v>
      </c>
      <c r="K1465" s="2333">
        <f t="shared" si="310"/>
        <v>13541.89</v>
      </c>
      <c r="L1465" s="2349">
        <f t="shared" si="318"/>
        <v>42073</v>
      </c>
      <c r="M1465" s="2349">
        <f t="shared" si="318"/>
        <v>44598</v>
      </c>
    </row>
    <row r="1466" spans="1:13" x14ac:dyDescent="0.2">
      <c r="B1466" s="2338"/>
      <c r="C1466" s="2380"/>
      <c r="D1466" s="2380"/>
      <c r="E1466" s="2380"/>
      <c r="F1466" s="2380"/>
      <c r="G1466" s="2380"/>
      <c r="H1466" s="2380"/>
      <c r="I1466" s="2380"/>
      <c r="J1466" s="2380">
        <f>J1465-[5]Sheet1!$K$836</f>
        <v>0</v>
      </c>
      <c r="K1466" s="2336">
        <f t="shared" si="310"/>
        <v>0</v>
      </c>
      <c r="L1466" s="2380"/>
      <c r="M1466" s="2380"/>
    </row>
    <row r="1467" spans="1:13" x14ac:dyDescent="0.2">
      <c r="B1467" s="2330" t="s">
        <v>6972</v>
      </c>
      <c r="C1467" s="2351">
        <f t="shared" ref="C1467:M1467" si="319">C1453+C1457+C1465</f>
        <v>98433</v>
      </c>
      <c r="D1467" s="2351">
        <f t="shared" si="319"/>
        <v>263179</v>
      </c>
      <c r="E1467" s="2351">
        <f t="shared" si="319"/>
        <v>263179</v>
      </c>
      <c r="F1467" s="2351">
        <f t="shared" si="319"/>
        <v>109506</v>
      </c>
      <c r="G1467" s="2351">
        <f t="shared" si="319"/>
        <v>131407.20000000001</v>
      </c>
      <c r="H1467" s="2351"/>
      <c r="I1467" s="2351">
        <f t="shared" si="319"/>
        <v>263271</v>
      </c>
      <c r="J1467" s="2351">
        <f t="shared" si="319"/>
        <v>179181.7</v>
      </c>
      <c r="K1467" s="2333">
        <f t="shared" si="310"/>
        <v>179181.7</v>
      </c>
      <c r="L1467" s="2351">
        <f t="shared" si="319"/>
        <v>283539</v>
      </c>
      <c r="M1467" s="2351">
        <f t="shared" si="319"/>
        <v>305383</v>
      </c>
    </row>
    <row r="1468" spans="1:13" x14ac:dyDescent="0.2">
      <c r="B1468" s="2330"/>
      <c r="C1468" s="2364"/>
      <c r="D1468" s="2364"/>
      <c r="E1468" s="2364"/>
      <c r="G1468" s="2332"/>
      <c r="H1468" s="2332"/>
      <c r="I1468" s="2332"/>
      <c r="J1468" s="2332"/>
      <c r="K1468" s="2333">
        <f t="shared" si="310"/>
        <v>0</v>
      </c>
      <c r="L1468" s="2364"/>
      <c r="M1468" s="2364"/>
    </row>
    <row r="1469" spans="1:13" x14ac:dyDescent="0.2">
      <c r="B1469" s="2330" t="s">
        <v>6974</v>
      </c>
      <c r="C1469" s="2364"/>
      <c r="D1469" s="2364"/>
      <c r="E1469" s="2364"/>
      <c r="G1469" s="2332"/>
      <c r="H1469" s="2332"/>
      <c r="I1469" s="2332"/>
      <c r="J1469" s="2332"/>
      <c r="K1469" s="2333">
        <f t="shared" si="310"/>
        <v>0</v>
      </c>
      <c r="L1469" s="2364"/>
      <c r="M1469" s="2364"/>
    </row>
    <row r="1470" spans="1:13" x14ac:dyDescent="0.2">
      <c r="A1470" s="2353">
        <v>4204</v>
      </c>
      <c r="B1470" s="2258" t="s">
        <v>6976</v>
      </c>
      <c r="C1470" s="2364">
        <v>0</v>
      </c>
      <c r="D1470" s="2332">
        <v>3260</v>
      </c>
      <c r="E1470" s="2332">
        <v>3260</v>
      </c>
      <c r="F1470" s="2332">
        <v>0</v>
      </c>
      <c r="G1470" s="2332">
        <f>F1470/$F$11*$G$11</f>
        <v>0</v>
      </c>
      <c r="H1470" s="2332"/>
      <c r="I1470" s="2332">
        <f>ROUND(E1470*1.08,0)</f>
        <v>3521</v>
      </c>
      <c r="J1470" s="2332">
        <f>[5]Sheet1!$K$843</f>
        <v>1202.18</v>
      </c>
      <c r="K1470" s="2333">
        <f t="shared" si="310"/>
        <v>1202.18</v>
      </c>
      <c r="L1470" s="2332">
        <f>ROUND(I1470*1.08,0)</f>
        <v>3803</v>
      </c>
      <c r="M1470" s="2332">
        <f>ROUND(L1470*1.08,0)</f>
        <v>4107</v>
      </c>
    </row>
    <row r="1471" spans="1:13" x14ac:dyDescent="0.2">
      <c r="A1471" s="2353">
        <v>4209</v>
      </c>
      <c r="B1471" s="2258" t="s">
        <v>6449</v>
      </c>
      <c r="C1471" s="2364">
        <v>158</v>
      </c>
      <c r="D1471" s="2332">
        <v>0</v>
      </c>
      <c r="E1471" s="2332">
        <v>0</v>
      </c>
      <c r="F1471" s="2332">
        <v>0</v>
      </c>
      <c r="G1471" s="2332">
        <f>F1471/$F$11*$G$11</f>
        <v>0</v>
      </c>
      <c r="H1471" s="2332"/>
      <c r="I1471" s="2332">
        <v>0</v>
      </c>
      <c r="J1471" s="2332">
        <v>0</v>
      </c>
      <c r="K1471" s="2333">
        <f t="shared" si="310"/>
        <v>0</v>
      </c>
      <c r="L1471" s="2332">
        <f>ROUND(D1471*1.05,0)</f>
        <v>0</v>
      </c>
      <c r="M1471" s="2332">
        <f>ROUND(L1471*1.05,0)</f>
        <v>0</v>
      </c>
    </row>
    <row r="1472" spans="1:13" x14ac:dyDescent="0.2">
      <c r="A1472" s="2353">
        <v>4207</v>
      </c>
      <c r="B1472" s="2334" t="s">
        <v>6977</v>
      </c>
      <c r="C1472" s="2397">
        <v>0</v>
      </c>
      <c r="D1472" s="2335">
        <v>5167</v>
      </c>
      <c r="E1472" s="2335">
        <v>5167</v>
      </c>
      <c r="F1472" s="2335">
        <v>0</v>
      </c>
      <c r="G1472" s="2335">
        <f>F1472/$F$11*$G$11</f>
        <v>0</v>
      </c>
      <c r="H1472" s="2335"/>
      <c r="I1472" s="2335">
        <f>ROUND(E1472*1.08,0)</f>
        <v>5580</v>
      </c>
      <c r="J1472" s="2335">
        <f>[5]Sheet1!$K$844</f>
        <v>1904.47</v>
      </c>
      <c r="K1472" s="2336">
        <f t="shared" si="310"/>
        <v>1904.47</v>
      </c>
      <c r="L1472" s="2335">
        <f>ROUND(I1472*1.08,0)</f>
        <v>6026</v>
      </c>
      <c r="M1472" s="2335">
        <f>ROUND(L1472*1.08,0)</f>
        <v>6508</v>
      </c>
    </row>
    <row r="1473" spans="1:13" x14ac:dyDescent="0.2">
      <c r="B1473" s="2330" t="s">
        <v>6979</v>
      </c>
      <c r="C1473" s="2349">
        <f t="shared" ref="C1473:M1473" si="320">SUM(C1470:C1472)</f>
        <v>158</v>
      </c>
      <c r="D1473" s="2349">
        <f t="shared" si="320"/>
        <v>8427</v>
      </c>
      <c r="E1473" s="2349">
        <f t="shared" si="320"/>
        <v>8427</v>
      </c>
      <c r="F1473" s="2349">
        <f t="shared" si="320"/>
        <v>0</v>
      </c>
      <c r="G1473" s="2349">
        <f t="shared" si="320"/>
        <v>0</v>
      </c>
      <c r="H1473" s="2349"/>
      <c r="I1473" s="2349">
        <f t="shared" si="320"/>
        <v>9101</v>
      </c>
      <c r="J1473" s="2349">
        <f>J1470+J1472</f>
        <v>3106.65</v>
      </c>
      <c r="K1473" s="2333">
        <f t="shared" si="310"/>
        <v>3106.65</v>
      </c>
      <c r="L1473" s="2349">
        <f t="shared" si="320"/>
        <v>9829</v>
      </c>
      <c r="M1473" s="2349">
        <f t="shared" si="320"/>
        <v>10615</v>
      </c>
    </row>
    <row r="1474" spans="1:13" x14ac:dyDescent="0.2">
      <c r="B1474" s="2330"/>
      <c r="C1474" s="2364"/>
      <c r="D1474" s="2364"/>
      <c r="E1474" s="2364"/>
      <c r="F1474" s="2309"/>
      <c r="G1474" s="2332"/>
      <c r="H1474" s="2332"/>
      <c r="I1474" s="2332"/>
      <c r="J1474" s="2332">
        <f>J1473-[5]Sheet1!$K$845</f>
        <v>0</v>
      </c>
      <c r="K1474" s="2333">
        <f t="shared" si="310"/>
        <v>0</v>
      </c>
      <c r="L1474" s="2364"/>
      <c r="M1474" s="2364"/>
    </row>
    <row r="1475" spans="1:13" ht="13.5" thickBot="1" x14ac:dyDescent="0.25">
      <c r="B1475" s="2342" t="s">
        <v>6980</v>
      </c>
      <c r="C1475" s="2354">
        <f t="shared" ref="C1475:M1475" si="321">C1467+C1473</f>
        <v>98591</v>
      </c>
      <c r="D1475" s="2354">
        <f t="shared" si="321"/>
        <v>271606</v>
      </c>
      <c r="E1475" s="2354">
        <f t="shared" si="321"/>
        <v>271606</v>
      </c>
      <c r="F1475" s="2354">
        <f t="shared" si="321"/>
        <v>109506</v>
      </c>
      <c r="G1475" s="2354">
        <f t="shared" si="321"/>
        <v>131407.20000000001</v>
      </c>
      <c r="H1475" s="2354"/>
      <c r="I1475" s="2354">
        <f t="shared" si="321"/>
        <v>272372</v>
      </c>
      <c r="J1475" s="2354">
        <f>J1467+J1473</f>
        <v>182288.35</v>
      </c>
      <c r="K1475" s="2344">
        <f t="shared" si="310"/>
        <v>182288.35</v>
      </c>
      <c r="L1475" s="2354">
        <f t="shared" si="321"/>
        <v>293368</v>
      </c>
      <c r="M1475" s="2354">
        <f t="shared" si="321"/>
        <v>315998</v>
      </c>
    </row>
    <row r="1476" spans="1:13" ht="13.5" thickTop="1" x14ac:dyDescent="0.2">
      <c r="B1476" s="2330"/>
      <c r="C1476" s="2349"/>
      <c r="D1476" s="2349"/>
      <c r="E1476" s="2349"/>
      <c r="F1476" s="2349"/>
      <c r="G1476" s="2349"/>
      <c r="H1476" s="2349"/>
      <c r="I1476" s="2349"/>
      <c r="J1476" s="2349"/>
      <c r="K1476" s="2333">
        <f t="shared" si="310"/>
        <v>0</v>
      </c>
      <c r="L1476" s="2349"/>
      <c r="M1476" s="2349"/>
    </row>
    <row r="1477" spans="1:13" ht="13.5" thickBot="1" x14ac:dyDescent="0.25">
      <c r="B1477" s="2342" t="s">
        <v>6624</v>
      </c>
      <c r="C1477" s="2355">
        <f t="shared" ref="C1477:M1477" si="322">C1435-C1475</f>
        <v>-82747</v>
      </c>
      <c r="D1477" s="2355">
        <f t="shared" si="322"/>
        <v>-248598</v>
      </c>
      <c r="E1477" s="2355">
        <f t="shared" si="322"/>
        <v>-248598</v>
      </c>
      <c r="F1477" s="2355">
        <f t="shared" si="322"/>
        <v>-102610</v>
      </c>
      <c r="G1477" s="2355">
        <f t="shared" si="322"/>
        <v>-123132.00000000001</v>
      </c>
      <c r="H1477" s="2355"/>
      <c r="I1477" s="2355">
        <f t="shared" si="322"/>
        <v>-263269</v>
      </c>
      <c r="J1477" s="2355">
        <f>J1435-J1475</f>
        <v>-182244.35</v>
      </c>
      <c r="K1477" s="2344">
        <f t="shared" si="310"/>
        <v>-182244.35</v>
      </c>
      <c r="L1477" s="2355">
        <f t="shared" si="322"/>
        <v>-283719</v>
      </c>
      <c r="M1477" s="2355">
        <f t="shared" si="322"/>
        <v>-305770</v>
      </c>
    </row>
    <row r="1478" spans="1:13" ht="13.5" thickTop="1" x14ac:dyDescent="0.2">
      <c r="B1478" s="2330"/>
      <c r="C1478" s="2356"/>
      <c r="D1478" s="2356"/>
      <c r="E1478" s="2356"/>
      <c r="G1478" s="2332"/>
      <c r="H1478" s="2332"/>
      <c r="I1478" s="2332"/>
      <c r="J1478" s="2332"/>
      <c r="K1478" s="2333">
        <f t="shared" si="310"/>
        <v>0</v>
      </c>
      <c r="L1478" s="2356"/>
      <c r="M1478" s="2356"/>
    </row>
    <row r="1479" spans="1:13" x14ac:dyDescent="0.2">
      <c r="A1479" s="2369"/>
      <c r="B1479" s="2369"/>
      <c r="C1479" s="2369"/>
      <c r="D1479" s="2369"/>
      <c r="E1479" s="2369"/>
      <c r="G1479" s="2332"/>
      <c r="H1479" s="2332"/>
      <c r="I1479" s="2332"/>
      <c r="J1479" s="2332"/>
      <c r="K1479" s="2333">
        <f t="shared" si="310"/>
        <v>0</v>
      </c>
      <c r="L1479" s="2369"/>
      <c r="M1479" s="2369"/>
    </row>
    <row r="1480" spans="1:13" ht="15.75" x14ac:dyDescent="0.25">
      <c r="A1480" s="2374">
        <v>1700</v>
      </c>
      <c r="B1480" s="2429" t="s">
        <v>7191</v>
      </c>
      <c r="C1480" s="2326"/>
      <c r="D1480" s="2326"/>
      <c r="E1480" s="2326"/>
      <c r="G1480" s="2332"/>
      <c r="H1480" s="2332"/>
      <c r="I1480" s="2332"/>
      <c r="J1480" s="2332"/>
      <c r="K1480" s="2333">
        <f t="shared" si="310"/>
        <v>0</v>
      </c>
    </row>
    <row r="1481" spans="1:13" ht="15" x14ac:dyDescent="0.25">
      <c r="A1481" s="2365">
        <v>1710</v>
      </c>
      <c r="B1481" s="2326" t="s">
        <v>7192</v>
      </c>
      <c r="C1481" s="2326"/>
      <c r="D1481" s="2326"/>
      <c r="E1481" s="2326"/>
      <c r="G1481" s="2332"/>
      <c r="H1481" s="2332"/>
      <c r="I1481" s="2332"/>
      <c r="J1481" s="2332"/>
      <c r="K1481" s="2333">
        <f t="shared" si="310"/>
        <v>0</v>
      </c>
    </row>
    <row r="1482" spans="1:13" x14ac:dyDescent="0.2">
      <c r="B1482" s="2346"/>
      <c r="C1482" s="2346"/>
      <c r="D1482" s="2346"/>
      <c r="E1482" s="2346"/>
      <c r="G1482" s="2332"/>
      <c r="H1482" s="2332"/>
      <c r="I1482" s="2332"/>
      <c r="J1482" s="2332"/>
      <c r="K1482" s="2333">
        <f t="shared" si="310"/>
        <v>0</v>
      </c>
      <c r="L1482" s="2346"/>
      <c r="M1482" s="2346"/>
    </row>
    <row r="1483" spans="1:13" x14ac:dyDescent="0.2">
      <c r="A1483" s="2353"/>
      <c r="B1483" s="2330" t="s">
        <v>247</v>
      </c>
      <c r="C1483" s="2258"/>
      <c r="D1483" s="2258"/>
      <c r="E1483" s="2258"/>
      <c r="F1483" s="2309"/>
      <c r="G1483" s="2332"/>
      <c r="H1483" s="2332"/>
      <c r="I1483" s="2332"/>
      <c r="J1483" s="2332"/>
      <c r="K1483" s="2333">
        <f t="shared" si="310"/>
        <v>0</v>
      </c>
      <c r="L1483" s="2258"/>
      <c r="M1483" s="2258"/>
    </row>
    <row r="1484" spans="1:13" x14ac:dyDescent="0.2">
      <c r="A1484" s="2353"/>
      <c r="B1484" s="2258"/>
      <c r="C1484" s="2258"/>
      <c r="D1484" s="2258"/>
      <c r="E1484" s="2258"/>
      <c r="F1484" s="2309"/>
      <c r="G1484" s="2332"/>
      <c r="H1484" s="2332"/>
      <c r="I1484" s="2332"/>
      <c r="J1484" s="2332"/>
      <c r="K1484" s="2333">
        <f t="shared" si="310"/>
        <v>0</v>
      </c>
      <c r="L1484" s="2258"/>
      <c r="M1484" s="2258"/>
    </row>
    <row r="1485" spans="1:13" x14ac:dyDescent="0.2">
      <c r="A1485" s="2353"/>
      <c r="B1485" s="2330" t="s">
        <v>1637</v>
      </c>
      <c r="C1485" s="2258"/>
      <c r="D1485" s="2258"/>
      <c r="E1485" s="2258"/>
      <c r="F1485" s="2309"/>
      <c r="G1485" s="2332"/>
      <c r="H1485" s="2332"/>
      <c r="I1485" s="2332"/>
      <c r="J1485" s="2332"/>
      <c r="K1485" s="2333">
        <f t="shared" si="310"/>
        <v>0</v>
      </c>
      <c r="L1485" s="2258"/>
      <c r="M1485" s="2258"/>
    </row>
    <row r="1486" spans="1:13" x14ac:dyDescent="0.2">
      <c r="A1486" s="2353">
        <v>5556</v>
      </c>
      <c r="B1486" s="2258" t="s">
        <v>4615</v>
      </c>
      <c r="C1486" s="2332">
        <v>19350</v>
      </c>
      <c r="D1486" s="2332">
        <v>0</v>
      </c>
      <c r="E1486" s="2332">
        <v>0</v>
      </c>
      <c r="F1486" s="2332">
        <v>0</v>
      </c>
      <c r="G1486" s="2332">
        <v>0</v>
      </c>
      <c r="H1486" s="2332"/>
      <c r="I1486" s="2332">
        <v>0</v>
      </c>
      <c r="J1486" s="2332"/>
      <c r="K1486" s="2333">
        <f t="shared" si="310"/>
        <v>0</v>
      </c>
      <c r="L1486" s="2332">
        <v>0</v>
      </c>
      <c r="M1486" s="2332">
        <v>0</v>
      </c>
    </row>
    <row r="1487" spans="1:13" x14ac:dyDescent="0.2">
      <c r="A1487" s="2353">
        <v>5807</v>
      </c>
      <c r="B1487" s="2334" t="s">
        <v>1252</v>
      </c>
      <c r="C1487" s="2335">
        <v>0</v>
      </c>
      <c r="D1487" s="2335">
        <v>0</v>
      </c>
      <c r="E1487" s="2335">
        <v>0</v>
      </c>
      <c r="F1487" s="2335">
        <v>0</v>
      </c>
      <c r="G1487" s="2335">
        <f>F1487/$F$11*$G$11</f>
        <v>0</v>
      </c>
      <c r="H1487" s="2335"/>
      <c r="I1487" s="2335">
        <v>0</v>
      </c>
      <c r="J1487" s="2335">
        <f>-[5]Sheet1!$K$926</f>
        <v>10121.049999999999</v>
      </c>
      <c r="K1487" s="2336">
        <f t="shared" si="310"/>
        <v>10121.049999999999</v>
      </c>
      <c r="L1487" s="2335">
        <f>ROUND(D1487*1.05,0)</f>
        <v>0</v>
      </c>
      <c r="M1487" s="2335">
        <f>ROUND(L1487*1.05,0)</f>
        <v>0</v>
      </c>
    </row>
    <row r="1488" spans="1:13" x14ac:dyDescent="0.2">
      <c r="B1488" s="2330" t="s">
        <v>6670</v>
      </c>
      <c r="C1488" s="2376">
        <f t="shared" ref="C1488:L1488" si="323">SUM(C1486:C1487)</f>
        <v>19350</v>
      </c>
      <c r="D1488" s="2376">
        <f t="shared" si="323"/>
        <v>0</v>
      </c>
      <c r="E1488" s="2376">
        <f t="shared" si="323"/>
        <v>0</v>
      </c>
      <c r="F1488" s="2376">
        <f t="shared" si="323"/>
        <v>0</v>
      </c>
      <c r="G1488" s="2376">
        <f t="shared" si="323"/>
        <v>0</v>
      </c>
      <c r="H1488" s="2376"/>
      <c r="I1488" s="2376">
        <f t="shared" si="323"/>
        <v>0</v>
      </c>
      <c r="J1488" s="2376">
        <f>J1487</f>
        <v>10121.049999999999</v>
      </c>
      <c r="K1488" s="2333">
        <f t="shared" si="310"/>
        <v>10121.049999999999</v>
      </c>
      <c r="L1488" s="2376">
        <f t="shared" si="323"/>
        <v>0</v>
      </c>
      <c r="M1488" s="2376">
        <f>SUM(M1487:M1487)</f>
        <v>0</v>
      </c>
    </row>
    <row r="1489" spans="1:13" x14ac:dyDescent="0.2">
      <c r="B1489" s="2330"/>
      <c r="C1489" s="2375"/>
      <c r="D1489" s="2375"/>
      <c r="E1489" s="2375"/>
      <c r="F1489" s="2375"/>
      <c r="G1489" s="2375"/>
      <c r="H1489" s="2375"/>
      <c r="I1489" s="2375"/>
      <c r="J1489" s="2375"/>
      <c r="K1489" s="2333">
        <f t="shared" si="310"/>
        <v>0</v>
      </c>
      <c r="L1489" s="2375"/>
      <c r="M1489" s="2375"/>
    </row>
    <row r="1490" spans="1:13" ht="13.5" thickBot="1" x14ac:dyDescent="0.25">
      <c r="A1490" s="2353"/>
      <c r="B1490" s="2342" t="s">
        <v>6751</v>
      </c>
      <c r="C1490" s="2343">
        <f t="shared" ref="C1490:M1490" si="324">+C1488</f>
        <v>19350</v>
      </c>
      <c r="D1490" s="2343">
        <f t="shared" si="324"/>
        <v>0</v>
      </c>
      <c r="E1490" s="2343">
        <f t="shared" si="324"/>
        <v>0</v>
      </c>
      <c r="F1490" s="2343">
        <f t="shared" si="324"/>
        <v>0</v>
      </c>
      <c r="G1490" s="2343">
        <f t="shared" si="324"/>
        <v>0</v>
      </c>
      <c r="H1490" s="2343"/>
      <c r="I1490" s="2343">
        <f t="shared" si="324"/>
        <v>0</v>
      </c>
      <c r="J1490" s="2343">
        <f>J1488</f>
        <v>10121.049999999999</v>
      </c>
      <c r="K1490" s="2344">
        <f t="shared" si="310"/>
        <v>10121.049999999999</v>
      </c>
      <c r="L1490" s="2343">
        <f t="shared" si="324"/>
        <v>0</v>
      </c>
      <c r="M1490" s="2343">
        <f t="shared" si="324"/>
        <v>0</v>
      </c>
    </row>
    <row r="1491" spans="1:13" ht="13.5" thickTop="1" x14ac:dyDescent="0.2">
      <c r="A1491" s="2353"/>
      <c r="B1491" s="2258"/>
      <c r="C1491" s="2258"/>
      <c r="D1491" s="2258"/>
      <c r="E1491" s="2258"/>
      <c r="F1491" s="2309"/>
      <c r="G1491" s="2332"/>
      <c r="H1491" s="2332"/>
      <c r="I1491" s="2332"/>
      <c r="J1491" s="2332">
        <f>J1490+[5]Sheet1!$K$926</f>
        <v>0</v>
      </c>
      <c r="K1491" s="2333">
        <f t="shared" si="310"/>
        <v>0</v>
      </c>
      <c r="L1491" s="2258"/>
      <c r="M1491" s="2258"/>
    </row>
    <row r="1492" spans="1:13" x14ac:dyDescent="0.2">
      <c r="B1492" s="2328" t="s">
        <v>235</v>
      </c>
      <c r="C1492" s="2328"/>
      <c r="D1492" s="2328"/>
      <c r="E1492" s="2328"/>
      <c r="G1492" s="2332"/>
      <c r="H1492" s="2332"/>
      <c r="I1492" s="2332"/>
      <c r="J1492" s="2332"/>
      <c r="K1492" s="2333">
        <f t="shared" si="310"/>
        <v>0</v>
      </c>
      <c r="L1492" s="2328"/>
      <c r="M1492" s="2328"/>
    </row>
    <row r="1493" spans="1:13" x14ac:dyDescent="0.2">
      <c r="B1493" s="2328"/>
      <c r="C1493" s="2328"/>
      <c r="D1493" s="2328"/>
      <c r="E1493" s="2328"/>
      <c r="G1493" s="2332"/>
      <c r="H1493" s="2332"/>
      <c r="I1493" s="2332"/>
      <c r="J1493" s="2332"/>
      <c r="K1493" s="2333">
        <f t="shared" ref="K1493:K1556" si="325">J1493</f>
        <v>0</v>
      </c>
      <c r="L1493" s="2328"/>
      <c r="M1493" s="2328"/>
    </row>
    <row r="1494" spans="1:13" x14ac:dyDescent="0.2">
      <c r="B1494" s="2330" t="s">
        <v>387</v>
      </c>
      <c r="C1494" s="2332"/>
      <c r="D1494" s="2332"/>
      <c r="E1494" s="2332"/>
      <c r="G1494" s="2332"/>
      <c r="H1494" s="2332"/>
      <c r="I1494" s="2332"/>
      <c r="J1494" s="2332"/>
      <c r="K1494" s="2333">
        <f t="shared" si="325"/>
        <v>0</v>
      </c>
      <c r="L1494" s="2332"/>
      <c r="M1494" s="2332"/>
    </row>
    <row r="1495" spans="1:13" x14ac:dyDescent="0.2">
      <c r="A1495" s="2353">
        <v>1001</v>
      </c>
      <c r="B1495" s="2258" t="s">
        <v>6943</v>
      </c>
      <c r="C1495" s="2332">
        <v>452486</v>
      </c>
      <c r="D1495" s="2332">
        <v>1100303</v>
      </c>
      <c r="E1495" s="2332">
        <v>1046805</v>
      </c>
      <c r="F1495" s="2332">
        <v>498893</v>
      </c>
      <c r="G1495" s="2332">
        <f t="shared" ref="G1495:G1508" si="326">F1495/$F$11*$G$11</f>
        <v>598671.60000000009</v>
      </c>
      <c r="H1495" s="2332"/>
      <c r="I1495" s="2332">
        <f>[6]Salary_Bdgt!$H$305</f>
        <v>1548419</v>
      </c>
      <c r="J1495" s="2332">
        <f>[5]Sheet1!$K$937</f>
        <v>896274.00999999989</v>
      </c>
      <c r="K1495" s="2333">
        <f t="shared" si="325"/>
        <v>896274.00999999989</v>
      </c>
      <c r="L1495" s="2332">
        <f t="shared" ref="L1495:L1508" si="327">ROUND(I1495*1.08,0)</f>
        <v>1672293</v>
      </c>
      <c r="M1495" s="2332">
        <f t="shared" ref="M1495:M1508" si="328">ROUND(L1495*1.08,0)</f>
        <v>1806076</v>
      </c>
    </row>
    <row r="1496" spans="1:13" x14ac:dyDescent="0.2">
      <c r="A1496" s="2353">
        <v>1005</v>
      </c>
      <c r="B1496" s="2258" t="s">
        <v>6944</v>
      </c>
      <c r="C1496" s="2332">
        <v>46315</v>
      </c>
      <c r="D1496" s="2332">
        <v>54672</v>
      </c>
      <c r="E1496" s="2332">
        <f>+D1496</f>
        <v>54672</v>
      </c>
      <c r="F1496" s="2332">
        <v>43095</v>
      </c>
      <c r="G1496" s="2332">
        <f t="shared" si="326"/>
        <v>51714</v>
      </c>
      <c r="H1496" s="2332"/>
      <c r="I1496" s="2332">
        <f>+[6]Salary_Bdgt!$L$305</f>
        <v>75622</v>
      </c>
      <c r="J1496" s="2332">
        <f>[5]Sheet1!$K$947</f>
        <v>64901.599999999991</v>
      </c>
      <c r="K1496" s="2333">
        <f t="shared" si="325"/>
        <v>64901.599999999991</v>
      </c>
      <c r="L1496" s="2332">
        <f t="shared" si="327"/>
        <v>81672</v>
      </c>
      <c r="M1496" s="2332">
        <f t="shared" si="328"/>
        <v>88206</v>
      </c>
    </row>
    <row r="1497" spans="1:13" x14ac:dyDescent="0.2">
      <c r="A1497" s="2353">
        <v>1006</v>
      </c>
      <c r="B1497" s="2258" t="s">
        <v>6945</v>
      </c>
      <c r="C1497" s="2332">
        <v>84074</v>
      </c>
      <c r="D1497" s="2332">
        <v>37680</v>
      </c>
      <c r="E1497" s="2332">
        <f>+D1497+53498</f>
        <v>91178</v>
      </c>
      <c r="F1497" s="2332">
        <v>93356</v>
      </c>
      <c r="G1497" s="2332">
        <f t="shared" si="326"/>
        <v>112027.20000000001</v>
      </c>
      <c r="H1497" s="2332"/>
      <c r="I1497" s="2332">
        <f>+[6]Salary_Bdgt!$N$305</f>
        <v>281021</v>
      </c>
      <c r="J1497" s="2332">
        <f>[5]Sheet1!$K$948</f>
        <v>145793.60000000001</v>
      </c>
      <c r="K1497" s="2333">
        <f t="shared" si="325"/>
        <v>145793.60000000001</v>
      </c>
      <c r="L1497" s="2332">
        <f t="shared" si="327"/>
        <v>303503</v>
      </c>
      <c r="M1497" s="2332">
        <f t="shared" si="328"/>
        <v>327783</v>
      </c>
    </row>
    <row r="1498" spans="1:13" x14ac:dyDescent="0.2">
      <c r="A1498" s="2329">
        <v>1007</v>
      </c>
      <c r="B1498" s="2258" t="s">
        <v>6410</v>
      </c>
      <c r="C1498" s="2332">
        <v>5415</v>
      </c>
      <c r="D1498" s="2332">
        <v>21064</v>
      </c>
      <c r="E1498" s="2332">
        <f t="shared" ref="E1498:E1505" si="329">+D1498</f>
        <v>21064</v>
      </c>
      <c r="F1498" s="2332">
        <v>5895</v>
      </c>
      <c r="G1498" s="2332">
        <f t="shared" si="326"/>
        <v>7074</v>
      </c>
      <c r="H1498" s="2332"/>
      <c r="I1498" s="2332">
        <f>+[6]Salary_Bdgt!$I$305</f>
        <v>28240</v>
      </c>
      <c r="J1498" s="2332">
        <f>[5]Sheet1!$K$949</f>
        <v>9894.18</v>
      </c>
      <c r="K1498" s="2333">
        <f t="shared" si="325"/>
        <v>9894.18</v>
      </c>
      <c r="L1498" s="2332">
        <f t="shared" si="327"/>
        <v>30499</v>
      </c>
      <c r="M1498" s="2332">
        <f t="shared" si="328"/>
        <v>32939</v>
      </c>
    </row>
    <row r="1499" spans="1:13" x14ac:dyDescent="0.2">
      <c r="A1499" s="2353">
        <v>1009</v>
      </c>
      <c r="B1499" s="2258" t="s">
        <v>6408</v>
      </c>
      <c r="C1499" s="2332">
        <v>352</v>
      </c>
      <c r="D1499" s="2332">
        <f>[7]Sal_RIA!$M$240</f>
        <v>768</v>
      </c>
      <c r="E1499" s="2332">
        <f t="shared" si="329"/>
        <v>768</v>
      </c>
      <c r="F1499" s="2332">
        <v>364</v>
      </c>
      <c r="G1499" s="2332">
        <f t="shared" si="326"/>
        <v>436.79999999999995</v>
      </c>
      <c r="H1499" s="2332"/>
      <c r="I1499" s="2332">
        <f>+[6]Salary_Bdgt!$M$305</f>
        <v>990</v>
      </c>
      <c r="J1499" s="2332">
        <f>[5]Sheet1!$K$944</f>
        <v>647.79999999999995</v>
      </c>
      <c r="K1499" s="2333">
        <f t="shared" si="325"/>
        <v>647.79999999999995</v>
      </c>
      <c r="L1499" s="2332">
        <f t="shared" si="327"/>
        <v>1069</v>
      </c>
      <c r="M1499" s="2332">
        <f t="shared" si="328"/>
        <v>1155</v>
      </c>
    </row>
    <row r="1500" spans="1:13" x14ac:dyDescent="0.2">
      <c r="A1500" s="2353">
        <v>1010</v>
      </c>
      <c r="B1500" s="2258" t="s">
        <v>6946</v>
      </c>
      <c r="C1500" s="2332">
        <v>37720</v>
      </c>
      <c r="D1500" s="2332">
        <v>91692</v>
      </c>
      <c r="E1500" s="2332">
        <f t="shared" si="329"/>
        <v>91692</v>
      </c>
      <c r="F1500" s="2332">
        <v>43200</v>
      </c>
      <c r="G1500" s="2332">
        <f t="shared" si="326"/>
        <v>51840</v>
      </c>
      <c r="H1500" s="2332"/>
      <c r="I1500" s="2332">
        <f>+[6]Salary_Bdgt!$Q$305</f>
        <v>129035</v>
      </c>
      <c r="J1500" s="2332">
        <f>[5]Sheet1!$K$938</f>
        <v>47978.8</v>
      </c>
      <c r="K1500" s="2333">
        <f t="shared" si="325"/>
        <v>47978.8</v>
      </c>
      <c r="L1500" s="2332">
        <f t="shared" si="327"/>
        <v>139358</v>
      </c>
      <c r="M1500" s="2332">
        <f t="shared" si="328"/>
        <v>150507</v>
      </c>
    </row>
    <row r="1501" spans="1:13" x14ac:dyDescent="0.2">
      <c r="A1501" s="2353">
        <v>1011</v>
      </c>
      <c r="B1501" s="2258" t="s">
        <v>6947</v>
      </c>
      <c r="C1501" s="2332">
        <v>4400</v>
      </c>
      <c r="D1501" s="2332">
        <v>0</v>
      </c>
      <c r="E1501" s="2332">
        <f t="shared" si="329"/>
        <v>0</v>
      </c>
      <c r="F1501" s="2332">
        <v>0</v>
      </c>
      <c r="G1501" s="2332">
        <f t="shared" si="326"/>
        <v>0</v>
      </c>
      <c r="H1501" s="2332"/>
      <c r="I1501" s="2332">
        <f>+[6]Salary_Bdgt!$U$305</f>
        <v>0</v>
      </c>
      <c r="J1501" s="2332">
        <v>0</v>
      </c>
      <c r="K1501" s="2333">
        <f t="shared" si="325"/>
        <v>0</v>
      </c>
      <c r="L1501" s="2332">
        <f t="shared" si="327"/>
        <v>0</v>
      </c>
      <c r="M1501" s="2332">
        <f t="shared" si="328"/>
        <v>0</v>
      </c>
    </row>
    <row r="1502" spans="1:13" x14ac:dyDescent="0.2">
      <c r="A1502" s="2353">
        <v>1014</v>
      </c>
      <c r="B1502" s="2258" t="s">
        <v>6632</v>
      </c>
      <c r="C1502" s="2332">
        <v>11374</v>
      </c>
      <c r="D1502" s="2332">
        <f>[7]Sal_RIA!$S$240</f>
        <v>8012</v>
      </c>
      <c r="E1502" s="2332">
        <f t="shared" si="329"/>
        <v>8012</v>
      </c>
      <c r="F1502" s="2332">
        <v>6850</v>
      </c>
      <c r="G1502" s="2332">
        <f t="shared" si="326"/>
        <v>8220</v>
      </c>
      <c r="H1502" s="2332"/>
      <c r="I1502" s="2332">
        <f>+[6]Salary_Bdgt!$S$305</f>
        <v>2580</v>
      </c>
      <c r="J1502" s="2332">
        <f>[5]Sheet1!$K$940</f>
        <v>7027.16</v>
      </c>
      <c r="K1502" s="2333">
        <f t="shared" si="325"/>
        <v>7027.16</v>
      </c>
      <c r="L1502" s="2332">
        <f t="shared" si="327"/>
        <v>2786</v>
      </c>
      <c r="M1502" s="2332">
        <f t="shared" si="328"/>
        <v>3009</v>
      </c>
    </row>
    <row r="1503" spans="1:13" x14ac:dyDescent="0.2">
      <c r="A1503" s="2353">
        <v>1015</v>
      </c>
      <c r="B1503" s="2258" t="s">
        <v>6948</v>
      </c>
      <c r="C1503" s="2332">
        <v>43076</v>
      </c>
      <c r="D1503" s="2332">
        <v>119045</v>
      </c>
      <c r="E1503" s="2332">
        <f t="shared" si="329"/>
        <v>119045</v>
      </c>
      <c r="F1503" s="2332">
        <v>41725</v>
      </c>
      <c r="G1503" s="2332">
        <f t="shared" si="326"/>
        <v>50070</v>
      </c>
      <c r="H1503" s="2332"/>
      <c r="I1503" s="2332">
        <f>+[6]Salary_Bdgt!$O$305+[6]Salary_Bdgt!$P$305+[6]Salary_Bdgt!$W$305</f>
        <v>34310</v>
      </c>
      <c r="J1503" s="2332">
        <f>[5]Sheet1!$K$941</f>
        <v>92538.18</v>
      </c>
      <c r="K1503" s="2333">
        <f t="shared" si="325"/>
        <v>92538.18</v>
      </c>
      <c r="L1503" s="2332">
        <f t="shared" si="327"/>
        <v>37055</v>
      </c>
      <c r="M1503" s="2332">
        <f t="shared" si="328"/>
        <v>40019</v>
      </c>
    </row>
    <row r="1504" spans="1:13" x14ac:dyDescent="0.2">
      <c r="A1504" s="2353">
        <v>1016</v>
      </c>
      <c r="B1504" s="2258" t="s">
        <v>6949</v>
      </c>
      <c r="C1504" s="2332">
        <v>0</v>
      </c>
      <c r="D1504" s="2332">
        <v>12133</v>
      </c>
      <c r="E1504" s="2332">
        <f t="shared" si="329"/>
        <v>12133</v>
      </c>
      <c r="F1504" s="2332">
        <f>10222+400</f>
        <v>10622</v>
      </c>
      <c r="G1504" s="2332">
        <f t="shared" si="326"/>
        <v>12746.400000000001</v>
      </c>
      <c r="H1504" s="2332"/>
      <c r="I1504" s="2332">
        <f>+[6]Salary_Bdgt!$T$305+[6]Salary_Bdgt!$V$305</f>
        <v>56051</v>
      </c>
      <c r="J1504" s="2332">
        <f>[5]Sheet1!$K$942</f>
        <v>19126.990000000002</v>
      </c>
      <c r="K1504" s="2333">
        <f t="shared" si="325"/>
        <v>19126.990000000002</v>
      </c>
      <c r="L1504" s="2332">
        <f t="shared" si="327"/>
        <v>60535</v>
      </c>
      <c r="M1504" s="2332">
        <f t="shared" si="328"/>
        <v>65378</v>
      </c>
    </row>
    <row r="1505" spans="1:13" x14ac:dyDescent="0.2">
      <c r="A1505" s="2353">
        <v>1017</v>
      </c>
      <c r="B1505" s="2258" t="s">
        <v>6950</v>
      </c>
      <c r="C1505" s="2332">
        <v>6279</v>
      </c>
      <c r="D1505" s="2332">
        <v>22840</v>
      </c>
      <c r="E1505" s="2332">
        <f t="shared" si="329"/>
        <v>22840</v>
      </c>
      <c r="F1505" s="2332">
        <v>2902</v>
      </c>
      <c r="G1505" s="2332">
        <f t="shared" si="326"/>
        <v>3482.3999999999996</v>
      </c>
      <c r="H1505" s="2332"/>
      <c r="I1505" s="2332">
        <f>+[6]Salary_Bdgt!$J$305</f>
        <v>31383</v>
      </c>
      <c r="J1505" s="2332">
        <f>[5]Sheet1!$K$945</f>
        <v>9860.0400000000009</v>
      </c>
      <c r="K1505" s="2333">
        <f t="shared" si="325"/>
        <v>9860.0400000000009</v>
      </c>
      <c r="L1505" s="2332">
        <f t="shared" si="327"/>
        <v>33894</v>
      </c>
      <c r="M1505" s="2332">
        <f t="shared" si="328"/>
        <v>36606</v>
      </c>
    </row>
    <row r="1506" spans="1:13" x14ac:dyDescent="0.2">
      <c r="A1506" s="2353">
        <v>1046</v>
      </c>
      <c r="B1506" s="2258" t="s">
        <v>6951</v>
      </c>
      <c r="C1506" s="2332">
        <v>0</v>
      </c>
      <c r="D1506" s="2332">
        <v>0</v>
      </c>
      <c r="E1506" s="2332">
        <v>0</v>
      </c>
      <c r="F1506" s="2332">
        <v>0</v>
      </c>
      <c r="G1506" s="2332">
        <f t="shared" si="326"/>
        <v>0</v>
      </c>
      <c r="H1506" s="2332"/>
      <c r="I1506" s="2332">
        <f>+[6]Salary_Bdgt!$R$305</f>
        <v>0</v>
      </c>
      <c r="J1506" s="2332">
        <v>0</v>
      </c>
      <c r="K1506" s="2333">
        <f t="shared" si="325"/>
        <v>0</v>
      </c>
      <c r="L1506" s="2332">
        <f t="shared" si="327"/>
        <v>0</v>
      </c>
      <c r="M1506" s="2332">
        <f t="shared" si="328"/>
        <v>0</v>
      </c>
    </row>
    <row r="1507" spans="1:13" x14ac:dyDescent="0.2">
      <c r="A1507" s="2353">
        <v>1020</v>
      </c>
      <c r="B1507" s="2258" t="s">
        <v>7171</v>
      </c>
      <c r="C1507" s="2332">
        <v>19584</v>
      </c>
      <c r="D1507" s="2332">
        <v>0</v>
      </c>
      <c r="E1507" s="2332">
        <f>+D1507</f>
        <v>0</v>
      </c>
      <c r="F1507" s="2332">
        <v>0</v>
      </c>
      <c r="G1507" s="2332">
        <f t="shared" si="326"/>
        <v>0</v>
      </c>
      <c r="H1507" s="2332"/>
      <c r="I1507" s="2332">
        <f>ROUND(E1507*1.08,0)</f>
        <v>0</v>
      </c>
      <c r="J1507" s="2332">
        <v>0</v>
      </c>
      <c r="K1507" s="2333">
        <f t="shared" si="325"/>
        <v>0</v>
      </c>
      <c r="L1507" s="2332">
        <f t="shared" si="327"/>
        <v>0</v>
      </c>
      <c r="M1507" s="2332">
        <f t="shared" si="328"/>
        <v>0</v>
      </c>
    </row>
    <row r="1508" spans="1:13" x14ac:dyDescent="0.2">
      <c r="A1508" s="2353">
        <v>1182</v>
      </c>
      <c r="B1508" s="2334" t="s">
        <v>6952</v>
      </c>
      <c r="C1508" s="2335">
        <v>4711</v>
      </c>
      <c r="D1508" s="2335">
        <v>21241</v>
      </c>
      <c r="E1508" s="2335">
        <f>+D1508</f>
        <v>21241</v>
      </c>
      <c r="F1508" s="2335">
        <v>0</v>
      </c>
      <c r="G1508" s="2335">
        <f t="shared" si="326"/>
        <v>0</v>
      </c>
      <c r="H1508" s="2335"/>
      <c r="I1508" s="2335">
        <f>+[6]Salary_Bdgt!$K$305</f>
        <v>29187</v>
      </c>
      <c r="J1508" s="2335">
        <f>[5]Sheet1!$K$946</f>
        <v>9958.1</v>
      </c>
      <c r="K1508" s="2336">
        <f t="shared" si="325"/>
        <v>9958.1</v>
      </c>
      <c r="L1508" s="2335">
        <f t="shared" si="327"/>
        <v>31522</v>
      </c>
      <c r="M1508" s="2335">
        <f t="shared" si="328"/>
        <v>34044</v>
      </c>
    </row>
    <row r="1509" spans="1:13" x14ac:dyDescent="0.2">
      <c r="B1509" s="2330" t="s">
        <v>6588</v>
      </c>
      <c r="C1509" s="2349">
        <f t="shared" ref="C1509:M1509" si="330">SUM(C1495:C1508)</f>
        <v>715786</v>
      </c>
      <c r="D1509" s="2349">
        <f t="shared" si="330"/>
        <v>1489450</v>
      </c>
      <c r="E1509" s="2349">
        <f t="shared" si="330"/>
        <v>1489450</v>
      </c>
      <c r="F1509" s="2349">
        <f t="shared" si="330"/>
        <v>746902</v>
      </c>
      <c r="G1509" s="2349">
        <f t="shared" si="330"/>
        <v>896282.40000000014</v>
      </c>
      <c r="H1509" s="2349"/>
      <c r="I1509" s="2349">
        <f t="shared" si="330"/>
        <v>2216838</v>
      </c>
      <c r="J1509" s="2349">
        <f>SUM(J1495:J1508)</f>
        <v>1304000.46</v>
      </c>
      <c r="K1509" s="2333">
        <f t="shared" si="325"/>
        <v>1304000.46</v>
      </c>
      <c r="L1509" s="2349">
        <f t="shared" si="330"/>
        <v>2394186</v>
      </c>
      <c r="M1509" s="2349">
        <f t="shared" si="330"/>
        <v>2585722</v>
      </c>
    </row>
    <row r="1510" spans="1:13" x14ac:dyDescent="0.2">
      <c r="B1510" s="2330"/>
      <c r="C1510" s="2332"/>
      <c r="D1510" s="2332"/>
      <c r="E1510" s="2332"/>
      <c r="F1510" s="2309"/>
      <c r="G1510" s="2332"/>
      <c r="H1510" s="2332"/>
      <c r="I1510" s="2332"/>
      <c r="J1510" s="2332">
        <f>J1509-[5]Sheet1!$K$950</f>
        <v>0</v>
      </c>
      <c r="K1510" s="2333">
        <f t="shared" si="325"/>
        <v>0</v>
      </c>
      <c r="L1510" s="2332"/>
      <c r="M1510" s="2332"/>
    </row>
    <row r="1511" spans="1:13" x14ac:dyDescent="0.2">
      <c r="B1511" s="2330" t="s">
        <v>6953</v>
      </c>
      <c r="C1511" s="2332"/>
      <c r="D1511" s="2332"/>
      <c r="E1511" s="2332"/>
      <c r="G1511" s="2332"/>
      <c r="H1511" s="2332"/>
      <c r="I1511" s="2332"/>
      <c r="J1511" s="2332"/>
      <c r="K1511" s="2333">
        <f t="shared" si="325"/>
        <v>0</v>
      </c>
      <c r="L1511" s="2332"/>
      <c r="M1511" s="2332"/>
    </row>
    <row r="1512" spans="1:13" x14ac:dyDescent="0.2">
      <c r="A1512" s="2329">
        <v>3205</v>
      </c>
      <c r="B1512" s="2258" t="s">
        <v>200</v>
      </c>
      <c r="C1512" s="2332">
        <v>291</v>
      </c>
      <c r="D1512" s="2332">
        <v>10500</v>
      </c>
      <c r="E1512" s="2332">
        <v>10500</v>
      </c>
      <c r="F1512" s="2332">
        <v>0</v>
      </c>
      <c r="G1512" s="2332">
        <f>F1512/$F$11*$G$11</f>
        <v>0</v>
      </c>
      <c r="H1512" s="2332"/>
      <c r="I1512" s="2332">
        <v>0</v>
      </c>
      <c r="J1512" s="2332">
        <v>0</v>
      </c>
      <c r="K1512" s="2333">
        <f t="shared" si="325"/>
        <v>0</v>
      </c>
      <c r="L1512" s="2332">
        <f>ROUND(I1512*1.06,0)</f>
        <v>0</v>
      </c>
      <c r="M1512" s="2332">
        <f>ROUND(L1512*1.06,0)</f>
        <v>0</v>
      </c>
    </row>
    <row r="1513" spans="1:13" x14ac:dyDescent="0.2">
      <c r="A1513" s="2353">
        <v>3206</v>
      </c>
      <c r="B1513" s="2258" t="s">
        <v>7164</v>
      </c>
      <c r="C1513" s="2332">
        <v>30659</v>
      </c>
      <c r="D1513" s="2332">
        <v>21000</v>
      </c>
      <c r="E1513" s="2332">
        <f>21000-2198</f>
        <v>18802</v>
      </c>
      <c r="F1513" s="2332">
        <v>14771</v>
      </c>
      <c r="G1513" s="2332">
        <f>F1513/$F$11*$G$11</f>
        <v>17725.199999999997</v>
      </c>
      <c r="H1513" s="2332"/>
      <c r="I1513" s="2332">
        <v>0</v>
      </c>
      <c r="J1513" s="2332">
        <v>0</v>
      </c>
      <c r="K1513" s="2333">
        <f t="shared" si="325"/>
        <v>0</v>
      </c>
      <c r="L1513" s="2332">
        <f>ROUND(I1513*1.06,0)</f>
        <v>0</v>
      </c>
      <c r="M1513" s="2332">
        <f>ROUND(L1513*1.06,0)</f>
        <v>0</v>
      </c>
    </row>
    <row r="1514" spans="1:13" x14ac:dyDescent="0.2">
      <c r="A1514" s="2353">
        <v>3208</v>
      </c>
      <c r="B1514" s="2258" t="s">
        <v>7172</v>
      </c>
      <c r="C1514" s="2332">
        <v>195</v>
      </c>
      <c r="D1514" s="2332">
        <v>50000</v>
      </c>
      <c r="E1514" s="2332">
        <v>50000</v>
      </c>
      <c r="F1514" s="2332">
        <v>120</v>
      </c>
      <c r="G1514" s="2332">
        <f>F1514/$F$11*$G$11</f>
        <v>144</v>
      </c>
      <c r="H1514" s="2332"/>
      <c r="I1514" s="2332">
        <v>0</v>
      </c>
      <c r="J1514" s="2332">
        <v>0</v>
      </c>
      <c r="K1514" s="2333">
        <f t="shared" si="325"/>
        <v>0</v>
      </c>
      <c r="L1514" s="2332">
        <f>ROUND(I1514*1.06,0)</f>
        <v>0</v>
      </c>
      <c r="M1514" s="2332">
        <f>ROUND(L1514*1.06,0)</f>
        <v>0</v>
      </c>
    </row>
    <row r="1515" spans="1:13" x14ac:dyDescent="0.2">
      <c r="A1515" s="2329">
        <v>3215</v>
      </c>
      <c r="B1515" s="2334" t="s">
        <v>6955</v>
      </c>
      <c r="C1515" s="2335">
        <v>8273</v>
      </c>
      <c r="D1515" s="2335">
        <v>10500</v>
      </c>
      <c r="E1515" s="2335">
        <f>10500+2198</f>
        <v>12698</v>
      </c>
      <c r="F1515" s="2335">
        <v>13040</v>
      </c>
      <c r="G1515" s="2335">
        <f>F1515/$F$11*$G$11</f>
        <v>15648</v>
      </c>
      <c r="H1515" s="2335"/>
      <c r="I1515" s="2335">
        <v>0</v>
      </c>
      <c r="J1515" s="2335">
        <v>0</v>
      </c>
      <c r="K1515" s="2336">
        <f t="shared" si="325"/>
        <v>0</v>
      </c>
      <c r="L1515" s="2335">
        <f>ROUND(I1515*1.06,0)</f>
        <v>0</v>
      </c>
      <c r="M1515" s="2335">
        <f>ROUND(L1515*1.06,0)</f>
        <v>0</v>
      </c>
    </row>
    <row r="1516" spans="1:13" x14ac:dyDescent="0.2">
      <c r="B1516" s="2330" t="s">
        <v>6956</v>
      </c>
      <c r="C1516" s="2349">
        <f>SUM(C1512:C1515)</f>
        <v>39418</v>
      </c>
      <c r="D1516" s="2349">
        <f t="shared" ref="D1516:M1516" si="331">SUM(D1512:D1515)</f>
        <v>92000</v>
      </c>
      <c r="E1516" s="2349">
        <f t="shared" si="331"/>
        <v>92000</v>
      </c>
      <c r="F1516" s="2349">
        <f t="shared" si="331"/>
        <v>27931</v>
      </c>
      <c r="G1516" s="2349">
        <f t="shared" si="331"/>
        <v>33517.199999999997</v>
      </c>
      <c r="H1516" s="2349"/>
      <c r="I1516" s="2349">
        <f t="shared" si="331"/>
        <v>0</v>
      </c>
      <c r="J1516" s="2349">
        <v>0</v>
      </c>
      <c r="K1516" s="2333">
        <f t="shared" si="325"/>
        <v>0</v>
      </c>
      <c r="L1516" s="2349">
        <f t="shared" si="331"/>
        <v>0</v>
      </c>
      <c r="M1516" s="2349">
        <f t="shared" si="331"/>
        <v>0</v>
      </c>
    </row>
    <row r="1517" spans="1:13" x14ac:dyDescent="0.2">
      <c r="B1517" s="2330"/>
      <c r="C1517" s="2332"/>
      <c r="D1517" s="2332"/>
      <c r="E1517" s="2332"/>
      <c r="G1517" s="2332"/>
      <c r="H1517" s="2332"/>
      <c r="I1517" s="2332"/>
      <c r="J1517" s="2332"/>
      <c r="K1517" s="2333">
        <f t="shared" si="325"/>
        <v>0</v>
      </c>
      <c r="L1517" s="2332"/>
      <c r="M1517" s="2332"/>
    </row>
    <row r="1518" spans="1:13" x14ac:dyDescent="0.2">
      <c r="B1518" s="2330" t="s">
        <v>6599</v>
      </c>
      <c r="C1518" s="2332"/>
      <c r="D1518" s="2332"/>
      <c r="E1518" s="2332"/>
      <c r="G1518" s="2332"/>
      <c r="H1518" s="2332"/>
      <c r="I1518" s="2332"/>
      <c r="J1518" s="2332"/>
      <c r="K1518" s="2333">
        <f t="shared" si="325"/>
        <v>0</v>
      </c>
      <c r="L1518" s="2332"/>
      <c r="M1518" s="2332"/>
    </row>
    <row r="1519" spans="1:13" x14ac:dyDescent="0.2">
      <c r="A1519" s="2353">
        <v>2116</v>
      </c>
      <c r="B1519" s="2258" t="s">
        <v>7165</v>
      </c>
      <c r="C1519" s="2332">
        <v>0</v>
      </c>
      <c r="D1519" s="2332">
        <v>48750</v>
      </c>
      <c r="E1519" s="2332">
        <v>48750</v>
      </c>
      <c r="F1519" s="2332">
        <v>0</v>
      </c>
      <c r="G1519" s="2332">
        <f t="shared" ref="G1519:G1526" si="332">F1519/$F$11*$G$11</f>
        <v>0</v>
      </c>
      <c r="H1519" s="2332"/>
      <c r="I1519" s="2332">
        <f>ROUND(E1519*1.289,0)</f>
        <v>62839</v>
      </c>
      <c r="J1519" s="2332">
        <f>[5]Sheet1!$K$967</f>
        <v>21441.52</v>
      </c>
      <c r="K1519" s="2333">
        <f t="shared" si="325"/>
        <v>21441.52</v>
      </c>
      <c r="L1519" s="2332">
        <f>ROUND(I1519*1.258,0)</f>
        <v>79051</v>
      </c>
      <c r="M1519" s="2332">
        <f>ROUND(L1519*1.259,0)</f>
        <v>99525</v>
      </c>
    </row>
    <row r="1520" spans="1:13" x14ac:dyDescent="0.2">
      <c r="A1520" s="2329">
        <v>2233</v>
      </c>
      <c r="B1520" s="2258" t="s">
        <v>6966</v>
      </c>
      <c r="C1520" s="2332">
        <v>0</v>
      </c>
      <c r="D1520" s="2332">
        <v>21000</v>
      </c>
      <c r="E1520" s="2332">
        <v>21000</v>
      </c>
      <c r="F1520" s="2332">
        <v>0</v>
      </c>
      <c r="G1520" s="2332">
        <f t="shared" si="332"/>
        <v>0</v>
      </c>
      <c r="H1520" s="2332"/>
      <c r="I1520" s="2332">
        <v>0</v>
      </c>
      <c r="J1520" s="2332">
        <v>0</v>
      </c>
      <c r="K1520" s="2333">
        <f t="shared" si="325"/>
        <v>0</v>
      </c>
      <c r="L1520" s="2332">
        <f t="shared" ref="L1520:L1528" si="333">ROUND(I1520*1.06,0)</f>
        <v>0</v>
      </c>
      <c r="M1520" s="2332">
        <f t="shared" ref="M1520:M1528" si="334">ROUND(L1520*1.06,0)</f>
        <v>0</v>
      </c>
    </row>
    <row r="1521" spans="1:13" x14ac:dyDescent="0.2">
      <c r="A1521" s="2329">
        <v>2113</v>
      </c>
      <c r="B1521" s="2258" t="s">
        <v>7007</v>
      </c>
      <c r="C1521" s="2332">
        <v>0</v>
      </c>
      <c r="D1521" s="2332">
        <v>0</v>
      </c>
      <c r="E1521" s="2332">
        <v>0</v>
      </c>
      <c r="F1521" s="2332">
        <v>0</v>
      </c>
      <c r="G1521" s="2332">
        <f t="shared" si="332"/>
        <v>0</v>
      </c>
      <c r="H1521" s="2332"/>
      <c r="I1521" s="2332">
        <f t="shared" ref="I1521:I1528" si="335">ROUND(E1521*1.05,0)</f>
        <v>0</v>
      </c>
      <c r="J1521" s="2332">
        <v>0</v>
      </c>
      <c r="K1521" s="2333">
        <f t="shared" si="325"/>
        <v>0</v>
      </c>
      <c r="L1521" s="2332">
        <f t="shared" si="333"/>
        <v>0</v>
      </c>
      <c r="M1521" s="2332">
        <f t="shared" si="334"/>
        <v>0</v>
      </c>
    </row>
    <row r="1522" spans="1:13" x14ac:dyDescent="0.2">
      <c r="A1522" s="2353">
        <v>2238</v>
      </c>
      <c r="B1522" s="2258" t="s">
        <v>6967</v>
      </c>
      <c r="C1522" s="2332">
        <v>0</v>
      </c>
      <c r="D1522" s="2332">
        <v>1050</v>
      </c>
      <c r="E1522" s="2332">
        <v>1050</v>
      </c>
      <c r="F1522" s="2332">
        <v>0</v>
      </c>
      <c r="G1522" s="2332">
        <f t="shared" si="332"/>
        <v>0</v>
      </c>
      <c r="H1522" s="2332"/>
      <c r="I1522" s="2332">
        <f t="shared" si="335"/>
        <v>1103</v>
      </c>
      <c r="J1522" s="2332">
        <f>[5]Sheet1!$K$962</f>
        <v>375.06</v>
      </c>
      <c r="K1522" s="2333">
        <f t="shared" si="325"/>
        <v>375.06</v>
      </c>
      <c r="L1522" s="2332">
        <f t="shared" si="333"/>
        <v>1169</v>
      </c>
      <c r="M1522" s="2332">
        <f t="shared" si="334"/>
        <v>1239</v>
      </c>
    </row>
    <row r="1523" spans="1:13" x14ac:dyDescent="0.2">
      <c r="A1523" s="2353">
        <v>2227</v>
      </c>
      <c r="B1523" s="2258" t="s">
        <v>231</v>
      </c>
      <c r="C1523" s="2332">
        <v>0</v>
      </c>
      <c r="D1523" s="2332">
        <v>0</v>
      </c>
      <c r="E1523" s="2332">
        <v>0</v>
      </c>
      <c r="F1523" s="2332">
        <v>0</v>
      </c>
      <c r="G1523" s="2332">
        <f t="shared" si="332"/>
        <v>0</v>
      </c>
      <c r="H1523" s="2332"/>
      <c r="I1523" s="2332">
        <f t="shared" si="335"/>
        <v>0</v>
      </c>
      <c r="J1523" s="2332">
        <v>0</v>
      </c>
      <c r="K1523" s="2333">
        <f t="shared" si="325"/>
        <v>0</v>
      </c>
      <c r="L1523" s="2332">
        <f t="shared" si="333"/>
        <v>0</v>
      </c>
      <c r="M1523" s="2332">
        <f t="shared" si="334"/>
        <v>0</v>
      </c>
    </row>
    <row r="1524" spans="1:13" x14ac:dyDescent="0.2">
      <c r="A1524" s="2353">
        <v>2249</v>
      </c>
      <c r="B1524" s="2258" t="s">
        <v>7168</v>
      </c>
      <c r="C1524" s="2332">
        <v>2837</v>
      </c>
      <c r="D1524" s="2332">
        <v>0</v>
      </c>
      <c r="E1524" s="2332">
        <v>0</v>
      </c>
      <c r="F1524" s="2332">
        <v>0</v>
      </c>
      <c r="G1524" s="2332">
        <f t="shared" si="332"/>
        <v>0</v>
      </c>
      <c r="H1524" s="2332"/>
      <c r="I1524" s="2332">
        <f t="shared" si="335"/>
        <v>0</v>
      </c>
      <c r="J1524" s="2332">
        <v>0</v>
      </c>
      <c r="K1524" s="2333">
        <f t="shared" si="325"/>
        <v>0</v>
      </c>
      <c r="L1524" s="2332">
        <f t="shared" si="333"/>
        <v>0</v>
      </c>
      <c r="M1524" s="2332">
        <f t="shared" si="334"/>
        <v>0</v>
      </c>
    </row>
    <row r="1525" spans="1:13" x14ac:dyDescent="0.2">
      <c r="A1525" s="2353">
        <v>2252</v>
      </c>
      <c r="B1525" s="2258" t="s">
        <v>30</v>
      </c>
      <c r="C1525" s="2332">
        <v>0</v>
      </c>
      <c r="D1525" s="2332">
        <v>5750</v>
      </c>
      <c r="E1525" s="2332">
        <v>5750</v>
      </c>
      <c r="F1525" s="2332">
        <v>0</v>
      </c>
      <c r="G1525" s="2332">
        <f t="shared" si="332"/>
        <v>0</v>
      </c>
      <c r="H1525" s="2332"/>
      <c r="I1525" s="2332">
        <f t="shared" si="335"/>
        <v>6038</v>
      </c>
      <c r="J1525" s="2332">
        <f>[5]Sheet1!$K$964</f>
        <v>2060.8000000000002</v>
      </c>
      <c r="K1525" s="2333">
        <f t="shared" si="325"/>
        <v>2060.8000000000002</v>
      </c>
      <c r="L1525" s="2332">
        <f t="shared" si="333"/>
        <v>6400</v>
      </c>
      <c r="M1525" s="2332">
        <f t="shared" si="334"/>
        <v>6784</v>
      </c>
    </row>
    <row r="1526" spans="1:13" x14ac:dyDescent="0.2">
      <c r="A1526" s="2329">
        <v>2256</v>
      </c>
      <c r="B1526" s="2258" t="s">
        <v>6482</v>
      </c>
      <c r="C1526" s="2332">
        <v>79799</v>
      </c>
      <c r="D1526" s="2332">
        <v>44590</v>
      </c>
      <c r="E1526" s="2332">
        <v>44590</v>
      </c>
      <c r="F1526" s="2332">
        <v>9200</v>
      </c>
      <c r="G1526" s="2332">
        <f t="shared" si="332"/>
        <v>11040</v>
      </c>
      <c r="H1526" s="2332"/>
      <c r="I1526" s="2332">
        <v>0</v>
      </c>
      <c r="J1526" s="2332">
        <v>0</v>
      </c>
      <c r="K1526" s="2333">
        <f t="shared" si="325"/>
        <v>0</v>
      </c>
      <c r="L1526" s="2332">
        <f t="shared" si="333"/>
        <v>0</v>
      </c>
      <c r="M1526" s="2332">
        <f t="shared" si="334"/>
        <v>0</v>
      </c>
    </row>
    <row r="1527" spans="1:13" x14ac:dyDescent="0.2">
      <c r="A1527" s="2329">
        <v>2502</v>
      </c>
      <c r="B1527" s="2258" t="s">
        <v>6971</v>
      </c>
      <c r="C1527" s="2332">
        <v>19350</v>
      </c>
      <c r="D1527" s="2332"/>
      <c r="E1527" s="2332"/>
      <c r="F1527" s="2332"/>
      <c r="G1527" s="2332"/>
      <c r="H1527" s="2332"/>
      <c r="I1527" s="2332">
        <f t="shared" si="335"/>
        <v>0</v>
      </c>
      <c r="J1527" s="2332">
        <v>0</v>
      </c>
      <c r="K1527" s="2333">
        <f t="shared" si="325"/>
        <v>0</v>
      </c>
      <c r="L1527" s="2332">
        <f t="shared" si="333"/>
        <v>0</v>
      </c>
      <c r="M1527" s="2332">
        <f t="shared" si="334"/>
        <v>0</v>
      </c>
    </row>
    <row r="1528" spans="1:13" x14ac:dyDescent="0.2">
      <c r="A1528" s="2353">
        <v>2305</v>
      </c>
      <c r="B1528" s="2334" t="s">
        <v>6970</v>
      </c>
      <c r="C1528" s="2335">
        <v>1090</v>
      </c>
      <c r="D1528" s="2335">
        <v>1050</v>
      </c>
      <c r="E1528" s="2335">
        <v>1050</v>
      </c>
      <c r="F1528" s="2335">
        <v>906</v>
      </c>
      <c r="G1528" s="2335">
        <f>F1528/$F$11*$G$11</f>
        <v>1087.1999999999998</v>
      </c>
      <c r="H1528" s="2335"/>
      <c r="I1528" s="2335">
        <f t="shared" si="335"/>
        <v>1103</v>
      </c>
      <c r="J1528" s="2335">
        <f>[5]Sheet1!$K$966</f>
        <v>24.559999999999995</v>
      </c>
      <c r="K1528" s="2336">
        <f t="shared" si="325"/>
        <v>24.559999999999995</v>
      </c>
      <c r="L1528" s="2335">
        <f t="shared" si="333"/>
        <v>1169</v>
      </c>
      <c r="M1528" s="2335">
        <f t="shared" si="334"/>
        <v>1239</v>
      </c>
    </row>
    <row r="1529" spans="1:13" x14ac:dyDescent="0.2">
      <c r="B1529" s="2330" t="s">
        <v>6614</v>
      </c>
      <c r="C1529" s="2349">
        <f t="shared" ref="C1529:M1529" si="336">SUM(C1519:C1528)</f>
        <v>103076</v>
      </c>
      <c r="D1529" s="2349">
        <f t="shared" si="336"/>
        <v>122190</v>
      </c>
      <c r="E1529" s="2349">
        <f t="shared" si="336"/>
        <v>122190</v>
      </c>
      <c r="F1529" s="2349">
        <f t="shared" si="336"/>
        <v>10106</v>
      </c>
      <c r="G1529" s="2349">
        <f t="shared" si="336"/>
        <v>12127.2</v>
      </c>
      <c r="H1529" s="2349"/>
      <c r="I1529" s="2349">
        <f t="shared" si="336"/>
        <v>71083</v>
      </c>
      <c r="J1529" s="2349">
        <f>SUM(J1519:J1528)</f>
        <v>23901.940000000002</v>
      </c>
      <c r="K1529" s="2333">
        <f t="shared" si="325"/>
        <v>23901.940000000002</v>
      </c>
      <c r="L1529" s="2349">
        <f t="shared" si="336"/>
        <v>87789</v>
      </c>
      <c r="M1529" s="2349">
        <f t="shared" si="336"/>
        <v>108787</v>
      </c>
    </row>
    <row r="1530" spans="1:13" x14ac:dyDescent="0.2">
      <c r="B1530" s="2338"/>
      <c r="C1530" s="2380"/>
      <c r="D1530" s="2380"/>
      <c r="E1530" s="2380"/>
      <c r="F1530" s="2380"/>
      <c r="G1530" s="2380"/>
      <c r="H1530" s="2380"/>
      <c r="I1530" s="2380"/>
      <c r="J1530" s="2380">
        <f>J1529-[5]Sheet1!$K$969+[5]Sheet1!$K$965</f>
        <v>0</v>
      </c>
      <c r="K1530" s="2336">
        <f t="shared" si="325"/>
        <v>0</v>
      </c>
      <c r="L1530" s="2380"/>
      <c r="M1530" s="2380"/>
    </row>
    <row r="1531" spans="1:13" x14ac:dyDescent="0.2">
      <c r="B1531" s="2330" t="s">
        <v>6972</v>
      </c>
      <c r="C1531" s="2351">
        <f t="shared" ref="C1531:M1531" si="337">C1509+C1516+C1529</f>
        <v>858280</v>
      </c>
      <c r="D1531" s="2351">
        <f t="shared" si="337"/>
        <v>1703640</v>
      </c>
      <c r="E1531" s="2351">
        <f t="shared" si="337"/>
        <v>1703640</v>
      </c>
      <c r="F1531" s="2351">
        <f t="shared" si="337"/>
        <v>784939</v>
      </c>
      <c r="G1531" s="2351">
        <f t="shared" si="337"/>
        <v>941926.8</v>
      </c>
      <c r="H1531" s="2351"/>
      <c r="I1531" s="2351">
        <f t="shared" si="337"/>
        <v>2287921</v>
      </c>
      <c r="J1531" s="2351">
        <f t="shared" si="337"/>
        <v>1327902.3999999999</v>
      </c>
      <c r="K1531" s="2333">
        <f t="shared" si="325"/>
        <v>1327902.3999999999</v>
      </c>
      <c r="L1531" s="2351">
        <f t="shared" si="337"/>
        <v>2481975</v>
      </c>
      <c r="M1531" s="2351">
        <f t="shared" si="337"/>
        <v>2694509</v>
      </c>
    </row>
    <row r="1532" spans="1:13" x14ac:dyDescent="0.2">
      <c r="B1532" s="2330"/>
      <c r="C1532" s="2351"/>
      <c r="D1532" s="2351"/>
      <c r="E1532" s="2351"/>
      <c r="G1532" s="2332"/>
      <c r="H1532" s="2332"/>
      <c r="I1532" s="2332"/>
      <c r="J1532" s="2332"/>
      <c r="K1532" s="2333">
        <f t="shared" si="325"/>
        <v>0</v>
      </c>
      <c r="L1532" s="2351"/>
      <c r="M1532" s="2351"/>
    </row>
    <row r="1533" spans="1:13" x14ac:dyDescent="0.2">
      <c r="B1533" s="2330" t="s">
        <v>6974</v>
      </c>
      <c r="C1533" s="2364"/>
      <c r="D1533" s="2364"/>
      <c r="E1533" s="2364"/>
      <c r="F1533" s="2309"/>
      <c r="G1533" s="2332"/>
      <c r="H1533" s="2332"/>
      <c r="I1533" s="2332"/>
      <c r="J1533" s="2332"/>
      <c r="K1533" s="2333">
        <f t="shared" si="325"/>
        <v>0</v>
      </c>
      <c r="L1533" s="2364"/>
      <c r="M1533" s="2364"/>
    </row>
    <row r="1534" spans="1:13" x14ac:dyDescent="0.2">
      <c r="A1534" s="2353">
        <v>4204</v>
      </c>
      <c r="B1534" s="2258" t="s">
        <v>6976</v>
      </c>
      <c r="C1534" s="2364">
        <v>5224</v>
      </c>
      <c r="D1534" s="2332">
        <v>20535</v>
      </c>
      <c r="E1534" s="2332">
        <v>20535</v>
      </c>
      <c r="F1534" s="2332">
        <v>0</v>
      </c>
      <c r="G1534" s="2332">
        <f>F1534/$F$11*$G$11</f>
        <v>0</v>
      </c>
      <c r="H1534" s="2332"/>
      <c r="I1534" s="2332">
        <f>ROUND(E1534*1.08,0)</f>
        <v>22178</v>
      </c>
      <c r="J1534" s="2332">
        <f>[5]Sheet1!$K$980</f>
        <v>42387.040000000001</v>
      </c>
      <c r="K1534" s="2333">
        <f t="shared" si="325"/>
        <v>42387.040000000001</v>
      </c>
      <c r="L1534" s="2332">
        <f>ROUND(I1534*1.08,0)</f>
        <v>23952</v>
      </c>
      <c r="M1534" s="2332">
        <f>ROUND(L1534*1.08,0)</f>
        <v>25868</v>
      </c>
    </row>
    <row r="1535" spans="1:13" x14ac:dyDescent="0.2">
      <c r="A1535" s="2353">
        <v>4209</v>
      </c>
      <c r="B1535" s="2258" t="s">
        <v>6449</v>
      </c>
      <c r="C1535" s="2364">
        <v>194</v>
      </c>
      <c r="D1535" s="2332">
        <v>0</v>
      </c>
      <c r="E1535" s="2332">
        <v>0</v>
      </c>
      <c r="F1535" s="2332">
        <v>0</v>
      </c>
      <c r="G1535" s="2332">
        <f>F1535/$F$11*$G$11</f>
        <v>0</v>
      </c>
      <c r="H1535" s="2332"/>
      <c r="I1535" s="2332">
        <f>ROUND(E1535*1.08,0)</f>
        <v>0</v>
      </c>
      <c r="J1535" s="2332">
        <v>0</v>
      </c>
      <c r="K1535" s="2333">
        <f t="shared" si="325"/>
        <v>0</v>
      </c>
      <c r="L1535" s="2332">
        <f>ROUND(I1535*1.08,0)</f>
        <v>0</v>
      </c>
      <c r="M1535" s="2332">
        <f>ROUND(L1535*1.08,0)</f>
        <v>0</v>
      </c>
    </row>
    <row r="1536" spans="1:13" x14ac:dyDescent="0.2">
      <c r="A1536" s="2353">
        <v>4207</v>
      </c>
      <c r="B1536" s="2334" t="s">
        <v>6977</v>
      </c>
      <c r="C1536" s="2397">
        <v>6560</v>
      </c>
      <c r="D1536" s="2335">
        <v>16955</v>
      </c>
      <c r="E1536" s="2335">
        <v>16955</v>
      </c>
      <c r="F1536" s="2335">
        <v>0</v>
      </c>
      <c r="G1536" s="2335">
        <f>F1536/$F$11*$G$11</f>
        <v>0</v>
      </c>
      <c r="H1536" s="2335"/>
      <c r="I1536" s="2335">
        <f>ROUND(E1536*1.08,0)</f>
        <v>18311</v>
      </c>
      <c r="J1536" s="2335">
        <f>[5]Sheet1!$K$981</f>
        <v>6247.73</v>
      </c>
      <c r="K1536" s="2336">
        <f t="shared" si="325"/>
        <v>6247.73</v>
      </c>
      <c r="L1536" s="2335">
        <f>ROUND(I1536*1.08,0)</f>
        <v>19776</v>
      </c>
      <c r="M1536" s="2335">
        <f>ROUND(L1536*1.08,0)</f>
        <v>21358</v>
      </c>
    </row>
    <row r="1537" spans="1:13" x14ac:dyDescent="0.2">
      <c r="B1537" s="2330" t="s">
        <v>6979</v>
      </c>
      <c r="C1537" s="2349">
        <f t="shared" ref="C1537:M1537" si="338">SUM(C1534:C1536)</f>
        <v>11978</v>
      </c>
      <c r="D1537" s="2349">
        <f t="shared" si="338"/>
        <v>37490</v>
      </c>
      <c r="E1537" s="2349">
        <f t="shared" si="338"/>
        <v>37490</v>
      </c>
      <c r="F1537" s="2349">
        <f t="shared" si="338"/>
        <v>0</v>
      </c>
      <c r="G1537" s="2349">
        <f t="shared" si="338"/>
        <v>0</v>
      </c>
      <c r="H1537" s="2349"/>
      <c r="I1537" s="2349">
        <f t="shared" si="338"/>
        <v>40489</v>
      </c>
      <c r="J1537" s="2349">
        <f>J1534+J1536</f>
        <v>48634.770000000004</v>
      </c>
      <c r="K1537" s="2333">
        <f t="shared" si="325"/>
        <v>48634.770000000004</v>
      </c>
      <c r="L1537" s="2349">
        <f t="shared" si="338"/>
        <v>43728</v>
      </c>
      <c r="M1537" s="2349">
        <f t="shared" si="338"/>
        <v>47226</v>
      </c>
    </row>
    <row r="1538" spans="1:13" x14ac:dyDescent="0.2">
      <c r="B1538" s="2330"/>
      <c r="C1538" s="2364"/>
      <c r="D1538" s="2364"/>
      <c r="E1538" s="2364"/>
      <c r="F1538" s="2309"/>
      <c r="G1538" s="2332"/>
      <c r="H1538" s="2332"/>
      <c r="I1538" s="2332"/>
      <c r="J1538" s="2332">
        <f>J1537-[5]Sheet1!$K$982</f>
        <v>0</v>
      </c>
      <c r="K1538" s="2333">
        <f t="shared" si="325"/>
        <v>0</v>
      </c>
      <c r="L1538" s="2364"/>
      <c r="M1538" s="2364"/>
    </row>
    <row r="1539" spans="1:13" ht="13.5" thickBot="1" x14ac:dyDescent="0.25">
      <c r="B1539" s="2342" t="s">
        <v>6980</v>
      </c>
      <c r="C1539" s="2354">
        <f t="shared" ref="C1539:M1539" si="339">C1531+C1537</f>
        <v>870258</v>
      </c>
      <c r="D1539" s="2354">
        <f t="shared" si="339"/>
        <v>1741130</v>
      </c>
      <c r="E1539" s="2354">
        <f t="shared" si="339"/>
        <v>1741130</v>
      </c>
      <c r="F1539" s="2354">
        <f t="shared" si="339"/>
        <v>784939</v>
      </c>
      <c r="G1539" s="2354">
        <f t="shared" si="339"/>
        <v>941926.8</v>
      </c>
      <c r="H1539" s="2354"/>
      <c r="I1539" s="2354">
        <f t="shared" si="339"/>
        <v>2328410</v>
      </c>
      <c r="J1539" s="2354">
        <f>J1531+J1537</f>
        <v>1376537.17</v>
      </c>
      <c r="K1539" s="2344">
        <f t="shared" si="325"/>
        <v>1376537.17</v>
      </c>
      <c r="L1539" s="2354">
        <f t="shared" si="339"/>
        <v>2525703</v>
      </c>
      <c r="M1539" s="2354">
        <f t="shared" si="339"/>
        <v>2741735</v>
      </c>
    </row>
    <row r="1540" spans="1:13" ht="13.5" thickTop="1" x14ac:dyDescent="0.2">
      <c r="B1540" s="2330"/>
      <c r="C1540" s="2349"/>
      <c r="D1540" s="2349"/>
      <c r="E1540" s="2349"/>
      <c r="F1540" s="2349"/>
      <c r="G1540" s="2349"/>
      <c r="H1540" s="2349"/>
      <c r="I1540" s="2349"/>
      <c r="J1540" s="2349"/>
      <c r="K1540" s="2333">
        <f t="shared" si="325"/>
        <v>0</v>
      </c>
      <c r="L1540" s="2349"/>
      <c r="M1540" s="2349"/>
    </row>
    <row r="1541" spans="1:13" ht="13.5" thickBot="1" x14ac:dyDescent="0.25">
      <c r="B1541" s="2342" t="s">
        <v>6624</v>
      </c>
      <c r="C1541" s="2355">
        <f t="shared" ref="C1541:M1541" si="340">+C1490-C1539</f>
        <v>-850908</v>
      </c>
      <c r="D1541" s="2355">
        <f t="shared" si="340"/>
        <v>-1741130</v>
      </c>
      <c r="E1541" s="2355">
        <f t="shared" si="340"/>
        <v>-1741130</v>
      </c>
      <c r="F1541" s="2355">
        <f t="shared" si="340"/>
        <v>-784939</v>
      </c>
      <c r="G1541" s="2355">
        <f t="shared" si="340"/>
        <v>-941926.8</v>
      </c>
      <c r="H1541" s="2355"/>
      <c r="I1541" s="2355">
        <f t="shared" si="340"/>
        <v>-2328410</v>
      </c>
      <c r="J1541" s="2355">
        <f>+J1490-J1539</f>
        <v>-1366416.1199999999</v>
      </c>
      <c r="K1541" s="2344">
        <f t="shared" si="325"/>
        <v>-1366416.1199999999</v>
      </c>
      <c r="L1541" s="2355">
        <f t="shared" si="340"/>
        <v>-2525703</v>
      </c>
      <c r="M1541" s="2355">
        <f t="shared" si="340"/>
        <v>-2741735</v>
      </c>
    </row>
    <row r="1542" spans="1:13" ht="13.5" thickTop="1" x14ac:dyDescent="0.2">
      <c r="B1542" s="2330"/>
      <c r="C1542" s="2356"/>
      <c r="D1542" s="2356"/>
      <c r="E1542" s="2356"/>
      <c r="F1542" s="2309"/>
      <c r="G1542" s="2332"/>
      <c r="H1542" s="2332"/>
      <c r="I1542" s="2332"/>
      <c r="J1542" s="2332"/>
      <c r="K1542" s="2333">
        <f t="shared" si="325"/>
        <v>0</v>
      </c>
      <c r="L1542" s="2356"/>
      <c r="M1542" s="2356"/>
    </row>
    <row r="1543" spans="1:13" x14ac:dyDescent="0.2">
      <c r="A1543" s="2369"/>
      <c r="B1543" s="2369"/>
      <c r="C1543" s="2369"/>
      <c r="D1543" s="2369"/>
      <c r="E1543" s="2369"/>
      <c r="G1543" s="2332"/>
      <c r="H1543" s="2332"/>
      <c r="I1543" s="2332"/>
      <c r="J1543" s="2332"/>
      <c r="K1543" s="2333">
        <f t="shared" si="325"/>
        <v>0</v>
      </c>
      <c r="L1543" s="2369"/>
      <c r="M1543" s="2369"/>
    </row>
    <row r="1544" spans="1:13" ht="15" x14ac:dyDescent="0.25">
      <c r="A1544" s="2365">
        <v>1720</v>
      </c>
      <c r="B1544" s="2326" t="s">
        <v>7193</v>
      </c>
      <c r="C1544" s="2326"/>
      <c r="D1544" s="2326"/>
      <c r="E1544" s="2326"/>
      <c r="F1544" s="2309"/>
      <c r="G1544" s="2332"/>
      <c r="H1544" s="2332"/>
      <c r="I1544" s="2332"/>
      <c r="J1544" s="2332"/>
      <c r="K1544" s="2333">
        <f t="shared" si="325"/>
        <v>0</v>
      </c>
    </row>
    <row r="1545" spans="1:13" ht="15" x14ac:dyDescent="0.25">
      <c r="B1545" s="2326"/>
      <c r="C1545" s="2326"/>
      <c r="D1545" s="2326"/>
      <c r="E1545" s="2326"/>
      <c r="F1545" s="2309"/>
      <c r="G1545" s="2332"/>
      <c r="H1545" s="2332"/>
      <c r="I1545" s="2332"/>
      <c r="J1545" s="2332"/>
      <c r="K1545" s="2333">
        <f t="shared" si="325"/>
        <v>0</v>
      </c>
    </row>
    <row r="1546" spans="1:13" x14ac:dyDescent="0.2">
      <c r="B1546" s="2330" t="s">
        <v>6644</v>
      </c>
      <c r="C1546" s="2375"/>
      <c r="D1546" s="2375"/>
      <c r="E1546" s="2375"/>
      <c r="F1546" s="2309"/>
      <c r="G1546" s="2332"/>
      <c r="H1546" s="2332"/>
      <c r="I1546" s="2332"/>
      <c r="J1546" s="2332"/>
      <c r="K1546" s="2333">
        <f t="shared" si="325"/>
        <v>0</v>
      </c>
    </row>
    <row r="1547" spans="1:13" x14ac:dyDescent="0.2">
      <c r="A1547" s="2353">
        <v>5206</v>
      </c>
      <c r="B1547" s="2258" t="s">
        <v>7114</v>
      </c>
      <c r="C1547" s="2375">
        <v>200</v>
      </c>
      <c r="D1547" s="2332">
        <v>0</v>
      </c>
      <c r="E1547" s="2332">
        <v>0</v>
      </c>
      <c r="F1547" s="2332">
        <v>0</v>
      </c>
      <c r="G1547" s="2332">
        <f>F1547/$F$11*$G$11</f>
        <v>0</v>
      </c>
      <c r="H1547" s="2332"/>
      <c r="I1547" s="2332">
        <f>ROUND(E1547*1.05,0)</f>
        <v>0</v>
      </c>
      <c r="J1547" s="2332">
        <v>0</v>
      </c>
      <c r="K1547" s="2333">
        <f t="shared" si="325"/>
        <v>0</v>
      </c>
      <c r="L1547" s="2332">
        <f>ROUND(I1547*1.06,0)</f>
        <v>0</v>
      </c>
      <c r="M1547" s="2332">
        <f>ROUND(L1547*1.06,0)</f>
        <v>0</v>
      </c>
    </row>
    <row r="1548" spans="1:13" x14ac:dyDescent="0.2">
      <c r="A1548" s="2353">
        <v>5207</v>
      </c>
      <c r="B1548" s="2334" t="s">
        <v>7194</v>
      </c>
      <c r="C1548" s="2339">
        <v>1630</v>
      </c>
      <c r="D1548" s="2335">
        <v>2800</v>
      </c>
      <c r="E1548" s="2335">
        <v>2800</v>
      </c>
      <c r="F1548" s="2335">
        <v>4414</v>
      </c>
      <c r="G1548" s="2335">
        <f>F1548/$F$11*$G$11</f>
        <v>5296.7999999999993</v>
      </c>
      <c r="H1548" s="2335"/>
      <c r="I1548" s="2335">
        <f>ROUND(G1548*1.1,0)</f>
        <v>5826</v>
      </c>
      <c r="J1548" s="2335">
        <f>-[5]Sheet1!$K$987</f>
        <v>605.28</v>
      </c>
      <c r="K1548" s="2336">
        <f t="shared" si="325"/>
        <v>605.28</v>
      </c>
      <c r="L1548" s="2335">
        <f>ROUND(I1548*1.06,0)</f>
        <v>6176</v>
      </c>
      <c r="M1548" s="2335">
        <f>ROUND(L1548*1.06,0)</f>
        <v>6547</v>
      </c>
    </row>
    <row r="1549" spans="1:13" x14ac:dyDescent="0.2">
      <c r="B1549" s="2330" t="s">
        <v>6646</v>
      </c>
      <c r="C1549" s="2376">
        <f t="shared" ref="C1549:M1549" si="341">SUM(C1547:C1548)</f>
        <v>1830</v>
      </c>
      <c r="D1549" s="2376">
        <f t="shared" si="341"/>
        <v>2800</v>
      </c>
      <c r="E1549" s="2376">
        <f t="shared" si="341"/>
        <v>2800</v>
      </c>
      <c r="F1549" s="2376">
        <f t="shared" si="341"/>
        <v>4414</v>
      </c>
      <c r="G1549" s="2376">
        <f t="shared" si="341"/>
        <v>5296.7999999999993</v>
      </c>
      <c r="H1549" s="2376"/>
      <c r="I1549" s="2376">
        <f t="shared" si="341"/>
        <v>5826</v>
      </c>
      <c r="J1549" s="2376">
        <f>J1548</f>
        <v>605.28</v>
      </c>
      <c r="K1549" s="2333">
        <f t="shared" si="325"/>
        <v>605.28</v>
      </c>
      <c r="L1549" s="2376">
        <f t="shared" si="341"/>
        <v>6176</v>
      </c>
      <c r="M1549" s="2376">
        <f t="shared" si="341"/>
        <v>6547</v>
      </c>
    </row>
    <row r="1550" spans="1:13" x14ac:dyDescent="0.2">
      <c r="B1550" s="2330"/>
      <c r="C1550" s="2375"/>
      <c r="D1550" s="2375"/>
      <c r="E1550" s="2375"/>
      <c r="F1550" s="2375"/>
      <c r="G1550" s="2375"/>
      <c r="H1550" s="2375"/>
      <c r="I1550" s="2375"/>
      <c r="J1550" s="2375"/>
      <c r="K1550" s="2333">
        <f t="shared" si="325"/>
        <v>0</v>
      </c>
      <c r="L1550" s="2375"/>
      <c r="M1550" s="2375"/>
    </row>
    <row r="1551" spans="1:13" ht="13.5" thickBot="1" x14ac:dyDescent="0.25">
      <c r="B1551" s="2342" t="s">
        <v>6579</v>
      </c>
      <c r="C1551" s="2343">
        <f t="shared" ref="C1551:M1551" si="342">+C1549</f>
        <v>1830</v>
      </c>
      <c r="D1551" s="2343">
        <f t="shared" si="342"/>
        <v>2800</v>
      </c>
      <c r="E1551" s="2343">
        <f t="shared" si="342"/>
        <v>2800</v>
      </c>
      <c r="F1551" s="2343">
        <f t="shared" si="342"/>
        <v>4414</v>
      </c>
      <c r="G1551" s="2343">
        <f t="shared" si="342"/>
        <v>5296.7999999999993</v>
      </c>
      <c r="H1551" s="2343"/>
      <c r="I1551" s="2343">
        <f t="shared" si="342"/>
        <v>5826</v>
      </c>
      <c r="J1551" s="2343">
        <f>J1549</f>
        <v>605.28</v>
      </c>
      <c r="K1551" s="2344">
        <f t="shared" si="325"/>
        <v>605.28</v>
      </c>
      <c r="L1551" s="2343">
        <f t="shared" si="342"/>
        <v>6176</v>
      </c>
      <c r="M1551" s="2343">
        <f t="shared" si="342"/>
        <v>6547</v>
      </c>
    </row>
    <row r="1552" spans="1:13" ht="13.5" thickTop="1" x14ac:dyDescent="0.2">
      <c r="B1552" s="2346"/>
      <c r="C1552" s="2346"/>
      <c r="D1552" s="2346"/>
      <c r="E1552" s="2346"/>
      <c r="G1552" s="2332"/>
      <c r="H1552" s="2332"/>
      <c r="I1552" s="2332"/>
      <c r="J1552" s="2332">
        <f>J1551+[5]Sheet1!$K$988</f>
        <v>0</v>
      </c>
      <c r="K1552" s="2333">
        <f t="shared" si="325"/>
        <v>0</v>
      </c>
      <c r="L1552" s="2346"/>
      <c r="M1552" s="2346"/>
    </row>
    <row r="1553" spans="1:13" x14ac:dyDescent="0.2">
      <c r="B1553" s="2328" t="s">
        <v>235</v>
      </c>
      <c r="C1553" s="2328"/>
      <c r="D1553" s="2328"/>
      <c r="E1553" s="2328"/>
      <c r="G1553" s="2332"/>
      <c r="H1553" s="2332"/>
      <c r="I1553" s="2332"/>
      <c r="J1553" s="2332"/>
      <c r="K1553" s="2333">
        <f t="shared" si="325"/>
        <v>0</v>
      </c>
      <c r="L1553" s="2328"/>
      <c r="M1553" s="2328"/>
    </row>
    <row r="1554" spans="1:13" x14ac:dyDescent="0.2">
      <c r="B1554" s="2328"/>
      <c r="C1554" s="2328"/>
      <c r="D1554" s="2328"/>
      <c r="E1554" s="2328"/>
      <c r="G1554" s="2332"/>
      <c r="H1554" s="2332"/>
      <c r="I1554" s="2332"/>
      <c r="J1554" s="2332"/>
      <c r="K1554" s="2333">
        <f t="shared" si="325"/>
        <v>0</v>
      </c>
      <c r="L1554" s="2328"/>
      <c r="M1554" s="2328"/>
    </row>
    <row r="1555" spans="1:13" x14ac:dyDescent="0.2">
      <c r="B1555" s="2330" t="s">
        <v>387</v>
      </c>
      <c r="C1555" s="2332"/>
      <c r="D1555" s="2332"/>
      <c r="E1555" s="2332"/>
      <c r="G1555" s="2332"/>
      <c r="H1555" s="2332"/>
      <c r="I1555" s="2332"/>
      <c r="J1555" s="2332"/>
      <c r="K1555" s="2333">
        <f t="shared" si="325"/>
        <v>0</v>
      </c>
      <c r="L1555" s="2332"/>
      <c r="M1555" s="2332"/>
    </row>
    <row r="1556" spans="1:13" x14ac:dyDescent="0.2">
      <c r="A1556" s="2353">
        <v>1001</v>
      </c>
      <c r="B1556" s="2258" t="s">
        <v>6943</v>
      </c>
      <c r="C1556" s="2332">
        <v>239985</v>
      </c>
      <c r="D1556" s="2332">
        <v>344005</v>
      </c>
      <c r="E1556" s="2332">
        <v>341803</v>
      </c>
      <c r="F1556" s="2332">
        <v>251092</v>
      </c>
      <c r="G1556" s="2332">
        <f t="shared" ref="G1556:G1568" si="343">F1556/$F$11*$G$11</f>
        <v>301310.40000000002</v>
      </c>
      <c r="H1556" s="2332"/>
      <c r="I1556" s="2332">
        <f>[6]Salary_Bdgt!$H$319</f>
        <v>376035</v>
      </c>
      <c r="J1556" s="2332">
        <f>[5]Sheet1!$K$995</f>
        <v>368671.2</v>
      </c>
      <c r="K1556" s="2333">
        <f t="shared" si="325"/>
        <v>368671.2</v>
      </c>
      <c r="L1556" s="2332">
        <f t="shared" ref="L1556:L1568" si="344">ROUND(I1556*1.08,0)</f>
        <v>406118</v>
      </c>
      <c r="M1556" s="2332">
        <f t="shared" ref="M1556:M1568" si="345">ROUND(L1556*1.08,0)</f>
        <v>438607</v>
      </c>
    </row>
    <row r="1557" spans="1:13" x14ac:dyDescent="0.2">
      <c r="A1557" s="2353">
        <v>1005</v>
      </c>
      <c r="B1557" s="2258" t="s">
        <v>6944</v>
      </c>
      <c r="C1557" s="2332">
        <v>6871</v>
      </c>
      <c r="D1557" s="2332">
        <v>5790</v>
      </c>
      <c r="E1557" s="2332">
        <f>+D1557+1036</f>
        <v>6826</v>
      </c>
      <c r="F1557" s="2332">
        <v>6872</v>
      </c>
      <c r="G1557" s="2332">
        <f t="shared" si="343"/>
        <v>8246.4000000000015</v>
      </c>
      <c r="H1557" s="2332"/>
      <c r="I1557" s="2332">
        <f>+[6]Salary_Bdgt!$L$319</f>
        <v>25236</v>
      </c>
      <c r="J1557" s="2332">
        <f>[5]Sheet1!$K$1003</f>
        <v>11576.4</v>
      </c>
      <c r="K1557" s="2333">
        <f t="shared" ref="K1557:K1620" si="346">J1557</f>
        <v>11576.4</v>
      </c>
      <c r="L1557" s="2332">
        <f t="shared" si="344"/>
        <v>27255</v>
      </c>
      <c r="M1557" s="2332">
        <f t="shared" si="345"/>
        <v>29435</v>
      </c>
    </row>
    <row r="1558" spans="1:13" x14ac:dyDescent="0.2">
      <c r="A1558" s="2353">
        <v>1006</v>
      </c>
      <c r="B1558" s="2258" t="s">
        <v>6945</v>
      </c>
      <c r="C1558" s="2332">
        <v>45156</v>
      </c>
      <c r="D1558" s="2332">
        <v>44580</v>
      </c>
      <c r="E1558" s="2332">
        <f>+D1558+1166</f>
        <v>45746</v>
      </c>
      <c r="F1558" s="2332">
        <v>48381</v>
      </c>
      <c r="G1558" s="2332">
        <f t="shared" si="343"/>
        <v>58057.200000000004</v>
      </c>
      <c r="H1558" s="2332"/>
      <c r="I1558" s="2332">
        <f>+[6]Salary_Bdgt!$N$319</f>
        <v>73640</v>
      </c>
      <c r="J1558" s="2332">
        <f>[5]Sheet1!$K$1004</f>
        <v>68780.52</v>
      </c>
      <c r="K1558" s="2333">
        <f t="shared" si="346"/>
        <v>68780.52</v>
      </c>
      <c r="L1558" s="2332">
        <f t="shared" si="344"/>
        <v>79531</v>
      </c>
      <c r="M1558" s="2332">
        <f t="shared" si="345"/>
        <v>85893</v>
      </c>
    </row>
    <row r="1559" spans="1:13" x14ac:dyDescent="0.2">
      <c r="A1559" s="2353">
        <v>1007</v>
      </c>
      <c r="B1559" s="2258" t="s">
        <v>6410</v>
      </c>
      <c r="C1559" s="2332">
        <v>2643</v>
      </c>
      <c r="D1559" s="2332">
        <v>6880</v>
      </c>
      <c r="E1559" s="2332">
        <f>+D1559</f>
        <v>6880</v>
      </c>
      <c r="F1559" s="2332">
        <v>2802</v>
      </c>
      <c r="G1559" s="2332">
        <f t="shared" si="343"/>
        <v>3362.3999999999996</v>
      </c>
      <c r="H1559" s="2332"/>
      <c r="I1559" s="2332">
        <f>+[6]Salary_Bdgt!$I$319</f>
        <v>7694</v>
      </c>
      <c r="J1559" s="2332">
        <f>[5]Sheet1!$K$1005</f>
        <v>4707.18</v>
      </c>
      <c r="K1559" s="2333">
        <f t="shared" si="346"/>
        <v>4707.18</v>
      </c>
      <c r="L1559" s="2332">
        <f t="shared" si="344"/>
        <v>8310</v>
      </c>
      <c r="M1559" s="2332">
        <f t="shared" si="345"/>
        <v>8975</v>
      </c>
    </row>
    <row r="1560" spans="1:13" x14ac:dyDescent="0.2">
      <c r="A1560" s="2353">
        <v>1009</v>
      </c>
      <c r="B1560" s="2258" t="s">
        <v>6408</v>
      </c>
      <c r="C1560" s="2332">
        <v>221</v>
      </c>
      <c r="D1560" s="2332">
        <f>[7]Sal_RIA!$M$253</f>
        <v>307</v>
      </c>
      <c r="E1560" s="2332">
        <f>+D1560</f>
        <v>307</v>
      </c>
      <c r="F1560" s="2332">
        <v>225</v>
      </c>
      <c r="G1560" s="2332">
        <f t="shared" si="343"/>
        <v>270</v>
      </c>
      <c r="H1560" s="2332"/>
      <c r="I1560" s="2332">
        <f>+[6]Salary_Bdgt!$M$319</f>
        <v>315</v>
      </c>
      <c r="J1560" s="2332">
        <f>[5]Sheet1!$K$1000</f>
        <v>311.60000000000002</v>
      </c>
      <c r="K1560" s="2333">
        <f t="shared" si="346"/>
        <v>311.60000000000002</v>
      </c>
      <c r="L1560" s="2332">
        <f t="shared" si="344"/>
        <v>340</v>
      </c>
      <c r="M1560" s="2332">
        <f t="shared" si="345"/>
        <v>367</v>
      </c>
    </row>
    <row r="1561" spans="1:13" x14ac:dyDescent="0.2">
      <c r="A1561" s="2353">
        <v>1010</v>
      </c>
      <c r="B1561" s="2258" t="s">
        <v>6946</v>
      </c>
      <c r="C1561" s="2332">
        <v>22306</v>
      </c>
      <c r="D1561" s="2332">
        <v>28667</v>
      </c>
      <c r="E1561" s="2332">
        <f>+D1561</f>
        <v>28667</v>
      </c>
      <c r="F1561" s="2332">
        <v>25015</v>
      </c>
      <c r="G1561" s="2332">
        <f t="shared" si="343"/>
        <v>30018</v>
      </c>
      <c r="H1561" s="2332"/>
      <c r="I1561" s="2332">
        <f>+[6]Salary_Bdgt!$Q$319</f>
        <v>31336</v>
      </c>
      <c r="J1561" s="2332">
        <f>[5]Sheet1!$K$996</f>
        <v>55500.479999999996</v>
      </c>
      <c r="K1561" s="2333">
        <f t="shared" si="346"/>
        <v>55500.479999999996</v>
      </c>
      <c r="L1561" s="2332">
        <f t="shared" si="344"/>
        <v>33843</v>
      </c>
      <c r="M1561" s="2332">
        <f t="shared" si="345"/>
        <v>36550</v>
      </c>
    </row>
    <row r="1562" spans="1:13" x14ac:dyDescent="0.2">
      <c r="A1562" s="2353">
        <v>1011</v>
      </c>
      <c r="B1562" s="2258" t="s">
        <v>6947</v>
      </c>
      <c r="C1562" s="2332">
        <v>0</v>
      </c>
      <c r="D1562" s="2332">
        <v>0</v>
      </c>
      <c r="E1562" s="2332">
        <v>0</v>
      </c>
      <c r="F1562" s="2332">
        <v>0</v>
      </c>
      <c r="G1562" s="2332">
        <f t="shared" si="343"/>
        <v>0</v>
      </c>
      <c r="H1562" s="2332"/>
      <c r="I1562" s="2332">
        <f>+[6]Salary_Bdgt!$U$319</f>
        <v>0</v>
      </c>
      <c r="J1562" s="2332">
        <f>[5]Sheet1!$K$1007</f>
        <v>0</v>
      </c>
      <c r="K1562" s="2333">
        <f t="shared" si="346"/>
        <v>0</v>
      </c>
      <c r="L1562" s="2332">
        <f t="shared" si="344"/>
        <v>0</v>
      </c>
      <c r="M1562" s="2332">
        <f t="shared" si="345"/>
        <v>0</v>
      </c>
    </row>
    <row r="1563" spans="1:13" x14ac:dyDescent="0.2">
      <c r="A1563" s="2353">
        <v>1016</v>
      </c>
      <c r="B1563" s="2258" t="s">
        <v>6949</v>
      </c>
      <c r="C1563" s="2332">
        <v>0</v>
      </c>
      <c r="D1563" s="2332">
        <v>0</v>
      </c>
      <c r="E1563" s="2332">
        <v>0</v>
      </c>
      <c r="F1563" s="2332">
        <v>2264</v>
      </c>
      <c r="G1563" s="2332">
        <f t="shared" si="343"/>
        <v>2716.8</v>
      </c>
      <c r="H1563" s="2332"/>
      <c r="I1563" s="2332">
        <f>+[6]Salary_Bdgt!$T$319+[6]Salary_Bdgt!$V$319</f>
        <v>8501</v>
      </c>
      <c r="J1563" s="2332">
        <f>[5]Sheet1!$K$999</f>
        <v>2899.58</v>
      </c>
      <c r="K1563" s="2333">
        <f t="shared" si="346"/>
        <v>2899.58</v>
      </c>
      <c r="L1563" s="2332">
        <f t="shared" si="344"/>
        <v>9181</v>
      </c>
      <c r="M1563" s="2332">
        <f t="shared" si="345"/>
        <v>9915</v>
      </c>
    </row>
    <row r="1564" spans="1:13" x14ac:dyDescent="0.2">
      <c r="A1564" s="2353">
        <v>1014</v>
      </c>
      <c r="B1564" s="2258" t="s">
        <v>6632</v>
      </c>
      <c r="C1564" s="2332">
        <v>0</v>
      </c>
      <c r="D1564" s="2332">
        <v>0</v>
      </c>
      <c r="E1564" s="2332">
        <v>0</v>
      </c>
      <c r="F1564" s="2332">
        <v>0</v>
      </c>
      <c r="G1564" s="2332">
        <f t="shared" si="343"/>
        <v>0</v>
      </c>
      <c r="H1564" s="2332"/>
      <c r="I1564" s="2332">
        <f>+[6]Salary_Bdgt!$S$319</f>
        <v>5303</v>
      </c>
      <c r="J1564" s="2332">
        <f>[5]Sheet1!$K$997</f>
        <v>1809.98</v>
      </c>
      <c r="K1564" s="2333">
        <f t="shared" si="346"/>
        <v>1809.98</v>
      </c>
      <c r="L1564" s="2332">
        <f t="shared" si="344"/>
        <v>5727</v>
      </c>
      <c r="M1564" s="2332">
        <f t="shared" si="345"/>
        <v>6185</v>
      </c>
    </row>
    <row r="1565" spans="1:13" x14ac:dyDescent="0.2">
      <c r="A1565" s="2353">
        <v>1046</v>
      </c>
      <c r="B1565" s="2258" t="s">
        <v>6951</v>
      </c>
      <c r="C1565" s="2332">
        <v>0</v>
      </c>
      <c r="D1565" s="2332">
        <v>0</v>
      </c>
      <c r="E1565" s="2332">
        <v>0</v>
      </c>
      <c r="F1565" s="2332">
        <v>0</v>
      </c>
      <c r="G1565" s="2332">
        <f t="shared" si="343"/>
        <v>0</v>
      </c>
      <c r="H1565" s="2332"/>
      <c r="I1565" s="2332">
        <f>+[6]Salary_Bdgt!$R$319</f>
        <v>0</v>
      </c>
      <c r="J1565" s="2332">
        <v>0</v>
      </c>
      <c r="K1565" s="2333">
        <f t="shared" si="346"/>
        <v>0</v>
      </c>
      <c r="L1565" s="2332">
        <f t="shared" si="344"/>
        <v>0</v>
      </c>
      <c r="M1565" s="2332">
        <f t="shared" si="345"/>
        <v>0</v>
      </c>
    </row>
    <row r="1566" spans="1:13" x14ac:dyDescent="0.2">
      <c r="A1566" s="2353">
        <v>1015</v>
      </c>
      <c r="B1566" s="2258" t="s">
        <v>6948</v>
      </c>
      <c r="C1566" s="2332">
        <v>1977</v>
      </c>
      <c r="D1566" s="2332">
        <f>[7]Sal_RIA!$O$253+[7]Sal_RIA!$P$253</f>
        <v>0</v>
      </c>
      <c r="E1566" s="2332">
        <f>+D1566</f>
        <v>0</v>
      </c>
      <c r="F1566" s="2332">
        <v>124</v>
      </c>
      <c r="G1566" s="2332">
        <f t="shared" si="343"/>
        <v>148.80000000000001</v>
      </c>
      <c r="H1566" s="2332"/>
      <c r="I1566" s="2332">
        <f>+[6]Salary_Bdgt!$O$319+[6]Salary_Bdgt!$P$319+[6]Salary_Bdgt!$W$319</f>
        <v>3478</v>
      </c>
      <c r="J1566" s="2332">
        <f>[5]Sheet1!$K$998</f>
        <v>3552.04</v>
      </c>
      <c r="K1566" s="2333">
        <f t="shared" si="346"/>
        <v>3552.04</v>
      </c>
      <c r="L1566" s="2332">
        <f t="shared" si="344"/>
        <v>3756</v>
      </c>
      <c r="M1566" s="2332">
        <f t="shared" si="345"/>
        <v>4056</v>
      </c>
    </row>
    <row r="1567" spans="1:13" x14ac:dyDescent="0.2">
      <c r="A1567" s="2353">
        <v>1017</v>
      </c>
      <c r="B1567" s="2258" t="s">
        <v>6950</v>
      </c>
      <c r="C1567" s="2332">
        <v>3064</v>
      </c>
      <c r="D1567" s="2332">
        <v>6880</v>
      </c>
      <c r="E1567" s="2332">
        <f>+D1567</f>
        <v>6880</v>
      </c>
      <c r="F1567" s="2332">
        <v>1303</v>
      </c>
      <c r="G1567" s="2332">
        <f t="shared" si="343"/>
        <v>1563.6000000000001</v>
      </c>
      <c r="H1567" s="2332"/>
      <c r="I1567" s="2332">
        <f>+[6]Salary_Bdgt!$J$319</f>
        <v>7694</v>
      </c>
      <c r="J1567" s="2332">
        <f>[5]Sheet1!$K$1001</f>
        <v>4580.4399999999996</v>
      </c>
      <c r="K1567" s="2333">
        <f t="shared" si="346"/>
        <v>4580.4399999999996</v>
      </c>
      <c r="L1567" s="2332">
        <f t="shared" si="344"/>
        <v>8310</v>
      </c>
      <c r="M1567" s="2332">
        <f t="shared" si="345"/>
        <v>8975</v>
      </c>
    </row>
    <row r="1568" spans="1:13" x14ac:dyDescent="0.2">
      <c r="A1568" s="2353">
        <v>1182</v>
      </c>
      <c r="B1568" s="2334" t="s">
        <v>6952</v>
      </c>
      <c r="C1568" s="2335">
        <v>2179</v>
      </c>
      <c r="D1568" s="2335">
        <v>6398</v>
      </c>
      <c r="E1568" s="2335">
        <f>+D1568</f>
        <v>6398</v>
      </c>
      <c r="F1568" s="2335">
        <v>0</v>
      </c>
      <c r="G1568" s="2335">
        <f t="shared" si="343"/>
        <v>0</v>
      </c>
      <c r="H1568" s="2335"/>
      <c r="I1568" s="2335">
        <f>+[6]Salary_Bdgt!$K$319</f>
        <v>7155</v>
      </c>
      <c r="J1568" s="2335">
        <f>[5]Sheet1!$K$1002</f>
        <v>2441.11</v>
      </c>
      <c r="K1568" s="2336">
        <f t="shared" si="346"/>
        <v>2441.11</v>
      </c>
      <c r="L1568" s="2335">
        <f t="shared" si="344"/>
        <v>7727</v>
      </c>
      <c r="M1568" s="2335">
        <f t="shared" si="345"/>
        <v>8345</v>
      </c>
    </row>
    <row r="1569" spans="1:13" x14ac:dyDescent="0.2">
      <c r="B1569" s="2330" t="s">
        <v>6588</v>
      </c>
      <c r="C1569" s="2349">
        <f t="shared" ref="C1569:M1569" si="347">SUM(C1556:C1568)</f>
        <v>324402</v>
      </c>
      <c r="D1569" s="2349">
        <f t="shared" si="347"/>
        <v>443507</v>
      </c>
      <c r="E1569" s="2349">
        <f t="shared" si="347"/>
        <v>443507</v>
      </c>
      <c r="F1569" s="2349">
        <f t="shared" si="347"/>
        <v>338078</v>
      </c>
      <c r="G1569" s="2349">
        <f t="shared" si="347"/>
        <v>405693.60000000003</v>
      </c>
      <c r="H1569" s="2349"/>
      <c r="I1569" s="2349">
        <f t="shared" si="347"/>
        <v>546387</v>
      </c>
      <c r="J1569" s="2349">
        <f>SUM(J1556:J1568)</f>
        <v>524830.53</v>
      </c>
      <c r="K1569" s="2333">
        <f t="shared" si="346"/>
        <v>524830.53</v>
      </c>
      <c r="L1569" s="2349">
        <f t="shared" si="347"/>
        <v>590098</v>
      </c>
      <c r="M1569" s="2349">
        <f t="shared" si="347"/>
        <v>637303</v>
      </c>
    </row>
    <row r="1570" spans="1:13" x14ac:dyDescent="0.2">
      <c r="B1570" s="2330"/>
      <c r="C1570" s="2332"/>
      <c r="D1570" s="2332"/>
      <c r="E1570" s="2332"/>
      <c r="G1570" s="2332"/>
      <c r="H1570" s="2332"/>
      <c r="I1570" s="2332"/>
      <c r="J1570" s="2332">
        <f>J1569-[5]Sheet1!$K$1006</f>
        <v>0</v>
      </c>
      <c r="K1570" s="2333">
        <f t="shared" si="346"/>
        <v>0</v>
      </c>
      <c r="L1570" s="2332"/>
      <c r="M1570" s="2332"/>
    </row>
    <row r="1571" spans="1:13" x14ac:dyDescent="0.2">
      <c r="B1571" s="2330" t="s">
        <v>6953</v>
      </c>
      <c r="C1571" s="2332"/>
      <c r="D1571" s="2332"/>
      <c r="E1571" s="2332"/>
      <c r="G1571" s="2332"/>
      <c r="H1571" s="2332"/>
      <c r="I1571" s="2332"/>
      <c r="J1571" s="2332"/>
      <c r="K1571" s="2333">
        <f t="shared" si="346"/>
        <v>0</v>
      </c>
      <c r="L1571" s="2332"/>
      <c r="M1571" s="2332"/>
    </row>
    <row r="1572" spans="1:13" x14ac:dyDescent="0.2">
      <c r="A1572" s="2329">
        <v>3205</v>
      </c>
      <c r="B1572" s="2258" t="s">
        <v>200</v>
      </c>
      <c r="C1572" s="2332">
        <v>0</v>
      </c>
      <c r="D1572" s="2332">
        <v>22050</v>
      </c>
      <c r="E1572" s="2332">
        <v>22050</v>
      </c>
      <c r="F1572" s="2332">
        <v>8117</v>
      </c>
      <c r="G1572" s="2332">
        <f>F1572/$F$11*$G$11</f>
        <v>9740.4000000000015</v>
      </c>
      <c r="H1572" s="2332"/>
      <c r="I1572" s="2332">
        <v>0</v>
      </c>
      <c r="J1572" s="2332">
        <v>0</v>
      </c>
      <c r="K1572" s="2333">
        <f t="shared" si="346"/>
        <v>0</v>
      </c>
      <c r="L1572" s="2332">
        <f>ROUND(I1572*1.06,0)</f>
        <v>0</v>
      </c>
      <c r="M1572" s="2332">
        <f>ROUND(L1572*1.06,0)</f>
        <v>0</v>
      </c>
    </row>
    <row r="1573" spans="1:13" x14ac:dyDescent="0.2">
      <c r="A1573" s="2353">
        <v>3206</v>
      </c>
      <c r="B1573" s="2258" t="s">
        <v>7164</v>
      </c>
      <c r="C1573" s="2332">
        <v>0</v>
      </c>
      <c r="D1573" s="2332">
        <v>6300</v>
      </c>
      <c r="E1573" s="2332">
        <v>6300</v>
      </c>
      <c r="F1573" s="2332">
        <v>0</v>
      </c>
      <c r="G1573" s="2332">
        <f>F1573/$F$11*$G$11</f>
        <v>0</v>
      </c>
      <c r="H1573" s="2332"/>
      <c r="I1573" s="2332">
        <v>0</v>
      </c>
      <c r="J1573" s="2332">
        <v>0</v>
      </c>
      <c r="K1573" s="2333">
        <f t="shared" si="346"/>
        <v>0</v>
      </c>
      <c r="L1573" s="2332">
        <f>ROUND(I1573*1.06,0)</f>
        <v>0</v>
      </c>
      <c r="M1573" s="2332">
        <f>ROUND(L1573*1.06,0)</f>
        <v>0</v>
      </c>
    </row>
    <row r="1574" spans="1:13" x14ac:dyDescent="0.2">
      <c r="A1574" s="2353">
        <v>3210</v>
      </c>
      <c r="B1574" s="2334" t="s">
        <v>7195</v>
      </c>
      <c r="C1574" s="2335">
        <v>3487</v>
      </c>
      <c r="D1574" s="2335">
        <v>5250</v>
      </c>
      <c r="E1574" s="2335">
        <v>5250</v>
      </c>
      <c r="F1574" s="2335">
        <v>1503</v>
      </c>
      <c r="G1574" s="2335">
        <f>F1574/$F$11*$G$11</f>
        <v>1803.6000000000001</v>
      </c>
      <c r="H1574" s="2335"/>
      <c r="I1574" s="2335">
        <v>0</v>
      </c>
      <c r="J1574" s="2335">
        <v>0</v>
      </c>
      <c r="K1574" s="2336">
        <f t="shared" si="346"/>
        <v>0</v>
      </c>
      <c r="L1574" s="2335">
        <f>ROUND(I1574*1.06,0)</f>
        <v>0</v>
      </c>
      <c r="M1574" s="2335">
        <f>ROUND(L1574*1.06,0)</f>
        <v>0</v>
      </c>
    </row>
    <row r="1575" spans="1:13" x14ac:dyDescent="0.2">
      <c r="B1575" s="2330" t="s">
        <v>6956</v>
      </c>
      <c r="C1575" s="2349">
        <f>SUM(C1572:C1574)</f>
        <v>3487</v>
      </c>
      <c r="D1575" s="2349">
        <f t="shared" ref="D1575:M1575" si="348">SUM(D1572:D1574)</f>
        <v>33600</v>
      </c>
      <c r="E1575" s="2349">
        <f t="shared" si="348"/>
        <v>33600</v>
      </c>
      <c r="F1575" s="2349">
        <f t="shared" si="348"/>
        <v>9620</v>
      </c>
      <c r="G1575" s="2349">
        <f t="shared" si="348"/>
        <v>11544.000000000002</v>
      </c>
      <c r="H1575" s="2349"/>
      <c r="I1575" s="2349">
        <f t="shared" si="348"/>
        <v>0</v>
      </c>
      <c r="J1575" s="2349">
        <v>0</v>
      </c>
      <c r="K1575" s="2333">
        <f t="shared" si="346"/>
        <v>0</v>
      </c>
      <c r="L1575" s="2349">
        <f t="shared" si="348"/>
        <v>0</v>
      </c>
      <c r="M1575" s="2349">
        <f t="shared" si="348"/>
        <v>0</v>
      </c>
    </row>
    <row r="1576" spans="1:13" x14ac:dyDescent="0.2">
      <c r="B1576" s="2330"/>
      <c r="C1576" s="2349"/>
      <c r="D1576" s="2349"/>
      <c r="E1576" s="2349"/>
      <c r="F1576" s="2349"/>
      <c r="G1576" s="2349"/>
      <c r="H1576" s="2349"/>
      <c r="I1576" s="2349"/>
      <c r="J1576" s="2349"/>
      <c r="K1576" s="2333">
        <f t="shared" si="346"/>
        <v>0</v>
      </c>
      <c r="L1576" s="2349"/>
      <c r="M1576" s="2349"/>
    </row>
    <row r="1577" spans="1:13" x14ac:dyDescent="0.2">
      <c r="B1577" s="2330" t="s">
        <v>6599</v>
      </c>
      <c r="C1577" s="2349"/>
      <c r="D1577" s="2349"/>
      <c r="E1577" s="2349"/>
      <c r="F1577" s="2349"/>
      <c r="G1577" s="2349"/>
      <c r="H1577" s="2349"/>
      <c r="I1577" s="2349"/>
      <c r="J1577" s="2349"/>
      <c r="K1577" s="2333">
        <f t="shared" si="346"/>
        <v>0</v>
      </c>
      <c r="L1577" s="2349"/>
      <c r="M1577" s="2349"/>
    </row>
    <row r="1578" spans="1:13" x14ac:dyDescent="0.2">
      <c r="A1578" s="2353">
        <v>2305</v>
      </c>
      <c r="B1578" s="2334" t="s">
        <v>6480</v>
      </c>
      <c r="C1578" s="2335">
        <v>495</v>
      </c>
      <c r="D1578" s="2335">
        <v>0</v>
      </c>
      <c r="E1578" s="2335">
        <v>0</v>
      </c>
      <c r="F1578" s="2335">
        <v>0</v>
      </c>
      <c r="G1578" s="2335">
        <v>0</v>
      </c>
      <c r="H1578" s="2335"/>
      <c r="I1578" s="2335">
        <f>ROUND(E1578*1.08,0)</f>
        <v>0</v>
      </c>
      <c r="J1578" s="2335">
        <v>0</v>
      </c>
      <c r="K1578" s="2336">
        <f t="shared" si="346"/>
        <v>0</v>
      </c>
      <c r="L1578" s="2335">
        <f>ROUND(I1578*1.06,0)</f>
        <v>0</v>
      </c>
      <c r="M1578" s="2335">
        <f>ROUND(L1578*1.06,0)</f>
        <v>0</v>
      </c>
    </row>
    <row r="1579" spans="1:13" x14ac:dyDescent="0.2">
      <c r="B1579" s="2330" t="s">
        <v>6614</v>
      </c>
      <c r="C1579" s="2349">
        <f t="shared" ref="C1579:M1579" si="349">SUM(C1578)</f>
        <v>495</v>
      </c>
      <c r="D1579" s="2349">
        <f t="shared" si="349"/>
        <v>0</v>
      </c>
      <c r="E1579" s="2349">
        <f t="shared" si="349"/>
        <v>0</v>
      </c>
      <c r="F1579" s="2349">
        <f t="shared" si="349"/>
        <v>0</v>
      </c>
      <c r="G1579" s="2349">
        <f t="shared" si="349"/>
        <v>0</v>
      </c>
      <c r="H1579" s="2349"/>
      <c r="I1579" s="2349">
        <f t="shared" si="349"/>
        <v>0</v>
      </c>
      <c r="J1579" s="2349">
        <v>0</v>
      </c>
      <c r="K1579" s="2333">
        <f t="shared" si="346"/>
        <v>0</v>
      </c>
      <c r="L1579" s="2349">
        <f t="shared" si="349"/>
        <v>0</v>
      </c>
      <c r="M1579" s="2349">
        <f t="shared" si="349"/>
        <v>0</v>
      </c>
    </row>
    <row r="1580" spans="1:13" x14ac:dyDescent="0.2">
      <c r="B1580" s="2338"/>
      <c r="C1580" s="2380"/>
      <c r="D1580" s="2380"/>
      <c r="E1580" s="2380"/>
      <c r="F1580" s="2380"/>
      <c r="G1580" s="2380"/>
      <c r="H1580" s="2380"/>
      <c r="I1580" s="2380"/>
      <c r="J1580" s="2380"/>
      <c r="K1580" s="2336">
        <f t="shared" si="346"/>
        <v>0</v>
      </c>
      <c r="L1580" s="2380"/>
      <c r="M1580" s="2380"/>
    </row>
    <row r="1581" spans="1:13" x14ac:dyDescent="0.2">
      <c r="B1581" s="2330" t="s">
        <v>6972</v>
      </c>
      <c r="C1581" s="2351">
        <f t="shared" ref="C1581:M1581" si="350">C1569+C1575+C1579</f>
        <v>328384</v>
      </c>
      <c r="D1581" s="2351">
        <f t="shared" si="350"/>
        <v>477107</v>
      </c>
      <c r="E1581" s="2351">
        <f t="shared" si="350"/>
        <v>477107</v>
      </c>
      <c r="F1581" s="2351">
        <f t="shared" si="350"/>
        <v>347698</v>
      </c>
      <c r="G1581" s="2351">
        <f t="shared" si="350"/>
        <v>417237.60000000003</v>
      </c>
      <c r="H1581" s="2351"/>
      <c r="I1581" s="2351">
        <f t="shared" si="350"/>
        <v>546387</v>
      </c>
      <c r="J1581" s="2351">
        <f t="shared" si="350"/>
        <v>524830.53</v>
      </c>
      <c r="K1581" s="2333">
        <f t="shared" si="346"/>
        <v>524830.53</v>
      </c>
      <c r="L1581" s="2351">
        <f t="shared" si="350"/>
        <v>590098</v>
      </c>
      <c r="M1581" s="2351">
        <f t="shared" si="350"/>
        <v>637303</v>
      </c>
    </row>
    <row r="1582" spans="1:13" x14ac:dyDescent="0.2">
      <c r="B1582" s="2330"/>
      <c r="C1582" s="2351"/>
      <c r="D1582" s="2351"/>
      <c r="E1582" s="2351"/>
      <c r="G1582" s="2332"/>
      <c r="H1582" s="2332"/>
      <c r="I1582" s="2332"/>
      <c r="J1582" s="2332"/>
      <c r="K1582" s="2333">
        <f t="shared" si="346"/>
        <v>0</v>
      </c>
      <c r="L1582" s="2351"/>
      <c r="M1582" s="2351"/>
    </row>
    <row r="1583" spans="1:13" x14ac:dyDescent="0.2">
      <c r="B1583" s="2330" t="s">
        <v>6974</v>
      </c>
      <c r="C1583" s="2364"/>
      <c r="D1583" s="2364"/>
      <c r="E1583" s="2364"/>
      <c r="G1583" s="2332"/>
      <c r="H1583" s="2332"/>
      <c r="I1583" s="2332"/>
      <c r="J1583" s="2332"/>
      <c r="K1583" s="2333">
        <f t="shared" si="346"/>
        <v>0</v>
      </c>
      <c r="L1583" s="2364"/>
      <c r="M1583" s="2364"/>
    </row>
    <row r="1584" spans="1:13" x14ac:dyDescent="0.2">
      <c r="A1584" s="2353">
        <v>4204</v>
      </c>
      <c r="B1584" s="2258" t="s">
        <v>6976</v>
      </c>
      <c r="C1584" s="2364">
        <v>2478</v>
      </c>
      <c r="D1584" s="2332">
        <v>10413</v>
      </c>
      <c r="E1584" s="2332">
        <v>10413</v>
      </c>
      <c r="F1584" s="2332">
        <v>0</v>
      </c>
      <c r="G1584" s="2332">
        <f>F1584/$F$11*$G$11</f>
        <v>0</v>
      </c>
      <c r="H1584" s="2332"/>
      <c r="I1584" s="2332">
        <f>ROUND(E1584*1.08,0)</f>
        <v>11246</v>
      </c>
      <c r="J1584" s="2332">
        <f>[5]Sheet1!$K$1019</f>
        <v>61648.639999999999</v>
      </c>
      <c r="K1584" s="2333">
        <f t="shared" si="346"/>
        <v>61648.639999999999</v>
      </c>
      <c r="L1584" s="2332">
        <f>ROUND(I1584*1.08,0)</f>
        <v>12146</v>
      </c>
      <c r="M1584" s="2332">
        <f>ROUND(L1584*1.08,0)</f>
        <v>13118</v>
      </c>
    </row>
    <row r="1585" spans="1:13" x14ac:dyDescent="0.2">
      <c r="A1585" s="2353">
        <v>4209</v>
      </c>
      <c r="B1585" s="2258" t="s">
        <v>6449</v>
      </c>
      <c r="C1585" s="2364">
        <v>18</v>
      </c>
      <c r="D1585" s="2332">
        <v>0</v>
      </c>
      <c r="E1585" s="2332">
        <v>0</v>
      </c>
      <c r="F1585" s="2332">
        <v>0</v>
      </c>
      <c r="G1585" s="2332">
        <f>F1585/$F$11*$G$11</f>
        <v>0</v>
      </c>
      <c r="H1585" s="2332"/>
      <c r="I1585" s="2332">
        <f>ROUND(E1585*1.08,0)</f>
        <v>0</v>
      </c>
      <c r="J1585" s="2332">
        <v>0</v>
      </c>
      <c r="K1585" s="2333">
        <f t="shared" si="346"/>
        <v>0</v>
      </c>
      <c r="L1585" s="2332">
        <f>ROUND(I1585*1.08,0)</f>
        <v>0</v>
      </c>
      <c r="M1585" s="2332">
        <f>ROUND(L1585*1.08,0)</f>
        <v>0</v>
      </c>
    </row>
    <row r="1586" spans="1:13" x14ac:dyDescent="0.2">
      <c r="A1586" s="2353">
        <v>4207</v>
      </c>
      <c r="B1586" s="2334" t="s">
        <v>6977</v>
      </c>
      <c r="C1586" s="2397">
        <v>1804</v>
      </c>
      <c r="D1586" s="2335">
        <v>12296</v>
      </c>
      <c r="E1586" s="2335">
        <v>12296</v>
      </c>
      <c r="F1586" s="2335">
        <v>0</v>
      </c>
      <c r="G1586" s="2335">
        <f>F1586/$F$11*$G$11</f>
        <v>0</v>
      </c>
      <c r="H1586" s="2335"/>
      <c r="I1586" s="2335">
        <f>ROUND(E1586*1.08,0)</f>
        <v>13280</v>
      </c>
      <c r="J1586" s="2335">
        <f>[5]Sheet1!$K$1020</f>
        <v>4532.24</v>
      </c>
      <c r="K1586" s="2336">
        <f t="shared" si="346"/>
        <v>4532.24</v>
      </c>
      <c r="L1586" s="2335">
        <f>ROUND(I1586*1.08,0)</f>
        <v>14342</v>
      </c>
      <c r="M1586" s="2335">
        <f>ROUND(L1586*1.08,0)</f>
        <v>15489</v>
      </c>
    </row>
    <row r="1587" spans="1:13" x14ac:dyDescent="0.2">
      <c r="B1587" s="2330" t="s">
        <v>6979</v>
      </c>
      <c r="C1587" s="2349">
        <f t="shared" ref="C1587:M1587" si="351">SUM(C1584:C1586)</f>
        <v>4300</v>
      </c>
      <c r="D1587" s="2349">
        <f t="shared" si="351"/>
        <v>22709</v>
      </c>
      <c r="E1587" s="2349">
        <f t="shared" si="351"/>
        <v>22709</v>
      </c>
      <c r="F1587" s="2349">
        <f t="shared" si="351"/>
        <v>0</v>
      </c>
      <c r="G1587" s="2349">
        <f t="shared" si="351"/>
        <v>0</v>
      </c>
      <c r="H1587" s="2349"/>
      <c r="I1587" s="2349">
        <f t="shared" si="351"/>
        <v>24526</v>
      </c>
      <c r="J1587" s="2349">
        <f>J1584+J1586</f>
        <v>66180.88</v>
      </c>
      <c r="K1587" s="2333">
        <f t="shared" si="346"/>
        <v>66180.88</v>
      </c>
      <c r="L1587" s="2349">
        <f t="shared" si="351"/>
        <v>26488</v>
      </c>
      <c r="M1587" s="2349">
        <f t="shared" si="351"/>
        <v>28607</v>
      </c>
    </row>
    <row r="1588" spans="1:13" x14ac:dyDescent="0.2">
      <c r="B1588" s="2338"/>
      <c r="C1588" s="2423"/>
      <c r="D1588" s="2423"/>
      <c r="E1588" s="2423"/>
      <c r="F1588" s="2423"/>
      <c r="G1588" s="2423"/>
      <c r="H1588" s="2423"/>
      <c r="I1588" s="2423"/>
      <c r="J1588" s="2423">
        <f>J1587-[5]Sheet1!$K$1021</f>
        <v>0</v>
      </c>
      <c r="K1588" s="2336">
        <f t="shared" si="346"/>
        <v>0</v>
      </c>
      <c r="L1588" s="2423"/>
      <c r="M1588" s="2423"/>
    </row>
    <row r="1589" spans="1:13" x14ac:dyDescent="0.2">
      <c r="B1589" s="2330" t="s">
        <v>7147</v>
      </c>
      <c r="C1589" s="2351">
        <f t="shared" ref="C1589:M1589" si="352">+C1581+C1587</f>
        <v>332684</v>
      </c>
      <c r="D1589" s="2351">
        <f t="shared" si="352"/>
        <v>499816</v>
      </c>
      <c r="E1589" s="2351">
        <f t="shared" si="352"/>
        <v>499816</v>
      </c>
      <c r="F1589" s="2351">
        <f t="shared" si="352"/>
        <v>347698</v>
      </c>
      <c r="G1589" s="2351">
        <f t="shared" si="352"/>
        <v>417237.60000000003</v>
      </c>
      <c r="H1589" s="2351"/>
      <c r="I1589" s="2351">
        <f t="shared" si="352"/>
        <v>570913</v>
      </c>
      <c r="J1589" s="2351">
        <f>+J1581+J1587</f>
        <v>591011.41</v>
      </c>
      <c r="K1589" s="2333">
        <f t="shared" si="346"/>
        <v>591011.41</v>
      </c>
      <c r="L1589" s="2351">
        <f t="shared" si="352"/>
        <v>616586</v>
      </c>
      <c r="M1589" s="2351">
        <f t="shared" si="352"/>
        <v>665910</v>
      </c>
    </row>
    <row r="1590" spans="1:13" x14ac:dyDescent="0.2">
      <c r="B1590" s="2330"/>
      <c r="C1590" s="2351"/>
      <c r="D1590" s="2351"/>
      <c r="E1590" s="2351"/>
      <c r="F1590" s="2351"/>
      <c r="G1590" s="2351"/>
      <c r="H1590" s="2351"/>
      <c r="I1590" s="2351"/>
      <c r="J1590" s="2351"/>
      <c r="K1590" s="2333">
        <f t="shared" si="346"/>
        <v>0</v>
      </c>
      <c r="L1590" s="2351"/>
      <c r="M1590" s="2351"/>
    </row>
    <row r="1591" spans="1:13" ht="13.5" thickBot="1" x14ac:dyDescent="0.25">
      <c r="B1591" s="2342" t="s">
        <v>6980</v>
      </c>
      <c r="C1591" s="2354">
        <f t="shared" ref="C1591:M1591" si="353">+C1589</f>
        <v>332684</v>
      </c>
      <c r="D1591" s="2354">
        <f t="shared" si="353"/>
        <v>499816</v>
      </c>
      <c r="E1591" s="2354">
        <f t="shared" si="353"/>
        <v>499816</v>
      </c>
      <c r="F1591" s="2354">
        <f t="shared" si="353"/>
        <v>347698</v>
      </c>
      <c r="G1591" s="2354">
        <f t="shared" si="353"/>
        <v>417237.60000000003</v>
      </c>
      <c r="H1591" s="2354"/>
      <c r="I1591" s="2354">
        <f t="shared" si="353"/>
        <v>570913</v>
      </c>
      <c r="J1591" s="2354">
        <f>+J1589</f>
        <v>591011.41</v>
      </c>
      <c r="K1591" s="2344">
        <f t="shared" si="346"/>
        <v>591011.41</v>
      </c>
      <c r="L1591" s="2354">
        <f t="shared" si="353"/>
        <v>616586</v>
      </c>
      <c r="M1591" s="2354">
        <f t="shared" si="353"/>
        <v>665910</v>
      </c>
    </row>
    <row r="1592" spans="1:13" ht="13.5" thickTop="1" x14ac:dyDescent="0.2">
      <c r="B1592" s="2330"/>
      <c r="C1592" s="2349"/>
      <c r="D1592" s="2349"/>
      <c r="E1592" s="2349"/>
      <c r="F1592" s="2349"/>
      <c r="G1592" s="2349"/>
      <c r="H1592" s="2349"/>
      <c r="I1592" s="2349"/>
      <c r="J1592" s="2349"/>
      <c r="K1592" s="2333">
        <f t="shared" si="346"/>
        <v>0</v>
      </c>
      <c r="L1592" s="2349"/>
      <c r="M1592" s="2349"/>
    </row>
    <row r="1593" spans="1:13" ht="13.5" thickBot="1" x14ac:dyDescent="0.25">
      <c r="B1593" s="2342" t="s">
        <v>6624</v>
      </c>
      <c r="C1593" s="2355">
        <f t="shared" ref="C1593:M1593" si="354">C1551-C1591</f>
        <v>-330854</v>
      </c>
      <c r="D1593" s="2355">
        <f t="shared" si="354"/>
        <v>-497016</v>
      </c>
      <c r="E1593" s="2355">
        <f t="shared" si="354"/>
        <v>-497016</v>
      </c>
      <c r="F1593" s="2355">
        <f t="shared" si="354"/>
        <v>-343284</v>
      </c>
      <c r="G1593" s="2355">
        <f t="shared" si="354"/>
        <v>-411940.80000000005</v>
      </c>
      <c r="H1593" s="2355"/>
      <c r="I1593" s="2355">
        <f t="shared" si="354"/>
        <v>-565087</v>
      </c>
      <c r="J1593" s="2355">
        <f>J1551-J1591</f>
        <v>-590406.13</v>
      </c>
      <c r="K1593" s="2344">
        <f t="shared" si="346"/>
        <v>-590406.13</v>
      </c>
      <c r="L1593" s="2355">
        <f t="shared" si="354"/>
        <v>-610410</v>
      </c>
      <c r="M1593" s="2355">
        <f t="shared" si="354"/>
        <v>-659363</v>
      </c>
    </row>
    <row r="1594" spans="1:13" ht="13.5" thickTop="1" x14ac:dyDescent="0.2">
      <c r="B1594" s="2330"/>
      <c r="C1594" s="2356"/>
      <c r="D1594" s="2356"/>
      <c r="E1594" s="2356"/>
      <c r="G1594" s="2332"/>
      <c r="H1594" s="2332"/>
      <c r="I1594" s="2332"/>
      <c r="J1594" s="2332"/>
      <c r="K1594" s="2333">
        <f t="shared" si="346"/>
        <v>0</v>
      </c>
      <c r="L1594" s="2356"/>
      <c r="M1594" s="2356"/>
    </row>
    <row r="1595" spans="1:13" x14ac:dyDescent="0.2">
      <c r="A1595" s="2369"/>
      <c r="B1595" s="2369"/>
      <c r="C1595" s="2369"/>
      <c r="D1595" s="2369"/>
      <c r="E1595" s="2369"/>
      <c r="G1595" s="2332"/>
      <c r="H1595" s="2332"/>
      <c r="I1595" s="2332"/>
      <c r="J1595" s="2332"/>
      <c r="K1595" s="2333">
        <f t="shared" si="346"/>
        <v>0</v>
      </c>
      <c r="L1595" s="2369"/>
      <c r="M1595" s="2369"/>
    </row>
    <row r="1596" spans="1:13" ht="15.75" x14ac:dyDescent="0.25">
      <c r="A1596" s="2374">
        <v>1800</v>
      </c>
      <c r="B1596" s="2421" t="s">
        <v>6825</v>
      </c>
      <c r="G1596" s="2332"/>
      <c r="H1596" s="2332"/>
      <c r="I1596" s="2332"/>
      <c r="J1596" s="2332"/>
      <c r="K1596" s="2333">
        <f t="shared" si="346"/>
        <v>0</v>
      </c>
    </row>
    <row r="1597" spans="1:13" ht="15" x14ac:dyDescent="0.25">
      <c r="A1597" s="2365">
        <v>1810</v>
      </c>
      <c r="B1597" s="2326" t="s">
        <v>7196</v>
      </c>
      <c r="C1597" s="2326"/>
      <c r="D1597" s="2326"/>
      <c r="E1597" s="2326"/>
      <c r="G1597" s="2332"/>
      <c r="H1597" s="2332"/>
      <c r="I1597" s="2332"/>
      <c r="J1597" s="2332"/>
      <c r="K1597" s="2333">
        <f t="shared" si="346"/>
        <v>0</v>
      </c>
    </row>
    <row r="1598" spans="1:13" ht="15" x14ac:dyDescent="0.25">
      <c r="B1598" s="2326"/>
      <c r="C1598" s="2326"/>
      <c r="D1598" s="2326"/>
      <c r="E1598" s="2326"/>
      <c r="G1598" s="2332"/>
      <c r="H1598" s="2332"/>
      <c r="I1598" s="2332"/>
      <c r="J1598" s="2332"/>
      <c r="K1598" s="2333">
        <f t="shared" si="346"/>
        <v>0</v>
      </c>
    </row>
    <row r="1599" spans="1:13" x14ac:dyDescent="0.2">
      <c r="B1599" s="2328" t="s">
        <v>247</v>
      </c>
      <c r="C1599" s="2328"/>
      <c r="D1599" s="2328"/>
      <c r="E1599" s="2328"/>
      <c r="G1599" s="2332"/>
      <c r="H1599" s="2332"/>
      <c r="I1599" s="2332"/>
      <c r="J1599" s="2332"/>
      <c r="K1599" s="2333">
        <f t="shared" si="346"/>
        <v>0</v>
      </c>
    </row>
    <row r="1600" spans="1:13" x14ac:dyDescent="0.2">
      <c r="B1600" s="2328"/>
      <c r="C1600" s="2328"/>
      <c r="D1600" s="2328"/>
      <c r="E1600" s="2328"/>
      <c r="G1600" s="2332"/>
      <c r="H1600" s="2332"/>
      <c r="I1600" s="2332"/>
      <c r="J1600" s="2332"/>
      <c r="K1600" s="2333">
        <f t="shared" si="346"/>
        <v>0</v>
      </c>
    </row>
    <row r="1601" spans="1:13" x14ac:dyDescent="0.2">
      <c r="B1601" s="2330" t="s">
        <v>7197</v>
      </c>
      <c r="C1601" s="2375"/>
      <c r="D1601" s="2375"/>
      <c r="E1601" s="2375"/>
      <c r="G1601" s="2332"/>
      <c r="H1601" s="2332"/>
      <c r="I1601" s="2386"/>
      <c r="J1601" s="2386"/>
      <c r="K1601" s="2333">
        <f t="shared" si="346"/>
        <v>0</v>
      </c>
    </row>
    <row r="1602" spans="1:13" x14ac:dyDescent="0.2">
      <c r="A1602" s="2353">
        <v>5611</v>
      </c>
      <c r="B1602" s="2334" t="s">
        <v>7198</v>
      </c>
      <c r="C1602" s="2335">
        <v>3014546</v>
      </c>
      <c r="D1602" s="2335">
        <f>ROUND(3000581*1.04,0)</f>
        <v>3120604</v>
      </c>
      <c r="E1602" s="2335">
        <v>3120604</v>
      </c>
      <c r="F1602" s="2335">
        <v>2603728</v>
      </c>
      <c r="G1602" s="2335">
        <f>F1602/$F$11*$G$11</f>
        <v>3124473.5999999996</v>
      </c>
      <c r="H1602" s="2335"/>
      <c r="I1602" s="2335">
        <f>ROUND(96060*O1602,0)</f>
        <v>0</v>
      </c>
      <c r="J1602" s="2335">
        <f>-[5]Sheet1!$K$1116</f>
        <v>3522389.1</v>
      </c>
      <c r="K1602" s="2336">
        <f t="shared" si="346"/>
        <v>3522389.1</v>
      </c>
      <c r="L1602" s="2335">
        <f>ROUND(96060*P1602,0)</f>
        <v>0</v>
      </c>
      <c r="M1602" s="2335">
        <f>ROUND(96060*Q1602,0)</f>
        <v>0</v>
      </c>
    </row>
    <row r="1603" spans="1:13" x14ac:dyDescent="0.2">
      <c r="B1603" s="2330" t="s">
        <v>7199</v>
      </c>
      <c r="C1603" s="2420">
        <f t="shared" ref="C1603:M1603" si="355">SUM(C1602)</f>
        <v>3014546</v>
      </c>
      <c r="D1603" s="2420">
        <f t="shared" si="355"/>
        <v>3120604</v>
      </c>
      <c r="E1603" s="2420">
        <f t="shared" si="355"/>
        <v>3120604</v>
      </c>
      <c r="F1603" s="2420">
        <f t="shared" si="355"/>
        <v>2603728</v>
      </c>
      <c r="G1603" s="2420">
        <f t="shared" si="355"/>
        <v>3124473.5999999996</v>
      </c>
      <c r="H1603" s="2420"/>
      <c r="I1603" s="2420">
        <f t="shared" si="355"/>
        <v>0</v>
      </c>
      <c r="J1603" s="2420">
        <f>J1602</f>
        <v>3522389.1</v>
      </c>
      <c r="K1603" s="2333">
        <f t="shared" si="346"/>
        <v>3522389.1</v>
      </c>
      <c r="L1603" s="2420">
        <f t="shared" si="355"/>
        <v>0</v>
      </c>
      <c r="M1603" s="2420">
        <f t="shared" si="355"/>
        <v>0</v>
      </c>
    </row>
    <row r="1604" spans="1:13" x14ac:dyDescent="0.2">
      <c r="B1604" s="2338"/>
      <c r="C1604" s="2430"/>
      <c r="D1604" s="2430"/>
      <c r="E1604" s="2430"/>
      <c r="F1604" s="2430"/>
      <c r="G1604" s="2430"/>
      <c r="H1604" s="2430"/>
      <c r="I1604" s="2430"/>
      <c r="J1604" s="2430"/>
      <c r="K1604" s="2336">
        <f t="shared" si="346"/>
        <v>0</v>
      </c>
      <c r="L1604" s="2430"/>
      <c r="M1604" s="2430"/>
    </row>
    <row r="1605" spans="1:13" x14ac:dyDescent="0.2">
      <c r="B1605" s="2330" t="s">
        <v>7200</v>
      </c>
      <c r="C1605" s="2351">
        <f t="shared" ref="C1605:M1605" si="356">+C1603</f>
        <v>3014546</v>
      </c>
      <c r="D1605" s="2351">
        <f t="shared" si="356"/>
        <v>3120604</v>
      </c>
      <c r="E1605" s="2351">
        <f t="shared" si="356"/>
        <v>3120604</v>
      </c>
      <c r="F1605" s="2351">
        <f t="shared" si="356"/>
        <v>2603728</v>
      </c>
      <c r="G1605" s="2351">
        <f t="shared" si="356"/>
        <v>3124473.5999999996</v>
      </c>
      <c r="H1605" s="2351"/>
      <c r="I1605" s="2351">
        <f t="shared" si="356"/>
        <v>0</v>
      </c>
      <c r="J1605" s="2351">
        <f>J1603</f>
        <v>3522389.1</v>
      </c>
      <c r="K1605" s="2333">
        <f t="shared" si="346"/>
        <v>3522389.1</v>
      </c>
      <c r="L1605" s="2351">
        <f t="shared" si="356"/>
        <v>0</v>
      </c>
      <c r="M1605" s="2351">
        <f t="shared" si="356"/>
        <v>0</v>
      </c>
    </row>
    <row r="1606" spans="1:13" x14ac:dyDescent="0.2">
      <c r="B1606" s="2330"/>
      <c r="C1606" s="2364"/>
      <c r="D1606" s="2364"/>
      <c r="E1606" s="2364"/>
      <c r="G1606" s="2332"/>
      <c r="H1606" s="2332"/>
      <c r="I1606" s="2332"/>
      <c r="J1606" s="2332"/>
      <c r="K1606" s="2333">
        <f t="shared" si="346"/>
        <v>0</v>
      </c>
      <c r="L1606" s="2364"/>
      <c r="M1606" s="2364"/>
    </row>
    <row r="1607" spans="1:13" x14ac:dyDescent="0.2">
      <c r="B1607" s="2330" t="s">
        <v>6929</v>
      </c>
      <c r="C1607" s="2332"/>
      <c r="D1607" s="2332"/>
      <c r="E1607" s="2332"/>
      <c r="G1607" s="2332"/>
      <c r="H1607" s="2332"/>
      <c r="I1607" s="2332"/>
      <c r="J1607" s="2332"/>
      <c r="K1607" s="2333">
        <f t="shared" si="346"/>
        <v>0</v>
      </c>
      <c r="L1607" s="2332"/>
      <c r="M1607" s="2332"/>
    </row>
    <row r="1608" spans="1:13" x14ac:dyDescent="0.2">
      <c r="A1608" s="2353">
        <v>5501</v>
      </c>
      <c r="B1608" s="2334" t="s">
        <v>595</v>
      </c>
      <c r="C1608" s="2339">
        <v>2164067</v>
      </c>
      <c r="D1608" s="2335">
        <f>449763+1190676</f>
        <v>1640439</v>
      </c>
      <c r="E1608" s="2335">
        <v>1640439</v>
      </c>
      <c r="F1608" s="2335">
        <v>0</v>
      </c>
      <c r="G1608" s="2335">
        <v>1640439</v>
      </c>
      <c r="H1608" s="2335"/>
      <c r="I1608" s="2335">
        <f>+I1681-I1605</f>
        <v>6109654</v>
      </c>
      <c r="J1608" s="2335">
        <f>-[5]Sheet1!$K$1120</f>
        <v>2612013</v>
      </c>
      <c r="K1608" s="2336">
        <f t="shared" si="346"/>
        <v>2612013</v>
      </c>
      <c r="L1608" s="2335">
        <f>+L1681-L1605</f>
        <v>6577578</v>
      </c>
      <c r="M1608" s="2335">
        <f>+M1681-M1605</f>
        <v>7069926</v>
      </c>
    </row>
    <row r="1609" spans="1:13" x14ac:dyDescent="0.2">
      <c r="B1609" s="2330" t="s">
        <v>6932</v>
      </c>
      <c r="C1609" s="2420">
        <f t="shared" ref="C1609:M1609" si="357">SUM(C1608)</f>
        <v>2164067</v>
      </c>
      <c r="D1609" s="2420">
        <f t="shared" si="357"/>
        <v>1640439</v>
      </c>
      <c r="E1609" s="2420">
        <f t="shared" si="357"/>
        <v>1640439</v>
      </c>
      <c r="F1609" s="2420">
        <f t="shared" si="357"/>
        <v>0</v>
      </c>
      <c r="G1609" s="2420">
        <f t="shared" si="357"/>
        <v>1640439</v>
      </c>
      <c r="H1609" s="2420"/>
      <c r="I1609" s="2420">
        <f t="shared" si="357"/>
        <v>6109654</v>
      </c>
      <c r="J1609" s="2420">
        <f>J1608</f>
        <v>2612013</v>
      </c>
      <c r="K1609" s="2333">
        <f t="shared" si="346"/>
        <v>2612013</v>
      </c>
      <c r="L1609" s="2420">
        <f t="shared" si="357"/>
        <v>6577578</v>
      </c>
      <c r="M1609" s="2420">
        <f t="shared" si="357"/>
        <v>7069926</v>
      </c>
    </row>
    <row r="1610" spans="1:13" x14ac:dyDescent="0.2">
      <c r="B1610" s="2330"/>
      <c r="C1610" s="2376"/>
      <c r="D1610" s="2376"/>
      <c r="E1610" s="2376"/>
      <c r="F1610" s="2376"/>
      <c r="G1610" s="2376"/>
      <c r="H1610" s="2376"/>
      <c r="I1610" s="2376"/>
      <c r="J1610" s="2376"/>
      <c r="K1610" s="2333">
        <f t="shared" si="346"/>
        <v>0</v>
      </c>
      <c r="L1610" s="2376"/>
      <c r="M1610" s="2376"/>
    </row>
    <row r="1611" spans="1:13" ht="13.5" thickBot="1" x14ac:dyDescent="0.25">
      <c r="B1611" s="2342" t="s">
        <v>6751</v>
      </c>
      <c r="C1611" s="2343">
        <f t="shared" ref="C1611:M1611" si="358">C1605+C1609</f>
        <v>5178613</v>
      </c>
      <c r="D1611" s="2343">
        <f t="shared" si="358"/>
        <v>4761043</v>
      </c>
      <c r="E1611" s="2343">
        <f t="shared" si="358"/>
        <v>4761043</v>
      </c>
      <c r="F1611" s="2343">
        <f t="shared" si="358"/>
        <v>2603728</v>
      </c>
      <c r="G1611" s="2343">
        <f t="shared" si="358"/>
        <v>4764912.5999999996</v>
      </c>
      <c r="H1611" s="2343"/>
      <c r="I1611" s="2343">
        <f t="shared" si="358"/>
        <v>6109654</v>
      </c>
      <c r="J1611" s="2343">
        <f>J1605+J1609</f>
        <v>6134402.0999999996</v>
      </c>
      <c r="K1611" s="2344">
        <f t="shared" si="346"/>
        <v>6134402.0999999996</v>
      </c>
      <c r="L1611" s="2343">
        <f t="shared" si="358"/>
        <v>6577578</v>
      </c>
      <c r="M1611" s="2343">
        <f t="shared" si="358"/>
        <v>7069926</v>
      </c>
    </row>
    <row r="1612" spans="1:13" ht="13.5" thickTop="1" x14ac:dyDescent="0.2">
      <c r="B1612" s="2346"/>
      <c r="C1612" s="2346"/>
      <c r="D1612" s="2346"/>
      <c r="E1612" s="2346"/>
      <c r="G1612" s="2332"/>
      <c r="H1612" s="2332"/>
      <c r="I1612" s="2332"/>
      <c r="J1612" s="2332">
        <f>J1611+[5]Sheet1!$K$1117+[5]Sheet1!$K$1121</f>
        <v>0</v>
      </c>
      <c r="K1612" s="2333">
        <f t="shared" si="346"/>
        <v>0</v>
      </c>
      <c r="L1612" s="2346"/>
      <c r="M1612" s="2346"/>
    </row>
    <row r="1613" spans="1:13" x14ac:dyDescent="0.2">
      <c r="B1613" s="2328" t="s">
        <v>235</v>
      </c>
      <c r="C1613" s="2328"/>
      <c r="D1613" s="2328"/>
      <c r="E1613" s="2328"/>
      <c r="G1613" s="2332"/>
      <c r="H1613" s="2332"/>
      <c r="I1613" s="2332"/>
      <c r="J1613" s="2332"/>
      <c r="K1613" s="2333">
        <f t="shared" si="346"/>
        <v>0</v>
      </c>
      <c r="L1613" s="2328"/>
      <c r="M1613" s="2328"/>
    </row>
    <row r="1614" spans="1:13" x14ac:dyDescent="0.2">
      <c r="B1614" s="2328"/>
      <c r="C1614" s="2328"/>
      <c r="D1614" s="2328"/>
      <c r="E1614" s="2328"/>
      <c r="G1614" s="2332"/>
      <c r="H1614" s="2332"/>
      <c r="I1614" s="2332"/>
      <c r="J1614" s="2332"/>
      <c r="K1614" s="2333">
        <f t="shared" si="346"/>
        <v>0</v>
      </c>
      <c r="L1614" s="2328"/>
      <c r="M1614" s="2328"/>
    </row>
    <row r="1615" spans="1:13" x14ac:dyDescent="0.2">
      <c r="B1615" s="2330" t="s">
        <v>387</v>
      </c>
      <c r="C1615" s="2332"/>
      <c r="D1615" s="2332"/>
      <c r="E1615" s="2332"/>
      <c r="G1615" s="2332"/>
      <c r="H1615" s="2332"/>
      <c r="I1615" s="2332"/>
      <c r="J1615" s="2332"/>
      <c r="K1615" s="2333">
        <f t="shared" si="346"/>
        <v>0</v>
      </c>
      <c r="L1615" s="2332"/>
      <c r="M1615" s="2332"/>
    </row>
    <row r="1616" spans="1:13" x14ac:dyDescent="0.2">
      <c r="A1616" s="2353">
        <v>1001</v>
      </c>
      <c r="B1616" s="2258" t="s">
        <v>6943</v>
      </c>
      <c r="C1616" s="2332">
        <v>1588789</v>
      </c>
      <c r="D1616" s="2332">
        <v>1218641</v>
      </c>
      <c r="E1616" s="2332">
        <v>1168414</v>
      </c>
      <c r="F1616" s="2332">
        <v>1205112</v>
      </c>
      <c r="G1616" s="2332">
        <f t="shared" ref="G1616:G1629" si="359">F1616/$F$11*$G$11</f>
        <v>1446134.4</v>
      </c>
      <c r="H1616" s="2332"/>
      <c r="I1616" s="2332">
        <f>[6]Salary_Bdgt!$H$415</f>
        <v>3141922</v>
      </c>
      <c r="J1616" s="2332">
        <f>[5]Sheet1!$K$1124</f>
        <v>2385816</v>
      </c>
      <c r="K1616" s="2333">
        <f t="shared" si="346"/>
        <v>2385816</v>
      </c>
      <c r="L1616" s="2332">
        <f t="shared" ref="L1616:L1629" si="360">ROUND(I1616*1.08,0)</f>
        <v>3393276</v>
      </c>
      <c r="M1616" s="2332">
        <f t="shared" ref="M1616:M1629" si="361">ROUND(L1616*1.08,0)</f>
        <v>3664738</v>
      </c>
    </row>
    <row r="1617" spans="1:13" x14ac:dyDescent="0.2">
      <c r="A1617" s="2353">
        <v>1005</v>
      </c>
      <c r="B1617" s="2258" t="s">
        <v>6944</v>
      </c>
      <c r="C1617" s="2332">
        <v>76938</v>
      </c>
      <c r="D1617" s="2332">
        <v>23174</v>
      </c>
      <c r="E1617" s="2332">
        <f>+D1617+47206</f>
        <v>70380</v>
      </c>
      <c r="F1617" s="2332">
        <v>76657</v>
      </c>
      <c r="G1617" s="2332">
        <f t="shared" si="359"/>
        <v>91988.4</v>
      </c>
      <c r="H1617" s="2332"/>
      <c r="I1617" s="2332">
        <f>+[6]Salary_Bdgt!$L$415</f>
        <v>79769</v>
      </c>
      <c r="J1617" s="2332">
        <f>[5]Sheet1!$K$1135</f>
        <v>106010.4</v>
      </c>
      <c r="K1617" s="2333">
        <f t="shared" si="346"/>
        <v>106010.4</v>
      </c>
      <c r="L1617" s="2332">
        <f t="shared" si="360"/>
        <v>86151</v>
      </c>
      <c r="M1617" s="2332">
        <f t="shared" si="361"/>
        <v>93043</v>
      </c>
    </row>
    <row r="1618" spans="1:13" x14ac:dyDescent="0.2">
      <c r="A1618" s="2353">
        <v>1006</v>
      </c>
      <c r="B1618" s="2258" t="s">
        <v>6945</v>
      </c>
      <c r="C1618" s="2332">
        <v>288667</v>
      </c>
      <c r="D1618" s="2332">
        <v>99398</v>
      </c>
      <c r="E1618" s="2332">
        <f>+D1618</f>
        <v>99398</v>
      </c>
      <c r="F1618" s="2332">
        <v>219000</v>
      </c>
      <c r="G1618" s="2332">
        <f t="shared" si="359"/>
        <v>262800</v>
      </c>
      <c r="H1618" s="2332"/>
      <c r="I1618" s="2332">
        <f>+[6]Salary_Bdgt!$N$415</f>
        <v>508469</v>
      </c>
      <c r="J1618" s="2332">
        <f>[5]Sheet1!$K$1136</f>
        <v>318486.38</v>
      </c>
      <c r="K1618" s="2333">
        <f t="shared" si="346"/>
        <v>318486.38</v>
      </c>
      <c r="L1618" s="2332">
        <f t="shared" si="360"/>
        <v>549147</v>
      </c>
      <c r="M1618" s="2332">
        <f t="shared" si="361"/>
        <v>593079</v>
      </c>
    </row>
    <row r="1619" spans="1:13" x14ac:dyDescent="0.2">
      <c r="A1619" s="2353">
        <v>1007</v>
      </c>
      <c r="B1619" s="2258" t="s">
        <v>6410</v>
      </c>
      <c r="C1619" s="2332">
        <v>18088</v>
      </c>
      <c r="D1619" s="2332">
        <v>23811</v>
      </c>
      <c r="E1619" s="2332">
        <f>+D1619</f>
        <v>23811</v>
      </c>
      <c r="F1619" s="2332">
        <v>13762</v>
      </c>
      <c r="G1619" s="2332">
        <f t="shared" si="359"/>
        <v>16514.400000000001</v>
      </c>
      <c r="H1619" s="2332"/>
      <c r="I1619" s="2332">
        <f>+[6]Salary_Bdgt!$I$415</f>
        <v>61607</v>
      </c>
      <c r="J1619" s="2332">
        <f>[5]Sheet1!$K$1137</f>
        <v>27082.720000000001</v>
      </c>
      <c r="K1619" s="2333">
        <f t="shared" si="346"/>
        <v>27082.720000000001</v>
      </c>
      <c r="L1619" s="2332">
        <f t="shared" si="360"/>
        <v>66536</v>
      </c>
      <c r="M1619" s="2332">
        <f t="shared" si="361"/>
        <v>71859</v>
      </c>
    </row>
    <row r="1620" spans="1:13" x14ac:dyDescent="0.2">
      <c r="A1620" s="2353">
        <v>1009</v>
      </c>
      <c r="B1620" s="2258" t="s">
        <v>6408</v>
      </c>
      <c r="C1620" s="2332">
        <v>1366</v>
      </c>
      <c r="D1620" s="2332">
        <v>845</v>
      </c>
      <c r="E1620" s="2332">
        <f>+D1620+91</f>
        <v>936</v>
      </c>
      <c r="F1620" s="2332">
        <v>956</v>
      </c>
      <c r="G1620" s="2332">
        <f t="shared" si="359"/>
        <v>1147.1999999999998</v>
      </c>
      <c r="H1620" s="2332"/>
      <c r="I1620" s="2332">
        <f>+[6]Salary_Bdgt!$M$415</f>
        <v>2205</v>
      </c>
      <c r="J1620" s="2332">
        <f>[5]Sheet1!$K$1132</f>
        <v>1968</v>
      </c>
      <c r="K1620" s="2333">
        <f t="shared" si="346"/>
        <v>1968</v>
      </c>
      <c r="L1620" s="2332">
        <f t="shared" si="360"/>
        <v>2381</v>
      </c>
      <c r="M1620" s="2332">
        <f t="shared" si="361"/>
        <v>2571</v>
      </c>
    </row>
    <row r="1621" spans="1:13" x14ac:dyDescent="0.2">
      <c r="A1621" s="2353">
        <v>1010</v>
      </c>
      <c r="B1621" s="2258" t="s">
        <v>6946</v>
      </c>
      <c r="C1621" s="2332">
        <v>146261</v>
      </c>
      <c r="D1621" s="2332">
        <v>101553</v>
      </c>
      <c r="E1621" s="2332">
        <f>+D1621</f>
        <v>101553</v>
      </c>
      <c r="F1621" s="2332">
        <v>101199</v>
      </c>
      <c r="G1621" s="2332">
        <f t="shared" si="359"/>
        <v>121438.79999999999</v>
      </c>
      <c r="H1621" s="2332"/>
      <c r="I1621" s="2332">
        <f>+[6]Salary_Bdgt!$Q$415</f>
        <v>261827</v>
      </c>
      <c r="J1621" s="2332">
        <f>[5]Sheet1!$K$1125</f>
        <v>136499.84</v>
      </c>
      <c r="K1621" s="2333">
        <f t="shared" ref="K1621:K1684" si="362">J1621</f>
        <v>136499.84</v>
      </c>
      <c r="L1621" s="2332">
        <f t="shared" si="360"/>
        <v>282773</v>
      </c>
      <c r="M1621" s="2332">
        <f t="shared" si="361"/>
        <v>305395</v>
      </c>
    </row>
    <row r="1622" spans="1:13" x14ac:dyDescent="0.2">
      <c r="A1622" s="2353">
        <v>1011</v>
      </c>
      <c r="B1622" s="2258" t="s">
        <v>6947</v>
      </c>
      <c r="C1622" s="2332">
        <v>2400</v>
      </c>
      <c r="D1622" s="2332">
        <v>0</v>
      </c>
      <c r="E1622" s="2332">
        <v>0</v>
      </c>
      <c r="F1622" s="2332">
        <v>0</v>
      </c>
      <c r="G1622" s="2332">
        <f t="shared" si="359"/>
        <v>0</v>
      </c>
      <c r="H1622" s="2332"/>
      <c r="I1622" s="2332">
        <f>+[6]Salary_Bdgt!$U$415</f>
        <v>0</v>
      </c>
      <c r="J1622" s="2332">
        <v>0</v>
      </c>
      <c r="K1622" s="2333">
        <f t="shared" si="362"/>
        <v>0</v>
      </c>
      <c r="L1622" s="2332">
        <f t="shared" si="360"/>
        <v>0</v>
      </c>
      <c r="M1622" s="2332">
        <f t="shared" si="361"/>
        <v>0</v>
      </c>
    </row>
    <row r="1623" spans="1:13" x14ac:dyDescent="0.2">
      <c r="A1623" s="2353">
        <v>1014</v>
      </c>
      <c r="B1623" s="2258" t="s">
        <v>6632</v>
      </c>
      <c r="C1623" s="2332">
        <v>4364</v>
      </c>
      <c r="D1623" s="2332">
        <v>0</v>
      </c>
      <c r="E1623" s="2332">
        <v>2930</v>
      </c>
      <c r="F1623" s="2332">
        <v>2590</v>
      </c>
      <c r="G1623" s="2332">
        <f t="shared" si="359"/>
        <v>3108</v>
      </c>
      <c r="H1623" s="2332"/>
      <c r="I1623" s="2332">
        <f>+[6]Salary_Bdgt!$S$415</f>
        <v>0</v>
      </c>
      <c r="J1623" s="2332">
        <f>[5]Sheet1!$K$1128</f>
        <v>2874.76</v>
      </c>
      <c r="K1623" s="2333">
        <f t="shared" si="362"/>
        <v>2874.76</v>
      </c>
      <c r="L1623" s="2332">
        <f t="shared" si="360"/>
        <v>0</v>
      </c>
      <c r="M1623" s="2332">
        <f t="shared" si="361"/>
        <v>0</v>
      </c>
    </row>
    <row r="1624" spans="1:13" x14ac:dyDescent="0.2">
      <c r="A1624" s="2353">
        <v>1015</v>
      </c>
      <c r="B1624" s="2258" t="s">
        <v>6948</v>
      </c>
      <c r="C1624" s="2332">
        <v>65343</v>
      </c>
      <c r="D1624" s="2332">
        <v>42411</v>
      </c>
      <c r="E1624" s="2332">
        <f>+D1624</f>
        <v>42411</v>
      </c>
      <c r="F1624" s="2332">
        <v>59722</v>
      </c>
      <c r="G1624" s="2332">
        <f t="shared" si="359"/>
        <v>71666.399999999994</v>
      </c>
      <c r="H1624" s="2332"/>
      <c r="I1624" s="2332">
        <f>+[6]Salary_Bdgt!$O$415+[6]Salary_Bdgt!$P$415+[6]Salary_Bdgt!$W$415</f>
        <v>69897</v>
      </c>
      <c r="J1624" s="2332">
        <f>[5]Sheet1!$K$1129</f>
        <v>152822.16</v>
      </c>
      <c r="K1624" s="2333">
        <f t="shared" si="362"/>
        <v>152822.16</v>
      </c>
      <c r="L1624" s="2332">
        <f t="shared" si="360"/>
        <v>75489</v>
      </c>
      <c r="M1624" s="2332">
        <f t="shared" si="361"/>
        <v>81528</v>
      </c>
    </row>
    <row r="1625" spans="1:13" x14ac:dyDescent="0.2">
      <c r="A1625" s="2353">
        <v>1016</v>
      </c>
      <c r="B1625" s="2258" t="s">
        <v>6949</v>
      </c>
      <c r="C1625" s="2332">
        <v>0</v>
      </c>
      <c r="D1625" s="2332">
        <v>9491</v>
      </c>
      <c r="E1625" s="2332">
        <f>+D1625</f>
        <v>9491</v>
      </c>
      <c r="F1625" s="2332">
        <f>200+23867</f>
        <v>24067</v>
      </c>
      <c r="G1625" s="2332">
        <f t="shared" si="359"/>
        <v>28880.399999999998</v>
      </c>
      <c r="H1625" s="2332"/>
      <c r="I1625" s="2332">
        <f>+[6]Salary_Bdgt!$T$415+[6]Salary_Bdgt!$V$415</f>
        <v>49888</v>
      </c>
      <c r="J1625" s="2332">
        <f>[5]Sheet1!$K$1130</f>
        <v>17022.439999999999</v>
      </c>
      <c r="K1625" s="2333">
        <f t="shared" si="362"/>
        <v>17022.439999999999</v>
      </c>
      <c r="L1625" s="2332">
        <f t="shared" si="360"/>
        <v>53879</v>
      </c>
      <c r="M1625" s="2332">
        <f t="shared" si="361"/>
        <v>58189</v>
      </c>
    </row>
    <row r="1626" spans="1:13" x14ac:dyDescent="0.2">
      <c r="A1626" s="2353">
        <v>1017</v>
      </c>
      <c r="B1626" s="2258" t="s">
        <v>6950</v>
      </c>
      <c r="C1626" s="2332">
        <v>20975</v>
      </c>
      <c r="D1626" s="2332">
        <v>24692</v>
      </c>
      <c r="E1626" s="2332">
        <f>+D1626</f>
        <v>24692</v>
      </c>
      <c r="F1626" s="2332">
        <v>6793</v>
      </c>
      <c r="G1626" s="2332">
        <f t="shared" si="359"/>
        <v>8151.5999999999995</v>
      </c>
      <c r="H1626" s="2332"/>
      <c r="I1626" s="2332">
        <f>+[6]Salary_Bdgt!$J$415</f>
        <v>63845</v>
      </c>
      <c r="J1626" s="2332">
        <f>[5]Sheet1!$K$1133</f>
        <v>25782.1</v>
      </c>
      <c r="K1626" s="2333">
        <f t="shared" si="362"/>
        <v>25782.1</v>
      </c>
      <c r="L1626" s="2332">
        <f t="shared" si="360"/>
        <v>68953</v>
      </c>
      <c r="M1626" s="2332">
        <f t="shared" si="361"/>
        <v>74469</v>
      </c>
    </row>
    <row r="1627" spans="1:13" x14ac:dyDescent="0.2">
      <c r="A1627" s="2353">
        <v>1046</v>
      </c>
      <c r="B1627" s="2258" t="s">
        <v>6951</v>
      </c>
      <c r="C1627" s="2332">
        <v>0</v>
      </c>
      <c r="D1627" s="2332">
        <v>0</v>
      </c>
      <c r="E1627" s="2332">
        <v>0</v>
      </c>
      <c r="F1627" s="2332">
        <v>0</v>
      </c>
      <c r="G1627" s="2332">
        <f t="shared" si="359"/>
        <v>0</v>
      </c>
      <c r="H1627" s="2332"/>
      <c r="I1627" s="2332">
        <f>+[6]Salary_Bdgt!$R$415</f>
        <v>0</v>
      </c>
      <c r="J1627" s="2332">
        <v>0</v>
      </c>
      <c r="K1627" s="2333">
        <f t="shared" si="362"/>
        <v>0</v>
      </c>
      <c r="L1627" s="2332">
        <f t="shared" si="360"/>
        <v>0</v>
      </c>
      <c r="M1627" s="2332">
        <f t="shared" si="361"/>
        <v>0</v>
      </c>
    </row>
    <row r="1628" spans="1:13" x14ac:dyDescent="0.2">
      <c r="A1628" s="2353">
        <v>1020</v>
      </c>
      <c r="B1628" s="2258" t="s">
        <v>7171</v>
      </c>
      <c r="C1628" s="2332">
        <v>0</v>
      </c>
      <c r="D1628" s="2332">
        <v>0</v>
      </c>
      <c r="E1628" s="2332">
        <f>+D1628</f>
        <v>0</v>
      </c>
      <c r="F1628" s="2332">
        <v>2970</v>
      </c>
      <c r="G1628" s="2332">
        <f t="shared" si="359"/>
        <v>3564</v>
      </c>
      <c r="H1628" s="2332"/>
      <c r="I1628" s="2332">
        <f>ROUND(E1628*1.08,0)</f>
        <v>0</v>
      </c>
      <c r="J1628" s="2332">
        <v>0</v>
      </c>
      <c r="K1628" s="2333">
        <f t="shared" si="362"/>
        <v>0</v>
      </c>
      <c r="L1628" s="2332">
        <f t="shared" si="360"/>
        <v>0</v>
      </c>
      <c r="M1628" s="2332">
        <f t="shared" si="361"/>
        <v>0</v>
      </c>
    </row>
    <row r="1629" spans="1:13" x14ac:dyDescent="0.2">
      <c r="A1629" s="2353">
        <v>1182</v>
      </c>
      <c r="B1629" s="2334" t="s">
        <v>6952</v>
      </c>
      <c r="C1629" s="2335">
        <v>16006</v>
      </c>
      <c r="D1629" s="2335">
        <v>22964</v>
      </c>
      <c r="E1629" s="2335">
        <f>+D1629</f>
        <v>22964</v>
      </c>
      <c r="F1629" s="2335">
        <v>0</v>
      </c>
      <c r="G1629" s="2335">
        <f t="shared" si="359"/>
        <v>0</v>
      </c>
      <c r="H1629" s="2335"/>
      <c r="I1629" s="2335">
        <f>+[6]Salary_Bdgt!$K$415</f>
        <v>59376</v>
      </c>
      <c r="J1629" s="2335">
        <f>[5]Sheet1!$K$1134</f>
        <v>20261.509999999998</v>
      </c>
      <c r="K1629" s="2336">
        <f t="shared" si="362"/>
        <v>20261.509999999998</v>
      </c>
      <c r="L1629" s="2335">
        <f t="shared" si="360"/>
        <v>64126</v>
      </c>
      <c r="M1629" s="2335">
        <f t="shared" si="361"/>
        <v>69256</v>
      </c>
    </row>
    <row r="1630" spans="1:13" x14ac:dyDescent="0.2">
      <c r="B1630" s="2330" t="s">
        <v>6588</v>
      </c>
      <c r="C1630" s="2349">
        <f t="shared" ref="C1630:M1630" si="363">SUM(C1616:C1629)</f>
        <v>2229197</v>
      </c>
      <c r="D1630" s="2349">
        <f t="shared" si="363"/>
        <v>1566980</v>
      </c>
      <c r="E1630" s="2349">
        <f t="shared" si="363"/>
        <v>1566980</v>
      </c>
      <c r="F1630" s="2349">
        <f t="shared" si="363"/>
        <v>1712828</v>
      </c>
      <c r="G1630" s="2349">
        <f t="shared" si="363"/>
        <v>2055393.5999999996</v>
      </c>
      <c r="H1630" s="2349"/>
      <c r="I1630" s="2349">
        <f t="shared" si="363"/>
        <v>4298805</v>
      </c>
      <c r="J1630" s="2349">
        <f>SUM(J1616:J1629)</f>
        <v>3194626.3099999996</v>
      </c>
      <c r="K1630" s="2333">
        <f t="shared" si="362"/>
        <v>3194626.3099999996</v>
      </c>
      <c r="L1630" s="2349">
        <f t="shared" si="363"/>
        <v>4642711</v>
      </c>
      <c r="M1630" s="2349">
        <f t="shared" si="363"/>
        <v>5014127</v>
      </c>
    </row>
    <row r="1631" spans="1:13" x14ac:dyDescent="0.2">
      <c r="B1631" s="2330"/>
      <c r="C1631" s="2332"/>
      <c r="D1631" s="2332"/>
      <c r="E1631" s="2332"/>
      <c r="F1631" s="2309"/>
      <c r="G1631" s="2332"/>
      <c r="H1631" s="2332"/>
      <c r="I1631" s="2332"/>
      <c r="J1631" s="2332">
        <f>J1630-[5]Sheet1!$K$1138</f>
        <v>0</v>
      </c>
      <c r="K1631" s="2333">
        <f t="shared" si="362"/>
        <v>0</v>
      </c>
      <c r="L1631" s="2332"/>
      <c r="M1631" s="2332"/>
    </row>
    <row r="1632" spans="1:13" x14ac:dyDescent="0.2">
      <c r="B1632" s="2330" t="s">
        <v>6673</v>
      </c>
      <c r="C1632" s="2386"/>
      <c r="D1632" s="2332"/>
      <c r="E1632" s="2332"/>
      <c r="F1632" s="2309"/>
      <c r="G1632" s="2332"/>
      <c r="H1632" s="2332"/>
      <c r="I1632" s="2332"/>
      <c r="J1632" s="2332"/>
      <c r="K1632" s="2333">
        <f t="shared" si="362"/>
        <v>0</v>
      </c>
      <c r="L1632" s="2332"/>
      <c r="M1632" s="2332"/>
    </row>
    <row r="1633" spans="1:13" x14ac:dyDescent="0.2">
      <c r="A1633" s="2353">
        <v>2500</v>
      </c>
      <c r="B1633" s="2334" t="s">
        <v>7070</v>
      </c>
      <c r="C1633" s="2335">
        <v>1247326</v>
      </c>
      <c r="D1633" s="2335">
        <f>449763+421359-2100</f>
        <v>869022</v>
      </c>
      <c r="E1633" s="2335">
        <f>869022</f>
        <v>869022</v>
      </c>
      <c r="F1633" s="2335">
        <v>0</v>
      </c>
      <c r="G1633" s="2335">
        <f>F1633/$F$11*$G$11</f>
        <v>0</v>
      </c>
      <c r="H1633" s="2335"/>
      <c r="I1633" s="2335">
        <f>ROUND(I1603*0.3,0)</f>
        <v>0</v>
      </c>
      <c r="J1633" s="2335">
        <f>[5]Sheet1!$K$1141</f>
        <v>354009.44</v>
      </c>
      <c r="K1633" s="2336">
        <f t="shared" si="362"/>
        <v>354009.44</v>
      </c>
      <c r="L1633" s="2335">
        <f>ROUND(L1603*0.3,0)+12469</f>
        <v>12469</v>
      </c>
      <c r="M1633" s="2335">
        <f>ROUND(M1603*0.3,0)+15104</f>
        <v>15104</v>
      </c>
    </row>
    <row r="1634" spans="1:13" x14ac:dyDescent="0.2">
      <c r="B1634" s="2330" t="s">
        <v>6674</v>
      </c>
      <c r="C1634" s="2349">
        <f t="shared" ref="C1634:M1634" si="364">SUM(C1633)</f>
        <v>1247326</v>
      </c>
      <c r="D1634" s="2349">
        <f t="shared" si="364"/>
        <v>869022</v>
      </c>
      <c r="E1634" s="2349">
        <f t="shared" si="364"/>
        <v>869022</v>
      </c>
      <c r="F1634" s="2349">
        <f t="shared" si="364"/>
        <v>0</v>
      </c>
      <c r="G1634" s="2349">
        <f t="shared" si="364"/>
        <v>0</v>
      </c>
      <c r="H1634" s="2349"/>
      <c r="I1634" s="2349">
        <f t="shared" si="364"/>
        <v>0</v>
      </c>
      <c r="J1634" s="2349">
        <f>J1633</f>
        <v>354009.44</v>
      </c>
      <c r="K1634" s="2333">
        <f t="shared" si="362"/>
        <v>354009.44</v>
      </c>
      <c r="L1634" s="2349">
        <f t="shared" si="364"/>
        <v>12469</v>
      </c>
      <c r="M1634" s="2349">
        <f t="shared" si="364"/>
        <v>15104</v>
      </c>
    </row>
    <row r="1635" spans="1:13" x14ac:dyDescent="0.2">
      <c r="B1635" s="2330"/>
      <c r="C1635" s="2332"/>
      <c r="D1635" s="2332"/>
      <c r="E1635" s="2332"/>
      <c r="G1635" s="2332"/>
      <c r="H1635" s="2332"/>
      <c r="I1635" s="2332"/>
      <c r="J1635" s="2332">
        <f>J1634-[5]Sheet1!$K$1142</f>
        <v>0</v>
      </c>
      <c r="K1635" s="2333">
        <f t="shared" si="362"/>
        <v>0</v>
      </c>
      <c r="L1635" s="2332"/>
      <c r="M1635" s="2332"/>
    </row>
    <row r="1636" spans="1:13" x14ac:dyDescent="0.2">
      <c r="B1636" s="2330" t="s">
        <v>7040</v>
      </c>
      <c r="C1636" s="2332"/>
      <c r="D1636" s="2332"/>
      <c r="E1636" s="2332"/>
      <c r="G1636" s="2332"/>
      <c r="H1636" s="2332"/>
      <c r="I1636" s="2332"/>
      <c r="J1636" s="2332"/>
      <c r="K1636" s="2333">
        <f t="shared" si="362"/>
        <v>0</v>
      </c>
      <c r="L1636" s="2332"/>
      <c r="M1636" s="2332"/>
    </row>
    <row r="1637" spans="1:13" x14ac:dyDescent="0.2">
      <c r="A1637" s="2403"/>
      <c r="B1637" s="2334" t="s">
        <v>7082</v>
      </c>
      <c r="C1637" s="2335">
        <v>0</v>
      </c>
      <c r="D1637" s="2335">
        <v>0</v>
      </c>
      <c r="E1637" s="2335">
        <v>0</v>
      </c>
      <c r="F1637" s="2335">
        <v>0</v>
      </c>
      <c r="G1637" s="2335">
        <f>F1637/$F$11*$G$11</f>
        <v>0</v>
      </c>
      <c r="H1637" s="2335"/>
      <c r="I1637" s="2335">
        <v>0</v>
      </c>
      <c r="J1637" s="2335">
        <v>0</v>
      </c>
      <c r="K1637" s="2336">
        <f t="shared" si="362"/>
        <v>0</v>
      </c>
      <c r="L1637" s="2335">
        <v>0</v>
      </c>
      <c r="M1637" s="2335">
        <v>0</v>
      </c>
    </row>
    <row r="1638" spans="1:13" x14ac:dyDescent="0.2">
      <c r="B1638" s="2330" t="s">
        <v>7041</v>
      </c>
      <c r="C1638" s="2349">
        <f t="shared" ref="C1638:M1638" si="365">SUM(C1637:C1637)</f>
        <v>0</v>
      </c>
      <c r="D1638" s="2349">
        <f t="shared" si="365"/>
        <v>0</v>
      </c>
      <c r="E1638" s="2349">
        <f t="shared" si="365"/>
        <v>0</v>
      </c>
      <c r="F1638" s="2349">
        <f t="shared" si="365"/>
        <v>0</v>
      </c>
      <c r="G1638" s="2349">
        <f t="shared" si="365"/>
        <v>0</v>
      </c>
      <c r="H1638" s="2349"/>
      <c r="I1638" s="2349">
        <f t="shared" si="365"/>
        <v>0</v>
      </c>
      <c r="J1638" s="2349">
        <v>0</v>
      </c>
      <c r="K1638" s="2333">
        <f t="shared" si="362"/>
        <v>0</v>
      </c>
      <c r="L1638" s="2349">
        <f t="shared" si="365"/>
        <v>0</v>
      </c>
      <c r="M1638" s="2349">
        <f t="shared" si="365"/>
        <v>0</v>
      </c>
    </row>
    <row r="1639" spans="1:13" x14ac:dyDescent="0.2">
      <c r="B1639" s="2330"/>
      <c r="C1639" s="2332"/>
      <c r="D1639" s="2332"/>
      <c r="E1639" s="2332"/>
      <c r="G1639" s="2332"/>
      <c r="H1639" s="2332"/>
      <c r="I1639" s="2332"/>
      <c r="J1639" s="2332"/>
      <c r="K1639" s="2333">
        <f t="shared" si="362"/>
        <v>0</v>
      </c>
      <c r="L1639" s="2332"/>
      <c r="M1639" s="2332"/>
    </row>
    <row r="1640" spans="1:13" x14ac:dyDescent="0.2">
      <c r="B1640" s="2330" t="s">
        <v>6953</v>
      </c>
      <c r="C1640" s="2332"/>
      <c r="D1640" s="2332"/>
      <c r="E1640" s="2332"/>
      <c r="G1640" s="2332"/>
      <c r="H1640" s="2332"/>
      <c r="I1640" s="2332"/>
      <c r="J1640" s="2332"/>
      <c r="K1640" s="2333">
        <f t="shared" si="362"/>
        <v>0</v>
      </c>
      <c r="L1640" s="2332"/>
      <c r="M1640" s="2332"/>
    </row>
    <row r="1641" spans="1:13" x14ac:dyDescent="0.2">
      <c r="A1641" s="2353">
        <v>3206</v>
      </c>
      <c r="B1641" s="2258" t="s">
        <v>7164</v>
      </c>
      <c r="C1641" s="2332">
        <v>345</v>
      </c>
      <c r="D1641" s="2332">
        <v>5250</v>
      </c>
      <c r="E1641" s="2332">
        <v>5250</v>
      </c>
      <c r="F1641" s="2332">
        <v>1267</v>
      </c>
      <c r="G1641" s="2332">
        <f>F1641/$F$11*$G$11</f>
        <v>1520.4</v>
      </c>
      <c r="H1641" s="2332"/>
      <c r="I1641" s="2332">
        <v>0</v>
      </c>
      <c r="J1641" s="2332">
        <f>0</f>
        <v>0</v>
      </c>
      <c r="K1641" s="2333">
        <f t="shared" si="362"/>
        <v>0</v>
      </c>
      <c r="L1641" s="2332">
        <f>ROUND(I1641*1.06,0)</f>
        <v>0</v>
      </c>
      <c r="M1641" s="2332">
        <f>ROUND(L1641*1.06,0)</f>
        <v>0</v>
      </c>
    </row>
    <row r="1642" spans="1:13" x14ac:dyDescent="0.2">
      <c r="A1642" s="2329">
        <v>3215</v>
      </c>
      <c r="B1642" s="2258" t="s">
        <v>6955</v>
      </c>
      <c r="C1642" s="2332">
        <v>83626</v>
      </c>
      <c r="D1642" s="2332">
        <v>105000</v>
      </c>
      <c r="E1642" s="2332">
        <v>105000</v>
      </c>
      <c r="F1642" s="2332">
        <v>75473</v>
      </c>
      <c r="G1642" s="2332">
        <f>F1642/$F$11*$G$11</f>
        <v>90567.6</v>
      </c>
      <c r="H1642" s="2332"/>
      <c r="I1642" s="2332">
        <v>0</v>
      </c>
      <c r="J1642" s="2332">
        <v>0</v>
      </c>
      <c r="K1642" s="2333">
        <f t="shared" si="362"/>
        <v>0</v>
      </c>
      <c r="L1642" s="2332">
        <f>ROUND(I1642*1.06,0)</f>
        <v>0</v>
      </c>
      <c r="M1642" s="2332">
        <f>ROUND(L1642*1.06,0)</f>
        <v>0</v>
      </c>
    </row>
    <row r="1643" spans="1:13" x14ac:dyDescent="0.2">
      <c r="A1643" s="2329"/>
      <c r="B1643" s="2258" t="s">
        <v>688</v>
      </c>
      <c r="C1643" s="2332">
        <v>0</v>
      </c>
      <c r="D1643" s="2332">
        <v>105000</v>
      </c>
      <c r="E1643" s="2332">
        <v>105000</v>
      </c>
      <c r="F1643" s="2332">
        <v>0</v>
      </c>
      <c r="G1643" s="2332">
        <f>F1643/$F$11*$G$11</f>
        <v>0</v>
      </c>
      <c r="H1643" s="2332"/>
      <c r="I1643" s="2332">
        <v>0</v>
      </c>
      <c r="J1643" s="2332">
        <v>0</v>
      </c>
      <c r="K1643" s="2333">
        <f t="shared" si="362"/>
        <v>0</v>
      </c>
      <c r="L1643" s="2332">
        <f>ROUND(I1643*1.06,0)</f>
        <v>0</v>
      </c>
      <c r="M1643" s="2332">
        <f>ROUND(L1643*1.06,0)</f>
        <v>0</v>
      </c>
    </row>
    <row r="1644" spans="1:13" x14ac:dyDescent="0.2">
      <c r="A1644" s="2353">
        <v>3340</v>
      </c>
      <c r="B1644" s="2258" t="s">
        <v>7201</v>
      </c>
      <c r="C1644" s="2332">
        <v>0</v>
      </c>
      <c r="D1644" s="2332">
        <v>50000</v>
      </c>
      <c r="E1644" s="2332">
        <v>50000</v>
      </c>
      <c r="F1644" s="2332">
        <v>0</v>
      </c>
      <c r="G1644" s="2332">
        <f>F1644/$F$11*$G$11</f>
        <v>0</v>
      </c>
      <c r="H1644" s="2332"/>
      <c r="I1644" s="2332">
        <v>0</v>
      </c>
      <c r="J1644" s="2332">
        <v>0</v>
      </c>
      <c r="K1644" s="2333">
        <f t="shared" si="362"/>
        <v>0</v>
      </c>
      <c r="L1644" s="2332">
        <f>ROUND(I1644*1.06,0)</f>
        <v>0</v>
      </c>
      <c r="M1644" s="2332">
        <f>ROUND(L1644*1.06,0)</f>
        <v>0</v>
      </c>
    </row>
    <row r="1645" spans="1:13" x14ac:dyDescent="0.2">
      <c r="A1645" s="2353">
        <v>3378</v>
      </c>
      <c r="B1645" s="2334" t="s">
        <v>7202</v>
      </c>
      <c r="C1645" s="2335">
        <v>0</v>
      </c>
      <c r="D1645" s="2335">
        <v>63000</v>
      </c>
      <c r="E1645" s="2335">
        <v>63000</v>
      </c>
      <c r="F1645" s="2335">
        <v>0</v>
      </c>
      <c r="G1645" s="2335">
        <f>F1645/$F$11*$G$11</f>
        <v>0</v>
      </c>
      <c r="H1645" s="2335"/>
      <c r="I1645" s="2335">
        <v>0</v>
      </c>
      <c r="J1645" s="2335">
        <v>0</v>
      </c>
      <c r="K1645" s="2336">
        <f t="shared" si="362"/>
        <v>0</v>
      </c>
      <c r="L1645" s="2335">
        <f>ROUND(I1645*1.06,0)</f>
        <v>0</v>
      </c>
      <c r="M1645" s="2335">
        <f>ROUND(L1645*1.06,0)</f>
        <v>0</v>
      </c>
    </row>
    <row r="1646" spans="1:13" x14ac:dyDescent="0.2">
      <c r="B1646" s="2330" t="s">
        <v>6956</v>
      </c>
      <c r="C1646" s="2349">
        <f>SUM(C1641:C1645)</f>
        <v>83971</v>
      </c>
      <c r="D1646" s="2349">
        <f t="shared" ref="D1646:M1646" si="366">SUM(D1641:D1645)</f>
        <v>328250</v>
      </c>
      <c r="E1646" s="2349">
        <f t="shared" si="366"/>
        <v>328250</v>
      </c>
      <c r="F1646" s="2349">
        <f t="shared" si="366"/>
        <v>76740</v>
      </c>
      <c r="G1646" s="2349">
        <f t="shared" si="366"/>
        <v>92088</v>
      </c>
      <c r="H1646" s="2349"/>
      <c r="I1646" s="2349">
        <f t="shared" si="366"/>
        <v>0</v>
      </c>
      <c r="J1646" s="2349">
        <v>0</v>
      </c>
      <c r="K1646" s="2333">
        <f t="shared" si="362"/>
        <v>0</v>
      </c>
      <c r="L1646" s="2349">
        <f t="shared" si="366"/>
        <v>0</v>
      </c>
      <c r="M1646" s="2349">
        <f t="shared" si="366"/>
        <v>0</v>
      </c>
    </row>
    <row r="1647" spans="1:13" x14ac:dyDescent="0.2">
      <c r="B1647" s="2330"/>
      <c r="C1647" s="2332"/>
      <c r="D1647" s="2332"/>
      <c r="E1647" s="2332"/>
      <c r="G1647" s="2332"/>
      <c r="H1647" s="2332"/>
      <c r="I1647" s="2332"/>
      <c r="J1647" s="2332"/>
      <c r="K1647" s="2333">
        <f t="shared" si="362"/>
        <v>0</v>
      </c>
      <c r="L1647" s="2332"/>
      <c r="M1647" s="2332"/>
    </row>
    <row r="1648" spans="1:13" x14ac:dyDescent="0.2">
      <c r="B1648" s="2330" t="s">
        <v>6599</v>
      </c>
      <c r="C1648" s="2332"/>
      <c r="D1648" s="2332"/>
      <c r="E1648" s="2332"/>
      <c r="G1648" s="2332"/>
      <c r="H1648" s="2332"/>
      <c r="I1648" s="2332"/>
      <c r="J1648" s="2332"/>
      <c r="K1648" s="2333">
        <f t="shared" si="362"/>
        <v>0</v>
      </c>
      <c r="L1648" s="2332"/>
      <c r="M1648" s="2332"/>
    </row>
    <row r="1649" spans="1:13" x14ac:dyDescent="0.2">
      <c r="A1649" s="2353">
        <v>2221</v>
      </c>
      <c r="B1649" s="2258" t="s">
        <v>7044</v>
      </c>
      <c r="C1649" s="2332">
        <v>0</v>
      </c>
      <c r="D1649" s="2332">
        <v>3733</v>
      </c>
      <c r="E1649" s="2332">
        <v>0</v>
      </c>
      <c r="F1649" s="2332">
        <v>330068</v>
      </c>
      <c r="G1649" s="2332">
        <f t="shared" ref="G1649:G1661" si="367">F1649/$F$11*$G$11</f>
        <v>396081.60000000003</v>
      </c>
      <c r="H1649" s="2332"/>
      <c r="I1649" s="2332">
        <f>ROUND(E1649*1.05,0)</f>
        <v>0</v>
      </c>
      <c r="J1649" s="2332">
        <f>[5]Sheet1!$K$1162</f>
        <v>0</v>
      </c>
      <c r="K1649" s="2333">
        <f t="shared" si="362"/>
        <v>0</v>
      </c>
      <c r="L1649" s="2332">
        <f t="shared" ref="L1649:L1660" si="368">ROUND(I1649*1.06,0)</f>
        <v>0</v>
      </c>
      <c r="M1649" s="2332">
        <f t="shared" ref="M1649:M1660" si="369">ROUND(L1649*1.06,0)</f>
        <v>0</v>
      </c>
    </row>
    <row r="1650" spans="1:13" x14ac:dyDescent="0.2">
      <c r="A1650" s="2353">
        <v>2224</v>
      </c>
      <c r="B1650" s="2258" t="s">
        <v>6964</v>
      </c>
      <c r="C1650" s="2332">
        <v>3560</v>
      </c>
      <c r="D1650" s="2332">
        <v>5250</v>
      </c>
      <c r="E1650" s="2332">
        <v>3733</v>
      </c>
      <c r="F1650" s="2332">
        <v>0</v>
      </c>
      <c r="G1650" s="2332">
        <f t="shared" si="367"/>
        <v>0</v>
      </c>
      <c r="H1650" s="2332"/>
      <c r="I1650" s="2332">
        <f>ROUND(E1650*1.05,0)</f>
        <v>3920</v>
      </c>
      <c r="J1650" s="2332">
        <f>[5]Sheet1!$K$1164</f>
        <v>1338.67</v>
      </c>
      <c r="K1650" s="2333">
        <f t="shared" si="362"/>
        <v>1338.67</v>
      </c>
      <c r="L1650" s="2332">
        <f t="shared" si="368"/>
        <v>4155</v>
      </c>
      <c r="M1650" s="2332">
        <f t="shared" si="369"/>
        <v>4404</v>
      </c>
    </row>
    <row r="1651" spans="1:13" x14ac:dyDescent="0.2">
      <c r="A1651" s="2353">
        <v>2227</v>
      </c>
      <c r="B1651" s="2258" t="s">
        <v>231</v>
      </c>
      <c r="C1651" s="2332">
        <v>4303</v>
      </c>
      <c r="D1651" s="2332">
        <v>10500</v>
      </c>
      <c r="E1651" s="2332">
        <v>5250</v>
      </c>
      <c r="F1651" s="2332">
        <v>28746</v>
      </c>
      <c r="G1651" s="2332">
        <f t="shared" si="367"/>
        <v>34495.199999999997</v>
      </c>
      <c r="H1651" s="2332"/>
      <c r="I1651" s="2332">
        <f>ROUND(E1651*1.05,0)</f>
        <v>5513</v>
      </c>
      <c r="J1651" s="2332">
        <f>[5]Sheet1!$K$1166</f>
        <v>6637.7199999999993</v>
      </c>
      <c r="K1651" s="2333">
        <f t="shared" si="362"/>
        <v>6637.7199999999993</v>
      </c>
      <c r="L1651" s="2332">
        <f t="shared" si="368"/>
        <v>5844</v>
      </c>
      <c r="M1651" s="2332">
        <f t="shared" si="369"/>
        <v>6195</v>
      </c>
    </row>
    <row r="1652" spans="1:13" x14ac:dyDescent="0.2">
      <c r="A1652" s="2329">
        <v>2233</v>
      </c>
      <c r="B1652" s="2258" t="s">
        <v>6966</v>
      </c>
      <c r="C1652" s="2332">
        <v>0</v>
      </c>
      <c r="D1652" s="2332">
        <v>5250</v>
      </c>
      <c r="E1652" s="2332">
        <v>10500</v>
      </c>
      <c r="F1652" s="2332">
        <v>0</v>
      </c>
      <c r="G1652" s="2332">
        <f t="shared" si="367"/>
        <v>0</v>
      </c>
      <c r="H1652" s="2332"/>
      <c r="I1652" s="2332">
        <v>0</v>
      </c>
      <c r="J1652" s="2332">
        <v>0</v>
      </c>
      <c r="K1652" s="2333">
        <f t="shared" si="362"/>
        <v>0</v>
      </c>
      <c r="L1652" s="2332">
        <f t="shared" si="368"/>
        <v>0</v>
      </c>
      <c r="M1652" s="2332">
        <f t="shared" si="369"/>
        <v>0</v>
      </c>
    </row>
    <row r="1653" spans="1:13" x14ac:dyDescent="0.2">
      <c r="A1653" s="2353">
        <v>2238</v>
      </c>
      <c r="B1653" s="2258" t="s">
        <v>6967</v>
      </c>
      <c r="C1653" s="2332">
        <v>0</v>
      </c>
      <c r="D1653" s="2332">
        <v>2100</v>
      </c>
      <c r="E1653" s="2332">
        <v>5250</v>
      </c>
      <c r="F1653" s="2332">
        <v>160</v>
      </c>
      <c r="G1653" s="2332">
        <f t="shared" si="367"/>
        <v>192</v>
      </c>
      <c r="H1653" s="2332"/>
      <c r="I1653" s="2332">
        <f t="shared" ref="I1653:I1659" si="370">ROUND(E1653*1.05,0)</f>
        <v>5513</v>
      </c>
      <c r="J1653" s="2332">
        <f>[5]Sheet1!$K$1168</f>
        <v>1879.98</v>
      </c>
      <c r="K1653" s="2333">
        <f t="shared" si="362"/>
        <v>1879.98</v>
      </c>
      <c r="L1653" s="2332">
        <f t="shared" si="368"/>
        <v>5844</v>
      </c>
      <c r="M1653" s="2332">
        <f t="shared" si="369"/>
        <v>6195</v>
      </c>
    </row>
    <row r="1654" spans="1:13" x14ac:dyDescent="0.2">
      <c r="A1654" s="2353">
        <v>2244</v>
      </c>
      <c r="B1654" s="2258" t="s">
        <v>7167</v>
      </c>
      <c r="C1654" s="2332">
        <v>48</v>
      </c>
      <c r="D1654" s="2332">
        <v>28250</v>
      </c>
      <c r="E1654" s="2332">
        <v>2100</v>
      </c>
      <c r="F1654" s="2332">
        <v>1445</v>
      </c>
      <c r="G1654" s="2332">
        <f t="shared" si="367"/>
        <v>1734</v>
      </c>
      <c r="H1654" s="2332"/>
      <c r="I1654" s="2332">
        <f t="shared" si="370"/>
        <v>2205</v>
      </c>
      <c r="J1654" s="2332">
        <f>[5]Sheet1!$K$1169</f>
        <v>1026.82</v>
      </c>
      <c r="K1654" s="2333">
        <f t="shared" si="362"/>
        <v>1026.82</v>
      </c>
      <c r="L1654" s="2332">
        <f t="shared" si="368"/>
        <v>2337</v>
      </c>
      <c r="M1654" s="2332">
        <f t="shared" si="369"/>
        <v>2477</v>
      </c>
    </row>
    <row r="1655" spans="1:13" x14ac:dyDescent="0.2">
      <c r="A1655" s="2329">
        <v>2246</v>
      </c>
      <c r="B1655" s="2258" t="s">
        <v>6968</v>
      </c>
      <c r="C1655" s="2332">
        <v>0</v>
      </c>
      <c r="D1655" s="2332">
        <v>53000</v>
      </c>
      <c r="E1655" s="2332">
        <v>28250</v>
      </c>
      <c r="F1655" s="2332">
        <v>0</v>
      </c>
      <c r="G1655" s="2332">
        <f t="shared" si="367"/>
        <v>0</v>
      </c>
      <c r="H1655" s="2332"/>
      <c r="I1655" s="2332">
        <f t="shared" si="370"/>
        <v>29663</v>
      </c>
      <c r="J1655" s="2332">
        <f>[5]Sheet1!$K$1170</f>
        <v>10122</v>
      </c>
      <c r="K1655" s="2333">
        <f t="shared" si="362"/>
        <v>10122</v>
      </c>
      <c r="L1655" s="2332">
        <f t="shared" si="368"/>
        <v>31443</v>
      </c>
      <c r="M1655" s="2332">
        <f t="shared" si="369"/>
        <v>33330</v>
      </c>
    </row>
    <row r="1656" spans="1:13" x14ac:dyDescent="0.2">
      <c r="A1656" s="2353">
        <v>2249</v>
      </c>
      <c r="B1656" s="2258" t="s">
        <v>7168</v>
      </c>
      <c r="C1656" s="2332">
        <v>23012</v>
      </c>
      <c r="D1656" s="2332">
        <v>24150</v>
      </c>
      <c r="E1656" s="2332">
        <v>53000</v>
      </c>
      <c r="F1656" s="2332">
        <v>56015</v>
      </c>
      <c r="G1656" s="2332">
        <f t="shared" si="367"/>
        <v>67218</v>
      </c>
      <c r="H1656" s="2332"/>
      <c r="I1656" s="2332">
        <f t="shared" si="370"/>
        <v>55650</v>
      </c>
      <c r="J1656" s="2332">
        <f>[5]Sheet1!$K$1171</f>
        <v>1888.7000000000003</v>
      </c>
      <c r="K1656" s="2333">
        <f t="shared" si="362"/>
        <v>1888.7000000000003</v>
      </c>
      <c r="L1656" s="2332">
        <f t="shared" si="368"/>
        <v>58989</v>
      </c>
      <c r="M1656" s="2332">
        <f t="shared" si="369"/>
        <v>62528</v>
      </c>
    </row>
    <row r="1657" spans="1:13" x14ac:dyDescent="0.2">
      <c r="A1657" s="2353">
        <v>2252</v>
      </c>
      <c r="B1657" s="2258" t="s">
        <v>30</v>
      </c>
      <c r="C1657" s="2332">
        <v>0</v>
      </c>
      <c r="D1657" s="2332">
        <v>0</v>
      </c>
      <c r="E1657" s="2332">
        <v>24150</v>
      </c>
      <c r="F1657" s="2332">
        <v>0</v>
      </c>
      <c r="G1657" s="2332">
        <f t="shared" si="367"/>
        <v>0</v>
      </c>
      <c r="H1657" s="2332"/>
      <c r="I1657" s="2332">
        <f t="shared" si="370"/>
        <v>25358</v>
      </c>
      <c r="J1657" s="2332">
        <f>[5]Sheet1!$K$1172</f>
        <v>8652.09</v>
      </c>
      <c r="K1657" s="2333">
        <f t="shared" si="362"/>
        <v>8652.09</v>
      </c>
      <c r="L1657" s="2332">
        <f t="shared" si="368"/>
        <v>26879</v>
      </c>
      <c r="M1657" s="2332">
        <f t="shared" si="369"/>
        <v>28492</v>
      </c>
    </row>
    <row r="1658" spans="1:13" x14ac:dyDescent="0.2">
      <c r="A1658" s="2329">
        <v>2256</v>
      </c>
      <c r="B1658" s="2258" t="s">
        <v>6482</v>
      </c>
      <c r="C1658" s="2332">
        <v>246120</v>
      </c>
      <c r="D1658" s="2332">
        <v>515836</v>
      </c>
      <c r="E1658" s="2332">
        <v>515836</v>
      </c>
      <c r="F1658" s="2332">
        <v>58668</v>
      </c>
      <c r="G1658" s="2332">
        <f t="shared" si="367"/>
        <v>70401.600000000006</v>
      </c>
      <c r="H1658" s="2332"/>
      <c r="I1658" s="2332">
        <v>0</v>
      </c>
      <c r="J1658" s="2332">
        <v>0</v>
      </c>
      <c r="K1658" s="2333">
        <f t="shared" si="362"/>
        <v>0</v>
      </c>
      <c r="L1658" s="2332">
        <f t="shared" si="368"/>
        <v>0</v>
      </c>
      <c r="M1658" s="2332">
        <f t="shared" si="369"/>
        <v>0</v>
      </c>
    </row>
    <row r="1659" spans="1:13" x14ac:dyDescent="0.2">
      <c r="A1659" s="2329">
        <v>2305</v>
      </c>
      <c r="B1659" s="2258" t="s">
        <v>6480</v>
      </c>
      <c r="C1659" s="2332">
        <v>2394</v>
      </c>
      <c r="D1659" s="2332">
        <v>0</v>
      </c>
      <c r="E1659" s="2332">
        <v>0</v>
      </c>
      <c r="F1659" s="2332">
        <v>0</v>
      </c>
      <c r="G1659" s="2332">
        <f t="shared" si="367"/>
        <v>0</v>
      </c>
      <c r="H1659" s="2332"/>
      <c r="I1659" s="2332">
        <f t="shared" si="370"/>
        <v>0</v>
      </c>
      <c r="J1659" s="2332">
        <v>0</v>
      </c>
      <c r="K1659" s="2333">
        <f t="shared" si="362"/>
        <v>0</v>
      </c>
      <c r="L1659" s="2332">
        <f t="shared" si="368"/>
        <v>0</v>
      </c>
      <c r="M1659" s="2332">
        <f t="shared" si="369"/>
        <v>0</v>
      </c>
    </row>
    <row r="1660" spans="1:13" x14ac:dyDescent="0.2">
      <c r="A1660" s="2353">
        <v>2219</v>
      </c>
      <c r="B1660" s="2258" t="s">
        <v>7203</v>
      </c>
      <c r="C1660" s="2332">
        <v>1160283</v>
      </c>
      <c r="D1660" s="2332">
        <v>1190676</v>
      </c>
      <c r="E1660" s="2332">
        <v>1190676</v>
      </c>
      <c r="F1660" s="2332">
        <v>0</v>
      </c>
      <c r="G1660" s="2332">
        <f t="shared" si="367"/>
        <v>0</v>
      </c>
      <c r="H1660" s="2332"/>
      <c r="I1660" s="2332">
        <f>ROUND(1441221*1.05,0)</f>
        <v>1513282</v>
      </c>
      <c r="J1660" s="2332">
        <f>[5]Sheet1!$K$1157</f>
        <v>516379.16</v>
      </c>
      <c r="K1660" s="2333">
        <f t="shared" si="362"/>
        <v>516379.16</v>
      </c>
      <c r="L1660" s="2332">
        <f t="shared" si="368"/>
        <v>1604079</v>
      </c>
      <c r="M1660" s="2332">
        <f t="shared" si="369"/>
        <v>1700324</v>
      </c>
    </row>
    <row r="1661" spans="1:13" x14ac:dyDescent="0.2">
      <c r="A1661" s="2353"/>
      <c r="B1661" s="2334" t="s">
        <v>7166</v>
      </c>
      <c r="C1661" s="2335">
        <v>0</v>
      </c>
      <c r="D1661" s="2335">
        <v>31500</v>
      </c>
      <c r="E1661" s="2335">
        <v>31500</v>
      </c>
      <c r="F1661" s="2335">
        <v>0</v>
      </c>
      <c r="G1661" s="2335">
        <f t="shared" si="367"/>
        <v>0</v>
      </c>
      <c r="H1661" s="2335"/>
      <c r="I1661" s="2335">
        <f>ROUND(E1661*1.05,0)</f>
        <v>33075</v>
      </c>
      <c r="J1661" s="2335">
        <f>[5]Sheet1!$K$1163</f>
        <v>11286.85</v>
      </c>
      <c r="K1661" s="2336">
        <f t="shared" si="362"/>
        <v>11286.85</v>
      </c>
      <c r="L1661" s="2335">
        <f>ROUND(I1661*1.065,0)</f>
        <v>35225</v>
      </c>
      <c r="M1661" s="2335">
        <f>ROUND(L1661*1.06,0)</f>
        <v>37339</v>
      </c>
    </row>
    <row r="1662" spans="1:13" x14ac:dyDescent="0.2">
      <c r="B1662" s="2330" t="s">
        <v>6614</v>
      </c>
      <c r="C1662" s="2417">
        <f t="shared" ref="C1662:M1662" si="371">SUM(C1649:C1661)</f>
        <v>1439720</v>
      </c>
      <c r="D1662" s="2417">
        <f t="shared" si="371"/>
        <v>1870245</v>
      </c>
      <c r="E1662" s="2417">
        <f t="shared" si="371"/>
        <v>1870245</v>
      </c>
      <c r="F1662" s="2417">
        <f t="shared" si="371"/>
        <v>475102</v>
      </c>
      <c r="G1662" s="2417">
        <f t="shared" si="371"/>
        <v>570122.4</v>
      </c>
      <c r="H1662" s="2417"/>
      <c r="I1662" s="2417">
        <f t="shared" si="371"/>
        <v>1674179</v>
      </c>
      <c r="J1662" s="2417">
        <f>SUM(J1649:J1661)</f>
        <v>559211.99</v>
      </c>
      <c r="K1662" s="2333">
        <f t="shared" si="362"/>
        <v>559211.99</v>
      </c>
      <c r="L1662" s="2417">
        <f t="shared" si="371"/>
        <v>1774795</v>
      </c>
      <c r="M1662" s="2417">
        <f t="shared" si="371"/>
        <v>1881284</v>
      </c>
    </row>
    <row r="1663" spans="1:13" x14ac:dyDescent="0.2">
      <c r="B1663" s="2338"/>
      <c r="C1663" s="2362"/>
      <c r="D1663" s="2362"/>
      <c r="E1663" s="2362"/>
      <c r="F1663" s="2362"/>
      <c r="G1663" s="2362"/>
      <c r="H1663" s="2362"/>
      <c r="I1663" s="2362"/>
      <c r="J1663" s="2362">
        <f>J1662-[5]Sheet1!$K$1176+[5]Sheet1!$K$1173-[5]Sheet1!$K$1158</f>
        <v>0</v>
      </c>
      <c r="K1663" s="2336">
        <f t="shared" si="362"/>
        <v>0</v>
      </c>
      <c r="L1663" s="2362"/>
      <c r="M1663" s="2362"/>
    </row>
    <row r="1664" spans="1:13" x14ac:dyDescent="0.2">
      <c r="B1664" s="2330" t="s">
        <v>6972</v>
      </c>
      <c r="C1664" s="2351">
        <f t="shared" ref="C1664:M1664" si="372">+C1630+C1634+C1638+C1646+C1662</f>
        <v>5000214</v>
      </c>
      <c r="D1664" s="2351">
        <f t="shared" si="372"/>
        <v>4634497</v>
      </c>
      <c r="E1664" s="2351">
        <f t="shared" si="372"/>
        <v>4634497</v>
      </c>
      <c r="F1664" s="2351">
        <f t="shared" si="372"/>
        <v>2264670</v>
      </c>
      <c r="G1664" s="2351">
        <f t="shared" si="372"/>
        <v>2717603.9999999995</v>
      </c>
      <c r="H1664" s="2351"/>
      <c r="I1664" s="2351">
        <f t="shared" si="372"/>
        <v>5972984</v>
      </c>
      <c r="J1664" s="2351">
        <f t="shared" si="372"/>
        <v>4107847.7399999993</v>
      </c>
      <c r="K1664" s="2333">
        <f t="shared" si="362"/>
        <v>4107847.7399999993</v>
      </c>
      <c r="L1664" s="2351">
        <f t="shared" si="372"/>
        <v>6429975</v>
      </c>
      <c r="M1664" s="2351">
        <f t="shared" si="372"/>
        <v>6910515</v>
      </c>
    </row>
    <row r="1665" spans="1:13" x14ac:dyDescent="0.2">
      <c r="B1665" s="2330"/>
      <c r="C1665" s="2351"/>
      <c r="D1665" s="2351"/>
      <c r="E1665" s="2351"/>
      <c r="G1665" s="2332"/>
      <c r="H1665" s="2332"/>
      <c r="I1665" s="2332"/>
      <c r="J1665" s="2332"/>
      <c r="K1665" s="2333">
        <f t="shared" si="362"/>
        <v>0</v>
      </c>
      <c r="L1665" s="2351"/>
      <c r="M1665" s="2351"/>
    </row>
    <row r="1666" spans="1:13" x14ac:dyDescent="0.2">
      <c r="A1666" s="2369"/>
      <c r="B1666" s="2369"/>
      <c r="C1666" s="2369"/>
      <c r="D1666" s="2369"/>
      <c r="E1666" s="2369"/>
      <c r="G1666" s="2332"/>
      <c r="H1666" s="2332"/>
      <c r="I1666" s="2332"/>
      <c r="J1666" s="2332"/>
      <c r="K1666" s="2333">
        <f t="shared" si="362"/>
        <v>0</v>
      </c>
      <c r="L1666" s="2369"/>
      <c r="M1666" s="2369"/>
    </row>
    <row r="1667" spans="1:13" ht="15" x14ac:dyDescent="0.25">
      <c r="A1667" s="2365">
        <v>1810</v>
      </c>
      <c r="B1667" s="2326" t="s">
        <v>7204</v>
      </c>
      <c r="C1667" s="2349"/>
      <c r="D1667" s="2349"/>
      <c r="E1667" s="2349"/>
      <c r="G1667" s="2332"/>
      <c r="H1667" s="2332"/>
      <c r="I1667" s="2332"/>
      <c r="J1667" s="2332"/>
      <c r="K1667" s="2333">
        <f t="shared" si="362"/>
        <v>0</v>
      </c>
      <c r="L1667" s="2349"/>
      <c r="M1667" s="2349"/>
    </row>
    <row r="1668" spans="1:13" x14ac:dyDescent="0.2">
      <c r="B1668" s="2330"/>
      <c r="C1668" s="2349"/>
      <c r="D1668" s="2349"/>
      <c r="E1668" s="2349"/>
      <c r="G1668" s="2332"/>
      <c r="H1668" s="2332"/>
      <c r="I1668" s="2332"/>
      <c r="J1668" s="2332"/>
      <c r="K1668" s="2333">
        <f t="shared" si="362"/>
        <v>0</v>
      </c>
      <c r="L1668" s="2349"/>
      <c r="M1668" s="2349"/>
    </row>
    <row r="1669" spans="1:13" x14ac:dyDescent="0.2">
      <c r="B1669" s="2330" t="s">
        <v>7081</v>
      </c>
      <c r="C1669" s="2364"/>
      <c r="D1669" s="2364"/>
      <c r="E1669" s="2364"/>
      <c r="G1669" s="2332"/>
      <c r="H1669" s="2332"/>
      <c r="I1669" s="2332"/>
      <c r="J1669" s="2332"/>
      <c r="K1669" s="2333">
        <f t="shared" si="362"/>
        <v>0</v>
      </c>
      <c r="L1669" s="2364"/>
      <c r="M1669" s="2364"/>
    </row>
    <row r="1670" spans="1:13" x14ac:dyDescent="0.2">
      <c r="A1670" s="2403"/>
      <c r="B1670" s="2334" t="s">
        <v>7082</v>
      </c>
      <c r="C1670" s="2335">
        <v>0</v>
      </c>
      <c r="D1670" s="2335">
        <v>0</v>
      </c>
      <c r="E1670" s="2335">
        <v>0</v>
      </c>
      <c r="F1670" s="2335">
        <v>0</v>
      </c>
      <c r="G1670" s="2335">
        <f>F1670/$F$11*$G$11</f>
        <v>0</v>
      </c>
      <c r="H1670" s="2335"/>
      <c r="I1670" s="2335">
        <v>0</v>
      </c>
      <c r="J1670" s="2335">
        <v>0</v>
      </c>
      <c r="K1670" s="2336">
        <f t="shared" si="362"/>
        <v>0</v>
      </c>
      <c r="L1670" s="2335">
        <v>0</v>
      </c>
      <c r="M1670" s="2335">
        <v>0</v>
      </c>
    </row>
    <row r="1671" spans="1:13" x14ac:dyDescent="0.2">
      <c r="B1671" s="2330" t="s">
        <v>7083</v>
      </c>
      <c r="C1671" s="2364">
        <f t="shared" ref="C1671:M1671" si="373">SUM(C1670)</f>
        <v>0</v>
      </c>
      <c r="D1671" s="2364">
        <f t="shared" si="373"/>
        <v>0</v>
      </c>
      <c r="E1671" s="2364">
        <f t="shared" si="373"/>
        <v>0</v>
      </c>
      <c r="F1671" s="2364">
        <f t="shared" si="373"/>
        <v>0</v>
      </c>
      <c r="G1671" s="2364">
        <f t="shared" si="373"/>
        <v>0</v>
      </c>
      <c r="H1671" s="2364"/>
      <c r="I1671" s="2364">
        <f t="shared" si="373"/>
        <v>0</v>
      </c>
      <c r="J1671" s="2364">
        <v>0</v>
      </c>
      <c r="K1671" s="2333">
        <f t="shared" si="362"/>
        <v>0</v>
      </c>
      <c r="L1671" s="2364">
        <f t="shared" si="373"/>
        <v>0</v>
      </c>
      <c r="M1671" s="2364">
        <f t="shared" si="373"/>
        <v>0</v>
      </c>
    </row>
    <row r="1672" spans="1:13" x14ac:dyDescent="0.2">
      <c r="B1672" s="2330"/>
      <c r="C1672" s="2349"/>
      <c r="D1672" s="2349"/>
      <c r="E1672" s="2349"/>
      <c r="G1672" s="2332"/>
      <c r="H1672" s="2332"/>
      <c r="I1672" s="2332"/>
      <c r="J1672" s="2332"/>
      <c r="K1672" s="2333">
        <f t="shared" si="362"/>
        <v>0</v>
      </c>
      <c r="L1672" s="2349"/>
      <c r="M1672" s="2349"/>
    </row>
    <row r="1673" spans="1:13" x14ac:dyDescent="0.2">
      <c r="A1673" s="2353"/>
      <c r="B1673" s="2330" t="s">
        <v>6974</v>
      </c>
      <c r="C1673" s="2332"/>
      <c r="D1673" s="2332"/>
      <c r="E1673" s="2332"/>
      <c r="G1673" s="2332"/>
      <c r="H1673" s="2332"/>
      <c r="I1673" s="2332"/>
      <c r="J1673" s="2332"/>
      <c r="K1673" s="2333">
        <f t="shared" si="362"/>
        <v>0</v>
      </c>
      <c r="L1673" s="2332"/>
      <c r="M1673" s="2332"/>
    </row>
    <row r="1674" spans="1:13" x14ac:dyDescent="0.2">
      <c r="A1674" s="2353">
        <v>4204</v>
      </c>
      <c r="B1674" s="2258" t="s">
        <v>6976</v>
      </c>
      <c r="C1674" s="2332">
        <v>63174</v>
      </c>
      <c r="D1674" s="2332">
        <v>58732</v>
      </c>
      <c r="E1674" s="2332">
        <v>58732</v>
      </c>
      <c r="F1674" s="2332">
        <v>0</v>
      </c>
      <c r="G1674" s="2332">
        <f>F1674/$F$11*$G$11</f>
        <v>0</v>
      </c>
      <c r="H1674" s="2332"/>
      <c r="I1674" s="2332">
        <f>ROUND(E1674*1.08,0)</f>
        <v>63431</v>
      </c>
      <c r="J1674" s="2332">
        <f>[5]Sheet1!$K$1188</f>
        <v>98429.84</v>
      </c>
      <c r="K1674" s="2333">
        <f t="shared" si="362"/>
        <v>98429.84</v>
      </c>
      <c r="L1674" s="2332">
        <f>ROUND(I1674*1.08,0)</f>
        <v>68505</v>
      </c>
      <c r="M1674" s="2332">
        <f>ROUND(L1674*1.08,0)</f>
        <v>73985</v>
      </c>
    </row>
    <row r="1675" spans="1:13" x14ac:dyDescent="0.2">
      <c r="A1675" s="2353">
        <v>4209</v>
      </c>
      <c r="B1675" s="2258" t="s">
        <v>6449</v>
      </c>
      <c r="C1675" s="2332">
        <v>30145</v>
      </c>
      <c r="D1675" s="2332">
        <v>0</v>
      </c>
      <c r="E1675" s="2332">
        <v>0</v>
      </c>
      <c r="F1675" s="2332">
        <v>0</v>
      </c>
      <c r="G1675" s="2332">
        <f>F1675/$F$11*$G$11</f>
        <v>0</v>
      </c>
      <c r="H1675" s="2332"/>
      <c r="I1675" s="2332">
        <f>ROUND(E1675*1.08,0)</f>
        <v>0</v>
      </c>
      <c r="J1675" s="2332">
        <v>0</v>
      </c>
      <c r="K1675" s="2333">
        <f t="shared" si="362"/>
        <v>0</v>
      </c>
      <c r="L1675" s="2332">
        <f>ROUND(I1675*1.08,0)</f>
        <v>0</v>
      </c>
      <c r="M1675" s="2332">
        <f>ROUND(L1675*1.08,0)</f>
        <v>0</v>
      </c>
    </row>
    <row r="1676" spans="1:13" x14ac:dyDescent="0.2">
      <c r="A1676" s="2353">
        <v>4207</v>
      </c>
      <c r="B1676" s="2334" t="s">
        <v>6977</v>
      </c>
      <c r="C1676" s="2335">
        <v>85080</v>
      </c>
      <c r="D1676" s="2335">
        <v>67814</v>
      </c>
      <c r="E1676" s="2335">
        <v>67814</v>
      </c>
      <c r="F1676" s="2335">
        <v>0</v>
      </c>
      <c r="G1676" s="2335">
        <f>F1676/$F$11*$G$11</f>
        <v>0</v>
      </c>
      <c r="H1676" s="2335"/>
      <c r="I1676" s="2335">
        <f>ROUND(E1676*1.08,0)</f>
        <v>73239</v>
      </c>
      <c r="J1676" s="2335">
        <f>[5]Sheet1!$K$1189</f>
        <v>20324.68</v>
      </c>
      <c r="K1676" s="2336">
        <f t="shared" si="362"/>
        <v>20324.68</v>
      </c>
      <c r="L1676" s="2335">
        <f>ROUND(I1676*1.08,0)</f>
        <v>79098</v>
      </c>
      <c r="M1676" s="2335">
        <f>ROUND(L1676*1.08,0)</f>
        <v>85426</v>
      </c>
    </row>
    <row r="1677" spans="1:13" x14ac:dyDescent="0.2">
      <c r="A1677" s="2353"/>
      <c r="B1677" s="2330" t="s">
        <v>6979</v>
      </c>
      <c r="C1677" s="2337">
        <f t="shared" ref="C1677:M1677" si="374">SUM(C1674:C1676)</f>
        <v>178399</v>
      </c>
      <c r="D1677" s="2337">
        <f t="shared" si="374"/>
        <v>126546</v>
      </c>
      <c r="E1677" s="2337">
        <f t="shared" si="374"/>
        <v>126546</v>
      </c>
      <c r="F1677" s="2337">
        <f t="shared" si="374"/>
        <v>0</v>
      </c>
      <c r="G1677" s="2337">
        <f t="shared" si="374"/>
        <v>0</v>
      </c>
      <c r="H1677" s="2337"/>
      <c r="I1677" s="2337">
        <f t="shared" si="374"/>
        <v>136670</v>
      </c>
      <c r="J1677" s="2337">
        <f>J1674+J1676</f>
        <v>118754.51999999999</v>
      </c>
      <c r="K1677" s="2333">
        <f t="shared" si="362"/>
        <v>118754.51999999999</v>
      </c>
      <c r="L1677" s="2337">
        <f t="shared" si="374"/>
        <v>147603</v>
      </c>
      <c r="M1677" s="2337">
        <f t="shared" si="374"/>
        <v>159411</v>
      </c>
    </row>
    <row r="1678" spans="1:13" x14ac:dyDescent="0.2">
      <c r="B1678" s="2338"/>
      <c r="C1678" s="2380"/>
      <c r="D1678" s="2380"/>
      <c r="E1678" s="2380"/>
      <c r="F1678" s="2380"/>
      <c r="G1678" s="2380"/>
      <c r="H1678" s="2380"/>
      <c r="I1678" s="2380"/>
      <c r="J1678" s="2380">
        <f>J1677-[5]Sheet1!$K$1190</f>
        <v>0</v>
      </c>
      <c r="K1678" s="2336">
        <f t="shared" si="362"/>
        <v>0</v>
      </c>
      <c r="L1678" s="2380"/>
      <c r="M1678" s="2380"/>
    </row>
    <row r="1679" spans="1:13" x14ac:dyDescent="0.2">
      <c r="B1679" s="2330" t="s">
        <v>7147</v>
      </c>
      <c r="C1679" s="2351">
        <f>C1664+C1671+C1677</f>
        <v>5178613</v>
      </c>
      <c r="D1679" s="2351">
        <f>D1664+D1671+D1677</f>
        <v>4761043</v>
      </c>
      <c r="E1679" s="2351">
        <f>E1664+E1671+E1677</f>
        <v>4761043</v>
      </c>
      <c r="F1679" s="2351">
        <f>F1664+F1671+F1677</f>
        <v>2264670</v>
      </c>
      <c r="G1679" s="2351">
        <f>G1664+G1671+G1677</f>
        <v>2717603.9999999995</v>
      </c>
      <c r="H1679" s="2351"/>
      <c r="I1679" s="2351">
        <f>I1664+I1671+I1677</f>
        <v>6109654</v>
      </c>
      <c r="J1679" s="2351">
        <f>J1664+J1671+J1677</f>
        <v>4226602.2599999988</v>
      </c>
      <c r="K1679" s="2333">
        <f t="shared" si="362"/>
        <v>4226602.2599999988</v>
      </c>
      <c r="L1679" s="2351">
        <f>L1664+L1671+L1677</f>
        <v>6577578</v>
      </c>
      <c r="M1679" s="2351">
        <f>M1664+M1671+M1677</f>
        <v>7069926</v>
      </c>
    </row>
    <row r="1680" spans="1:13" x14ac:dyDescent="0.2">
      <c r="B1680" s="2330"/>
      <c r="C1680" s="2364"/>
      <c r="D1680" s="2364"/>
      <c r="E1680" s="2364"/>
      <c r="G1680" s="2332"/>
      <c r="H1680" s="2332"/>
      <c r="I1680" s="2332"/>
      <c r="J1680" s="2332"/>
      <c r="K1680" s="2333">
        <f t="shared" si="362"/>
        <v>0</v>
      </c>
      <c r="L1680" s="2364"/>
      <c r="M1680" s="2364"/>
    </row>
    <row r="1681" spans="1:13" ht="13.5" thickBot="1" x14ac:dyDescent="0.25">
      <c r="B1681" s="2342" t="s">
        <v>6980</v>
      </c>
      <c r="C1681" s="2354">
        <f t="shared" ref="C1681:M1681" si="375">C1679</f>
        <v>5178613</v>
      </c>
      <c r="D1681" s="2354">
        <f t="shared" si="375"/>
        <v>4761043</v>
      </c>
      <c r="E1681" s="2354">
        <f t="shared" si="375"/>
        <v>4761043</v>
      </c>
      <c r="F1681" s="2354">
        <f t="shared" si="375"/>
        <v>2264670</v>
      </c>
      <c r="G1681" s="2354">
        <f t="shared" si="375"/>
        <v>2717603.9999999995</v>
      </c>
      <c r="H1681" s="2354"/>
      <c r="I1681" s="2354">
        <f t="shared" si="375"/>
        <v>6109654</v>
      </c>
      <c r="J1681" s="2354">
        <f>J1679</f>
        <v>4226602.2599999988</v>
      </c>
      <c r="K1681" s="2344">
        <f t="shared" si="362"/>
        <v>4226602.2599999988</v>
      </c>
      <c r="L1681" s="2354">
        <f t="shared" si="375"/>
        <v>6577578</v>
      </c>
      <c r="M1681" s="2354">
        <f t="shared" si="375"/>
        <v>7069926</v>
      </c>
    </row>
    <row r="1682" spans="1:13" ht="13.5" thickTop="1" x14ac:dyDescent="0.2">
      <c r="B1682" s="2330"/>
      <c r="C1682" s="2349"/>
      <c r="D1682" s="2349"/>
      <c r="E1682" s="2349"/>
      <c r="F1682" s="2349"/>
      <c r="G1682" s="2349"/>
      <c r="H1682" s="2349"/>
      <c r="I1682" s="2349"/>
      <c r="J1682" s="2349"/>
      <c r="K1682" s="2333">
        <f t="shared" si="362"/>
        <v>0</v>
      </c>
      <c r="L1682" s="2349"/>
      <c r="M1682" s="2349"/>
    </row>
    <row r="1683" spans="1:13" ht="13.5" thickBot="1" x14ac:dyDescent="0.25">
      <c r="B1683" s="2342" t="s">
        <v>6624</v>
      </c>
      <c r="C1683" s="2355">
        <f>C1611-C1681</f>
        <v>0</v>
      </c>
      <c r="D1683" s="2355">
        <f>D1611-D1681</f>
        <v>0</v>
      </c>
      <c r="E1683" s="2355">
        <f>E1611-E1681</f>
        <v>0</v>
      </c>
      <c r="F1683" s="2355">
        <f>F1611-F1681</f>
        <v>339058</v>
      </c>
      <c r="G1683" s="2355">
        <f>G1611-G1681</f>
        <v>2047308.6</v>
      </c>
      <c r="H1683" s="2355"/>
      <c r="I1683" s="2355">
        <f>I1611-I1681</f>
        <v>0</v>
      </c>
      <c r="J1683" s="2355">
        <f>J1611-J1681</f>
        <v>1907799.8400000008</v>
      </c>
      <c r="K1683" s="2344">
        <f t="shared" si="362"/>
        <v>1907799.8400000008</v>
      </c>
      <c r="L1683" s="2355">
        <f>L1611-L1681</f>
        <v>0</v>
      </c>
      <c r="M1683" s="2355">
        <f>M1611-M1681</f>
        <v>0</v>
      </c>
    </row>
    <row r="1684" spans="1:13" ht="13.5" thickTop="1" x14ac:dyDescent="0.2">
      <c r="B1684" s="2330"/>
      <c r="C1684" s="2356"/>
      <c r="D1684" s="2356"/>
      <c r="E1684" s="2356"/>
      <c r="G1684" s="2332"/>
      <c r="H1684" s="2332"/>
      <c r="I1684" s="2332"/>
      <c r="J1684" s="2332"/>
      <c r="K1684" s="2333">
        <f t="shared" si="362"/>
        <v>0</v>
      </c>
      <c r="L1684" s="2356"/>
      <c r="M1684" s="2356"/>
    </row>
    <row r="1685" spans="1:13" x14ac:dyDescent="0.2">
      <c r="A1685" s="2369"/>
      <c r="B1685" s="2369"/>
      <c r="C1685" s="2369"/>
      <c r="D1685" s="2369"/>
      <c r="E1685" s="2369"/>
      <c r="G1685" s="2332"/>
      <c r="H1685" s="2332"/>
      <c r="I1685" s="2332"/>
      <c r="J1685" s="2332"/>
      <c r="K1685" s="2333">
        <f t="shared" ref="K1685:K1748" si="376">J1685</f>
        <v>0</v>
      </c>
      <c r="L1685" s="2369"/>
      <c r="M1685" s="2369"/>
    </row>
    <row r="1686" spans="1:13" ht="15.75" x14ac:dyDescent="0.25">
      <c r="A1686" s="2374">
        <v>1900</v>
      </c>
      <c r="B1686" s="2421" t="s">
        <v>6809</v>
      </c>
      <c r="G1686" s="2332"/>
      <c r="H1686" s="2332"/>
      <c r="I1686" s="2332"/>
      <c r="J1686" s="2332"/>
      <c r="K1686" s="2333">
        <f t="shared" si="376"/>
        <v>0</v>
      </c>
    </row>
    <row r="1687" spans="1:13" ht="15" x14ac:dyDescent="0.25">
      <c r="A1687" s="2365">
        <v>1910</v>
      </c>
      <c r="B1687" s="2326" t="s">
        <v>7205</v>
      </c>
      <c r="C1687" s="2326"/>
      <c r="D1687" s="2326"/>
      <c r="E1687" s="2326"/>
      <c r="G1687" s="2332"/>
      <c r="H1687" s="2332"/>
      <c r="I1687" s="2332"/>
      <c r="J1687" s="2332"/>
      <c r="K1687" s="2333">
        <f t="shared" si="376"/>
        <v>0</v>
      </c>
    </row>
    <row r="1688" spans="1:13" ht="15" x14ac:dyDescent="0.25">
      <c r="B1688" s="2326"/>
      <c r="C1688" s="2326"/>
      <c r="D1688" s="2326"/>
      <c r="E1688" s="2326"/>
      <c r="G1688" s="2332"/>
      <c r="H1688" s="2332"/>
      <c r="I1688" s="2332"/>
      <c r="J1688" s="2332"/>
      <c r="K1688" s="2333">
        <f t="shared" si="376"/>
        <v>0</v>
      </c>
    </row>
    <row r="1689" spans="1:13" x14ac:dyDescent="0.2">
      <c r="B1689" s="2328" t="s">
        <v>247</v>
      </c>
      <c r="C1689" s="2328"/>
      <c r="D1689" s="2328"/>
      <c r="E1689" s="2328"/>
      <c r="G1689" s="2332"/>
      <c r="H1689" s="2332"/>
      <c r="I1689" s="2332"/>
      <c r="J1689" s="2332"/>
      <c r="K1689" s="2333">
        <f t="shared" si="376"/>
        <v>0</v>
      </c>
    </row>
    <row r="1690" spans="1:13" x14ac:dyDescent="0.2">
      <c r="B1690" s="2323"/>
      <c r="C1690" s="2323"/>
      <c r="D1690" s="2323"/>
      <c r="E1690" s="2323"/>
      <c r="G1690" s="2332"/>
      <c r="H1690" s="2332"/>
      <c r="I1690" s="2332"/>
      <c r="J1690" s="2332"/>
      <c r="K1690" s="2333">
        <f t="shared" si="376"/>
        <v>0</v>
      </c>
      <c r="L1690" s="2431"/>
    </row>
    <row r="1691" spans="1:13" x14ac:dyDescent="0.2">
      <c r="B1691" s="2330" t="s">
        <v>7206</v>
      </c>
      <c r="C1691" s="2375"/>
      <c r="D1691" s="2375"/>
      <c r="E1691" s="2375"/>
      <c r="F1691" s="2322"/>
      <c r="G1691" s="2332"/>
      <c r="H1691" s="2332"/>
      <c r="I1691" s="2332"/>
      <c r="J1691" s="2332"/>
      <c r="K1691" s="2333">
        <f t="shared" si="376"/>
        <v>0</v>
      </c>
    </row>
    <row r="1692" spans="1:13" x14ac:dyDescent="0.2">
      <c r="A1692" s="2353">
        <v>5617</v>
      </c>
      <c r="B1692" s="2334" t="s">
        <v>6810</v>
      </c>
      <c r="C1692" s="2335">
        <v>3471379</v>
      </c>
      <c r="D1692" s="2335">
        <f>ROUND(3457812*1.37,0)</f>
        <v>4737202</v>
      </c>
      <c r="E1692" s="2335">
        <v>4737202</v>
      </c>
      <c r="F1692" s="2335">
        <v>3898111</v>
      </c>
      <c r="G1692" s="2335">
        <f>F1692/$F$11*$G$11</f>
        <v>4677733.1999999993</v>
      </c>
      <c r="H1692" s="2335"/>
      <c r="I1692" s="2335">
        <f>ROUND(96768*O1692,0)</f>
        <v>0</v>
      </c>
      <c r="J1692" s="2335">
        <f>-[5]Sheet1!$K$1025</f>
        <v>5312997.34</v>
      </c>
      <c r="K1692" s="2336">
        <f t="shared" si="376"/>
        <v>5312997.34</v>
      </c>
      <c r="L1692" s="2335">
        <f>ROUND(96768*P1692,0)</f>
        <v>0</v>
      </c>
      <c r="M1692" s="2335">
        <f>ROUND(96768*Q1692,0)</f>
        <v>0</v>
      </c>
    </row>
    <row r="1693" spans="1:13" x14ac:dyDescent="0.2">
      <c r="B1693" s="2330" t="s">
        <v>7207</v>
      </c>
      <c r="C1693" s="2376">
        <f t="shared" ref="C1693:M1693" si="377">SUM(C1692:C1692)</f>
        <v>3471379</v>
      </c>
      <c r="D1693" s="2376">
        <f t="shared" si="377"/>
        <v>4737202</v>
      </c>
      <c r="E1693" s="2376">
        <f t="shared" si="377"/>
        <v>4737202</v>
      </c>
      <c r="F1693" s="2376">
        <f t="shared" si="377"/>
        <v>3898111</v>
      </c>
      <c r="G1693" s="2376">
        <f t="shared" si="377"/>
        <v>4677733.1999999993</v>
      </c>
      <c r="H1693" s="2376"/>
      <c r="I1693" s="2376">
        <f t="shared" si="377"/>
        <v>0</v>
      </c>
      <c r="J1693" s="2376">
        <f>J1692</f>
        <v>5312997.34</v>
      </c>
      <c r="K1693" s="2333">
        <f t="shared" si="376"/>
        <v>5312997.34</v>
      </c>
      <c r="L1693" s="2376">
        <f t="shared" si="377"/>
        <v>0</v>
      </c>
      <c r="M1693" s="2376">
        <f t="shared" si="377"/>
        <v>0</v>
      </c>
    </row>
    <row r="1694" spans="1:13" x14ac:dyDescent="0.2">
      <c r="B1694" s="2330"/>
      <c r="C1694" s="2375"/>
      <c r="D1694" s="2375"/>
      <c r="E1694" s="2375"/>
      <c r="F1694" s="2309"/>
      <c r="G1694" s="2332"/>
      <c r="H1694" s="2332"/>
      <c r="I1694" s="2332"/>
      <c r="J1694" s="2332"/>
      <c r="K1694" s="2333">
        <f t="shared" si="376"/>
        <v>0</v>
      </c>
      <c r="L1694" s="2375"/>
      <c r="M1694" s="2375"/>
    </row>
    <row r="1695" spans="1:13" x14ac:dyDescent="0.2">
      <c r="B1695" s="2330" t="s">
        <v>1637</v>
      </c>
      <c r="C1695" s="2375"/>
      <c r="D1695" s="2375"/>
      <c r="E1695" s="2375"/>
      <c r="G1695" s="2332"/>
      <c r="H1695" s="2332"/>
      <c r="I1695" s="2332"/>
      <c r="J1695" s="2332"/>
      <c r="K1695" s="2333">
        <f t="shared" si="376"/>
        <v>0</v>
      </c>
      <c r="L1695" s="2375"/>
      <c r="M1695" s="2375"/>
    </row>
    <row r="1696" spans="1:13" x14ac:dyDescent="0.2">
      <c r="B1696" s="2258" t="s">
        <v>1797</v>
      </c>
      <c r="C1696" s="2375">
        <v>8236</v>
      </c>
      <c r="D1696" s="2375">
        <v>0</v>
      </c>
      <c r="E1696" s="2375">
        <v>4600</v>
      </c>
      <c r="F1696" s="2332">
        <v>1982</v>
      </c>
      <c r="G1696" s="2332">
        <f>F1696/$F$11*$G$11</f>
        <v>2378.3999999999996</v>
      </c>
      <c r="H1696" s="2332"/>
      <c r="I1696" s="2332">
        <f>ROUND(G1696*1.1,0)</f>
        <v>2616</v>
      </c>
      <c r="J1696" s="2332">
        <f>-[5]Sheet1!$K$1033</f>
        <v>4666.66</v>
      </c>
      <c r="K1696" s="2333">
        <f t="shared" si="376"/>
        <v>4666.66</v>
      </c>
      <c r="L1696" s="2332">
        <f>ROUND(I1696*1.06,0)</f>
        <v>2773</v>
      </c>
      <c r="M1696" s="2332">
        <f>ROUND(L1696*1.06,0)</f>
        <v>2939</v>
      </c>
    </row>
    <row r="1697" spans="1:13" x14ac:dyDescent="0.2">
      <c r="A1697" s="2353">
        <v>5815</v>
      </c>
      <c r="B1697" s="2334" t="s">
        <v>7208</v>
      </c>
      <c r="C1697" s="2335">
        <v>4422</v>
      </c>
      <c r="D1697" s="2335">
        <v>11000</v>
      </c>
      <c r="E1697" s="2335">
        <v>11000</v>
      </c>
      <c r="F1697" s="2335">
        <v>4961</v>
      </c>
      <c r="G1697" s="2335">
        <f>F1697/$F$11*$G$11</f>
        <v>5953.2000000000007</v>
      </c>
      <c r="H1697" s="2335"/>
      <c r="I1697" s="2335">
        <f>ROUND(G1697*1.1,0)</f>
        <v>6549</v>
      </c>
      <c r="J1697" s="2335">
        <f>-[5]Sheet1!$K$1034</f>
        <v>6047.52</v>
      </c>
      <c r="K1697" s="2336">
        <f t="shared" si="376"/>
        <v>6047.52</v>
      </c>
      <c r="L1697" s="2335">
        <f>ROUND(I1697*1.06,0)</f>
        <v>6942</v>
      </c>
      <c r="M1697" s="2335">
        <f>ROUND(L1697*1.06,0)</f>
        <v>7359</v>
      </c>
    </row>
    <row r="1698" spans="1:13" x14ac:dyDescent="0.2">
      <c r="B1698" s="2330" t="s">
        <v>6670</v>
      </c>
      <c r="C1698" s="2376">
        <f>SUM(C1696:C1697)</f>
        <v>12658</v>
      </c>
      <c r="D1698" s="2376">
        <f t="shared" ref="D1698:M1698" si="378">SUM(D1696:D1697)</f>
        <v>11000</v>
      </c>
      <c r="E1698" s="2376">
        <f t="shared" si="378"/>
        <v>15600</v>
      </c>
      <c r="F1698" s="2376">
        <f t="shared" si="378"/>
        <v>6943</v>
      </c>
      <c r="G1698" s="2376">
        <f t="shared" si="378"/>
        <v>8331.6</v>
      </c>
      <c r="H1698" s="2376"/>
      <c r="I1698" s="2376">
        <f t="shared" si="378"/>
        <v>9165</v>
      </c>
      <c r="J1698" s="2376">
        <f>J1696+J1697</f>
        <v>10714.18</v>
      </c>
      <c r="K1698" s="2333">
        <f t="shared" si="376"/>
        <v>10714.18</v>
      </c>
      <c r="L1698" s="2376">
        <f t="shared" si="378"/>
        <v>9715</v>
      </c>
      <c r="M1698" s="2376">
        <f t="shared" si="378"/>
        <v>10298</v>
      </c>
    </row>
    <row r="1699" spans="1:13" x14ac:dyDescent="0.2">
      <c r="B1699" s="2338"/>
      <c r="C1699" s="2339"/>
      <c r="D1699" s="2339"/>
      <c r="E1699" s="2339"/>
      <c r="F1699" s="2339"/>
      <c r="G1699" s="2339"/>
      <c r="H1699" s="2339"/>
      <c r="I1699" s="2339"/>
      <c r="J1699" s="2339"/>
      <c r="K1699" s="2336">
        <f t="shared" si="376"/>
        <v>0</v>
      </c>
      <c r="L1699" s="2339"/>
      <c r="M1699" s="2339"/>
    </row>
    <row r="1700" spans="1:13" x14ac:dyDescent="0.2">
      <c r="B1700" s="2330" t="s">
        <v>7158</v>
      </c>
      <c r="C1700" s="2351">
        <f t="shared" ref="C1700:M1700" si="379">C1693+C1698</f>
        <v>3484037</v>
      </c>
      <c r="D1700" s="2351">
        <f t="shared" si="379"/>
        <v>4748202</v>
      </c>
      <c r="E1700" s="2351">
        <f t="shared" si="379"/>
        <v>4752802</v>
      </c>
      <c r="F1700" s="2351">
        <f t="shared" si="379"/>
        <v>3905054</v>
      </c>
      <c r="G1700" s="2351">
        <f t="shared" si="379"/>
        <v>4686064.7999999989</v>
      </c>
      <c r="H1700" s="2351"/>
      <c r="I1700" s="2351">
        <f t="shared" si="379"/>
        <v>9165</v>
      </c>
      <c r="J1700" s="2351">
        <f t="shared" si="379"/>
        <v>5323711.5199999996</v>
      </c>
      <c r="K1700" s="2333">
        <f t="shared" si="376"/>
        <v>5323711.5199999996</v>
      </c>
      <c r="L1700" s="2351">
        <f t="shared" si="379"/>
        <v>9715</v>
      </c>
      <c r="M1700" s="2351">
        <f t="shared" si="379"/>
        <v>10298</v>
      </c>
    </row>
    <row r="1701" spans="1:13" x14ac:dyDescent="0.2">
      <c r="B1701" s="2330"/>
      <c r="C1701" s="2351"/>
      <c r="D1701" s="2351"/>
      <c r="E1701" s="2351"/>
      <c r="G1701" s="2332"/>
      <c r="H1701" s="2332"/>
      <c r="I1701" s="2332"/>
      <c r="J1701" s="2332"/>
      <c r="K1701" s="2333">
        <f t="shared" si="376"/>
        <v>0</v>
      </c>
      <c r="L1701" s="2351"/>
      <c r="M1701" s="2351"/>
    </row>
    <row r="1702" spans="1:13" x14ac:dyDescent="0.2">
      <c r="B1702" s="2330" t="s">
        <v>7209</v>
      </c>
      <c r="C1702" s="2375"/>
      <c r="D1702" s="2375"/>
      <c r="E1702" s="2375"/>
      <c r="G1702" s="2332"/>
      <c r="H1702" s="2332"/>
      <c r="I1702" s="2332"/>
      <c r="J1702" s="2332"/>
      <c r="K1702" s="2333">
        <f t="shared" si="376"/>
        <v>0</v>
      </c>
      <c r="L1702" s="2375"/>
      <c r="M1702" s="2375"/>
    </row>
    <row r="1703" spans="1:13" x14ac:dyDescent="0.2">
      <c r="B1703" s="2334" t="s">
        <v>7210</v>
      </c>
      <c r="C1703" s="2335">
        <v>0</v>
      </c>
      <c r="D1703" s="2335">
        <v>0</v>
      </c>
      <c r="E1703" s="2335">
        <v>0</v>
      </c>
      <c r="F1703" s="2335">
        <v>0</v>
      </c>
      <c r="G1703" s="2335">
        <f>F1703/$F$11*$G$11</f>
        <v>0</v>
      </c>
      <c r="H1703" s="2335"/>
      <c r="I1703" s="2335">
        <v>0</v>
      </c>
      <c r="J1703" s="2335">
        <v>0</v>
      </c>
      <c r="K1703" s="2336">
        <f t="shared" si="376"/>
        <v>0</v>
      </c>
      <c r="L1703" s="2335">
        <v>0</v>
      </c>
      <c r="M1703" s="2335">
        <v>0</v>
      </c>
    </row>
    <row r="1704" spans="1:13" x14ac:dyDescent="0.2">
      <c r="B1704" s="2330" t="s">
        <v>7211</v>
      </c>
      <c r="C1704" s="2376">
        <f t="shared" ref="C1704:M1704" si="380">SUM(C1703)</f>
        <v>0</v>
      </c>
      <c r="D1704" s="2376">
        <f t="shared" si="380"/>
        <v>0</v>
      </c>
      <c r="E1704" s="2376">
        <f t="shared" si="380"/>
        <v>0</v>
      </c>
      <c r="F1704" s="2376">
        <f t="shared" si="380"/>
        <v>0</v>
      </c>
      <c r="G1704" s="2376">
        <f t="shared" si="380"/>
        <v>0</v>
      </c>
      <c r="H1704" s="2376"/>
      <c r="I1704" s="2376">
        <f t="shared" si="380"/>
        <v>0</v>
      </c>
      <c r="J1704" s="2376">
        <v>0</v>
      </c>
      <c r="K1704" s="2333">
        <f t="shared" si="376"/>
        <v>0</v>
      </c>
      <c r="L1704" s="2376">
        <f t="shared" si="380"/>
        <v>0</v>
      </c>
      <c r="M1704" s="2376">
        <f t="shared" si="380"/>
        <v>0</v>
      </c>
    </row>
    <row r="1705" spans="1:13" x14ac:dyDescent="0.2">
      <c r="B1705" s="2330"/>
      <c r="C1705" s="2364"/>
      <c r="D1705" s="2364"/>
      <c r="E1705" s="2364"/>
      <c r="G1705" s="2332"/>
      <c r="H1705" s="2332"/>
      <c r="I1705" s="2332"/>
      <c r="J1705" s="2332"/>
      <c r="K1705" s="2333">
        <f t="shared" si="376"/>
        <v>0</v>
      </c>
      <c r="L1705" s="2364"/>
      <c r="M1705" s="2364"/>
    </row>
    <row r="1706" spans="1:13" x14ac:dyDescent="0.2">
      <c r="B1706" s="2330" t="s">
        <v>6929</v>
      </c>
      <c r="C1706" s="2332"/>
      <c r="D1706" s="2332"/>
      <c r="E1706" s="2332"/>
      <c r="G1706" s="2332"/>
      <c r="H1706" s="2332"/>
      <c r="I1706" s="2332"/>
      <c r="J1706" s="2332"/>
      <c r="K1706" s="2333">
        <f t="shared" si="376"/>
        <v>0</v>
      </c>
      <c r="L1706" s="2332"/>
      <c r="M1706" s="2332"/>
    </row>
    <row r="1707" spans="1:13" x14ac:dyDescent="0.2">
      <c r="A1707" s="2353">
        <v>5501</v>
      </c>
      <c r="B1707" s="2334" t="s">
        <v>595</v>
      </c>
      <c r="C1707" s="2339">
        <v>4009531</v>
      </c>
      <c r="D1707" s="2335">
        <f>2536923+106859</f>
        <v>2643782</v>
      </c>
      <c r="E1707" s="2335">
        <f>2643782-100000-4600</f>
        <v>2539182</v>
      </c>
      <c r="F1707" s="2335">
        <v>0</v>
      </c>
      <c r="G1707" s="2335">
        <f>F1707/$F$11*$G$11</f>
        <v>0</v>
      </c>
      <c r="H1707" s="2335"/>
      <c r="I1707" s="2335">
        <f>+I1785-I1700</f>
        <v>7491025</v>
      </c>
      <c r="J1707" s="2335">
        <f>-[5]Sheet1!$K$1030</f>
        <v>1883089.01</v>
      </c>
      <c r="K1707" s="2336">
        <f t="shared" si="376"/>
        <v>1883089.01</v>
      </c>
      <c r="L1707" s="2335">
        <f>+L1785-L1700</f>
        <v>6827315</v>
      </c>
      <c r="M1707" s="2335">
        <f>+M1785-M1700</f>
        <v>7330169</v>
      </c>
    </row>
    <row r="1708" spans="1:13" x14ac:dyDescent="0.2">
      <c r="B1708" s="2330" t="s">
        <v>6932</v>
      </c>
      <c r="C1708" s="2376">
        <f t="shared" ref="C1708:M1708" si="381">SUM(C1707)</f>
        <v>4009531</v>
      </c>
      <c r="D1708" s="2376">
        <f t="shared" si="381"/>
        <v>2643782</v>
      </c>
      <c r="E1708" s="2376">
        <f t="shared" si="381"/>
        <v>2539182</v>
      </c>
      <c r="F1708" s="2376">
        <f t="shared" si="381"/>
        <v>0</v>
      </c>
      <c r="G1708" s="2376">
        <f t="shared" si="381"/>
        <v>0</v>
      </c>
      <c r="H1708" s="2376"/>
      <c r="I1708" s="2376">
        <f t="shared" si="381"/>
        <v>7491025</v>
      </c>
      <c r="J1708" s="2376">
        <f>J1707</f>
        <v>1883089.01</v>
      </c>
      <c r="K1708" s="2333">
        <f t="shared" si="376"/>
        <v>1883089.01</v>
      </c>
      <c r="L1708" s="2376">
        <f t="shared" si="381"/>
        <v>6827315</v>
      </c>
      <c r="M1708" s="2376">
        <f t="shared" si="381"/>
        <v>7330169</v>
      </c>
    </row>
    <row r="1709" spans="1:13" x14ac:dyDescent="0.2">
      <c r="B1709" s="2330"/>
      <c r="C1709" s="2375"/>
      <c r="D1709" s="2375"/>
      <c r="E1709" s="2375"/>
      <c r="G1709" s="2332"/>
      <c r="H1709" s="2332"/>
      <c r="I1709" s="2332"/>
      <c r="J1709" s="2332"/>
      <c r="K1709" s="2333">
        <f t="shared" si="376"/>
        <v>0</v>
      </c>
      <c r="L1709" s="2375"/>
      <c r="M1709" s="2375"/>
    </row>
    <row r="1710" spans="1:13" ht="13.5" thickBot="1" x14ac:dyDescent="0.25">
      <c r="B1710" s="2342" t="s">
        <v>6751</v>
      </c>
      <c r="C1710" s="2343">
        <f t="shared" ref="C1710:M1710" si="382">C1700+C1708+C1704</f>
        <v>7493568</v>
      </c>
      <c r="D1710" s="2343">
        <f t="shared" si="382"/>
        <v>7391984</v>
      </c>
      <c r="E1710" s="2343">
        <f t="shared" si="382"/>
        <v>7291984</v>
      </c>
      <c r="F1710" s="2343">
        <f t="shared" si="382"/>
        <v>3905054</v>
      </c>
      <c r="G1710" s="2343">
        <f t="shared" si="382"/>
        <v>4686064.7999999989</v>
      </c>
      <c r="H1710" s="2343"/>
      <c r="I1710" s="2343">
        <f t="shared" si="382"/>
        <v>7500190</v>
      </c>
      <c r="J1710" s="2343">
        <f t="shared" si="382"/>
        <v>7206800.5299999993</v>
      </c>
      <c r="K1710" s="2344">
        <f t="shared" si="376"/>
        <v>7206800.5299999993</v>
      </c>
      <c r="L1710" s="2343">
        <f t="shared" si="382"/>
        <v>6837030</v>
      </c>
      <c r="M1710" s="2343">
        <f t="shared" si="382"/>
        <v>7340467</v>
      </c>
    </row>
    <row r="1711" spans="1:13" ht="13.5" thickTop="1" x14ac:dyDescent="0.2">
      <c r="B1711" s="2346"/>
      <c r="C1711" s="2346"/>
      <c r="D1711" s="2346"/>
      <c r="E1711" s="2346"/>
      <c r="G1711" s="2332"/>
      <c r="H1711" s="2332"/>
      <c r="I1711" s="2332"/>
      <c r="J1711" s="2332">
        <f>J1710+[5]Sheet1!$K$1026+[5]Sheet1!$K$1030+[5]Sheet1!$K$1035</f>
        <v>-5.3114490583539009E-10</v>
      </c>
      <c r="K1711" s="2333">
        <f t="shared" si="376"/>
        <v>-5.3114490583539009E-10</v>
      </c>
      <c r="L1711" s="2346"/>
      <c r="M1711" s="2346"/>
    </row>
    <row r="1712" spans="1:13" x14ac:dyDescent="0.2">
      <c r="B1712" s="2328" t="s">
        <v>235</v>
      </c>
      <c r="C1712" s="2328"/>
      <c r="D1712" s="2328"/>
      <c r="E1712" s="2328"/>
      <c r="G1712" s="2332"/>
      <c r="H1712" s="2332"/>
      <c r="I1712" s="2332"/>
      <c r="J1712" s="2332"/>
      <c r="K1712" s="2333">
        <f t="shared" si="376"/>
        <v>0</v>
      </c>
      <c r="L1712" s="2328"/>
      <c r="M1712" s="2328"/>
    </row>
    <row r="1713" spans="1:13" x14ac:dyDescent="0.2">
      <c r="B1713" s="2328"/>
      <c r="C1713" s="2328"/>
      <c r="D1713" s="2328"/>
      <c r="E1713" s="2328"/>
      <c r="G1713" s="2332"/>
      <c r="H1713" s="2332"/>
      <c r="I1713" s="2332"/>
      <c r="J1713" s="2332"/>
      <c r="K1713" s="2333">
        <f t="shared" si="376"/>
        <v>0</v>
      </c>
      <c r="L1713" s="2328"/>
      <c r="M1713" s="2328"/>
    </row>
    <row r="1714" spans="1:13" x14ac:dyDescent="0.2">
      <c r="B1714" s="2330" t="s">
        <v>387</v>
      </c>
      <c r="C1714" s="2332"/>
      <c r="D1714" s="2332"/>
      <c r="E1714" s="2332"/>
      <c r="G1714" s="2332"/>
      <c r="H1714" s="2332"/>
      <c r="I1714" s="2332"/>
      <c r="J1714" s="2332"/>
      <c r="K1714" s="2333">
        <f t="shared" si="376"/>
        <v>0</v>
      </c>
      <c r="L1714" s="2332"/>
      <c r="M1714" s="2332"/>
    </row>
    <row r="1715" spans="1:13" x14ac:dyDescent="0.2">
      <c r="A1715" s="2353">
        <v>1001</v>
      </c>
      <c r="B1715" s="2258" t="s">
        <v>6943</v>
      </c>
      <c r="C1715" s="2332">
        <v>2401820</v>
      </c>
      <c r="D1715" s="2332">
        <v>2370298</v>
      </c>
      <c r="E1715" s="2332">
        <v>2370298</v>
      </c>
      <c r="F1715" s="2332">
        <v>2524728</v>
      </c>
      <c r="G1715" s="2332">
        <f t="shared" ref="G1715:G1727" si="383">F1715/$F$11*$G$11</f>
        <v>3029673.5999999996</v>
      </c>
      <c r="H1715" s="2332"/>
      <c r="I1715" s="2332">
        <f>[6]Salary_Bdgt!$H$470</f>
        <v>2305833</v>
      </c>
      <c r="J1715" s="2332">
        <f>[5]Sheet1!$K$1038</f>
        <v>4357612.83</v>
      </c>
      <c r="K1715" s="2333">
        <f t="shared" si="376"/>
        <v>4357612.83</v>
      </c>
      <c r="L1715" s="2332">
        <f t="shared" ref="L1715:L1727" si="384">ROUND(I1715*1.08,0)</f>
        <v>2490300</v>
      </c>
      <c r="M1715" s="2332">
        <f t="shared" ref="M1715:M1727" si="385">ROUND(L1715*1.08,0)</f>
        <v>2689524</v>
      </c>
    </row>
    <row r="1716" spans="1:13" x14ac:dyDescent="0.2">
      <c r="A1716" s="2353">
        <v>1005</v>
      </c>
      <c r="B1716" s="2258" t="s">
        <v>6944</v>
      </c>
      <c r="C1716" s="2332">
        <v>76892</v>
      </c>
      <c r="D1716" s="2332">
        <v>53333</v>
      </c>
      <c r="E1716" s="2332">
        <f>+D1716</f>
        <v>53333</v>
      </c>
      <c r="F1716" s="2332">
        <v>104569</v>
      </c>
      <c r="G1716" s="2332">
        <f t="shared" si="383"/>
        <v>125482.79999999999</v>
      </c>
      <c r="H1716" s="2332"/>
      <c r="I1716" s="2332">
        <f>[6]Salary_Bdgt!$L$470</f>
        <v>102694</v>
      </c>
      <c r="J1716" s="2332">
        <f>[5]Sheet1!$K$1048</f>
        <v>184006.8</v>
      </c>
      <c r="K1716" s="2333">
        <f t="shared" si="376"/>
        <v>184006.8</v>
      </c>
      <c r="L1716" s="2332">
        <f t="shared" si="384"/>
        <v>110910</v>
      </c>
      <c r="M1716" s="2332">
        <f t="shared" si="385"/>
        <v>119783</v>
      </c>
    </row>
    <row r="1717" spans="1:13" x14ac:dyDescent="0.2">
      <c r="A1717" s="2353">
        <v>1006</v>
      </c>
      <c r="B1717" s="2258" t="s">
        <v>6945</v>
      </c>
      <c r="C1717" s="2332">
        <v>443320</v>
      </c>
      <c r="D1717" s="2332">
        <v>239302</v>
      </c>
      <c r="E1717" s="2332">
        <f>+D1717</f>
        <v>239302</v>
      </c>
      <c r="F1717" s="2332">
        <v>487496</v>
      </c>
      <c r="G1717" s="2332">
        <f t="shared" si="383"/>
        <v>584995.19999999995</v>
      </c>
      <c r="H1717" s="2332"/>
      <c r="I1717" s="2332">
        <f>[6]Salary_Bdgt!$N$470</f>
        <v>385817</v>
      </c>
      <c r="J1717" s="2332">
        <f>[5]Sheet1!$K$1049</f>
        <v>741576.86</v>
      </c>
      <c r="K1717" s="2333">
        <f t="shared" si="376"/>
        <v>741576.86</v>
      </c>
      <c r="L1717" s="2332">
        <f t="shared" si="384"/>
        <v>416682</v>
      </c>
      <c r="M1717" s="2332">
        <f t="shared" si="385"/>
        <v>450017</v>
      </c>
    </row>
    <row r="1718" spans="1:13" x14ac:dyDescent="0.2">
      <c r="A1718" s="2353">
        <v>1007</v>
      </c>
      <c r="B1718" s="2258" t="s">
        <v>6410</v>
      </c>
      <c r="C1718" s="2332">
        <v>28446</v>
      </c>
      <c r="D1718" s="2332">
        <v>48113</v>
      </c>
      <c r="E1718" s="2332">
        <f>+D1718</f>
        <v>48113</v>
      </c>
      <c r="F1718" s="2332">
        <v>31132</v>
      </c>
      <c r="G1718" s="2332">
        <f t="shared" si="383"/>
        <v>37358.399999999994</v>
      </c>
      <c r="H1718" s="2332"/>
      <c r="I1718" s="2332">
        <f>[6]Salary_Bdgt!$I$470</f>
        <v>43550</v>
      </c>
      <c r="J1718" s="2332">
        <f>[5]Sheet1!$K$1050</f>
        <v>50237.56</v>
      </c>
      <c r="K1718" s="2333">
        <f t="shared" si="376"/>
        <v>50237.56</v>
      </c>
      <c r="L1718" s="2332">
        <f t="shared" si="384"/>
        <v>47034</v>
      </c>
      <c r="M1718" s="2332">
        <f t="shared" si="385"/>
        <v>50797</v>
      </c>
    </row>
    <row r="1719" spans="1:13" x14ac:dyDescent="0.2">
      <c r="A1719" s="2353">
        <v>1009</v>
      </c>
      <c r="B1719" s="2258" t="s">
        <v>6408</v>
      </c>
      <c r="C1719" s="2332">
        <v>1815</v>
      </c>
      <c r="D1719" s="2332">
        <v>1536</v>
      </c>
      <c r="E1719" s="2332">
        <f>+D1719</f>
        <v>1536</v>
      </c>
      <c r="F1719" s="2332">
        <v>1763</v>
      </c>
      <c r="G1719" s="2332">
        <f t="shared" si="383"/>
        <v>2115.6000000000004</v>
      </c>
      <c r="H1719" s="2332"/>
      <c r="I1719" s="2332">
        <f>[6]Salary_Bdgt!$M$470</f>
        <v>1620</v>
      </c>
      <c r="J1719" s="2332">
        <f>[5]Sheet1!$K$1045</f>
        <v>2902.8</v>
      </c>
      <c r="K1719" s="2333">
        <f t="shared" si="376"/>
        <v>2902.8</v>
      </c>
      <c r="L1719" s="2332">
        <f t="shared" si="384"/>
        <v>1750</v>
      </c>
      <c r="M1719" s="2332">
        <f t="shared" si="385"/>
        <v>1890</v>
      </c>
    </row>
    <row r="1720" spans="1:13" x14ac:dyDescent="0.2">
      <c r="A1720" s="2353">
        <v>1010</v>
      </c>
      <c r="B1720" s="2258" t="s">
        <v>6946</v>
      </c>
      <c r="C1720" s="2332">
        <v>196621</v>
      </c>
      <c r="D1720" s="2332">
        <v>197525</v>
      </c>
      <c r="E1720" s="2332">
        <f>+D1720</f>
        <v>197525</v>
      </c>
      <c r="F1720" s="2332">
        <v>208575</v>
      </c>
      <c r="G1720" s="2332">
        <f t="shared" si="383"/>
        <v>250290</v>
      </c>
      <c r="H1720" s="2332"/>
      <c r="I1720" s="2332">
        <f>[6]Salary_Bdgt!$Q$470</f>
        <v>192153</v>
      </c>
      <c r="J1720" s="2332">
        <f>[5]Sheet1!$K$1039</f>
        <v>239194.88</v>
      </c>
      <c r="K1720" s="2333">
        <f t="shared" si="376"/>
        <v>239194.88</v>
      </c>
      <c r="L1720" s="2332">
        <f t="shared" si="384"/>
        <v>207525</v>
      </c>
      <c r="M1720" s="2332">
        <f t="shared" si="385"/>
        <v>224127</v>
      </c>
    </row>
    <row r="1721" spans="1:13" x14ac:dyDescent="0.2">
      <c r="A1721" s="2353">
        <v>1011</v>
      </c>
      <c r="B1721" s="2258" t="s">
        <v>6947</v>
      </c>
      <c r="C1721" s="2332">
        <v>4400</v>
      </c>
      <c r="D1721" s="2332">
        <v>0</v>
      </c>
      <c r="E1721" s="2332">
        <v>0</v>
      </c>
      <c r="F1721" s="2332">
        <v>0</v>
      </c>
      <c r="G1721" s="2332">
        <f t="shared" si="383"/>
        <v>0</v>
      </c>
      <c r="H1721" s="2332"/>
      <c r="I1721" s="2332">
        <f>[6]Salary_Bdgt!$U$470</f>
        <v>0</v>
      </c>
      <c r="J1721" s="2332">
        <f>[5]Sheet1!$K$1040</f>
        <v>2800</v>
      </c>
      <c r="K1721" s="2333">
        <f t="shared" si="376"/>
        <v>2800</v>
      </c>
      <c r="L1721" s="2332">
        <f t="shared" si="384"/>
        <v>0</v>
      </c>
      <c r="M1721" s="2332">
        <f t="shared" si="385"/>
        <v>0</v>
      </c>
    </row>
    <row r="1722" spans="1:13" x14ac:dyDescent="0.2">
      <c r="A1722" s="2353">
        <v>1015</v>
      </c>
      <c r="B1722" s="2258" t="s">
        <v>6948</v>
      </c>
      <c r="C1722" s="2332">
        <v>317245</v>
      </c>
      <c r="D1722" s="2332">
        <v>408922</v>
      </c>
      <c r="E1722" s="2332">
        <f>+D1722</f>
        <v>408922</v>
      </c>
      <c r="F1722" s="2332">
        <v>377403</v>
      </c>
      <c r="G1722" s="2332">
        <f t="shared" si="383"/>
        <v>452883.60000000003</v>
      </c>
      <c r="H1722" s="2332"/>
      <c r="I1722" s="2332">
        <f>[6]Salary_Bdgt!$O$470+[6]Salary_Bdgt!$P$470+[6]Salary_Bdgt!$W$470</f>
        <v>164832</v>
      </c>
      <c r="J1722" s="2332">
        <f>[5]Sheet1!$K$1042</f>
        <v>586169.54</v>
      </c>
      <c r="K1722" s="2333">
        <f t="shared" si="376"/>
        <v>586169.54</v>
      </c>
      <c r="L1722" s="2332">
        <f t="shared" si="384"/>
        <v>178019</v>
      </c>
      <c r="M1722" s="2332">
        <f t="shared" si="385"/>
        <v>192261</v>
      </c>
    </row>
    <row r="1723" spans="1:13" x14ac:dyDescent="0.2">
      <c r="A1723" s="2353">
        <v>1016</v>
      </c>
      <c r="B1723" s="2258" t="s">
        <v>6949</v>
      </c>
      <c r="C1723" s="2332">
        <v>4800</v>
      </c>
      <c r="D1723" s="2332">
        <v>37180</v>
      </c>
      <c r="E1723" s="2332">
        <f>+D1723</f>
        <v>37180</v>
      </c>
      <c r="F1723" s="2332">
        <f>1000+55371</f>
        <v>56371</v>
      </c>
      <c r="G1723" s="2332">
        <f t="shared" si="383"/>
        <v>67645.200000000012</v>
      </c>
      <c r="H1723" s="2332"/>
      <c r="I1723" s="2332">
        <f>[6]Salary_Bdgt!$T$470+[6]Salary_Bdgt!$V$470</f>
        <v>104984</v>
      </c>
      <c r="J1723" s="2332">
        <f>[5]Sheet1!$K$1043</f>
        <v>4767.84</v>
      </c>
      <c r="K1723" s="2333">
        <f t="shared" si="376"/>
        <v>4767.84</v>
      </c>
      <c r="L1723" s="2332">
        <f t="shared" si="384"/>
        <v>113383</v>
      </c>
      <c r="M1723" s="2332">
        <f t="shared" si="385"/>
        <v>122454</v>
      </c>
    </row>
    <row r="1724" spans="1:13" x14ac:dyDescent="0.2">
      <c r="A1724" s="2353">
        <v>1017</v>
      </c>
      <c r="B1724" s="2258" t="s">
        <v>6950</v>
      </c>
      <c r="C1724" s="2332">
        <v>32985</v>
      </c>
      <c r="D1724" s="2332">
        <v>49943</v>
      </c>
      <c r="E1724" s="2332">
        <f>+D1724</f>
        <v>49943</v>
      </c>
      <c r="F1724" s="2332">
        <v>16239</v>
      </c>
      <c r="G1724" s="2332">
        <f t="shared" si="383"/>
        <v>19486.800000000003</v>
      </c>
      <c r="H1724" s="2332"/>
      <c r="I1724" s="2332">
        <f>[6]Salary_Bdgt!$J$470</f>
        <v>46814</v>
      </c>
      <c r="J1724" s="2332">
        <f>[5]Sheet1!$K$1046</f>
        <v>50018.22</v>
      </c>
      <c r="K1724" s="2333">
        <f t="shared" si="376"/>
        <v>50018.22</v>
      </c>
      <c r="L1724" s="2332">
        <f t="shared" si="384"/>
        <v>50559</v>
      </c>
      <c r="M1724" s="2332">
        <f t="shared" si="385"/>
        <v>54604</v>
      </c>
    </row>
    <row r="1725" spans="1:13" x14ac:dyDescent="0.2">
      <c r="A1725" s="2353">
        <v>1046</v>
      </c>
      <c r="B1725" s="2258" t="s">
        <v>6951</v>
      </c>
      <c r="C1725" s="2332">
        <v>0</v>
      </c>
      <c r="D1725" s="2332">
        <v>0</v>
      </c>
      <c r="E1725" s="2332">
        <v>0</v>
      </c>
      <c r="F1725" s="2332">
        <v>0</v>
      </c>
      <c r="G1725" s="2332">
        <f t="shared" si="383"/>
        <v>0</v>
      </c>
      <c r="H1725" s="2332"/>
      <c r="I1725" s="2332">
        <f>[6]Salary_Bdgt!$R$470</f>
        <v>0</v>
      </c>
      <c r="J1725" s="2332">
        <v>0</v>
      </c>
      <c r="K1725" s="2333">
        <f t="shared" si="376"/>
        <v>0</v>
      </c>
      <c r="L1725" s="2332">
        <f t="shared" si="384"/>
        <v>0</v>
      </c>
      <c r="M1725" s="2332">
        <f t="shared" si="385"/>
        <v>0</v>
      </c>
    </row>
    <row r="1726" spans="1:13" x14ac:dyDescent="0.2">
      <c r="A1726" s="2353">
        <v>1020</v>
      </c>
      <c r="B1726" s="2258" t="s">
        <v>7171</v>
      </c>
      <c r="C1726" s="2332">
        <v>151396</v>
      </c>
      <c r="D1726" s="2332">
        <v>0</v>
      </c>
      <c r="E1726" s="2332">
        <f>+D1726</f>
        <v>0</v>
      </c>
      <c r="F1726" s="2332">
        <v>127606</v>
      </c>
      <c r="G1726" s="2332">
        <f t="shared" si="383"/>
        <v>153127.20000000001</v>
      </c>
      <c r="H1726" s="2332"/>
      <c r="I1726" s="2332">
        <f>ROUND(E1726*1.08,0)</f>
        <v>0</v>
      </c>
      <c r="J1726" s="2332">
        <v>0</v>
      </c>
      <c r="K1726" s="2333">
        <f t="shared" si="376"/>
        <v>0</v>
      </c>
      <c r="L1726" s="2332">
        <f t="shared" si="384"/>
        <v>0</v>
      </c>
      <c r="M1726" s="2332">
        <f t="shared" si="385"/>
        <v>0</v>
      </c>
    </row>
    <row r="1727" spans="1:13" x14ac:dyDescent="0.2">
      <c r="A1727" s="2353">
        <v>1182</v>
      </c>
      <c r="B1727" s="2334" t="s">
        <v>6952</v>
      </c>
      <c r="C1727" s="2335">
        <v>26858</v>
      </c>
      <c r="D1727" s="2335">
        <v>46447</v>
      </c>
      <c r="E1727" s="2335">
        <f>+D1727</f>
        <v>46447</v>
      </c>
      <c r="F1727" s="2335">
        <v>0</v>
      </c>
      <c r="G1727" s="2335">
        <f t="shared" si="383"/>
        <v>0</v>
      </c>
      <c r="H1727" s="2335"/>
      <c r="I1727" s="2335">
        <f>[6]Salary_Bdgt!$K$470</f>
        <v>43537</v>
      </c>
      <c r="J1727" s="2335">
        <f>[5]Sheet1!$K$1047</f>
        <v>14854.9</v>
      </c>
      <c r="K1727" s="2336">
        <f t="shared" si="376"/>
        <v>14854.9</v>
      </c>
      <c r="L1727" s="2335">
        <f t="shared" si="384"/>
        <v>47020</v>
      </c>
      <c r="M1727" s="2335">
        <f t="shared" si="385"/>
        <v>50782</v>
      </c>
    </row>
    <row r="1728" spans="1:13" x14ac:dyDescent="0.2">
      <c r="B1728" s="2330" t="s">
        <v>6588</v>
      </c>
      <c r="C1728" s="2349">
        <f t="shared" ref="C1728:M1728" si="386">SUM(C1715:C1727)</f>
        <v>3686598</v>
      </c>
      <c r="D1728" s="2349">
        <f t="shared" si="386"/>
        <v>3452599</v>
      </c>
      <c r="E1728" s="2349">
        <f t="shared" si="386"/>
        <v>3452599</v>
      </c>
      <c r="F1728" s="2349">
        <f t="shared" si="386"/>
        <v>3935882</v>
      </c>
      <c r="G1728" s="2349">
        <f t="shared" si="386"/>
        <v>4723058.3999999994</v>
      </c>
      <c r="H1728" s="2349"/>
      <c r="I1728" s="2349">
        <f t="shared" si="386"/>
        <v>3391834</v>
      </c>
      <c r="J1728" s="2349">
        <f>SUM(J1715:J1727)</f>
        <v>6234142.2299999995</v>
      </c>
      <c r="K1728" s="2333">
        <f t="shared" si="376"/>
        <v>6234142.2299999995</v>
      </c>
      <c r="L1728" s="2349">
        <f t="shared" si="386"/>
        <v>3663182</v>
      </c>
      <c r="M1728" s="2349">
        <f t="shared" si="386"/>
        <v>3956239</v>
      </c>
    </row>
    <row r="1729" spans="1:13" x14ac:dyDescent="0.2">
      <c r="B1729" s="2330"/>
      <c r="C1729" s="2332"/>
      <c r="D1729" s="2332"/>
      <c r="E1729" s="2332"/>
      <c r="F1729" s="2309"/>
      <c r="G1729" s="2332"/>
      <c r="H1729" s="2332"/>
      <c r="I1729" s="2332"/>
      <c r="J1729" s="2332">
        <f>J1728-[5]Sheet1!$K$1051</f>
        <v>0</v>
      </c>
      <c r="K1729" s="2333">
        <f t="shared" si="376"/>
        <v>0</v>
      </c>
      <c r="L1729" s="2332"/>
      <c r="M1729" s="2332"/>
    </row>
    <row r="1730" spans="1:13" x14ac:dyDescent="0.2">
      <c r="B1730" s="2330" t="s">
        <v>6673</v>
      </c>
      <c r="C1730" s="2386"/>
      <c r="D1730" s="2332"/>
      <c r="E1730" s="2332"/>
      <c r="F1730" s="2309"/>
      <c r="G1730" s="2332"/>
      <c r="H1730" s="2332"/>
      <c r="I1730" s="2332"/>
      <c r="J1730" s="2332"/>
      <c r="K1730" s="2333">
        <f t="shared" si="376"/>
        <v>0</v>
      </c>
      <c r="L1730" s="2386"/>
      <c r="M1730" s="2332"/>
    </row>
    <row r="1731" spans="1:13" x14ac:dyDescent="0.2">
      <c r="A1731" s="2353">
        <v>2500</v>
      </c>
      <c r="B1731" s="2334" t="s">
        <v>7070</v>
      </c>
      <c r="C1731" s="2335">
        <v>1600716</v>
      </c>
      <c r="D1731" s="2335">
        <f>600363+259058-2100</f>
        <v>857321</v>
      </c>
      <c r="E1731" s="2335">
        <v>857321</v>
      </c>
      <c r="F1731" s="2335">
        <v>0</v>
      </c>
      <c r="G1731" s="2335">
        <f>F1731/$F$11*$G$11</f>
        <v>0</v>
      </c>
      <c r="H1731" s="2335"/>
      <c r="I1731" s="2335">
        <f>ROUND(G1693*0.25,0)-92568</f>
        <v>1076865</v>
      </c>
      <c r="J1731" s="2335">
        <f>[5]Sheet1!$K$1054</f>
        <v>367455.67</v>
      </c>
      <c r="K1731" s="2336">
        <f t="shared" si="376"/>
        <v>367455.67</v>
      </c>
      <c r="L1731" s="2335">
        <f>ROUND(I1693*0.25,0)-15960</f>
        <v>-15960</v>
      </c>
      <c r="M1731" s="2335">
        <f>ROUND(L1693*0.25,0)+26304</f>
        <v>26304</v>
      </c>
    </row>
    <row r="1732" spans="1:13" x14ac:dyDescent="0.2">
      <c r="B1732" s="2330" t="s">
        <v>6674</v>
      </c>
      <c r="C1732" s="2349">
        <f t="shared" ref="C1732:M1732" si="387">SUM(C1731)</f>
        <v>1600716</v>
      </c>
      <c r="D1732" s="2349">
        <f t="shared" si="387"/>
        <v>857321</v>
      </c>
      <c r="E1732" s="2349">
        <f t="shared" si="387"/>
        <v>857321</v>
      </c>
      <c r="F1732" s="2349">
        <f t="shared" si="387"/>
        <v>0</v>
      </c>
      <c r="G1732" s="2349">
        <f t="shared" si="387"/>
        <v>0</v>
      </c>
      <c r="H1732" s="2349"/>
      <c r="I1732" s="2349">
        <f t="shared" si="387"/>
        <v>1076865</v>
      </c>
      <c r="J1732" s="2349">
        <f>J1731</f>
        <v>367455.67</v>
      </c>
      <c r="K1732" s="2333">
        <f t="shared" si="376"/>
        <v>367455.67</v>
      </c>
      <c r="L1732" s="2349">
        <f t="shared" si="387"/>
        <v>-15960</v>
      </c>
      <c r="M1732" s="2349">
        <f t="shared" si="387"/>
        <v>26304</v>
      </c>
    </row>
    <row r="1733" spans="1:13" x14ac:dyDescent="0.2">
      <c r="B1733" s="2330"/>
      <c r="C1733" s="2332"/>
      <c r="D1733" s="2332"/>
      <c r="E1733" s="2332"/>
      <c r="G1733" s="2332"/>
      <c r="H1733" s="2332"/>
      <c r="I1733" s="2332"/>
      <c r="J1733" s="2332">
        <f>J1732-[5]Sheet1!$K$1055</f>
        <v>0</v>
      </c>
      <c r="K1733" s="2333">
        <f t="shared" si="376"/>
        <v>0</v>
      </c>
      <c r="L1733" s="2332"/>
      <c r="M1733" s="2332"/>
    </row>
    <row r="1734" spans="1:13" x14ac:dyDescent="0.2">
      <c r="B1734" s="2330" t="s">
        <v>7040</v>
      </c>
      <c r="C1734" s="2332"/>
      <c r="D1734" s="2332"/>
      <c r="E1734" s="2332"/>
      <c r="G1734" s="2332"/>
      <c r="H1734" s="2332"/>
      <c r="I1734" s="2332"/>
      <c r="J1734" s="2332"/>
      <c r="K1734" s="2333">
        <f t="shared" si="376"/>
        <v>0</v>
      </c>
      <c r="L1734" s="2332"/>
      <c r="M1734" s="2332"/>
    </row>
    <row r="1735" spans="1:13" x14ac:dyDescent="0.2">
      <c r="A1735" s="2353">
        <v>4002</v>
      </c>
      <c r="B1735" s="2334" t="s">
        <v>12</v>
      </c>
      <c r="C1735" s="2335">
        <v>476943</v>
      </c>
      <c r="D1735" s="2335">
        <f>88264+101478</f>
        <v>189742</v>
      </c>
      <c r="E1735" s="2335">
        <v>189742</v>
      </c>
      <c r="F1735" s="2335">
        <v>168000</v>
      </c>
      <c r="G1735" s="2335">
        <f>+F1735</f>
        <v>168000</v>
      </c>
      <c r="H1735" s="2335"/>
      <c r="I1735" s="2335">
        <v>197033</v>
      </c>
      <c r="J1735" s="2335">
        <f>[5]Sheet1!$K$1066</f>
        <v>67232.91</v>
      </c>
      <c r="K1735" s="2336">
        <f t="shared" si="376"/>
        <v>67232.91</v>
      </c>
      <c r="L1735" s="2335">
        <v>163186</v>
      </c>
      <c r="M1735" s="2335">
        <v>124910</v>
      </c>
    </row>
    <row r="1736" spans="1:13" x14ac:dyDescent="0.2">
      <c r="B1736" s="2330" t="s">
        <v>7041</v>
      </c>
      <c r="C1736" s="2349">
        <f t="shared" ref="C1736:M1736" si="388">SUM(C1735)</f>
        <v>476943</v>
      </c>
      <c r="D1736" s="2349">
        <f t="shared" si="388"/>
        <v>189742</v>
      </c>
      <c r="E1736" s="2349">
        <f t="shared" si="388"/>
        <v>189742</v>
      </c>
      <c r="F1736" s="2349">
        <f t="shared" si="388"/>
        <v>168000</v>
      </c>
      <c r="G1736" s="2349">
        <f t="shared" si="388"/>
        <v>168000</v>
      </c>
      <c r="H1736" s="2349"/>
      <c r="I1736" s="2349">
        <f t="shared" si="388"/>
        <v>197033</v>
      </c>
      <c r="J1736" s="2349">
        <f>J1735</f>
        <v>67232.91</v>
      </c>
      <c r="K1736" s="2333">
        <f t="shared" si="376"/>
        <v>67232.91</v>
      </c>
      <c r="L1736" s="2349">
        <f t="shared" si="388"/>
        <v>163186</v>
      </c>
      <c r="M1736" s="2349">
        <f t="shared" si="388"/>
        <v>124910</v>
      </c>
    </row>
    <row r="1737" spans="1:13" x14ac:dyDescent="0.2">
      <c r="B1737" s="2330"/>
      <c r="C1737" s="2332"/>
      <c r="D1737" s="2332"/>
      <c r="E1737" s="2332"/>
      <c r="G1737" s="2332"/>
      <c r="H1737" s="2332"/>
      <c r="I1737" s="2332"/>
      <c r="J1737" s="2332">
        <f>J1736-[5]Sheet1!$K$1067</f>
        <v>0</v>
      </c>
      <c r="K1737" s="2333">
        <f t="shared" si="376"/>
        <v>0</v>
      </c>
      <c r="L1737" s="2332"/>
      <c r="M1737" s="2332"/>
    </row>
    <row r="1738" spans="1:13" x14ac:dyDescent="0.2">
      <c r="B1738" s="2330" t="s">
        <v>6953</v>
      </c>
      <c r="C1738" s="2332"/>
      <c r="D1738" s="2332"/>
      <c r="E1738" s="2332"/>
      <c r="G1738" s="2332"/>
      <c r="H1738" s="2332"/>
      <c r="I1738" s="2332"/>
      <c r="J1738" s="2332"/>
      <c r="K1738" s="2333">
        <f t="shared" si="376"/>
        <v>0</v>
      </c>
      <c r="L1738" s="2332"/>
      <c r="M1738" s="2332"/>
    </row>
    <row r="1739" spans="1:13" x14ac:dyDescent="0.2">
      <c r="A1739" s="2329">
        <v>3205</v>
      </c>
      <c r="B1739" s="2258" t="s">
        <v>200</v>
      </c>
      <c r="C1739" s="2332">
        <v>238</v>
      </c>
      <c r="D1739" s="2332">
        <v>21000</v>
      </c>
      <c r="E1739" s="2332">
        <v>21000</v>
      </c>
      <c r="F1739" s="2332">
        <v>1071</v>
      </c>
      <c r="G1739" s="2332">
        <f>F1739/$F$11*$G$11</f>
        <v>1285.1999999999998</v>
      </c>
      <c r="H1739" s="2332"/>
      <c r="I1739" s="2332">
        <v>0</v>
      </c>
      <c r="J1739" s="2332">
        <v>0</v>
      </c>
      <c r="K1739" s="2333">
        <f t="shared" si="376"/>
        <v>0</v>
      </c>
      <c r="L1739" s="2332">
        <f>ROUND(I1739*1.06,0)</f>
        <v>0</v>
      </c>
      <c r="M1739" s="2332">
        <f>ROUND(L1739*1.06,0)</f>
        <v>0</v>
      </c>
    </row>
    <row r="1740" spans="1:13" x14ac:dyDescent="0.2">
      <c r="A1740" s="2353">
        <v>3206</v>
      </c>
      <c r="B1740" s="2258" t="s">
        <v>7164</v>
      </c>
      <c r="C1740" s="2332">
        <v>1088</v>
      </c>
      <c r="D1740" s="2332">
        <v>24150</v>
      </c>
      <c r="E1740" s="2332">
        <v>24150</v>
      </c>
      <c r="F1740" s="2332">
        <v>214</v>
      </c>
      <c r="G1740" s="2332">
        <f>F1740/$F$11*$G$11</f>
        <v>256.79999999999995</v>
      </c>
      <c r="H1740" s="2332"/>
      <c r="I1740" s="2332">
        <v>0</v>
      </c>
      <c r="J1740" s="2332">
        <v>0</v>
      </c>
      <c r="K1740" s="2333">
        <f t="shared" si="376"/>
        <v>0</v>
      </c>
      <c r="L1740" s="2332">
        <f>ROUND(I1740*1.06,0)</f>
        <v>0</v>
      </c>
      <c r="M1740" s="2332">
        <f>ROUND(L1740*1.06,0)</f>
        <v>0</v>
      </c>
    </row>
    <row r="1741" spans="1:13" x14ac:dyDescent="0.2">
      <c r="A1741" s="2329">
        <v>3215</v>
      </c>
      <c r="B1741" s="2258" t="s">
        <v>6955</v>
      </c>
      <c r="C1741" s="2332">
        <v>48596</v>
      </c>
      <c r="D1741" s="2332">
        <v>341250</v>
      </c>
      <c r="E1741" s="2332">
        <f>341250-100000</f>
        <v>241250</v>
      </c>
      <c r="F1741" s="2332">
        <v>37804</v>
      </c>
      <c r="G1741" s="2332">
        <f>F1741/$F$11*$G$11</f>
        <v>45364.800000000003</v>
      </c>
      <c r="H1741" s="2332"/>
      <c r="I1741" s="2332">
        <v>0</v>
      </c>
      <c r="J1741" s="2332">
        <v>0</v>
      </c>
      <c r="K1741" s="2333">
        <f t="shared" si="376"/>
        <v>0</v>
      </c>
      <c r="L1741" s="2332">
        <f>ROUND(I1741*1.06,0)</f>
        <v>0</v>
      </c>
      <c r="M1741" s="2332">
        <f>ROUND(L1741*1.06,0)</f>
        <v>0</v>
      </c>
    </row>
    <row r="1742" spans="1:13" x14ac:dyDescent="0.2">
      <c r="A1742" s="2353">
        <v>3293</v>
      </c>
      <c r="B1742" s="2258" t="s">
        <v>500</v>
      </c>
      <c r="C1742" s="2332">
        <v>108752</v>
      </c>
      <c r="D1742" s="2332">
        <v>105000</v>
      </c>
      <c r="E1742" s="2332">
        <v>105000</v>
      </c>
      <c r="F1742" s="2332">
        <v>51609</v>
      </c>
      <c r="G1742" s="2332">
        <f>F1742/$F$11*$G$11</f>
        <v>61930.799999999996</v>
      </c>
      <c r="H1742" s="2332"/>
      <c r="I1742" s="2332">
        <v>0</v>
      </c>
      <c r="J1742" s="2332">
        <v>0</v>
      </c>
      <c r="K1742" s="2333">
        <f t="shared" si="376"/>
        <v>0</v>
      </c>
      <c r="L1742" s="2332">
        <f>ROUND(I1742*1.06,0)</f>
        <v>0</v>
      </c>
      <c r="M1742" s="2332">
        <f>ROUND(L1742*1.06,0)</f>
        <v>0</v>
      </c>
    </row>
    <row r="1743" spans="1:13" x14ac:dyDescent="0.2">
      <c r="A1743" s="2353">
        <v>3378</v>
      </c>
      <c r="B1743" s="2334" t="s">
        <v>7212</v>
      </c>
      <c r="C1743" s="2335">
        <v>118096</v>
      </c>
      <c r="D1743" s="2335">
        <v>157500</v>
      </c>
      <c r="E1743" s="2335">
        <v>157500</v>
      </c>
      <c r="F1743" s="2335">
        <v>29213</v>
      </c>
      <c r="G1743" s="2335">
        <f>F1743/$F$11*$G$11</f>
        <v>35055.600000000006</v>
      </c>
      <c r="H1743" s="2335"/>
      <c r="I1743" s="2335">
        <v>0</v>
      </c>
      <c r="J1743" s="2335">
        <v>0</v>
      </c>
      <c r="K1743" s="2336">
        <f t="shared" si="376"/>
        <v>0</v>
      </c>
      <c r="L1743" s="2335">
        <f>ROUND(I1743*1.06,0)</f>
        <v>0</v>
      </c>
      <c r="M1743" s="2335">
        <f>ROUND(L1743*1.06,0)</f>
        <v>0</v>
      </c>
    </row>
    <row r="1744" spans="1:13" x14ac:dyDescent="0.2">
      <c r="B1744" s="2330" t="s">
        <v>6956</v>
      </c>
      <c r="C1744" s="2349">
        <f>SUM(C1739:C1743)</f>
        <v>276770</v>
      </c>
      <c r="D1744" s="2349">
        <f t="shared" ref="D1744:M1744" si="389">SUM(D1739:D1743)</f>
        <v>648900</v>
      </c>
      <c r="E1744" s="2349">
        <f t="shared" si="389"/>
        <v>548900</v>
      </c>
      <c r="F1744" s="2349">
        <f t="shared" si="389"/>
        <v>119911</v>
      </c>
      <c r="G1744" s="2349">
        <f t="shared" si="389"/>
        <v>143893.20000000001</v>
      </c>
      <c r="H1744" s="2349"/>
      <c r="I1744" s="2349">
        <f t="shared" si="389"/>
        <v>0</v>
      </c>
      <c r="J1744" s="2349">
        <v>0</v>
      </c>
      <c r="K1744" s="2333">
        <f t="shared" si="376"/>
        <v>0</v>
      </c>
      <c r="L1744" s="2349">
        <f t="shared" si="389"/>
        <v>0</v>
      </c>
      <c r="M1744" s="2349">
        <f t="shared" si="389"/>
        <v>0</v>
      </c>
    </row>
    <row r="1745" spans="1:13" x14ac:dyDescent="0.2">
      <c r="B1745" s="2330"/>
      <c r="C1745" s="2349"/>
      <c r="D1745" s="2349"/>
      <c r="E1745" s="2349"/>
      <c r="G1745" s="2332"/>
      <c r="H1745" s="2332"/>
      <c r="I1745" s="2332"/>
      <c r="J1745" s="2332"/>
      <c r="K1745" s="2333">
        <f t="shared" si="376"/>
        <v>0</v>
      </c>
      <c r="L1745" s="2349"/>
      <c r="M1745" s="2349"/>
    </row>
    <row r="1746" spans="1:13" x14ac:dyDescent="0.2">
      <c r="A1746" s="2369"/>
      <c r="B1746" s="2369"/>
      <c r="C1746" s="2369"/>
      <c r="D1746" s="2369"/>
      <c r="E1746" s="2369"/>
      <c r="G1746" s="2332"/>
      <c r="H1746" s="2332"/>
      <c r="I1746" s="2332"/>
      <c r="J1746" s="2332"/>
      <c r="K1746" s="2333">
        <f t="shared" si="376"/>
        <v>0</v>
      </c>
      <c r="L1746" s="2369"/>
      <c r="M1746" s="2369"/>
    </row>
    <row r="1747" spans="1:13" ht="15" x14ac:dyDescent="0.25">
      <c r="A1747" s="2365">
        <v>1910</v>
      </c>
      <c r="B1747" s="2326" t="s">
        <v>7213</v>
      </c>
      <c r="C1747" s="2349"/>
      <c r="D1747" s="2349"/>
      <c r="E1747" s="2349"/>
      <c r="G1747" s="2332"/>
      <c r="H1747" s="2332"/>
      <c r="I1747" s="2332"/>
      <c r="J1747" s="2332"/>
      <c r="K1747" s="2333">
        <f t="shared" si="376"/>
        <v>0</v>
      </c>
      <c r="L1747" s="2349"/>
      <c r="M1747" s="2349"/>
    </row>
    <row r="1748" spans="1:13" x14ac:dyDescent="0.2">
      <c r="B1748" s="2330"/>
      <c r="C1748" s="2349"/>
      <c r="D1748" s="2349"/>
      <c r="E1748" s="2349"/>
      <c r="G1748" s="2332"/>
      <c r="H1748" s="2332"/>
      <c r="I1748" s="2332"/>
      <c r="J1748" s="2332"/>
      <c r="K1748" s="2333">
        <f t="shared" si="376"/>
        <v>0</v>
      </c>
      <c r="L1748" s="2349"/>
      <c r="M1748" s="2349"/>
    </row>
    <row r="1749" spans="1:13" x14ac:dyDescent="0.2">
      <c r="B1749" s="2330" t="s">
        <v>6599</v>
      </c>
      <c r="C1749" s="2332"/>
      <c r="D1749" s="2332"/>
      <c r="E1749" s="2332"/>
      <c r="F1749" s="2309"/>
      <c r="G1749" s="2332"/>
      <c r="H1749" s="2332"/>
      <c r="I1749" s="2332"/>
      <c r="J1749" s="2332"/>
      <c r="K1749" s="2333">
        <f t="shared" ref="K1749:K1812" si="390">J1749</f>
        <v>0</v>
      </c>
      <c r="L1749" s="2332"/>
      <c r="M1749" s="2332"/>
    </row>
    <row r="1750" spans="1:13" x14ac:dyDescent="0.2">
      <c r="A1750" s="2329">
        <v>2113</v>
      </c>
      <c r="B1750" s="2258" t="s">
        <v>6958</v>
      </c>
      <c r="C1750" s="2332">
        <v>0</v>
      </c>
      <c r="D1750" s="2332">
        <v>10500</v>
      </c>
      <c r="E1750" s="2332">
        <v>10500</v>
      </c>
      <c r="F1750" s="2332">
        <v>0</v>
      </c>
      <c r="G1750" s="2332">
        <f t="shared" ref="G1750:G1765" si="391">F1750/$F$11*$G$11</f>
        <v>0</v>
      </c>
      <c r="H1750" s="2332"/>
      <c r="I1750" s="2332">
        <f t="shared" ref="I1750:I1755" si="392">ROUND(E1750*1.05,0)</f>
        <v>11025</v>
      </c>
      <c r="J1750" s="2332">
        <f>[5]Sheet1!$K$1074</f>
        <v>3762.29</v>
      </c>
      <c r="K1750" s="2333">
        <f t="shared" si="390"/>
        <v>3762.29</v>
      </c>
      <c r="L1750" s="2332">
        <f t="shared" ref="L1750:L1765" si="393">ROUND(I1750*1.06,0)</f>
        <v>11687</v>
      </c>
      <c r="M1750" s="2332">
        <f t="shared" ref="M1750:M1765" si="394">ROUND(L1750*1.06,0)</f>
        <v>12388</v>
      </c>
    </row>
    <row r="1751" spans="1:13" x14ac:dyDescent="0.2">
      <c r="A1751" s="2353">
        <v>2116</v>
      </c>
      <c r="B1751" s="2258" t="s">
        <v>7165</v>
      </c>
      <c r="C1751" s="2332">
        <v>0</v>
      </c>
      <c r="D1751" s="2332">
        <v>195000</v>
      </c>
      <c r="E1751" s="2332">
        <v>195000</v>
      </c>
      <c r="F1751" s="2332">
        <v>0</v>
      </c>
      <c r="G1751" s="2332">
        <f t="shared" si="391"/>
        <v>0</v>
      </c>
      <c r="H1751" s="2332"/>
      <c r="I1751" s="2332">
        <f t="shared" si="392"/>
        <v>204750</v>
      </c>
      <c r="J1751" s="2332">
        <f>[5]Sheet1!$K$1089</f>
        <v>69867.67</v>
      </c>
      <c r="K1751" s="2333">
        <f t="shared" si="390"/>
        <v>69867.67</v>
      </c>
      <c r="L1751" s="2332">
        <f t="shared" si="393"/>
        <v>217035</v>
      </c>
      <c r="M1751" s="2332">
        <f t="shared" si="394"/>
        <v>230057</v>
      </c>
    </row>
    <row r="1752" spans="1:13" x14ac:dyDescent="0.2">
      <c r="A1752" s="2329">
        <v>2212</v>
      </c>
      <c r="B1752" s="2258" t="s">
        <v>6963</v>
      </c>
      <c r="C1752" s="2332">
        <v>41</v>
      </c>
      <c r="D1752" s="2332">
        <v>2100</v>
      </c>
      <c r="E1752" s="2332">
        <v>2100</v>
      </c>
      <c r="F1752" s="2332">
        <v>0</v>
      </c>
      <c r="G1752" s="2332">
        <f t="shared" si="391"/>
        <v>0</v>
      </c>
      <c r="H1752" s="2332"/>
      <c r="I1752" s="2332">
        <f t="shared" si="392"/>
        <v>2205</v>
      </c>
      <c r="J1752" s="2332">
        <f>[5]Sheet1!$K$1075</f>
        <v>752.46</v>
      </c>
      <c r="K1752" s="2333">
        <f t="shared" si="390"/>
        <v>752.46</v>
      </c>
      <c r="L1752" s="2332">
        <f t="shared" si="393"/>
        <v>2337</v>
      </c>
      <c r="M1752" s="2332">
        <f t="shared" si="394"/>
        <v>2477</v>
      </c>
    </row>
    <row r="1753" spans="1:13" x14ac:dyDescent="0.2">
      <c r="A1753" s="2353">
        <v>2217</v>
      </c>
      <c r="B1753" s="2258" t="s">
        <v>1101</v>
      </c>
      <c r="C1753" s="2332">
        <v>16793</v>
      </c>
      <c r="D1753" s="2332">
        <v>21000</v>
      </c>
      <c r="E1753" s="2332">
        <v>21000</v>
      </c>
      <c r="F1753" s="2332">
        <v>25300</v>
      </c>
      <c r="G1753" s="2332">
        <f t="shared" si="391"/>
        <v>30360</v>
      </c>
      <c r="H1753" s="2332"/>
      <c r="I1753" s="2332">
        <f t="shared" si="392"/>
        <v>22050</v>
      </c>
      <c r="J1753" s="2332">
        <f>[5]Sheet1!$K$1076</f>
        <v>18066</v>
      </c>
      <c r="K1753" s="2333">
        <f t="shared" si="390"/>
        <v>18066</v>
      </c>
      <c r="L1753" s="2332">
        <f t="shared" si="393"/>
        <v>23373</v>
      </c>
      <c r="M1753" s="2332">
        <f t="shared" si="394"/>
        <v>24775</v>
      </c>
    </row>
    <row r="1754" spans="1:13" x14ac:dyDescent="0.2">
      <c r="A1754" s="2329">
        <v>2224</v>
      </c>
      <c r="B1754" s="2258" t="s">
        <v>6964</v>
      </c>
      <c r="C1754" s="2332">
        <v>1238</v>
      </c>
      <c r="D1754" s="2332">
        <v>1659</v>
      </c>
      <c r="E1754" s="2332">
        <v>1659</v>
      </c>
      <c r="F1754" s="2332">
        <v>0</v>
      </c>
      <c r="G1754" s="2332">
        <f t="shared" si="391"/>
        <v>0</v>
      </c>
      <c r="H1754" s="2332"/>
      <c r="I1754" s="2332">
        <f t="shared" si="392"/>
        <v>1742</v>
      </c>
      <c r="J1754" s="2332">
        <f>[5]Sheet1!$K$1078</f>
        <v>593.22</v>
      </c>
      <c r="K1754" s="2333">
        <f t="shared" si="390"/>
        <v>593.22</v>
      </c>
      <c r="L1754" s="2332">
        <f t="shared" si="393"/>
        <v>1847</v>
      </c>
      <c r="M1754" s="2332">
        <f t="shared" si="394"/>
        <v>1958</v>
      </c>
    </row>
    <row r="1755" spans="1:13" x14ac:dyDescent="0.2">
      <c r="A1755" s="2353">
        <v>2227</v>
      </c>
      <c r="B1755" s="2258" t="s">
        <v>231</v>
      </c>
      <c r="C1755" s="2332">
        <v>74</v>
      </c>
      <c r="D1755" s="2332">
        <v>15750</v>
      </c>
      <c r="E1755" s="2332">
        <v>15750</v>
      </c>
      <c r="F1755" s="2332">
        <v>8206</v>
      </c>
      <c r="G1755" s="2332">
        <f t="shared" si="391"/>
        <v>9847.2000000000007</v>
      </c>
      <c r="H1755" s="2332"/>
      <c r="I1755" s="2332">
        <f t="shared" si="392"/>
        <v>16538</v>
      </c>
      <c r="J1755" s="2332">
        <f>[5]Sheet1!$K$1080</f>
        <v>6003.88</v>
      </c>
      <c r="K1755" s="2333">
        <f t="shared" si="390"/>
        <v>6003.88</v>
      </c>
      <c r="L1755" s="2332">
        <f t="shared" si="393"/>
        <v>17530</v>
      </c>
      <c r="M1755" s="2332">
        <f t="shared" si="394"/>
        <v>18582</v>
      </c>
    </row>
    <row r="1756" spans="1:13" x14ac:dyDescent="0.2">
      <c r="A1756" s="2353">
        <v>2233</v>
      </c>
      <c r="B1756" s="2258" t="s">
        <v>6966</v>
      </c>
      <c r="C1756" s="2332">
        <v>0</v>
      </c>
      <c r="D1756" s="2332">
        <v>10500</v>
      </c>
      <c r="E1756" s="2332">
        <v>10500</v>
      </c>
      <c r="F1756" s="2332">
        <v>0</v>
      </c>
      <c r="G1756" s="2332">
        <f t="shared" si="391"/>
        <v>0</v>
      </c>
      <c r="H1756" s="2332"/>
      <c r="I1756" s="2332">
        <v>0</v>
      </c>
      <c r="J1756" s="2332">
        <f>[5]Sheet1!$K$1081</f>
        <v>0</v>
      </c>
      <c r="K1756" s="2333">
        <f t="shared" si="390"/>
        <v>0</v>
      </c>
      <c r="L1756" s="2332">
        <f t="shared" si="393"/>
        <v>0</v>
      </c>
      <c r="M1756" s="2332">
        <f t="shared" si="394"/>
        <v>0</v>
      </c>
    </row>
    <row r="1757" spans="1:13" x14ac:dyDescent="0.2">
      <c r="A1757" s="2353">
        <v>2238</v>
      </c>
      <c r="B1757" s="2258" t="s">
        <v>6967</v>
      </c>
      <c r="C1757" s="2332">
        <v>585</v>
      </c>
      <c r="D1757" s="2332">
        <v>10500</v>
      </c>
      <c r="E1757" s="2332">
        <v>10500</v>
      </c>
      <c r="F1757" s="2332">
        <v>4563</v>
      </c>
      <c r="G1757" s="2332">
        <f t="shared" si="391"/>
        <v>5475.6</v>
      </c>
      <c r="H1757" s="2332"/>
      <c r="I1757" s="2332">
        <f t="shared" ref="I1757:I1763" si="395">ROUND(E1757*1.05,0)</f>
        <v>11025</v>
      </c>
      <c r="J1757" s="2332">
        <f>[5]Sheet1!$K$1082</f>
        <v>44865.36</v>
      </c>
      <c r="K1757" s="2333">
        <f t="shared" si="390"/>
        <v>44865.36</v>
      </c>
      <c r="L1757" s="2332">
        <f t="shared" si="393"/>
        <v>11687</v>
      </c>
      <c r="M1757" s="2332">
        <f t="shared" si="394"/>
        <v>12388</v>
      </c>
    </row>
    <row r="1758" spans="1:13" x14ac:dyDescent="0.2">
      <c r="A1758" s="2353">
        <v>2244</v>
      </c>
      <c r="B1758" s="2258" t="s">
        <v>7167</v>
      </c>
      <c r="C1758" s="2332">
        <v>0</v>
      </c>
      <c r="D1758" s="2332">
        <v>5250</v>
      </c>
      <c r="E1758" s="2332">
        <v>5250</v>
      </c>
      <c r="F1758" s="2332">
        <v>977</v>
      </c>
      <c r="G1758" s="2332">
        <f t="shared" si="391"/>
        <v>1172.4000000000001</v>
      </c>
      <c r="H1758" s="2332"/>
      <c r="I1758" s="2332">
        <f t="shared" si="395"/>
        <v>5513</v>
      </c>
      <c r="J1758" s="2332">
        <f>[5]Sheet1!$K$1083</f>
        <v>412.98</v>
      </c>
      <c r="K1758" s="2333">
        <f t="shared" si="390"/>
        <v>412.98</v>
      </c>
      <c r="L1758" s="2332">
        <f t="shared" si="393"/>
        <v>5844</v>
      </c>
      <c r="M1758" s="2332">
        <f t="shared" si="394"/>
        <v>6195</v>
      </c>
    </row>
    <row r="1759" spans="1:13" x14ac:dyDescent="0.2">
      <c r="A1759" s="2329">
        <v>2246</v>
      </c>
      <c r="B1759" s="2258" t="s">
        <v>6968</v>
      </c>
      <c r="C1759" s="2332">
        <v>0</v>
      </c>
      <c r="D1759" s="2332">
        <v>25650</v>
      </c>
      <c r="E1759" s="2332">
        <v>25650</v>
      </c>
      <c r="F1759" s="2332">
        <v>0</v>
      </c>
      <c r="G1759" s="2332">
        <f t="shared" si="391"/>
        <v>0</v>
      </c>
      <c r="H1759" s="2332"/>
      <c r="I1759" s="2332">
        <f t="shared" si="395"/>
        <v>26933</v>
      </c>
      <c r="J1759" s="2332">
        <f>[5]Sheet1!$K$1084</f>
        <v>13784.080000000002</v>
      </c>
      <c r="K1759" s="2333">
        <f t="shared" si="390"/>
        <v>13784.080000000002</v>
      </c>
      <c r="L1759" s="2332">
        <f t="shared" si="393"/>
        <v>28549</v>
      </c>
      <c r="M1759" s="2332">
        <f t="shared" si="394"/>
        <v>30262</v>
      </c>
    </row>
    <row r="1760" spans="1:13" x14ac:dyDescent="0.2">
      <c r="A1760" s="2353">
        <v>2249</v>
      </c>
      <c r="B1760" s="2258" t="s">
        <v>7168</v>
      </c>
      <c r="C1760" s="2332">
        <v>29216</v>
      </c>
      <c r="D1760" s="2332">
        <v>63000</v>
      </c>
      <c r="E1760" s="2332">
        <v>63000</v>
      </c>
      <c r="F1760" s="2332">
        <v>61023</v>
      </c>
      <c r="G1760" s="2332">
        <f t="shared" si="391"/>
        <v>73227.600000000006</v>
      </c>
      <c r="H1760" s="2332"/>
      <c r="I1760" s="2332">
        <f t="shared" si="395"/>
        <v>66150</v>
      </c>
      <c r="J1760" s="2332">
        <f>[5]Sheet1!$K$1085</f>
        <v>6013.8</v>
      </c>
      <c r="K1760" s="2333">
        <f t="shared" si="390"/>
        <v>6013.8</v>
      </c>
      <c r="L1760" s="2332">
        <f t="shared" si="393"/>
        <v>70119</v>
      </c>
      <c r="M1760" s="2332">
        <f t="shared" si="394"/>
        <v>74326</v>
      </c>
    </row>
    <row r="1761" spans="1:13" x14ac:dyDescent="0.2">
      <c r="A1761" s="2329">
        <v>2252</v>
      </c>
      <c r="B1761" s="2258" t="s">
        <v>30</v>
      </c>
      <c r="C1761" s="2332">
        <v>0</v>
      </c>
      <c r="D1761" s="2332">
        <v>24150</v>
      </c>
      <c r="E1761" s="2332">
        <v>24150</v>
      </c>
      <c r="F1761" s="2332">
        <v>0</v>
      </c>
      <c r="G1761" s="2332">
        <f t="shared" si="391"/>
        <v>0</v>
      </c>
      <c r="H1761" s="2332"/>
      <c r="I1761" s="2332">
        <f t="shared" si="395"/>
        <v>25358</v>
      </c>
      <c r="J1761" s="2332">
        <f>[5]Sheet1!$K$1086</f>
        <v>8652.09</v>
      </c>
      <c r="K1761" s="2333">
        <f t="shared" si="390"/>
        <v>8652.09</v>
      </c>
      <c r="L1761" s="2332">
        <f t="shared" si="393"/>
        <v>26879</v>
      </c>
      <c r="M1761" s="2332">
        <f t="shared" si="394"/>
        <v>28492</v>
      </c>
    </row>
    <row r="1762" spans="1:13" x14ac:dyDescent="0.2">
      <c r="A1762" s="2329">
        <v>2256</v>
      </c>
      <c r="B1762" s="2258" t="s">
        <v>6482</v>
      </c>
      <c r="C1762" s="2332">
        <v>137184</v>
      </c>
      <c r="D1762" s="2332">
        <v>427438</v>
      </c>
      <c r="E1762" s="2332">
        <v>427438</v>
      </c>
      <c r="F1762" s="2332">
        <v>14003</v>
      </c>
      <c r="G1762" s="2332">
        <f t="shared" si="391"/>
        <v>16803.599999999999</v>
      </c>
      <c r="H1762" s="2332"/>
      <c r="I1762" s="2332">
        <v>0</v>
      </c>
      <c r="J1762" s="2332">
        <v>0</v>
      </c>
      <c r="K1762" s="2333">
        <f t="shared" si="390"/>
        <v>0</v>
      </c>
      <c r="L1762" s="2332">
        <f t="shared" si="393"/>
        <v>0</v>
      </c>
      <c r="M1762" s="2332">
        <f t="shared" si="394"/>
        <v>0</v>
      </c>
    </row>
    <row r="1763" spans="1:13" x14ac:dyDescent="0.2">
      <c r="A1763" s="2353">
        <v>2305</v>
      </c>
      <c r="B1763" s="2258" t="s">
        <v>6970</v>
      </c>
      <c r="C1763" s="2332">
        <v>4377</v>
      </c>
      <c r="D1763" s="2332">
        <v>1050</v>
      </c>
      <c r="E1763" s="2332">
        <v>1050</v>
      </c>
      <c r="F1763" s="2332">
        <v>1191</v>
      </c>
      <c r="G1763" s="2332">
        <f t="shared" si="391"/>
        <v>1429.1999999999998</v>
      </c>
      <c r="H1763" s="2332"/>
      <c r="I1763" s="2332">
        <f t="shared" si="395"/>
        <v>1103</v>
      </c>
      <c r="J1763" s="2332">
        <f>[5]Sheet1!$K$1088</f>
        <v>56.88</v>
      </c>
      <c r="K1763" s="2333">
        <f t="shared" si="390"/>
        <v>56.88</v>
      </c>
      <c r="L1763" s="2332">
        <f t="shared" si="393"/>
        <v>1169</v>
      </c>
      <c r="M1763" s="2332">
        <f t="shared" si="394"/>
        <v>1239</v>
      </c>
    </row>
    <row r="1764" spans="1:13" x14ac:dyDescent="0.2">
      <c r="A1764" s="2353">
        <v>2219</v>
      </c>
      <c r="B1764" s="2258" t="s">
        <v>7203</v>
      </c>
      <c r="C1764" s="2332">
        <v>1163577</v>
      </c>
      <c r="D1764" s="2332">
        <v>1218900</v>
      </c>
      <c r="E1764" s="2332">
        <v>1218900</v>
      </c>
      <c r="F1764" s="2332">
        <v>0</v>
      </c>
      <c r="G1764" s="2332">
        <f t="shared" si="391"/>
        <v>0</v>
      </c>
      <c r="H1764" s="2332"/>
      <c r="I1764" s="2332">
        <f>ROUND(1866539*1.05,0)</f>
        <v>1959866</v>
      </c>
      <c r="J1764" s="2332">
        <f>[5]Sheet1!$K$1070</f>
        <v>668765.69999999995</v>
      </c>
      <c r="K1764" s="2333">
        <f t="shared" si="390"/>
        <v>668765.69999999995</v>
      </c>
      <c r="L1764" s="2332">
        <f t="shared" si="393"/>
        <v>2077458</v>
      </c>
      <c r="M1764" s="2332">
        <f t="shared" si="394"/>
        <v>2202105</v>
      </c>
    </row>
    <row r="1765" spans="1:13" x14ac:dyDescent="0.2">
      <c r="A1765" s="2353"/>
      <c r="B1765" s="2334" t="s">
        <v>7166</v>
      </c>
      <c r="C1765" s="2335">
        <v>0</v>
      </c>
      <c r="D1765" s="2335">
        <v>31500</v>
      </c>
      <c r="E1765" s="2335">
        <v>31500</v>
      </c>
      <c r="F1765" s="2335">
        <v>0</v>
      </c>
      <c r="G1765" s="2335">
        <f t="shared" si="391"/>
        <v>0</v>
      </c>
      <c r="H1765" s="2335"/>
      <c r="I1765" s="2335">
        <f>ROUND(E1765*1.05,0)</f>
        <v>33075</v>
      </c>
      <c r="J1765" s="2335">
        <f>[5]Sheet1!$K$1077</f>
        <v>11286.85</v>
      </c>
      <c r="K1765" s="2336">
        <f t="shared" si="390"/>
        <v>11286.85</v>
      </c>
      <c r="L1765" s="2335">
        <f t="shared" si="393"/>
        <v>35060</v>
      </c>
      <c r="M1765" s="2335">
        <f t="shared" si="394"/>
        <v>37164</v>
      </c>
    </row>
    <row r="1766" spans="1:13" x14ac:dyDescent="0.2">
      <c r="B1766" s="2330" t="s">
        <v>6614</v>
      </c>
      <c r="C1766" s="2349">
        <f t="shared" ref="C1766:M1766" si="396">SUM(C1750:C1765)</f>
        <v>1353085</v>
      </c>
      <c r="D1766" s="2349">
        <f t="shared" si="396"/>
        <v>2063947</v>
      </c>
      <c r="E1766" s="2349">
        <f t="shared" si="396"/>
        <v>2063947</v>
      </c>
      <c r="F1766" s="2349">
        <f t="shared" si="396"/>
        <v>115263</v>
      </c>
      <c r="G1766" s="2349">
        <f t="shared" si="396"/>
        <v>138315.6</v>
      </c>
      <c r="H1766" s="2349"/>
      <c r="I1766" s="2349">
        <f t="shared" si="396"/>
        <v>2387333</v>
      </c>
      <c r="J1766" s="2349">
        <f>SUM(J1750:J1765)</f>
        <v>852883.25999999989</v>
      </c>
      <c r="K1766" s="2333">
        <f t="shared" si="390"/>
        <v>852883.25999999989</v>
      </c>
      <c r="L1766" s="2349">
        <f t="shared" si="396"/>
        <v>2530574</v>
      </c>
      <c r="M1766" s="2349">
        <f t="shared" si="396"/>
        <v>2682408</v>
      </c>
    </row>
    <row r="1767" spans="1:13" x14ac:dyDescent="0.2">
      <c r="B1767" s="2338"/>
      <c r="C1767" s="2380"/>
      <c r="D1767" s="2380"/>
      <c r="E1767" s="2380"/>
      <c r="F1767" s="2380"/>
      <c r="G1767" s="2380"/>
      <c r="H1767" s="2380"/>
      <c r="I1767" s="2380"/>
      <c r="J1767" s="2380">
        <f>J1766-[5]Sheet1!$K$1070-[5]Sheet1!$K$1093+[5]Sheet1!$K$1087</f>
        <v>0</v>
      </c>
      <c r="K1767" s="2336">
        <f t="shared" si="390"/>
        <v>0</v>
      </c>
      <c r="L1767" s="2380"/>
      <c r="M1767" s="2380"/>
    </row>
    <row r="1768" spans="1:13" x14ac:dyDescent="0.2">
      <c r="B1768" s="2330" t="s">
        <v>6972</v>
      </c>
      <c r="C1768" s="2351">
        <f>C1728+C1732+C1736+C1744+C1766</f>
        <v>7394112</v>
      </c>
      <c r="D1768" s="2351">
        <f>D1728+D1732+D1736+D1744+D1766</f>
        <v>7212509</v>
      </c>
      <c r="E1768" s="2351">
        <f>E1728+E1732+E1736+E1744+E1766</f>
        <v>7112509</v>
      </c>
      <c r="F1768" s="2351">
        <f>F1728+F1732+F1736+F1744+F1766</f>
        <v>4339056</v>
      </c>
      <c r="G1768" s="2351">
        <f>G1728+G1732+G1736+G1744+G1766</f>
        <v>5173267.1999999993</v>
      </c>
      <c r="H1768" s="2351"/>
      <c r="I1768" s="2351">
        <f>I1728+I1732+I1736+I1744+I1766</f>
        <v>7053065</v>
      </c>
      <c r="J1768" s="2351">
        <f>J1728+J1732+J1736+J1744+J1766</f>
        <v>7521714.0699999994</v>
      </c>
      <c r="K1768" s="2333">
        <f t="shared" si="390"/>
        <v>7521714.0699999994</v>
      </c>
      <c r="L1768" s="2351">
        <f>L1728+L1732+L1736+L1744+L1766</f>
        <v>6340982</v>
      </c>
      <c r="M1768" s="2351">
        <f>M1728+M1732+M1736+M1744+M1766</f>
        <v>6789861</v>
      </c>
    </row>
    <row r="1769" spans="1:13" x14ac:dyDescent="0.2">
      <c r="B1769" s="2330"/>
      <c r="C1769" s="2364"/>
      <c r="D1769" s="2364"/>
      <c r="E1769" s="2364"/>
      <c r="G1769" s="2332"/>
      <c r="H1769" s="2332"/>
      <c r="I1769" s="2332"/>
      <c r="J1769" s="2332"/>
      <c r="K1769" s="2333">
        <f t="shared" si="390"/>
        <v>0</v>
      </c>
      <c r="L1769" s="2364"/>
      <c r="M1769" s="2364"/>
    </row>
    <row r="1770" spans="1:13" x14ac:dyDescent="0.2">
      <c r="B1770" s="2330" t="s">
        <v>7081</v>
      </c>
      <c r="C1770" s="2364"/>
      <c r="D1770" s="2364"/>
      <c r="E1770" s="2364"/>
      <c r="G1770" s="2332"/>
      <c r="H1770" s="2332"/>
      <c r="I1770" s="2332"/>
      <c r="J1770" s="2332"/>
      <c r="K1770" s="2333">
        <f t="shared" si="390"/>
        <v>0</v>
      </c>
      <c r="L1770" s="2364"/>
      <c r="M1770" s="2364"/>
    </row>
    <row r="1771" spans="1:13" x14ac:dyDescent="0.2">
      <c r="A1771" s="2403"/>
      <c r="B1771" s="2334" t="s">
        <v>7214</v>
      </c>
      <c r="C1771" s="2335">
        <v>0</v>
      </c>
      <c r="D1771" s="2335">
        <v>0</v>
      </c>
      <c r="E1771" s="2335">
        <v>0</v>
      </c>
      <c r="F1771" s="2335">
        <v>336000</v>
      </c>
      <c r="G1771" s="2335">
        <f>+F1771</f>
        <v>336000</v>
      </c>
      <c r="H1771" s="2335"/>
      <c r="I1771" s="2335">
        <v>258676</v>
      </c>
      <c r="J1771" s="2335" t="e">
        <f>[5]Sheet1!$K$1058</f>
        <v>#REF!</v>
      </c>
      <c r="K1771" s="2336" t="e">
        <f t="shared" si="390"/>
        <v>#REF!</v>
      </c>
      <c r="L1771" s="2335">
        <v>292523</v>
      </c>
      <c r="M1771" s="2335">
        <v>330799</v>
      </c>
    </row>
    <row r="1772" spans="1:13" x14ac:dyDescent="0.2">
      <c r="B1772" s="2330" t="s">
        <v>7083</v>
      </c>
      <c r="C1772" s="2351">
        <f t="shared" ref="C1772:M1772" si="397">SUM(C1771)</f>
        <v>0</v>
      </c>
      <c r="D1772" s="2351">
        <f t="shared" si="397"/>
        <v>0</v>
      </c>
      <c r="E1772" s="2351">
        <f t="shared" si="397"/>
        <v>0</v>
      </c>
      <c r="F1772" s="2351">
        <f t="shared" si="397"/>
        <v>336000</v>
      </c>
      <c r="G1772" s="2351">
        <f t="shared" si="397"/>
        <v>336000</v>
      </c>
      <c r="H1772" s="2351"/>
      <c r="I1772" s="2351">
        <f t="shared" si="397"/>
        <v>258676</v>
      </c>
      <c r="J1772" s="2351" t="e">
        <f>J1771</f>
        <v>#REF!</v>
      </c>
      <c r="K1772" s="2333" t="e">
        <f t="shared" si="390"/>
        <v>#REF!</v>
      </c>
      <c r="L1772" s="2351">
        <f t="shared" si="397"/>
        <v>292523</v>
      </c>
      <c r="M1772" s="2351">
        <f t="shared" si="397"/>
        <v>330799</v>
      </c>
    </row>
    <row r="1773" spans="1:13" x14ac:dyDescent="0.2">
      <c r="B1773" s="2330"/>
      <c r="C1773" s="2364"/>
      <c r="D1773" s="2364"/>
      <c r="E1773" s="2364"/>
      <c r="G1773" s="2332"/>
      <c r="H1773" s="2332"/>
      <c r="I1773" s="2332"/>
      <c r="J1773" s="2332" t="e">
        <f>J1772-[5]Sheet1!$K$1059</f>
        <v>#REF!</v>
      </c>
      <c r="K1773" s="2333" t="e">
        <f t="shared" si="390"/>
        <v>#REF!</v>
      </c>
      <c r="L1773" s="2364"/>
      <c r="M1773" s="2364"/>
    </row>
    <row r="1774" spans="1:13" x14ac:dyDescent="0.2">
      <c r="A1774" s="2353"/>
      <c r="B1774" s="2330" t="s">
        <v>6974</v>
      </c>
      <c r="C1774" s="2332"/>
      <c r="D1774" s="2332"/>
      <c r="E1774" s="2332"/>
      <c r="G1774" s="2332"/>
      <c r="H1774" s="2332"/>
      <c r="I1774" s="2332"/>
      <c r="J1774" s="2332"/>
      <c r="K1774" s="2333">
        <f t="shared" si="390"/>
        <v>0</v>
      </c>
      <c r="L1774" s="2332"/>
      <c r="M1774" s="2332"/>
    </row>
    <row r="1775" spans="1:13" x14ac:dyDescent="0.2">
      <c r="A1775" s="2353">
        <v>4204</v>
      </c>
      <c r="B1775" s="2258" t="s">
        <v>6976</v>
      </c>
      <c r="C1775" s="2332">
        <v>11948</v>
      </c>
      <c r="D1775" s="2332">
        <v>79192</v>
      </c>
      <c r="E1775" s="2332">
        <v>79192</v>
      </c>
      <c r="F1775" s="2332">
        <v>0</v>
      </c>
      <c r="G1775" s="2332">
        <f>F1775/$F$11*$G$11</f>
        <v>0</v>
      </c>
      <c r="H1775" s="2332"/>
      <c r="I1775" s="2332">
        <f>ROUND(E1775*1.05,0)</f>
        <v>83152</v>
      </c>
      <c r="J1775" s="2332">
        <f>[5]Sheet1!$K$1105</f>
        <v>40796.44</v>
      </c>
      <c r="K1775" s="2333">
        <f t="shared" si="390"/>
        <v>40796.44</v>
      </c>
      <c r="L1775" s="2332">
        <f>ROUND(I1775*1.08,0)</f>
        <v>89804</v>
      </c>
      <c r="M1775" s="2332">
        <f>ROUND(L1775*1.08,0)</f>
        <v>96988</v>
      </c>
    </row>
    <row r="1776" spans="1:13" x14ac:dyDescent="0.2">
      <c r="A1776" s="2353">
        <v>4209</v>
      </c>
      <c r="B1776" s="2258" t="s">
        <v>6449</v>
      </c>
      <c r="C1776" s="2332">
        <v>34840</v>
      </c>
      <c r="D1776" s="2332">
        <v>0</v>
      </c>
      <c r="E1776" s="2332">
        <v>0</v>
      </c>
      <c r="F1776" s="2332">
        <v>0</v>
      </c>
      <c r="G1776" s="2332">
        <f>F1776/$F$11*$G$11</f>
        <v>0</v>
      </c>
      <c r="H1776" s="2332"/>
      <c r="I1776" s="2332">
        <f>ROUND(E1776*1.05,0)</f>
        <v>0</v>
      </c>
      <c r="J1776" s="2332">
        <f>0</f>
        <v>0</v>
      </c>
      <c r="K1776" s="2333">
        <f t="shared" si="390"/>
        <v>0</v>
      </c>
      <c r="L1776" s="2332">
        <f>ROUND(I1776*1.05,0)</f>
        <v>0</v>
      </c>
      <c r="M1776" s="2332">
        <f>ROUND(L1776*1.05,0)</f>
        <v>0</v>
      </c>
    </row>
    <row r="1777" spans="1:13" x14ac:dyDescent="0.2">
      <c r="A1777" s="2353">
        <v>4207</v>
      </c>
      <c r="B1777" s="2258" t="s">
        <v>6977</v>
      </c>
      <c r="C1777" s="2332">
        <v>33815</v>
      </c>
      <c r="D1777" s="2332">
        <v>100283</v>
      </c>
      <c r="E1777" s="2332">
        <v>100283</v>
      </c>
      <c r="F1777" s="2332">
        <v>0</v>
      </c>
      <c r="G1777" s="2332">
        <f>F1777/$F$11*$G$11</f>
        <v>0</v>
      </c>
      <c r="H1777" s="2332"/>
      <c r="I1777" s="2332">
        <f>ROUND(E1777*1.05,0)</f>
        <v>105297</v>
      </c>
      <c r="J1777" s="2332">
        <f>[5]Sheet1!$K$1106</f>
        <v>19498.34</v>
      </c>
      <c r="K1777" s="2333">
        <f t="shared" si="390"/>
        <v>19498.34</v>
      </c>
      <c r="L1777" s="2332">
        <f>ROUND(I1777*1.08,0)</f>
        <v>113721</v>
      </c>
      <c r="M1777" s="2332">
        <f>ROUND(L1777*1.08,0)</f>
        <v>122819</v>
      </c>
    </row>
    <row r="1778" spans="1:13" x14ac:dyDescent="0.2">
      <c r="A1778" s="2353">
        <v>4103</v>
      </c>
      <c r="B1778" s="2334" t="s">
        <v>6975</v>
      </c>
      <c r="C1778" s="2335">
        <v>18853</v>
      </c>
      <c r="D1778" s="2335">
        <v>0</v>
      </c>
      <c r="E1778" s="2335">
        <v>0</v>
      </c>
      <c r="F1778" s="2335">
        <v>0</v>
      </c>
      <c r="G1778" s="2335">
        <f>F1778/$F$11*$G$11</f>
        <v>0</v>
      </c>
      <c r="H1778" s="2335"/>
      <c r="I1778" s="2335">
        <f>ROUND(E1778*1.05,0)</f>
        <v>0</v>
      </c>
      <c r="J1778" s="2335">
        <v>0</v>
      </c>
      <c r="K1778" s="2336">
        <f t="shared" si="390"/>
        <v>0</v>
      </c>
      <c r="L1778" s="2335">
        <f>ROUND(I1778*1.05,0)</f>
        <v>0</v>
      </c>
      <c r="M1778" s="2335">
        <f>ROUND(L1778*1.05,0)</f>
        <v>0</v>
      </c>
    </row>
    <row r="1779" spans="1:13" x14ac:dyDescent="0.2">
      <c r="A1779" s="2404"/>
      <c r="B1779" s="2330" t="s">
        <v>6979</v>
      </c>
      <c r="C1779" s="2349">
        <f t="shared" ref="C1779:M1779" si="398">SUM(C1775:C1778)</f>
        <v>99456</v>
      </c>
      <c r="D1779" s="2349">
        <f t="shared" si="398"/>
        <v>179475</v>
      </c>
      <c r="E1779" s="2349">
        <f t="shared" si="398"/>
        <v>179475</v>
      </c>
      <c r="F1779" s="2349">
        <f t="shared" si="398"/>
        <v>0</v>
      </c>
      <c r="G1779" s="2349">
        <f t="shared" si="398"/>
        <v>0</v>
      </c>
      <c r="H1779" s="2349"/>
      <c r="I1779" s="2349">
        <f t="shared" si="398"/>
        <v>188449</v>
      </c>
      <c r="J1779" s="2349">
        <f>J1775+J1777</f>
        <v>60294.78</v>
      </c>
      <c r="K1779" s="2333">
        <f t="shared" si="390"/>
        <v>60294.78</v>
      </c>
      <c r="L1779" s="2349">
        <f t="shared" si="398"/>
        <v>203525</v>
      </c>
      <c r="M1779" s="2349">
        <f t="shared" si="398"/>
        <v>219807</v>
      </c>
    </row>
    <row r="1780" spans="1:13" x14ac:dyDescent="0.2">
      <c r="A1780" s="2404"/>
      <c r="B1780" s="2330"/>
      <c r="C1780" s="2349"/>
      <c r="D1780" s="2349"/>
      <c r="E1780" s="2349"/>
      <c r="F1780" s="2432"/>
      <c r="G1780" s="2332"/>
      <c r="H1780" s="2332"/>
      <c r="I1780" s="2332"/>
      <c r="J1780" s="2332">
        <f>J1779-[5]Sheet1!$K$1107</f>
        <v>0</v>
      </c>
      <c r="K1780" s="2333">
        <f t="shared" si="390"/>
        <v>0</v>
      </c>
      <c r="L1780" s="2349"/>
      <c r="M1780" s="2349"/>
    </row>
    <row r="1781" spans="1:13" x14ac:dyDescent="0.2">
      <c r="A1781" s="2404"/>
      <c r="B1781" s="2330" t="s">
        <v>7215</v>
      </c>
      <c r="C1781" s="2349"/>
      <c r="D1781" s="2349"/>
      <c r="E1781" s="2349"/>
      <c r="F1781" s="2432"/>
      <c r="G1781" s="2332"/>
      <c r="H1781" s="2332"/>
      <c r="I1781" s="2332"/>
      <c r="J1781" s="2332"/>
      <c r="K1781" s="2333">
        <f t="shared" si="390"/>
        <v>0</v>
      </c>
      <c r="L1781" s="2349"/>
      <c r="M1781" s="2349"/>
    </row>
    <row r="1782" spans="1:13" x14ac:dyDescent="0.2">
      <c r="A1782" s="2404"/>
      <c r="B1782" s="2334" t="s">
        <v>7210</v>
      </c>
      <c r="C1782" s="2335">
        <v>0</v>
      </c>
      <c r="D1782" s="2335">
        <f>D1703</f>
        <v>0</v>
      </c>
      <c r="E1782" s="2335">
        <v>0</v>
      </c>
      <c r="F1782" s="2335">
        <v>0</v>
      </c>
      <c r="G1782" s="2335">
        <f>F1782/$F$11*$G$11</f>
        <v>0</v>
      </c>
      <c r="H1782" s="2335"/>
      <c r="I1782" s="2335">
        <v>0</v>
      </c>
      <c r="J1782" s="2335">
        <v>0</v>
      </c>
      <c r="K1782" s="2336">
        <f t="shared" si="390"/>
        <v>0</v>
      </c>
      <c r="L1782" s="2335">
        <f>L1703</f>
        <v>0</v>
      </c>
      <c r="M1782" s="2335">
        <f>M1703</f>
        <v>0</v>
      </c>
    </row>
    <row r="1783" spans="1:13" x14ac:dyDescent="0.2">
      <c r="A1783" s="2404"/>
      <c r="B1783" s="2330" t="s">
        <v>7216</v>
      </c>
      <c r="C1783" s="2349">
        <f t="shared" ref="C1783:M1783" si="399">SUM(C1781:C1782)</f>
        <v>0</v>
      </c>
      <c r="D1783" s="2349">
        <f t="shared" si="399"/>
        <v>0</v>
      </c>
      <c r="E1783" s="2349">
        <f t="shared" si="399"/>
        <v>0</v>
      </c>
      <c r="F1783" s="2349">
        <f t="shared" si="399"/>
        <v>0</v>
      </c>
      <c r="G1783" s="2349">
        <f t="shared" si="399"/>
        <v>0</v>
      </c>
      <c r="H1783" s="2349"/>
      <c r="I1783" s="2349">
        <f t="shared" si="399"/>
        <v>0</v>
      </c>
      <c r="J1783" s="2349">
        <v>0</v>
      </c>
      <c r="K1783" s="2333">
        <f t="shared" si="390"/>
        <v>0</v>
      </c>
      <c r="L1783" s="2349">
        <f t="shared" si="399"/>
        <v>0</v>
      </c>
      <c r="M1783" s="2349">
        <f t="shared" si="399"/>
        <v>0</v>
      </c>
    </row>
    <row r="1784" spans="1:13" x14ac:dyDescent="0.2">
      <c r="B1784" s="2330"/>
      <c r="C1784" s="2332"/>
      <c r="D1784" s="2332"/>
      <c r="E1784" s="2332"/>
      <c r="G1784" s="2332"/>
      <c r="H1784" s="2332"/>
      <c r="I1784" s="2332"/>
      <c r="J1784" s="2332"/>
      <c r="K1784" s="2333">
        <f t="shared" si="390"/>
        <v>0</v>
      </c>
      <c r="L1784" s="2332"/>
      <c r="M1784" s="2332"/>
    </row>
    <row r="1785" spans="1:13" ht="13.5" thickBot="1" x14ac:dyDescent="0.25">
      <c r="B1785" s="2342" t="s">
        <v>6980</v>
      </c>
      <c r="C1785" s="2354">
        <f t="shared" ref="C1785:M1785" si="400">+C1768+C1772+C1779+C1783</f>
        <v>7493568</v>
      </c>
      <c r="D1785" s="2354">
        <f t="shared" si="400"/>
        <v>7391984</v>
      </c>
      <c r="E1785" s="2354">
        <f t="shared" si="400"/>
        <v>7291984</v>
      </c>
      <c r="F1785" s="2354">
        <f t="shared" si="400"/>
        <v>4675056</v>
      </c>
      <c r="G1785" s="2354">
        <f t="shared" si="400"/>
        <v>5509267.1999999993</v>
      </c>
      <c r="H1785" s="2354"/>
      <c r="I1785" s="2354">
        <f t="shared" si="400"/>
        <v>7500190</v>
      </c>
      <c r="J1785" s="2354" t="e">
        <f>+J1768+J1772+J1779+J1783</f>
        <v>#REF!</v>
      </c>
      <c r="K1785" s="2344" t="e">
        <f t="shared" si="390"/>
        <v>#REF!</v>
      </c>
      <c r="L1785" s="2354">
        <f t="shared" si="400"/>
        <v>6837030</v>
      </c>
      <c r="M1785" s="2354">
        <f t="shared" si="400"/>
        <v>7340467</v>
      </c>
    </row>
    <row r="1786" spans="1:13" ht="13.5" thickTop="1" x14ac:dyDescent="0.2">
      <c r="B1786" s="2330"/>
      <c r="C1786" s="2349"/>
      <c r="D1786" s="2349"/>
      <c r="E1786" s="2349"/>
      <c r="F1786" s="2349"/>
      <c r="G1786" s="2349"/>
      <c r="H1786" s="2349"/>
      <c r="I1786" s="2349"/>
      <c r="J1786" s="2349"/>
      <c r="K1786" s="2333">
        <f t="shared" si="390"/>
        <v>0</v>
      </c>
      <c r="L1786" s="2349"/>
      <c r="M1786" s="2349"/>
    </row>
    <row r="1787" spans="1:13" ht="13.5" thickBot="1" x14ac:dyDescent="0.25">
      <c r="A1787" s="2433"/>
      <c r="B1787" s="2434" t="s">
        <v>6624</v>
      </c>
      <c r="C1787" s="2435">
        <f>C1710-C1785</f>
        <v>0</v>
      </c>
      <c r="D1787" s="2435">
        <f>D1710-D1785</f>
        <v>0</v>
      </c>
      <c r="E1787" s="2435">
        <f>E1710-E1785</f>
        <v>0</v>
      </c>
      <c r="F1787" s="2435">
        <f>F1710-F1785</f>
        <v>-770002</v>
      </c>
      <c r="G1787" s="2435">
        <f>G1710-G1785</f>
        <v>-823202.40000000037</v>
      </c>
      <c r="H1787" s="2435"/>
      <c r="I1787" s="2355">
        <f>I1710-I1785</f>
        <v>0</v>
      </c>
      <c r="J1787" s="2355" t="e">
        <f>J1710-J1785</f>
        <v>#REF!</v>
      </c>
      <c r="K1787" s="2344" t="e">
        <f t="shared" si="390"/>
        <v>#REF!</v>
      </c>
      <c r="L1787" s="2435">
        <f>L1710-L1785</f>
        <v>0</v>
      </c>
      <c r="M1787" s="2435">
        <f>M1710-M1785</f>
        <v>0</v>
      </c>
    </row>
    <row r="1788" spans="1:13" ht="13.5" thickTop="1" x14ac:dyDescent="0.2">
      <c r="B1788" s="2330"/>
      <c r="C1788" s="2356"/>
      <c r="D1788" s="2356"/>
      <c r="E1788" s="2356"/>
      <c r="G1788" s="2332"/>
      <c r="H1788" s="2332"/>
      <c r="I1788" s="2332"/>
      <c r="J1788" s="2332"/>
      <c r="K1788" s="2333">
        <f t="shared" si="390"/>
        <v>0</v>
      </c>
      <c r="L1788" s="2356"/>
      <c r="M1788" s="2356"/>
    </row>
    <row r="1789" spans="1:13" x14ac:dyDescent="0.2">
      <c r="G1789" s="2332"/>
      <c r="H1789" s="2332"/>
      <c r="I1789" s="2332"/>
      <c r="J1789" s="2332"/>
      <c r="K1789" s="2333">
        <f t="shared" si="390"/>
        <v>0</v>
      </c>
    </row>
    <row r="1790" spans="1:13" ht="15.75" x14ac:dyDescent="0.25">
      <c r="A1790" s="2374">
        <v>2000</v>
      </c>
      <c r="B1790" s="2429" t="s">
        <v>7217</v>
      </c>
      <c r="C1790" s="2326"/>
      <c r="D1790" s="2326"/>
      <c r="E1790" s="2326"/>
      <c r="G1790" s="2332"/>
      <c r="H1790" s="2332"/>
      <c r="I1790" s="2332"/>
      <c r="J1790" s="2332"/>
      <c r="K1790" s="2333">
        <f t="shared" si="390"/>
        <v>0</v>
      </c>
    </row>
    <row r="1791" spans="1:13" ht="15" x14ac:dyDescent="0.25">
      <c r="A1791" s="2365">
        <v>2010</v>
      </c>
      <c r="B1791" s="2326" t="s">
        <v>7218</v>
      </c>
      <c r="C1791" s="2326"/>
      <c r="D1791" s="2326"/>
      <c r="E1791" s="2326"/>
      <c r="G1791" s="2332"/>
      <c r="H1791" s="2332"/>
      <c r="I1791" s="2332"/>
      <c r="J1791" s="2332"/>
      <c r="K1791" s="2333">
        <f t="shared" si="390"/>
        <v>0</v>
      </c>
    </row>
    <row r="1792" spans="1:13" ht="15" x14ac:dyDescent="0.25">
      <c r="B1792" s="2326"/>
      <c r="C1792" s="2326"/>
      <c r="D1792" s="2326"/>
      <c r="E1792" s="2326"/>
      <c r="G1792" s="2332"/>
      <c r="H1792" s="2332"/>
      <c r="I1792" s="2332"/>
      <c r="J1792" s="2332"/>
      <c r="K1792" s="2333">
        <f t="shared" si="390"/>
        <v>0</v>
      </c>
    </row>
    <row r="1793" spans="1:13" x14ac:dyDescent="0.2">
      <c r="B1793" s="2328" t="s">
        <v>247</v>
      </c>
      <c r="C1793" s="2328"/>
      <c r="D1793" s="2328"/>
      <c r="E1793" s="2328"/>
      <c r="G1793" s="2332"/>
      <c r="H1793" s="2332"/>
      <c r="I1793" s="2332"/>
      <c r="J1793" s="2332"/>
      <c r="K1793" s="2333">
        <f t="shared" si="390"/>
        <v>0</v>
      </c>
    </row>
    <row r="1794" spans="1:13" x14ac:dyDescent="0.2">
      <c r="B1794" s="2323"/>
      <c r="C1794" s="2323"/>
      <c r="D1794" s="2323"/>
      <c r="E1794" s="2323"/>
      <c r="G1794" s="2332"/>
      <c r="H1794" s="2332"/>
      <c r="I1794" s="2332"/>
      <c r="J1794" s="2332"/>
      <c r="K1794" s="2333">
        <f t="shared" si="390"/>
        <v>0</v>
      </c>
    </row>
    <row r="1795" spans="1:13" x14ac:dyDescent="0.2">
      <c r="B1795" s="2330" t="s">
        <v>6644</v>
      </c>
      <c r="C1795" s="2375"/>
      <c r="D1795" s="2375"/>
      <c r="E1795" s="2375"/>
      <c r="G1795" s="2332"/>
      <c r="H1795" s="2332"/>
      <c r="I1795" s="2332"/>
      <c r="J1795" s="2332"/>
      <c r="K1795" s="2333">
        <f t="shared" si="390"/>
        <v>0</v>
      </c>
    </row>
    <row r="1796" spans="1:13" x14ac:dyDescent="0.2">
      <c r="A1796" s="2353">
        <v>5209</v>
      </c>
      <c r="B1796" s="2334" t="s">
        <v>2081</v>
      </c>
      <c r="C1796" s="2335">
        <v>2555</v>
      </c>
      <c r="D1796" s="2335">
        <v>3200</v>
      </c>
      <c r="E1796" s="2335">
        <v>3200</v>
      </c>
      <c r="F1796" s="2335">
        <v>5609</v>
      </c>
      <c r="G1796" s="2335">
        <f>F1796/$F$11*$G$11</f>
        <v>6730.7999999999993</v>
      </c>
      <c r="H1796" s="2335"/>
      <c r="I1796" s="2335">
        <f>ROUND(G1796*1.1,0)</f>
        <v>7404</v>
      </c>
      <c r="J1796" s="2335">
        <f>-[5]Sheet1!$K$1229</f>
        <v>50046.609999999993</v>
      </c>
      <c r="K1796" s="2336">
        <f t="shared" si="390"/>
        <v>50046.609999999993</v>
      </c>
      <c r="L1796" s="2335">
        <f>ROUND(I1796*1.06,0)</f>
        <v>7848</v>
      </c>
      <c r="M1796" s="2335">
        <f>ROUND(L1796*1.06,0)</f>
        <v>8319</v>
      </c>
    </row>
    <row r="1797" spans="1:13" x14ac:dyDescent="0.2">
      <c r="B1797" s="2330" t="s">
        <v>6646</v>
      </c>
      <c r="C1797" s="2376">
        <f t="shared" ref="C1797:M1797" si="401">SUM(C1796:C1796)</f>
        <v>2555</v>
      </c>
      <c r="D1797" s="2376">
        <f t="shared" si="401"/>
        <v>3200</v>
      </c>
      <c r="E1797" s="2376">
        <f t="shared" si="401"/>
        <v>3200</v>
      </c>
      <c r="F1797" s="2376">
        <f t="shared" si="401"/>
        <v>5609</v>
      </c>
      <c r="G1797" s="2376">
        <f t="shared" si="401"/>
        <v>6730.7999999999993</v>
      </c>
      <c r="H1797" s="2376"/>
      <c r="I1797" s="2376">
        <f t="shared" si="401"/>
        <v>7404</v>
      </c>
      <c r="J1797" s="2376">
        <f>J1796</f>
        <v>50046.609999999993</v>
      </c>
      <c r="K1797" s="2333">
        <f t="shared" si="390"/>
        <v>50046.609999999993</v>
      </c>
      <c r="L1797" s="2376">
        <f t="shared" si="401"/>
        <v>7848</v>
      </c>
      <c r="M1797" s="2376">
        <f t="shared" si="401"/>
        <v>8319</v>
      </c>
    </row>
    <row r="1798" spans="1:13" x14ac:dyDescent="0.2">
      <c r="B1798" s="2330"/>
      <c r="C1798" s="2375"/>
      <c r="D1798" s="2375"/>
      <c r="E1798" s="2375"/>
      <c r="G1798" s="2332"/>
      <c r="H1798" s="2332"/>
      <c r="I1798" s="2332"/>
      <c r="J1798" s="2332"/>
      <c r="K1798" s="2333">
        <f t="shared" si="390"/>
        <v>0</v>
      </c>
      <c r="L1798" s="2375"/>
      <c r="M1798" s="2375"/>
    </row>
    <row r="1799" spans="1:13" x14ac:dyDescent="0.2">
      <c r="B1799" s="2330" t="s">
        <v>1637</v>
      </c>
      <c r="C1799" s="2375"/>
      <c r="D1799" s="2375"/>
      <c r="E1799" s="2375"/>
      <c r="G1799" s="2332"/>
      <c r="H1799" s="2332"/>
      <c r="I1799" s="2332"/>
      <c r="J1799" s="2332"/>
      <c r="K1799" s="2333">
        <f t="shared" si="390"/>
        <v>0</v>
      </c>
      <c r="L1799" s="2375"/>
      <c r="M1799" s="2375"/>
    </row>
    <row r="1800" spans="1:13" x14ac:dyDescent="0.2">
      <c r="A1800" s="2353">
        <v>5810</v>
      </c>
      <c r="B1800" s="2334" t="s">
        <v>6471</v>
      </c>
      <c r="C1800" s="2339">
        <v>4538</v>
      </c>
      <c r="D1800" s="2335">
        <v>6157</v>
      </c>
      <c r="E1800" s="2335">
        <v>6157</v>
      </c>
      <c r="F1800" s="2335">
        <v>1371</v>
      </c>
      <c r="G1800" s="2335">
        <f>F1800/$F$11*$G$11</f>
        <v>1645.1999999999998</v>
      </c>
      <c r="H1800" s="2335"/>
      <c r="I1800" s="2335">
        <f>ROUND(G1800*1.1,0)</f>
        <v>1810</v>
      </c>
      <c r="J1800" s="2335">
        <f>-[5]Sheet1!$K$1237</f>
        <v>1860.52</v>
      </c>
      <c r="K1800" s="2336">
        <f t="shared" si="390"/>
        <v>1860.52</v>
      </c>
      <c r="L1800" s="2335">
        <f>ROUND(I1800*1.06,0)</f>
        <v>1919</v>
      </c>
      <c r="M1800" s="2335">
        <f>ROUND(L1800*1.06,0)</f>
        <v>2034</v>
      </c>
    </row>
    <row r="1801" spans="1:13" x14ac:dyDescent="0.2">
      <c r="B1801" s="2330" t="s">
        <v>6670</v>
      </c>
      <c r="C1801" s="2376">
        <f t="shared" ref="C1801:M1801" si="402">SUM(C1800:C1800)</f>
        <v>4538</v>
      </c>
      <c r="D1801" s="2376">
        <f t="shared" si="402"/>
        <v>6157</v>
      </c>
      <c r="E1801" s="2376">
        <f t="shared" si="402"/>
        <v>6157</v>
      </c>
      <c r="F1801" s="2376">
        <f t="shared" si="402"/>
        <v>1371</v>
      </c>
      <c r="G1801" s="2376">
        <f t="shared" si="402"/>
        <v>1645.1999999999998</v>
      </c>
      <c r="H1801" s="2376"/>
      <c r="I1801" s="2376">
        <f t="shared" si="402"/>
        <v>1810</v>
      </c>
      <c r="J1801" s="2376">
        <f>J1800</f>
        <v>1860.52</v>
      </c>
      <c r="K1801" s="2333">
        <f t="shared" si="390"/>
        <v>1860.52</v>
      </c>
      <c r="L1801" s="2376">
        <f t="shared" si="402"/>
        <v>1919</v>
      </c>
      <c r="M1801" s="2376">
        <f t="shared" si="402"/>
        <v>2034</v>
      </c>
    </row>
    <row r="1802" spans="1:13" x14ac:dyDescent="0.2">
      <c r="B1802" s="2338"/>
      <c r="C1802" s="2339"/>
      <c r="D1802" s="2339"/>
      <c r="E1802" s="2339"/>
      <c r="F1802" s="2436"/>
      <c r="G1802" s="2335"/>
      <c r="H1802" s="2335"/>
      <c r="I1802" s="2335"/>
      <c r="J1802" s="2335"/>
      <c r="K1802" s="2336">
        <f t="shared" si="390"/>
        <v>0</v>
      </c>
      <c r="L1802" s="2339"/>
      <c r="M1802" s="2339"/>
    </row>
    <row r="1803" spans="1:13" x14ac:dyDescent="0.2">
      <c r="B1803" s="2330" t="s">
        <v>7200</v>
      </c>
      <c r="C1803" s="2351">
        <f t="shared" ref="C1803:M1803" si="403">+C1797+C1801</f>
        <v>7093</v>
      </c>
      <c r="D1803" s="2351">
        <f t="shared" si="403"/>
        <v>9357</v>
      </c>
      <c r="E1803" s="2351">
        <f t="shared" si="403"/>
        <v>9357</v>
      </c>
      <c r="F1803" s="2351">
        <f t="shared" si="403"/>
        <v>6980</v>
      </c>
      <c r="G1803" s="2351">
        <f t="shared" si="403"/>
        <v>8376</v>
      </c>
      <c r="H1803" s="2351"/>
      <c r="I1803" s="2351">
        <f t="shared" si="403"/>
        <v>9214</v>
      </c>
      <c r="J1803" s="2351">
        <f>J1797+J1801</f>
        <v>51907.12999999999</v>
      </c>
      <c r="K1803" s="2333">
        <f t="shared" si="390"/>
        <v>51907.12999999999</v>
      </c>
      <c r="L1803" s="2351">
        <f t="shared" si="403"/>
        <v>9767</v>
      </c>
      <c r="M1803" s="2351">
        <f t="shared" si="403"/>
        <v>10353</v>
      </c>
    </row>
    <row r="1804" spans="1:13" x14ac:dyDescent="0.2">
      <c r="B1804" s="2330"/>
      <c r="C1804" s="2351"/>
      <c r="D1804" s="2351"/>
      <c r="E1804" s="2351"/>
      <c r="G1804" s="2332"/>
      <c r="H1804" s="2332"/>
      <c r="I1804" s="2332"/>
      <c r="J1804" s="2332"/>
      <c r="K1804" s="2333">
        <f t="shared" si="390"/>
        <v>0</v>
      </c>
      <c r="L1804" s="2351"/>
      <c r="M1804" s="2351"/>
    </row>
    <row r="1805" spans="1:13" x14ac:dyDescent="0.2">
      <c r="B1805" s="2330" t="s">
        <v>7209</v>
      </c>
      <c r="C1805" s="2375"/>
      <c r="D1805" s="2375"/>
      <c r="E1805" s="2375"/>
      <c r="G1805" s="2332"/>
      <c r="H1805" s="2332"/>
      <c r="I1805" s="2332"/>
      <c r="J1805" s="2332"/>
      <c r="K1805" s="2333">
        <f t="shared" si="390"/>
        <v>0</v>
      </c>
      <c r="L1805" s="2375"/>
      <c r="M1805" s="2375"/>
    </row>
    <row r="1806" spans="1:13" x14ac:dyDescent="0.2">
      <c r="B1806" s="2334" t="s">
        <v>7210</v>
      </c>
      <c r="C1806" s="2335">
        <v>0</v>
      </c>
      <c r="D1806" s="2335">
        <v>0</v>
      </c>
      <c r="E1806" s="2335">
        <v>0</v>
      </c>
      <c r="F1806" s="2335">
        <v>0</v>
      </c>
      <c r="G1806" s="2335">
        <f>F1806/$F$11*$G$11</f>
        <v>0</v>
      </c>
      <c r="H1806" s="2335"/>
      <c r="I1806" s="2335">
        <v>0</v>
      </c>
      <c r="J1806" s="2335">
        <v>0</v>
      </c>
      <c r="K1806" s="2336">
        <f t="shared" si="390"/>
        <v>0</v>
      </c>
      <c r="L1806" s="2335">
        <v>0</v>
      </c>
      <c r="M1806" s="2335">
        <v>0</v>
      </c>
    </row>
    <row r="1807" spans="1:13" x14ac:dyDescent="0.2">
      <c r="B1807" s="2330" t="s">
        <v>7211</v>
      </c>
      <c r="C1807" s="2376">
        <f t="shared" ref="C1807:M1807" si="404">SUM(C1806)</f>
        <v>0</v>
      </c>
      <c r="D1807" s="2376">
        <f t="shared" si="404"/>
        <v>0</v>
      </c>
      <c r="E1807" s="2376">
        <f t="shared" si="404"/>
        <v>0</v>
      </c>
      <c r="F1807" s="2376">
        <f t="shared" si="404"/>
        <v>0</v>
      </c>
      <c r="G1807" s="2376">
        <f t="shared" si="404"/>
        <v>0</v>
      </c>
      <c r="H1807" s="2376"/>
      <c r="I1807" s="2376">
        <f t="shared" si="404"/>
        <v>0</v>
      </c>
      <c r="J1807" s="2376">
        <v>0</v>
      </c>
      <c r="K1807" s="2333">
        <f t="shared" si="390"/>
        <v>0</v>
      </c>
      <c r="L1807" s="2376">
        <f t="shared" si="404"/>
        <v>0</v>
      </c>
      <c r="M1807" s="2376">
        <f t="shared" si="404"/>
        <v>0</v>
      </c>
    </row>
    <row r="1808" spans="1:13" x14ac:dyDescent="0.2">
      <c r="B1808" s="2330"/>
      <c r="C1808" s="2364"/>
      <c r="D1808" s="2364"/>
      <c r="E1808" s="2364"/>
      <c r="G1808" s="2332"/>
      <c r="H1808" s="2332"/>
      <c r="I1808" s="2332"/>
      <c r="J1808" s="2332"/>
      <c r="K1808" s="2333">
        <f t="shared" si="390"/>
        <v>0</v>
      </c>
      <c r="L1808" s="2364"/>
      <c r="M1808" s="2364"/>
    </row>
    <row r="1809" spans="1:13" ht="13.5" thickBot="1" x14ac:dyDescent="0.25">
      <c r="B1809" s="2342" t="s">
        <v>6751</v>
      </c>
      <c r="C1809" s="2343">
        <f t="shared" ref="C1809:M1809" si="405">C1803+C1807</f>
        <v>7093</v>
      </c>
      <c r="D1809" s="2343">
        <f t="shared" si="405"/>
        <v>9357</v>
      </c>
      <c r="E1809" s="2343">
        <f t="shared" si="405"/>
        <v>9357</v>
      </c>
      <c r="F1809" s="2343">
        <f t="shared" si="405"/>
        <v>6980</v>
      </c>
      <c r="G1809" s="2343">
        <f t="shared" si="405"/>
        <v>8376</v>
      </c>
      <c r="H1809" s="2343"/>
      <c r="I1809" s="2343">
        <f t="shared" si="405"/>
        <v>9214</v>
      </c>
      <c r="J1809" s="2343">
        <f>J1807+J1803</f>
        <v>51907.12999999999</v>
      </c>
      <c r="K1809" s="2344">
        <f t="shared" si="390"/>
        <v>51907.12999999999</v>
      </c>
      <c r="L1809" s="2343">
        <f t="shared" si="405"/>
        <v>9767</v>
      </c>
      <c r="M1809" s="2343">
        <f t="shared" si="405"/>
        <v>10353</v>
      </c>
    </row>
    <row r="1810" spans="1:13" ht="13.5" thickTop="1" x14ac:dyDescent="0.2">
      <c r="B1810" s="2346"/>
      <c r="C1810" s="2346"/>
      <c r="D1810" s="2346"/>
      <c r="E1810" s="2346"/>
      <c r="G1810" s="2332"/>
      <c r="H1810" s="2332"/>
      <c r="I1810" s="2332"/>
      <c r="J1810" s="2332">
        <f>J1809+[5]Sheet1!$K$1230+[5]Sheet1!$K$1238</f>
        <v>-3.1832314562052488E-12</v>
      </c>
      <c r="K1810" s="2333">
        <f t="shared" si="390"/>
        <v>-3.1832314562052488E-12</v>
      </c>
      <c r="L1810" s="2346"/>
      <c r="M1810" s="2346"/>
    </row>
    <row r="1811" spans="1:13" x14ac:dyDescent="0.2">
      <c r="B1811" s="2328" t="s">
        <v>235</v>
      </c>
      <c r="C1811" s="2328"/>
      <c r="D1811" s="2328"/>
      <c r="E1811" s="2328"/>
      <c r="G1811" s="2332"/>
      <c r="H1811" s="2332"/>
      <c r="I1811" s="2332"/>
      <c r="J1811" s="2332"/>
      <c r="K1811" s="2333">
        <f t="shared" si="390"/>
        <v>0</v>
      </c>
      <c r="L1811" s="2328"/>
      <c r="M1811" s="2328"/>
    </row>
    <row r="1812" spans="1:13" x14ac:dyDescent="0.2">
      <c r="B1812" s="2328"/>
      <c r="C1812" s="2328"/>
      <c r="D1812" s="2328"/>
      <c r="E1812" s="2328"/>
      <c r="G1812" s="2332"/>
      <c r="H1812" s="2332"/>
      <c r="I1812" s="2332"/>
      <c r="J1812" s="2332"/>
      <c r="K1812" s="2333">
        <f t="shared" si="390"/>
        <v>0</v>
      </c>
      <c r="L1812" s="2328"/>
      <c r="M1812" s="2328"/>
    </row>
    <row r="1813" spans="1:13" x14ac:dyDescent="0.2">
      <c r="B1813" s="2330" t="s">
        <v>387</v>
      </c>
      <c r="C1813" s="2332"/>
      <c r="D1813" s="2332"/>
      <c r="E1813" s="2332"/>
      <c r="G1813" s="2332"/>
      <c r="H1813" s="2332"/>
      <c r="I1813" s="2332"/>
      <c r="J1813" s="2332"/>
      <c r="K1813" s="2333">
        <f t="shared" ref="K1813:K1876" si="406">J1813</f>
        <v>0</v>
      </c>
      <c r="L1813" s="2332"/>
      <c r="M1813" s="2332"/>
    </row>
    <row r="1814" spans="1:13" x14ac:dyDescent="0.2">
      <c r="A1814" s="2353">
        <v>1001</v>
      </c>
      <c r="B1814" s="2258" t="s">
        <v>6943</v>
      </c>
      <c r="C1814" s="2332">
        <v>991901</v>
      </c>
      <c r="D1814" s="2332">
        <v>898577</v>
      </c>
      <c r="E1814" s="2332">
        <v>873072</v>
      </c>
      <c r="F1814" s="2332">
        <v>1043834</v>
      </c>
      <c r="G1814" s="2332">
        <f t="shared" ref="G1814:G1826" si="407">F1814/$F$11*$G$11</f>
        <v>1252600.7999999998</v>
      </c>
      <c r="H1814" s="2332"/>
      <c r="I1814" s="2332">
        <f>[6]Salary_Bdgt!$H$502</f>
        <v>969891</v>
      </c>
      <c r="J1814" s="2332">
        <f>[5]Sheet1!$K$1241</f>
        <v>1811043.35</v>
      </c>
      <c r="K1814" s="2333">
        <f t="shared" si="406"/>
        <v>1811043.35</v>
      </c>
      <c r="L1814" s="2332">
        <f t="shared" ref="L1814:L1826" si="408">ROUND(I1814*1.08,0)</f>
        <v>1047482</v>
      </c>
      <c r="M1814" s="2332">
        <f t="shared" ref="M1814:M1826" si="409">ROUND(L1814*1.08,0)</f>
        <v>1131281</v>
      </c>
    </row>
    <row r="1815" spans="1:13" x14ac:dyDescent="0.2">
      <c r="A1815" s="2353">
        <v>1005</v>
      </c>
      <c r="B1815" s="2258" t="s">
        <v>6944</v>
      </c>
      <c r="C1815" s="2332">
        <v>74850</v>
      </c>
      <c r="D1815" s="2332">
        <v>53793</v>
      </c>
      <c r="E1815" s="2332">
        <f>+D1815+25505</f>
        <v>79298</v>
      </c>
      <c r="F1815" s="2332">
        <v>83424</v>
      </c>
      <c r="G1815" s="2332">
        <f t="shared" si="407"/>
        <v>100108.79999999999</v>
      </c>
      <c r="H1815" s="2332"/>
      <c r="I1815" s="2332">
        <f>[6]Salary_Bdgt!$L$502</f>
        <v>69494</v>
      </c>
      <c r="J1815" s="2332">
        <f>[5]Sheet1!$K$1252</f>
        <v>124571.6</v>
      </c>
      <c r="K1815" s="2333">
        <f t="shared" si="406"/>
        <v>124571.6</v>
      </c>
      <c r="L1815" s="2332">
        <f t="shared" si="408"/>
        <v>75054</v>
      </c>
      <c r="M1815" s="2332">
        <f t="shared" si="409"/>
        <v>81058</v>
      </c>
    </row>
    <row r="1816" spans="1:13" x14ac:dyDescent="0.2">
      <c r="A1816" s="2353">
        <v>1006</v>
      </c>
      <c r="B1816" s="2258" t="s">
        <v>6945</v>
      </c>
      <c r="C1816" s="2332">
        <v>176884</v>
      </c>
      <c r="D1816" s="2332">
        <v>79705</v>
      </c>
      <c r="E1816" s="2332">
        <f>+D1816</f>
        <v>79705</v>
      </c>
      <c r="F1816" s="2332">
        <v>141982</v>
      </c>
      <c r="G1816" s="2332">
        <f t="shared" si="407"/>
        <v>170378.40000000002</v>
      </c>
      <c r="H1816" s="2332"/>
      <c r="I1816" s="2332">
        <f>[6]Salary_Bdgt!$N$502</f>
        <v>132163</v>
      </c>
      <c r="J1816" s="2332">
        <f>[5]Sheet1!$K$1253</f>
        <v>258217.02</v>
      </c>
      <c r="K1816" s="2333">
        <f t="shared" si="406"/>
        <v>258217.02</v>
      </c>
      <c r="L1816" s="2332">
        <f t="shared" si="408"/>
        <v>142736</v>
      </c>
      <c r="M1816" s="2332">
        <f t="shared" si="409"/>
        <v>154155</v>
      </c>
    </row>
    <row r="1817" spans="1:13" x14ac:dyDescent="0.2">
      <c r="A1817" s="2353">
        <v>1007</v>
      </c>
      <c r="B1817" s="2258" t="s">
        <v>6410</v>
      </c>
      <c r="C1817" s="2332">
        <v>10980</v>
      </c>
      <c r="D1817" s="2332">
        <v>16892</v>
      </c>
      <c r="E1817" s="2332">
        <f>+D1817</f>
        <v>16892</v>
      </c>
      <c r="F1817" s="2332">
        <v>9659</v>
      </c>
      <c r="G1817" s="2332">
        <f t="shared" si="407"/>
        <v>11590.8</v>
      </c>
      <c r="H1817" s="2332"/>
      <c r="I1817" s="2332">
        <f>[6]Salary_Bdgt!$I$502</f>
        <v>16405</v>
      </c>
      <c r="J1817" s="2332">
        <f>[5]Sheet1!$K$1254</f>
        <v>18683.38</v>
      </c>
      <c r="K1817" s="2333">
        <f t="shared" si="406"/>
        <v>18683.38</v>
      </c>
      <c r="L1817" s="2332">
        <f t="shared" si="408"/>
        <v>17717</v>
      </c>
      <c r="M1817" s="2332">
        <f t="shared" si="409"/>
        <v>19134</v>
      </c>
    </row>
    <row r="1818" spans="1:13" x14ac:dyDescent="0.2">
      <c r="A1818" s="2353">
        <v>1009</v>
      </c>
      <c r="B1818" s="2258" t="s">
        <v>6408</v>
      </c>
      <c r="C1818" s="2332">
        <v>773</v>
      </c>
      <c r="D1818" s="2332">
        <v>576</v>
      </c>
      <c r="E1818" s="2332">
        <f>+D1818</f>
        <v>576</v>
      </c>
      <c r="F1818" s="2332">
        <v>596</v>
      </c>
      <c r="G1818" s="2332">
        <f t="shared" si="407"/>
        <v>715.2</v>
      </c>
      <c r="H1818" s="2332"/>
      <c r="I1818" s="2332">
        <f>[6]Salary_Bdgt!$M$502</f>
        <v>495</v>
      </c>
      <c r="J1818" s="2332">
        <f>[5]Sheet1!$K$1249</f>
        <v>1246.4000000000001</v>
      </c>
      <c r="K1818" s="2333">
        <f t="shared" si="406"/>
        <v>1246.4000000000001</v>
      </c>
      <c r="L1818" s="2332">
        <f t="shared" si="408"/>
        <v>535</v>
      </c>
      <c r="M1818" s="2332">
        <f t="shared" si="409"/>
        <v>578</v>
      </c>
    </row>
    <row r="1819" spans="1:13" x14ac:dyDescent="0.2">
      <c r="A1819" s="2353">
        <v>1010</v>
      </c>
      <c r="B1819" s="2258" t="s">
        <v>6946</v>
      </c>
      <c r="C1819" s="2332">
        <v>70556</v>
      </c>
      <c r="D1819" s="2332">
        <v>74881</v>
      </c>
      <c r="E1819" s="2332">
        <f>+D1819</f>
        <v>74881</v>
      </c>
      <c r="F1819" s="2332">
        <v>52870</v>
      </c>
      <c r="G1819" s="2332">
        <f t="shared" si="407"/>
        <v>63444</v>
      </c>
      <c r="H1819" s="2332"/>
      <c r="I1819" s="2332">
        <f>[6]Salary_Bdgt!$Q$502</f>
        <v>80824</v>
      </c>
      <c r="J1819" s="2332">
        <f>[5]Sheet1!$K$1242</f>
        <v>52530.92</v>
      </c>
      <c r="K1819" s="2333">
        <f t="shared" si="406"/>
        <v>52530.92</v>
      </c>
      <c r="L1819" s="2332">
        <f t="shared" si="408"/>
        <v>87290</v>
      </c>
      <c r="M1819" s="2332">
        <f t="shared" si="409"/>
        <v>94273</v>
      </c>
    </row>
    <row r="1820" spans="1:13" x14ac:dyDescent="0.2">
      <c r="A1820" s="2353">
        <v>1011</v>
      </c>
      <c r="B1820" s="2258" t="s">
        <v>6947</v>
      </c>
      <c r="C1820" s="2332">
        <v>2800</v>
      </c>
      <c r="D1820" s="2332">
        <v>0</v>
      </c>
      <c r="E1820" s="2332">
        <v>0</v>
      </c>
      <c r="F1820" s="2332">
        <v>0</v>
      </c>
      <c r="G1820" s="2332">
        <f t="shared" si="407"/>
        <v>0</v>
      </c>
      <c r="H1820" s="2332"/>
      <c r="I1820" s="2332">
        <f>[6]Salary_Bdgt!$U$502</f>
        <v>0</v>
      </c>
      <c r="J1820" s="2332">
        <v>0</v>
      </c>
      <c r="K1820" s="2333">
        <f t="shared" si="406"/>
        <v>0</v>
      </c>
      <c r="L1820" s="2332">
        <f t="shared" si="408"/>
        <v>0</v>
      </c>
      <c r="M1820" s="2332">
        <f t="shared" si="409"/>
        <v>0</v>
      </c>
    </row>
    <row r="1821" spans="1:13" x14ac:dyDescent="0.2">
      <c r="A1821" s="2353">
        <v>1014</v>
      </c>
      <c r="B1821" s="2258" t="s">
        <v>6632</v>
      </c>
      <c r="C1821" s="2332">
        <v>10917</v>
      </c>
      <c r="D1821" s="2332">
        <v>16024</v>
      </c>
      <c r="E1821" s="2332">
        <f t="shared" ref="E1821:E1826" si="410">+D1821</f>
        <v>16024</v>
      </c>
      <c r="F1821" s="2332">
        <v>5705</v>
      </c>
      <c r="G1821" s="2332">
        <f t="shared" si="407"/>
        <v>6846</v>
      </c>
      <c r="H1821" s="2332"/>
      <c r="I1821" s="2332">
        <f>[6]Salary_Bdgt!$S$502</f>
        <v>6402</v>
      </c>
      <c r="J1821" s="2332">
        <f>[5]Sheet1!$K$1245</f>
        <v>7028</v>
      </c>
      <c r="K1821" s="2333">
        <f t="shared" si="406"/>
        <v>7028</v>
      </c>
      <c r="L1821" s="2332">
        <f t="shared" si="408"/>
        <v>6914</v>
      </c>
      <c r="M1821" s="2332">
        <f t="shared" si="409"/>
        <v>7467</v>
      </c>
    </row>
    <row r="1822" spans="1:13" x14ac:dyDescent="0.2">
      <c r="A1822" s="2353">
        <v>1015</v>
      </c>
      <c r="B1822" s="2258" t="s">
        <v>6948</v>
      </c>
      <c r="C1822" s="2332">
        <v>69282</v>
      </c>
      <c r="D1822" s="2332">
        <v>44304</v>
      </c>
      <c r="E1822" s="2332">
        <f t="shared" si="410"/>
        <v>44304</v>
      </c>
      <c r="F1822" s="2332">
        <v>19879</v>
      </c>
      <c r="G1822" s="2332">
        <f t="shared" si="407"/>
        <v>23854.800000000003</v>
      </c>
      <c r="H1822" s="2332"/>
      <c r="I1822" s="2332">
        <f>[6]Salary_Bdgt!$O$502+[6]Salary_Bdgt!$P$502+[6]Salary_Bdgt!$W$502</f>
        <v>23320</v>
      </c>
      <c r="J1822" s="2332">
        <f>[5]Sheet1!$K$1246</f>
        <v>57183.96</v>
      </c>
      <c r="K1822" s="2333">
        <f t="shared" si="406"/>
        <v>57183.96</v>
      </c>
      <c r="L1822" s="2332">
        <f t="shared" si="408"/>
        <v>25186</v>
      </c>
      <c r="M1822" s="2332">
        <f t="shared" si="409"/>
        <v>27201</v>
      </c>
    </row>
    <row r="1823" spans="1:13" x14ac:dyDescent="0.2">
      <c r="A1823" s="2353">
        <v>1016</v>
      </c>
      <c r="B1823" s="2258" t="s">
        <v>6949</v>
      </c>
      <c r="C1823" s="2332">
        <v>0</v>
      </c>
      <c r="D1823" s="2332">
        <v>11663</v>
      </c>
      <c r="E1823" s="2332">
        <f t="shared" si="410"/>
        <v>11663</v>
      </c>
      <c r="F1823" s="2332">
        <f>1670+24358</f>
        <v>26028</v>
      </c>
      <c r="G1823" s="2332">
        <f t="shared" si="407"/>
        <v>31233.600000000002</v>
      </c>
      <c r="H1823" s="2332"/>
      <c r="I1823" s="2332">
        <f>[6]Salary_Bdgt!$T$502+[6]Salary_Bdgt!$V$502</f>
        <v>9444</v>
      </c>
      <c r="J1823" s="2332">
        <f>[5]Sheet1!$K$1247</f>
        <v>20974.46</v>
      </c>
      <c r="K1823" s="2333">
        <f t="shared" si="406"/>
        <v>20974.46</v>
      </c>
      <c r="L1823" s="2332">
        <f t="shared" si="408"/>
        <v>10200</v>
      </c>
      <c r="M1823" s="2332">
        <f t="shared" si="409"/>
        <v>11016</v>
      </c>
    </row>
    <row r="1824" spans="1:13" x14ac:dyDescent="0.2">
      <c r="A1824" s="2353">
        <v>1017</v>
      </c>
      <c r="B1824" s="2258" t="s">
        <v>6950</v>
      </c>
      <c r="C1824" s="2332">
        <v>12733</v>
      </c>
      <c r="D1824" s="2332">
        <v>18487</v>
      </c>
      <c r="E1824" s="2332">
        <f t="shared" si="410"/>
        <v>18487</v>
      </c>
      <c r="F1824" s="2332">
        <v>4751</v>
      </c>
      <c r="G1824" s="2332">
        <f t="shared" si="407"/>
        <v>5701.2000000000007</v>
      </c>
      <c r="H1824" s="2332"/>
      <c r="I1824" s="2332">
        <f>[6]Salary_Bdgt!$J$502</f>
        <v>19753</v>
      </c>
      <c r="J1824" s="2332">
        <f>[5]Sheet1!$K$1250</f>
        <v>17596.72</v>
      </c>
      <c r="K1824" s="2333">
        <f t="shared" si="406"/>
        <v>17596.72</v>
      </c>
      <c r="L1824" s="2332">
        <f t="shared" si="408"/>
        <v>21333</v>
      </c>
      <c r="M1824" s="2332">
        <f t="shared" si="409"/>
        <v>23040</v>
      </c>
    </row>
    <row r="1825" spans="1:13" x14ac:dyDescent="0.2">
      <c r="A1825" s="2353">
        <v>1046</v>
      </c>
      <c r="B1825" s="2258" t="s">
        <v>6951</v>
      </c>
      <c r="C1825" s="2332">
        <v>2650</v>
      </c>
      <c r="D1825" s="2332">
        <v>0</v>
      </c>
      <c r="E1825" s="2332">
        <f t="shared" si="410"/>
        <v>0</v>
      </c>
      <c r="F1825" s="2332">
        <v>0</v>
      </c>
      <c r="G1825" s="2332">
        <f t="shared" si="407"/>
        <v>0</v>
      </c>
      <c r="H1825" s="2332"/>
      <c r="I1825" s="2332">
        <f>[6]Salary_Bdgt!$R$502</f>
        <v>0</v>
      </c>
      <c r="J1825" s="2332">
        <f>[5]Sheet1!$I$1248</f>
        <v>0</v>
      </c>
      <c r="K1825" s="2333">
        <f t="shared" si="406"/>
        <v>0</v>
      </c>
      <c r="L1825" s="2332">
        <f t="shared" si="408"/>
        <v>0</v>
      </c>
      <c r="M1825" s="2332">
        <f t="shared" si="409"/>
        <v>0</v>
      </c>
    </row>
    <row r="1826" spans="1:13" x14ac:dyDescent="0.2">
      <c r="A1826" s="2353">
        <v>1182</v>
      </c>
      <c r="B1826" s="2334" t="s">
        <v>6952</v>
      </c>
      <c r="C1826" s="2335">
        <v>10124</v>
      </c>
      <c r="D1826" s="2335">
        <v>17193</v>
      </c>
      <c r="E1826" s="2335">
        <f t="shared" si="410"/>
        <v>17193</v>
      </c>
      <c r="F1826" s="2335">
        <v>0</v>
      </c>
      <c r="G1826" s="2335">
        <f t="shared" si="407"/>
        <v>0</v>
      </c>
      <c r="H1826" s="2335"/>
      <c r="I1826" s="2335">
        <f>[6]Salary_Bdgt!$K$502</f>
        <v>18370</v>
      </c>
      <c r="J1826" s="2335">
        <f>[5]Sheet1!$K$1251</f>
        <v>6267.56</v>
      </c>
      <c r="K1826" s="2336">
        <f t="shared" si="406"/>
        <v>6267.56</v>
      </c>
      <c r="L1826" s="2335">
        <f t="shared" si="408"/>
        <v>19840</v>
      </c>
      <c r="M1826" s="2335">
        <f t="shared" si="409"/>
        <v>21427</v>
      </c>
    </row>
    <row r="1827" spans="1:13" x14ac:dyDescent="0.2">
      <c r="B1827" s="2330" t="s">
        <v>6588</v>
      </c>
      <c r="C1827" s="2349">
        <f t="shared" ref="C1827:M1827" si="411">SUM(C1814:C1826)</f>
        <v>1434450</v>
      </c>
      <c r="D1827" s="2349">
        <f t="shared" si="411"/>
        <v>1232095</v>
      </c>
      <c r="E1827" s="2349">
        <f t="shared" si="411"/>
        <v>1232095</v>
      </c>
      <c r="F1827" s="2349">
        <f t="shared" si="411"/>
        <v>1388728</v>
      </c>
      <c r="G1827" s="2349">
        <f t="shared" si="411"/>
        <v>1666473.6</v>
      </c>
      <c r="H1827" s="2349"/>
      <c r="I1827" s="2349">
        <f t="shared" si="411"/>
        <v>1346561</v>
      </c>
      <c r="J1827" s="2349">
        <f>SUM(J1814:J1826)</f>
        <v>2375343.37</v>
      </c>
      <c r="K1827" s="2333">
        <f t="shared" si="406"/>
        <v>2375343.37</v>
      </c>
      <c r="L1827" s="2349">
        <f t="shared" si="411"/>
        <v>1454287</v>
      </c>
      <c r="M1827" s="2349">
        <f t="shared" si="411"/>
        <v>1570630</v>
      </c>
    </row>
    <row r="1828" spans="1:13" x14ac:dyDescent="0.2">
      <c r="B1828" s="2330"/>
      <c r="C1828" s="2332"/>
      <c r="D1828" s="2332"/>
      <c r="E1828" s="2332"/>
      <c r="G1828" s="2332"/>
      <c r="H1828" s="2332"/>
      <c r="I1828" s="2332"/>
      <c r="J1828" s="2332">
        <f>J1827-[5]Sheet1!$K$1255</f>
        <v>0</v>
      </c>
      <c r="K1828" s="2333">
        <f t="shared" si="406"/>
        <v>0</v>
      </c>
      <c r="L1828" s="2332"/>
      <c r="M1828" s="2332"/>
    </row>
    <row r="1829" spans="1:13" x14ac:dyDescent="0.2">
      <c r="B1829" s="2330" t="s">
        <v>7040</v>
      </c>
      <c r="C1829" s="2332"/>
      <c r="D1829" s="2332"/>
      <c r="E1829" s="2332"/>
      <c r="G1829" s="2332"/>
      <c r="H1829" s="2332"/>
      <c r="I1829" s="2332"/>
      <c r="J1829" s="2332"/>
      <c r="K1829" s="2333">
        <f t="shared" si="406"/>
        <v>0</v>
      </c>
      <c r="L1829" s="2332"/>
      <c r="M1829" s="2332"/>
    </row>
    <row r="1830" spans="1:13" x14ac:dyDescent="0.2">
      <c r="A1830" s="2353"/>
      <c r="B1830" s="2334" t="s">
        <v>6404</v>
      </c>
      <c r="C1830" s="2335">
        <v>0</v>
      </c>
      <c r="D1830" s="2335">
        <v>0</v>
      </c>
      <c r="E1830" s="2335">
        <v>0</v>
      </c>
      <c r="F1830" s="2335">
        <v>0</v>
      </c>
      <c r="G1830" s="2335">
        <f>F1830/$F$11*$G$11</f>
        <v>0</v>
      </c>
      <c r="H1830" s="2335"/>
      <c r="I1830" s="2335">
        <v>4676174</v>
      </c>
      <c r="J1830" s="2335">
        <f>[5]Sheet1!$K$1262</f>
        <v>4676174</v>
      </c>
      <c r="K1830" s="2336">
        <f t="shared" si="406"/>
        <v>4676174</v>
      </c>
      <c r="L1830" s="2335">
        <v>5300401</v>
      </c>
      <c r="M1830" s="2335">
        <v>5262095</v>
      </c>
    </row>
    <row r="1831" spans="1:13" x14ac:dyDescent="0.2">
      <c r="B1831" s="2330" t="s">
        <v>7041</v>
      </c>
      <c r="C1831" s="2349">
        <f t="shared" ref="C1831:M1831" si="412">SUM(C1830)</f>
        <v>0</v>
      </c>
      <c r="D1831" s="2349">
        <f t="shared" si="412"/>
        <v>0</v>
      </c>
      <c r="E1831" s="2349">
        <f t="shared" si="412"/>
        <v>0</v>
      </c>
      <c r="F1831" s="2349">
        <f t="shared" si="412"/>
        <v>0</v>
      </c>
      <c r="G1831" s="2349">
        <f t="shared" si="412"/>
        <v>0</v>
      </c>
      <c r="H1831" s="2349"/>
      <c r="I1831" s="2349">
        <f t="shared" si="412"/>
        <v>4676174</v>
      </c>
      <c r="J1831" s="2349">
        <f>J1830</f>
        <v>4676174</v>
      </c>
      <c r="K1831" s="2333">
        <f t="shared" si="406"/>
        <v>4676174</v>
      </c>
      <c r="L1831" s="2349">
        <f t="shared" si="412"/>
        <v>5300401</v>
      </c>
      <c r="M1831" s="2349">
        <f t="shared" si="412"/>
        <v>5262095</v>
      </c>
    </row>
    <row r="1832" spans="1:13" x14ac:dyDescent="0.2">
      <c r="B1832" s="2330"/>
      <c r="C1832" s="2332"/>
      <c r="D1832" s="2332"/>
      <c r="E1832" s="2332"/>
      <c r="F1832" s="2309"/>
      <c r="G1832" s="2332"/>
      <c r="H1832" s="2332"/>
      <c r="I1832" s="2332"/>
      <c r="J1832" s="2332">
        <f>J1831-[5]Sheet1!$K$1265</f>
        <v>0</v>
      </c>
      <c r="K1832" s="2333">
        <f t="shared" si="406"/>
        <v>0</v>
      </c>
      <c r="L1832" s="2332"/>
      <c r="M1832" s="2332"/>
    </row>
    <row r="1833" spans="1:13" x14ac:dyDescent="0.2">
      <c r="B1833" s="2330" t="s">
        <v>6953</v>
      </c>
      <c r="C1833" s="2332"/>
      <c r="D1833" s="2332"/>
      <c r="E1833" s="2332"/>
      <c r="F1833" s="2309"/>
      <c r="G1833" s="2332"/>
      <c r="H1833" s="2332"/>
      <c r="I1833" s="2332"/>
      <c r="J1833" s="2332"/>
      <c r="K1833" s="2333">
        <f t="shared" si="406"/>
        <v>0</v>
      </c>
      <c r="L1833" s="2332"/>
      <c r="M1833" s="2332"/>
    </row>
    <row r="1834" spans="1:13" x14ac:dyDescent="0.2">
      <c r="A1834" s="2329">
        <v>3205</v>
      </c>
      <c r="B1834" s="2258" t="s">
        <v>200</v>
      </c>
      <c r="C1834" s="2332">
        <v>0</v>
      </c>
      <c r="D1834" s="2332">
        <v>0</v>
      </c>
      <c r="E1834" s="2332">
        <v>0</v>
      </c>
      <c r="F1834" s="2332">
        <v>0</v>
      </c>
      <c r="G1834" s="2332">
        <f>F1834/$F$11*$G$11</f>
        <v>0</v>
      </c>
      <c r="H1834" s="2332"/>
      <c r="I1834" s="2332">
        <f>ROUND(E1834*1.05,0)</f>
        <v>0</v>
      </c>
      <c r="J1834" s="2332">
        <v>0</v>
      </c>
      <c r="K1834" s="2333">
        <f t="shared" si="406"/>
        <v>0</v>
      </c>
      <c r="L1834" s="2332">
        <f>ROUND(I1834*1.06,0)</f>
        <v>0</v>
      </c>
      <c r="M1834" s="2332">
        <f>ROUND(L1834*1.06,0)</f>
        <v>0</v>
      </c>
    </row>
    <row r="1835" spans="1:13" x14ac:dyDescent="0.2">
      <c r="A1835" s="2353">
        <v>3206</v>
      </c>
      <c r="B1835" s="2258" t="s">
        <v>7164</v>
      </c>
      <c r="C1835" s="2332">
        <v>394</v>
      </c>
      <c r="D1835" s="2332">
        <v>0</v>
      </c>
      <c r="E1835" s="2332">
        <v>0</v>
      </c>
      <c r="F1835" s="2332">
        <v>0</v>
      </c>
      <c r="G1835" s="2332">
        <f>F1835/$F$11*$G$11</f>
        <v>0</v>
      </c>
      <c r="H1835" s="2332"/>
      <c r="I1835" s="2332">
        <f>ROUND(E1835*1.05,0)</f>
        <v>0</v>
      </c>
      <c r="J1835" s="2332">
        <v>0</v>
      </c>
      <c r="K1835" s="2333">
        <f t="shared" si="406"/>
        <v>0</v>
      </c>
      <c r="L1835" s="2332">
        <f>ROUND(I1835*1.06,0)</f>
        <v>0</v>
      </c>
      <c r="M1835" s="2332">
        <f>ROUND(L1835*1.06,0)</f>
        <v>0</v>
      </c>
    </row>
    <row r="1836" spans="1:13" x14ac:dyDescent="0.2">
      <c r="A1836" s="2353">
        <v>3213</v>
      </c>
      <c r="B1836" s="2258" t="s">
        <v>7219</v>
      </c>
      <c r="C1836" s="2332">
        <v>8908</v>
      </c>
      <c r="D1836" s="2332">
        <v>500000</v>
      </c>
      <c r="E1836" s="2332">
        <f>500000-46308-153692</f>
        <v>300000</v>
      </c>
      <c r="F1836" s="2332">
        <v>1811</v>
      </c>
      <c r="G1836" s="2332">
        <f>F1836/$F$11*$G$11</f>
        <v>2173.1999999999998</v>
      </c>
      <c r="H1836" s="2332"/>
      <c r="I1836" s="2332">
        <v>0</v>
      </c>
      <c r="J1836" s="2332">
        <v>0</v>
      </c>
      <c r="K1836" s="2333">
        <f t="shared" si="406"/>
        <v>0</v>
      </c>
      <c r="L1836" s="2332">
        <f>ROUND(I1836*1.06,0)</f>
        <v>0</v>
      </c>
      <c r="M1836" s="2332">
        <f>ROUND(L1836*1.06,0)</f>
        <v>0</v>
      </c>
    </row>
    <row r="1837" spans="1:13" x14ac:dyDescent="0.2">
      <c r="A1837" s="2329">
        <v>3215</v>
      </c>
      <c r="B1837" s="2334" t="s">
        <v>6955</v>
      </c>
      <c r="C1837" s="2335">
        <v>65366</v>
      </c>
      <c r="D1837" s="2335">
        <v>63000</v>
      </c>
      <c r="E1837" s="2335">
        <f>63000+46308</f>
        <v>109308</v>
      </c>
      <c r="F1837" s="2335">
        <f>110433+808684</f>
        <v>919117</v>
      </c>
      <c r="G1837" s="2335">
        <f>F1837/$F$11*$G$11</f>
        <v>1102940.3999999999</v>
      </c>
      <c r="H1837" s="2335"/>
      <c r="I1837" s="2335">
        <v>0</v>
      </c>
      <c r="J1837" s="2335">
        <v>0</v>
      </c>
      <c r="K1837" s="2336">
        <f t="shared" si="406"/>
        <v>0</v>
      </c>
      <c r="L1837" s="2335">
        <f>ROUND(I1837*1.06,0)</f>
        <v>0</v>
      </c>
      <c r="M1837" s="2335">
        <f>ROUND(L1837*1.06,0)</f>
        <v>0</v>
      </c>
    </row>
    <row r="1838" spans="1:13" x14ac:dyDescent="0.2">
      <c r="B1838" s="2330" t="s">
        <v>6956</v>
      </c>
      <c r="C1838" s="2349">
        <f>SUM(C1834:C1837)</f>
        <v>74668</v>
      </c>
      <c r="D1838" s="2349">
        <f t="shared" ref="D1838:M1838" si="413">SUM(D1834:D1837)</f>
        <v>563000</v>
      </c>
      <c r="E1838" s="2349">
        <f t="shared" si="413"/>
        <v>409308</v>
      </c>
      <c r="F1838" s="2349">
        <f t="shared" si="413"/>
        <v>920928</v>
      </c>
      <c r="G1838" s="2349">
        <f t="shared" si="413"/>
        <v>1105113.5999999999</v>
      </c>
      <c r="H1838" s="2349"/>
      <c r="I1838" s="2349">
        <f t="shared" si="413"/>
        <v>0</v>
      </c>
      <c r="J1838" s="2349">
        <f>J1837</f>
        <v>0</v>
      </c>
      <c r="K1838" s="2333">
        <f t="shared" si="406"/>
        <v>0</v>
      </c>
      <c r="L1838" s="2349">
        <f t="shared" si="413"/>
        <v>0</v>
      </c>
      <c r="M1838" s="2349">
        <f t="shared" si="413"/>
        <v>0</v>
      </c>
    </row>
    <row r="1839" spans="1:13" x14ac:dyDescent="0.2">
      <c r="B1839" s="2330"/>
      <c r="C1839" s="2332"/>
      <c r="D1839" s="2332"/>
      <c r="E1839" s="2332"/>
      <c r="G1839" s="2332"/>
      <c r="H1839" s="2332"/>
      <c r="I1839" s="2332"/>
      <c r="J1839" s="2332"/>
      <c r="K1839" s="2333">
        <f t="shared" si="406"/>
        <v>0</v>
      </c>
      <c r="L1839" s="2332"/>
      <c r="M1839" s="2332"/>
    </row>
    <row r="1840" spans="1:13" x14ac:dyDescent="0.2">
      <c r="B1840" s="2330" t="s">
        <v>6599</v>
      </c>
      <c r="C1840" s="2332"/>
      <c r="D1840" s="2332"/>
      <c r="E1840" s="2332"/>
      <c r="G1840" s="2332"/>
      <c r="H1840" s="2332"/>
      <c r="I1840" s="2332"/>
      <c r="J1840" s="2332"/>
      <c r="K1840" s="2333">
        <f t="shared" si="406"/>
        <v>0</v>
      </c>
      <c r="L1840" s="2332"/>
      <c r="M1840" s="2332"/>
    </row>
    <row r="1841" spans="1:13" x14ac:dyDescent="0.2">
      <c r="A1841" s="2329">
        <v>2081</v>
      </c>
      <c r="B1841" s="2258" t="s">
        <v>7133</v>
      </c>
      <c r="C1841" s="2332">
        <v>0</v>
      </c>
      <c r="D1841" s="2332">
        <v>5500</v>
      </c>
      <c r="E1841" s="2332">
        <v>5500</v>
      </c>
      <c r="F1841" s="2332">
        <v>0</v>
      </c>
      <c r="G1841" s="2332">
        <f>F1841/$F$11*$G$11</f>
        <v>0</v>
      </c>
      <c r="H1841" s="2332"/>
      <c r="I1841" s="2332">
        <f>ROUND(E1841*1.05,0)</f>
        <v>5775</v>
      </c>
      <c r="J1841" s="2332">
        <f>[5]Sheet1!$K$1268</f>
        <v>1971.55</v>
      </c>
      <c r="K1841" s="2333">
        <f t="shared" si="406"/>
        <v>1971.55</v>
      </c>
      <c r="L1841" s="2332">
        <f t="shared" ref="L1841:L1852" si="414">ROUND(I1841*1.06,0)</f>
        <v>6122</v>
      </c>
      <c r="M1841" s="2332">
        <f t="shared" ref="M1841:M1852" si="415">ROUND(L1841*1.06,0)</f>
        <v>6489</v>
      </c>
    </row>
    <row r="1842" spans="1:13" x14ac:dyDescent="0.2">
      <c r="A1842" s="2329">
        <v>2113</v>
      </c>
      <c r="B1842" s="2258" t="s">
        <v>6958</v>
      </c>
      <c r="C1842" s="2332">
        <v>0</v>
      </c>
      <c r="D1842" s="2332">
        <v>5250</v>
      </c>
      <c r="E1842" s="2332">
        <v>5250</v>
      </c>
      <c r="F1842" s="2332">
        <v>0</v>
      </c>
      <c r="G1842" s="2332">
        <f>F1842/$F$11*$G$11</f>
        <v>0</v>
      </c>
      <c r="H1842" s="2332"/>
      <c r="I1842" s="2332">
        <f>ROUND(E1842*1.05,0)</f>
        <v>5513</v>
      </c>
      <c r="J1842" s="2332">
        <f>[5]Sheet1!$K$1269</f>
        <v>442.98</v>
      </c>
      <c r="K1842" s="2333">
        <f t="shared" si="406"/>
        <v>442.98</v>
      </c>
      <c r="L1842" s="2332">
        <f t="shared" si="414"/>
        <v>5844</v>
      </c>
      <c r="M1842" s="2332">
        <f t="shared" si="415"/>
        <v>6195</v>
      </c>
    </row>
    <row r="1843" spans="1:13" x14ac:dyDescent="0.2">
      <c r="A1843" s="2329">
        <v>2221</v>
      </c>
      <c r="B1843" s="2258" t="s">
        <v>7044</v>
      </c>
      <c r="C1843" s="2332">
        <v>23772</v>
      </c>
      <c r="D1843" s="2332">
        <v>0</v>
      </c>
      <c r="E1843" s="2332">
        <v>0</v>
      </c>
      <c r="F1843" s="2332">
        <v>0</v>
      </c>
      <c r="G1843" s="2332">
        <v>0</v>
      </c>
      <c r="H1843" s="2332"/>
      <c r="I1843" s="2332">
        <f>ROUND(C1843*1.05,0)</f>
        <v>24961</v>
      </c>
      <c r="J1843" s="2332">
        <f>[5]Sheet1!$K$1273</f>
        <v>912</v>
      </c>
      <c r="K1843" s="2333">
        <f t="shared" si="406"/>
        <v>912</v>
      </c>
      <c r="L1843" s="2332">
        <f t="shared" si="414"/>
        <v>26459</v>
      </c>
      <c r="M1843" s="2332">
        <f t="shared" si="415"/>
        <v>28047</v>
      </c>
    </row>
    <row r="1844" spans="1:13" x14ac:dyDescent="0.2">
      <c r="A1844" s="2353">
        <v>2224</v>
      </c>
      <c r="B1844" s="2258" t="s">
        <v>6964</v>
      </c>
      <c r="C1844" s="2332">
        <v>4239</v>
      </c>
      <c r="D1844" s="2332">
        <v>19908</v>
      </c>
      <c r="E1844" s="2332">
        <v>19908</v>
      </c>
      <c r="F1844" s="2332">
        <v>11190</v>
      </c>
      <c r="G1844" s="2332">
        <f t="shared" ref="G1844:G1852" si="416">F1844/$F$11*$G$11</f>
        <v>13428</v>
      </c>
      <c r="H1844" s="2332"/>
      <c r="I1844" s="2332">
        <f>ROUND(E1844*1.05,0)</f>
        <v>20903</v>
      </c>
      <c r="J1844" s="2332">
        <f>[5]Sheet1!$K$1274</f>
        <v>4320</v>
      </c>
      <c r="K1844" s="2333">
        <f t="shared" si="406"/>
        <v>4320</v>
      </c>
      <c r="L1844" s="2332">
        <f t="shared" si="414"/>
        <v>22157</v>
      </c>
      <c r="M1844" s="2332">
        <f t="shared" si="415"/>
        <v>23486</v>
      </c>
    </row>
    <row r="1845" spans="1:13" x14ac:dyDescent="0.2">
      <c r="A1845" s="2353">
        <v>2227</v>
      </c>
      <c r="B1845" s="2258" t="s">
        <v>231</v>
      </c>
      <c r="C1845" s="2332">
        <v>1736</v>
      </c>
      <c r="D1845" s="2332">
        <v>10500</v>
      </c>
      <c r="E1845" s="2332">
        <v>10500</v>
      </c>
      <c r="F1845" s="2332">
        <v>2506</v>
      </c>
      <c r="G1845" s="2332">
        <f t="shared" si="416"/>
        <v>3007.2</v>
      </c>
      <c r="H1845" s="2332"/>
      <c r="I1845" s="2332">
        <f>ROUND(E1845*1.05,0)</f>
        <v>11025</v>
      </c>
      <c r="J1845" s="2332">
        <f>[5]Sheet1!$K$1276</f>
        <v>16550.080000000002</v>
      </c>
      <c r="K1845" s="2333">
        <f t="shared" si="406"/>
        <v>16550.080000000002</v>
      </c>
      <c r="L1845" s="2332">
        <f t="shared" si="414"/>
        <v>11687</v>
      </c>
      <c r="M1845" s="2332">
        <f t="shared" si="415"/>
        <v>12388</v>
      </c>
    </row>
    <row r="1846" spans="1:13" x14ac:dyDescent="0.2">
      <c r="A1846" s="2329">
        <v>2233</v>
      </c>
      <c r="B1846" s="2258" t="s">
        <v>6966</v>
      </c>
      <c r="C1846" s="2332">
        <v>0</v>
      </c>
      <c r="D1846" s="2332">
        <v>21000</v>
      </c>
      <c r="E1846" s="2332">
        <v>21000</v>
      </c>
      <c r="F1846" s="2332">
        <v>0</v>
      </c>
      <c r="G1846" s="2332">
        <f t="shared" si="416"/>
        <v>0</v>
      </c>
      <c r="H1846" s="2332"/>
      <c r="I1846" s="2332">
        <v>0</v>
      </c>
      <c r="J1846" s="2332">
        <v>0</v>
      </c>
      <c r="K1846" s="2333">
        <f t="shared" si="406"/>
        <v>0</v>
      </c>
      <c r="L1846" s="2332">
        <f t="shared" si="414"/>
        <v>0</v>
      </c>
      <c r="M1846" s="2332">
        <f t="shared" si="415"/>
        <v>0</v>
      </c>
    </row>
    <row r="1847" spans="1:13" x14ac:dyDescent="0.2">
      <c r="A1847" s="2353">
        <v>2238</v>
      </c>
      <c r="B1847" s="2258" t="s">
        <v>6967</v>
      </c>
      <c r="C1847" s="2332">
        <v>18786</v>
      </c>
      <c r="D1847" s="2332">
        <v>42000</v>
      </c>
      <c r="E1847" s="2332">
        <v>42000</v>
      </c>
      <c r="F1847" s="2332">
        <v>1120</v>
      </c>
      <c r="G1847" s="2332">
        <f t="shared" si="416"/>
        <v>1344</v>
      </c>
      <c r="H1847" s="2332"/>
      <c r="I1847" s="2332">
        <f t="shared" ref="I1847:I1852" si="417">ROUND(E1847*1.05,0)</f>
        <v>44100</v>
      </c>
      <c r="J1847" s="2332">
        <f>[5]Sheet1!$K$1278</f>
        <v>17525.2</v>
      </c>
      <c r="K1847" s="2333">
        <f t="shared" si="406"/>
        <v>17525.2</v>
      </c>
      <c r="L1847" s="2332">
        <f t="shared" si="414"/>
        <v>46746</v>
      </c>
      <c r="M1847" s="2332">
        <f t="shared" si="415"/>
        <v>49551</v>
      </c>
    </row>
    <row r="1848" spans="1:13" x14ac:dyDescent="0.2">
      <c r="A1848" s="2329">
        <v>2246</v>
      </c>
      <c r="B1848" s="2258" t="s">
        <v>6968</v>
      </c>
      <c r="C1848" s="2332">
        <v>50984</v>
      </c>
      <c r="D1848" s="2332">
        <v>68250</v>
      </c>
      <c r="E1848" s="2332">
        <v>68250</v>
      </c>
      <c r="F1848" s="2332">
        <v>58044</v>
      </c>
      <c r="G1848" s="2332">
        <f t="shared" si="416"/>
        <v>69652.799999999988</v>
      </c>
      <c r="H1848" s="2332"/>
      <c r="I1848" s="2332">
        <f t="shared" si="417"/>
        <v>71663</v>
      </c>
      <c r="J1848" s="2332">
        <f>[5]Sheet1!$K$1280</f>
        <v>78903.199999999997</v>
      </c>
      <c r="K1848" s="2333">
        <f t="shared" si="406"/>
        <v>78903.199999999997</v>
      </c>
      <c r="L1848" s="2332">
        <f t="shared" si="414"/>
        <v>75963</v>
      </c>
      <c r="M1848" s="2332">
        <f t="shared" si="415"/>
        <v>80521</v>
      </c>
    </row>
    <row r="1849" spans="1:13" x14ac:dyDescent="0.2">
      <c r="A1849" s="2353">
        <v>2249</v>
      </c>
      <c r="B1849" s="2258" t="s">
        <v>7168</v>
      </c>
      <c r="C1849" s="2332">
        <v>18882</v>
      </c>
      <c r="D1849" s="2332">
        <v>70000</v>
      </c>
      <c r="E1849" s="2332">
        <v>70000</v>
      </c>
      <c r="F1849" s="2332">
        <v>52327</v>
      </c>
      <c r="G1849" s="2332">
        <f t="shared" si="416"/>
        <v>62792.399999999994</v>
      </c>
      <c r="H1849" s="2332"/>
      <c r="I1849" s="2332">
        <f t="shared" si="417"/>
        <v>73500</v>
      </c>
      <c r="J1849" s="2332">
        <f>[5]Sheet1!$K$1281</f>
        <v>3023.6</v>
      </c>
      <c r="K1849" s="2333">
        <f t="shared" si="406"/>
        <v>3023.6</v>
      </c>
      <c r="L1849" s="2332">
        <f t="shared" si="414"/>
        <v>77910</v>
      </c>
      <c r="M1849" s="2332">
        <f t="shared" si="415"/>
        <v>82585</v>
      </c>
    </row>
    <row r="1850" spans="1:13" x14ac:dyDescent="0.2">
      <c r="A1850" s="2353">
        <v>2252</v>
      </c>
      <c r="B1850" s="2258" t="s">
        <v>30</v>
      </c>
      <c r="C1850" s="2332">
        <v>0</v>
      </c>
      <c r="D1850" s="2332">
        <v>36800</v>
      </c>
      <c r="E1850" s="2332">
        <v>36800</v>
      </c>
      <c r="F1850" s="2332">
        <v>0</v>
      </c>
      <c r="G1850" s="2332">
        <f t="shared" si="416"/>
        <v>0</v>
      </c>
      <c r="H1850" s="2332"/>
      <c r="I1850" s="2332">
        <f t="shared" si="417"/>
        <v>38640</v>
      </c>
      <c r="J1850" s="2332">
        <f>[5]Sheet1!$K$1282</f>
        <v>0</v>
      </c>
      <c r="K1850" s="2333">
        <f t="shared" si="406"/>
        <v>0</v>
      </c>
      <c r="L1850" s="2332">
        <f t="shared" si="414"/>
        <v>40958</v>
      </c>
      <c r="M1850" s="2332">
        <f t="shared" si="415"/>
        <v>43415</v>
      </c>
    </row>
    <row r="1851" spans="1:13" x14ac:dyDescent="0.2">
      <c r="A1851" s="2329">
        <v>2256</v>
      </c>
      <c r="B1851" s="2258" t="s">
        <v>6482</v>
      </c>
      <c r="C1851" s="2332">
        <v>279956</v>
      </c>
      <c r="D1851" s="2332">
        <v>542856</v>
      </c>
      <c r="E1851" s="2332">
        <v>542856</v>
      </c>
      <c r="F1851" s="2332">
        <v>0</v>
      </c>
      <c r="G1851" s="2332">
        <f t="shared" si="416"/>
        <v>0</v>
      </c>
      <c r="H1851" s="2332"/>
      <c r="I1851" s="2332">
        <v>0</v>
      </c>
      <c r="J1851" s="2332">
        <v>0</v>
      </c>
      <c r="K1851" s="2333">
        <f t="shared" si="406"/>
        <v>0</v>
      </c>
      <c r="L1851" s="2332">
        <f t="shared" si="414"/>
        <v>0</v>
      </c>
      <c r="M1851" s="2332">
        <f t="shared" si="415"/>
        <v>0</v>
      </c>
    </row>
    <row r="1852" spans="1:13" x14ac:dyDescent="0.2">
      <c r="A1852" s="2353">
        <v>2305</v>
      </c>
      <c r="B1852" s="2334" t="s">
        <v>6970</v>
      </c>
      <c r="C1852" s="2335">
        <v>112</v>
      </c>
      <c r="D1852" s="2335">
        <v>1050</v>
      </c>
      <c r="E1852" s="2335">
        <v>1050</v>
      </c>
      <c r="F1852" s="2335">
        <v>0</v>
      </c>
      <c r="G1852" s="2335">
        <f t="shared" si="416"/>
        <v>0</v>
      </c>
      <c r="H1852" s="2335"/>
      <c r="I1852" s="2335">
        <f t="shared" si="417"/>
        <v>1103</v>
      </c>
      <c r="J1852" s="2335">
        <f>[5]Sheet1!$K$1284</f>
        <v>140.36000000000001</v>
      </c>
      <c r="K1852" s="2336">
        <f t="shared" si="406"/>
        <v>140.36000000000001</v>
      </c>
      <c r="L1852" s="2335">
        <f t="shared" si="414"/>
        <v>1169</v>
      </c>
      <c r="M1852" s="2335">
        <f t="shared" si="415"/>
        <v>1239</v>
      </c>
    </row>
    <row r="1853" spans="1:13" x14ac:dyDescent="0.2">
      <c r="B1853" s="2330" t="s">
        <v>6614</v>
      </c>
      <c r="C1853" s="2417">
        <f t="shared" ref="C1853:M1853" si="418">SUM(C1841:C1852)</f>
        <v>398467</v>
      </c>
      <c r="D1853" s="2417">
        <f t="shared" si="418"/>
        <v>823114</v>
      </c>
      <c r="E1853" s="2417">
        <f t="shared" si="418"/>
        <v>823114</v>
      </c>
      <c r="F1853" s="2417">
        <f t="shared" si="418"/>
        <v>125187</v>
      </c>
      <c r="G1853" s="2417">
        <f t="shared" si="418"/>
        <v>150224.39999999997</v>
      </c>
      <c r="H1853" s="2417"/>
      <c r="I1853" s="2417">
        <f t="shared" si="418"/>
        <v>297183</v>
      </c>
      <c r="J1853" s="2417">
        <f>SUM(J1841:J1852)</f>
        <v>123788.97</v>
      </c>
      <c r="K1853" s="2333">
        <f t="shared" si="406"/>
        <v>123788.97</v>
      </c>
      <c r="L1853" s="2417">
        <f t="shared" si="418"/>
        <v>315015</v>
      </c>
      <c r="M1853" s="2417">
        <f t="shared" si="418"/>
        <v>333916</v>
      </c>
    </row>
    <row r="1854" spans="1:13" x14ac:dyDescent="0.2">
      <c r="B1854" s="2338"/>
      <c r="C1854" s="2362"/>
      <c r="D1854" s="2362"/>
      <c r="E1854" s="2362"/>
      <c r="F1854" s="2362"/>
      <c r="G1854" s="2362"/>
      <c r="H1854" s="2362"/>
      <c r="I1854" s="2362"/>
      <c r="J1854" s="2362">
        <f>J1853-[5]Sheet1!$K$1287+[5]Sheet1!$K$1283</f>
        <v>0</v>
      </c>
      <c r="K1854" s="2336">
        <f t="shared" si="406"/>
        <v>0</v>
      </c>
      <c r="L1854" s="2362"/>
      <c r="M1854" s="2362"/>
    </row>
    <row r="1855" spans="1:13" x14ac:dyDescent="0.2">
      <c r="B1855" s="2330" t="s">
        <v>6972</v>
      </c>
      <c r="C1855" s="2351">
        <f t="shared" ref="C1855:M1855" si="419">C1827+C1838+C1853+C1831</f>
        <v>1907585</v>
      </c>
      <c r="D1855" s="2351">
        <f t="shared" si="419"/>
        <v>2618209</v>
      </c>
      <c r="E1855" s="2351">
        <f t="shared" si="419"/>
        <v>2464517</v>
      </c>
      <c r="F1855" s="2351">
        <f t="shared" si="419"/>
        <v>2434843</v>
      </c>
      <c r="G1855" s="2351">
        <f t="shared" si="419"/>
        <v>2921811.6</v>
      </c>
      <c r="H1855" s="2351"/>
      <c r="I1855" s="2351">
        <f t="shared" si="419"/>
        <v>6319918</v>
      </c>
      <c r="J1855" s="2351">
        <f t="shared" si="419"/>
        <v>7175306.3399999999</v>
      </c>
      <c r="K1855" s="2333">
        <f t="shared" si="406"/>
        <v>7175306.3399999999</v>
      </c>
      <c r="L1855" s="2351">
        <f t="shared" si="419"/>
        <v>7069703</v>
      </c>
      <c r="M1855" s="2351">
        <f t="shared" si="419"/>
        <v>7166641</v>
      </c>
    </row>
    <row r="1856" spans="1:13" x14ac:dyDescent="0.2">
      <c r="B1856" s="2330"/>
      <c r="C1856" s="2351"/>
      <c r="D1856" s="2351"/>
      <c r="E1856" s="2351"/>
      <c r="G1856" s="2332"/>
      <c r="H1856" s="2332"/>
      <c r="I1856" s="2332"/>
      <c r="J1856" s="2332"/>
      <c r="K1856" s="2333">
        <f t="shared" si="406"/>
        <v>0</v>
      </c>
      <c r="L1856" s="2351"/>
      <c r="M1856" s="2351"/>
    </row>
    <row r="1857" spans="1:13" x14ac:dyDescent="0.2">
      <c r="A1857" s="2369"/>
      <c r="B1857" s="2369"/>
      <c r="C1857" s="2369"/>
      <c r="D1857" s="2369"/>
      <c r="E1857" s="2369"/>
      <c r="G1857" s="2332"/>
      <c r="H1857" s="2332"/>
      <c r="I1857" s="2332"/>
      <c r="J1857" s="2332"/>
      <c r="K1857" s="2333">
        <f t="shared" si="406"/>
        <v>0</v>
      </c>
      <c r="L1857" s="2369"/>
      <c r="M1857" s="2369"/>
    </row>
    <row r="1858" spans="1:13" ht="15" x14ac:dyDescent="0.25">
      <c r="A1858" s="2365">
        <v>2010</v>
      </c>
      <c r="B1858" s="2326" t="s">
        <v>7220</v>
      </c>
      <c r="C1858" s="2369"/>
      <c r="D1858" s="2369"/>
      <c r="E1858" s="2369"/>
      <c r="G1858" s="2332"/>
      <c r="H1858" s="2332"/>
      <c r="I1858" s="2332"/>
      <c r="J1858" s="2332"/>
      <c r="K1858" s="2333">
        <f t="shared" si="406"/>
        <v>0</v>
      </c>
      <c r="L1858" s="2369"/>
      <c r="M1858" s="2369"/>
    </row>
    <row r="1859" spans="1:13" x14ac:dyDescent="0.2">
      <c r="A1859" s="2369"/>
      <c r="B1859" s="2369"/>
      <c r="C1859" s="2369"/>
      <c r="D1859" s="2369"/>
      <c r="E1859" s="2369"/>
      <c r="G1859" s="2332"/>
      <c r="H1859" s="2332"/>
      <c r="I1859" s="2332"/>
      <c r="J1859" s="2332"/>
      <c r="K1859" s="2333">
        <f t="shared" si="406"/>
        <v>0</v>
      </c>
      <c r="L1859" s="2369"/>
      <c r="M1859" s="2369"/>
    </row>
    <row r="1860" spans="1:13" x14ac:dyDescent="0.2">
      <c r="B1860" s="2330" t="s">
        <v>7081</v>
      </c>
      <c r="C1860" s="2364"/>
      <c r="D1860" s="2364"/>
      <c r="E1860" s="2364"/>
      <c r="G1860" s="2332"/>
      <c r="H1860" s="2332"/>
      <c r="I1860" s="2332"/>
      <c r="J1860" s="2332"/>
      <c r="K1860" s="2333">
        <f t="shared" si="406"/>
        <v>0</v>
      </c>
      <c r="L1860" s="2364"/>
      <c r="M1860" s="2364"/>
    </row>
    <row r="1861" spans="1:13" x14ac:dyDescent="0.2">
      <c r="A1861" s="2403"/>
      <c r="B1861" s="2334" t="s">
        <v>6404</v>
      </c>
      <c r="C1861" s="2335">
        <v>0</v>
      </c>
      <c r="D1861" s="2335">
        <v>0</v>
      </c>
      <c r="E1861" s="2335">
        <v>0</v>
      </c>
      <c r="F1861" s="2335">
        <v>0</v>
      </c>
      <c r="G1861" s="2335">
        <f>F1861/$F$11*$G$11</f>
        <v>0</v>
      </c>
      <c r="H1861" s="2335"/>
      <c r="I1861" s="2335">
        <v>529408</v>
      </c>
      <c r="J1861" s="2335">
        <f>[5]Sheet1!$K$1258</f>
        <v>0</v>
      </c>
      <c r="K1861" s="2336">
        <f t="shared" si="406"/>
        <v>0</v>
      </c>
      <c r="L1861" s="2335">
        <v>233246</v>
      </c>
      <c r="M1861" s="2335">
        <v>778323</v>
      </c>
    </row>
    <row r="1862" spans="1:13" x14ac:dyDescent="0.2">
      <c r="B1862" s="2330" t="s">
        <v>7083</v>
      </c>
      <c r="C1862" s="2364">
        <f t="shared" ref="C1862:M1862" si="420">SUM(C1861)</f>
        <v>0</v>
      </c>
      <c r="D1862" s="2364">
        <f t="shared" si="420"/>
        <v>0</v>
      </c>
      <c r="E1862" s="2364">
        <f t="shared" si="420"/>
        <v>0</v>
      </c>
      <c r="F1862" s="2364">
        <f t="shared" si="420"/>
        <v>0</v>
      </c>
      <c r="G1862" s="2364">
        <f t="shared" si="420"/>
        <v>0</v>
      </c>
      <c r="H1862" s="2364"/>
      <c r="I1862" s="2364">
        <f t="shared" si="420"/>
        <v>529408</v>
      </c>
      <c r="J1862" s="2364">
        <f>J1861</f>
        <v>0</v>
      </c>
      <c r="K1862" s="2333">
        <f t="shared" si="406"/>
        <v>0</v>
      </c>
      <c r="L1862" s="2364">
        <f t="shared" si="420"/>
        <v>233246</v>
      </c>
      <c r="M1862" s="2364">
        <f t="shared" si="420"/>
        <v>778323</v>
      </c>
    </row>
    <row r="1863" spans="1:13" x14ac:dyDescent="0.2">
      <c r="B1863" s="2330"/>
      <c r="C1863" s="2364"/>
      <c r="D1863" s="2364"/>
      <c r="E1863" s="2364"/>
      <c r="F1863" s="2364"/>
      <c r="G1863" s="2364"/>
      <c r="H1863" s="2364"/>
      <c r="I1863" s="2364"/>
      <c r="J1863" s="2364">
        <f>J1862-[5]Sheet1!$K$1259</f>
        <v>0</v>
      </c>
      <c r="K1863" s="2333">
        <f t="shared" si="406"/>
        <v>0</v>
      </c>
      <c r="L1863" s="2364"/>
      <c r="M1863" s="2364"/>
    </row>
    <row r="1864" spans="1:13" x14ac:dyDescent="0.2">
      <c r="A1864" s="2353"/>
      <c r="B1864" s="2330" t="s">
        <v>6974</v>
      </c>
      <c r="C1864" s="2332"/>
      <c r="D1864" s="2332"/>
      <c r="E1864" s="2332"/>
      <c r="G1864" s="2332"/>
      <c r="H1864" s="2332"/>
      <c r="I1864" s="2332"/>
      <c r="J1864" s="2332"/>
      <c r="K1864" s="2333">
        <f t="shared" si="406"/>
        <v>0</v>
      </c>
      <c r="L1864" s="2332"/>
      <c r="M1864" s="2332"/>
    </row>
    <row r="1865" spans="1:13" x14ac:dyDescent="0.2">
      <c r="A1865" s="2353">
        <v>4204</v>
      </c>
      <c r="B1865" s="2258" t="s">
        <v>6976</v>
      </c>
      <c r="C1865" s="2332">
        <v>44556</v>
      </c>
      <c r="D1865" s="2332">
        <v>30710</v>
      </c>
      <c r="E1865" s="2332">
        <v>30710</v>
      </c>
      <c r="F1865" s="2332">
        <v>0</v>
      </c>
      <c r="G1865" s="2332">
        <f>F1865/$F$11*$G$11</f>
        <v>0</v>
      </c>
      <c r="H1865" s="2332"/>
      <c r="I1865" s="2332">
        <f>ROUND(E1865*1.05,0)</f>
        <v>32246</v>
      </c>
      <c r="J1865" s="2332">
        <f>[5]Sheet1!$K$1298</f>
        <v>11004.54</v>
      </c>
      <c r="K1865" s="2333">
        <f t="shared" si="406"/>
        <v>11004.54</v>
      </c>
      <c r="L1865" s="2332">
        <f>ROUND(I1865*1.08,0)</f>
        <v>34826</v>
      </c>
      <c r="M1865" s="2332">
        <f>ROUND(L1865*1.08,0)</f>
        <v>37612</v>
      </c>
    </row>
    <row r="1866" spans="1:13" x14ac:dyDescent="0.2">
      <c r="A1866" s="2353">
        <v>4209</v>
      </c>
      <c r="B1866" s="2258" t="s">
        <v>6449</v>
      </c>
      <c r="C1866" s="2332">
        <v>71</v>
      </c>
      <c r="D1866" s="2332">
        <v>0</v>
      </c>
      <c r="E1866" s="2332">
        <v>0</v>
      </c>
      <c r="F1866" s="2332">
        <v>0</v>
      </c>
      <c r="G1866" s="2332">
        <f>F1866/$F$11*$G$11</f>
        <v>0</v>
      </c>
      <c r="H1866" s="2332"/>
      <c r="I1866" s="2332">
        <f>ROUND(E1866*1.05,0)</f>
        <v>0</v>
      </c>
      <c r="J1866" s="2332">
        <v>0</v>
      </c>
      <c r="K1866" s="2333">
        <f t="shared" si="406"/>
        <v>0</v>
      </c>
      <c r="L1866" s="2332">
        <f>ROUND(I1866*1.05,0)</f>
        <v>0</v>
      </c>
      <c r="M1866" s="2332">
        <f>ROUND(L1866*1.05,0)</f>
        <v>0</v>
      </c>
    </row>
    <row r="1867" spans="1:13" x14ac:dyDescent="0.2">
      <c r="A1867" s="2353">
        <v>4207</v>
      </c>
      <c r="B1867" s="2334" t="s">
        <v>6977</v>
      </c>
      <c r="C1867" s="2335">
        <v>42519</v>
      </c>
      <c r="D1867" s="2335">
        <v>37107</v>
      </c>
      <c r="E1867" s="2335">
        <v>37107</v>
      </c>
      <c r="F1867" s="2335">
        <v>0</v>
      </c>
      <c r="G1867" s="2335">
        <f>F1867/$F$11*$G$11</f>
        <v>0</v>
      </c>
      <c r="H1867" s="2335"/>
      <c r="I1867" s="2335">
        <f>ROUND(E1867*1.05,0)</f>
        <v>38962</v>
      </c>
      <c r="J1867" s="2335">
        <f>[5]Sheet1!$K$1299</f>
        <v>13294.57</v>
      </c>
      <c r="K1867" s="2336">
        <f t="shared" si="406"/>
        <v>13294.57</v>
      </c>
      <c r="L1867" s="2335">
        <f>ROUND(I1867*1.08,0)</f>
        <v>42079</v>
      </c>
      <c r="M1867" s="2335">
        <f>ROUND(L1867*1.08,0)</f>
        <v>45445</v>
      </c>
    </row>
    <row r="1868" spans="1:13" x14ac:dyDescent="0.2">
      <c r="A1868" s="2353"/>
      <c r="B1868" s="2330" t="s">
        <v>6979</v>
      </c>
      <c r="C1868" s="2337">
        <f t="shared" ref="C1868:M1868" si="421">SUM(C1865:C1867)</f>
        <v>87146</v>
      </c>
      <c r="D1868" s="2337">
        <f t="shared" si="421"/>
        <v>67817</v>
      </c>
      <c r="E1868" s="2337">
        <f t="shared" si="421"/>
        <v>67817</v>
      </c>
      <c r="F1868" s="2337">
        <f t="shared" si="421"/>
        <v>0</v>
      </c>
      <c r="G1868" s="2337">
        <f t="shared" si="421"/>
        <v>0</v>
      </c>
      <c r="H1868" s="2337"/>
      <c r="I1868" s="2337">
        <f t="shared" si="421"/>
        <v>71208</v>
      </c>
      <c r="J1868" s="2337">
        <f>J1865+J1867</f>
        <v>24299.11</v>
      </c>
      <c r="K1868" s="2333">
        <f t="shared" si="406"/>
        <v>24299.11</v>
      </c>
      <c r="L1868" s="2337">
        <f t="shared" si="421"/>
        <v>76905</v>
      </c>
      <c r="M1868" s="2337">
        <f t="shared" si="421"/>
        <v>83057</v>
      </c>
    </row>
    <row r="1869" spans="1:13" x14ac:dyDescent="0.2">
      <c r="B1869" s="2338"/>
      <c r="C1869" s="2380"/>
      <c r="D1869" s="2380"/>
      <c r="E1869" s="2380"/>
      <c r="F1869" s="2436"/>
      <c r="G1869" s="2335"/>
      <c r="H1869" s="2335"/>
      <c r="I1869" s="2335"/>
      <c r="J1869" s="2335">
        <f>J1868-[5]Sheet1!$K$1300</f>
        <v>0</v>
      </c>
      <c r="K1869" s="2336">
        <f t="shared" si="406"/>
        <v>0</v>
      </c>
      <c r="L1869" s="2380"/>
      <c r="M1869" s="2380"/>
    </row>
    <row r="1870" spans="1:13" x14ac:dyDescent="0.2">
      <c r="B1870" s="2330" t="s">
        <v>7147</v>
      </c>
      <c r="C1870" s="2351">
        <f>+C1855+C1868+C1862</f>
        <v>1994731</v>
      </c>
      <c r="D1870" s="2351">
        <f>+D1855+D1868+D1862</f>
        <v>2686026</v>
      </c>
      <c r="E1870" s="2351">
        <f>+E1855+E1868+E1862</f>
        <v>2532334</v>
      </c>
      <c r="F1870" s="2351">
        <f>+F1855+F1868+F1862</f>
        <v>2434843</v>
      </c>
      <c r="G1870" s="2351">
        <f>+G1855+G1868+G1862</f>
        <v>2921811.6</v>
      </c>
      <c r="H1870" s="2351"/>
      <c r="I1870" s="2351">
        <f>+I1855+I1868+I1862</f>
        <v>6920534</v>
      </c>
      <c r="J1870" s="2351">
        <f>+J1855+J1868+J1862</f>
        <v>7199605.4500000002</v>
      </c>
      <c r="K1870" s="2333">
        <f t="shared" si="406"/>
        <v>7199605.4500000002</v>
      </c>
      <c r="L1870" s="2351">
        <f>+L1855+L1868+L1862</f>
        <v>7379854</v>
      </c>
      <c r="M1870" s="2351">
        <f>+M1855+M1868+M1862</f>
        <v>8028021</v>
      </c>
    </row>
    <row r="1871" spans="1:13" x14ac:dyDescent="0.2">
      <c r="B1871" s="2330"/>
      <c r="C1871" s="2351"/>
      <c r="D1871" s="2351"/>
      <c r="E1871" s="2351"/>
      <c r="G1871" s="2332"/>
      <c r="H1871" s="2332"/>
      <c r="I1871" s="2332"/>
      <c r="J1871" s="2332"/>
      <c r="K1871" s="2333">
        <f t="shared" si="406"/>
        <v>0</v>
      </c>
      <c r="L1871" s="2351"/>
      <c r="M1871" s="2351"/>
    </row>
    <row r="1872" spans="1:13" x14ac:dyDescent="0.2">
      <c r="A1872" s="2353"/>
      <c r="B1872" s="2330" t="s">
        <v>7221</v>
      </c>
      <c r="C1872" s="2349"/>
      <c r="D1872" s="2349"/>
      <c r="E1872" s="2349"/>
      <c r="F1872" s="2437"/>
      <c r="G1872" s="2332"/>
      <c r="H1872" s="2332"/>
      <c r="I1872" s="2332"/>
      <c r="J1872" s="2332"/>
      <c r="K1872" s="2333">
        <f t="shared" si="406"/>
        <v>0</v>
      </c>
      <c r="L1872" s="2349"/>
      <c r="M1872" s="2349"/>
    </row>
    <row r="1873" spans="1:13" x14ac:dyDescent="0.2">
      <c r="A1873" s="2353"/>
      <c r="B1873" s="2334" t="s">
        <v>7210</v>
      </c>
      <c r="C1873" s="2397">
        <v>0</v>
      </c>
      <c r="D1873" s="2335">
        <f>+D1806</f>
        <v>0</v>
      </c>
      <c r="E1873" s="2335">
        <v>0</v>
      </c>
      <c r="F1873" s="2335">
        <v>0</v>
      </c>
      <c r="G1873" s="2335">
        <f>F1873/$F$11*$G$11</f>
        <v>0</v>
      </c>
      <c r="H1873" s="2335"/>
      <c r="I1873" s="2335">
        <v>0</v>
      </c>
      <c r="J1873" s="2335">
        <v>0</v>
      </c>
      <c r="K1873" s="2336">
        <f t="shared" si="406"/>
        <v>0</v>
      </c>
      <c r="L1873" s="2335">
        <f>+L1806</f>
        <v>0</v>
      </c>
      <c r="M1873" s="2335">
        <f>+M1806</f>
        <v>0</v>
      </c>
    </row>
    <row r="1874" spans="1:13" x14ac:dyDescent="0.2">
      <c r="A1874" s="2353"/>
      <c r="B1874" s="2330" t="s">
        <v>7222</v>
      </c>
      <c r="C1874" s="2349">
        <f t="shared" ref="C1874:M1874" si="422">SUM(C1872:C1873)</f>
        <v>0</v>
      </c>
      <c r="D1874" s="2349">
        <f t="shared" si="422"/>
        <v>0</v>
      </c>
      <c r="E1874" s="2349">
        <f t="shared" si="422"/>
        <v>0</v>
      </c>
      <c r="F1874" s="2349">
        <f t="shared" si="422"/>
        <v>0</v>
      </c>
      <c r="G1874" s="2349">
        <f t="shared" si="422"/>
        <v>0</v>
      </c>
      <c r="H1874" s="2349"/>
      <c r="I1874" s="2349">
        <f t="shared" si="422"/>
        <v>0</v>
      </c>
      <c r="J1874" s="2349">
        <v>0</v>
      </c>
      <c r="K1874" s="2333">
        <f t="shared" si="406"/>
        <v>0</v>
      </c>
      <c r="L1874" s="2349">
        <f t="shared" si="422"/>
        <v>0</v>
      </c>
      <c r="M1874" s="2349">
        <f t="shared" si="422"/>
        <v>0</v>
      </c>
    </row>
    <row r="1875" spans="1:13" x14ac:dyDescent="0.2">
      <c r="B1875" s="2330"/>
      <c r="C1875" s="2364"/>
      <c r="D1875" s="2364"/>
      <c r="E1875" s="2364"/>
      <c r="G1875" s="2332"/>
      <c r="H1875" s="2332"/>
      <c r="I1875" s="2332"/>
      <c r="J1875" s="2332"/>
      <c r="K1875" s="2333">
        <f t="shared" si="406"/>
        <v>0</v>
      </c>
      <c r="L1875" s="2364"/>
      <c r="M1875" s="2364"/>
    </row>
    <row r="1876" spans="1:13" ht="13.5" thickBot="1" x14ac:dyDescent="0.25">
      <c r="B1876" s="2342" t="s">
        <v>6980</v>
      </c>
      <c r="C1876" s="2354">
        <f t="shared" ref="C1876:M1876" si="423">+C1870+C1874</f>
        <v>1994731</v>
      </c>
      <c r="D1876" s="2354">
        <f t="shared" si="423"/>
        <v>2686026</v>
      </c>
      <c r="E1876" s="2354">
        <f t="shared" si="423"/>
        <v>2532334</v>
      </c>
      <c r="F1876" s="2354">
        <f t="shared" si="423"/>
        <v>2434843</v>
      </c>
      <c r="G1876" s="2354">
        <f t="shared" si="423"/>
        <v>2921811.6</v>
      </c>
      <c r="H1876" s="2354"/>
      <c r="I1876" s="2354">
        <f t="shared" si="423"/>
        <v>6920534</v>
      </c>
      <c r="J1876" s="2354">
        <f>+J1870+J1874</f>
        <v>7199605.4500000002</v>
      </c>
      <c r="K1876" s="2344">
        <f t="shared" si="406"/>
        <v>7199605.4500000002</v>
      </c>
      <c r="L1876" s="2354">
        <f t="shared" si="423"/>
        <v>7379854</v>
      </c>
      <c r="M1876" s="2354">
        <f t="shared" si="423"/>
        <v>8028021</v>
      </c>
    </row>
    <row r="1877" spans="1:13" ht="13.5" thickTop="1" x14ac:dyDescent="0.2">
      <c r="B1877" s="2330"/>
      <c r="C1877" s="2349"/>
      <c r="D1877" s="2349"/>
      <c r="E1877" s="2349"/>
      <c r="F1877" s="2349"/>
      <c r="G1877" s="2349"/>
      <c r="H1877" s="2349"/>
      <c r="I1877" s="2349"/>
      <c r="J1877" s="2349"/>
      <c r="K1877" s="2333">
        <f t="shared" ref="K1877:K1940" si="424">J1877</f>
        <v>0</v>
      </c>
      <c r="L1877" s="2349"/>
      <c r="M1877" s="2349"/>
    </row>
    <row r="1878" spans="1:13" ht="13.5" thickBot="1" x14ac:dyDescent="0.25">
      <c r="B1878" s="2342" t="s">
        <v>6624</v>
      </c>
      <c r="C1878" s="2355">
        <f>C1809-C1876</f>
        <v>-1987638</v>
      </c>
      <c r="D1878" s="2355">
        <f>D1809-D1876</f>
        <v>-2676669</v>
      </c>
      <c r="E1878" s="2355">
        <f>E1809-E1876</f>
        <v>-2522977</v>
      </c>
      <c r="F1878" s="2355">
        <f>F1809-F1876</f>
        <v>-2427863</v>
      </c>
      <c r="G1878" s="2355">
        <f>G1809-G1876</f>
        <v>-2913435.6</v>
      </c>
      <c r="H1878" s="2355"/>
      <c r="I1878" s="2355">
        <f>I1809-I1876</f>
        <v>-6911320</v>
      </c>
      <c r="J1878" s="2355">
        <f>J1809-J1876</f>
        <v>-7147698.3200000003</v>
      </c>
      <c r="K1878" s="2344">
        <f t="shared" si="424"/>
        <v>-7147698.3200000003</v>
      </c>
      <c r="L1878" s="2355">
        <f>L1809-L1876</f>
        <v>-7370087</v>
      </c>
      <c r="M1878" s="2355">
        <f>M1809-M1876</f>
        <v>-8017668</v>
      </c>
    </row>
    <row r="1879" spans="1:13" ht="13.5" thickTop="1" x14ac:dyDescent="0.2">
      <c r="B1879" s="2330"/>
      <c r="C1879" s="2356"/>
      <c r="D1879" s="2356"/>
      <c r="E1879" s="2356"/>
      <c r="G1879" s="2332"/>
      <c r="H1879" s="2332"/>
      <c r="I1879" s="2332"/>
      <c r="J1879" s="2332"/>
      <c r="K1879" s="2333">
        <f t="shared" si="424"/>
        <v>0</v>
      </c>
      <c r="L1879" s="2356"/>
      <c r="M1879" s="2356"/>
    </row>
    <row r="1880" spans="1:13" x14ac:dyDescent="0.2">
      <c r="A1880" s="2369"/>
      <c r="B1880" s="2369"/>
      <c r="C1880" s="2369"/>
      <c r="D1880" s="2369"/>
      <c r="E1880" s="2369"/>
      <c r="G1880" s="2332"/>
      <c r="H1880" s="2332"/>
      <c r="I1880" s="2332"/>
      <c r="J1880" s="2332"/>
      <c r="K1880" s="2333">
        <f t="shared" si="424"/>
        <v>0</v>
      </c>
      <c r="L1880" s="2369"/>
      <c r="M1880" s="2369"/>
    </row>
    <row r="1881" spans="1:13" x14ac:dyDescent="0.2">
      <c r="G1881" s="2332"/>
      <c r="H1881" s="2332"/>
      <c r="I1881" s="2332"/>
      <c r="J1881" s="2332"/>
      <c r="K1881" s="2333">
        <f t="shared" si="424"/>
        <v>0</v>
      </c>
    </row>
    <row r="1882" spans="1:13" ht="15.75" x14ac:dyDescent="0.25">
      <c r="A1882" s="2374">
        <v>2100</v>
      </c>
      <c r="B1882" s="2429" t="s">
        <v>7223</v>
      </c>
      <c r="C1882" s="2326"/>
      <c r="D1882" s="2326"/>
      <c r="E1882" s="2326"/>
      <c r="G1882" s="2332"/>
      <c r="H1882" s="2332"/>
      <c r="I1882" s="2332"/>
      <c r="J1882" s="2332"/>
      <c r="K1882" s="2333">
        <f t="shared" si="424"/>
        <v>0</v>
      </c>
    </row>
    <row r="1883" spans="1:13" ht="15" x14ac:dyDescent="0.25">
      <c r="A1883" s="2365">
        <v>2110</v>
      </c>
      <c r="B1883" s="2326" t="s">
        <v>7224</v>
      </c>
      <c r="C1883" s="2326"/>
      <c r="D1883" s="2326"/>
      <c r="E1883" s="2326"/>
      <c r="G1883" s="2332"/>
      <c r="H1883" s="2332"/>
      <c r="I1883" s="2332"/>
      <c r="J1883" s="2332"/>
      <c r="K1883" s="2333">
        <f t="shared" si="424"/>
        <v>0</v>
      </c>
    </row>
    <row r="1884" spans="1:13" ht="15" x14ac:dyDescent="0.25">
      <c r="A1884" s="2365"/>
      <c r="B1884" s="2326"/>
      <c r="C1884" s="2326"/>
      <c r="D1884" s="2326"/>
      <c r="E1884" s="2326"/>
      <c r="G1884" s="2332"/>
      <c r="H1884" s="2332"/>
      <c r="I1884" s="2332"/>
      <c r="J1884" s="2332"/>
      <c r="K1884" s="2333">
        <f t="shared" si="424"/>
        <v>0</v>
      </c>
    </row>
    <row r="1885" spans="1:13" x14ac:dyDescent="0.2">
      <c r="B1885" s="2328" t="s">
        <v>247</v>
      </c>
      <c r="C1885" s="2328"/>
      <c r="D1885" s="2328"/>
      <c r="E1885" s="2328"/>
      <c r="G1885" s="2332"/>
      <c r="H1885" s="2332"/>
      <c r="I1885" s="2332"/>
      <c r="J1885" s="2332"/>
      <c r="K1885" s="2333">
        <f t="shared" si="424"/>
        <v>0</v>
      </c>
    </row>
    <row r="1886" spans="1:13" x14ac:dyDescent="0.2">
      <c r="B1886" s="2323"/>
      <c r="C1886" s="2323"/>
      <c r="D1886" s="2382"/>
      <c r="E1886" s="2382"/>
      <c r="G1886" s="2332"/>
      <c r="H1886" s="2332"/>
      <c r="I1886" s="2332"/>
      <c r="J1886" s="2332"/>
      <c r="K1886" s="2333">
        <f t="shared" si="424"/>
        <v>0</v>
      </c>
      <c r="L1886" s="2347"/>
    </row>
    <row r="1887" spans="1:13" x14ac:dyDescent="0.2">
      <c r="B1887" s="2330" t="s">
        <v>7225</v>
      </c>
      <c r="C1887" s="2375"/>
      <c r="D1887" s="2375"/>
      <c r="E1887" s="2375"/>
      <c r="G1887" s="2332"/>
      <c r="H1887" s="2332"/>
      <c r="I1887" s="2332"/>
      <c r="J1887" s="2332"/>
      <c r="K1887" s="2333">
        <f t="shared" si="424"/>
        <v>0</v>
      </c>
    </row>
    <row r="1888" spans="1:13" x14ac:dyDescent="0.2">
      <c r="A1888" s="2353">
        <v>5613</v>
      </c>
      <c r="B1888" s="2334" t="s">
        <v>7226</v>
      </c>
      <c r="C1888" s="2335">
        <v>3529338</v>
      </c>
      <c r="D1888" s="2335">
        <f>ROUND(5179391*1.86,0)</f>
        <v>9633667</v>
      </c>
      <c r="E1888" s="2335">
        <f>9633667</f>
        <v>9633667</v>
      </c>
      <c r="F1888" s="2335">
        <v>4548007</v>
      </c>
      <c r="G1888" s="2335">
        <f>F1888/$F$11*$G$11</f>
        <v>5457608.4000000004</v>
      </c>
      <c r="H1888" s="2335"/>
      <c r="I1888" s="2335">
        <f>ROUND(1691878*O1888,0)</f>
        <v>0</v>
      </c>
      <c r="J1888" s="2335">
        <f>-[5]Sheet1!$K$1356</f>
        <v>6305424.5999999996</v>
      </c>
      <c r="K1888" s="2336">
        <f t="shared" si="424"/>
        <v>6305424.5999999996</v>
      </c>
      <c r="L1888" s="2335">
        <f>ROUND(1691878*P1888,0)</f>
        <v>0</v>
      </c>
      <c r="M1888" s="2335">
        <f>ROUND(1691878*Q1888,0)</f>
        <v>0</v>
      </c>
    </row>
    <row r="1889" spans="1:13" x14ac:dyDescent="0.2">
      <c r="B1889" s="2330" t="s">
        <v>7227</v>
      </c>
      <c r="C1889" s="2376">
        <f t="shared" ref="C1889:M1889" si="425">SUM(C1888:C1888)</f>
        <v>3529338</v>
      </c>
      <c r="D1889" s="2376">
        <f t="shared" si="425"/>
        <v>9633667</v>
      </c>
      <c r="E1889" s="2376">
        <f t="shared" si="425"/>
        <v>9633667</v>
      </c>
      <c r="F1889" s="2376">
        <f t="shared" si="425"/>
        <v>4548007</v>
      </c>
      <c r="G1889" s="2376">
        <f t="shared" si="425"/>
        <v>5457608.4000000004</v>
      </c>
      <c r="H1889" s="2376"/>
      <c r="I1889" s="2376">
        <f t="shared" si="425"/>
        <v>0</v>
      </c>
      <c r="J1889" s="2376">
        <f>J1888</f>
        <v>6305424.5999999996</v>
      </c>
      <c r="K1889" s="2333">
        <f t="shared" si="424"/>
        <v>6305424.5999999996</v>
      </c>
      <c r="L1889" s="2376">
        <f t="shared" si="425"/>
        <v>0</v>
      </c>
      <c r="M1889" s="2376">
        <f t="shared" si="425"/>
        <v>0</v>
      </c>
    </row>
    <row r="1890" spans="1:13" x14ac:dyDescent="0.2">
      <c r="B1890" s="2330"/>
      <c r="C1890" s="2375"/>
      <c r="D1890" s="2375"/>
      <c r="E1890" s="2375"/>
      <c r="G1890" s="2332"/>
      <c r="H1890" s="2332"/>
      <c r="I1890" s="2332"/>
      <c r="J1890" s="2332"/>
      <c r="K1890" s="2333">
        <f t="shared" si="424"/>
        <v>0</v>
      </c>
    </row>
    <row r="1891" spans="1:13" x14ac:dyDescent="0.2">
      <c r="B1891" s="2330" t="s">
        <v>1637</v>
      </c>
      <c r="C1891" s="2375"/>
      <c r="D1891" s="2375"/>
      <c r="E1891" s="2375"/>
      <c r="F1891" s="2309"/>
      <c r="G1891" s="2332"/>
      <c r="H1891" s="2332"/>
      <c r="I1891" s="2332"/>
      <c r="J1891" s="2332"/>
      <c r="K1891" s="2333">
        <f t="shared" si="424"/>
        <v>0</v>
      </c>
      <c r="L1891" s="2375"/>
      <c r="M1891" s="2375"/>
    </row>
    <row r="1892" spans="1:13" x14ac:dyDescent="0.2">
      <c r="A1892" s="2403"/>
      <c r="B1892" s="2258" t="s">
        <v>7228</v>
      </c>
      <c r="C1892" s="2375">
        <v>4575</v>
      </c>
      <c r="D1892" s="2332">
        <v>7700</v>
      </c>
      <c r="E1892" s="2332">
        <v>7700</v>
      </c>
      <c r="F1892" s="2332">
        <v>0</v>
      </c>
      <c r="G1892" s="2332">
        <f>F1892/$F$11*$G$11</f>
        <v>0</v>
      </c>
      <c r="H1892" s="2332"/>
      <c r="I1892" s="2332">
        <f>ROUND(E1892*1.1,0)</f>
        <v>8470</v>
      </c>
      <c r="J1892" s="2332">
        <f>-[5]Sheet1!$K$1368</f>
        <v>5367.28</v>
      </c>
      <c r="K1892" s="2333">
        <f t="shared" si="424"/>
        <v>5367.28</v>
      </c>
      <c r="L1892" s="2332">
        <f>ROUND(I1892*1.06,0)</f>
        <v>8978</v>
      </c>
      <c r="M1892" s="2332">
        <f>ROUND(L1892*1.06,0)</f>
        <v>9517</v>
      </c>
    </row>
    <row r="1893" spans="1:13" x14ac:dyDescent="0.2">
      <c r="A1893" s="2353"/>
      <c r="B1893" s="2334" t="s">
        <v>7229</v>
      </c>
      <c r="C1893" s="2335">
        <v>12281</v>
      </c>
      <c r="D1893" s="2335">
        <v>19653</v>
      </c>
      <c r="E1893" s="2335">
        <v>19653</v>
      </c>
      <c r="F1893" s="2335">
        <v>500</v>
      </c>
      <c r="G1893" s="2335">
        <f>F1893/$F$11*$G$11</f>
        <v>600</v>
      </c>
      <c r="H1893" s="2335"/>
      <c r="I1893" s="2335">
        <f>ROUND(G1893*1.1,0)</f>
        <v>660</v>
      </c>
      <c r="J1893" s="2335">
        <f>-[5]Sheet1!$K$1370</f>
        <v>385</v>
      </c>
      <c r="K1893" s="2336">
        <f t="shared" si="424"/>
        <v>385</v>
      </c>
      <c r="L1893" s="2335">
        <f>ROUND(I1893*1.06,0)</f>
        <v>700</v>
      </c>
      <c r="M1893" s="2335">
        <f>ROUND(L1893*1.06,0)</f>
        <v>742</v>
      </c>
    </row>
    <row r="1894" spans="1:13" x14ac:dyDescent="0.2">
      <c r="B1894" s="2330" t="s">
        <v>6670</v>
      </c>
      <c r="C1894" s="2376">
        <f t="shared" ref="C1894:M1894" si="426">SUM(C1892:C1893)</f>
        <v>16856</v>
      </c>
      <c r="D1894" s="2376">
        <f t="shared" si="426"/>
        <v>27353</v>
      </c>
      <c r="E1894" s="2376">
        <f t="shared" si="426"/>
        <v>27353</v>
      </c>
      <c r="F1894" s="2376">
        <f t="shared" si="426"/>
        <v>500</v>
      </c>
      <c r="G1894" s="2376">
        <f t="shared" si="426"/>
        <v>600</v>
      </c>
      <c r="H1894" s="2376"/>
      <c r="I1894" s="2376">
        <f t="shared" si="426"/>
        <v>9130</v>
      </c>
      <c r="J1894" s="2376">
        <f>J1892+J1893</f>
        <v>5752.28</v>
      </c>
      <c r="K1894" s="2333">
        <f t="shared" si="424"/>
        <v>5752.28</v>
      </c>
      <c r="L1894" s="2376">
        <f t="shared" si="426"/>
        <v>9678</v>
      </c>
      <c r="M1894" s="2376">
        <f t="shared" si="426"/>
        <v>10259</v>
      </c>
    </row>
    <row r="1895" spans="1:13" x14ac:dyDescent="0.2">
      <c r="B1895" s="2330"/>
      <c r="C1895" s="2376"/>
      <c r="D1895" s="2376"/>
      <c r="E1895" s="2376"/>
      <c r="G1895" s="2332"/>
      <c r="H1895" s="2332"/>
      <c r="I1895" s="2332"/>
      <c r="J1895" s="2332"/>
      <c r="K1895" s="2333">
        <f t="shared" si="424"/>
        <v>0</v>
      </c>
      <c r="L1895" s="2376"/>
      <c r="M1895" s="2376"/>
    </row>
    <row r="1896" spans="1:13" x14ac:dyDescent="0.2">
      <c r="B1896" s="2330" t="s">
        <v>7066</v>
      </c>
      <c r="C1896" s="2351"/>
      <c r="D1896" s="2438"/>
      <c r="E1896" s="2438"/>
      <c r="G1896" s="2332"/>
      <c r="H1896" s="2332"/>
      <c r="I1896" s="2332"/>
      <c r="J1896" s="2332"/>
      <c r="K1896" s="2333">
        <f t="shared" si="424"/>
        <v>0</v>
      </c>
      <c r="L1896" s="2351"/>
      <c r="M1896" s="2351"/>
    </row>
    <row r="1897" spans="1:13" x14ac:dyDescent="0.2">
      <c r="A1897" s="2353">
        <v>2215</v>
      </c>
      <c r="B1897" s="2334" t="s">
        <v>7230</v>
      </c>
      <c r="C1897" s="2339">
        <v>0</v>
      </c>
      <c r="D1897" s="2339">
        <v>-2734013</v>
      </c>
      <c r="E1897" s="2339">
        <v>-2734013</v>
      </c>
      <c r="F1897" s="2339">
        <v>0</v>
      </c>
      <c r="G1897" s="2339">
        <f>+F1897</f>
        <v>0</v>
      </c>
      <c r="H1897" s="2339"/>
      <c r="I1897" s="2339">
        <f>ROUND(-2811315,0)</f>
        <v>-2811315</v>
      </c>
      <c r="J1897" s="2339">
        <f>-[5]Sheet1!$K$1411</f>
        <v>-959306.85</v>
      </c>
      <c r="K1897" s="2336">
        <f t="shared" si="424"/>
        <v>-959306.85</v>
      </c>
      <c r="L1897" s="2339">
        <f>ROUND(-6*8098*12*P1888,0)</f>
        <v>0</v>
      </c>
      <c r="M1897" s="2339">
        <f>ROUND(-6*8098*12*Q1888,0)</f>
        <v>0</v>
      </c>
    </row>
    <row r="1898" spans="1:13" x14ac:dyDescent="0.2">
      <c r="B1898" s="2330" t="s">
        <v>7069</v>
      </c>
      <c r="C1898" s="2376">
        <f t="shared" ref="C1898:M1898" si="427">SUM(C1897)</f>
        <v>0</v>
      </c>
      <c r="D1898" s="2376">
        <f t="shared" si="427"/>
        <v>-2734013</v>
      </c>
      <c r="E1898" s="2376">
        <f t="shared" si="427"/>
        <v>-2734013</v>
      </c>
      <c r="F1898" s="2376">
        <f t="shared" si="427"/>
        <v>0</v>
      </c>
      <c r="G1898" s="2376">
        <f t="shared" si="427"/>
        <v>0</v>
      </c>
      <c r="H1898" s="2376"/>
      <c r="I1898" s="2376">
        <f t="shared" si="427"/>
        <v>-2811315</v>
      </c>
      <c r="J1898" s="2376">
        <f>J1897</f>
        <v>-959306.85</v>
      </c>
      <c r="K1898" s="2333">
        <f t="shared" si="424"/>
        <v>-959306.85</v>
      </c>
      <c r="L1898" s="2376">
        <f t="shared" si="427"/>
        <v>0</v>
      </c>
      <c r="M1898" s="2376">
        <f t="shared" si="427"/>
        <v>0</v>
      </c>
    </row>
    <row r="1899" spans="1:13" x14ac:dyDescent="0.2">
      <c r="B1899" s="2338"/>
      <c r="C1899" s="2339"/>
      <c r="D1899" s="2339"/>
      <c r="E1899" s="2339"/>
      <c r="F1899" s="2339"/>
      <c r="G1899" s="2339"/>
      <c r="H1899" s="2339"/>
      <c r="I1899" s="2339"/>
      <c r="J1899" s="2339"/>
      <c r="K1899" s="2336">
        <f t="shared" si="424"/>
        <v>0</v>
      </c>
      <c r="L1899" s="2339"/>
      <c r="M1899" s="2339"/>
    </row>
    <row r="1900" spans="1:13" x14ac:dyDescent="0.2">
      <c r="B1900" s="2330" t="s">
        <v>7158</v>
      </c>
      <c r="C1900" s="2351">
        <f t="shared" ref="C1900:M1900" si="428">C1889+C1894+C1898</f>
        <v>3546194</v>
      </c>
      <c r="D1900" s="2351">
        <f t="shared" si="428"/>
        <v>6927007</v>
      </c>
      <c r="E1900" s="2351">
        <f t="shared" si="428"/>
        <v>6927007</v>
      </c>
      <c r="F1900" s="2351">
        <f t="shared" si="428"/>
        <v>4548507</v>
      </c>
      <c r="G1900" s="2351">
        <f t="shared" si="428"/>
        <v>5458208.4000000004</v>
      </c>
      <c r="H1900" s="2351"/>
      <c r="I1900" s="2351">
        <f t="shared" si="428"/>
        <v>-2802185</v>
      </c>
      <c r="J1900" s="2351">
        <f>J1889+J1894+J1898</f>
        <v>5351870.03</v>
      </c>
      <c r="K1900" s="2333">
        <f t="shared" si="424"/>
        <v>5351870.03</v>
      </c>
      <c r="L1900" s="2351">
        <f t="shared" si="428"/>
        <v>9678</v>
      </c>
      <c r="M1900" s="2351">
        <f t="shared" si="428"/>
        <v>10259</v>
      </c>
    </row>
    <row r="1901" spans="1:13" x14ac:dyDescent="0.2">
      <c r="B1901" s="2330"/>
      <c r="C1901" s="2351"/>
      <c r="D1901" s="2351"/>
      <c r="E1901" s="2351"/>
      <c r="G1901" s="2332"/>
      <c r="H1901" s="2332"/>
      <c r="I1901" s="2332"/>
      <c r="J1901" s="2332"/>
      <c r="K1901" s="2333">
        <f t="shared" si="424"/>
        <v>0</v>
      </c>
      <c r="L1901" s="2351"/>
      <c r="M1901" s="2351"/>
    </row>
    <row r="1902" spans="1:13" x14ac:dyDescent="0.2">
      <c r="B1902" s="2330" t="s">
        <v>7209</v>
      </c>
      <c r="C1902" s="2375"/>
      <c r="D1902" s="2375"/>
      <c r="E1902" s="2375"/>
      <c r="G1902" s="2332"/>
      <c r="H1902" s="2332"/>
      <c r="I1902" s="2332"/>
      <c r="J1902" s="2332"/>
      <c r="K1902" s="2333">
        <f t="shared" si="424"/>
        <v>0</v>
      </c>
      <c r="L1902" s="2375"/>
      <c r="M1902" s="2375"/>
    </row>
    <row r="1903" spans="1:13" x14ac:dyDescent="0.2">
      <c r="B1903" s="2334" t="s">
        <v>75</v>
      </c>
      <c r="C1903" s="2335">
        <v>95044</v>
      </c>
      <c r="D1903" s="2335">
        <v>11629000</v>
      </c>
      <c r="E1903" s="2335">
        <v>11629000</v>
      </c>
      <c r="F1903" s="2335">
        <v>0</v>
      </c>
      <c r="G1903" s="2335">
        <f>F1903/$F$11*$G$11</f>
        <v>0</v>
      </c>
      <c r="H1903" s="2335"/>
      <c r="I1903" s="2335">
        <v>0</v>
      </c>
      <c r="J1903" s="2335">
        <v>0</v>
      </c>
      <c r="K1903" s="2336">
        <f t="shared" si="424"/>
        <v>0</v>
      </c>
      <c r="L1903" s="2335">
        <v>0</v>
      </c>
      <c r="M1903" s="2335">
        <v>0</v>
      </c>
    </row>
    <row r="1904" spans="1:13" x14ac:dyDescent="0.2">
      <c r="B1904" s="2330" t="s">
        <v>7211</v>
      </c>
      <c r="C1904" s="2376">
        <f t="shared" ref="C1904:M1904" si="429">SUM(C1903)</f>
        <v>95044</v>
      </c>
      <c r="D1904" s="2376">
        <f t="shared" si="429"/>
        <v>11629000</v>
      </c>
      <c r="E1904" s="2376">
        <f t="shared" si="429"/>
        <v>11629000</v>
      </c>
      <c r="F1904" s="2376">
        <f t="shared" si="429"/>
        <v>0</v>
      </c>
      <c r="G1904" s="2376">
        <f t="shared" si="429"/>
        <v>0</v>
      </c>
      <c r="H1904" s="2376"/>
      <c r="I1904" s="2376">
        <f t="shared" si="429"/>
        <v>0</v>
      </c>
      <c r="J1904" s="2376">
        <v>0</v>
      </c>
      <c r="K1904" s="2333">
        <f t="shared" si="424"/>
        <v>0</v>
      </c>
      <c r="L1904" s="2376">
        <f t="shared" si="429"/>
        <v>0</v>
      </c>
      <c r="M1904" s="2376">
        <f t="shared" si="429"/>
        <v>0</v>
      </c>
    </row>
    <row r="1905" spans="1:13" x14ac:dyDescent="0.2">
      <c r="B1905" s="2330"/>
      <c r="C1905" s="2351"/>
      <c r="D1905" s="2351"/>
      <c r="E1905" s="2351"/>
      <c r="G1905" s="2332"/>
      <c r="H1905" s="2332"/>
      <c r="I1905" s="2332"/>
      <c r="J1905" s="2332"/>
      <c r="K1905" s="2333">
        <f t="shared" si="424"/>
        <v>0</v>
      </c>
      <c r="L1905" s="2351"/>
      <c r="M1905" s="2351"/>
    </row>
    <row r="1906" spans="1:13" x14ac:dyDescent="0.2">
      <c r="B1906" s="2330" t="s">
        <v>7231</v>
      </c>
      <c r="C1906" s="2332"/>
      <c r="D1906" s="2332"/>
      <c r="E1906" s="2332"/>
      <c r="G1906" s="2332"/>
      <c r="H1906" s="2332"/>
      <c r="I1906" s="2332"/>
      <c r="J1906" s="2332"/>
      <c r="K1906" s="2333">
        <f t="shared" si="424"/>
        <v>0</v>
      </c>
      <c r="L1906" s="2332"/>
      <c r="M1906" s="2332"/>
    </row>
    <row r="1907" spans="1:13" x14ac:dyDescent="0.2">
      <c r="A1907" s="2353">
        <v>5501</v>
      </c>
      <c r="B1907" s="2334" t="s">
        <v>595</v>
      </c>
      <c r="C1907" s="2339">
        <v>3752901</v>
      </c>
      <c r="D1907" s="2335">
        <v>394440</v>
      </c>
      <c r="E1907" s="2335">
        <f>394440</f>
        <v>394440</v>
      </c>
      <c r="F1907" s="2335">
        <v>0</v>
      </c>
      <c r="G1907" s="2335">
        <f>F1907/$F$11*$G$11</f>
        <v>0</v>
      </c>
      <c r="H1907" s="2335"/>
      <c r="I1907" s="2335">
        <f>3563473</f>
        <v>3563473</v>
      </c>
      <c r="J1907" s="2335">
        <f>-[5]Sheet1!$K$1360</f>
        <v>3602301.15</v>
      </c>
      <c r="K1907" s="2336">
        <f t="shared" si="424"/>
        <v>3602301.15</v>
      </c>
      <c r="L1907" s="2335">
        <v>3477677</v>
      </c>
      <c r="M1907" s="2335">
        <v>3387096</v>
      </c>
    </row>
    <row r="1908" spans="1:13" x14ac:dyDescent="0.2">
      <c r="B1908" s="2330" t="s">
        <v>7232</v>
      </c>
      <c r="C1908" s="2376">
        <f t="shared" ref="C1908:M1908" si="430">SUM(C1907)</f>
        <v>3752901</v>
      </c>
      <c r="D1908" s="2376">
        <f t="shared" si="430"/>
        <v>394440</v>
      </c>
      <c r="E1908" s="2376">
        <f t="shared" si="430"/>
        <v>394440</v>
      </c>
      <c r="F1908" s="2376">
        <f t="shared" si="430"/>
        <v>0</v>
      </c>
      <c r="G1908" s="2376">
        <f t="shared" si="430"/>
        <v>0</v>
      </c>
      <c r="H1908" s="2376"/>
      <c r="I1908" s="2376">
        <f t="shared" si="430"/>
        <v>3563473</v>
      </c>
      <c r="J1908" s="2376">
        <f>J1907</f>
        <v>3602301.15</v>
      </c>
      <c r="K1908" s="2333">
        <f t="shared" si="424"/>
        <v>3602301.15</v>
      </c>
      <c r="L1908" s="2376">
        <f t="shared" si="430"/>
        <v>3477677</v>
      </c>
      <c r="M1908" s="2376">
        <f t="shared" si="430"/>
        <v>3387096</v>
      </c>
    </row>
    <row r="1909" spans="1:13" x14ac:dyDescent="0.2">
      <c r="B1909" s="2330"/>
      <c r="C1909" s="2375"/>
      <c r="D1909" s="2375"/>
      <c r="E1909" s="2375"/>
      <c r="G1909" s="2332"/>
      <c r="H1909" s="2332"/>
      <c r="I1909" s="2332"/>
      <c r="J1909" s="2332"/>
      <c r="K1909" s="2333">
        <f t="shared" si="424"/>
        <v>0</v>
      </c>
      <c r="L1909" s="2375"/>
      <c r="M1909" s="2375"/>
    </row>
    <row r="1910" spans="1:13" ht="13.5" thickBot="1" x14ac:dyDescent="0.25">
      <c r="B1910" s="2342" t="s">
        <v>6751</v>
      </c>
      <c r="C1910" s="2343">
        <f t="shared" ref="C1910:M1910" si="431">C1900+C1908+C1904</f>
        <v>7394139</v>
      </c>
      <c r="D1910" s="2343">
        <f t="shared" si="431"/>
        <v>18950447</v>
      </c>
      <c r="E1910" s="2343">
        <f t="shared" si="431"/>
        <v>18950447</v>
      </c>
      <c r="F1910" s="2343">
        <f t="shared" si="431"/>
        <v>4548507</v>
      </c>
      <c r="G1910" s="2343">
        <f t="shared" si="431"/>
        <v>5458208.4000000004</v>
      </c>
      <c r="H1910" s="2343"/>
      <c r="I1910" s="2343">
        <f t="shared" si="431"/>
        <v>761288</v>
      </c>
      <c r="J1910" s="2343">
        <f t="shared" si="431"/>
        <v>8954171.1799999997</v>
      </c>
      <c r="K1910" s="2344">
        <f t="shared" si="424"/>
        <v>8954171.1799999997</v>
      </c>
      <c r="L1910" s="2343">
        <f t="shared" si="431"/>
        <v>3487355</v>
      </c>
      <c r="M1910" s="2343">
        <f t="shared" si="431"/>
        <v>3397355</v>
      </c>
    </row>
    <row r="1911" spans="1:13" ht="13.5" thickTop="1" x14ac:dyDescent="0.2">
      <c r="B1911" s="2346"/>
      <c r="C1911" s="2346"/>
      <c r="D1911" s="2346"/>
      <c r="E1911" s="2346"/>
      <c r="G1911" s="2332"/>
      <c r="H1911" s="2332"/>
      <c r="I1911" s="2332"/>
      <c r="J1911" s="2332">
        <f>J1910+[5]Sheet1!$K$1357+[5]Sheet1!$K$1361+[5]Sheet1!$K$1372+[5]Sheet1!$K$1411</f>
        <v>0</v>
      </c>
      <c r="K1911" s="2333">
        <f t="shared" si="424"/>
        <v>0</v>
      </c>
      <c r="L1911" s="2346"/>
      <c r="M1911" s="2346"/>
    </row>
    <row r="1912" spans="1:13" x14ac:dyDescent="0.2">
      <c r="B1912" s="2328" t="s">
        <v>235</v>
      </c>
      <c r="C1912" s="2328"/>
      <c r="D1912" s="2328"/>
      <c r="E1912" s="2328"/>
      <c r="G1912" s="2332"/>
      <c r="H1912" s="2332"/>
      <c r="I1912" s="2332"/>
      <c r="J1912" s="2332"/>
      <c r="K1912" s="2333">
        <f t="shared" si="424"/>
        <v>0</v>
      </c>
      <c r="L1912" s="2328"/>
      <c r="M1912" s="2328"/>
    </row>
    <row r="1913" spans="1:13" x14ac:dyDescent="0.2">
      <c r="B1913" s="2328"/>
      <c r="C1913" s="2328"/>
      <c r="D1913" s="2328"/>
      <c r="E1913" s="2328"/>
      <c r="G1913" s="2332"/>
      <c r="H1913" s="2332"/>
      <c r="I1913" s="2332"/>
      <c r="J1913" s="2332"/>
      <c r="K1913" s="2333">
        <f t="shared" si="424"/>
        <v>0</v>
      </c>
      <c r="L1913" s="2328"/>
      <c r="M1913" s="2328"/>
    </row>
    <row r="1914" spans="1:13" x14ac:dyDescent="0.2">
      <c r="B1914" s="2330" t="s">
        <v>387</v>
      </c>
      <c r="C1914" s="2332"/>
      <c r="D1914" s="2332"/>
      <c r="E1914" s="2332"/>
      <c r="G1914" s="2332"/>
      <c r="H1914" s="2332"/>
      <c r="I1914" s="2332"/>
      <c r="J1914" s="2332"/>
      <c r="K1914" s="2333">
        <f t="shared" si="424"/>
        <v>0</v>
      </c>
      <c r="L1914" s="2332"/>
      <c r="M1914" s="2332"/>
    </row>
    <row r="1915" spans="1:13" x14ac:dyDescent="0.2">
      <c r="A1915" s="2353">
        <v>1001</v>
      </c>
      <c r="B1915" s="2258" t="s">
        <v>6943</v>
      </c>
      <c r="C1915" s="2332">
        <v>1496296</v>
      </c>
      <c r="D1915" s="2332">
        <v>2421816</v>
      </c>
      <c r="E1915" s="2332">
        <v>2388494</v>
      </c>
      <c r="F1915" s="2332">
        <v>1226538</v>
      </c>
      <c r="G1915" s="2332">
        <f t="shared" ref="G1915:G1927" si="432">F1915/$F$11*$G$11</f>
        <v>1471845.6</v>
      </c>
      <c r="H1915" s="2332"/>
      <c r="I1915" s="2332">
        <f>[6]Salary_Bdgt!$H$557</f>
        <v>2935413</v>
      </c>
      <c r="J1915" s="2332">
        <f>[5]Sheet1!$K$1375</f>
        <v>2759496.4299999997</v>
      </c>
      <c r="K1915" s="2333">
        <f t="shared" si="424"/>
        <v>2759496.4299999997</v>
      </c>
      <c r="L1915" s="2332">
        <f t="shared" ref="L1915:L1927" si="433">ROUND(I1915*1.08,0)</f>
        <v>3170246</v>
      </c>
      <c r="M1915" s="2332">
        <f t="shared" ref="M1915:M1927" si="434">ROUND(L1915*1.08,0)</f>
        <v>3423866</v>
      </c>
    </row>
    <row r="1916" spans="1:13" x14ac:dyDescent="0.2">
      <c r="A1916" s="2353">
        <v>1005</v>
      </c>
      <c r="B1916" s="2258" t="s">
        <v>6944</v>
      </c>
      <c r="C1916" s="2332">
        <v>38454</v>
      </c>
      <c r="D1916" s="2332">
        <v>38190</v>
      </c>
      <c r="E1916" s="2332">
        <f>+D1916</f>
        <v>38190</v>
      </c>
      <c r="F1916" s="2332">
        <v>40553</v>
      </c>
      <c r="G1916" s="2332">
        <f t="shared" si="432"/>
        <v>48663.600000000006</v>
      </c>
      <c r="H1916" s="2332"/>
      <c r="I1916" s="2332">
        <f>[6]Salary_Bdgt!$L$557</f>
        <v>125338</v>
      </c>
      <c r="J1916" s="2332">
        <f>[5]Sheet1!$K$1385</f>
        <v>122964</v>
      </c>
      <c r="K1916" s="2333">
        <f t="shared" si="424"/>
        <v>122964</v>
      </c>
      <c r="L1916" s="2332">
        <f t="shared" si="433"/>
        <v>135365</v>
      </c>
      <c r="M1916" s="2332">
        <f t="shared" si="434"/>
        <v>146194</v>
      </c>
    </row>
    <row r="1917" spans="1:13" x14ac:dyDescent="0.2">
      <c r="A1917" s="2353">
        <v>1006</v>
      </c>
      <c r="B1917" s="2258" t="s">
        <v>6945</v>
      </c>
      <c r="C1917" s="2332">
        <v>268281</v>
      </c>
      <c r="D1917" s="2332">
        <v>204561</v>
      </c>
      <c r="E1917" s="2332">
        <f>+D1917+33322</f>
        <v>237883</v>
      </c>
      <c r="F1917" s="2332">
        <v>238038</v>
      </c>
      <c r="G1917" s="2332">
        <f t="shared" si="432"/>
        <v>285645.59999999998</v>
      </c>
      <c r="H1917" s="2332"/>
      <c r="I1917" s="2332">
        <f>[6]Salary_Bdgt!$N$557</f>
        <v>485370</v>
      </c>
      <c r="J1917" s="2332">
        <f>[5]Sheet1!$K$1386</f>
        <v>449572.5</v>
      </c>
      <c r="K1917" s="2333">
        <f t="shared" si="424"/>
        <v>449572.5</v>
      </c>
      <c r="L1917" s="2332">
        <f t="shared" si="433"/>
        <v>524200</v>
      </c>
      <c r="M1917" s="2332">
        <f t="shared" si="434"/>
        <v>566136</v>
      </c>
    </row>
    <row r="1918" spans="1:13" x14ac:dyDescent="0.2">
      <c r="A1918" s="2353">
        <v>1007</v>
      </c>
      <c r="B1918" s="2258" t="s">
        <v>6410</v>
      </c>
      <c r="C1918" s="2332">
        <v>18121</v>
      </c>
      <c r="D1918" s="2332">
        <v>44297</v>
      </c>
      <c r="E1918" s="2332">
        <f t="shared" ref="E1918:E1924" si="435">+D1918</f>
        <v>44297</v>
      </c>
      <c r="F1918" s="2332">
        <v>15840</v>
      </c>
      <c r="G1918" s="2332">
        <f t="shared" si="432"/>
        <v>19008</v>
      </c>
      <c r="H1918" s="2332"/>
      <c r="I1918" s="2332">
        <f>[6]Salary_Bdgt!$I$557</f>
        <v>51606</v>
      </c>
      <c r="J1918" s="2332">
        <f>[5]Sheet1!$K$1387</f>
        <v>34052.6</v>
      </c>
      <c r="K1918" s="2333">
        <f t="shared" si="424"/>
        <v>34052.6</v>
      </c>
      <c r="L1918" s="2332">
        <f t="shared" si="433"/>
        <v>55734</v>
      </c>
      <c r="M1918" s="2332">
        <f t="shared" si="434"/>
        <v>60193</v>
      </c>
    </row>
    <row r="1919" spans="1:13" x14ac:dyDescent="0.2">
      <c r="A1919" s="2353">
        <v>1009</v>
      </c>
      <c r="B1919" s="2258" t="s">
        <v>6408</v>
      </c>
      <c r="C1919" s="2332">
        <v>1152</v>
      </c>
      <c r="D1919" s="2332">
        <f>[7]Sal_RIA!$M$427</f>
        <v>1459</v>
      </c>
      <c r="E1919" s="2332">
        <f t="shared" si="435"/>
        <v>1459</v>
      </c>
      <c r="F1919" s="2332">
        <v>908</v>
      </c>
      <c r="G1919" s="2332">
        <f t="shared" si="432"/>
        <v>1089.5999999999999</v>
      </c>
      <c r="H1919" s="2332"/>
      <c r="I1919" s="2332">
        <f>[6]Salary_Bdgt!$M$557</f>
        <v>1710</v>
      </c>
      <c r="J1919" s="2332">
        <f>[5]Sheet1!$K$1382</f>
        <v>1886</v>
      </c>
      <c r="K1919" s="2333">
        <f t="shared" si="424"/>
        <v>1886</v>
      </c>
      <c r="L1919" s="2332">
        <f t="shared" si="433"/>
        <v>1847</v>
      </c>
      <c r="M1919" s="2332">
        <f t="shared" si="434"/>
        <v>1995</v>
      </c>
    </row>
    <row r="1920" spans="1:13" x14ac:dyDescent="0.2">
      <c r="A1920" s="2353">
        <v>1010</v>
      </c>
      <c r="B1920" s="2258" t="s">
        <v>6946</v>
      </c>
      <c r="C1920" s="2332">
        <v>118281</v>
      </c>
      <c r="D1920" s="2332">
        <v>191298</v>
      </c>
      <c r="E1920" s="2332">
        <f t="shared" si="435"/>
        <v>191298</v>
      </c>
      <c r="F1920" s="2332">
        <v>123472</v>
      </c>
      <c r="G1920" s="2332">
        <f t="shared" si="432"/>
        <v>148166.40000000002</v>
      </c>
      <c r="H1920" s="2332"/>
      <c r="I1920" s="2332">
        <f>[6]Salary_Bdgt!$Q$557</f>
        <v>244618</v>
      </c>
      <c r="J1920" s="2332">
        <f>[5]Sheet1!$K$1376</f>
        <v>185822.82</v>
      </c>
      <c r="K1920" s="2333">
        <f t="shared" si="424"/>
        <v>185822.82</v>
      </c>
      <c r="L1920" s="2332">
        <f t="shared" si="433"/>
        <v>264187</v>
      </c>
      <c r="M1920" s="2332">
        <f t="shared" si="434"/>
        <v>285322</v>
      </c>
    </row>
    <row r="1921" spans="1:13" x14ac:dyDescent="0.2">
      <c r="A1921" s="2353">
        <v>1011</v>
      </c>
      <c r="B1921" s="2258" t="s">
        <v>6947</v>
      </c>
      <c r="C1921" s="2332">
        <v>7942</v>
      </c>
      <c r="D1921" s="2332">
        <v>0</v>
      </c>
      <c r="E1921" s="2332">
        <f t="shared" si="435"/>
        <v>0</v>
      </c>
      <c r="F1921" s="2332">
        <v>0</v>
      </c>
      <c r="G1921" s="2332">
        <f t="shared" si="432"/>
        <v>0</v>
      </c>
      <c r="H1921" s="2332"/>
      <c r="I1921" s="2332">
        <f>[6]Salary_Bdgt!$U$557</f>
        <v>0</v>
      </c>
      <c r="J1921" s="2332">
        <v>0</v>
      </c>
      <c r="K1921" s="2333">
        <f t="shared" si="424"/>
        <v>0</v>
      </c>
      <c r="L1921" s="2332">
        <f t="shared" si="433"/>
        <v>0</v>
      </c>
      <c r="M1921" s="2332">
        <f t="shared" si="434"/>
        <v>0</v>
      </c>
    </row>
    <row r="1922" spans="1:13" x14ac:dyDescent="0.2">
      <c r="A1922" s="2353">
        <v>1014</v>
      </c>
      <c r="B1922" s="2258" t="s">
        <v>6632</v>
      </c>
      <c r="C1922" s="2332">
        <v>727</v>
      </c>
      <c r="D1922" s="2332">
        <v>0</v>
      </c>
      <c r="E1922" s="2332">
        <f t="shared" si="435"/>
        <v>0</v>
      </c>
      <c r="F1922" s="2332">
        <v>0</v>
      </c>
      <c r="G1922" s="2332">
        <f t="shared" si="432"/>
        <v>0</v>
      </c>
      <c r="H1922" s="2332"/>
      <c r="I1922" s="2332">
        <f>[6]Salary_Bdgt!$S$557</f>
        <v>0</v>
      </c>
      <c r="J1922" s="2332">
        <v>0</v>
      </c>
      <c r="K1922" s="2333">
        <f t="shared" si="424"/>
        <v>0</v>
      </c>
      <c r="L1922" s="2332">
        <f t="shared" si="433"/>
        <v>0</v>
      </c>
      <c r="M1922" s="2332">
        <f t="shared" si="434"/>
        <v>0</v>
      </c>
    </row>
    <row r="1923" spans="1:13" x14ac:dyDescent="0.2">
      <c r="A1923" s="2353">
        <v>1015</v>
      </c>
      <c r="B1923" s="2258" t="s">
        <v>6948</v>
      </c>
      <c r="C1923" s="2332">
        <v>247551</v>
      </c>
      <c r="D1923" s="2332">
        <v>266887</v>
      </c>
      <c r="E1923" s="2332">
        <f t="shared" si="435"/>
        <v>266887</v>
      </c>
      <c r="F1923" s="2332">
        <v>210454</v>
      </c>
      <c r="G1923" s="2332">
        <f t="shared" si="432"/>
        <v>252544.80000000002</v>
      </c>
      <c r="H1923" s="2332"/>
      <c r="I1923" s="2332">
        <f>[6]Salary_Bdgt!$O$557+[6]Salary_Bdgt!$P$557+[6]Salary_Bdgt!$W$557</f>
        <v>400908</v>
      </c>
      <c r="J1923" s="2332">
        <f>[5]Sheet1!$K$1380</f>
        <v>606493.36</v>
      </c>
      <c r="K1923" s="2333">
        <f t="shared" si="424"/>
        <v>606493.36</v>
      </c>
      <c r="L1923" s="2332">
        <f t="shared" si="433"/>
        <v>432981</v>
      </c>
      <c r="M1923" s="2332">
        <f t="shared" si="434"/>
        <v>467619</v>
      </c>
    </row>
    <row r="1924" spans="1:13" x14ac:dyDescent="0.2">
      <c r="A1924" s="2353">
        <v>1016</v>
      </c>
      <c r="B1924" s="2258" t="s">
        <v>6949</v>
      </c>
      <c r="C1924" s="2332">
        <v>0</v>
      </c>
      <c r="D1924" s="2332">
        <v>48395</v>
      </c>
      <c r="E1924" s="2332">
        <f t="shared" si="435"/>
        <v>48395</v>
      </c>
      <c r="F1924" s="2332">
        <f>2070+25591</f>
        <v>27661</v>
      </c>
      <c r="G1924" s="2332">
        <f t="shared" si="432"/>
        <v>33193.199999999997</v>
      </c>
      <c r="H1924" s="2332"/>
      <c r="I1924" s="2332">
        <f>[6]Salary_Bdgt!$T$557+[6]Salary_Bdgt!$V$557</f>
        <v>51158</v>
      </c>
      <c r="J1924" s="2332">
        <f>[5]Sheet1!$K$1381</f>
        <v>2062.8000000000002</v>
      </c>
      <c r="K1924" s="2333">
        <f t="shared" si="424"/>
        <v>2062.8000000000002</v>
      </c>
      <c r="L1924" s="2332">
        <f t="shared" si="433"/>
        <v>55251</v>
      </c>
      <c r="M1924" s="2332">
        <f t="shared" si="434"/>
        <v>59671</v>
      </c>
    </row>
    <row r="1925" spans="1:13" x14ac:dyDescent="0.2">
      <c r="A1925" s="2353">
        <v>1046</v>
      </c>
      <c r="B1925" s="2258" t="s">
        <v>6951</v>
      </c>
      <c r="C1925" s="2332">
        <v>0</v>
      </c>
      <c r="D1925" s="2332">
        <v>0</v>
      </c>
      <c r="E1925" s="2332">
        <v>0</v>
      </c>
      <c r="F1925" s="2332">
        <v>0</v>
      </c>
      <c r="G1925" s="2332">
        <f t="shared" si="432"/>
        <v>0</v>
      </c>
      <c r="H1925" s="2332"/>
      <c r="I1925" s="2332">
        <f>[6]Salary_Bdgt!$R$557</f>
        <v>0</v>
      </c>
      <c r="J1925" s="2332">
        <v>0</v>
      </c>
      <c r="K1925" s="2333">
        <f t="shared" si="424"/>
        <v>0</v>
      </c>
      <c r="L1925" s="2332">
        <f t="shared" si="433"/>
        <v>0</v>
      </c>
      <c r="M1925" s="2332">
        <f t="shared" si="434"/>
        <v>0</v>
      </c>
    </row>
    <row r="1926" spans="1:13" x14ac:dyDescent="0.2">
      <c r="A1926" s="2353">
        <v>1017</v>
      </c>
      <c r="B1926" s="2258" t="s">
        <v>6950</v>
      </c>
      <c r="C1926" s="2332">
        <v>21012</v>
      </c>
      <c r="D1926" s="2332">
        <v>49071</v>
      </c>
      <c r="E1926" s="2332">
        <f>+D1926</f>
        <v>49071</v>
      </c>
      <c r="F1926" s="2332">
        <v>7610</v>
      </c>
      <c r="G1926" s="2332">
        <f t="shared" si="432"/>
        <v>9132</v>
      </c>
      <c r="H1926" s="2332"/>
      <c r="I1926" s="2332">
        <f>[6]Salary_Bdgt!$J$557</f>
        <v>59486</v>
      </c>
      <c r="J1926" s="2332">
        <f>[5]Sheet1!$K$1383</f>
        <v>33023.040000000001</v>
      </c>
      <c r="K1926" s="2333">
        <f t="shared" si="424"/>
        <v>33023.040000000001</v>
      </c>
      <c r="L1926" s="2332">
        <f t="shared" si="433"/>
        <v>64245</v>
      </c>
      <c r="M1926" s="2332">
        <f t="shared" si="434"/>
        <v>69385</v>
      </c>
    </row>
    <row r="1927" spans="1:13" x14ac:dyDescent="0.2">
      <c r="A1927" s="2353">
        <v>1182</v>
      </c>
      <c r="B1927" s="2334" t="s">
        <v>6952</v>
      </c>
      <c r="C1927" s="2335">
        <v>16676</v>
      </c>
      <c r="D1927" s="2335">
        <v>45636</v>
      </c>
      <c r="E1927" s="2335">
        <f>+D1927</f>
        <v>45636</v>
      </c>
      <c r="F1927" s="2335">
        <v>0</v>
      </c>
      <c r="G1927" s="2335">
        <f t="shared" si="432"/>
        <v>0</v>
      </c>
      <c r="H1927" s="2335"/>
      <c r="I1927" s="2335">
        <f>[6]Salary_Bdgt!$K$557</f>
        <v>55322</v>
      </c>
      <c r="J1927" s="2335">
        <f>[5]Sheet1!$K$1384</f>
        <v>18876.75</v>
      </c>
      <c r="K1927" s="2336">
        <f t="shared" si="424"/>
        <v>18876.75</v>
      </c>
      <c r="L1927" s="2335">
        <f t="shared" si="433"/>
        <v>59748</v>
      </c>
      <c r="M1927" s="2335">
        <f t="shared" si="434"/>
        <v>64528</v>
      </c>
    </row>
    <row r="1928" spans="1:13" x14ac:dyDescent="0.2">
      <c r="A1928" s="2353"/>
      <c r="B1928" s="2330" t="s">
        <v>6588</v>
      </c>
      <c r="C1928" s="2349">
        <f t="shared" ref="C1928:M1928" si="436">SUM(C1915:C1927)</f>
        <v>2234493</v>
      </c>
      <c r="D1928" s="2349">
        <f t="shared" si="436"/>
        <v>3311610</v>
      </c>
      <c r="E1928" s="2349">
        <f t="shared" si="436"/>
        <v>3311610</v>
      </c>
      <c r="F1928" s="2349">
        <f t="shared" si="436"/>
        <v>1891074</v>
      </c>
      <c r="G1928" s="2349">
        <f t="shared" si="436"/>
        <v>2269288.8000000003</v>
      </c>
      <c r="H1928" s="2349"/>
      <c r="I1928" s="2349">
        <f t="shared" si="436"/>
        <v>4410929</v>
      </c>
      <c r="J1928" s="2349">
        <f>SUM(J1915:J1927)</f>
        <v>4214250.2999999989</v>
      </c>
      <c r="K1928" s="2333">
        <f t="shared" si="424"/>
        <v>4214250.2999999989</v>
      </c>
      <c r="L1928" s="2349">
        <f t="shared" si="436"/>
        <v>4763804</v>
      </c>
      <c r="M1928" s="2349">
        <f t="shared" si="436"/>
        <v>5144909</v>
      </c>
    </row>
    <row r="1929" spans="1:13" x14ac:dyDescent="0.2">
      <c r="A1929" s="2353"/>
      <c r="B1929" s="2330"/>
      <c r="C1929" s="2332"/>
      <c r="D1929" s="2332"/>
      <c r="E1929" s="2332"/>
      <c r="F1929" s="2309"/>
      <c r="G1929" s="2332"/>
      <c r="H1929" s="2332"/>
      <c r="I1929" s="2332"/>
      <c r="J1929" s="2332">
        <f>J1928-[5]Sheet1!$K$1388</f>
        <v>0</v>
      </c>
      <c r="K1929" s="2333">
        <f t="shared" si="424"/>
        <v>0</v>
      </c>
      <c r="L1929" s="2332"/>
      <c r="M1929" s="2332"/>
    </row>
    <row r="1930" spans="1:13" x14ac:dyDescent="0.2">
      <c r="A1930" s="2353"/>
      <c r="B1930" s="2330" t="s">
        <v>6673</v>
      </c>
      <c r="C1930" s="2386"/>
      <c r="D1930" s="2386"/>
      <c r="E1930" s="2386"/>
      <c r="F1930" s="2309"/>
      <c r="G1930" s="2332"/>
      <c r="H1930" s="2332"/>
      <c r="I1930" s="2332"/>
      <c r="J1930" s="2332"/>
      <c r="K1930" s="2333">
        <f t="shared" si="424"/>
        <v>0</v>
      </c>
      <c r="L1930" s="2332"/>
      <c r="M1930" s="2332"/>
    </row>
    <row r="1931" spans="1:13" x14ac:dyDescent="0.2">
      <c r="A1931" s="2353">
        <v>2500</v>
      </c>
      <c r="B1931" s="2334" t="s">
        <v>7070</v>
      </c>
      <c r="C1931" s="2335">
        <v>1790043</v>
      </c>
      <c r="D1931" s="2335">
        <v>394440</v>
      </c>
      <c r="E1931" s="2335">
        <v>394440</v>
      </c>
      <c r="F1931" s="2335">
        <v>0</v>
      </c>
      <c r="G1931" s="2335">
        <f>F1931/$F$11*$G$11</f>
        <v>0</v>
      </c>
      <c r="H1931" s="2335"/>
      <c r="I1931" s="2335">
        <f>ROUND(+I1889*0.1,0)+226407</f>
        <v>226407</v>
      </c>
      <c r="J1931" s="2335">
        <f>[5]Sheet1!$K$1391</f>
        <v>378039.65</v>
      </c>
      <c r="K1931" s="2336">
        <f t="shared" si="424"/>
        <v>378039.65</v>
      </c>
      <c r="L1931" s="2335">
        <f>ROUND(L1889*0.1,0)</f>
        <v>0</v>
      </c>
      <c r="M1931" s="2335">
        <f>ROUND(M1889*0.1,0)</f>
        <v>0</v>
      </c>
    </row>
    <row r="1932" spans="1:13" x14ac:dyDescent="0.2">
      <c r="A1932" s="2353"/>
      <c r="B1932" s="2330" t="s">
        <v>6674</v>
      </c>
      <c r="C1932" s="2349">
        <f t="shared" ref="C1932:M1932" si="437">SUM(C1931)</f>
        <v>1790043</v>
      </c>
      <c r="D1932" s="2349">
        <f t="shared" si="437"/>
        <v>394440</v>
      </c>
      <c r="E1932" s="2349">
        <f t="shared" si="437"/>
        <v>394440</v>
      </c>
      <c r="F1932" s="2349">
        <f t="shared" si="437"/>
        <v>0</v>
      </c>
      <c r="G1932" s="2349">
        <f t="shared" si="437"/>
        <v>0</v>
      </c>
      <c r="H1932" s="2349"/>
      <c r="I1932" s="2349">
        <f t="shared" si="437"/>
        <v>226407</v>
      </c>
      <c r="J1932" s="2349">
        <f>J1931</f>
        <v>378039.65</v>
      </c>
      <c r="K1932" s="2333">
        <f t="shared" si="424"/>
        <v>378039.65</v>
      </c>
      <c r="L1932" s="2349">
        <f t="shared" si="437"/>
        <v>0</v>
      </c>
      <c r="M1932" s="2349">
        <f t="shared" si="437"/>
        <v>0</v>
      </c>
    </row>
    <row r="1933" spans="1:13" x14ac:dyDescent="0.2">
      <c r="A1933" s="2353"/>
      <c r="B1933" s="2330"/>
      <c r="C1933" s="2332"/>
      <c r="D1933" s="2332"/>
      <c r="E1933" s="2332"/>
      <c r="G1933" s="2332"/>
      <c r="H1933" s="2332"/>
      <c r="I1933" s="2332"/>
      <c r="J1933" s="2332">
        <f>J1932-[5]Sheet1!$K$1392</f>
        <v>0</v>
      </c>
      <c r="K1933" s="2333">
        <f t="shared" si="424"/>
        <v>0</v>
      </c>
      <c r="L1933" s="2332"/>
      <c r="M1933" s="2332"/>
    </row>
    <row r="1934" spans="1:13" x14ac:dyDescent="0.2">
      <c r="A1934" s="2353"/>
      <c r="B1934" s="2330" t="s">
        <v>7040</v>
      </c>
      <c r="C1934" s="2332"/>
      <c r="D1934" s="2386"/>
      <c r="E1934" s="2386"/>
      <c r="G1934" s="2332"/>
      <c r="H1934" s="2332"/>
      <c r="I1934" s="2332"/>
      <c r="J1934" s="2332"/>
      <c r="K1934" s="2333">
        <f t="shared" si="424"/>
        <v>0</v>
      </c>
      <c r="L1934" s="2332"/>
      <c r="M1934" s="2332"/>
    </row>
    <row r="1935" spans="1:13" x14ac:dyDescent="0.2">
      <c r="A1935" s="2353"/>
      <c r="B1935" s="2334" t="s">
        <v>7082</v>
      </c>
      <c r="C1935" s="2335">
        <v>0</v>
      </c>
      <c r="D1935" s="2335">
        <v>0</v>
      </c>
      <c r="E1935" s="2335">
        <v>0</v>
      </c>
      <c r="F1935" s="2335">
        <v>0</v>
      </c>
      <c r="G1935" s="2335">
        <f>F1935/$F$11*$G$11</f>
        <v>0</v>
      </c>
      <c r="H1935" s="2335"/>
      <c r="I1935" s="2335">
        <v>0</v>
      </c>
      <c r="J1935" s="2335">
        <v>0</v>
      </c>
      <c r="K1935" s="2336">
        <f t="shared" si="424"/>
        <v>0</v>
      </c>
      <c r="L1935" s="2335">
        <v>0</v>
      </c>
      <c r="M1935" s="2335">
        <v>0</v>
      </c>
    </row>
    <row r="1936" spans="1:13" x14ac:dyDescent="0.2">
      <c r="A1936" s="2353"/>
      <c r="B1936" s="2330" t="s">
        <v>7041</v>
      </c>
      <c r="C1936" s="2349">
        <f t="shared" ref="C1936:M1936" si="438">SUM(C1935:C1935)</f>
        <v>0</v>
      </c>
      <c r="D1936" s="2349">
        <f t="shared" si="438"/>
        <v>0</v>
      </c>
      <c r="E1936" s="2349">
        <f t="shared" si="438"/>
        <v>0</v>
      </c>
      <c r="F1936" s="2349">
        <f t="shared" si="438"/>
        <v>0</v>
      </c>
      <c r="G1936" s="2349">
        <f t="shared" si="438"/>
        <v>0</v>
      </c>
      <c r="H1936" s="2349"/>
      <c r="I1936" s="2349">
        <f t="shared" si="438"/>
        <v>0</v>
      </c>
      <c r="J1936" s="2349">
        <v>0</v>
      </c>
      <c r="K1936" s="2333">
        <f t="shared" si="424"/>
        <v>0</v>
      </c>
      <c r="L1936" s="2349">
        <f t="shared" si="438"/>
        <v>0</v>
      </c>
      <c r="M1936" s="2349">
        <f t="shared" si="438"/>
        <v>0</v>
      </c>
    </row>
    <row r="1937" spans="1:13" x14ac:dyDescent="0.2">
      <c r="A1937" s="2353"/>
      <c r="B1937" s="2330"/>
      <c r="C1937" s="2332"/>
      <c r="D1937" s="2332"/>
      <c r="E1937" s="2332"/>
      <c r="G1937" s="2332"/>
      <c r="H1937" s="2332"/>
      <c r="I1937" s="2332"/>
      <c r="J1937" s="2332"/>
      <c r="K1937" s="2333">
        <f t="shared" si="424"/>
        <v>0</v>
      </c>
      <c r="L1937" s="2332"/>
      <c r="M1937" s="2332"/>
    </row>
    <row r="1938" spans="1:13" x14ac:dyDescent="0.2">
      <c r="A1938" s="2353"/>
      <c r="B1938" s="2330" t="s">
        <v>6953</v>
      </c>
      <c r="C1938" s="2332"/>
      <c r="D1938" s="2332"/>
      <c r="E1938" s="2332"/>
      <c r="G1938" s="2332"/>
      <c r="H1938" s="2332"/>
      <c r="I1938" s="2332"/>
      <c r="J1938" s="2332"/>
      <c r="K1938" s="2333">
        <f t="shared" si="424"/>
        <v>0</v>
      </c>
      <c r="L1938" s="2332"/>
      <c r="M1938" s="2332"/>
    </row>
    <row r="1939" spans="1:13" x14ac:dyDescent="0.2">
      <c r="A1939" s="2329">
        <v>3205</v>
      </c>
      <c r="B1939" s="2258" t="s">
        <v>200</v>
      </c>
      <c r="C1939" s="2332">
        <v>581</v>
      </c>
      <c r="D1939" s="2332">
        <v>105000</v>
      </c>
      <c r="E1939" s="2332">
        <v>105000</v>
      </c>
      <c r="F1939" s="2332">
        <v>6683</v>
      </c>
      <c r="G1939" s="2332">
        <f t="shared" ref="G1939:G1944" si="439">F1939/$F$11*$G$11</f>
        <v>8019.5999999999995</v>
      </c>
      <c r="H1939" s="2332"/>
      <c r="I1939" s="2332">
        <v>0</v>
      </c>
      <c r="J1939" s="2332">
        <v>0</v>
      </c>
      <c r="K1939" s="2333">
        <f t="shared" si="424"/>
        <v>0</v>
      </c>
      <c r="L1939" s="2332">
        <f t="shared" ref="L1939:L1944" si="440">ROUND(I1939*1.06,0)</f>
        <v>0</v>
      </c>
      <c r="M1939" s="2332">
        <f t="shared" ref="M1939:M1944" si="441">ROUND(L1939*1.06,0)</f>
        <v>0</v>
      </c>
    </row>
    <row r="1940" spans="1:13" x14ac:dyDescent="0.2">
      <c r="A1940" s="2353">
        <v>3211</v>
      </c>
      <c r="B1940" s="2258" t="s">
        <v>139</v>
      </c>
      <c r="C1940" s="2332">
        <v>0</v>
      </c>
      <c r="D1940" s="2332">
        <v>50000</v>
      </c>
      <c r="E1940" s="2332">
        <v>50000</v>
      </c>
      <c r="F1940" s="2332">
        <v>0</v>
      </c>
      <c r="G1940" s="2332">
        <f t="shared" si="439"/>
        <v>0</v>
      </c>
      <c r="H1940" s="2332"/>
      <c r="I1940" s="2332">
        <v>0</v>
      </c>
      <c r="J1940" s="2332">
        <v>0</v>
      </c>
      <c r="K1940" s="2333">
        <f t="shared" si="424"/>
        <v>0</v>
      </c>
      <c r="L1940" s="2332">
        <f t="shared" si="440"/>
        <v>0</v>
      </c>
      <c r="M1940" s="2332">
        <f t="shared" si="441"/>
        <v>0</v>
      </c>
    </row>
    <row r="1941" spans="1:13" x14ac:dyDescent="0.2">
      <c r="A1941" s="2329">
        <v>3215</v>
      </c>
      <c r="B1941" s="2258" t="s">
        <v>6955</v>
      </c>
      <c r="C1941" s="2332">
        <v>43454</v>
      </c>
      <c r="D1941" s="2332">
        <v>105000</v>
      </c>
      <c r="E1941" s="2332">
        <v>105000</v>
      </c>
      <c r="F1941" s="2332">
        <v>54980</v>
      </c>
      <c r="G1941" s="2332">
        <f t="shared" si="439"/>
        <v>65976</v>
      </c>
      <c r="H1941" s="2332"/>
      <c r="I1941" s="2332">
        <v>0</v>
      </c>
      <c r="J1941" s="2332">
        <v>0</v>
      </c>
      <c r="K1941" s="2333">
        <f t="shared" ref="K1941:K2004" si="442">J1941</f>
        <v>0</v>
      </c>
      <c r="L1941" s="2332">
        <f t="shared" si="440"/>
        <v>0</v>
      </c>
      <c r="M1941" s="2332">
        <f t="shared" si="441"/>
        <v>0</v>
      </c>
    </row>
    <row r="1942" spans="1:13" x14ac:dyDescent="0.2">
      <c r="A1942" s="2353">
        <v>3216</v>
      </c>
      <c r="B1942" s="2258" t="s">
        <v>7233</v>
      </c>
      <c r="C1942" s="2332">
        <v>401269</v>
      </c>
      <c r="D1942" s="2332">
        <v>410000</v>
      </c>
      <c r="E1942" s="2332">
        <v>410000</v>
      </c>
      <c r="F1942" s="2332">
        <v>424044</v>
      </c>
      <c r="G1942" s="2332">
        <f t="shared" si="439"/>
        <v>508852.80000000005</v>
      </c>
      <c r="H1942" s="2332"/>
      <c r="I1942" s="2332">
        <v>0</v>
      </c>
      <c r="J1942" s="2332">
        <v>0</v>
      </c>
      <c r="K1942" s="2333">
        <f t="shared" si="442"/>
        <v>0</v>
      </c>
      <c r="L1942" s="2332">
        <f t="shared" si="440"/>
        <v>0</v>
      </c>
      <c r="M1942" s="2332">
        <f t="shared" si="441"/>
        <v>0</v>
      </c>
    </row>
    <row r="1943" spans="1:13" x14ac:dyDescent="0.2">
      <c r="A1943" s="2353">
        <v>3378</v>
      </c>
      <c r="B1943" s="2258" t="s">
        <v>7212</v>
      </c>
      <c r="C1943" s="2332">
        <v>240082</v>
      </c>
      <c r="D1943" s="2332">
        <v>0</v>
      </c>
      <c r="E1943" s="2332">
        <v>0</v>
      </c>
      <c r="F1943" s="2332">
        <v>342547</v>
      </c>
      <c r="G1943" s="2332">
        <f t="shared" si="439"/>
        <v>411056.39999999997</v>
      </c>
      <c r="H1943" s="2332"/>
      <c r="I1943" s="2332">
        <v>0</v>
      </c>
      <c r="J1943" s="2332">
        <v>0</v>
      </c>
      <c r="K1943" s="2333">
        <f t="shared" si="442"/>
        <v>0</v>
      </c>
      <c r="L1943" s="2332">
        <f t="shared" si="440"/>
        <v>0</v>
      </c>
      <c r="M1943" s="2332">
        <f t="shared" si="441"/>
        <v>0</v>
      </c>
    </row>
    <row r="1944" spans="1:13" x14ac:dyDescent="0.2">
      <c r="A1944" s="2353">
        <v>3206</v>
      </c>
      <c r="B1944" s="2334" t="s">
        <v>7164</v>
      </c>
      <c r="C1944" s="2335">
        <v>3701</v>
      </c>
      <c r="D1944" s="2335">
        <v>10500</v>
      </c>
      <c r="E1944" s="2335">
        <v>10500</v>
      </c>
      <c r="F1944" s="2335">
        <v>26648</v>
      </c>
      <c r="G1944" s="2335">
        <f t="shared" si="439"/>
        <v>31977.600000000002</v>
      </c>
      <c r="H1944" s="2335"/>
      <c r="I1944" s="2335">
        <v>0</v>
      </c>
      <c r="J1944" s="2335">
        <v>0</v>
      </c>
      <c r="K1944" s="2336">
        <f t="shared" si="442"/>
        <v>0</v>
      </c>
      <c r="L1944" s="2335">
        <f t="shared" si="440"/>
        <v>0</v>
      </c>
      <c r="M1944" s="2335">
        <f t="shared" si="441"/>
        <v>0</v>
      </c>
    </row>
    <row r="1945" spans="1:13" x14ac:dyDescent="0.2">
      <c r="B1945" s="2330" t="s">
        <v>6956</v>
      </c>
      <c r="C1945" s="2349">
        <f>SUM(C1939:C1944)</f>
        <v>689087</v>
      </c>
      <c r="D1945" s="2349">
        <f t="shared" ref="D1945:M1945" si="443">SUM(D1939:D1944)</f>
        <v>680500</v>
      </c>
      <c r="E1945" s="2349">
        <f t="shared" si="443"/>
        <v>680500</v>
      </c>
      <c r="F1945" s="2349">
        <f t="shared" si="443"/>
        <v>854902</v>
      </c>
      <c r="G1945" s="2349">
        <f t="shared" si="443"/>
        <v>1025882.4</v>
      </c>
      <c r="H1945" s="2349"/>
      <c r="I1945" s="2349">
        <f t="shared" si="443"/>
        <v>0</v>
      </c>
      <c r="J1945" s="2349">
        <v>0</v>
      </c>
      <c r="K1945" s="2333">
        <f t="shared" si="442"/>
        <v>0</v>
      </c>
      <c r="L1945" s="2349">
        <f t="shared" si="443"/>
        <v>0</v>
      </c>
      <c r="M1945" s="2349">
        <f t="shared" si="443"/>
        <v>0</v>
      </c>
    </row>
    <row r="1946" spans="1:13" x14ac:dyDescent="0.2">
      <c r="B1946" s="2330"/>
      <c r="C1946" s="2349"/>
      <c r="D1946" s="2349"/>
      <c r="E1946" s="2349"/>
      <c r="G1946" s="2332"/>
      <c r="H1946" s="2332"/>
      <c r="I1946" s="2332"/>
      <c r="J1946" s="2332"/>
      <c r="K1946" s="2333">
        <f t="shared" si="442"/>
        <v>0</v>
      </c>
      <c r="L1946" s="2349"/>
      <c r="M1946" s="2349"/>
    </row>
    <row r="1947" spans="1:13" ht="15" x14ac:dyDescent="0.25">
      <c r="A1947" s="2365">
        <v>2110</v>
      </c>
      <c r="B1947" s="2326" t="s">
        <v>7234</v>
      </c>
      <c r="C1947" s="2349"/>
      <c r="D1947" s="2349"/>
      <c r="E1947" s="2349"/>
      <c r="G1947" s="2332"/>
      <c r="H1947" s="2332"/>
      <c r="I1947" s="2332"/>
      <c r="J1947" s="2332"/>
      <c r="K1947" s="2333">
        <f t="shared" si="442"/>
        <v>0</v>
      </c>
      <c r="L1947" s="2349"/>
      <c r="M1947" s="2349"/>
    </row>
    <row r="1948" spans="1:13" x14ac:dyDescent="0.2">
      <c r="B1948" s="2330"/>
      <c r="C1948" s="2349"/>
      <c r="D1948" s="2349"/>
      <c r="E1948" s="2349"/>
      <c r="G1948" s="2332"/>
      <c r="H1948" s="2332"/>
      <c r="I1948" s="2332"/>
      <c r="J1948" s="2332"/>
      <c r="K1948" s="2333">
        <f t="shared" si="442"/>
        <v>0</v>
      </c>
      <c r="L1948" s="2349"/>
      <c r="M1948" s="2349"/>
    </row>
    <row r="1949" spans="1:13" x14ac:dyDescent="0.2">
      <c r="B1949" s="2330" t="s">
        <v>6599</v>
      </c>
      <c r="C1949" s="2332"/>
      <c r="D1949" s="2332"/>
      <c r="E1949" s="2332"/>
      <c r="G1949" s="2332"/>
      <c r="H1949" s="2332"/>
      <c r="I1949" s="2332"/>
      <c r="J1949" s="2332"/>
      <c r="K1949" s="2333">
        <f t="shared" si="442"/>
        <v>0</v>
      </c>
      <c r="L1949" s="2332"/>
      <c r="M1949" s="2332"/>
    </row>
    <row r="1950" spans="1:13" x14ac:dyDescent="0.2">
      <c r="A1950" s="2353">
        <v>2104</v>
      </c>
      <c r="B1950" s="2258" t="s">
        <v>1630</v>
      </c>
      <c r="C1950" s="2332">
        <v>0</v>
      </c>
      <c r="D1950" s="2332">
        <v>84000</v>
      </c>
      <c r="E1950" s="2332">
        <v>84000</v>
      </c>
      <c r="F1950" s="2332">
        <v>0</v>
      </c>
      <c r="G1950" s="2332">
        <f t="shared" ref="G1950:G1967" si="444">F1950/$F$11*$G$11</f>
        <v>0</v>
      </c>
      <c r="H1950" s="2332"/>
      <c r="I1950" s="2332">
        <f>ROUND(E1950*1.05,0)</f>
        <v>88200</v>
      </c>
      <c r="J1950" s="2332">
        <f>[5]Sheet1!$K$1436</f>
        <v>30095.360000000001</v>
      </c>
      <c r="K1950" s="2333">
        <f t="shared" si="442"/>
        <v>30095.360000000001</v>
      </c>
      <c r="L1950" s="2332">
        <f t="shared" ref="L1950:L1967" si="445">ROUND(I1950*1.06,0)</f>
        <v>93492</v>
      </c>
      <c r="M1950" s="2332">
        <f t="shared" ref="M1950:M1967" si="446">ROUND(L1950*1.06,0)</f>
        <v>99102</v>
      </c>
    </row>
    <row r="1951" spans="1:13" x14ac:dyDescent="0.2">
      <c r="A1951" s="2329">
        <v>2113</v>
      </c>
      <c r="B1951" s="2258" t="s">
        <v>6958</v>
      </c>
      <c r="C1951" s="2332">
        <v>38</v>
      </c>
      <c r="D1951" s="2332">
        <v>5250</v>
      </c>
      <c r="E1951" s="2332">
        <v>5250</v>
      </c>
      <c r="F1951" s="2332">
        <v>158</v>
      </c>
      <c r="G1951" s="2332">
        <f t="shared" si="444"/>
        <v>189.60000000000002</v>
      </c>
      <c r="H1951" s="2332"/>
      <c r="I1951" s="2332">
        <f>ROUND(E1951*1.05,0)</f>
        <v>5513</v>
      </c>
      <c r="J1951" s="2332">
        <f>[5]Sheet1!$K$1415</f>
        <v>1879.98</v>
      </c>
      <c r="K1951" s="2333">
        <f t="shared" si="442"/>
        <v>1879.98</v>
      </c>
      <c r="L1951" s="2332">
        <f t="shared" si="445"/>
        <v>5844</v>
      </c>
      <c r="M1951" s="2332">
        <f t="shared" si="446"/>
        <v>6195</v>
      </c>
    </row>
    <row r="1952" spans="1:13" x14ac:dyDescent="0.2">
      <c r="A1952" s="2353">
        <v>2116</v>
      </c>
      <c r="B1952" s="2258" t="s">
        <v>7165</v>
      </c>
      <c r="C1952" s="2332">
        <v>60899</v>
      </c>
      <c r="D1952" s="2332">
        <v>406250</v>
      </c>
      <c r="E1952" s="2332">
        <v>406250</v>
      </c>
      <c r="F1952" s="2332">
        <v>183314</v>
      </c>
      <c r="G1952" s="2332">
        <f t="shared" si="444"/>
        <v>219976.80000000002</v>
      </c>
      <c r="H1952" s="2332"/>
      <c r="I1952" s="2332">
        <f>ROUND(E1952*1.05,0)</f>
        <v>426563</v>
      </c>
      <c r="J1952" s="2332">
        <f>[5]Sheet1!$K$1433</f>
        <v>126512.5</v>
      </c>
      <c r="K1952" s="2333">
        <f t="shared" si="442"/>
        <v>126512.5</v>
      </c>
      <c r="L1952" s="2332">
        <f t="shared" si="445"/>
        <v>452157</v>
      </c>
      <c r="M1952" s="2332">
        <f t="shared" si="446"/>
        <v>479286</v>
      </c>
    </row>
    <row r="1953" spans="1:13" x14ac:dyDescent="0.2">
      <c r="A1953" s="2353">
        <v>2217</v>
      </c>
      <c r="B1953" s="2258" t="s">
        <v>1101</v>
      </c>
      <c r="C1953" s="2332">
        <v>13631</v>
      </c>
      <c r="D1953" s="2332">
        <v>0</v>
      </c>
      <c r="E1953" s="2332">
        <v>0</v>
      </c>
      <c r="F1953" s="2332">
        <v>0</v>
      </c>
      <c r="G1953" s="2332">
        <f t="shared" si="444"/>
        <v>0</v>
      </c>
      <c r="H1953" s="2332"/>
      <c r="I1953" s="2332">
        <f>5000+36540+5060+48000+9000+32204+38400+6480+6000</f>
        <v>186684</v>
      </c>
      <c r="J1953" s="2332">
        <f>[5]Sheet1!$K$1418</f>
        <v>30000</v>
      </c>
      <c r="K1953" s="2333">
        <f t="shared" si="442"/>
        <v>30000</v>
      </c>
      <c r="L1953" s="2332">
        <f t="shared" si="445"/>
        <v>197885</v>
      </c>
      <c r="M1953" s="2332">
        <f t="shared" si="446"/>
        <v>209758</v>
      </c>
    </row>
    <row r="1954" spans="1:13" x14ac:dyDescent="0.2">
      <c r="A1954" s="2353">
        <v>2223</v>
      </c>
      <c r="B1954" s="2258" t="s">
        <v>7166</v>
      </c>
      <c r="C1954" s="2332">
        <v>32839</v>
      </c>
      <c r="D1954" s="2332">
        <v>31500</v>
      </c>
      <c r="E1954" s="2332">
        <v>31500</v>
      </c>
      <c r="F1954" s="2332">
        <v>7339</v>
      </c>
      <c r="G1954" s="2332">
        <f t="shared" si="444"/>
        <v>8806.7999999999993</v>
      </c>
      <c r="H1954" s="2332"/>
      <c r="I1954" s="2332">
        <f>ROUND(E1954*1.05,0)</f>
        <v>33075</v>
      </c>
      <c r="J1954" s="2332">
        <f>[5]Sheet1!$K$1419</f>
        <v>0</v>
      </c>
      <c r="K1954" s="2333">
        <f t="shared" si="442"/>
        <v>0</v>
      </c>
      <c r="L1954" s="2332">
        <f t="shared" si="445"/>
        <v>35060</v>
      </c>
      <c r="M1954" s="2332">
        <f t="shared" si="446"/>
        <v>37164</v>
      </c>
    </row>
    <row r="1955" spans="1:13" x14ac:dyDescent="0.2">
      <c r="A1955" s="2353">
        <v>2224</v>
      </c>
      <c r="B1955" s="2258" t="s">
        <v>6964</v>
      </c>
      <c r="C1955" s="2332">
        <v>1269</v>
      </c>
      <c r="D1955" s="2332">
        <v>2074</v>
      </c>
      <c r="E1955" s="2332">
        <v>2074</v>
      </c>
      <c r="F1955" s="2332">
        <v>0</v>
      </c>
      <c r="G1955" s="2332">
        <f t="shared" si="444"/>
        <v>0</v>
      </c>
      <c r="H1955" s="2332"/>
      <c r="I1955" s="2332">
        <f>ROUND(E1955*1.05,0)</f>
        <v>2178</v>
      </c>
      <c r="J1955" s="2332">
        <f>[5]Sheet1!$K$1420</f>
        <v>0</v>
      </c>
      <c r="K1955" s="2333">
        <f t="shared" si="442"/>
        <v>0</v>
      </c>
      <c r="L1955" s="2332">
        <f t="shared" si="445"/>
        <v>2309</v>
      </c>
      <c r="M1955" s="2332">
        <f t="shared" si="446"/>
        <v>2448</v>
      </c>
    </row>
    <row r="1956" spans="1:13" x14ac:dyDescent="0.2">
      <c r="A1956" s="2353">
        <v>2227</v>
      </c>
      <c r="B1956" s="2258" t="s">
        <v>231</v>
      </c>
      <c r="C1956" s="2332">
        <v>2372</v>
      </c>
      <c r="D1956" s="2332">
        <v>10500</v>
      </c>
      <c r="E1956" s="2332">
        <v>10500</v>
      </c>
      <c r="F1956" s="2332">
        <f>1310+20949</f>
        <v>22259</v>
      </c>
      <c r="G1956" s="2332">
        <f t="shared" si="444"/>
        <v>26710.800000000003</v>
      </c>
      <c r="H1956" s="2332"/>
      <c r="I1956" s="2332">
        <f>ROUND(E1956*1.05,0)</f>
        <v>11025</v>
      </c>
      <c r="J1956" s="2332">
        <f>[5]Sheet1!$K$1421</f>
        <v>16991.099999999999</v>
      </c>
      <c r="K1956" s="2333">
        <f t="shared" si="442"/>
        <v>16991.099999999999</v>
      </c>
      <c r="L1956" s="2332">
        <f t="shared" si="445"/>
        <v>11687</v>
      </c>
      <c r="M1956" s="2332">
        <f t="shared" si="446"/>
        <v>12388</v>
      </c>
    </row>
    <row r="1957" spans="1:13" x14ac:dyDescent="0.2">
      <c r="A1957" s="2329">
        <v>2233</v>
      </c>
      <c r="B1957" s="2258" t="s">
        <v>6966</v>
      </c>
      <c r="C1957" s="2332">
        <v>0</v>
      </c>
      <c r="D1957" s="2332">
        <v>31500</v>
      </c>
      <c r="E1957" s="2332">
        <v>31500</v>
      </c>
      <c r="F1957" s="2332">
        <v>0</v>
      </c>
      <c r="G1957" s="2332">
        <f t="shared" si="444"/>
        <v>0</v>
      </c>
      <c r="H1957" s="2332"/>
      <c r="I1957" s="2332">
        <v>0</v>
      </c>
      <c r="J1957" s="2332">
        <v>0</v>
      </c>
      <c r="K1957" s="2333">
        <f t="shared" si="442"/>
        <v>0</v>
      </c>
      <c r="L1957" s="2332">
        <f t="shared" si="445"/>
        <v>0</v>
      </c>
      <c r="M1957" s="2332">
        <f t="shared" si="446"/>
        <v>0</v>
      </c>
    </row>
    <row r="1958" spans="1:13" x14ac:dyDescent="0.2">
      <c r="A1958" s="2353">
        <v>2237</v>
      </c>
      <c r="B1958" s="2258" t="s">
        <v>6843</v>
      </c>
      <c r="C1958" s="2332">
        <v>1249996</v>
      </c>
      <c r="D1958" s="2332">
        <v>1365000</v>
      </c>
      <c r="E1958" s="2332">
        <v>1365000</v>
      </c>
      <c r="F1958" s="2332">
        <v>1353043</v>
      </c>
      <c r="G1958" s="2332">
        <f t="shared" si="444"/>
        <v>1623651.5999999999</v>
      </c>
      <c r="H1958" s="2332"/>
      <c r="I1958" s="2332">
        <f>ROUND(E1958*1.05,0)-200000</f>
        <v>1233250</v>
      </c>
      <c r="J1958" s="2332">
        <f>[5]Sheet1!$K$1424</f>
        <v>739044.74</v>
      </c>
      <c r="K1958" s="2333">
        <f t="shared" si="442"/>
        <v>739044.74</v>
      </c>
      <c r="L1958" s="2332">
        <f t="shared" si="445"/>
        <v>1307245</v>
      </c>
      <c r="M1958" s="2332">
        <f t="shared" si="446"/>
        <v>1385680</v>
      </c>
    </row>
    <row r="1959" spans="1:13" x14ac:dyDescent="0.2">
      <c r="A1959" s="2353">
        <v>2238</v>
      </c>
      <c r="B1959" s="2258" t="s">
        <v>6967</v>
      </c>
      <c r="C1959" s="2332">
        <v>1025</v>
      </c>
      <c r="D1959" s="2332">
        <v>75500</v>
      </c>
      <c r="E1959" s="2332">
        <v>75500</v>
      </c>
      <c r="F1959" s="2332">
        <v>5165</v>
      </c>
      <c r="G1959" s="2332">
        <f t="shared" si="444"/>
        <v>6198</v>
      </c>
      <c r="H1959" s="2332"/>
      <c r="I1959" s="2332">
        <f t="shared" ref="I1959:I1967" si="447">ROUND(E1959*1.05,0)</f>
        <v>79275</v>
      </c>
      <c r="J1959" s="2332">
        <f>[5]Sheet1!$K$1425</f>
        <v>7501.5</v>
      </c>
      <c r="K1959" s="2333">
        <f t="shared" si="442"/>
        <v>7501.5</v>
      </c>
      <c r="L1959" s="2332">
        <f t="shared" si="445"/>
        <v>84032</v>
      </c>
      <c r="M1959" s="2332">
        <f t="shared" si="446"/>
        <v>89074</v>
      </c>
    </row>
    <row r="1960" spans="1:13" x14ac:dyDescent="0.2">
      <c r="A1960" s="2353">
        <v>2244</v>
      </c>
      <c r="B1960" s="2258" t="s">
        <v>7167</v>
      </c>
      <c r="C1960" s="2332">
        <v>166</v>
      </c>
      <c r="D1960" s="2332">
        <v>0</v>
      </c>
      <c r="E1960" s="2332">
        <v>0</v>
      </c>
      <c r="F1960" s="2332">
        <v>0</v>
      </c>
      <c r="G1960" s="2332">
        <f t="shared" si="444"/>
        <v>0</v>
      </c>
      <c r="H1960" s="2332"/>
      <c r="I1960" s="2332">
        <f t="shared" si="447"/>
        <v>0</v>
      </c>
      <c r="J1960" s="2332">
        <v>0</v>
      </c>
      <c r="K1960" s="2333">
        <f t="shared" si="442"/>
        <v>0</v>
      </c>
      <c r="L1960" s="2332">
        <f t="shared" si="445"/>
        <v>0</v>
      </c>
      <c r="M1960" s="2332">
        <f t="shared" si="446"/>
        <v>0</v>
      </c>
    </row>
    <row r="1961" spans="1:13" x14ac:dyDescent="0.2">
      <c r="A1961" s="2329">
        <v>2246</v>
      </c>
      <c r="B1961" s="2258" t="s">
        <v>6968</v>
      </c>
      <c r="C1961" s="2332">
        <v>10781</v>
      </c>
      <c r="D1961" s="2332">
        <v>15750</v>
      </c>
      <c r="E1961" s="2332">
        <v>15750</v>
      </c>
      <c r="F1961" s="2332">
        <v>0</v>
      </c>
      <c r="G1961" s="2332">
        <f t="shared" si="444"/>
        <v>0</v>
      </c>
      <c r="H1961" s="2332"/>
      <c r="I1961" s="2332">
        <f t="shared" si="447"/>
        <v>16538</v>
      </c>
      <c r="J1961" s="2332">
        <f>[5]Sheet1!$K$1427</f>
        <v>5642.26</v>
      </c>
      <c r="K1961" s="2333">
        <f t="shared" si="442"/>
        <v>5642.26</v>
      </c>
      <c r="L1961" s="2332">
        <f t="shared" si="445"/>
        <v>17530</v>
      </c>
      <c r="M1961" s="2332">
        <f t="shared" si="446"/>
        <v>18582</v>
      </c>
    </row>
    <row r="1962" spans="1:13" x14ac:dyDescent="0.2">
      <c r="A1962" s="2353">
        <v>2249</v>
      </c>
      <c r="B1962" s="2258" t="s">
        <v>7168</v>
      </c>
      <c r="C1962" s="2332">
        <v>74475</v>
      </c>
      <c r="D1962" s="2332">
        <v>42000</v>
      </c>
      <c r="E1962" s="2332">
        <v>42000</v>
      </c>
      <c r="F1962" s="2332">
        <v>46438</v>
      </c>
      <c r="G1962" s="2332">
        <f t="shared" si="444"/>
        <v>55725.600000000006</v>
      </c>
      <c r="H1962" s="2332"/>
      <c r="I1962" s="2332">
        <f t="shared" si="447"/>
        <v>44100</v>
      </c>
      <c r="J1962" s="2332">
        <f>[5]Sheet1!$K$1428</f>
        <v>492.31999999999994</v>
      </c>
      <c r="K1962" s="2333">
        <f t="shared" si="442"/>
        <v>492.31999999999994</v>
      </c>
      <c r="L1962" s="2332">
        <f t="shared" si="445"/>
        <v>46746</v>
      </c>
      <c r="M1962" s="2332">
        <f t="shared" si="446"/>
        <v>49551</v>
      </c>
    </row>
    <row r="1963" spans="1:13" x14ac:dyDescent="0.2">
      <c r="A1963" s="2353">
        <v>2252</v>
      </c>
      <c r="B1963" s="2258" t="s">
        <v>30</v>
      </c>
      <c r="C1963" s="2332">
        <v>0</v>
      </c>
      <c r="D1963" s="2332">
        <v>9200</v>
      </c>
      <c r="E1963" s="2332">
        <v>9200</v>
      </c>
      <c r="F1963" s="2332">
        <v>0</v>
      </c>
      <c r="G1963" s="2332">
        <f t="shared" si="444"/>
        <v>0</v>
      </c>
      <c r="H1963" s="2332"/>
      <c r="I1963" s="2332">
        <f t="shared" si="447"/>
        <v>9660</v>
      </c>
      <c r="J1963" s="2332">
        <v>0</v>
      </c>
      <c r="K1963" s="2333">
        <f t="shared" si="442"/>
        <v>0</v>
      </c>
      <c r="L1963" s="2332">
        <f t="shared" si="445"/>
        <v>10240</v>
      </c>
      <c r="M1963" s="2332">
        <f t="shared" si="446"/>
        <v>10854</v>
      </c>
    </row>
    <row r="1964" spans="1:13" x14ac:dyDescent="0.2">
      <c r="A1964" s="2353">
        <v>2255</v>
      </c>
      <c r="B1964" s="2258" t="s">
        <v>1792</v>
      </c>
      <c r="C1964" s="2332">
        <v>35110</v>
      </c>
      <c r="D1964" s="2332">
        <v>21000</v>
      </c>
      <c r="E1964" s="2332">
        <v>21000</v>
      </c>
      <c r="F1964" s="2332">
        <v>25168</v>
      </c>
      <c r="G1964" s="2332">
        <f t="shared" si="444"/>
        <v>30201.600000000002</v>
      </c>
      <c r="H1964" s="2332"/>
      <c r="I1964" s="2332">
        <f t="shared" si="447"/>
        <v>22050</v>
      </c>
      <c r="J1964" s="2332">
        <f>[5]Sheet1!$K$1430</f>
        <v>4750.88</v>
      </c>
      <c r="K1964" s="2333">
        <f t="shared" si="442"/>
        <v>4750.88</v>
      </c>
      <c r="L1964" s="2332">
        <f t="shared" si="445"/>
        <v>23373</v>
      </c>
      <c r="M1964" s="2332">
        <f t="shared" si="446"/>
        <v>24775</v>
      </c>
    </row>
    <row r="1965" spans="1:13" x14ac:dyDescent="0.2">
      <c r="A1965" s="2329">
        <v>2256</v>
      </c>
      <c r="B1965" s="2258" t="s">
        <v>6482</v>
      </c>
      <c r="C1965" s="2332">
        <v>161402</v>
      </c>
      <c r="D1965" s="2332">
        <v>33797</v>
      </c>
      <c r="E1965" s="2332">
        <v>33797</v>
      </c>
      <c r="F1965" s="2332">
        <v>26424</v>
      </c>
      <c r="G1965" s="2332">
        <f t="shared" si="444"/>
        <v>31708.800000000003</v>
      </c>
      <c r="H1965" s="2332"/>
      <c r="I1965" s="2332">
        <v>0</v>
      </c>
      <c r="J1965" s="2332">
        <v>0</v>
      </c>
      <c r="K1965" s="2333">
        <f t="shared" si="442"/>
        <v>0</v>
      </c>
      <c r="L1965" s="2332">
        <f t="shared" si="445"/>
        <v>0</v>
      </c>
      <c r="M1965" s="2332">
        <f t="shared" si="446"/>
        <v>0</v>
      </c>
    </row>
    <row r="1966" spans="1:13" x14ac:dyDescent="0.2">
      <c r="A1966" s="2329">
        <v>2502</v>
      </c>
      <c r="B1966" s="2258" t="s">
        <v>6971</v>
      </c>
      <c r="C1966" s="2332">
        <v>95044</v>
      </c>
      <c r="D1966" s="2332">
        <v>0</v>
      </c>
      <c r="E1966" s="2332">
        <v>0</v>
      </c>
      <c r="F1966" s="2332">
        <v>0</v>
      </c>
      <c r="G1966" s="2332">
        <f t="shared" si="444"/>
        <v>0</v>
      </c>
      <c r="H1966" s="2332"/>
      <c r="I1966" s="2332">
        <f t="shared" si="447"/>
        <v>0</v>
      </c>
      <c r="J1966" s="2332">
        <f>[5]Sheet1!$K$1435</f>
        <v>0</v>
      </c>
      <c r="K1966" s="2333">
        <f t="shared" si="442"/>
        <v>0</v>
      </c>
      <c r="L1966" s="2332">
        <f t="shared" si="445"/>
        <v>0</v>
      </c>
      <c r="M1966" s="2332">
        <f t="shared" si="446"/>
        <v>0</v>
      </c>
    </row>
    <row r="1967" spans="1:13" x14ac:dyDescent="0.2">
      <c r="A1967" s="2353">
        <v>2305</v>
      </c>
      <c r="B1967" s="2334" t="s">
        <v>6970</v>
      </c>
      <c r="C1967" s="2335">
        <v>6459</v>
      </c>
      <c r="D1967" s="2335">
        <v>5250</v>
      </c>
      <c r="E1967" s="2335">
        <v>5250</v>
      </c>
      <c r="F1967" s="2335">
        <v>4035</v>
      </c>
      <c r="G1967" s="2335">
        <f t="shared" si="444"/>
        <v>4842</v>
      </c>
      <c r="H1967" s="2335"/>
      <c r="I1967" s="2335">
        <f t="shared" si="447"/>
        <v>5513</v>
      </c>
      <c r="J1967" s="2335">
        <f>[5]Sheet1!$K$1432</f>
        <v>11702.26</v>
      </c>
      <c r="K1967" s="2336">
        <f t="shared" si="442"/>
        <v>11702.26</v>
      </c>
      <c r="L1967" s="2335">
        <f t="shared" si="445"/>
        <v>5844</v>
      </c>
      <c r="M1967" s="2335">
        <f t="shared" si="446"/>
        <v>6195</v>
      </c>
    </row>
    <row r="1968" spans="1:13" x14ac:dyDescent="0.2">
      <c r="B1968" s="2330" t="s">
        <v>6614</v>
      </c>
      <c r="C1968" s="2349">
        <f t="shared" ref="C1968:M1968" si="448">SUM(C1950:C1967)</f>
        <v>1745506</v>
      </c>
      <c r="D1968" s="2349">
        <f t="shared" si="448"/>
        <v>2138571</v>
      </c>
      <c r="E1968" s="2349">
        <f t="shared" si="448"/>
        <v>2138571</v>
      </c>
      <c r="F1968" s="2349">
        <f t="shared" si="448"/>
        <v>1673343</v>
      </c>
      <c r="G1968" s="2349">
        <f t="shared" si="448"/>
        <v>2008011.6</v>
      </c>
      <c r="H1968" s="2349"/>
      <c r="I1968" s="2349">
        <f t="shared" si="448"/>
        <v>2163624</v>
      </c>
      <c r="J1968" s="2349">
        <f>SUM(J1950:J1967)</f>
        <v>974612.89999999991</v>
      </c>
      <c r="K1968" s="2333">
        <f t="shared" si="442"/>
        <v>974612.89999999991</v>
      </c>
      <c r="L1968" s="2349">
        <f t="shared" si="448"/>
        <v>2293444</v>
      </c>
      <c r="M1968" s="2349">
        <f t="shared" si="448"/>
        <v>2431052</v>
      </c>
    </row>
    <row r="1969" spans="1:13" x14ac:dyDescent="0.2">
      <c r="B1969" s="2330"/>
      <c r="C1969" s="2349"/>
      <c r="D1969" s="2349"/>
      <c r="E1969" s="2349"/>
      <c r="G1969" s="2332"/>
      <c r="H1969" s="2332"/>
      <c r="I1969" s="2332"/>
      <c r="J1969" s="2332">
        <f>J1968-[5]Sheet1!$K$1437+[5]Sheet1!$K$1431</f>
        <v>0</v>
      </c>
      <c r="K1969" s="2333">
        <f t="shared" si="442"/>
        <v>0</v>
      </c>
      <c r="L1969" s="2349"/>
      <c r="M1969" s="2349"/>
    </row>
    <row r="1970" spans="1:13" x14ac:dyDescent="0.2">
      <c r="B1970" s="2330" t="s">
        <v>646</v>
      </c>
      <c r="C1970" s="2332"/>
      <c r="D1970" s="2332"/>
      <c r="E1970" s="2332"/>
      <c r="F1970" s="2309"/>
      <c r="G1970" s="2332"/>
      <c r="H1970" s="2332"/>
      <c r="I1970" s="2332"/>
      <c r="J1970" s="2332"/>
      <c r="K1970" s="2333">
        <f t="shared" si="442"/>
        <v>0</v>
      </c>
      <c r="L1970" s="2332"/>
      <c r="M1970" s="2332"/>
    </row>
    <row r="1971" spans="1:13" x14ac:dyDescent="0.2">
      <c r="A1971" s="2353"/>
      <c r="B1971" s="2334" t="s">
        <v>236</v>
      </c>
      <c r="C1971" s="2335">
        <v>393701</v>
      </c>
      <c r="D1971" s="2335">
        <v>315000</v>
      </c>
      <c r="E1971" s="2335">
        <v>315000</v>
      </c>
      <c r="F1971" s="2335">
        <v>29602</v>
      </c>
      <c r="G1971" s="2335">
        <f>F1971/$F$11*$G$11</f>
        <v>35522.399999999994</v>
      </c>
      <c r="H1971" s="2335"/>
      <c r="I1971" s="2335">
        <v>0</v>
      </c>
      <c r="J1971" s="2335">
        <f>[5]Sheet1!$K$1448</f>
        <v>0</v>
      </c>
      <c r="K1971" s="2336">
        <f t="shared" si="442"/>
        <v>0</v>
      </c>
      <c r="L1971" s="2335">
        <f>ROUND(I1971*1.06,0)</f>
        <v>0</v>
      </c>
      <c r="M1971" s="2335">
        <f>ROUND(L1971*1.06,0)</f>
        <v>0</v>
      </c>
    </row>
    <row r="1972" spans="1:13" x14ac:dyDescent="0.2">
      <c r="B1972" s="2330" t="s">
        <v>6840</v>
      </c>
      <c r="C1972" s="2349">
        <f t="shared" ref="C1972:M1972" si="449">SUM(C1971)</f>
        <v>393701</v>
      </c>
      <c r="D1972" s="2349">
        <f t="shared" si="449"/>
        <v>315000</v>
      </c>
      <c r="E1972" s="2349">
        <f t="shared" si="449"/>
        <v>315000</v>
      </c>
      <c r="F1972" s="2349">
        <f t="shared" si="449"/>
        <v>29602</v>
      </c>
      <c r="G1972" s="2349">
        <f t="shared" si="449"/>
        <v>35522.399999999994</v>
      </c>
      <c r="H1972" s="2349"/>
      <c r="I1972" s="2349">
        <f t="shared" si="449"/>
        <v>0</v>
      </c>
      <c r="J1972" s="2349">
        <f>J1971</f>
        <v>0</v>
      </c>
      <c r="K1972" s="2333">
        <f t="shared" si="442"/>
        <v>0</v>
      </c>
      <c r="L1972" s="2349">
        <f t="shared" si="449"/>
        <v>0</v>
      </c>
      <c r="M1972" s="2349">
        <f t="shared" si="449"/>
        <v>0</v>
      </c>
    </row>
    <row r="1973" spans="1:13" x14ac:dyDescent="0.2">
      <c r="B1973" s="2338"/>
      <c r="C1973" s="2380"/>
      <c r="D1973" s="2380"/>
      <c r="E1973" s="2380"/>
      <c r="F1973" s="2380"/>
      <c r="G1973" s="2380"/>
      <c r="H1973" s="2380"/>
      <c r="I1973" s="2380"/>
      <c r="J1973" s="2380"/>
      <c r="K1973" s="2336">
        <f t="shared" si="442"/>
        <v>0</v>
      </c>
      <c r="L1973" s="2380"/>
      <c r="M1973" s="2380"/>
    </row>
    <row r="1974" spans="1:13" x14ac:dyDescent="0.2">
      <c r="B1974" s="2330" t="s">
        <v>6972</v>
      </c>
      <c r="C1974" s="2351">
        <f>C1928+C1932+C1936+C1945+C1968+C1972</f>
        <v>6852830</v>
      </c>
      <c r="D1974" s="2351">
        <f>D1928+D1932+D1945+D1968+D1936+D1972</f>
        <v>6840121</v>
      </c>
      <c r="E1974" s="2351">
        <f>E1928+E1932+E1945+E1968+E1936+E1972</f>
        <v>6840121</v>
      </c>
      <c r="F1974" s="2351">
        <f>F1928+F1932+F1945+F1968+F1936+F1972</f>
        <v>4448921</v>
      </c>
      <c r="G1974" s="2351">
        <f>G1928+G1932+G1945+G1968+G1936+G1972</f>
        <v>5338705.2000000011</v>
      </c>
      <c r="H1974" s="2351"/>
      <c r="I1974" s="2351">
        <f>I1928+I1932+I1945+I1968+I1936+I1972</f>
        <v>6800960</v>
      </c>
      <c r="J1974" s="2351">
        <f>J1928+J1932+J1945+J1968+J1936+J1972</f>
        <v>5566902.8499999996</v>
      </c>
      <c r="K1974" s="2333">
        <f t="shared" si="442"/>
        <v>5566902.8499999996</v>
      </c>
      <c r="L1974" s="2351">
        <f>L1928+L1932+L1945+L1968+L1936+L1972</f>
        <v>7057248</v>
      </c>
      <c r="M1974" s="2351">
        <f>M1928+M1932+M1945+M1968+M1936+M1972</f>
        <v>7575961</v>
      </c>
    </row>
    <row r="1975" spans="1:13" x14ac:dyDescent="0.2">
      <c r="B1975" s="2330"/>
      <c r="C1975" s="2364"/>
      <c r="D1975" s="2364"/>
      <c r="E1975" s="2364"/>
      <c r="G1975" s="2332"/>
      <c r="H1975" s="2332"/>
      <c r="I1975" s="2332"/>
      <c r="J1975" s="2332"/>
      <c r="K1975" s="2333">
        <f t="shared" si="442"/>
        <v>0</v>
      </c>
      <c r="L1975" s="2364"/>
      <c r="M1975" s="2364"/>
    </row>
    <row r="1976" spans="1:13" x14ac:dyDescent="0.2">
      <c r="B1976" s="2330" t="s">
        <v>7081</v>
      </c>
      <c r="C1976" s="2364"/>
      <c r="D1976" s="2364"/>
      <c r="E1976" s="2364"/>
      <c r="G1976" s="2332"/>
      <c r="H1976" s="2332"/>
      <c r="I1976" s="2332"/>
      <c r="J1976" s="2332"/>
      <c r="K1976" s="2333">
        <f t="shared" si="442"/>
        <v>0</v>
      </c>
      <c r="L1976" s="2364"/>
      <c r="M1976" s="2364"/>
    </row>
    <row r="1977" spans="1:13" x14ac:dyDescent="0.2">
      <c r="A1977" s="2403"/>
      <c r="B1977" s="2334" t="s">
        <v>7082</v>
      </c>
      <c r="C1977" s="2335">
        <v>0</v>
      </c>
      <c r="D1977" s="2335">
        <v>0</v>
      </c>
      <c r="E1977" s="2335">
        <v>0</v>
      </c>
      <c r="F1977" s="2335">
        <v>0</v>
      </c>
      <c r="G1977" s="2335">
        <f>F1977/$F$11*$G$11</f>
        <v>0</v>
      </c>
      <c r="H1977" s="2335"/>
      <c r="I1977" s="2335">
        <v>0</v>
      </c>
      <c r="J1977" s="2335">
        <v>0</v>
      </c>
      <c r="K1977" s="2336">
        <f t="shared" si="442"/>
        <v>0</v>
      </c>
      <c r="L1977" s="2335">
        <v>0</v>
      </c>
      <c r="M1977" s="2335">
        <v>0</v>
      </c>
    </row>
    <row r="1978" spans="1:13" x14ac:dyDescent="0.2">
      <c r="B1978" s="2330" t="s">
        <v>7083</v>
      </c>
      <c r="C1978" s="2364">
        <f t="shared" ref="C1978:M1978" si="450">SUM(C1977)</f>
        <v>0</v>
      </c>
      <c r="D1978" s="2364">
        <f t="shared" si="450"/>
        <v>0</v>
      </c>
      <c r="E1978" s="2364">
        <f t="shared" si="450"/>
        <v>0</v>
      </c>
      <c r="F1978" s="2332">
        <f t="shared" si="450"/>
        <v>0</v>
      </c>
      <c r="G1978" s="2364">
        <f t="shared" si="450"/>
        <v>0</v>
      </c>
      <c r="H1978" s="2364"/>
      <c r="I1978" s="2364">
        <f t="shared" si="450"/>
        <v>0</v>
      </c>
      <c r="J1978" s="2364">
        <v>0</v>
      </c>
      <c r="K1978" s="2333">
        <f t="shared" si="442"/>
        <v>0</v>
      </c>
      <c r="L1978" s="2364">
        <f t="shared" si="450"/>
        <v>0</v>
      </c>
      <c r="M1978" s="2364">
        <f t="shared" si="450"/>
        <v>0</v>
      </c>
    </row>
    <row r="1979" spans="1:13" x14ac:dyDescent="0.2">
      <c r="B1979" s="2330"/>
      <c r="C1979" s="2364"/>
      <c r="D1979" s="2364"/>
      <c r="E1979" s="2364"/>
      <c r="F1979" s="2309"/>
      <c r="G1979" s="2332"/>
      <c r="H1979" s="2332"/>
      <c r="I1979" s="2332"/>
      <c r="J1979" s="2332"/>
      <c r="K1979" s="2333">
        <f t="shared" si="442"/>
        <v>0</v>
      </c>
      <c r="L1979" s="2364"/>
      <c r="M1979" s="2364"/>
    </row>
    <row r="1980" spans="1:13" x14ac:dyDescent="0.2">
      <c r="A1980" s="2353"/>
      <c r="B1980" s="2330" t="s">
        <v>6974</v>
      </c>
      <c r="C1980" s="2332"/>
      <c r="D1980" s="2332"/>
      <c r="E1980" s="2332"/>
      <c r="G1980" s="2332"/>
      <c r="H1980" s="2332"/>
      <c r="I1980" s="2332"/>
      <c r="J1980" s="2332"/>
      <c r="K1980" s="2333">
        <f t="shared" si="442"/>
        <v>0</v>
      </c>
      <c r="L1980" s="2332"/>
      <c r="M1980" s="2332"/>
    </row>
    <row r="1981" spans="1:13" x14ac:dyDescent="0.2">
      <c r="A1981" s="2353">
        <v>4204</v>
      </c>
      <c r="B1981" s="2258" t="s">
        <v>6976</v>
      </c>
      <c r="C1981" s="2332">
        <v>93225</v>
      </c>
      <c r="D1981" s="2332">
        <v>44208</v>
      </c>
      <c r="E1981" s="2332">
        <v>44208</v>
      </c>
      <c r="F1981" s="2332">
        <v>0</v>
      </c>
      <c r="G1981" s="2332">
        <f>F1981/$F$11*$G$11</f>
        <v>0</v>
      </c>
      <c r="H1981" s="2332"/>
      <c r="I1981" s="2332">
        <f>ROUND(E1981*1.08,0)</f>
        <v>47745</v>
      </c>
      <c r="J1981" s="2332">
        <f>[5]Sheet1!$K$1450</f>
        <v>603.28</v>
      </c>
      <c r="K1981" s="2333">
        <f t="shared" si="442"/>
        <v>603.28</v>
      </c>
      <c r="L1981" s="2332">
        <f>ROUND(I1981*1.08,0)</f>
        <v>51565</v>
      </c>
      <c r="M1981" s="2332">
        <f>ROUND(L1981*1.08,0)</f>
        <v>55690</v>
      </c>
    </row>
    <row r="1982" spans="1:13" x14ac:dyDescent="0.2">
      <c r="A1982" s="2353">
        <v>4209</v>
      </c>
      <c r="B1982" s="2258" t="s">
        <v>6449</v>
      </c>
      <c r="C1982" s="2332">
        <v>36412</v>
      </c>
      <c r="D1982" s="2332">
        <v>0</v>
      </c>
      <c r="E1982" s="2332">
        <v>0</v>
      </c>
      <c r="F1982" s="2332">
        <v>0</v>
      </c>
      <c r="G1982" s="2332">
        <f>F1982/$F$11*$G$11</f>
        <v>0</v>
      </c>
      <c r="H1982" s="2332"/>
      <c r="I1982" s="2332">
        <f>ROUND(E1982*1.08,0)</f>
        <v>0</v>
      </c>
      <c r="J1982" s="2332">
        <v>0</v>
      </c>
      <c r="K1982" s="2333">
        <f t="shared" si="442"/>
        <v>0</v>
      </c>
      <c r="L1982" s="2332">
        <f>ROUND(I1982*1.08,0)</f>
        <v>0</v>
      </c>
      <c r="M1982" s="2332">
        <f>ROUND(L1982*1.08,0)</f>
        <v>0</v>
      </c>
    </row>
    <row r="1983" spans="1:13" x14ac:dyDescent="0.2">
      <c r="A1983" s="2353">
        <v>4207</v>
      </c>
      <c r="B1983" s="2258" t="s">
        <v>6977</v>
      </c>
      <c r="C1983" s="2332">
        <v>111976</v>
      </c>
      <c r="D1983" s="2332">
        <v>46397</v>
      </c>
      <c r="E1983" s="2332">
        <v>46397</v>
      </c>
      <c r="F1983" s="2332">
        <v>0</v>
      </c>
      <c r="G1983" s="2332">
        <f>F1983/$F$11*$G$11</f>
        <v>0</v>
      </c>
      <c r="H1983" s="2332"/>
      <c r="I1983" s="2332">
        <f>ROUND(E1983*1.08,0)</f>
        <v>50109</v>
      </c>
      <c r="J1983" s="2332">
        <f>[5]Sheet1!$K$1451</f>
        <v>17098.86</v>
      </c>
      <c r="K1983" s="2333">
        <f t="shared" si="442"/>
        <v>17098.86</v>
      </c>
      <c r="L1983" s="2332">
        <f>ROUND(I1983*1.08,0)</f>
        <v>54118</v>
      </c>
      <c r="M1983" s="2332">
        <f>ROUND(L1983*1.08,0)</f>
        <v>58447</v>
      </c>
    </row>
    <row r="1984" spans="1:13" x14ac:dyDescent="0.2">
      <c r="A1984" s="2353"/>
      <c r="B1984" s="2258"/>
      <c r="C1984" s="2332"/>
      <c r="D1984" s="2332"/>
      <c r="E1984" s="2332"/>
      <c r="F1984" s="2332"/>
      <c r="G1984" s="2332"/>
      <c r="H1984" s="2332"/>
      <c r="I1984" s="2332"/>
      <c r="J1984" s="2332"/>
      <c r="K1984" s="2333">
        <f t="shared" si="442"/>
        <v>0</v>
      </c>
      <c r="L1984" s="2332"/>
      <c r="M1984" s="2332"/>
    </row>
    <row r="1985" spans="1:13" x14ac:dyDescent="0.2">
      <c r="A1985" s="2353">
        <v>4102</v>
      </c>
      <c r="B1985" s="2258" t="s">
        <v>6975</v>
      </c>
      <c r="C1985" s="2364">
        <v>0</v>
      </c>
      <c r="D1985" s="2332">
        <v>0</v>
      </c>
      <c r="E1985" s="2332">
        <v>0</v>
      </c>
      <c r="F1985" s="2332">
        <v>0</v>
      </c>
      <c r="G1985" s="2332">
        <f>F1985/$F$11*$G$11</f>
        <v>0</v>
      </c>
      <c r="H1985" s="2332"/>
      <c r="I1985" s="2332">
        <f>ROUND(E1985*1.08,0)</f>
        <v>0</v>
      </c>
      <c r="J1985" s="2332">
        <v>0</v>
      </c>
      <c r="K1985" s="2333">
        <f t="shared" si="442"/>
        <v>0</v>
      </c>
      <c r="L1985" s="2332">
        <f>ROUND(I1985*1.08,0)</f>
        <v>0</v>
      </c>
      <c r="M1985" s="2332">
        <f>ROUND(L1985*1.08,0)</f>
        <v>0</v>
      </c>
    </row>
    <row r="1986" spans="1:13" x14ac:dyDescent="0.2">
      <c r="A1986" s="2353">
        <v>4103</v>
      </c>
      <c r="B1986" s="2334" t="s">
        <v>6975</v>
      </c>
      <c r="C1986" s="2335">
        <v>23245</v>
      </c>
      <c r="D1986" s="2335">
        <v>0</v>
      </c>
      <c r="E1986" s="2335">
        <v>0</v>
      </c>
      <c r="F1986" s="2335">
        <v>0</v>
      </c>
      <c r="G1986" s="2335">
        <f>F1986/$F$11*$G$11</f>
        <v>0</v>
      </c>
      <c r="H1986" s="2335"/>
      <c r="I1986" s="2335">
        <f>ROUND(E1986*1.08,0)</f>
        <v>0</v>
      </c>
      <c r="J1986" s="2335">
        <v>0</v>
      </c>
      <c r="K1986" s="2336">
        <f t="shared" si="442"/>
        <v>0</v>
      </c>
      <c r="L1986" s="2335">
        <f>ROUND(I1986*1.08,0)</f>
        <v>0</v>
      </c>
      <c r="M1986" s="2335">
        <f>ROUND(L1986*1.08,0)</f>
        <v>0</v>
      </c>
    </row>
    <row r="1987" spans="1:13" x14ac:dyDescent="0.2">
      <c r="A1987" s="2404"/>
      <c r="B1987" s="2330" t="s">
        <v>6979</v>
      </c>
      <c r="C1987" s="2349">
        <f t="shared" ref="C1987:M1987" si="451">SUM(C1981:C1986)</f>
        <v>264858</v>
      </c>
      <c r="D1987" s="2349">
        <f t="shared" si="451"/>
        <v>90605</v>
      </c>
      <c r="E1987" s="2349">
        <f t="shared" si="451"/>
        <v>90605</v>
      </c>
      <c r="F1987" s="2349">
        <f t="shared" si="451"/>
        <v>0</v>
      </c>
      <c r="G1987" s="2349">
        <f t="shared" si="451"/>
        <v>0</v>
      </c>
      <c r="H1987" s="2349"/>
      <c r="I1987" s="2349">
        <f t="shared" si="451"/>
        <v>97854</v>
      </c>
      <c r="J1987" s="2349">
        <f>J1981+J1983+J1984</f>
        <v>17702.14</v>
      </c>
      <c r="K1987" s="2333">
        <f t="shared" si="442"/>
        <v>17702.14</v>
      </c>
      <c r="L1987" s="2349">
        <f t="shared" si="451"/>
        <v>105683</v>
      </c>
      <c r="M1987" s="2349">
        <f t="shared" si="451"/>
        <v>114137</v>
      </c>
    </row>
    <row r="1988" spans="1:13" x14ac:dyDescent="0.2">
      <c r="A1988" s="2404"/>
      <c r="B1988" s="2330"/>
      <c r="C1988" s="2349"/>
      <c r="D1988" s="2349"/>
      <c r="E1988" s="2349"/>
      <c r="F1988" s="2432"/>
      <c r="G1988" s="2332"/>
      <c r="H1988" s="2332"/>
      <c r="I1988" s="2332"/>
      <c r="J1988" s="2332">
        <f>J1987-[5]Sheet1!$K$1453</f>
        <v>0</v>
      </c>
      <c r="K1988" s="2333">
        <f t="shared" si="442"/>
        <v>0</v>
      </c>
      <c r="L1988" s="2349"/>
      <c r="M1988" s="2349"/>
    </row>
    <row r="1989" spans="1:13" x14ac:dyDescent="0.2">
      <c r="A1989" s="2404"/>
      <c r="B1989" s="2330" t="s">
        <v>7221</v>
      </c>
      <c r="C1989" s="2364"/>
      <c r="D1989" s="2364"/>
      <c r="E1989" s="2364"/>
      <c r="F1989" s="2432"/>
      <c r="G1989" s="2332"/>
      <c r="H1989" s="2332"/>
      <c r="I1989" s="2332"/>
      <c r="J1989" s="2332"/>
      <c r="K1989" s="2333">
        <f t="shared" si="442"/>
        <v>0</v>
      </c>
      <c r="L1989" s="2364"/>
      <c r="M1989" s="2364"/>
    </row>
    <row r="1990" spans="1:13" x14ac:dyDescent="0.2">
      <c r="A1990" s="2404"/>
      <c r="B1990" s="2334" t="s">
        <v>75</v>
      </c>
      <c r="C1990" s="2335">
        <v>0</v>
      </c>
      <c r="D1990" s="2335">
        <f>+D1903</f>
        <v>11629000</v>
      </c>
      <c r="E1990" s="2335">
        <v>11629000</v>
      </c>
      <c r="F1990" s="2335">
        <v>0</v>
      </c>
      <c r="G1990" s="2335">
        <f>F1990/$F$11*$G$11</f>
        <v>0</v>
      </c>
      <c r="H1990" s="2335"/>
      <c r="I1990" s="2335">
        <v>0</v>
      </c>
      <c r="J1990" s="2335">
        <v>0</v>
      </c>
      <c r="K1990" s="2336">
        <f t="shared" si="442"/>
        <v>0</v>
      </c>
      <c r="L1990" s="2335">
        <f>+L1903</f>
        <v>0</v>
      </c>
      <c r="M1990" s="2335">
        <f>+M1903</f>
        <v>0</v>
      </c>
    </row>
    <row r="1991" spans="1:13" x14ac:dyDescent="0.2">
      <c r="B1991" s="2330" t="s">
        <v>7222</v>
      </c>
      <c r="C1991" s="2337">
        <f t="shared" ref="C1991:M1991" si="452">SUM(C1990:C1990)</f>
        <v>0</v>
      </c>
      <c r="D1991" s="2337">
        <f t="shared" si="452"/>
        <v>11629000</v>
      </c>
      <c r="E1991" s="2337">
        <f t="shared" si="452"/>
        <v>11629000</v>
      </c>
      <c r="F1991" s="2337">
        <f t="shared" si="452"/>
        <v>0</v>
      </c>
      <c r="G1991" s="2337">
        <f t="shared" si="452"/>
        <v>0</v>
      </c>
      <c r="H1991" s="2337"/>
      <c r="I1991" s="2337">
        <f t="shared" si="452"/>
        <v>0</v>
      </c>
      <c r="J1991" s="2337">
        <f>J1990</f>
        <v>0</v>
      </c>
      <c r="K1991" s="2333">
        <f t="shared" si="442"/>
        <v>0</v>
      </c>
      <c r="L1991" s="2337">
        <f t="shared" si="452"/>
        <v>0</v>
      </c>
      <c r="M1991" s="2337">
        <f t="shared" si="452"/>
        <v>0</v>
      </c>
    </row>
    <row r="1992" spans="1:13" x14ac:dyDescent="0.2">
      <c r="B1992" s="2330"/>
      <c r="C1992" s="2349"/>
      <c r="D1992" s="2349"/>
      <c r="E1992" s="2349"/>
      <c r="F1992" s="2349"/>
      <c r="G1992" s="2349"/>
      <c r="H1992" s="2349"/>
      <c r="I1992" s="2349"/>
      <c r="J1992" s="2349"/>
      <c r="K1992" s="2333">
        <f t="shared" si="442"/>
        <v>0</v>
      </c>
      <c r="L1992" s="2349"/>
      <c r="M1992" s="2349"/>
    </row>
    <row r="1993" spans="1:13" ht="13.5" thickBot="1" x14ac:dyDescent="0.25">
      <c r="B1993" s="2342" t="s">
        <v>6980</v>
      </c>
      <c r="C1993" s="2354">
        <f>+C1974+C1978+C1987+C1991</f>
        <v>7117688</v>
      </c>
      <c r="D1993" s="2354">
        <f>+D1974+D1978+D1987+D1991</f>
        <v>18559726</v>
      </c>
      <c r="E1993" s="2354">
        <f>+E1974+E1978+E1987+E1991</f>
        <v>18559726</v>
      </c>
      <c r="F1993" s="2354">
        <f>+F1974+F1978+F1987+F1991</f>
        <v>4448921</v>
      </c>
      <c r="G1993" s="2354">
        <f>+G1974+G1978+G1987+G1991</f>
        <v>5338705.2000000011</v>
      </c>
      <c r="H1993" s="2354"/>
      <c r="I1993" s="2354">
        <f>+I1974+I1978+I1987+I1991</f>
        <v>6898814</v>
      </c>
      <c r="J1993" s="2354">
        <f>+J1974+J1978+J1987+J1991</f>
        <v>5584604.9899999993</v>
      </c>
      <c r="K1993" s="2344">
        <f t="shared" si="442"/>
        <v>5584604.9899999993</v>
      </c>
      <c r="L1993" s="2354">
        <f>+L1974+L1978+L1987+L1991</f>
        <v>7162931</v>
      </c>
      <c r="M1993" s="2354">
        <f>+M1974+M1978+M1987+M1991</f>
        <v>7690098</v>
      </c>
    </row>
    <row r="1994" spans="1:13" ht="13.5" thickTop="1" x14ac:dyDescent="0.2">
      <c r="B1994" s="2330"/>
      <c r="C1994" s="2349"/>
      <c r="D1994" s="2349"/>
      <c r="E1994" s="2349"/>
      <c r="F1994" s="2349"/>
      <c r="G1994" s="2349"/>
      <c r="H1994" s="2349"/>
      <c r="I1994" s="2349"/>
      <c r="J1994" s="2349"/>
      <c r="K1994" s="2333">
        <f t="shared" si="442"/>
        <v>0</v>
      </c>
      <c r="L1994" s="2349"/>
      <c r="M1994" s="2349"/>
    </row>
    <row r="1995" spans="1:13" ht="13.5" thickBot="1" x14ac:dyDescent="0.25">
      <c r="B1995" s="2342" t="s">
        <v>6624</v>
      </c>
      <c r="C1995" s="2355">
        <f>C1910-C1993</f>
        <v>276451</v>
      </c>
      <c r="D1995" s="2355">
        <f>D1910-D1993</f>
        <v>390721</v>
      </c>
      <c r="E1995" s="2355">
        <f>E1910-E1993</f>
        <v>390721</v>
      </c>
      <c r="F1995" s="2355">
        <f>F1910-F1993</f>
        <v>99586</v>
      </c>
      <c r="G1995" s="2355">
        <f>G1910-G1993</f>
        <v>119503.19999999925</v>
      </c>
      <c r="H1995" s="2355"/>
      <c r="I1995" s="2355">
        <f>I1910-I1993</f>
        <v>-6137526</v>
      </c>
      <c r="J1995" s="2355">
        <f>J1910-J1993</f>
        <v>3369566.1900000004</v>
      </c>
      <c r="K1995" s="2344">
        <f t="shared" si="442"/>
        <v>3369566.1900000004</v>
      </c>
      <c r="L1995" s="2355">
        <f>L1910-L1993</f>
        <v>-3675576</v>
      </c>
      <c r="M1995" s="2355">
        <f>M1910-M1993</f>
        <v>-4292743</v>
      </c>
    </row>
    <row r="1996" spans="1:13" ht="13.5" thickTop="1" x14ac:dyDescent="0.2">
      <c r="B1996" s="2330"/>
      <c r="C1996" s="2356"/>
      <c r="D1996" s="2356"/>
      <c r="E1996" s="2356"/>
      <c r="G1996" s="2332"/>
      <c r="H1996" s="2332"/>
      <c r="I1996" s="2332"/>
      <c r="J1996" s="2332"/>
      <c r="K1996" s="2333">
        <f t="shared" si="442"/>
        <v>0</v>
      </c>
      <c r="L1996" s="2356"/>
      <c r="M1996" s="2356"/>
    </row>
    <row r="1997" spans="1:13" x14ac:dyDescent="0.2">
      <c r="A1997" s="2369"/>
      <c r="B1997" s="2369"/>
      <c r="C1997" s="2369"/>
      <c r="D1997" s="2369"/>
      <c r="E1997" s="2369"/>
      <c r="G1997" s="2332"/>
      <c r="H1997" s="2332"/>
      <c r="I1997" s="2332"/>
      <c r="J1997" s="2332"/>
      <c r="K1997" s="2333">
        <f t="shared" si="442"/>
        <v>0</v>
      </c>
      <c r="L1997" s="2369"/>
      <c r="M1997" s="2369"/>
    </row>
    <row r="1998" spans="1:13" ht="15.75" x14ac:dyDescent="0.25">
      <c r="A1998" s="2374">
        <v>2200</v>
      </c>
      <c r="B1998" s="2429" t="s">
        <v>7235</v>
      </c>
      <c r="C1998" s="2326"/>
      <c r="D1998" s="2326"/>
      <c r="E1998" s="2326"/>
      <c r="G1998" s="2332"/>
      <c r="H1998" s="2332"/>
      <c r="I1998" s="2332"/>
      <c r="J1998" s="2332"/>
      <c r="K1998" s="2333">
        <f t="shared" si="442"/>
        <v>0</v>
      </c>
    </row>
    <row r="1999" spans="1:13" ht="15" x14ac:dyDescent="0.25">
      <c r="A1999" s="2365">
        <v>2210</v>
      </c>
      <c r="B1999" s="2326" t="s">
        <v>6847</v>
      </c>
      <c r="C1999" s="2326"/>
      <c r="D1999" s="2326"/>
      <c r="E1999" s="2326"/>
      <c r="G1999" s="2332"/>
      <c r="H1999" s="2332"/>
      <c r="I1999" s="2332"/>
      <c r="J1999" s="2332"/>
      <c r="K1999" s="2333">
        <f t="shared" si="442"/>
        <v>0</v>
      </c>
    </row>
    <row r="2000" spans="1:13" ht="15" x14ac:dyDescent="0.25">
      <c r="A2000" s="2365"/>
      <c r="B2000" s="2326"/>
      <c r="C2000" s="2326"/>
      <c r="D2000" s="2326"/>
      <c r="E2000" s="2326"/>
      <c r="G2000" s="2332"/>
      <c r="H2000" s="2332"/>
      <c r="I2000" s="2332"/>
      <c r="J2000" s="2332"/>
      <c r="K2000" s="2333">
        <f t="shared" si="442"/>
        <v>0</v>
      </c>
    </row>
    <row r="2001" spans="1:13" x14ac:dyDescent="0.2">
      <c r="B2001" s="2328" t="s">
        <v>247</v>
      </c>
      <c r="C2001" s="2328"/>
      <c r="D2001" s="2328"/>
      <c r="E2001" s="2328"/>
      <c r="G2001" s="2332"/>
      <c r="H2001" s="2332"/>
      <c r="I2001" s="2332"/>
      <c r="J2001" s="2332"/>
      <c r="K2001" s="2333">
        <f t="shared" si="442"/>
        <v>0</v>
      </c>
    </row>
    <row r="2002" spans="1:13" x14ac:dyDescent="0.2">
      <c r="B2002" s="2328"/>
      <c r="C2002" s="2328"/>
      <c r="D2002" s="2328"/>
      <c r="E2002" s="2328"/>
      <c r="G2002" s="2332"/>
      <c r="H2002" s="2332"/>
      <c r="I2002" s="2332"/>
      <c r="J2002" s="2332"/>
      <c r="K2002" s="2333">
        <f t="shared" si="442"/>
        <v>0</v>
      </c>
      <c r="L2002" s="2431"/>
    </row>
    <row r="2003" spans="1:13" x14ac:dyDescent="0.2">
      <c r="B2003" s="2328" t="s">
        <v>7236</v>
      </c>
      <c r="C2003" s="2328"/>
      <c r="D2003" s="2328"/>
      <c r="E2003" s="2328"/>
      <c r="G2003" s="2332"/>
      <c r="H2003" s="2332"/>
      <c r="I2003" s="2332"/>
      <c r="J2003" s="2332"/>
      <c r="K2003" s="2333">
        <f t="shared" si="442"/>
        <v>0</v>
      </c>
    </row>
    <row r="2004" spans="1:13" x14ac:dyDescent="0.2">
      <c r="B2004" s="2418" t="s">
        <v>19</v>
      </c>
      <c r="C2004" s="2349">
        <v>0</v>
      </c>
      <c r="D2004" s="2349">
        <v>0</v>
      </c>
      <c r="E2004" s="2349">
        <v>0</v>
      </c>
      <c r="F2004" s="2349">
        <v>0</v>
      </c>
      <c r="G2004" s="2332">
        <v>0</v>
      </c>
      <c r="H2004" s="2332"/>
      <c r="I2004" s="2332">
        <f>ROUND(4031261*1.17,0)</f>
        <v>4716575</v>
      </c>
      <c r="J2004" s="2332">
        <f>-[5]Sheet1!$K$1457</f>
        <v>3264215.29</v>
      </c>
      <c r="K2004" s="2333">
        <f t="shared" si="442"/>
        <v>3264215.29</v>
      </c>
      <c r="L2004" s="2332">
        <f>ROUND(I2004*1.258,0)</f>
        <v>5933451</v>
      </c>
      <c r="M2004" s="2332">
        <f>ROUND(L2004*1.259,0)</f>
        <v>7470215</v>
      </c>
    </row>
    <row r="2005" spans="1:13" x14ac:dyDescent="0.2">
      <c r="B2005" s="2419" t="s">
        <v>7237</v>
      </c>
      <c r="C2005" s="2362">
        <v>0</v>
      </c>
      <c r="D2005" s="2362">
        <v>0</v>
      </c>
      <c r="E2005" s="2362">
        <v>0</v>
      </c>
      <c r="F2005" s="2362">
        <v>0</v>
      </c>
      <c r="G2005" s="2335">
        <v>0</v>
      </c>
      <c r="H2005" s="2335"/>
      <c r="I2005" s="2335">
        <f>ROUND(9186864*1.17,0)</f>
        <v>10748631</v>
      </c>
      <c r="J2005" s="2335">
        <f>-[5]Sheet1!$K$1458</f>
        <v>6287951</v>
      </c>
      <c r="K2005" s="2336">
        <f t="shared" ref="K2005:K2068" si="453">J2005</f>
        <v>6287951</v>
      </c>
      <c r="L2005" s="2335">
        <f>ROUND(I2005*1.258,0)</f>
        <v>13521778</v>
      </c>
      <c r="M2005" s="2335">
        <f>ROUND(L2005*1.259,0)</f>
        <v>17023919</v>
      </c>
    </row>
    <row r="2006" spans="1:13" x14ac:dyDescent="0.2">
      <c r="B2006" s="2328" t="s">
        <v>7238</v>
      </c>
      <c r="C2006" s="2348">
        <f t="shared" ref="C2006:M2006" si="454">SUM(C2004:C2005)</f>
        <v>0</v>
      </c>
      <c r="D2006" s="2348">
        <f t="shared" si="454"/>
        <v>0</v>
      </c>
      <c r="E2006" s="2348">
        <f t="shared" si="454"/>
        <v>0</v>
      </c>
      <c r="F2006" s="2348">
        <f t="shared" si="454"/>
        <v>0</v>
      </c>
      <c r="G2006" s="2348">
        <f t="shared" si="454"/>
        <v>0</v>
      </c>
      <c r="H2006" s="2348"/>
      <c r="I2006" s="2348">
        <f t="shared" si="454"/>
        <v>15465206</v>
      </c>
      <c r="J2006" s="2348">
        <f>J2004+J2005</f>
        <v>9552166.2899999991</v>
      </c>
      <c r="K2006" s="2333">
        <f t="shared" si="453"/>
        <v>9552166.2899999991</v>
      </c>
      <c r="L2006" s="2348">
        <f t="shared" si="454"/>
        <v>19455229</v>
      </c>
      <c r="M2006" s="2348">
        <f t="shared" si="454"/>
        <v>24494134</v>
      </c>
    </row>
    <row r="2007" spans="1:13" x14ac:dyDescent="0.2">
      <c r="B2007" s="2328"/>
      <c r="C2007" s="2328"/>
      <c r="D2007" s="2328"/>
      <c r="E2007" s="2328"/>
      <c r="G2007" s="2332"/>
      <c r="H2007" s="2332"/>
      <c r="I2007" s="2332"/>
      <c r="J2007" s="2332"/>
      <c r="K2007" s="2333">
        <f t="shared" si="453"/>
        <v>0</v>
      </c>
    </row>
    <row r="2008" spans="1:13" x14ac:dyDescent="0.2">
      <c r="B2008" s="2330" t="s">
        <v>1637</v>
      </c>
      <c r="C2008" s="2375"/>
      <c r="D2008" s="2375"/>
      <c r="E2008" s="2375"/>
      <c r="G2008" s="2332"/>
      <c r="H2008" s="2332"/>
      <c r="I2008" s="2332"/>
      <c r="J2008" s="2332"/>
      <c r="K2008" s="2333">
        <f t="shared" si="453"/>
        <v>0</v>
      </c>
      <c r="L2008" s="2375"/>
      <c r="M2008" s="2375"/>
    </row>
    <row r="2009" spans="1:13" x14ac:dyDescent="0.2">
      <c r="B2009" s="2258" t="s">
        <v>7239</v>
      </c>
      <c r="C2009" s="2375">
        <v>0</v>
      </c>
      <c r="D2009" s="2375">
        <v>0</v>
      </c>
      <c r="E2009" s="2375">
        <v>0</v>
      </c>
      <c r="F2009" s="2375">
        <v>0</v>
      </c>
      <c r="G2009" s="2332">
        <v>0</v>
      </c>
      <c r="H2009" s="2332"/>
      <c r="I2009" s="2332">
        <v>20253</v>
      </c>
      <c r="J2009" s="2332">
        <f>-[5]Sheet1!$K$1466</f>
        <v>-20253</v>
      </c>
      <c r="K2009" s="2333">
        <f t="shared" si="453"/>
        <v>-20253</v>
      </c>
      <c r="L2009" s="2375">
        <f>ROUND(I2009*1.06,0)</f>
        <v>21468</v>
      </c>
      <c r="M2009" s="2375">
        <f>ROUND(L2009*1.06,0)</f>
        <v>22756</v>
      </c>
    </row>
    <row r="2010" spans="1:13" x14ac:dyDescent="0.2">
      <c r="B2010" s="2258" t="s">
        <v>7240</v>
      </c>
      <c r="C2010" s="2375">
        <v>0</v>
      </c>
      <c r="D2010" s="2375">
        <v>0</v>
      </c>
      <c r="E2010" s="2375">
        <v>0</v>
      </c>
      <c r="F2010" s="2375">
        <v>0</v>
      </c>
      <c r="G2010" s="2332">
        <v>0</v>
      </c>
      <c r="H2010" s="2332"/>
      <c r="I2010" s="2332">
        <v>10632</v>
      </c>
      <c r="J2010" s="2332">
        <v>0</v>
      </c>
      <c r="K2010" s="2333">
        <f t="shared" si="453"/>
        <v>0</v>
      </c>
      <c r="L2010" s="2375">
        <f>ROUND(I2010*1.06,0)</f>
        <v>11270</v>
      </c>
      <c r="M2010" s="2375">
        <f>ROUND(L2010*1.06,0)</f>
        <v>11946</v>
      </c>
    </row>
    <row r="2011" spans="1:13" x14ac:dyDescent="0.2">
      <c r="A2011" s="2353">
        <v>5807</v>
      </c>
      <c r="B2011" s="2334" t="s">
        <v>1252</v>
      </c>
      <c r="C2011" s="2335">
        <v>0</v>
      </c>
      <c r="D2011" s="2335">
        <v>157509</v>
      </c>
      <c r="E2011" s="2335">
        <v>157509</v>
      </c>
      <c r="F2011" s="2335">
        <v>0</v>
      </c>
      <c r="G2011" s="2335">
        <f>F2011/$F$11*$G$11</f>
        <v>0</v>
      </c>
      <c r="H2011" s="2335"/>
      <c r="I2011" s="2335">
        <v>0</v>
      </c>
      <c r="J2011" s="2335">
        <f>-[5]Sheet1!$K$1467</f>
        <v>6222</v>
      </c>
      <c r="K2011" s="2336">
        <f t="shared" si="453"/>
        <v>6222</v>
      </c>
      <c r="L2011" s="2335">
        <v>0</v>
      </c>
      <c r="M2011" s="2335">
        <v>0</v>
      </c>
    </row>
    <row r="2012" spans="1:13" x14ac:dyDescent="0.2">
      <c r="B2012" s="2330" t="s">
        <v>6670</v>
      </c>
      <c r="C2012" s="2376">
        <f t="shared" ref="C2012:M2012" si="455">SUM(C2009:C2011)</f>
        <v>0</v>
      </c>
      <c r="D2012" s="2376">
        <f t="shared" si="455"/>
        <v>157509</v>
      </c>
      <c r="E2012" s="2376">
        <f t="shared" si="455"/>
        <v>157509</v>
      </c>
      <c r="F2012" s="2376">
        <f t="shared" si="455"/>
        <v>0</v>
      </c>
      <c r="G2012" s="2376">
        <f t="shared" si="455"/>
        <v>0</v>
      </c>
      <c r="H2012" s="2376"/>
      <c r="I2012" s="2376">
        <f t="shared" si="455"/>
        <v>30885</v>
      </c>
      <c r="J2012" s="2376">
        <f>J2009+J2010+J2011</f>
        <v>-14031</v>
      </c>
      <c r="K2012" s="2333">
        <f t="shared" si="453"/>
        <v>-14031</v>
      </c>
      <c r="L2012" s="2376">
        <f t="shared" si="455"/>
        <v>32738</v>
      </c>
      <c r="M2012" s="2376">
        <f t="shared" si="455"/>
        <v>34702</v>
      </c>
    </row>
    <row r="2013" spans="1:13" x14ac:dyDescent="0.2">
      <c r="B2013" s="2330"/>
      <c r="C2013" s="2376"/>
      <c r="D2013" s="2376"/>
      <c r="E2013" s="2376"/>
      <c r="F2013" s="2309"/>
      <c r="G2013" s="2332"/>
      <c r="H2013" s="2332"/>
      <c r="I2013" s="2332"/>
      <c r="J2013" s="2332"/>
      <c r="K2013" s="2333">
        <f t="shared" si="453"/>
        <v>0</v>
      </c>
      <c r="L2013" s="2376"/>
      <c r="M2013" s="2376"/>
    </row>
    <row r="2014" spans="1:13" x14ac:dyDescent="0.2">
      <c r="B2014" s="2330" t="s">
        <v>7241</v>
      </c>
      <c r="C2014" s="2376"/>
      <c r="D2014" s="2376"/>
      <c r="E2014" s="2376"/>
      <c r="F2014" s="2309"/>
      <c r="G2014" s="2332"/>
      <c r="H2014" s="2332"/>
      <c r="I2014" s="2332"/>
      <c r="J2014" s="2332"/>
      <c r="K2014" s="2333">
        <f t="shared" si="453"/>
        <v>0</v>
      </c>
      <c r="L2014" s="2376"/>
      <c r="M2014" s="2376"/>
    </row>
    <row r="2015" spans="1:13" x14ac:dyDescent="0.2">
      <c r="A2015" s="2403"/>
      <c r="B2015" s="2334" t="s">
        <v>7242</v>
      </c>
      <c r="C2015" s="2339">
        <v>-678648</v>
      </c>
      <c r="D2015" s="2339">
        <v>-400000</v>
      </c>
      <c r="E2015" s="2339">
        <f>-400000-200000</f>
        <v>-600000</v>
      </c>
      <c r="F2015" s="2339">
        <f>-84926-323994</f>
        <v>-408920</v>
      </c>
      <c r="G2015" s="2339">
        <f>F2015/$F$11*$G$11</f>
        <v>-490704</v>
      </c>
      <c r="H2015" s="2339"/>
      <c r="I2015" s="2339">
        <f>ROUND(G2015*1.22,0)</f>
        <v>-598659</v>
      </c>
      <c r="J2015" s="2339">
        <f>-([5]Sheet1!$K$1468+[5]Sheet1!$K$1496)</f>
        <v>-346804.35</v>
      </c>
      <c r="K2015" s="2336">
        <f t="shared" si="453"/>
        <v>-346804.35</v>
      </c>
      <c r="L2015" s="2339">
        <f>ROUND(I2015*1.22,0)</f>
        <v>-730364</v>
      </c>
      <c r="M2015" s="2339">
        <f>ROUND(L2015*1.22,0)</f>
        <v>-891044</v>
      </c>
    </row>
    <row r="2016" spans="1:13" x14ac:dyDescent="0.2">
      <c r="B2016" s="2330" t="s">
        <v>7069</v>
      </c>
      <c r="C2016" s="2376">
        <f t="shared" ref="C2016:M2016" si="456">SUM(C2015)</f>
        <v>-678648</v>
      </c>
      <c r="D2016" s="2376">
        <f t="shared" si="456"/>
        <v>-400000</v>
      </c>
      <c r="E2016" s="2376">
        <f t="shared" si="456"/>
        <v>-600000</v>
      </c>
      <c r="F2016" s="2376">
        <f t="shared" si="456"/>
        <v>-408920</v>
      </c>
      <c r="G2016" s="2376">
        <f t="shared" si="456"/>
        <v>-490704</v>
      </c>
      <c r="H2016" s="2376"/>
      <c r="I2016" s="2376">
        <f t="shared" si="456"/>
        <v>-598659</v>
      </c>
      <c r="J2016" s="2376">
        <f>J2015</f>
        <v>-346804.35</v>
      </c>
      <c r="K2016" s="2333">
        <f t="shared" si="453"/>
        <v>-346804.35</v>
      </c>
      <c r="L2016" s="2376">
        <f t="shared" si="456"/>
        <v>-730364</v>
      </c>
      <c r="M2016" s="2376">
        <f t="shared" si="456"/>
        <v>-891044</v>
      </c>
    </row>
    <row r="2017" spans="1:13" x14ac:dyDescent="0.2">
      <c r="B2017" s="2338"/>
      <c r="C2017" s="2339"/>
      <c r="D2017" s="2339"/>
      <c r="E2017" s="2339"/>
      <c r="F2017" s="2339"/>
      <c r="G2017" s="2339"/>
      <c r="H2017" s="2339"/>
      <c r="I2017" s="2339"/>
      <c r="J2017" s="2339"/>
      <c r="K2017" s="2336">
        <f t="shared" si="453"/>
        <v>0</v>
      </c>
      <c r="L2017" s="2339"/>
      <c r="M2017" s="2339"/>
    </row>
    <row r="2018" spans="1:13" x14ac:dyDescent="0.2">
      <c r="B2018" s="2330" t="s">
        <v>7200</v>
      </c>
      <c r="C2018" s="2351">
        <f t="shared" ref="C2018:M2018" si="457">+C2012+C2016+C2006</f>
        <v>-678648</v>
      </c>
      <c r="D2018" s="2351">
        <f t="shared" si="457"/>
        <v>-242491</v>
      </c>
      <c r="E2018" s="2351">
        <f t="shared" si="457"/>
        <v>-442491</v>
      </c>
      <c r="F2018" s="2351">
        <f t="shared" si="457"/>
        <v>-408920</v>
      </c>
      <c r="G2018" s="2351">
        <f t="shared" si="457"/>
        <v>-490704</v>
      </c>
      <c r="H2018" s="2351"/>
      <c r="I2018" s="2351">
        <f t="shared" si="457"/>
        <v>14897432</v>
      </c>
      <c r="J2018" s="2351">
        <f>+J2012+J2016+J2006</f>
        <v>9191330.9399999995</v>
      </c>
      <c r="K2018" s="2333">
        <f t="shared" si="453"/>
        <v>9191330.9399999995</v>
      </c>
      <c r="L2018" s="2351">
        <f t="shared" si="457"/>
        <v>18757603</v>
      </c>
      <c r="M2018" s="2351">
        <f t="shared" si="457"/>
        <v>23637792</v>
      </c>
    </row>
    <row r="2019" spans="1:13" x14ac:dyDescent="0.2">
      <c r="B2019" s="2330"/>
      <c r="C2019" s="2351"/>
      <c r="D2019" s="2351"/>
      <c r="E2019" s="2351"/>
      <c r="F2019" s="2332"/>
      <c r="G2019" s="2332"/>
      <c r="H2019" s="2332"/>
      <c r="I2019" s="2332"/>
      <c r="J2019" s="2332"/>
      <c r="K2019" s="2333">
        <f t="shared" si="453"/>
        <v>0</v>
      </c>
      <c r="L2019" s="2351"/>
      <c r="M2019" s="2351"/>
    </row>
    <row r="2020" spans="1:13" x14ac:dyDescent="0.2">
      <c r="B2020" s="2330" t="s">
        <v>6929</v>
      </c>
      <c r="C2020" s="2375"/>
      <c r="D2020" s="2375"/>
      <c r="E2020" s="2375"/>
      <c r="F2020" s="2324"/>
      <c r="G2020" s="2332"/>
      <c r="H2020" s="2332"/>
      <c r="I2020" s="2332"/>
      <c r="J2020" s="2332"/>
      <c r="K2020" s="2333">
        <f t="shared" si="453"/>
        <v>0</v>
      </c>
      <c r="L2020" s="2375"/>
      <c r="M2020" s="2375"/>
    </row>
    <row r="2021" spans="1:13" x14ac:dyDescent="0.2">
      <c r="A2021" s="2353">
        <v>5501</v>
      </c>
      <c r="B2021" s="2334" t="s">
        <v>595</v>
      </c>
      <c r="C2021" s="2339">
        <v>722712</v>
      </c>
      <c r="D2021" s="2335">
        <f>950131-367222</f>
        <v>582909</v>
      </c>
      <c r="E2021" s="2335">
        <f>582909+200000</f>
        <v>782909</v>
      </c>
      <c r="F2021" s="2335">
        <f>F2093-F2016</f>
        <v>689865</v>
      </c>
      <c r="G2021" s="2335">
        <f>F2021/$F$11*$G$11</f>
        <v>827838</v>
      </c>
      <c r="H2021" s="2335"/>
      <c r="I2021" s="2335">
        <v>0</v>
      </c>
      <c r="J2021" s="2335">
        <v>0</v>
      </c>
      <c r="K2021" s="2336">
        <f t="shared" si="453"/>
        <v>0</v>
      </c>
      <c r="L2021" s="2335">
        <v>0</v>
      </c>
      <c r="M2021" s="2335">
        <v>0</v>
      </c>
    </row>
    <row r="2022" spans="1:13" x14ac:dyDescent="0.2">
      <c r="B2022" s="2330" t="s">
        <v>6932</v>
      </c>
      <c r="C2022" s="2376">
        <f t="shared" ref="C2022:M2022" si="458">SUM(C2021:C2021)</f>
        <v>722712</v>
      </c>
      <c r="D2022" s="2376">
        <f t="shared" si="458"/>
        <v>582909</v>
      </c>
      <c r="E2022" s="2376">
        <f t="shared" si="458"/>
        <v>782909</v>
      </c>
      <c r="F2022" s="2376">
        <f t="shared" si="458"/>
        <v>689865</v>
      </c>
      <c r="G2022" s="2376">
        <f t="shared" si="458"/>
        <v>827838</v>
      </c>
      <c r="H2022" s="2376"/>
      <c r="I2022" s="2376">
        <f t="shared" si="458"/>
        <v>0</v>
      </c>
      <c r="J2022" s="2376">
        <v>0</v>
      </c>
      <c r="K2022" s="2333">
        <f t="shared" si="453"/>
        <v>0</v>
      </c>
      <c r="L2022" s="2376">
        <f t="shared" si="458"/>
        <v>0</v>
      </c>
      <c r="M2022" s="2376">
        <f t="shared" si="458"/>
        <v>0</v>
      </c>
    </row>
    <row r="2023" spans="1:13" x14ac:dyDescent="0.2">
      <c r="B2023" s="2330"/>
      <c r="C2023" s="2376"/>
      <c r="D2023" s="2376"/>
      <c r="E2023" s="2376"/>
      <c r="F2023" s="2376"/>
      <c r="G2023" s="2376"/>
      <c r="H2023" s="2376"/>
      <c r="I2023" s="2376"/>
      <c r="J2023" s="2376"/>
      <c r="K2023" s="2333">
        <f t="shared" si="453"/>
        <v>0</v>
      </c>
      <c r="L2023" s="2376"/>
      <c r="M2023" s="2376"/>
    </row>
    <row r="2024" spans="1:13" x14ac:dyDescent="0.2">
      <c r="B2024" s="2330" t="s">
        <v>7209</v>
      </c>
      <c r="C2024" s="2375"/>
      <c r="D2024" s="2375"/>
      <c r="E2024" s="2375"/>
      <c r="F2024" s="2324"/>
      <c r="G2024" s="2332"/>
      <c r="H2024" s="2332"/>
      <c r="I2024" s="2332"/>
      <c r="J2024" s="2332"/>
      <c r="K2024" s="2333">
        <f t="shared" si="453"/>
        <v>0</v>
      </c>
      <c r="L2024" s="2375"/>
      <c r="M2024" s="2375"/>
    </row>
    <row r="2025" spans="1:13" x14ac:dyDescent="0.2">
      <c r="B2025" s="2334" t="s">
        <v>7243</v>
      </c>
      <c r="C2025" s="2335">
        <v>0</v>
      </c>
      <c r="D2025" s="2335">
        <v>2950000</v>
      </c>
      <c r="E2025" s="2335">
        <v>2950000</v>
      </c>
      <c r="F2025" s="2335">
        <v>0</v>
      </c>
      <c r="G2025" s="2335">
        <f>F2025/$F$11*$G$11</f>
        <v>0</v>
      </c>
      <c r="H2025" s="2335"/>
      <c r="I2025" s="2335">
        <v>0</v>
      </c>
      <c r="J2025" s="2335">
        <v>0</v>
      </c>
      <c r="K2025" s="2336">
        <f t="shared" si="453"/>
        <v>0</v>
      </c>
      <c r="L2025" s="2335">
        <v>0</v>
      </c>
      <c r="M2025" s="2335">
        <v>0</v>
      </c>
    </row>
    <row r="2026" spans="1:13" x14ac:dyDescent="0.2">
      <c r="B2026" s="2330" t="s">
        <v>7211</v>
      </c>
      <c r="C2026" s="2376">
        <f t="shared" ref="C2026:M2026" si="459">SUM(C2025)</f>
        <v>0</v>
      </c>
      <c r="D2026" s="2376">
        <f t="shared" si="459"/>
        <v>2950000</v>
      </c>
      <c r="E2026" s="2376">
        <f t="shared" si="459"/>
        <v>2950000</v>
      </c>
      <c r="F2026" s="2376">
        <f t="shared" si="459"/>
        <v>0</v>
      </c>
      <c r="G2026" s="2376">
        <f t="shared" si="459"/>
        <v>0</v>
      </c>
      <c r="H2026" s="2376"/>
      <c r="I2026" s="2376">
        <f t="shared" si="459"/>
        <v>0</v>
      </c>
      <c r="J2026" s="2376">
        <v>0</v>
      </c>
      <c r="K2026" s="2333">
        <f t="shared" si="453"/>
        <v>0</v>
      </c>
      <c r="L2026" s="2376">
        <f t="shared" si="459"/>
        <v>0</v>
      </c>
      <c r="M2026" s="2376">
        <f t="shared" si="459"/>
        <v>0</v>
      </c>
    </row>
    <row r="2027" spans="1:13" x14ac:dyDescent="0.2">
      <c r="B2027" s="2330"/>
      <c r="C2027" s="2375"/>
      <c r="D2027" s="2375"/>
      <c r="E2027" s="2375"/>
      <c r="G2027" s="2332"/>
      <c r="H2027" s="2332"/>
      <c r="I2027" s="2332"/>
      <c r="J2027" s="2332"/>
      <c r="K2027" s="2333">
        <f t="shared" si="453"/>
        <v>0</v>
      </c>
      <c r="L2027" s="2375"/>
      <c r="M2027" s="2375"/>
    </row>
    <row r="2028" spans="1:13" ht="13.5" thickBot="1" x14ac:dyDescent="0.25">
      <c r="B2028" s="2342" t="s">
        <v>6751</v>
      </c>
      <c r="C2028" s="2343">
        <f t="shared" ref="C2028:M2028" si="460">+C2018+C2022+C2026</f>
        <v>44064</v>
      </c>
      <c r="D2028" s="2343">
        <f t="shared" si="460"/>
        <v>3290418</v>
      </c>
      <c r="E2028" s="2343">
        <f t="shared" si="460"/>
        <v>3290418</v>
      </c>
      <c r="F2028" s="2343">
        <f t="shared" si="460"/>
        <v>280945</v>
      </c>
      <c r="G2028" s="2343">
        <f t="shared" si="460"/>
        <v>337134</v>
      </c>
      <c r="H2028" s="2343"/>
      <c r="I2028" s="2343">
        <f t="shared" si="460"/>
        <v>14897432</v>
      </c>
      <c r="J2028" s="2343">
        <f>+J2018+J2022+J2026</f>
        <v>9191330.9399999995</v>
      </c>
      <c r="K2028" s="2344">
        <f t="shared" si="453"/>
        <v>9191330.9399999995</v>
      </c>
      <c r="L2028" s="2343">
        <f t="shared" si="460"/>
        <v>18757603</v>
      </c>
      <c r="M2028" s="2343">
        <f t="shared" si="460"/>
        <v>23637792</v>
      </c>
    </row>
    <row r="2029" spans="1:13" ht="13.5" thickTop="1" x14ac:dyDescent="0.2">
      <c r="B2029" s="2346"/>
      <c r="C2029" s="2346"/>
      <c r="D2029" s="2346"/>
      <c r="E2029" s="2346"/>
      <c r="G2029" s="2332"/>
      <c r="H2029" s="2332"/>
      <c r="I2029" s="2332"/>
      <c r="J2029" s="2332">
        <f>J2028+[5]Sheet1!$K$1459+[5]Sheet1!$K$1469+[5]Sheet1!$K$1497</f>
        <v>3.4924596548080444E-10</v>
      </c>
      <c r="K2029" s="2333">
        <f t="shared" si="453"/>
        <v>3.4924596548080444E-10</v>
      </c>
      <c r="L2029" s="2346"/>
      <c r="M2029" s="2346"/>
    </row>
    <row r="2030" spans="1:13" x14ac:dyDescent="0.2">
      <c r="B2030" s="2328" t="s">
        <v>235</v>
      </c>
      <c r="C2030" s="2328"/>
      <c r="D2030" s="2328"/>
      <c r="E2030" s="2328"/>
      <c r="G2030" s="2332"/>
      <c r="H2030" s="2332"/>
      <c r="I2030" s="2332"/>
      <c r="J2030" s="2332"/>
      <c r="K2030" s="2333">
        <f t="shared" si="453"/>
        <v>0</v>
      </c>
      <c r="L2030" s="2328"/>
      <c r="M2030" s="2328"/>
    </row>
    <row r="2031" spans="1:13" x14ac:dyDescent="0.2">
      <c r="B2031" s="2328"/>
      <c r="C2031" s="2328"/>
      <c r="D2031" s="2328"/>
      <c r="E2031" s="2328"/>
      <c r="G2031" s="2332"/>
      <c r="H2031" s="2332"/>
      <c r="I2031" s="2332"/>
      <c r="J2031" s="2332"/>
      <c r="K2031" s="2333">
        <f t="shared" si="453"/>
        <v>0</v>
      </c>
      <c r="L2031" s="2328"/>
      <c r="M2031" s="2328"/>
    </row>
    <row r="2032" spans="1:13" x14ac:dyDescent="0.2">
      <c r="B2032" s="2330" t="s">
        <v>387</v>
      </c>
      <c r="C2032" s="2332"/>
      <c r="D2032" s="2332"/>
      <c r="E2032" s="2332"/>
      <c r="G2032" s="2332"/>
      <c r="H2032" s="2332"/>
      <c r="I2032" s="2332"/>
      <c r="J2032" s="2332"/>
      <c r="K2032" s="2333">
        <f t="shared" si="453"/>
        <v>0</v>
      </c>
      <c r="L2032" s="2332"/>
      <c r="M2032" s="2332"/>
    </row>
    <row r="2033" spans="1:13" x14ac:dyDescent="0.2">
      <c r="A2033" s="2353">
        <v>1001</v>
      </c>
      <c r="B2033" s="2258" t="s">
        <v>6943</v>
      </c>
      <c r="C2033" s="2332">
        <v>0</v>
      </c>
      <c r="D2033" s="2332">
        <v>0</v>
      </c>
      <c r="E2033" s="2332">
        <v>0</v>
      </c>
      <c r="F2033" s="2332">
        <v>0</v>
      </c>
      <c r="G2033" s="2332">
        <f>F2033/$F$11*$G$11</f>
        <v>0</v>
      </c>
      <c r="H2033" s="2332"/>
      <c r="I2033" s="2332">
        <f>+[6]Salary_Bdgt!$H$567</f>
        <v>632543</v>
      </c>
      <c r="J2033" s="2332">
        <f>[5]Sheet1!$K$1472</f>
        <v>486772.1</v>
      </c>
      <c r="K2033" s="2333">
        <f t="shared" si="453"/>
        <v>486772.1</v>
      </c>
      <c r="L2033" s="2332">
        <f t="shared" ref="L2033:L2045" si="461">ROUND(I2033*1.08,0)</f>
        <v>683146</v>
      </c>
      <c r="M2033" s="2332">
        <f t="shared" ref="M2033:M2045" si="462">ROUND(L2033*1.08,0)</f>
        <v>737798</v>
      </c>
    </row>
    <row r="2034" spans="1:13" x14ac:dyDescent="0.2">
      <c r="A2034" s="2353">
        <v>1005</v>
      </c>
      <c r="B2034" s="2258" t="s">
        <v>6944</v>
      </c>
      <c r="C2034" s="2332">
        <v>0</v>
      </c>
      <c r="D2034" s="2332">
        <v>0</v>
      </c>
      <c r="E2034" s="2332">
        <v>0</v>
      </c>
      <c r="F2034" s="2332">
        <v>0</v>
      </c>
      <c r="G2034" s="2332">
        <v>0</v>
      </c>
      <c r="H2034" s="2332"/>
      <c r="I2034" s="2332">
        <f>+[6]Salary_Bdgt!$L$567</f>
        <v>29837</v>
      </c>
      <c r="J2034" s="2332">
        <f>[5]Sheet1!$K$1478</f>
        <v>29836.800000000003</v>
      </c>
      <c r="K2034" s="2333">
        <f t="shared" si="453"/>
        <v>29836.800000000003</v>
      </c>
      <c r="L2034" s="2332">
        <f t="shared" si="461"/>
        <v>32224</v>
      </c>
      <c r="M2034" s="2332">
        <f t="shared" si="462"/>
        <v>34802</v>
      </c>
    </row>
    <row r="2035" spans="1:13" x14ac:dyDescent="0.2">
      <c r="A2035" s="2353">
        <v>1006</v>
      </c>
      <c r="B2035" s="2258" t="s">
        <v>6945</v>
      </c>
      <c r="C2035" s="2332">
        <v>0</v>
      </c>
      <c r="D2035" s="2332">
        <v>0</v>
      </c>
      <c r="E2035" s="2332">
        <v>0</v>
      </c>
      <c r="F2035" s="2332">
        <v>0</v>
      </c>
      <c r="G2035" s="2332">
        <f>F2035/$F$11*$G$11</f>
        <v>0</v>
      </c>
      <c r="H2035" s="2332"/>
      <c r="I2035" s="2332">
        <f>+[6]Salary_Bdgt!$N$567</f>
        <v>131442</v>
      </c>
      <c r="J2035" s="2332">
        <f>[5]Sheet1!$K$1479</f>
        <v>78616.479999999996</v>
      </c>
      <c r="K2035" s="2333">
        <f t="shared" si="453"/>
        <v>78616.479999999996</v>
      </c>
      <c r="L2035" s="2332">
        <f t="shared" si="461"/>
        <v>141957</v>
      </c>
      <c r="M2035" s="2332">
        <f t="shared" si="462"/>
        <v>153314</v>
      </c>
    </row>
    <row r="2036" spans="1:13" x14ac:dyDescent="0.2">
      <c r="A2036" s="2353">
        <v>1007</v>
      </c>
      <c r="B2036" s="2258" t="s">
        <v>6410</v>
      </c>
      <c r="C2036" s="2332">
        <v>0</v>
      </c>
      <c r="D2036" s="2332">
        <v>0</v>
      </c>
      <c r="E2036" s="2332">
        <v>0</v>
      </c>
      <c r="F2036" s="2332">
        <v>0</v>
      </c>
      <c r="G2036" s="2332">
        <v>0</v>
      </c>
      <c r="H2036" s="2332"/>
      <c r="I2036" s="2332">
        <f>+[6]Salary_Bdgt!$I$567</f>
        <v>6925</v>
      </c>
      <c r="J2036" s="2332">
        <f>[5]Sheet1!$K$1480</f>
        <v>3694.36</v>
      </c>
      <c r="K2036" s="2333">
        <f t="shared" si="453"/>
        <v>3694.36</v>
      </c>
      <c r="L2036" s="2332">
        <f t="shared" si="461"/>
        <v>7479</v>
      </c>
      <c r="M2036" s="2332">
        <f t="shared" si="462"/>
        <v>8077</v>
      </c>
    </row>
    <row r="2037" spans="1:13" x14ac:dyDescent="0.2">
      <c r="A2037" s="2353">
        <v>1009</v>
      </c>
      <c r="B2037" s="2258" t="s">
        <v>6408</v>
      </c>
      <c r="C2037" s="2332">
        <v>0</v>
      </c>
      <c r="D2037" s="2332">
        <v>0</v>
      </c>
      <c r="E2037" s="2332">
        <v>0</v>
      </c>
      <c r="F2037" s="2332">
        <v>0</v>
      </c>
      <c r="G2037" s="2332">
        <v>0</v>
      </c>
      <c r="H2037" s="2332"/>
      <c r="I2037" s="2332">
        <f>+[6]Salary_Bdgt!$M$567</f>
        <v>225</v>
      </c>
      <c r="J2037" s="2332">
        <f>[5]Sheet1!$K$1475</f>
        <v>147.6</v>
      </c>
      <c r="K2037" s="2333">
        <f t="shared" si="453"/>
        <v>147.6</v>
      </c>
      <c r="L2037" s="2332">
        <f t="shared" si="461"/>
        <v>243</v>
      </c>
      <c r="M2037" s="2332">
        <f t="shared" si="462"/>
        <v>262</v>
      </c>
    </row>
    <row r="2038" spans="1:13" x14ac:dyDescent="0.2">
      <c r="A2038" s="2353">
        <v>1010</v>
      </c>
      <c r="B2038" s="2258" t="s">
        <v>6946</v>
      </c>
      <c r="C2038" s="2332">
        <v>0</v>
      </c>
      <c r="D2038" s="2332">
        <v>0</v>
      </c>
      <c r="E2038" s="2332">
        <v>0</v>
      </c>
      <c r="F2038" s="2332">
        <v>0</v>
      </c>
      <c r="G2038" s="2332">
        <f>F2038/$F$11*$G$11</f>
        <v>0</v>
      </c>
      <c r="H2038" s="2332"/>
      <c r="I2038" s="2332">
        <f>+[6]Salary_Bdgt!$Q$567</f>
        <v>52712</v>
      </c>
      <c r="J2038" s="2332">
        <f>[5]Sheet1!$K$1473</f>
        <v>13046.52</v>
      </c>
      <c r="K2038" s="2333">
        <f t="shared" si="453"/>
        <v>13046.52</v>
      </c>
      <c r="L2038" s="2332">
        <f t="shared" si="461"/>
        <v>56929</v>
      </c>
      <c r="M2038" s="2332">
        <f t="shared" si="462"/>
        <v>61483</v>
      </c>
    </row>
    <row r="2039" spans="1:13" x14ac:dyDescent="0.2">
      <c r="A2039" s="2353">
        <v>1011</v>
      </c>
      <c r="B2039" s="2258" t="s">
        <v>6947</v>
      </c>
      <c r="C2039" s="2332">
        <v>0</v>
      </c>
      <c r="D2039" s="2332">
        <v>0</v>
      </c>
      <c r="E2039" s="2332">
        <v>0</v>
      </c>
      <c r="F2039" s="2332">
        <v>0</v>
      </c>
      <c r="G2039" s="2332">
        <v>0</v>
      </c>
      <c r="H2039" s="2332"/>
      <c r="I2039" s="2332">
        <f>+[6]Salary_Bdgt!$U$567</f>
        <v>12960</v>
      </c>
      <c r="J2039" s="2332">
        <f>[5]Sheet1!$K$1474</f>
        <v>7800</v>
      </c>
      <c r="K2039" s="2333">
        <f t="shared" si="453"/>
        <v>7800</v>
      </c>
      <c r="L2039" s="2332">
        <f t="shared" si="461"/>
        <v>13997</v>
      </c>
      <c r="M2039" s="2332">
        <f t="shared" si="462"/>
        <v>15117</v>
      </c>
    </row>
    <row r="2040" spans="1:13" x14ac:dyDescent="0.2">
      <c r="A2040" s="2353">
        <v>1014</v>
      </c>
      <c r="B2040" s="2258" t="s">
        <v>6632</v>
      </c>
      <c r="C2040" s="2332">
        <v>0</v>
      </c>
      <c r="D2040" s="2332">
        <v>0</v>
      </c>
      <c r="E2040" s="2332">
        <v>0</v>
      </c>
      <c r="F2040" s="2332">
        <v>0</v>
      </c>
      <c r="G2040" s="2332">
        <v>0</v>
      </c>
      <c r="H2040" s="2332"/>
      <c r="I2040" s="2332">
        <f>+[6]Salary_Bdgt!$S$567</f>
        <v>0</v>
      </c>
      <c r="J2040" s="2332">
        <v>0</v>
      </c>
      <c r="K2040" s="2333">
        <f t="shared" si="453"/>
        <v>0</v>
      </c>
      <c r="L2040" s="2332">
        <f t="shared" si="461"/>
        <v>0</v>
      </c>
      <c r="M2040" s="2332">
        <f t="shared" si="462"/>
        <v>0</v>
      </c>
    </row>
    <row r="2041" spans="1:13" x14ac:dyDescent="0.2">
      <c r="A2041" s="2353">
        <v>1015</v>
      </c>
      <c r="B2041" s="2258" t="s">
        <v>6948</v>
      </c>
      <c r="C2041" s="2332">
        <v>0</v>
      </c>
      <c r="D2041" s="2332">
        <v>0</v>
      </c>
      <c r="E2041" s="2332">
        <v>0</v>
      </c>
      <c r="F2041" s="2332">
        <v>0</v>
      </c>
      <c r="G2041" s="2332">
        <f>F2041/$F$11*$G$11</f>
        <v>0</v>
      </c>
      <c r="H2041" s="2332"/>
      <c r="I2041" s="2332">
        <f>+[6]Salary_Bdgt!$O$567+[6]Salary_Bdgt!$P$567+[6]Salary_Bdgt!$W$567</f>
        <v>0</v>
      </c>
      <c r="J2041" s="2332">
        <v>0</v>
      </c>
      <c r="K2041" s="2333">
        <f t="shared" si="453"/>
        <v>0</v>
      </c>
      <c r="L2041" s="2332">
        <f t="shared" si="461"/>
        <v>0</v>
      </c>
      <c r="M2041" s="2332">
        <f t="shared" si="462"/>
        <v>0</v>
      </c>
    </row>
    <row r="2042" spans="1:13" x14ac:dyDescent="0.2">
      <c r="A2042" s="2353">
        <v>1016</v>
      </c>
      <c r="B2042" s="2258" t="s">
        <v>6949</v>
      </c>
      <c r="C2042" s="2332">
        <v>0</v>
      </c>
      <c r="D2042" s="2332">
        <v>0</v>
      </c>
      <c r="E2042" s="2332">
        <v>0</v>
      </c>
      <c r="F2042" s="2332">
        <v>0</v>
      </c>
      <c r="G2042" s="2332">
        <v>0</v>
      </c>
      <c r="H2042" s="2332"/>
      <c r="I2042" s="2332">
        <f>+[6]Salary_Bdgt!$T$567+[6]Salary_Bdgt!$W$567</f>
        <v>0</v>
      </c>
      <c r="J2042" s="2332">
        <v>0</v>
      </c>
      <c r="K2042" s="2333">
        <f t="shared" si="453"/>
        <v>0</v>
      </c>
      <c r="L2042" s="2332">
        <f t="shared" si="461"/>
        <v>0</v>
      </c>
      <c r="M2042" s="2332">
        <f t="shared" si="462"/>
        <v>0</v>
      </c>
    </row>
    <row r="2043" spans="1:13" x14ac:dyDescent="0.2">
      <c r="A2043" s="2353">
        <v>1046</v>
      </c>
      <c r="B2043" s="2258" t="s">
        <v>6951</v>
      </c>
      <c r="C2043" s="2332">
        <v>0</v>
      </c>
      <c r="D2043" s="2332">
        <v>0</v>
      </c>
      <c r="E2043" s="2332">
        <v>0</v>
      </c>
      <c r="F2043" s="2332">
        <v>0</v>
      </c>
      <c r="G2043" s="2332">
        <v>0</v>
      </c>
      <c r="H2043" s="2332"/>
      <c r="I2043" s="2332">
        <f>+[6]Salary_Bdgt!$R$567</f>
        <v>0</v>
      </c>
      <c r="J2043" s="2332">
        <v>0</v>
      </c>
      <c r="K2043" s="2333">
        <f t="shared" si="453"/>
        <v>0</v>
      </c>
      <c r="L2043" s="2332">
        <f t="shared" si="461"/>
        <v>0</v>
      </c>
      <c r="M2043" s="2332">
        <f t="shared" si="462"/>
        <v>0</v>
      </c>
    </row>
    <row r="2044" spans="1:13" x14ac:dyDescent="0.2">
      <c r="A2044" s="2353">
        <v>1017</v>
      </c>
      <c r="B2044" s="2258" t="s">
        <v>6950</v>
      </c>
      <c r="C2044" s="2332">
        <v>0</v>
      </c>
      <c r="D2044" s="2332">
        <v>0</v>
      </c>
      <c r="E2044" s="2332">
        <v>0</v>
      </c>
      <c r="F2044" s="2332">
        <v>0</v>
      </c>
      <c r="G2044" s="2332">
        <f>F2044/$F$11*$G$11</f>
        <v>0</v>
      </c>
      <c r="H2044" s="2332"/>
      <c r="I2044" s="2332">
        <f>+[6]Salary_Bdgt!$J$567</f>
        <v>12780</v>
      </c>
      <c r="J2044" s="2332">
        <f>[5]Sheet1!$K$1476</f>
        <v>4696.38</v>
      </c>
      <c r="K2044" s="2333">
        <f t="shared" si="453"/>
        <v>4696.38</v>
      </c>
      <c r="L2044" s="2332">
        <f t="shared" si="461"/>
        <v>13802</v>
      </c>
      <c r="M2044" s="2332">
        <f t="shared" si="462"/>
        <v>14906</v>
      </c>
    </row>
    <row r="2045" spans="1:13" x14ac:dyDescent="0.2">
      <c r="A2045" s="2353">
        <v>1182</v>
      </c>
      <c r="B2045" s="2334" t="s">
        <v>6952</v>
      </c>
      <c r="C2045" s="2335">
        <v>0</v>
      </c>
      <c r="D2045" s="2335">
        <v>0</v>
      </c>
      <c r="E2045" s="2335">
        <f>+D2045</f>
        <v>0</v>
      </c>
      <c r="F2045" s="2335">
        <v>0</v>
      </c>
      <c r="G2045" s="2335">
        <f>F2045/$F$11*$G$11</f>
        <v>0</v>
      </c>
      <c r="H2045" s="2335"/>
      <c r="I2045" s="2335">
        <f>+[6]Salary_Bdgt!$K$567</f>
        <v>11886</v>
      </c>
      <c r="J2045" s="2335">
        <f>[5]Sheet1!$K$1477</f>
        <v>4054.52</v>
      </c>
      <c r="K2045" s="2336">
        <f t="shared" si="453"/>
        <v>4054.52</v>
      </c>
      <c r="L2045" s="2335">
        <f t="shared" si="461"/>
        <v>12837</v>
      </c>
      <c r="M2045" s="2335">
        <f t="shared" si="462"/>
        <v>13864</v>
      </c>
    </row>
    <row r="2046" spans="1:13" x14ac:dyDescent="0.2">
      <c r="A2046" s="2353"/>
      <c r="B2046" s="2330" t="s">
        <v>6588</v>
      </c>
      <c r="C2046" s="2349">
        <f t="shared" ref="C2046:M2046" si="463">SUM(C2033:C2045)</f>
        <v>0</v>
      </c>
      <c r="D2046" s="2349">
        <f t="shared" si="463"/>
        <v>0</v>
      </c>
      <c r="E2046" s="2349">
        <f t="shared" si="463"/>
        <v>0</v>
      </c>
      <c r="F2046" s="2349">
        <f t="shared" si="463"/>
        <v>0</v>
      </c>
      <c r="G2046" s="2349">
        <f t="shared" si="463"/>
        <v>0</v>
      </c>
      <c r="H2046" s="2349"/>
      <c r="I2046" s="2349">
        <f t="shared" si="463"/>
        <v>891310</v>
      </c>
      <c r="J2046" s="2349">
        <f>SUM(J2033:J2045)</f>
        <v>628664.76</v>
      </c>
      <c r="K2046" s="2333">
        <f t="shared" si="453"/>
        <v>628664.76</v>
      </c>
      <c r="L2046" s="2349">
        <f t="shared" si="463"/>
        <v>962614</v>
      </c>
      <c r="M2046" s="2349">
        <f t="shared" si="463"/>
        <v>1039623</v>
      </c>
    </row>
    <row r="2047" spans="1:13" x14ac:dyDescent="0.2">
      <c r="B2047" s="2328"/>
      <c r="C2047" s="2328"/>
      <c r="D2047" s="2328"/>
      <c r="E2047" s="2328"/>
      <c r="G2047" s="2332"/>
      <c r="H2047" s="2332"/>
      <c r="I2047" s="2332"/>
      <c r="J2047" s="2332">
        <f>J2046-[5]Sheet1!$K$1481</f>
        <v>0</v>
      </c>
      <c r="K2047" s="2333">
        <f t="shared" si="453"/>
        <v>0</v>
      </c>
      <c r="L2047" s="2328"/>
      <c r="M2047" s="2328"/>
    </row>
    <row r="2048" spans="1:13" x14ac:dyDescent="0.2">
      <c r="A2048" s="2353"/>
      <c r="B2048" s="2330" t="s">
        <v>7040</v>
      </c>
      <c r="C2048" s="2332"/>
      <c r="D2048" s="2386"/>
      <c r="E2048" s="2386"/>
      <c r="G2048" s="2332"/>
      <c r="H2048" s="2332"/>
      <c r="I2048" s="2332"/>
      <c r="J2048" s="2332"/>
      <c r="K2048" s="2333">
        <f t="shared" si="453"/>
        <v>0</v>
      </c>
      <c r="L2048" s="2332"/>
      <c r="M2048" s="2332"/>
    </row>
    <row r="2049" spans="1:13" x14ac:dyDescent="0.2">
      <c r="A2049" s="2353"/>
      <c r="B2049" s="2334" t="s">
        <v>7082</v>
      </c>
      <c r="C2049" s="2335">
        <v>0</v>
      </c>
      <c r="D2049" s="2335">
        <v>0</v>
      </c>
      <c r="E2049" s="2335">
        <v>0</v>
      </c>
      <c r="F2049" s="2335">
        <v>0</v>
      </c>
      <c r="G2049" s="2335">
        <f>F2049/$F$11*$G$11</f>
        <v>0</v>
      </c>
      <c r="H2049" s="2335"/>
      <c r="I2049" s="2335">
        <v>147588</v>
      </c>
      <c r="J2049" s="2335">
        <f>[5]Sheet1!$K$1489</f>
        <v>50360.959999999999</v>
      </c>
      <c r="K2049" s="2336">
        <f t="shared" si="453"/>
        <v>50360.959999999999</v>
      </c>
      <c r="L2049" s="2335">
        <v>154967</v>
      </c>
      <c r="M2049" s="2335">
        <v>154967</v>
      </c>
    </row>
    <row r="2050" spans="1:13" x14ac:dyDescent="0.2">
      <c r="A2050" s="2353"/>
      <c r="B2050" s="2330" t="s">
        <v>7041</v>
      </c>
      <c r="C2050" s="2349">
        <f t="shared" ref="C2050:M2050" si="464">SUM(C2049:C2049)</f>
        <v>0</v>
      </c>
      <c r="D2050" s="2349">
        <f t="shared" si="464"/>
        <v>0</v>
      </c>
      <c r="E2050" s="2349">
        <f t="shared" si="464"/>
        <v>0</v>
      </c>
      <c r="F2050" s="2349">
        <f t="shared" si="464"/>
        <v>0</v>
      </c>
      <c r="G2050" s="2349">
        <f t="shared" si="464"/>
        <v>0</v>
      </c>
      <c r="H2050" s="2349"/>
      <c r="I2050" s="2349">
        <f t="shared" si="464"/>
        <v>147588</v>
      </c>
      <c r="J2050" s="2349">
        <f>J2049</f>
        <v>50360.959999999999</v>
      </c>
      <c r="K2050" s="2333">
        <f t="shared" si="453"/>
        <v>50360.959999999999</v>
      </c>
      <c r="L2050" s="2349">
        <f t="shared" si="464"/>
        <v>154967</v>
      </c>
      <c r="M2050" s="2349">
        <f t="shared" si="464"/>
        <v>154967</v>
      </c>
    </row>
    <row r="2051" spans="1:13" x14ac:dyDescent="0.2">
      <c r="A2051" s="2353"/>
      <c r="B2051" s="2330"/>
      <c r="C2051" s="2332"/>
      <c r="D2051" s="2332"/>
      <c r="E2051" s="2332"/>
      <c r="G2051" s="2332"/>
      <c r="H2051" s="2332"/>
      <c r="I2051" s="2332"/>
      <c r="J2051" s="2332">
        <f>J2050-[5]Sheet1!$K$1489</f>
        <v>0</v>
      </c>
      <c r="K2051" s="2333">
        <f t="shared" si="453"/>
        <v>0</v>
      </c>
      <c r="L2051" s="2332"/>
      <c r="M2051" s="2332"/>
    </row>
    <row r="2052" spans="1:13" x14ac:dyDescent="0.2">
      <c r="A2052" s="2353"/>
      <c r="B2052" s="2330" t="s">
        <v>6953</v>
      </c>
      <c r="C2052" s="2332"/>
      <c r="D2052" s="2332"/>
      <c r="E2052" s="2332"/>
      <c r="G2052" s="2332"/>
      <c r="H2052" s="2332"/>
      <c r="I2052" s="2332"/>
      <c r="J2052" s="2332"/>
      <c r="K2052" s="2333">
        <f t="shared" si="453"/>
        <v>0</v>
      </c>
      <c r="L2052" s="2332"/>
      <c r="M2052" s="2332"/>
    </row>
    <row r="2053" spans="1:13" x14ac:dyDescent="0.2">
      <c r="A2053" s="2329"/>
      <c r="B2053" s="2258" t="s">
        <v>7244</v>
      </c>
      <c r="C2053" s="2332">
        <v>0</v>
      </c>
      <c r="D2053" s="2332">
        <v>0</v>
      </c>
      <c r="E2053" s="2332">
        <v>0</v>
      </c>
      <c r="F2053" s="2332">
        <v>0</v>
      </c>
      <c r="G2053" s="2332">
        <f>F2053/$F$11*$G$11</f>
        <v>0</v>
      </c>
      <c r="H2053" s="2332"/>
      <c r="I2053" s="2332">
        <v>0</v>
      </c>
      <c r="J2053" s="2332">
        <v>0</v>
      </c>
      <c r="K2053" s="2333">
        <f t="shared" si="453"/>
        <v>0</v>
      </c>
      <c r="L2053" s="2332">
        <f>ROUND(I2053*1.06,0)</f>
        <v>0</v>
      </c>
      <c r="M2053" s="2332">
        <f>ROUND(L2053*1.06,0)</f>
        <v>0</v>
      </c>
    </row>
    <row r="2054" spans="1:13" x14ac:dyDescent="0.2">
      <c r="A2054" s="2329">
        <v>3215</v>
      </c>
      <c r="B2054" s="2258" t="s">
        <v>6955</v>
      </c>
      <c r="C2054" s="2332">
        <v>0</v>
      </c>
      <c r="D2054" s="2332">
        <v>0</v>
      </c>
      <c r="E2054" s="2332">
        <v>0</v>
      </c>
      <c r="F2054" s="2332">
        <v>0</v>
      </c>
      <c r="G2054" s="2332">
        <f>F2054/$F$11*$G$11</f>
        <v>0</v>
      </c>
      <c r="H2054" s="2332"/>
      <c r="I2054" s="2332">
        <v>0</v>
      </c>
      <c r="J2054" s="2332">
        <v>0</v>
      </c>
      <c r="K2054" s="2333">
        <f t="shared" si="453"/>
        <v>0</v>
      </c>
      <c r="L2054" s="2332">
        <f>ROUND(I2054*1.06,0)</f>
        <v>0</v>
      </c>
      <c r="M2054" s="2332">
        <f>ROUND(L2054*1.06,0)</f>
        <v>0</v>
      </c>
    </row>
    <row r="2055" spans="1:13" x14ac:dyDescent="0.2">
      <c r="A2055" s="2353"/>
      <c r="B2055" s="2258" t="s">
        <v>461</v>
      </c>
      <c r="C2055" s="2332">
        <v>0</v>
      </c>
      <c r="D2055" s="2332">
        <v>0</v>
      </c>
      <c r="E2055" s="2332">
        <v>0</v>
      </c>
      <c r="F2055" s="2332">
        <v>0</v>
      </c>
      <c r="G2055" s="2332">
        <f>F2055/$F$11*$G$11</f>
        <v>0</v>
      </c>
      <c r="H2055" s="2332"/>
      <c r="I2055" s="2332">
        <v>0</v>
      </c>
      <c r="J2055" s="2332">
        <v>0</v>
      </c>
      <c r="K2055" s="2333">
        <f t="shared" si="453"/>
        <v>0</v>
      </c>
      <c r="L2055" s="2332">
        <f>ROUND(I2055*1.06,0)</f>
        <v>0</v>
      </c>
      <c r="M2055" s="2332">
        <f>ROUND(L2055*1.06,0)</f>
        <v>0</v>
      </c>
    </row>
    <row r="2056" spans="1:13" x14ac:dyDescent="0.2">
      <c r="A2056" s="2353">
        <v>3378</v>
      </c>
      <c r="B2056" s="2258" t="s">
        <v>7212</v>
      </c>
      <c r="C2056" s="2332">
        <v>0</v>
      </c>
      <c r="D2056" s="2332">
        <v>0</v>
      </c>
      <c r="E2056" s="2332">
        <v>0</v>
      </c>
      <c r="F2056" s="2332">
        <v>0</v>
      </c>
      <c r="G2056" s="2332">
        <f>F2056/$F$11*$G$11</f>
        <v>0</v>
      </c>
      <c r="H2056" s="2332"/>
      <c r="I2056" s="2332">
        <v>0</v>
      </c>
      <c r="J2056" s="2332">
        <v>0</v>
      </c>
      <c r="K2056" s="2333">
        <f t="shared" si="453"/>
        <v>0</v>
      </c>
      <c r="L2056" s="2332">
        <f>ROUND(I2056*1.06,0)</f>
        <v>0</v>
      </c>
      <c r="M2056" s="2332">
        <f>ROUND(L2056*1.06,0)</f>
        <v>0</v>
      </c>
    </row>
    <row r="2057" spans="1:13" x14ac:dyDescent="0.2">
      <c r="A2057" s="2353"/>
      <c r="B2057" s="2334" t="s">
        <v>7245</v>
      </c>
      <c r="C2057" s="2335">
        <v>0</v>
      </c>
      <c r="D2057" s="2335">
        <v>0</v>
      </c>
      <c r="E2057" s="2335">
        <v>0</v>
      </c>
      <c r="F2057" s="2335">
        <v>0</v>
      </c>
      <c r="G2057" s="2335">
        <f>F2057/$F$11*$G$11</f>
        <v>0</v>
      </c>
      <c r="H2057" s="2335"/>
      <c r="I2057" s="2335">
        <v>0</v>
      </c>
      <c r="J2057" s="2335">
        <v>0</v>
      </c>
      <c r="K2057" s="2336">
        <f t="shared" si="453"/>
        <v>0</v>
      </c>
      <c r="L2057" s="2335">
        <f>ROUND(I2057*1.06,0)</f>
        <v>0</v>
      </c>
      <c r="M2057" s="2335">
        <f>ROUND(L2057*1.06,0)</f>
        <v>0</v>
      </c>
    </row>
    <row r="2058" spans="1:13" x14ac:dyDescent="0.2">
      <c r="B2058" s="2330" t="s">
        <v>6956</v>
      </c>
      <c r="C2058" s="2349">
        <f>SUM(C2053:C2057)</f>
        <v>0</v>
      </c>
      <c r="D2058" s="2349">
        <f t="shared" ref="D2058:M2058" si="465">SUM(D2053:D2057)</f>
        <v>0</v>
      </c>
      <c r="E2058" s="2349">
        <f t="shared" si="465"/>
        <v>0</v>
      </c>
      <c r="F2058" s="2349">
        <f t="shared" si="465"/>
        <v>0</v>
      </c>
      <c r="G2058" s="2349">
        <f t="shared" si="465"/>
        <v>0</v>
      </c>
      <c r="H2058" s="2349"/>
      <c r="I2058" s="2349">
        <f t="shared" si="465"/>
        <v>0</v>
      </c>
      <c r="J2058" s="2349">
        <v>0</v>
      </c>
      <c r="K2058" s="2333">
        <f t="shared" si="453"/>
        <v>0</v>
      </c>
      <c r="L2058" s="2349">
        <f t="shared" si="465"/>
        <v>0</v>
      </c>
      <c r="M2058" s="2349">
        <f t="shared" si="465"/>
        <v>0</v>
      </c>
    </row>
    <row r="2059" spans="1:13" x14ac:dyDescent="0.2">
      <c r="B2059" s="2328"/>
      <c r="C2059" s="2328"/>
      <c r="D2059" s="2328"/>
      <c r="E2059" s="2328"/>
      <c r="G2059" s="2332"/>
      <c r="H2059" s="2332"/>
      <c r="I2059" s="2332"/>
      <c r="J2059" s="2332"/>
      <c r="K2059" s="2333">
        <f t="shared" si="453"/>
        <v>0</v>
      </c>
      <c r="L2059" s="2328"/>
      <c r="M2059" s="2328"/>
    </row>
    <row r="2060" spans="1:13" x14ac:dyDescent="0.2">
      <c r="B2060" s="2328" t="s">
        <v>6599</v>
      </c>
      <c r="C2060" s="2328"/>
      <c r="D2060" s="2328"/>
      <c r="E2060" s="2328"/>
      <c r="G2060" s="2332"/>
      <c r="H2060" s="2332"/>
      <c r="I2060" s="2332"/>
      <c r="J2060" s="2332"/>
      <c r="K2060" s="2333">
        <f t="shared" si="453"/>
        <v>0</v>
      </c>
      <c r="L2060" s="2328"/>
      <c r="M2060" s="2328"/>
    </row>
    <row r="2061" spans="1:13" x14ac:dyDescent="0.2">
      <c r="B2061" s="2418" t="s">
        <v>625</v>
      </c>
      <c r="C2061" s="2332">
        <v>0</v>
      </c>
      <c r="D2061" s="2332">
        <v>0</v>
      </c>
      <c r="E2061" s="2332">
        <v>0</v>
      </c>
      <c r="F2061" s="2332">
        <v>0</v>
      </c>
      <c r="G2061" s="2332">
        <v>0</v>
      </c>
      <c r="H2061" s="2332"/>
      <c r="I2061" s="2332">
        <f>ROUND(5534*1.05,0)</f>
        <v>5811</v>
      </c>
      <c r="J2061" s="2332">
        <f>[5]Sheet1!$K$1502</f>
        <v>0</v>
      </c>
      <c r="K2061" s="2333">
        <f t="shared" si="453"/>
        <v>0</v>
      </c>
      <c r="L2061" s="2332">
        <f t="shared" ref="L2061:L2071" si="466">ROUND(I2061*1.06,0)</f>
        <v>6160</v>
      </c>
      <c r="M2061" s="2332">
        <f t="shared" ref="M2061:M2071" si="467">ROUND(L2061*1.06,0)</f>
        <v>6530</v>
      </c>
    </row>
    <row r="2062" spans="1:13" x14ac:dyDescent="0.2">
      <c r="B2062" s="2418" t="s">
        <v>6482</v>
      </c>
      <c r="C2062" s="2332">
        <v>0</v>
      </c>
      <c r="D2062" s="2332">
        <v>0</v>
      </c>
      <c r="E2062" s="2332">
        <v>0</v>
      </c>
      <c r="F2062" s="2332">
        <v>0</v>
      </c>
      <c r="G2062" s="2332">
        <v>0</v>
      </c>
      <c r="H2062" s="2332"/>
      <c r="I2062" s="2332">
        <v>0</v>
      </c>
      <c r="J2062" s="2332">
        <v>0</v>
      </c>
      <c r="K2062" s="2333">
        <f t="shared" si="453"/>
        <v>0</v>
      </c>
      <c r="L2062" s="2332">
        <f t="shared" si="466"/>
        <v>0</v>
      </c>
      <c r="M2062" s="2332">
        <f t="shared" si="467"/>
        <v>0</v>
      </c>
    </row>
    <row r="2063" spans="1:13" x14ac:dyDescent="0.2">
      <c r="B2063" s="2418" t="s">
        <v>30</v>
      </c>
      <c r="C2063" s="2332">
        <v>0</v>
      </c>
      <c r="D2063" s="2332">
        <v>0</v>
      </c>
      <c r="E2063" s="2332">
        <v>0</v>
      </c>
      <c r="F2063" s="2332">
        <v>0</v>
      </c>
      <c r="G2063" s="2332">
        <v>0</v>
      </c>
      <c r="H2063" s="2332"/>
      <c r="I2063" s="2332">
        <f>ROUND(43260*1.05,0)</f>
        <v>45423</v>
      </c>
      <c r="J2063" s="2332">
        <f>[5]Sheet1!$K$1502</f>
        <v>0</v>
      </c>
      <c r="K2063" s="2333">
        <f t="shared" si="453"/>
        <v>0</v>
      </c>
      <c r="L2063" s="2332">
        <f t="shared" si="466"/>
        <v>48148</v>
      </c>
      <c r="M2063" s="2332">
        <f t="shared" si="467"/>
        <v>51037</v>
      </c>
    </row>
    <row r="2064" spans="1:13" x14ac:dyDescent="0.2">
      <c r="B2064" s="2418" t="s">
        <v>6964</v>
      </c>
      <c r="C2064" s="2332">
        <v>0</v>
      </c>
      <c r="D2064" s="2332">
        <v>0</v>
      </c>
      <c r="E2064" s="2332">
        <v>0</v>
      </c>
      <c r="F2064" s="2332">
        <v>0</v>
      </c>
      <c r="G2064" s="2332">
        <v>0</v>
      </c>
      <c r="H2064" s="2332"/>
      <c r="I2064" s="2332">
        <f>ROUND(6004*1.05,0)</f>
        <v>6304</v>
      </c>
      <c r="J2064" s="2332">
        <f>[5]Sheet1!$K$1502</f>
        <v>0</v>
      </c>
      <c r="K2064" s="2333">
        <f t="shared" si="453"/>
        <v>0</v>
      </c>
      <c r="L2064" s="2332">
        <f t="shared" si="466"/>
        <v>6682</v>
      </c>
      <c r="M2064" s="2332">
        <f t="shared" si="467"/>
        <v>7083</v>
      </c>
    </row>
    <row r="2065" spans="1:13" x14ac:dyDescent="0.2">
      <c r="B2065" s="2418" t="s">
        <v>7007</v>
      </c>
      <c r="C2065" s="2332">
        <v>0</v>
      </c>
      <c r="D2065" s="2332">
        <v>0</v>
      </c>
      <c r="E2065" s="2332">
        <v>0</v>
      </c>
      <c r="F2065" s="2332">
        <v>0</v>
      </c>
      <c r="G2065" s="2332">
        <v>0</v>
      </c>
      <c r="H2065" s="2332"/>
      <c r="I2065" s="2332">
        <f>ROUND(10996*1.05,0)</f>
        <v>11546</v>
      </c>
      <c r="J2065" s="2332">
        <f>[5]Sheet1!$K$1501</f>
        <v>0</v>
      </c>
      <c r="K2065" s="2333">
        <f t="shared" si="453"/>
        <v>0</v>
      </c>
      <c r="L2065" s="2332">
        <f t="shared" si="466"/>
        <v>12239</v>
      </c>
      <c r="M2065" s="2332">
        <f t="shared" si="467"/>
        <v>12973</v>
      </c>
    </row>
    <row r="2066" spans="1:13" x14ac:dyDescent="0.2">
      <c r="B2066" s="2418" t="s">
        <v>7246</v>
      </c>
      <c r="C2066" s="2332"/>
      <c r="D2066" s="2332"/>
      <c r="E2066" s="2332"/>
      <c r="F2066" s="2332"/>
      <c r="G2066" s="2332"/>
      <c r="H2066" s="2332"/>
      <c r="I2066" s="2332">
        <f>[5]Sheet1!$C$1505</f>
        <v>6173</v>
      </c>
      <c r="J2066" s="2332">
        <f>[5]Sheet1!$K$1504</f>
        <v>9440.58</v>
      </c>
      <c r="K2066" s="2333">
        <f t="shared" si="453"/>
        <v>9440.58</v>
      </c>
      <c r="L2066" s="2332"/>
      <c r="M2066" s="2332"/>
    </row>
    <row r="2067" spans="1:13" x14ac:dyDescent="0.2">
      <c r="B2067" s="2418" t="s">
        <v>6970</v>
      </c>
      <c r="C2067" s="2332">
        <v>0</v>
      </c>
      <c r="D2067" s="2332">
        <v>0</v>
      </c>
      <c r="E2067" s="2332">
        <v>0</v>
      </c>
      <c r="F2067" s="2332">
        <v>0</v>
      </c>
      <c r="G2067" s="2332">
        <v>0</v>
      </c>
      <c r="H2067" s="2332"/>
      <c r="I2067" s="2332">
        <f>ROUND(1410*1.05,0)</f>
        <v>1481</v>
      </c>
      <c r="J2067" s="2332">
        <f>[5]Sheet1!$K$1508</f>
        <v>0</v>
      </c>
      <c r="K2067" s="2333">
        <f t="shared" si="453"/>
        <v>0</v>
      </c>
      <c r="L2067" s="2332">
        <f t="shared" si="466"/>
        <v>1570</v>
      </c>
      <c r="M2067" s="2332">
        <f t="shared" si="467"/>
        <v>1664</v>
      </c>
    </row>
    <row r="2068" spans="1:13" x14ac:dyDescent="0.2">
      <c r="B2068" s="2418" t="s">
        <v>231</v>
      </c>
      <c r="C2068" s="2332">
        <v>0</v>
      </c>
      <c r="D2068" s="2332">
        <v>0</v>
      </c>
      <c r="E2068" s="2332">
        <v>0</v>
      </c>
      <c r="F2068" s="2332">
        <v>0</v>
      </c>
      <c r="G2068" s="2332">
        <v>0</v>
      </c>
      <c r="H2068" s="2332"/>
      <c r="I2068" s="2332">
        <f>ROUND(14681*1.05,0)</f>
        <v>15415</v>
      </c>
      <c r="J2068" s="2332">
        <f>[5]Sheet1!$K$1503</f>
        <v>15536.259999999998</v>
      </c>
      <c r="K2068" s="2333">
        <f t="shared" si="453"/>
        <v>15536.259999999998</v>
      </c>
      <c r="L2068" s="2332">
        <f t="shared" si="466"/>
        <v>16340</v>
      </c>
      <c r="M2068" s="2332">
        <f t="shared" si="467"/>
        <v>17320</v>
      </c>
    </row>
    <row r="2069" spans="1:13" x14ac:dyDescent="0.2">
      <c r="B2069" s="2418" t="s">
        <v>6966</v>
      </c>
      <c r="C2069" s="2332">
        <v>0</v>
      </c>
      <c r="D2069" s="2332">
        <v>0</v>
      </c>
      <c r="E2069" s="2332">
        <v>0</v>
      </c>
      <c r="F2069" s="2332">
        <v>0</v>
      </c>
      <c r="G2069" s="2332">
        <v>0</v>
      </c>
      <c r="H2069" s="2332"/>
      <c r="I2069" s="2332">
        <v>0</v>
      </c>
      <c r="J2069" s="2332">
        <f>[5]Sheet1!$K$1506</f>
        <v>0</v>
      </c>
      <c r="K2069" s="2333">
        <f t="shared" ref="K2069:K2132" si="468">J2069</f>
        <v>0</v>
      </c>
      <c r="L2069" s="2332">
        <f t="shared" si="466"/>
        <v>0</v>
      </c>
      <c r="M2069" s="2332">
        <f t="shared" si="467"/>
        <v>0</v>
      </c>
    </row>
    <row r="2070" spans="1:13" x14ac:dyDescent="0.2">
      <c r="B2070" s="2258" t="s">
        <v>7168</v>
      </c>
      <c r="C2070" s="2332">
        <v>0</v>
      </c>
      <c r="D2070" s="2332">
        <v>0</v>
      </c>
      <c r="E2070" s="2332">
        <v>0</v>
      </c>
      <c r="F2070" s="2332">
        <v>0</v>
      </c>
      <c r="G2070" s="2332">
        <v>0</v>
      </c>
      <c r="H2070" s="2332"/>
      <c r="I2070" s="2332">
        <f>ROUND(5879*1.05,0)</f>
        <v>6173</v>
      </c>
      <c r="J2070" s="2332">
        <f>[5]Sheet1!$K$1506</f>
        <v>0</v>
      </c>
      <c r="K2070" s="2333">
        <f t="shared" si="468"/>
        <v>0</v>
      </c>
      <c r="L2070" s="2332">
        <f t="shared" si="466"/>
        <v>6543</v>
      </c>
      <c r="M2070" s="2332">
        <f t="shared" si="467"/>
        <v>6936</v>
      </c>
    </row>
    <row r="2071" spans="1:13" x14ac:dyDescent="0.2">
      <c r="B2071" s="2419" t="s">
        <v>7247</v>
      </c>
      <c r="C2071" s="2335">
        <v>0</v>
      </c>
      <c r="D2071" s="2335">
        <v>0</v>
      </c>
      <c r="E2071" s="2335">
        <v>0</v>
      </c>
      <c r="F2071" s="2335">
        <v>0</v>
      </c>
      <c r="G2071" s="2335">
        <v>0</v>
      </c>
      <c r="H2071" s="2335"/>
      <c r="I2071" s="2335">
        <f>ROUND(140301*1.05,0)</f>
        <v>147316</v>
      </c>
      <c r="J2071" s="2335">
        <f>[5]Sheet1!$K$1509</f>
        <v>50269.38</v>
      </c>
      <c r="K2071" s="2336">
        <f t="shared" si="468"/>
        <v>50269.38</v>
      </c>
      <c r="L2071" s="2335">
        <f t="shared" si="466"/>
        <v>156155</v>
      </c>
      <c r="M2071" s="2335">
        <f t="shared" si="467"/>
        <v>165524</v>
      </c>
    </row>
    <row r="2072" spans="1:13" x14ac:dyDescent="0.2">
      <c r="B2072" s="2328" t="s">
        <v>6614</v>
      </c>
      <c r="C2072" s="2348">
        <f t="shared" ref="C2072:M2072" si="469">SUM(C2061:C2071)</f>
        <v>0</v>
      </c>
      <c r="D2072" s="2348">
        <f t="shared" si="469"/>
        <v>0</v>
      </c>
      <c r="E2072" s="2348">
        <f t="shared" si="469"/>
        <v>0</v>
      </c>
      <c r="F2072" s="2348">
        <f t="shared" si="469"/>
        <v>0</v>
      </c>
      <c r="G2072" s="2348">
        <f t="shared" si="469"/>
        <v>0</v>
      </c>
      <c r="H2072" s="2348"/>
      <c r="I2072" s="2348">
        <f t="shared" si="469"/>
        <v>245642</v>
      </c>
      <c r="J2072" s="2348">
        <f>SUM(J2061:J2071)</f>
        <v>75246.22</v>
      </c>
      <c r="K2072" s="2333">
        <f t="shared" si="468"/>
        <v>75246.22</v>
      </c>
      <c r="L2072" s="2348">
        <f t="shared" si="469"/>
        <v>253837</v>
      </c>
      <c r="M2072" s="2348">
        <f t="shared" si="469"/>
        <v>269067</v>
      </c>
    </row>
    <row r="2073" spans="1:13" x14ac:dyDescent="0.2">
      <c r="B2073" s="2328"/>
      <c r="C2073" s="2328"/>
      <c r="D2073" s="2328"/>
      <c r="E2073" s="2328"/>
      <c r="G2073" s="2332"/>
      <c r="H2073" s="2332"/>
      <c r="I2073" s="2332"/>
      <c r="J2073" s="2332">
        <f>J2072-[5]Sheet1!$K$1510+[5]Sheet1!$K$1507</f>
        <v>0</v>
      </c>
      <c r="K2073" s="2333">
        <f t="shared" si="468"/>
        <v>0</v>
      </c>
      <c r="L2073" s="2328"/>
      <c r="M2073" s="2328"/>
    </row>
    <row r="2074" spans="1:13" x14ac:dyDescent="0.2">
      <c r="B2074" s="2330" t="s">
        <v>646</v>
      </c>
      <c r="C2074" s="2332"/>
      <c r="D2074" s="2332"/>
      <c r="E2074" s="2332"/>
      <c r="G2074" s="2332"/>
      <c r="H2074" s="2332"/>
      <c r="I2074" s="2332"/>
      <c r="J2074" s="2332"/>
      <c r="K2074" s="2333">
        <f t="shared" si="468"/>
        <v>0</v>
      </c>
      <c r="L2074" s="2332"/>
      <c r="M2074" s="2332"/>
    </row>
    <row r="2075" spans="1:13" x14ac:dyDescent="0.2">
      <c r="A2075" s="2353">
        <v>2600</v>
      </c>
      <c r="B2075" s="2334" t="s">
        <v>7165</v>
      </c>
      <c r="C2075" s="2335">
        <v>44064</v>
      </c>
      <c r="D2075" s="2335">
        <v>340418</v>
      </c>
      <c r="E2075" s="2335">
        <v>340418</v>
      </c>
      <c r="F2075" s="2335">
        <v>280945</v>
      </c>
      <c r="G2075" s="2335">
        <f>F2075/$F$11*$G$11</f>
        <v>337134</v>
      </c>
      <c r="H2075" s="2335"/>
      <c r="I2075" s="2335">
        <f>ROUND(E2075*1.289,0)+9034305-223902-5400</f>
        <v>9243802</v>
      </c>
      <c r="J2075" s="2335">
        <f>[5]Sheet1!$K$1493</f>
        <v>4033319.12</v>
      </c>
      <c r="K2075" s="2336">
        <f t="shared" si="468"/>
        <v>4033319.12</v>
      </c>
      <c r="L2075" s="2335">
        <f>ROUND(I2075*1.258,0)</f>
        <v>11628703</v>
      </c>
      <c r="M2075" s="2335">
        <f>ROUND(L2075*1.259,0)</f>
        <v>14640537</v>
      </c>
    </row>
    <row r="2076" spans="1:13" x14ac:dyDescent="0.2">
      <c r="B2076" s="2330" t="s">
        <v>6840</v>
      </c>
      <c r="C2076" s="2349">
        <f t="shared" ref="C2076:M2076" si="470">SUM(C2075:C2075)</f>
        <v>44064</v>
      </c>
      <c r="D2076" s="2349">
        <f t="shared" si="470"/>
        <v>340418</v>
      </c>
      <c r="E2076" s="2349">
        <f t="shared" si="470"/>
        <v>340418</v>
      </c>
      <c r="F2076" s="2349">
        <f t="shared" si="470"/>
        <v>280945</v>
      </c>
      <c r="G2076" s="2349">
        <f t="shared" si="470"/>
        <v>337134</v>
      </c>
      <c r="H2076" s="2349"/>
      <c r="I2076" s="2349">
        <f t="shared" si="470"/>
        <v>9243802</v>
      </c>
      <c r="J2076" s="2349">
        <f>J2075</f>
        <v>4033319.12</v>
      </c>
      <c r="K2076" s="2333">
        <f t="shared" si="468"/>
        <v>4033319.12</v>
      </c>
      <c r="L2076" s="2349">
        <f t="shared" si="470"/>
        <v>11628703</v>
      </c>
      <c r="M2076" s="2349">
        <f t="shared" si="470"/>
        <v>14640537</v>
      </c>
    </row>
    <row r="2077" spans="1:13" x14ac:dyDescent="0.2">
      <c r="B2077" s="2436"/>
      <c r="C2077" s="2436"/>
      <c r="D2077" s="2436"/>
      <c r="E2077" s="2436"/>
      <c r="F2077" s="2436"/>
      <c r="G2077" s="2436"/>
      <c r="H2077" s="2436"/>
      <c r="I2077" s="2340"/>
      <c r="J2077" s="2439">
        <f>J2076-[5]Sheet1!$K$1492</f>
        <v>0</v>
      </c>
      <c r="K2077" s="2336">
        <f t="shared" si="468"/>
        <v>0</v>
      </c>
      <c r="L2077" s="2436"/>
      <c r="M2077" s="2436"/>
    </row>
    <row r="2078" spans="1:13" x14ac:dyDescent="0.2">
      <c r="B2078" s="2330" t="s">
        <v>6972</v>
      </c>
      <c r="C2078" s="2351">
        <f t="shared" ref="C2078:M2078" si="471">C2046+C2050+C2058+C2072+C2076</f>
        <v>44064</v>
      </c>
      <c r="D2078" s="2351">
        <f t="shared" si="471"/>
        <v>340418</v>
      </c>
      <c r="E2078" s="2351">
        <f t="shared" si="471"/>
        <v>340418</v>
      </c>
      <c r="F2078" s="2351">
        <f t="shared" si="471"/>
        <v>280945</v>
      </c>
      <c r="G2078" s="2351">
        <f t="shared" si="471"/>
        <v>337134</v>
      </c>
      <c r="H2078" s="2351"/>
      <c r="I2078" s="2351">
        <f t="shared" si="471"/>
        <v>10528342</v>
      </c>
      <c r="J2078" s="2351">
        <f t="shared" si="471"/>
        <v>4787591.0600000005</v>
      </c>
      <c r="K2078" s="2333">
        <f t="shared" si="468"/>
        <v>4787591.0600000005</v>
      </c>
      <c r="L2078" s="2351">
        <f t="shared" si="471"/>
        <v>13000121</v>
      </c>
      <c r="M2078" s="2351">
        <f t="shared" si="471"/>
        <v>16104194</v>
      </c>
    </row>
    <row r="2079" spans="1:13" x14ac:dyDescent="0.2">
      <c r="B2079" s="2330"/>
      <c r="C2079" s="2351"/>
      <c r="D2079" s="2351"/>
      <c r="E2079" s="2351"/>
      <c r="G2079" s="2332"/>
      <c r="H2079" s="2332"/>
      <c r="I2079" s="2332"/>
      <c r="J2079" s="2332"/>
      <c r="K2079" s="2333">
        <f t="shared" si="468"/>
        <v>0</v>
      </c>
      <c r="L2079" s="2351"/>
      <c r="M2079" s="2351"/>
    </row>
    <row r="2080" spans="1:13" x14ac:dyDescent="0.2">
      <c r="B2080" s="2330" t="s">
        <v>7081</v>
      </c>
      <c r="C2080" s="2364"/>
      <c r="D2080" s="2364"/>
      <c r="E2080" s="2364"/>
      <c r="G2080" s="2332"/>
      <c r="H2080" s="2332"/>
      <c r="I2080" s="2332"/>
      <c r="J2080" s="2332"/>
      <c r="K2080" s="2333">
        <f t="shared" si="468"/>
        <v>0</v>
      </c>
      <c r="L2080" s="2364"/>
      <c r="M2080" s="2364"/>
    </row>
    <row r="2081" spans="1:13" x14ac:dyDescent="0.2">
      <c r="B2081" s="2334" t="s">
        <v>7082</v>
      </c>
      <c r="C2081" s="2335">
        <v>0</v>
      </c>
      <c r="D2081" s="2335">
        <v>0</v>
      </c>
      <c r="E2081" s="2335">
        <v>0</v>
      </c>
      <c r="F2081" s="2335">
        <v>0</v>
      </c>
      <c r="G2081" s="2335">
        <f>F2081/$F$11*$G$11</f>
        <v>0</v>
      </c>
      <c r="H2081" s="2335"/>
      <c r="I2081" s="2335">
        <v>155043</v>
      </c>
      <c r="J2081" s="2335">
        <f>[5]Sheet1!$K$1485</f>
        <v>0</v>
      </c>
      <c r="K2081" s="2336">
        <f t="shared" si="468"/>
        <v>0</v>
      </c>
      <c r="L2081" s="2335">
        <v>162795</v>
      </c>
      <c r="M2081" s="2335">
        <v>162795</v>
      </c>
    </row>
    <row r="2082" spans="1:13" x14ac:dyDescent="0.2">
      <c r="B2082" s="2330" t="s">
        <v>7083</v>
      </c>
      <c r="C2082" s="2364">
        <f t="shared" ref="C2082:M2082" si="472">SUM(C2081)</f>
        <v>0</v>
      </c>
      <c r="D2082" s="2364">
        <f t="shared" si="472"/>
        <v>0</v>
      </c>
      <c r="E2082" s="2364">
        <f t="shared" si="472"/>
        <v>0</v>
      </c>
      <c r="F2082" s="2332">
        <f t="shared" si="472"/>
        <v>0</v>
      </c>
      <c r="G2082" s="2364">
        <f t="shared" si="472"/>
        <v>0</v>
      </c>
      <c r="H2082" s="2364"/>
      <c r="I2082" s="2364">
        <f t="shared" si="472"/>
        <v>155043</v>
      </c>
      <c r="J2082" s="2364">
        <f>J2081</f>
        <v>0</v>
      </c>
      <c r="K2082" s="2333">
        <f t="shared" si="468"/>
        <v>0</v>
      </c>
      <c r="L2082" s="2364">
        <f t="shared" si="472"/>
        <v>162795</v>
      </c>
      <c r="M2082" s="2364">
        <f t="shared" si="472"/>
        <v>162795</v>
      </c>
    </row>
    <row r="2083" spans="1:13" x14ac:dyDescent="0.2">
      <c r="B2083" s="2330"/>
      <c r="C2083" s="2364"/>
      <c r="D2083" s="2364"/>
      <c r="E2083" s="2364"/>
      <c r="F2083" s="2332"/>
      <c r="G2083" s="2364"/>
      <c r="H2083" s="2364"/>
      <c r="I2083" s="2364"/>
      <c r="J2083" s="2364">
        <f>J2082-[5]Sheet1!$K$1485</f>
        <v>0</v>
      </c>
      <c r="K2083" s="2333">
        <f t="shared" si="468"/>
        <v>0</v>
      </c>
      <c r="L2083" s="2364"/>
      <c r="M2083" s="2364"/>
    </row>
    <row r="2084" spans="1:13" x14ac:dyDescent="0.2">
      <c r="B2084" s="2330"/>
      <c r="C2084" s="2364"/>
      <c r="D2084" s="2364"/>
      <c r="E2084" s="2364"/>
      <c r="F2084" s="2332"/>
      <c r="G2084" s="2364"/>
      <c r="H2084" s="2364"/>
      <c r="I2084" s="2364"/>
      <c r="J2084" s="2364"/>
      <c r="K2084" s="2333">
        <f t="shared" si="468"/>
        <v>0</v>
      </c>
      <c r="L2084" s="2364"/>
      <c r="M2084" s="2364"/>
    </row>
    <row r="2085" spans="1:13" ht="15" x14ac:dyDescent="0.25">
      <c r="A2085" s="2365">
        <v>2210</v>
      </c>
      <c r="B2085" s="2326" t="s">
        <v>7248</v>
      </c>
      <c r="C2085" s="2364"/>
      <c r="D2085" s="2364"/>
      <c r="E2085" s="2364"/>
      <c r="F2085" s="2332"/>
      <c r="G2085" s="2364"/>
      <c r="H2085" s="2364"/>
      <c r="I2085" s="2364"/>
      <c r="J2085" s="2364"/>
      <c r="K2085" s="2333">
        <f t="shared" si="468"/>
        <v>0</v>
      </c>
      <c r="L2085" s="2364"/>
      <c r="M2085" s="2364"/>
    </row>
    <row r="2086" spans="1:13" x14ac:dyDescent="0.2">
      <c r="B2086" s="2330"/>
      <c r="C2086" s="2364"/>
      <c r="D2086" s="2364"/>
      <c r="E2086" s="2364"/>
      <c r="F2086" s="2332"/>
      <c r="G2086" s="2364"/>
      <c r="H2086" s="2364"/>
      <c r="I2086" s="2364"/>
      <c r="J2086" s="2364"/>
      <c r="K2086" s="2333">
        <f t="shared" si="468"/>
        <v>0</v>
      </c>
      <c r="L2086" s="2364"/>
      <c r="M2086" s="2364"/>
    </row>
    <row r="2087" spans="1:13" x14ac:dyDescent="0.2">
      <c r="B2087" s="2330"/>
      <c r="C2087" s="2364"/>
      <c r="D2087" s="2364"/>
      <c r="E2087" s="2364"/>
      <c r="F2087" s="2332"/>
      <c r="G2087" s="2364"/>
      <c r="H2087" s="2364"/>
      <c r="I2087" s="2364"/>
      <c r="J2087" s="2364"/>
      <c r="K2087" s="2333">
        <f t="shared" si="468"/>
        <v>0</v>
      </c>
      <c r="L2087" s="2364"/>
      <c r="M2087" s="2364"/>
    </row>
    <row r="2088" spans="1:13" x14ac:dyDescent="0.2">
      <c r="B2088" s="2330"/>
      <c r="C2088" s="2364"/>
      <c r="D2088" s="2364"/>
      <c r="E2088" s="2364"/>
      <c r="F2088" s="2332"/>
      <c r="G2088" s="2364"/>
      <c r="H2088" s="2364"/>
      <c r="I2088" s="2364"/>
      <c r="J2088" s="2364"/>
      <c r="K2088" s="2333">
        <f t="shared" si="468"/>
        <v>0</v>
      </c>
      <c r="L2088" s="2364"/>
      <c r="M2088" s="2364"/>
    </row>
    <row r="2089" spans="1:13" x14ac:dyDescent="0.2">
      <c r="B2089" s="2330" t="s">
        <v>7221</v>
      </c>
      <c r="C2089" s="2364"/>
      <c r="D2089" s="2364"/>
      <c r="E2089" s="2364"/>
      <c r="G2089" s="2332"/>
      <c r="H2089" s="2332"/>
      <c r="I2089" s="2332"/>
      <c r="J2089" s="2332"/>
      <c r="K2089" s="2333">
        <f t="shared" si="468"/>
        <v>0</v>
      </c>
      <c r="L2089" s="2364"/>
      <c r="M2089" s="2364"/>
    </row>
    <row r="2090" spans="1:13" x14ac:dyDescent="0.2">
      <c r="B2090" s="2334" t="s">
        <v>7243</v>
      </c>
      <c r="C2090" s="2335">
        <v>0</v>
      </c>
      <c r="D2090" s="2335">
        <f>D2025</f>
        <v>2950000</v>
      </c>
      <c r="E2090" s="2335">
        <v>2950000</v>
      </c>
      <c r="F2090" s="2335">
        <v>0</v>
      </c>
      <c r="G2090" s="2335">
        <f>F2090/$F$11*$G$11</f>
        <v>0</v>
      </c>
      <c r="H2090" s="2335"/>
      <c r="I2090" s="2335">
        <v>0</v>
      </c>
      <c r="J2090" s="2335">
        <v>0</v>
      </c>
      <c r="K2090" s="2336">
        <f t="shared" si="468"/>
        <v>0</v>
      </c>
      <c r="L2090" s="2335">
        <v>0</v>
      </c>
      <c r="M2090" s="2335">
        <v>0</v>
      </c>
    </row>
    <row r="2091" spans="1:13" x14ac:dyDescent="0.2">
      <c r="B2091" s="2330" t="s">
        <v>7222</v>
      </c>
      <c r="C2091" s="2337">
        <f t="shared" ref="C2091:M2091" si="473">SUM(C2090:C2090)</f>
        <v>0</v>
      </c>
      <c r="D2091" s="2337">
        <f t="shared" si="473"/>
        <v>2950000</v>
      </c>
      <c r="E2091" s="2337">
        <f t="shared" si="473"/>
        <v>2950000</v>
      </c>
      <c r="F2091" s="2337">
        <f t="shared" si="473"/>
        <v>0</v>
      </c>
      <c r="G2091" s="2337">
        <f t="shared" si="473"/>
        <v>0</v>
      </c>
      <c r="H2091" s="2337"/>
      <c r="I2091" s="2337">
        <f t="shared" si="473"/>
        <v>0</v>
      </c>
      <c r="J2091" s="2337">
        <v>0</v>
      </c>
      <c r="K2091" s="2333">
        <f t="shared" si="468"/>
        <v>0</v>
      </c>
      <c r="L2091" s="2337">
        <f t="shared" si="473"/>
        <v>0</v>
      </c>
      <c r="M2091" s="2337">
        <f t="shared" si="473"/>
        <v>0</v>
      </c>
    </row>
    <row r="2092" spans="1:13" x14ac:dyDescent="0.2">
      <c r="B2092" s="2330"/>
      <c r="C2092" s="2364"/>
      <c r="D2092" s="2364"/>
      <c r="E2092" s="2364"/>
      <c r="G2092" s="2332"/>
      <c r="H2092" s="2332"/>
      <c r="I2092" s="2332"/>
      <c r="J2092" s="2332"/>
      <c r="K2092" s="2333">
        <f t="shared" si="468"/>
        <v>0</v>
      </c>
      <c r="L2092" s="2364"/>
      <c r="M2092" s="2364"/>
    </row>
    <row r="2093" spans="1:13" ht="13.5" thickBot="1" x14ac:dyDescent="0.25">
      <c r="B2093" s="2342" t="s">
        <v>6980</v>
      </c>
      <c r="C2093" s="2354">
        <f t="shared" ref="C2093:M2093" si="474">C2078+C2082+C2091</f>
        <v>44064</v>
      </c>
      <c r="D2093" s="2354">
        <f t="shared" si="474"/>
        <v>3290418</v>
      </c>
      <c r="E2093" s="2354">
        <f t="shared" si="474"/>
        <v>3290418</v>
      </c>
      <c r="F2093" s="2354">
        <f t="shared" si="474"/>
        <v>280945</v>
      </c>
      <c r="G2093" s="2354">
        <f t="shared" si="474"/>
        <v>337134</v>
      </c>
      <c r="H2093" s="2354"/>
      <c r="I2093" s="2354">
        <f t="shared" si="474"/>
        <v>10683385</v>
      </c>
      <c r="J2093" s="2354">
        <f>J2078+J2082+J2091</f>
        <v>4787591.0600000005</v>
      </c>
      <c r="K2093" s="2344">
        <f t="shared" si="468"/>
        <v>4787591.0600000005</v>
      </c>
      <c r="L2093" s="2354">
        <f t="shared" si="474"/>
        <v>13162916</v>
      </c>
      <c r="M2093" s="2354">
        <f t="shared" si="474"/>
        <v>16266989</v>
      </c>
    </row>
    <row r="2094" spans="1:13" ht="13.5" thickTop="1" x14ac:dyDescent="0.2">
      <c r="B2094" s="2330"/>
      <c r="C2094" s="2349"/>
      <c r="D2094" s="2349"/>
      <c r="E2094" s="2349"/>
      <c r="F2094" s="2349"/>
      <c r="G2094" s="2349"/>
      <c r="H2094" s="2349"/>
      <c r="I2094" s="2349"/>
      <c r="J2094" s="2349"/>
      <c r="K2094" s="2333">
        <f t="shared" si="468"/>
        <v>0</v>
      </c>
      <c r="L2094" s="2349"/>
      <c r="M2094" s="2349"/>
    </row>
    <row r="2095" spans="1:13" ht="13.5" thickBot="1" x14ac:dyDescent="0.25">
      <c r="B2095" s="2342" t="s">
        <v>6624</v>
      </c>
      <c r="C2095" s="2355">
        <f t="shared" ref="C2095:M2095" si="475">C2028-C2093</f>
        <v>0</v>
      </c>
      <c r="D2095" s="2355">
        <f t="shared" si="475"/>
        <v>0</v>
      </c>
      <c r="E2095" s="2355">
        <f t="shared" si="475"/>
        <v>0</v>
      </c>
      <c r="F2095" s="2355">
        <f t="shared" si="475"/>
        <v>0</v>
      </c>
      <c r="G2095" s="2355">
        <f t="shared" si="475"/>
        <v>0</v>
      </c>
      <c r="H2095" s="2355"/>
      <c r="I2095" s="2355">
        <f t="shared" si="475"/>
        <v>4214047</v>
      </c>
      <c r="J2095" s="2355">
        <f>J2028-J2093</f>
        <v>4403739.879999999</v>
      </c>
      <c r="K2095" s="2344">
        <f t="shared" si="468"/>
        <v>4403739.879999999</v>
      </c>
      <c r="L2095" s="2355">
        <f t="shared" si="475"/>
        <v>5594687</v>
      </c>
      <c r="M2095" s="2355">
        <f t="shared" si="475"/>
        <v>7370803</v>
      </c>
    </row>
    <row r="2096" spans="1:13" ht="13.5" thickTop="1" x14ac:dyDescent="0.2">
      <c r="B2096" s="2330"/>
      <c r="C2096" s="2356"/>
      <c r="D2096" s="2356"/>
      <c r="E2096" s="2356"/>
      <c r="G2096" s="2332"/>
      <c r="H2096" s="2332"/>
      <c r="I2096" s="2332"/>
      <c r="J2096" s="2332"/>
      <c r="K2096" s="2333">
        <f t="shared" si="468"/>
        <v>0</v>
      </c>
      <c r="L2096" s="2356"/>
      <c r="M2096" s="2356"/>
    </row>
    <row r="2097" spans="1:13" x14ac:dyDescent="0.2">
      <c r="A2097" s="2369"/>
      <c r="B2097" s="2369"/>
      <c r="C2097" s="2369"/>
      <c r="D2097" s="2369"/>
      <c r="E2097" s="2369"/>
      <c r="G2097" s="2332"/>
      <c r="H2097" s="2332"/>
      <c r="I2097" s="2332"/>
      <c r="J2097" s="2332"/>
      <c r="K2097" s="2333">
        <f t="shared" si="468"/>
        <v>0</v>
      </c>
      <c r="L2097" s="2369"/>
      <c r="M2097" s="2369"/>
    </row>
    <row r="2098" spans="1:13" ht="15.75" x14ac:dyDescent="0.25">
      <c r="A2098" s="2374">
        <v>2300</v>
      </c>
      <c r="B2098" s="2320" t="s">
        <v>7249</v>
      </c>
      <c r="C2098" s="2356"/>
      <c r="D2098" s="2356"/>
      <c r="E2098" s="2356"/>
      <c r="G2098" s="2332"/>
      <c r="H2098" s="2332"/>
      <c r="I2098" s="2332"/>
      <c r="J2098" s="2332"/>
      <c r="K2098" s="2333">
        <f t="shared" si="468"/>
        <v>0</v>
      </c>
      <c r="L2098" s="2356"/>
      <c r="M2098" s="2356"/>
    </row>
    <row r="2099" spans="1:13" ht="15" x14ac:dyDescent="0.25">
      <c r="A2099" s="2365">
        <v>2310</v>
      </c>
      <c r="B2099" s="2370" t="s">
        <v>7250</v>
      </c>
      <c r="C2099" s="2356"/>
      <c r="D2099" s="2356"/>
      <c r="E2099" s="2356"/>
      <c r="G2099" s="2332"/>
      <c r="H2099" s="2332"/>
      <c r="I2099" s="2332"/>
      <c r="J2099" s="2332"/>
      <c r="K2099" s="2333">
        <f t="shared" si="468"/>
        <v>0</v>
      </c>
      <c r="L2099" s="2356"/>
      <c r="M2099" s="2356"/>
    </row>
    <row r="2100" spans="1:13" x14ac:dyDescent="0.2">
      <c r="B2100" s="2330"/>
      <c r="C2100" s="2356"/>
      <c r="D2100" s="2356"/>
      <c r="E2100" s="2356"/>
      <c r="G2100" s="2332"/>
      <c r="H2100" s="2332"/>
      <c r="I2100" s="2332"/>
      <c r="J2100" s="2332"/>
      <c r="K2100" s="2333">
        <f t="shared" si="468"/>
        <v>0</v>
      </c>
      <c r="L2100" s="2356"/>
      <c r="M2100" s="2356"/>
    </row>
    <row r="2101" spans="1:13" x14ac:dyDescent="0.2">
      <c r="B2101" s="2328" t="s">
        <v>247</v>
      </c>
      <c r="C2101" s="2328"/>
      <c r="D2101" s="2328"/>
      <c r="E2101" s="2328"/>
      <c r="G2101" s="2332"/>
      <c r="H2101" s="2332"/>
      <c r="I2101" s="2332"/>
      <c r="J2101" s="2332"/>
      <c r="K2101" s="2333">
        <f t="shared" si="468"/>
        <v>0</v>
      </c>
    </row>
    <row r="2102" spans="1:13" x14ac:dyDescent="0.2">
      <c r="B2102" s="2323"/>
      <c r="C2102" s="2323"/>
      <c r="D2102" s="2323"/>
      <c r="E2102" s="2323"/>
      <c r="G2102" s="2332"/>
      <c r="H2102" s="2332"/>
      <c r="I2102" s="2332"/>
      <c r="J2102" s="2332"/>
      <c r="K2102" s="2333">
        <f t="shared" si="468"/>
        <v>0</v>
      </c>
    </row>
    <row r="2103" spans="1:13" x14ac:dyDescent="0.2">
      <c r="B2103" s="2330" t="s">
        <v>1637</v>
      </c>
      <c r="C2103" s="2375"/>
      <c r="D2103" s="2375"/>
      <c r="E2103" s="2375"/>
      <c r="G2103" s="2332"/>
      <c r="H2103" s="2332"/>
      <c r="I2103" s="2332"/>
      <c r="J2103" s="2332"/>
      <c r="K2103" s="2333">
        <f t="shared" si="468"/>
        <v>0</v>
      </c>
      <c r="L2103" s="2375"/>
      <c r="M2103" s="2375"/>
    </row>
    <row r="2104" spans="1:13" x14ac:dyDescent="0.2">
      <c r="A2104" s="2353">
        <v>5822</v>
      </c>
      <c r="B2104" s="2334" t="s">
        <v>7251</v>
      </c>
      <c r="C2104" s="2335">
        <v>88645</v>
      </c>
      <c r="D2104" s="2335">
        <v>0</v>
      </c>
      <c r="E2104" s="2335">
        <v>0</v>
      </c>
      <c r="F2104" s="2335">
        <v>53500</v>
      </c>
      <c r="G2104" s="2335">
        <f>F2104/$F$11*$G$11</f>
        <v>64200</v>
      </c>
      <c r="H2104" s="2335"/>
      <c r="I2104" s="2335">
        <f>I2136</f>
        <v>22050</v>
      </c>
      <c r="J2104" s="2335">
        <f>-[5]Sheet1!$K$1522+178824-2000</f>
        <v>267762</v>
      </c>
      <c r="K2104" s="2336">
        <f t="shared" si="468"/>
        <v>267762</v>
      </c>
      <c r="L2104" s="2335">
        <f>L2136</f>
        <v>23373</v>
      </c>
      <c r="M2104" s="2335">
        <f>M2136</f>
        <v>24775</v>
      </c>
    </row>
    <row r="2105" spans="1:13" x14ac:dyDescent="0.2">
      <c r="B2105" s="2330" t="s">
        <v>6670</v>
      </c>
      <c r="C2105" s="2376">
        <f t="shared" ref="C2105:M2105" si="476">SUM(C2104)</f>
        <v>88645</v>
      </c>
      <c r="D2105" s="2376">
        <f t="shared" si="476"/>
        <v>0</v>
      </c>
      <c r="E2105" s="2376">
        <f t="shared" si="476"/>
        <v>0</v>
      </c>
      <c r="F2105" s="2376">
        <f t="shared" si="476"/>
        <v>53500</v>
      </c>
      <c r="G2105" s="2376">
        <f t="shared" si="476"/>
        <v>64200</v>
      </c>
      <c r="H2105" s="2376"/>
      <c r="I2105" s="2376">
        <f t="shared" si="476"/>
        <v>22050</v>
      </c>
      <c r="J2105" s="2376">
        <f>J2104</f>
        <v>267762</v>
      </c>
      <c r="K2105" s="2333">
        <f t="shared" si="468"/>
        <v>267762</v>
      </c>
      <c r="L2105" s="2376">
        <f t="shared" si="476"/>
        <v>23373</v>
      </c>
      <c r="M2105" s="2376">
        <f t="shared" si="476"/>
        <v>24775</v>
      </c>
    </row>
    <row r="2106" spans="1:13" x14ac:dyDescent="0.2">
      <c r="B2106" s="2330"/>
      <c r="C2106" s="2375"/>
      <c r="D2106" s="2375"/>
      <c r="E2106" s="2375"/>
      <c r="G2106" s="2332"/>
      <c r="H2106" s="2332"/>
      <c r="I2106" s="2332"/>
      <c r="J2106" s="2332"/>
      <c r="K2106" s="2333">
        <f t="shared" si="468"/>
        <v>0</v>
      </c>
      <c r="L2106" s="2375"/>
      <c r="M2106" s="2375"/>
    </row>
    <row r="2107" spans="1:13" ht="13.5" thickBot="1" x14ac:dyDescent="0.25">
      <c r="B2107" s="2342" t="s">
        <v>6579</v>
      </c>
      <c r="C2107" s="2343">
        <f t="shared" ref="C2107:M2107" si="477">+C2105</f>
        <v>88645</v>
      </c>
      <c r="D2107" s="2343">
        <f t="shared" si="477"/>
        <v>0</v>
      </c>
      <c r="E2107" s="2343">
        <f t="shared" si="477"/>
        <v>0</v>
      </c>
      <c r="F2107" s="2343">
        <f t="shared" si="477"/>
        <v>53500</v>
      </c>
      <c r="G2107" s="2343">
        <f t="shared" si="477"/>
        <v>64200</v>
      </c>
      <c r="H2107" s="2343"/>
      <c r="I2107" s="2343">
        <f t="shared" si="477"/>
        <v>22050</v>
      </c>
      <c r="J2107" s="2343">
        <f>J2105</f>
        <v>267762</v>
      </c>
      <c r="K2107" s="2344">
        <f t="shared" si="468"/>
        <v>267762</v>
      </c>
      <c r="L2107" s="2343">
        <f t="shared" si="477"/>
        <v>23373</v>
      </c>
      <c r="M2107" s="2343">
        <f t="shared" si="477"/>
        <v>24775</v>
      </c>
    </row>
    <row r="2108" spans="1:13" ht="13.5" thickTop="1" x14ac:dyDescent="0.2">
      <c r="B2108" s="2346"/>
      <c r="C2108" s="2346"/>
      <c r="D2108" s="2346"/>
      <c r="E2108" s="2346"/>
      <c r="G2108" s="2332"/>
      <c r="H2108" s="2332"/>
      <c r="I2108" s="2332"/>
      <c r="J2108" s="2332">
        <f>J2107+[5]Sheet1!$K$1522</f>
        <v>176824</v>
      </c>
      <c r="K2108" s="2333">
        <f t="shared" si="468"/>
        <v>176824</v>
      </c>
      <c r="L2108" s="2346"/>
      <c r="M2108" s="2346"/>
    </row>
    <row r="2109" spans="1:13" x14ac:dyDescent="0.2">
      <c r="B2109" s="2328" t="s">
        <v>235</v>
      </c>
      <c r="C2109" s="2328"/>
      <c r="D2109" s="2328"/>
      <c r="E2109" s="2328"/>
      <c r="G2109" s="2332"/>
      <c r="H2109" s="2332"/>
      <c r="I2109" s="2332"/>
      <c r="J2109" s="2332"/>
      <c r="K2109" s="2333">
        <f t="shared" si="468"/>
        <v>0</v>
      </c>
      <c r="L2109" s="2328"/>
      <c r="M2109" s="2328"/>
    </row>
    <row r="2110" spans="1:13" x14ac:dyDescent="0.2">
      <c r="B2110" s="2328"/>
      <c r="C2110" s="2328"/>
      <c r="D2110" s="2328"/>
      <c r="E2110" s="2328"/>
      <c r="G2110" s="2332"/>
      <c r="H2110" s="2332"/>
      <c r="I2110" s="2332"/>
      <c r="J2110" s="2332"/>
      <c r="K2110" s="2333">
        <f t="shared" si="468"/>
        <v>0</v>
      </c>
      <c r="L2110" s="2328"/>
      <c r="M2110" s="2328"/>
    </row>
    <row r="2111" spans="1:13" x14ac:dyDescent="0.2">
      <c r="B2111" s="2328" t="s">
        <v>387</v>
      </c>
      <c r="C2111" s="2328"/>
      <c r="D2111" s="2328"/>
      <c r="E2111" s="2328"/>
      <c r="G2111" s="2332"/>
      <c r="H2111" s="2332"/>
      <c r="I2111" s="2332"/>
      <c r="J2111" s="2332"/>
      <c r="K2111" s="2333">
        <f t="shared" si="468"/>
        <v>0</v>
      </c>
      <c r="L2111" s="2328"/>
      <c r="M2111" s="2328"/>
    </row>
    <row r="2112" spans="1:13" x14ac:dyDescent="0.2">
      <c r="A2112" s="2329">
        <v>1001</v>
      </c>
      <c r="B2112" s="2258" t="s">
        <v>7252</v>
      </c>
      <c r="C2112" s="2332">
        <v>14082</v>
      </c>
      <c r="D2112" s="2332">
        <v>0</v>
      </c>
      <c r="E2112" s="2332">
        <v>0</v>
      </c>
      <c r="F2112" s="2332">
        <v>0</v>
      </c>
      <c r="G2112" s="2332">
        <v>0</v>
      </c>
      <c r="H2112" s="2332"/>
      <c r="I2112" s="2332">
        <v>0</v>
      </c>
      <c r="J2112" s="2332">
        <v>0</v>
      </c>
      <c r="K2112" s="2333">
        <f t="shared" si="468"/>
        <v>0</v>
      </c>
      <c r="L2112" s="2332">
        <f t="shared" ref="L2112:L2119" si="478">ROUND(I2112*1.08,0)</f>
        <v>0</v>
      </c>
      <c r="M2112" s="2332">
        <f>ROUND(L2112*1.08,0)</f>
        <v>0</v>
      </c>
    </row>
    <row r="2113" spans="1:13" x14ac:dyDescent="0.2">
      <c r="A2113" s="2353">
        <v>1006</v>
      </c>
      <c r="B2113" s="2258" t="s">
        <v>6945</v>
      </c>
      <c r="C2113" s="2332">
        <v>2580</v>
      </c>
      <c r="D2113" s="2332">
        <v>0</v>
      </c>
      <c r="E2113" s="2332">
        <v>0</v>
      </c>
      <c r="F2113" s="2332">
        <v>0</v>
      </c>
      <c r="G2113" s="2332">
        <f t="shared" ref="G2113:G2119" si="479">F2113/$F$11*$G$11</f>
        <v>0</v>
      </c>
      <c r="H2113" s="2332"/>
      <c r="I2113" s="2332">
        <v>0</v>
      </c>
      <c r="J2113" s="2332">
        <v>0</v>
      </c>
      <c r="K2113" s="2333">
        <f t="shared" si="468"/>
        <v>0</v>
      </c>
      <c r="L2113" s="2332">
        <f t="shared" si="478"/>
        <v>0</v>
      </c>
      <c r="M2113" s="2332">
        <f t="shared" ref="M2113:M2119" si="480">ROUND(L2113*1.08,0)</f>
        <v>0</v>
      </c>
    </row>
    <row r="2114" spans="1:13" x14ac:dyDescent="0.2">
      <c r="A2114" s="2353">
        <v>1007</v>
      </c>
      <c r="B2114" s="2258" t="s">
        <v>6410</v>
      </c>
      <c r="C2114" s="2332">
        <v>195</v>
      </c>
      <c r="D2114" s="2332">
        <v>0</v>
      </c>
      <c r="E2114" s="2332">
        <v>0</v>
      </c>
      <c r="F2114" s="2332">
        <v>0</v>
      </c>
      <c r="G2114" s="2332">
        <f t="shared" si="479"/>
        <v>0</v>
      </c>
      <c r="H2114" s="2332"/>
      <c r="I2114" s="2332">
        <v>0</v>
      </c>
      <c r="J2114" s="2332">
        <v>0</v>
      </c>
      <c r="K2114" s="2333">
        <f t="shared" si="468"/>
        <v>0</v>
      </c>
      <c r="L2114" s="2332">
        <f t="shared" si="478"/>
        <v>0</v>
      </c>
      <c r="M2114" s="2332">
        <f t="shared" si="480"/>
        <v>0</v>
      </c>
    </row>
    <row r="2115" spans="1:13" x14ac:dyDescent="0.2">
      <c r="A2115" s="2353">
        <v>1009</v>
      </c>
      <c r="B2115" s="2258" t="s">
        <v>6408</v>
      </c>
      <c r="C2115" s="2332">
        <v>14</v>
      </c>
      <c r="D2115" s="2332">
        <v>0</v>
      </c>
      <c r="E2115" s="2332">
        <v>0</v>
      </c>
      <c r="F2115" s="2332">
        <v>0</v>
      </c>
      <c r="G2115" s="2332">
        <f t="shared" si="479"/>
        <v>0</v>
      </c>
      <c r="H2115" s="2332"/>
      <c r="I2115" s="2332">
        <v>0</v>
      </c>
      <c r="J2115" s="2332">
        <v>0</v>
      </c>
      <c r="K2115" s="2333">
        <f t="shared" si="468"/>
        <v>0</v>
      </c>
      <c r="L2115" s="2332">
        <f t="shared" si="478"/>
        <v>0</v>
      </c>
      <c r="M2115" s="2332">
        <f t="shared" si="480"/>
        <v>0</v>
      </c>
    </row>
    <row r="2116" spans="1:13" x14ac:dyDescent="0.2">
      <c r="A2116" s="2353">
        <v>1010</v>
      </c>
      <c r="B2116" s="2258" t="s">
        <v>6946</v>
      </c>
      <c r="C2116" s="2332">
        <v>3351</v>
      </c>
      <c r="D2116" s="2332">
        <v>0</v>
      </c>
      <c r="E2116" s="2332">
        <v>0</v>
      </c>
      <c r="F2116" s="2332">
        <v>0</v>
      </c>
      <c r="G2116" s="2332">
        <f t="shared" si="479"/>
        <v>0</v>
      </c>
      <c r="H2116" s="2332"/>
      <c r="I2116" s="2332">
        <v>0</v>
      </c>
      <c r="J2116" s="2332">
        <v>0</v>
      </c>
      <c r="K2116" s="2333">
        <f t="shared" si="468"/>
        <v>0</v>
      </c>
      <c r="L2116" s="2332">
        <f t="shared" si="478"/>
        <v>0</v>
      </c>
      <c r="M2116" s="2332">
        <f t="shared" si="480"/>
        <v>0</v>
      </c>
    </row>
    <row r="2117" spans="1:13" x14ac:dyDescent="0.2">
      <c r="A2117" s="2353">
        <v>1015</v>
      </c>
      <c r="B2117" s="2258" t="s">
        <v>6948</v>
      </c>
      <c r="C2117" s="2332">
        <v>2056</v>
      </c>
      <c r="D2117" s="2332">
        <v>0</v>
      </c>
      <c r="E2117" s="2332">
        <v>0</v>
      </c>
      <c r="F2117" s="2332">
        <v>0</v>
      </c>
      <c r="G2117" s="2332">
        <f t="shared" si="479"/>
        <v>0</v>
      </c>
      <c r="H2117" s="2332"/>
      <c r="I2117" s="2332">
        <v>0</v>
      </c>
      <c r="J2117" s="2332">
        <v>0</v>
      </c>
      <c r="K2117" s="2333">
        <f t="shared" si="468"/>
        <v>0</v>
      </c>
      <c r="L2117" s="2332">
        <f t="shared" si="478"/>
        <v>0</v>
      </c>
      <c r="M2117" s="2332">
        <f t="shared" si="480"/>
        <v>0</v>
      </c>
    </row>
    <row r="2118" spans="1:13" x14ac:dyDescent="0.2">
      <c r="A2118" s="2353">
        <v>1017</v>
      </c>
      <c r="B2118" s="2258" t="s">
        <v>6950</v>
      </c>
      <c r="C2118" s="2332">
        <v>226</v>
      </c>
      <c r="D2118" s="2332">
        <v>0</v>
      </c>
      <c r="E2118" s="2332">
        <v>0</v>
      </c>
      <c r="F2118" s="2332">
        <v>0</v>
      </c>
      <c r="G2118" s="2332">
        <f t="shared" si="479"/>
        <v>0</v>
      </c>
      <c r="H2118" s="2332"/>
      <c r="I2118" s="2332">
        <v>0</v>
      </c>
      <c r="J2118" s="2332">
        <v>0</v>
      </c>
      <c r="K2118" s="2333">
        <f t="shared" si="468"/>
        <v>0</v>
      </c>
      <c r="L2118" s="2332">
        <f t="shared" si="478"/>
        <v>0</v>
      </c>
      <c r="M2118" s="2332">
        <f t="shared" si="480"/>
        <v>0</v>
      </c>
    </row>
    <row r="2119" spans="1:13" x14ac:dyDescent="0.2">
      <c r="A2119" s="2353">
        <v>1182</v>
      </c>
      <c r="B2119" s="2334" t="s">
        <v>6952</v>
      </c>
      <c r="C2119" s="2335">
        <v>143</v>
      </c>
      <c r="D2119" s="2335">
        <v>0</v>
      </c>
      <c r="E2119" s="2335">
        <v>0</v>
      </c>
      <c r="F2119" s="2335">
        <v>0</v>
      </c>
      <c r="G2119" s="2335">
        <f t="shared" si="479"/>
        <v>0</v>
      </c>
      <c r="H2119" s="2335"/>
      <c r="I2119" s="2335">
        <v>0</v>
      </c>
      <c r="J2119" s="2335">
        <v>0</v>
      </c>
      <c r="K2119" s="2336">
        <f t="shared" si="468"/>
        <v>0</v>
      </c>
      <c r="L2119" s="2335">
        <f t="shared" si="478"/>
        <v>0</v>
      </c>
      <c r="M2119" s="2335">
        <f t="shared" si="480"/>
        <v>0</v>
      </c>
    </row>
    <row r="2120" spans="1:13" x14ac:dyDescent="0.2">
      <c r="A2120" s="2353"/>
      <c r="B2120" s="2328" t="s">
        <v>6588</v>
      </c>
      <c r="C2120" s="2349">
        <f t="shared" ref="C2120:M2120" si="481">SUM(C2112:C2119)</f>
        <v>22647</v>
      </c>
      <c r="D2120" s="2349">
        <f t="shared" si="481"/>
        <v>0</v>
      </c>
      <c r="E2120" s="2349">
        <f t="shared" si="481"/>
        <v>0</v>
      </c>
      <c r="F2120" s="2349">
        <f t="shared" si="481"/>
        <v>0</v>
      </c>
      <c r="G2120" s="2349">
        <f t="shared" si="481"/>
        <v>0</v>
      </c>
      <c r="H2120" s="2349"/>
      <c r="I2120" s="2349">
        <f t="shared" si="481"/>
        <v>0</v>
      </c>
      <c r="J2120" s="2349">
        <v>0</v>
      </c>
      <c r="K2120" s="2333">
        <f t="shared" si="468"/>
        <v>0</v>
      </c>
      <c r="L2120" s="2349">
        <f t="shared" si="481"/>
        <v>0</v>
      </c>
      <c r="M2120" s="2349">
        <f t="shared" si="481"/>
        <v>0</v>
      </c>
    </row>
    <row r="2121" spans="1:13" x14ac:dyDescent="0.2">
      <c r="A2121" s="2353"/>
      <c r="B2121" s="2258"/>
      <c r="C2121" s="2332"/>
      <c r="D2121" s="2332"/>
      <c r="E2121" s="2332"/>
      <c r="G2121" s="2332"/>
      <c r="H2121" s="2332"/>
      <c r="I2121" s="2332"/>
      <c r="J2121" s="2332"/>
      <c r="K2121" s="2333">
        <f t="shared" si="468"/>
        <v>0</v>
      </c>
      <c r="L2121" s="2332"/>
      <c r="M2121" s="2332"/>
    </row>
    <row r="2122" spans="1:13" x14ac:dyDescent="0.2">
      <c r="B2122" s="2330" t="s">
        <v>6953</v>
      </c>
      <c r="C2122" s="2332"/>
      <c r="D2122" s="2332"/>
      <c r="E2122" s="2332"/>
      <c r="G2122" s="2332"/>
      <c r="H2122" s="2332"/>
      <c r="I2122" s="2332"/>
      <c r="J2122" s="2332"/>
      <c r="K2122" s="2333">
        <f t="shared" si="468"/>
        <v>0</v>
      </c>
      <c r="L2122" s="2332"/>
      <c r="M2122" s="2332"/>
    </row>
    <row r="2123" spans="1:13" x14ac:dyDescent="0.2">
      <c r="A2123" s="2353">
        <v>3208</v>
      </c>
      <c r="B2123" s="2334" t="s">
        <v>7172</v>
      </c>
      <c r="C2123" s="2335">
        <v>89</v>
      </c>
      <c r="D2123" s="2335">
        <v>127050</v>
      </c>
      <c r="E2123" s="2335">
        <v>127050</v>
      </c>
      <c r="F2123" s="2335">
        <v>1050</v>
      </c>
      <c r="G2123" s="2335">
        <f>F2123/$F$11*$G$11</f>
        <v>1260</v>
      </c>
      <c r="H2123" s="2335"/>
      <c r="I2123" s="2335">
        <v>0</v>
      </c>
      <c r="J2123" s="2335">
        <v>0</v>
      </c>
      <c r="K2123" s="2336">
        <f t="shared" si="468"/>
        <v>0</v>
      </c>
      <c r="L2123" s="2335">
        <f>ROUND(I2123*1.06,0)</f>
        <v>0</v>
      </c>
      <c r="M2123" s="2335">
        <f>ROUND(L2123*1.06,0)</f>
        <v>0</v>
      </c>
    </row>
    <row r="2124" spans="1:13" x14ac:dyDescent="0.2">
      <c r="B2124" s="2330" t="s">
        <v>6956</v>
      </c>
      <c r="C2124" s="2349">
        <f>SUM(C2123:C2123)</f>
        <v>89</v>
      </c>
      <c r="D2124" s="2349">
        <f t="shared" ref="D2124:M2124" si="482">SUM(D2123:D2123)</f>
        <v>127050</v>
      </c>
      <c r="E2124" s="2349">
        <f t="shared" si="482"/>
        <v>127050</v>
      </c>
      <c r="F2124" s="2349">
        <f t="shared" si="482"/>
        <v>1050</v>
      </c>
      <c r="G2124" s="2349">
        <f t="shared" si="482"/>
        <v>1260</v>
      </c>
      <c r="H2124" s="2349"/>
      <c r="I2124" s="2349">
        <f t="shared" si="482"/>
        <v>0</v>
      </c>
      <c r="J2124" s="2349">
        <v>0</v>
      </c>
      <c r="K2124" s="2333">
        <f t="shared" si="468"/>
        <v>0</v>
      </c>
      <c r="L2124" s="2349">
        <f t="shared" si="482"/>
        <v>0</v>
      </c>
      <c r="M2124" s="2349">
        <f t="shared" si="482"/>
        <v>0</v>
      </c>
    </row>
    <row r="2125" spans="1:13" x14ac:dyDescent="0.2">
      <c r="B2125" s="2330"/>
      <c r="C2125" s="2332"/>
      <c r="D2125" s="2332"/>
      <c r="E2125" s="2332"/>
      <c r="F2125" s="2322"/>
      <c r="G2125" s="2332"/>
      <c r="H2125" s="2332"/>
      <c r="I2125" s="2332"/>
      <c r="J2125" s="2332"/>
      <c r="K2125" s="2333">
        <f t="shared" si="468"/>
        <v>0</v>
      </c>
      <c r="L2125" s="2332"/>
      <c r="M2125" s="2332"/>
    </row>
    <row r="2126" spans="1:13" x14ac:dyDescent="0.2">
      <c r="B2126" s="2330" t="s">
        <v>6599</v>
      </c>
      <c r="C2126" s="2332"/>
      <c r="D2126" s="2332"/>
      <c r="E2126" s="2332"/>
      <c r="G2126" s="2332"/>
      <c r="H2126" s="2332"/>
      <c r="I2126" s="2332"/>
      <c r="J2126" s="2332"/>
      <c r="K2126" s="2333">
        <f t="shared" si="468"/>
        <v>0</v>
      </c>
      <c r="L2126" s="2332"/>
      <c r="M2126" s="2332"/>
    </row>
    <row r="2127" spans="1:13" x14ac:dyDescent="0.2">
      <c r="A2127" s="2353">
        <v>2297</v>
      </c>
      <c r="B2127" s="2334" t="s">
        <v>6478</v>
      </c>
      <c r="C2127" s="2335">
        <v>1724</v>
      </c>
      <c r="D2127" s="2335">
        <v>21000</v>
      </c>
      <c r="E2127" s="2335">
        <v>21000</v>
      </c>
      <c r="F2127" s="2335">
        <v>4246</v>
      </c>
      <c r="G2127" s="2335">
        <f>F2127/$F$11*$G$11</f>
        <v>5095.2000000000007</v>
      </c>
      <c r="H2127" s="2335"/>
      <c r="I2127" s="2335">
        <f>ROUND(E2127*1.05,0)</f>
        <v>22050</v>
      </c>
      <c r="J2127" s="2335">
        <f>[5]Sheet1!$K$1537</f>
        <v>7115.72</v>
      </c>
      <c r="K2127" s="2336">
        <f t="shared" si="468"/>
        <v>7115.72</v>
      </c>
      <c r="L2127" s="2335">
        <f>ROUND(I2127*1.06,0)</f>
        <v>23373</v>
      </c>
      <c r="M2127" s="2335">
        <f>ROUND(L2127*1.06,0)</f>
        <v>24775</v>
      </c>
    </row>
    <row r="2128" spans="1:13" x14ac:dyDescent="0.2">
      <c r="B2128" s="2330" t="s">
        <v>6614</v>
      </c>
      <c r="C2128" s="2349">
        <f>SUM(C2127:C2127)</f>
        <v>1724</v>
      </c>
      <c r="D2128" s="2349">
        <f t="shared" ref="D2128:M2128" si="483">SUM(D2127:D2127)</f>
        <v>21000</v>
      </c>
      <c r="E2128" s="2349">
        <f t="shared" si="483"/>
        <v>21000</v>
      </c>
      <c r="F2128" s="2349">
        <f t="shared" si="483"/>
        <v>4246</v>
      </c>
      <c r="G2128" s="2349">
        <f t="shared" si="483"/>
        <v>5095.2000000000007</v>
      </c>
      <c r="H2128" s="2349"/>
      <c r="I2128" s="2349">
        <f t="shared" si="483"/>
        <v>22050</v>
      </c>
      <c r="J2128" s="2349">
        <f>J2127</f>
        <v>7115.72</v>
      </c>
      <c r="K2128" s="2333">
        <f t="shared" si="468"/>
        <v>7115.72</v>
      </c>
      <c r="L2128" s="2349">
        <f t="shared" si="483"/>
        <v>23373</v>
      </c>
      <c r="M2128" s="2349">
        <f t="shared" si="483"/>
        <v>24775</v>
      </c>
    </row>
    <row r="2129" spans="1:13" x14ac:dyDescent="0.2">
      <c r="B2129" s="2338"/>
      <c r="C2129" s="2380"/>
      <c r="D2129" s="2380"/>
      <c r="E2129" s="2380"/>
      <c r="F2129" s="2380"/>
      <c r="G2129" s="2380"/>
      <c r="H2129" s="2380"/>
      <c r="I2129" s="2380"/>
      <c r="J2129" s="2380"/>
      <c r="K2129" s="2336">
        <f t="shared" si="468"/>
        <v>0</v>
      </c>
      <c r="L2129" s="2380"/>
      <c r="M2129" s="2380"/>
    </row>
    <row r="2130" spans="1:13" x14ac:dyDescent="0.2">
      <c r="B2130" s="2330" t="s">
        <v>6972</v>
      </c>
      <c r="C2130" s="2351">
        <f>C2120+C2124+C2128</f>
        <v>24460</v>
      </c>
      <c r="D2130" s="2351">
        <f t="shared" ref="D2130:M2130" si="484">+D2128+D2124</f>
        <v>148050</v>
      </c>
      <c r="E2130" s="2351">
        <f t="shared" si="484"/>
        <v>148050</v>
      </c>
      <c r="F2130" s="2351">
        <f t="shared" si="484"/>
        <v>5296</v>
      </c>
      <c r="G2130" s="2351">
        <f t="shared" si="484"/>
        <v>6355.2000000000007</v>
      </c>
      <c r="H2130" s="2351"/>
      <c r="I2130" s="2351">
        <f t="shared" si="484"/>
        <v>22050</v>
      </c>
      <c r="J2130" s="2351">
        <f>J2128</f>
        <v>7115.72</v>
      </c>
      <c r="K2130" s="2333">
        <f t="shared" si="468"/>
        <v>7115.72</v>
      </c>
      <c r="L2130" s="2351">
        <f t="shared" si="484"/>
        <v>23373</v>
      </c>
      <c r="M2130" s="2351">
        <f t="shared" si="484"/>
        <v>24775</v>
      </c>
    </row>
    <row r="2131" spans="1:13" x14ac:dyDescent="0.2">
      <c r="B2131" s="2330"/>
      <c r="C2131" s="2351"/>
      <c r="D2131" s="2351"/>
      <c r="E2131" s="2351"/>
      <c r="F2131" s="2351"/>
      <c r="G2131" s="2351"/>
      <c r="H2131" s="2351"/>
      <c r="I2131" s="2351"/>
      <c r="J2131" s="2351"/>
      <c r="K2131" s="2333">
        <f t="shared" si="468"/>
        <v>0</v>
      </c>
      <c r="L2131" s="2351"/>
      <c r="M2131" s="2351"/>
    </row>
    <row r="2132" spans="1:13" x14ac:dyDescent="0.2">
      <c r="B2132" s="2330" t="s">
        <v>6974</v>
      </c>
      <c r="C2132" s="2351"/>
      <c r="D2132" s="2351"/>
      <c r="E2132" s="2351"/>
      <c r="F2132" s="2351"/>
      <c r="G2132" s="2351"/>
      <c r="H2132" s="2351"/>
      <c r="I2132" s="2351"/>
      <c r="J2132" s="2351"/>
      <c r="K2132" s="2333">
        <f t="shared" si="468"/>
        <v>0</v>
      </c>
      <c r="L2132" s="2351"/>
      <c r="M2132" s="2351"/>
    </row>
    <row r="2133" spans="1:13" x14ac:dyDescent="0.2">
      <c r="A2133" s="2353">
        <v>4207</v>
      </c>
      <c r="B2133" s="2334" t="s">
        <v>6977</v>
      </c>
      <c r="C2133" s="2335">
        <v>5364</v>
      </c>
      <c r="D2133" s="2335">
        <v>0</v>
      </c>
      <c r="E2133" s="2335">
        <v>0</v>
      </c>
      <c r="F2133" s="2335">
        <v>0</v>
      </c>
      <c r="G2133" s="2335">
        <f>F2133/$F$11*$G$11</f>
        <v>0</v>
      </c>
      <c r="H2133" s="2335"/>
      <c r="I2133" s="2335">
        <v>0</v>
      </c>
      <c r="J2133" s="2335">
        <v>0</v>
      </c>
      <c r="K2133" s="2336">
        <f t="shared" ref="K2133:K2196" si="485">J2133</f>
        <v>0</v>
      </c>
      <c r="L2133" s="2335">
        <f>ROUND(I2133*1.08,0)</f>
        <v>0</v>
      </c>
      <c r="M2133" s="2335">
        <f>ROUND(L2133*1.08,0)</f>
        <v>0</v>
      </c>
    </row>
    <row r="2134" spans="1:13" x14ac:dyDescent="0.2">
      <c r="B2134" s="2330" t="s">
        <v>6979</v>
      </c>
      <c r="C2134" s="2351">
        <f>SUM(C2133)</f>
        <v>5364</v>
      </c>
      <c r="D2134" s="2351">
        <f t="shared" ref="D2134:M2134" si="486">SUM(D2133)</f>
        <v>0</v>
      </c>
      <c r="E2134" s="2351">
        <f t="shared" si="486"/>
        <v>0</v>
      </c>
      <c r="F2134" s="2351">
        <f t="shared" si="486"/>
        <v>0</v>
      </c>
      <c r="G2134" s="2351">
        <f t="shared" si="486"/>
        <v>0</v>
      </c>
      <c r="H2134" s="2351"/>
      <c r="I2134" s="2351">
        <f t="shared" si="486"/>
        <v>0</v>
      </c>
      <c r="J2134" s="2351">
        <v>0</v>
      </c>
      <c r="K2134" s="2333">
        <f t="shared" si="485"/>
        <v>0</v>
      </c>
      <c r="L2134" s="2351">
        <f t="shared" si="486"/>
        <v>0</v>
      </c>
      <c r="M2134" s="2351">
        <f t="shared" si="486"/>
        <v>0</v>
      </c>
    </row>
    <row r="2135" spans="1:13" x14ac:dyDescent="0.2">
      <c r="B2135" s="2330"/>
      <c r="C2135" s="2351"/>
      <c r="D2135" s="2351"/>
      <c r="E2135" s="2351"/>
      <c r="F2135" s="2351"/>
      <c r="G2135" s="2351"/>
      <c r="H2135" s="2351"/>
      <c r="I2135" s="2351"/>
      <c r="J2135" s="2351"/>
      <c r="K2135" s="2333">
        <f t="shared" si="485"/>
        <v>0</v>
      </c>
      <c r="L2135" s="2351"/>
      <c r="M2135" s="2351"/>
    </row>
    <row r="2136" spans="1:13" ht="13.5" thickBot="1" x14ac:dyDescent="0.25">
      <c r="B2136" s="2342" t="s">
        <v>6980</v>
      </c>
      <c r="C2136" s="2354">
        <f>+C2130+C2134</f>
        <v>29824</v>
      </c>
      <c r="D2136" s="2354">
        <f t="shared" ref="D2136:M2136" si="487">+D2130+D2134</f>
        <v>148050</v>
      </c>
      <c r="E2136" s="2354">
        <f t="shared" si="487"/>
        <v>148050</v>
      </c>
      <c r="F2136" s="2354">
        <f t="shared" si="487"/>
        <v>5296</v>
      </c>
      <c r="G2136" s="2354">
        <f t="shared" si="487"/>
        <v>6355.2000000000007</v>
      </c>
      <c r="H2136" s="2354"/>
      <c r="I2136" s="2354">
        <f t="shared" si="487"/>
        <v>22050</v>
      </c>
      <c r="J2136" s="2354">
        <f>+J2130+J2134</f>
        <v>7115.72</v>
      </c>
      <c r="K2136" s="2344">
        <f t="shared" si="485"/>
        <v>7115.72</v>
      </c>
      <c r="L2136" s="2354">
        <f t="shared" si="487"/>
        <v>23373</v>
      </c>
      <c r="M2136" s="2354">
        <f t="shared" si="487"/>
        <v>24775</v>
      </c>
    </row>
    <row r="2137" spans="1:13" ht="13.5" thickTop="1" x14ac:dyDescent="0.2">
      <c r="B2137" s="2330"/>
      <c r="C2137" s="2349"/>
      <c r="D2137" s="2349"/>
      <c r="E2137" s="2349"/>
      <c r="F2137" s="2349"/>
      <c r="G2137" s="2349"/>
      <c r="H2137" s="2349"/>
      <c r="I2137" s="2349"/>
      <c r="J2137" s="2349"/>
      <c r="K2137" s="2333">
        <f t="shared" si="485"/>
        <v>0</v>
      </c>
      <c r="L2137" s="2349"/>
      <c r="M2137" s="2349"/>
    </row>
    <row r="2138" spans="1:13" ht="13.5" thickBot="1" x14ac:dyDescent="0.25">
      <c r="B2138" s="2342" t="s">
        <v>6624</v>
      </c>
      <c r="C2138" s="2355">
        <f t="shared" ref="C2138:M2138" si="488">C2107-C2136</f>
        <v>58821</v>
      </c>
      <c r="D2138" s="2355">
        <f t="shared" si="488"/>
        <v>-148050</v>
      </c>
      <c r="E2138" s="2355">
        <f t="shared" si="488"/>
        <v>-148050</v>
      </c>
      <c r="F2138" s="2355">
        <f t="shared" si="488"/>
        <v>48204</v>
      </c>
      <c r="G2138" s="2355">
        <f t="shared" si="488"/>
        <v>57844.800000000003</v>
      </c>
      <c r="H2138" s="2355"/>
      <c r="I2138" s="2355">
        <f t="shared" si="488"/>
        <v>0</v>
      </c>
      <c r="J2138" s="2355">
        <f>J2107-J2136</f>
        <v>260646.28</v>
      </c>
      <c r="K2138" s="2344">
        <f t="shared" si="485"/>
        <v>260646.28</v>
      </c>
      <c r="L2138" s="2355">
        <f t="shared" si="488"/>
        <v>0</v>
      </c>
      <c r="M2138" s="2355">
        <f t="shared" si="488"/>
        <v>0</v>
      </c>
    </row>
    <row r="2139" spans="1:13" ht="13.5" thickTop="1" x14ac:dyDescent="0.2">
      <c r="B2139" s="2330"/>
      <c r="C2139" s="2356"/>
      <c r="D2139" s="2356"/>
      <c r="E2139" s="2356"/>
      <c r="F2139" s="2309"/>
      <c r="G2139" s="2309"/>
      <c r="H2139" s="2309"/>
      <c r="I2139" s="2331"/>
      <c r="J2139" s="2331"/>
      <c r="K2139" s="2333">
        <f t="shared" si="485"/>
        <v>0</v>
      </c>
      <c r="L2139" s="2356"/>
      <c r="M2139" s="2356"/>
    </row>
    <row r="2140" spans="1:13" x14ac:dyDescent="0.2">
      <c r="A2140" s="2369"/>
      <c r="B2140" s="2369"/>
      <c r="C2140" s="2369"/>
      <c r="D2140" s="2369"/>
      <c r="E2140" s="2369"/>
      <c r="K2140" s="2333">
        <f t="shared" si="485"/>
        <v>0</v>
      </c>
      <c r="L2140" s="2369"/>
      <c r="M2140" s="2369"/>
    </row>
    <row r="2141" spans="1:13" x14ac:dyDescent="0.2">
      <c r="A2141" s="2369"/>
      <c r="B2141" s="2369"/>
      <c r="C2141" s="2369"/>
      <c r="D2141" s="2369"/>
      <c r="E2141" s="2369"/>
      <c r="K2141" s="2333">
        <f t="shared" si="485"/>
        <v>0</v>
      </c>
      <c r="L2141" s="2369"/>
      <c r="M2141" s="2369"/>
    </row>
    <row r="2142" spans="1:13" x14ac:dyDescent="0.2">
      <c r="A2142" s="2369"/>
      <c r="B2142" s="2369"/>
      <c r="C2142" s="2369"/>
      <c r="D2142" s="2369"/>
      <c r="E2142" s="2369"/>
      <c r="K2142" s="2333">
        <f t="shared" si="485"/>
        <v>0</v>
      </c>
      <c r="L2142" s="2369"/>
      <c r="M2142" s="2369"/>
    </row>
    <row r="2143" spans="1:13" ht="15" x14ac:dyDescent="0.25">
      <c r="B2143" s="2326" t="s">
        <v>7253</v>
      </c>
      <c r="C2143" s="2326"/>
      <c r="D2143" s="2326"/>
      <c r="E2143" s="2326"/>
      <c r="K2143" s="2333">
        <f t="shared" si="485"/>
        <v>0</v>
      </c>
    </row>
    <row r="2144" spans="1:13" ht="15" x14ac:dyDescent="0.25">
      <c r="B2144" s="2326"/>
      <c r="C2144" s="2326"/>
      <c r="D2144" s="2326"/>
      <c r="E2144" s="2326"/>
      <c r="K2144" s="2333">
        <f t="shared" si="485"/>
        <v>0</v>
      </c>
    </row>
    <row r="2145" spans="2:13" x14ac:dyDescent="0.2">
      <c r="B2145" s="2440" t="s">
        <v>247</v>
      </c>
      <c r="C2145" s="2328"/>
      <c r="D2145" s="2328"/>
      <c r="E2145" s="2328"/>
      <c r="K2145" s="2333">
        <f t="shared" si="485"/>
        <v>0</v>
      </c>
    </row>
    <row r="2146" spans="2:13" x14ac:dyDescent="0.2">
      <c r="B2146" s="2323"/>
      <c r="C2146" s="2323"/>
      <c r="D2146" s="2323"/>
      <c r="E2146" s="2323"/>
      <c r="K2146" s="2333">
        <f t="shared" si="485"/>
        <v>0</v>
      </c>
    </row>
    <row r="2147" spans="2:13" x14ac:dyDescent="0.2">
      <c r="B2147" s="2441" t="s">
        <v>117</v>
      </c>
      <c r="C2147" s="2375">
        <f>C568</f>
        <v>5319008</v>
      </c>
      <c r="D2147" s="2375">
        <f t="shared" ref="D2147:M2147" si="489">D568</f>
        <v>6246480</v>
      </c>
      <c r="E2147" s="2375">
        <f t="shared" si="489"/>
        <v>6246480</v>
      </c>
      <c r="F2147" s="2375">
        <f t="shared" si="489"/>
        <v>7955958.1600000001</v>
      </c>
      <c r="G2147" s="2375">
        <f t="shared" si="489"/>
        <v>7955958.1600000001</v>
      </c>
      <c r="H2147" s="2375"/>
      <c r="I2147" s="2375">
        <f>I568</f>
        <v>10383648</v>
      </c>
      <c r="J2147" s="2458">
        <f>J568</f>
        <v>12265666.52</v>
      </c>
      <c r="K2147" s="2333">
        <f t="shared" si="485"/>
        <v>12265666.52</v>
      </c>
      <c r="L2147" s="2375">
        <f t="shared" si="489"/>
        <v>11006667</v>
      </c>
      <c r="M2147" s="2375">
        <f t="shared" si="489"/>
        <v>11667065</v>
      </c>
    </row>
    <row r="2148" spans="2:13" x14ac:dyDescent="0.2">
      <c r="B2148" s="2441"/>
      <c r="C2148" s="2375"/>
      <c r="D2148" s="2375"/>
      <c r="E2148" s="2375"/>
      <c r="F2148" s="2393"/>
      <c r="K2148" s="2333">
        <f t="shared" si="485"/>
        <v>0</v>
      </c>
    </row>
    <row r="2149" spans="2:13" x14ac:dyDescent="0.2">
      <c r="B2149" s="2441" t="s">
        <v>7063</v>
      </c>
      <c r="C2149" s="2375">
        <f>C572</f>
        <v>175821</v>
      </c>
      <c r="D2149" s="2375">
        <f t="shared" ref="D2149:M2149" si="490">D572</f>
        <v>170100</v>
      </c>
      <c r="E2149" s="2375">
        <f t="shared" si="490"/>
        <v>170100</v>
      </c>
      <c r="F2149" s="2375">
        <f t="shared" si="490"/>
        <v>186589</v>
      </c>
      <c r="G2149" s="2375">
        <f t="shared" si="490"/>
        <v>223906.80000000002</v>
      </c>
      <c r="H2149" s="2375"/>
      <c r="I2149" s="2375">
        <f>I572</f>
        <v>311509</v>
      </c>
      <c r="J2149" s="2458">
        <f>J572</f>
        <v>220182.77000000002</v>
      </c>
      <c r="K2149" s="2333">
        <f t="shared" si="485"/>
        <v>220182.77000000002</v>
      </c>
      <c r="L2149" s="2375">
        <f t="shared" si="490"/>
        <v>330200</v>
      </c>
      <c r="M2149" s="2375">
        <f t="shared" si="490"/>
        <v>350012</v>
      </c>
    </row>
    <row r="2150" spans="2:13" x14ac:dyDescent="0.2">
      <c r="B2150" s="2441"/>
      <c r="C2150" s="2375"/>
      <c r="D2150" s="2375"/>
      <c r="E2150" s="2375"/>
      <c r="F2150" s="2393"/>
      <c r="K2150" s="2333">
        <f t="shared" si="485"/>
        <v>0</v>
      </c>
    </row>
    <row r="2151" spans="2:13" x14ac:dyDescent="0.2">
      <c r="B2151" s="2441" t="s">
        <v>120</v>
      </c>
      <c r="C2151" s="2375">
        <f>C1603+C1693+C1889+C2006</f>
        <v>10015263</v>
      </c>
      <c r="D2151" s="2375">
        <f>D1603+D1693+D1889+D2006</f>
        <v>17491473</v>
      </c>
      <c r="E2151" s="2375">
        <f>E1603+E1693+E1889+E2006</f>
        <v>17491473</v>
      </c>
      <c r="F2151" s="2375">
        <f>F1603+F1693+F1889+F2006</f>
        <v>11049846</v>
      </c>
      <c r="G2151" s="2375">
        <f>G1603+G1693+G1889+G2006</f>
        <v>13259815.199999999</v>
      </c>
      <c r="H2151" s="2375"/>
      <c r="I2151" s="2375">
        <f>I1603+I1693+I1889+I2006</f>
        <v>15465206</v>
      </c>
      <c r="J2151" s="2458">
        <f>J1603+J1693+J1889+J2006</f>
        <v>24692977.329999998</v>
      </c>
      <c r="K2151" s="2333">
        <f t="shared" si="485"/>
        <v>24692977.329999998</v>
      </c>
      <c r="L2151" s="2375">
        <f>L1603+L1693+L1889+L2006</f>
        <v>19455229</v>
      </c>
      <c r="M2151" s="2375">
        <f>M1603+M1693+M1889+M2006</f>
        <v>24494134</v>
      </c>
    </row>
    <row r="2152" spans="2:13" x14ac:dyDescent="0.2">
      <c r="B2152" s="2441"/>
      <c r="C2152" s="2375"/>
      <c r="D2152" s="2375"/>
      <c r="E2152" s="2375"/>
      <c r="F2152" s="2393"/>
      <c r="K2152" s="2333">
        <f t="shared" si="485"/>
        <v>0</v>
      </c>
    </row>
    <row r="2153" spans="2:13" x14ac:dyDescent="0.2">
      <c r="B2153" s="2441" t="s">
        <v>6644</v>
      </c>
      <c r="C2153" s="2375">
        <f>C712+C819+C1182+C1549+C1797+C1277</f>
        <v>421958</v>
      </c>
      <c r="D2153" s="2375">
        <f>D712+D819+D1182+D1549+D1797+D1277</f>
        <v>332868</v>
      </c>
      <c r="E2153" s="2375">
        <f>E712+E819+E1182+E1549+E1797+E1277</f>
        <v>332868</v>
      </c>
      <c r="F2153" s="2375">
        <f>F712+F819+F1182+F1549+F1797+F1277</f>
        <v>386494</v>
      </c>
      <c r="G2153" s="2375">
        <f>G712+G819+G1182+G1549+G1797+G1277</f>
        <v>463792.79999999993</v>
      </c>
      <c r="H2153" s="2375"/>
      <c r="I2153" s="2375">
        <f>I712+I819+I1182+I1549+I1797+I1277</f>
        <v>511171</v>
      </c>
      <c r="J2153" s="2458">
        <f>J712+J819+J1182+J1549+J1797+J1277</f>
        <v>723384.4</v>
      </c>
      <c r="K2153" s="2333">
        <f t="shared" si="485"/>
        <v>723384.4</v>
      </c>
      <c r="L2153" s="2375">
        <f>L712+L819+L1182+L1549+L1797+L1277</f>
        <v>542416</v>
      </c>
      <c r="M2153" s="2375">
        <f>M712+M819+M1182+M1549+M1797+M1277</f>
        <v>575593</v>
      </c>
    </row>
    <row r="2154" spans="2:13" x14ac:dyDescent="0.2">
      <c r="B2154" s="2441"/>
      <c r="C2154" s="2375"/>
      <c r="D2154" s="2375"/>
      <c r="E2154" s="2375"/>
      <c r="F2154" s="2393"/>
      <c r="K2154" s="2333">
        <f t="shared" si="485"/>
        <v>0</v>
      </c>
      <c r="L2154" s="2375"/>
      <c r="M2154" s="2375"/>
    </row>
    <row r="2155" spans="2:13" x14ac:dyDescent="0.2">
      <c r="B2155" s="2441" t="s">
        <v>7029</v>
      </c>
      <c r="C2155" s="2375">
        <f t="shared" ref="C2155:M2155" si="491">C410</f>
        <v>76165</v>
      </c>
      <c r="D2155" s="2375">
        <f t="shared" si="491"/>
        <v>36100</v>
      </c>
      <c r="E2155" s="2375">
        <f t="shared" si="491"/>
        <v>36100</v>
      </c>
      <c r="F2155" s="2375">
        <f t="shared" si="491"/>
        <v>41958</v>
      </c>
      <c r="G2155" s="2375">
        <f t="shared" si="491"/>
        <v>50349.599999999999</v>
      </c>
      <c r="H2155" s="2375"/>
      <c r="I2155" s="2375">
        <f t="shared" si="491"/>
        <v>75300</v>
      </c>
      <c r="J2155" s="2458">
        <f>J410</f>
        <v>67892.98000000001</v>
      </c>
      <c r="K2155" s="2333">
        <f t="shared" si="485"/>
        <v>67892.98000000001</v>
      </c>
      <c r="L2155" s="2375">
        <f t="shared" si="491"/>
        <v>75830</v>
      </c>
      <c r="M2155" s="2375">
        <f t="shared" si="491"/>
        <v>76413</v>
      </c>
    </row>
    <row r="2156" spans="2:13" x14ac:dyDescent="0.2">
      <c r="B2156" s="2441"/>
      <c r="C2156" s="2375"/>
      <c r="D2156" s="2375"/>
      <c r="E2156" s="2375"/>
      <c r="F2156" s="2393"/>
      <c r="K2156" s="2333">
        <f t="shared" si="485"/>
        <v>0</v>
      </c>
      <c r="L2156" s="2375"/>
      <c r="M2156" s="2375"/>
    </row>
    <row r="2157" spans="2:13" x14ac:dyDescent="0.2">
      <c r="B2157" s="2441" t="s">
        <v>6654</v>
      </c>
      <c r="C2157" s="2375">
        <f t="shared" ref="C2157:M2157" si="492">+C414</f>
        <v>3158</v>
      </c>
      <c r="D2157" s="2375">
        <f t="shared" si="492"/>
        <v>4211</v>
      </c>
      <c r="E2157" s="2375">
        <f t="shared" si="492"/>
        <v>4211</v>
      </c>
      <c r="F2157" s="2375">
        <f t="shared" si="492"/>
        <v>5204</v>
      </c>
      <c r="G2157" s="2375">
        <f t="shared" si="492"/>
        <v>5204</v>
      </c>
      <c r="H2157" s="2375"/>
      <c r="I2157" s="2375">
        <f t="shared" si="492"/>
        <v>0</v>
      </c>
      <c r="J2157" s="2458">
        <f>+J414</f>
        <v>6932.56</v>
      </c>
      <c r="K2157" s="2333">
        <f t="shared" si="485"/>
        <v>6932.56</v>
      </c>
      <c r="L2157" s="2375">
        <f t="shared" si="492"/>
        <v>0</v>
      </c>
      <c r="M2157" s="2375">
        <f t="shared" si="492"/>
        <v>0</v>
      </c>
    </row>
    <row r="2158" spans="2:13" x14ac:dyDescent="0.2">
      <c r="B2158" s="2441"/>
      <c r="C2158" s="2375"/>
      <c r="D2158" s="2375"/>
      <c r="E2158" s="2375"/>
      <c r="F2158" s="2393"/>
      <c r="K2158" s="2333">
        <f t="shared" si="485"/>
        <v>0</v>
      </c>
      <c r="L2158" s="2375"/>
      <c r="M2158" s="2375"/>
    </row>
    <row r="2159" spans="2:13" x14ac:dyDescent="0.2">
      <c r="B2159" s="2441" t="s">
        <v>6789</v>
      </c>
      <c r="C2159" s="2375">
        <f>C1115+C1340</f>
        <v>1033960</v>
      </c>
      <c r="D2159" s="2375">
        <f>D1115+D1340</f>
        <v>1360885</v>
      </c>
      <c r="E2159" s="2375">
        <f>E1115+E1340</f>
        <v>1360885</v>
      </c>
      <c r="F2159" s="2375">
        <f>F1115+F1340</f>
        <v>901572</v>
      </c>
      <c r="G2159" s="2375">
        <f>G1115+G1340</f>
        <v>1081886.3999999999</v>
      </c>
      <c r="H2159" s="2375"/>
      <c r="I2159" s="2375">
        <f>I1115+I1340</f>
        <v>1100000</v>
      </c>
      <c r="J2159" s="2458">
        <f>J1115+J1340</f>
        <v>710462.82</v>
      </c>
      <c r="K2159" s="2333">
        <f t="shared" si="485"/>
        <v>710462.82</v>
      </c>
      <c r="L2159" s="2375">
        <f>L1115+L1340</f>
        <v>1166000</v>
      </c>
      <c r="M2159" s="2375">
        <f>M1115+M1340</f>
        <v>1235960</v>
      </c>
    </row>
    <row r="2160" spans="2:13" x14ac:dyDescent="0.2">
      <c r="B2160" s="2441"/>
      <c r="C2160" s="2375"/>
      <c r="D2160" s="2375"/>
      <c r="E2160" s="2375"/>
      <c r="F2160" s="2393"/>
      <c r="K2160" s="2333">
        <f t="shared" si="485"/>
        <v>0</v>
      </c>
      <c r="L2160" s="2375"/>
      <c r="M2160" s="2375"/>
    </row>
    <row r="2161" spans="2:13" x14ac:dyDescent="0.2">
      <c r="B2161" s="2441" t="s">
        <v>7254</v>
      </c>
      <c r="C2161" s="2375">
        <f>C417</f>
        <v>24832097</v>
      </c>
      <c r="D2161" s="2375">
        <f t="shared" ref="D2161:M2161" si="493">D417</f>
        <v>32087000</v>
      </c>
      <c r="E2161" s="2375">
        <f t="shared" si="493"/>
        <v>32768000</v>
      </c>
      <c r="F2161" s="2375">
        <f t="shared" si="493"/>
        <v>12584976</v>
      </c>
      <c r="G2161" s="2375">
        <f t="shared" si="493"/>
        <v>32181000</v>
      </c>
      <c r="H2161" s="2375"/>
      <c r="I2161" s="2375">
        <f t="shared" si="493"/>
        <v>40862000</v>
      </c>
      <c r="J2161" s="2458">
        <f>J417</f>
        <v>40862003</v>
      </c>
      <c r="K2161" s="2333">
        <f t="shared" si="485"/>
        <v>40862003</v>
      </c>
      <c r="L2161" s="2375">
        <f t="shared" si="493"/>
        <v>46076000</v>
      </c>
      <c r="M2161" s="2375">
        <f t="shared" si="493"/>
        <v>50691000</v>
      </c>
    </row>
    <row r="2162" spans="2:13" x14ac:dyDescent="0.2">
      <c r="B2162" s="2441"/>
      <c r="C2162" s="2375"/>
      <c r="D2162" s="2375"/>
      <c r="E2162" s="2375"/>
      <c r="F2162" s="2393"/>
      <c r="K2162" s="2333">
        <f t="shared" si="485"/>
        <v>0</v>
      </c>
      <c r="L2162" s="2375"/>
      <c r="M2162" s="2375"/>
    </row>
    <row r="2163" spans="2:13" x14ac:dyDescent="0.2">
      <c r="B2163" s="2441" t="s">
        <v>6929</v>
      </c>
      <c r="C2163" s="2375">
        <f>C19+C21+C106+C171+C226+C288+C345+C347+C418+C419+C878+C956+C1027</f>
        <v>1352379</v>
      </c>
      <c r="D2163" s="2375">
        <f>D19+D21+D106+D171+D226+D288+D345+D347+D418+D419+D878+D956+D1027</f>
        <v>4115000</v>
      </c>
      <c r="E2163" s="2375">
        <f>E19+E21+E106+E171+E226+E288+E345+E347+E418+E419+E878+E956+E1027</f>
        <v>4331350</v>
      </c>
      <c r="F2163" s="2375">
        <f>F19+F21+F106+F171+F226+F288+F345+F347+F418+F419+F878+F956+F1027</f>
        <v>3805500</v>
      </c>
      <c r="G2163" s="2375">
        <f>G19+G21+G106+G171+G226+G288+G345+G347+G418+G419+G878+G956+G1027</f>
        <v>4281500</v>
      </c>
      <c r="H2163" s="2375"/>
      <c r="I2163" s="2375">
        <f>I19+I21+I106+I171+I226+I288+I345+I347+I418+I419+I878+I956+I1125+I1027</f>
        <v>6054080</v>
      </c>
      <c r="J2163" s="2458">
        <f>J19+J21+J106+J171+J226+J288+J345+J347+J20+J346+J1405+J418+J419+J878+J956+J1125+J1027</f>
        <v>7256775.3600000003</v>
      </c>
      <c r="K2163" s="2333">
        <f t="shared" si="485"/>
        <v>7256775.3600000003</v>
      </c>
      <c r="L2163" s="2375">
        <f>L19+L21+L106+L171+L226+L288+L345+L347+L418+L419+L878+L956+L1125+L1027</f>
        <v>3815625</v>
      </c>
      <c r="M2163" s="2375">
        <f>M19+M21+M106+M171+M226+M288+M345+M347+M418+M419+M878+M956+M1125+M1027</f>
        <v>3946106</v>
      </c>
    </row>
    <row r="2164" spans="2:13" x14ac:dyDescent="0.2">
      <c r="B2164" s="2441"/>
      <c r="C2164" s="2375"/>
      <c r="D2164" s="2375"/>
      <c r="E2164" s="2375"/>
      <c r="F2164" s="2393"/>
      <c r="K2164" s="2333">
        <f t="shared" si="485"/>
        <v>0</v>
      </c>
      <c r="L2164" s="2375"/>
      <c r="M2164" s="2375"/>
    </row>
    <row r="2165" spans="2:13" x14ac:dyDescent="0.2">
      <c r="B2165" s="2441" t="s">
        <v>1637</v>
      </c>
      <c r="C2165" s="2375">
        <f>C428+C1120+C1239+C1282+C1698+C1801+C1894+C2012+C886+C1433+C2105+C1488</f>
        <v>632163</v>
      </c>
      <c r="D2165" s="2375">
        <f>D428+D1120+D1239+D1282+D1698+D1801+D1894+D2012+D886+D1433+D2105+D1488</f>
        <v>460917</v>
      </c>
      <c r="E2165" s="2375">
        <f>E428+E1120+E1239+E1282+E1698+E1801+E1894+E2012+E886+E1433+E2105+E1488</f>
        <v>1035517</v>
      </c>
      <c r="F2165" s="2375">
        <f>F428+F1120+F1239+F1282+F1698+F1801+F1894+F2012+F886+F1433+F2105+F1488</f>
        <v>761935</v>
      </c>
      <c r="G2165" s="2375">
        <f>G428+G1120+G1239+G1282+G1698+G1801+G1894+G2012+G886+G1433+G2105+G1488</f>
        <v>800322</v>
      </c>
      <c r="H2165" s="2375"/>
      <c r="I2165" s="2375">
        <f>I428+I1120+I1239+I1282+I1698+I1801+I1894+I2012+I886+I1433+I2105+I1488</f>
        <v>197108</v>
      </c>
      <c r="J2165" s="2458">
        <f>J428+J1120+J1239+J1282+J1698+J1801+J1894+J2012+J886+J1433+J2105+J1488-24116</f>
        <v>1081114.29</v>
      </c>
      <c r="K2165" s="2333">
        <f t="shared" si="485"/>
        <v>1081114.29</v>
      </c>
      <c r="L2165" s="2375">
        <f>L428+L1120+L1239+L1282+L1698+L1801+L1894+L2012+L886+L1433+L2105+L1488</f>
        <v>208935</v>
      </c>
      <c r="M2165" s="2375">
        <f>M428+M1120+M1239+M1282+M1698+M1801+M1894+M2012+M886+M1433+M2105+M1488</f>
        <v>221470</v>
      </c>
    </row>
    <row r="2166" spans="2:13" x14ac:dyDescent="0.2">
      <c r="B2166" s="2441"/>
      <c r="C2166" s="2375"/>
      <c r="D2166" s="2375"/>
      <c r="E2166" s="2375"/>
      <c r="F2166" s="2391"/>
      <c r="K2166" s="2333">
        <f t="shared" si="485"/>
        <v>0</v>
      </c>
      <c r="L2166" s="2375"/>
      <c r="M2166" s="2375"/>
    </row>
    <row r="2167" spans="2:13" x14ac:dyDescent="0.2">
      <c r="B2167" s="2441" t="s">
        <v>7255</v>
      </c>
      <c r="C2167" s="2375">
        <f>C576</f>
        <v>-1313887</v>
      </c>
      <c r="D2167" s="2375">
        <f t="shared" ref="D2167:M2167" si="494">D576</f>
        <v>-1731073</v>
      </c>
      <c r="E2167" s="2375">
        <f t="shared" si="494"/>
        <v>-2387531</v>
      </c>
      <c r="F2167" s="2375">
        <f t="shared" si="494"/>
        <v>-1878720</v>
      </c>
      <c r="G2167" s="2375">
        <f t="shared" si="494"/>
        <v>-1878720</v>
      </c>
      <c r="H2167" s="2375"/>
      <c r="I2167" s="2375">
        <f>I577</f>
        <v>-2720933</v>
      </c>
      <c r="J2167" s="2458">
        <f>J577</f>
        <v>-7870822.46</v>
      </c>
      <c r="K2167" s="2333">
        <f t="shared" si="485"/>
        <v>-7870822.46</v>
      </c>
      <c r="L2167" s="2375">
        <f t="shared" si="494"/>
        <v>-3480745</v>
      </c>
      <c r="M2167" s="2375">
        <f t="shared" si="494"/>
        <v>-1792542</v>
      </c>
    </row>
    <row r="2168" spans="2:13" x14ac:dyDescent="0.2">
      <c r="B2168" s="2441"/>
      <c r="C2168" s="2375"/>
      <c r="D2168" s="2375"/>
      <c r="E2168" s="2375"/>
      <c r="F2168" s="2391"/>
      <c r="K2168" s="2333">
        <f t="shared" si="485"/>
        <v>0</v>
      </c>
      <c r="L2168" s="2375"/>
      <c r="M2168" s="2375"/>
    </row>
    <row r="2169" spans="2:13" x14ac:dyDescent="0.2">
      <c r="B2169" s="2441" t="s">
        <v>7066</v>
      </c>
      <c r="C2169" s="2364">
        <f>+C1898+C2016</f>
        <v>-678648</v>
      </c>
      <c r="D2169" s="2364">
        <f>+D1898+D2016</f>
        <v>-3134013</v>
      </c>
      <c r="E2169" s="2364">
        <f>+E1898+E2016</f>
        <v>-3334013</v>
      </c>
      <c r="F2169" s="2364">
        <f>+F1898+F2016</f>
        <v>-408920</v>
      </c>
      <c r="G2169" s="2364">
        <f>+G1898+G2016</f>
        <v>-490704</v>
      </c>
      <c r="H2169" s="2364"/>
      <c r="I2169" s="2364">
        <f>+I1898+I2016</f>
        <v>-3409974</v>
      </c>
      <c r="J2169" s="2459">
        <f>+J1898+J2016</f>
        <v>-1306111.2</v>
      </c>
      <c r="K2169" s="2333">
        <f t="shared" si="485"/>
        <v>-1306111.2</v>
      </c>
      <c r="L2169" s="2364">
        <f>+L1898+L2016</f>
        <v>-730364</v>
      </c>
      <c r="M2169" s="2364">
        <f>+M1898+M2016</f>
        <v>-891044</v>
      </c>
    </row>
    <row r="2170" spans="2:13" x14ac:dyDescent="0.2">
      <c r="B2170" s="2442"/>
      <c r="C2170" s="2339"/>
      <c r="D2170" s="2339"/>
      <c r="E2170" s="2339"/>
      <c r="F2170" s="2443"/>
      <c r="G2170" s="2436"/>
      <c r="H2170" s="2436"/>
      <c r="I2170" s="2340"/>
      <c r="J2170" s="2340"/>
      <c r="K2170" s="2333">
        <f t="shared" si="485"/>
        <v>0</v>
      </c>
      <c r="L2170" s="2339"/>
      <c r="M2170" s="2339"/>
    </row>
    <row r="2171" spans="2:13" x14ac:dyDescent="0.2">
      <c r="B2171" s="2441" t="s">
        <v>7256</v>
      </c>
      <c r="C2171" s="2351">
        <f>SUM(C2147:C2170)</f>
        <v>41869437</v>
      </c>
      <c r="D2171" s="2351">
        <f>SUM(D2147:D2170)</f>
        <v>57439948</v>
      </c>
      <c r="E2171" s="2351">
        <f>SUM(E2147:E2170)</f>
        <v>58055440</v>
      </c>
      <c r="F2171" s="2351">
        <f>SUM(F2147:F2170)</f>
        <v>35392392.159999996</v>
      </c>
      <c r="G2171" s="2351">
        <f>SUM(G2147:G2170)</f>
        <v>57934310.960000001</v>
      </c>
      <c r="H2171" s="2351"/>
      <c r="I2171" s="2351">
        <f>SUM(I2147:I2170)</f>
        <v>68829115</v>
      </c>
      <c r="J2171" s="2460">
        <f>SUM(J2147:J2170)</f>
        <v>78710458.370000005</v>
      </c>
      <c r="K2171" s="2333">
        <f t="shared" si="485"/>
        <v>78710458.370000005</v>
      </c>
      <c r="L2171" s="2351">
        <f>SUM(L2147:L2170)</f>
        <v>78465793</v>
      </c>
      <c r="M2171" s="2351">
        <f>SUM(M2147:M2170)</f>
        <v>90574167</v>
      </c>
    </row>
    <row r="2172" spans="2:13" x14ac:dyDescent="0.2">
      <c r="B2172" s="2441"/>
      <c r="C2172" s="2351"/>
      <c r="D2172" s="2351"/>
      <c r="E2172" s="2351"/>
      <c r="F2172" s="2393"/>
      <c r="K2172" s="2333">
        <f t="shared" si="485"/>
        <v>0</v>
      </c>
      <c r="L2172" s="2351"/>
      <c r="M2172" s="2351"/>
    </row>
    <row r="2173" spans="2:13" x14ac:dyDescent="0.2">
      <c r="B2173" s="2441" t="s">
        <v>7209</v>
      </c>
      <c r="C2173" s="2364">
        <f>C1904+C1704+C1807+C2026</f>
        <v>95044</v>
      </c>
      <c r="D2173" s="2364">
        <f>D1904+D1704+D1807+D2026</f>
        <v>14579000</v>
      </c>
      <c r="E2173" s="2364">
        <f>E1904+E1704+E1807+E2026</f>
        <v>14579000</v>
      </c>
      <c r="F2173" s="2364">
        <f>F1904+F1704+F1807+F2026</f>
        <v>0</v>
      </c>
      <c r="G2173" s="2364">
        <f>G1904+G1704+G1807+G2026</f>
        <v>0</v>
      </c>
      <c r="H2173" s="2364"/>
      <c r="I2173" s="2364">
        <f>I1904+I1704+I1807+I2026</f>
        <v>0</v>
      </c>
      <c r="J2173" s="2364">
        <f>J1904+J1704+J1807+J2026</f>
        <v>0</v>
      </c>
      <c r="K2173" s="2333">
        <f t="shared" si="485"/>
        <v>0</v>
      </c>
      <c r="L2173" s="2364">
        <f>L1904+L1704+L1807+L2026</f>
        <v>0</v>
      </c>
      <c r="M2173" s="2364">
        <f>M1904+M1704+M1807+M2026</f>
        <v>0</v>
      </c>
    </row>
    <row r="2174" spans="2:13" x14ac:dyDescent="0.2">
      <c r="B2174" s="2442"/>
      <c r="C2174" s="2397"/>
      <c r="D2174" s="2397"/>
      <c r="E2174" s="2397"/>
      <c r="F2174" s="2396"/>
      <c r="G2174" s="2436"/>
      <c r="H2174" s="2436"/>
      <c r="I2174" s="2340"/>
      <c r="J2174" s="2340"/>
      <c r="K2174" s="2333">
        <f t="shared" si="485"/>
        <v>0</v>
      </c>
      <c r="L2174" s="2397"/>
      <c r="M2174" s="2397"/>
    </row>
    <row r="2175" spans="2:13" x14ac:dyDescent="0.2">
      <c r="B2175" s="2441" t="s">
        <v>7257</v>
      </c>
      <c r="C2175" s="2351">
        <f>+C2171+C2173</f>
        <v>41964481</v>
      </c>
      <c r="D2175" s="2351">
        <f t="shared" ref="D2175:M2175" si="495">+D2171+D2173</f>
        <v>72018948</v>
      </c>
      <c r="E2175" s="2351">
        <f t="shared" si="495"/>
        <v>72634440</v>
      </c>
      <c r="F2175" s="2351">
        <f t="shared" si="495"/>
        <v>35392392.159999996</v>
      </c>
      <c r="G2175" s="2351">
        <f t="shared" si="495"/>
        <v>57934310.960000001</v>
      </c>
      <c r="H2175" s="2351"/>
      <c r="I2175" s="2351">
        <f t="shared" si="495"/>
        <v>68829115</v>
      </c>
      <c r="J2175" s="2460">
        <f>+J2171+J2173</f>
        <v>78710458.370000005</v>
      </c>
      <c r="K2175" s="2333">
        <f t="shared" si="485"/>
        <v>78710458.370000005</v>
      </c>
      <c r="L2175" s="2351">
        <f t="shared" si="495"/>
        <v>78465793</v>
      </c>
      <c r="M2175" s="2351">
        <f t="shared" si="495"/>
        <v>90574167</v>
      </c>
    </row>
    <row r="2176" spans="2:13" x14ac:dyDescent="0.2">
      <c r="B2176" s="2441"/>
      <c r="C2176" s="2351"/>
      <c r="D2176" s="2351"/>
      <c r="E2176" s="2351"/>
      <c r="F2176" s="2444"/>
      <c r="K2176" s="2333">
        <f t="shared" si="485"/>
        <v>0</v>
      </c>
      <c r="L2176" s="2351"/>
      <c r="M2176" s="2351"/>
    </row>
    <row r="2177" spans="2:13" x14ac:dyDescent="0.2">
      <c r="B2177" s="2441" t="s">
        <v>7258</v>
      </c>
      <c r="C2177" s="2332">
        <f>C20+C879+C1125+C1402+C1608+C1707+C1907+C2021</f>
        <v>12178579</v>
      </c>
      <c r="D2177" s="2332">
        <f>D20+D879+D1125+D1402+D1608+D1707+D1907+D2021</f>
        <v>7378472</v>
      </c>
      <c r="E2177" s="2332">
        <f>E20+E879+E1125+E1402+E1608+E1707+E1907+E2021</f>
        <v>8054872</v>
      </c>
      <c r="F2177" s="2332">
        <f>F20+F879+F1125+F1402+F1608+F1707+F1907+F2021</f>
        <v>3051325</v>
      </c>
      <c r="G2177" s="2332">
        <f>G20+G879+G1125+G1402+G1608+G1707+G1907+G2021</f>
        <v>5048429</v>
      </c>
      <c r="H2177" s="2332"/>
      <c r="I2177" s="2332">
        <f>I20+I879+I1402+I1608+I1707+I1907+I2021</f>
        <v>17852327</v>
      </c>
      <c r="J2177" s="2407">
        <f>J20+J879+J1402+J1608+J1707+J1907+J2021-394009</f>
        <v>8121519.4900000002</v>
      </c>
      <c r="K2177" s="2333">
        <f t="shared" si="485"/>
        <v>8121519.4900000002</v>
      </c>
      <c r="L2177" s="2332">
        <f>L20+L879+L1402+L1608+L1707+L1907+L2021</f>
        <v>17614504</v>
      </c>
      <c r="M2177" s="2332">
        <f>M20+M879+M1402+M1608+M1707+M1907+M2021</f>
        <v>18554972</v>
      </c>
    </row>
    <row r="2178" spans="2:13" x14ac:dyDescent="0.2">
      <c r="B2178" s="2441"/>
      <c r="C2178" s="2375"/>
      <c r="D2178" s="2375"/>
      <c r="E2178" s="2375"/>
      <c r="K2178" s="2333">
        <f t="shared" si="485"/>
        <v>0</v>
      </c>
      <c r="L2178" s="2375"/>
      <c r="M2178" s="2375"/>
    </row>
    <row r="2179" spans="2:13" ht="13.5" thickBot="1" x14ac:dyDescent="0.25">
      <c r="B2179" s="2445" t="s">
        <v>6751</v>
      </c>
      <c r="C2179" s="2446">
        <f>+C2175+C2177</f>
        <v>54143060</v>
      </c>
      <c r="D2179" s="2446">
        <f t="shared" ref="D2179:M2179" si="496">+D2175+D2177</f>
        <v>79397420</v>
      </c>
      <c r="E2179" s="2446">
        <f t="shared" si="496"/>
        <v>80689312</v>
      </c>
      <c r="F2179" s="2446">
        <f t="shared" si="496"/>
        <v>38443717.159999996</v>
      </c>
      <c r="G2179" s="2446">
        <f t="shared" si="496"/>
        <v>62982739.960000001</v>
      </c>
      <c r="H2179" s="2446"/>
      <c r="I2179" s="2446">
        <f t="shared" si="496"/>
        <v>86681442</v>
      </c>
      <c r="J2179" s="2446">
        <f>+J2175+J2177</f>
        <v>86831977.859999999</v>
      </c>
      <c r="K2179" s="2344">
        <f t="shared" si="485"/>
        <v>86831977.859999999</v>
      </c>
      <c r="L2179" s="2446">
        <f t="shared" si="496"/>
        <v>96080297</v>
      </c>
      <c r="M2179" s="2446">
        <f t="shared" si="496"/>
        <v>109129139</v>
      </c>
    </row>
    <row r="2180" spans="2:13" ht="13.5" thickTop="1" x14ac:dyDescent="0.2">
      <c r="B2180" s="2441"/>
      <c r="C2180" s="2351"/>
      <c r="D2180" s="2351"/>
      <c r="E2180" s="2351"/>
      <c r="K2180" s="2333">
        <f t="shared" si="485"/>
        <v>0</v>
      </c>
      <c r="L2180" s="2351"/>
      <c r="M2180" s="2351"/>
    </row>
    <row r="2181" spans="2:13" x14ac:dyDescent="0.2">
      <c r="B2181" s="2346"/>
      <c r="C2181" s="2447"/>
      <c r="D2181" s="2346"/>
      <c r="E2181" s="2447"/>
      <c r="K2181" s="2333">
        <f t="shared" si="485"/>
        <v>0</v>
      </c>
      <c r="L2181" s="2346"/>
      <c r="M2181" s="2346"/>
    </row>
    <row r="2182" spans="2:13" x14ac:dyDescent="0.2">
      <c r="B2182" s="2440" t="s">
        <v>235</v>
      </c>
      <c r="C2182" s="2328"/>
      <c r="D2182" s="2328"/>
      <c r="E2182" s="2328"/>
      <c r="K2182" s="2333">
        <f t="shared" si="485"/>
        <v>0</v>
      </c>
      <c r="L2182" s="2328"/>
      <c r="M2182" s="2328"/>
    </row>
    <row r="2183" spans="2:13" x14ac:dyDescent="0.2">
      <c r="B2183" s="2328"/>
      <c r="C2183" s="2328"/>
      <c r="D2183" s="2348"/>
      <c r="E2183" s="2348"/>
      <c r="K2183" s="2333">
        <f t="shared" si="485"/>
        <v>0</v>
      </c>
      <c r="L2183" s="2328"/>
      <c r="M2183" s="2328"/>
    </row>
    <row r="2184" spans="2:13" x14ac:dyDescent="0.2">
      <c r="B2184" s="2441" t="s">
        <v>387</v>
      </c>
      <c r="C2184" s="2332">
        <f>C140+C449+C907+C1080+C1145+C1201+C1248+C1302+C1360+C1509+C1569+C1630+C1728+C1827+C1928+C54+C205+C260+C322+C381+C525+C645+C843+C977+C1453+C2120+C2046+C1047</f>
        <v>19489880.759999998</v>
      </c>
      <c r="D2184" s="2332">
        <f>D140+D449+D907+D1080+D1145+D1201+D1248+D1302+D1360+D1509+D1569+D1630+D1728+D1827+D1928+D54+D205+D260+D322+D381+D525+D645+D843+D977+D1453+D2120+D2046+D1047</f>
        <v>23277687</v>
      </c>
      <c r="E2184" s="2332">
        <f>E140+E449+E907+E1080+E1145+E1201+E1248+E1302+E1360+E1509+E1569+E1630+E1728+E1827+E1928+E54+E205+E260+E322+E381+E525+E645+E843+E977+E1453+E2120+E2046+E1047</f>
        <v>23277687</v>
      </c>
      <c r="F2184" s="2332">
        <f>F140+F449+F907+F1080+F1145+F1201+F1248+F1302+F1360+F1509+F1569+F1630+F1728+F1827+F1928+F54+F205+F260+F322+F381+F525+F645+F843+F977+F1453+F2120+F2046+F1047</f>
        <v>18660234</v>
      </c>
      <c r="G2184" s="2332">
        <f>G140+G449+G907+G1080+G1145+G1201+G1248+G1302+G1360+G1509+G1569+G1630+G1728+G1827+G1928+G54+G205+G260+G322+G381+G525+G645+G843+G977+G1453+G2120+G2046+G1047</f>
        <v>22392280.800000004</v>
      </c>
      <c r="H2184" s="2332"/>
      <c r="I2184" s="2332">
        <f>I140+I449+I907+I1080+I1145+I1201+I1248+I1302+I1360+I1509+I1569+I1630+I1728+I1827+I1928+I54+I205+I260+I322+I381+I525+I645+I843+I977+I1453+I2120+I2046+I1047</f>
        <v>33290114</v>
      </c>
      <c r="J2184" s="2461">
        <f>J54+J140+J205+J260+J322+J381+J449+J525+J597+J645+J843+J907+J977+J1047+J1080+J1145+J1201+J1248+J1302+J1360+J1453+J1509+J1569+J1630+J1728+J1827+J1928+J2046+J2120</f>
        <v>33847342.579999998</v>
      </c>
      <c r="K2184" s="2333">
        <f t="shared" si="485"/>
        <v>33847342.579999998</v>
      </c>
      <c r="L2184" s="2332">
        <f>L140+L449+L907+L1080+L1145+L1201+L1248+L1302+L1360+L1509+L1569+L1630+L1728+L1827+L1928+L54+L205+L260+L322+L381+L525+L645+L843+L977+L1453+L2120+L2046+L1047</f>
        <v>35569437</v>
      </c>
      <c r="M2184" s="2332">
        <f>M140+M449+M907+M1080+M1145+M1201+M1248+M1302+M1360+M1509+M1569+M1630+M1728+M1827+M1928+M54+M205+M260+M322+M381+M525+M645+M843+M977+M1453+M2120+M2046+M1047</f>
        <v>38415001</v>
      </c>
    </row>
    <row r="2185" spans="2:13" x14ac:dyDescent="0.2">
      <c r="B2185" s="2441"/>
      <c r="C2185" s="2332"/>
      <c r="D2185" s="2332"/>
      <c r="E2185" s="2332"/>
      <c r="F2185" s="2332"/>
      <c r="K2185" s="2333">
        <f t="shared" si="485"/>
        <v>0</v>
      </c>
      <c r="L2185" s="2332"/>
      <c r="M2185" s="2332"/>
    </row>
    <row r="2186" spans="2:13" x14ac:dyDescent="0.2">
      <c r="B2186" s="2441" t="s">
        <v>6933</v>
      </c>
      <c r="C2186" s="2332">
        <f t="shared" ref="C2186:M2186" si="497">C37</f>
        <v>1714439</v>
      </c>
      <c r="D2186" s="2332">
        <f t="shared" si="497"/>
        <v>2006037</v>
      </c>
      <c r="E2186" s="2332">
        <f t="shared" si="497"/>
        <v>2006037</v>
      </c>
      <c r="F2186" s="2332">
        <f t="shared" si="497"/>
        <v>1613316</v>
      </c>
      <c r="G2186" s="2332">
        <f t="shared" si="497"/>
        <v>1935979.2000000002</v>
      </c>
      <c r="H2186" s="2332"/>
      <c r="I2186" s="2332">
        <f t="shared" si="497"/>
        <v>2174900</v>
      </c>
      <c r="J2186" s="2461">
        <f>J37</f>
        <v>2321992.7599999998</v>
      </c>
      <c r="K2186" s="2333">
        <f t="shared" si="485"/>
        <v>2321992.7599999998</v>
      </c>
      <c r="L2186" s="2332">
        <f t="shared" si="497"/>
        <v>2348893</v>
      </c>
      <c r="M2186" s="2332">
        <f t="shared" si="497"/>
        <v>2536805</v>
      </c>
    </row>
    <row r="2187" spans="2:13" x14ac:dyDescent="0.2">
      <c r="B2187" s="2441"/>
      <c r="C2187" s="2332"/>
      <c r="D2187" s="2332"/>
      <c r="E2187" s="2332"/>
      <c r="F2187" s="2332"/>
      <c r="K2187" s="2333">
        <f t="shared" si="485"/>
        <v>0</v>
      </c>
      <c r="L2187" s="2332"/>
      <c r="M2187" s="2332"/>
    </row>
    <row r="2188" spans="2:13" x14ac:dyDescent="0.2">
      <c r="B2188" s="2441" t="s">
        <v>6953</v>
      </c>
      <c r="C2188" s="2332">
        <f>C59+C454+C796+C912+C1084+C1149+C1207+C1253+C1306+C1365+C1411+C1516+C1575+C1646+C1744+C1838+C1945+C529+C650+C847+C981+C1457+C2124+C2058</f>
        <v>1346275</v>
      </c>
      <c r="D2188" s="2332">
        <f>D59+D454+D796+D912+D1084+D1149+D1207+D1253+D1306+D1365+D1411+D1516+D1575+D1646+D1744+D1838+D1945+D529+D650+D847+D981+D1457+D2124+D2058</f>
        <v>5141300</v>
      </c>
      <c r="E2188" s="2332">
        <f>E59+E454+E796+E912+E1084+E1149+E1207+E1253+E1306+E1365+E1411+E1516+E1575+E1646+E1744+E1838+E1945+E529+E650+E847+E981+E1457+E2124+E2058</f>
        <v>4137608</v>
      </c>
      <c r="F2188" s="2332">
        <f>F59+F454+F796+F912+F1084+F1149+F1207+F1253+F1306+F1365+F1411+F1516+F1575+F1646+F1744+F1838+F1945+F529+F650+F847+F981+F1457+F2124+F2058</f>
        <v>2673394</v>
      </c>
      <c r="G2188" s="2332">
        <f>G59+G454+G796+G912+G1084+G1149+G1207+G1253+G1306+G1365+G1411+G1516+G1575+G1646+G1744+G1838+G1945+G529+G650+G847+G981+G1457+G2124+G2058</f>
        <v>3208072.8</v>
      </c>
      <c r="H2188" s="2332"/>
      <c r="I2188" s="2332">
        <f>I796</f>
        <v>3939302.66</v>
      </c>
      <c r="J2188" s="2461">
        <f>J796</f>
        <v>1636697.3499999999</v>
      </c>
      <c r="K2188" s="2333">
        <f t="shared" si="485"/>
        <v>1636697.3499999999</v>
      </c>
      <c r="L2188" s="2332">
        <f>L59+L454+L796+L912+L1084+L1149+L1207+L1253+L1306+L1365+L1411+L1516+L1575+L1646+L1744+L1838+L1945+L529+L650+L847+L981+L1457+L2124+L2058</f>
        <v>186984</v>
      </c>
      <c r="M2188" s="2332">
        <f>M59+M454+M796+M912+M1084+M1149+M1207+M1253+M1306+M1365+M1411+M1516+M1575+M1646+M1744+M1838+M1945+M529+M650+M847+M981+M1457+M2124+M2058</f>
        <v>198203</v>
      </c>
    </row>
    <row r="2189" spans="2:13" x14ac:dyDescent="0.2">
      <c r="B2189" s="2441"/>
      <c r="C2189" s="2332"/>
      <c r="D2189" s="2332"/>
      <c r="E2189" s="2332"/>
      <c r="F2189" s="2332"/>
      <c r="K2189" s="2333">
        <f t="shared" si="485"/>
        <v>0</v>
      </c>
      <c r="L2189" s="2332"/>
      <c r="M2189" s="2332"/>
    </row>
    <row r="2190" spans="2:13" x14ac:dyDescent="0.2">
      <c r="B2190" s="2441" t="s">
        <v>7040</v>
      </c>
      <c r="C2190" s="2332">
        <f>C458+C1736+C1936+C1638+C1831+C2050</f>
        <v>476943</v>
      </c>
      <c r="D2190" s="2332">
        <f>D458+D1736+D1936+D1638+D1831+D2050</f>
        <v>199742</v>
      </c>
      <c r="E2190" s="2332">
        <f>E458+E1736+E1936+E1638+E1831+E2050</f>
        <v>199742</v>
      </c>
      <c r="F2190" s="2332">
        <f>F458+F1736+F1936+F1638+F1831+F2050</f>
        <v>168000</v>
      </c>
      <c r="G2190" s="2332">
        <f>G458+G1736+G1936+G1638+G1831+G2050</f>
        <v>168000</v>
      </c>
      <c r="H2190" s="2332"/>
      <c r="I2190" s="2332">
        <f>I458+I1736+I1936+I1638+I1831+I2050</f>
        <v>5030795</v>
      </c>
      <c r="J2190" s="2461">
        <f>J458+J1637+J1735+J1830+J1935+J2050+J2140</f>
        <v>4797180.18</v>
      </c>
      <c r="K2190" s="2333">
        <f t="shared" si="485"/>
        <v>4797180.18</v>
      </c>
      <c r="L2190" s="2332">
        <f>L458+L1736+L1936+L1638+L1831+L2050</f>
        <v>5629154</v>
      </c>
      <c r="M2190" s="2332">
        <f>M458+M1736+M1936+M1638+M1831+M2050</f>
        <v>5553208</v>
      </c>
    </row>
    <row r="2191" spans="2:13" x14ac:dyDescent="0.2">
      <c r="B2191" s="2441"/>
      <c r="C2191" s="2332"/>
      <c r="D2191" s="2332"/>
      <c r="E2191" s="2332"/>
      <c r="F2191" s="2332"/>
      <c r="K2191" s="2333">
        <f t="shared" si="485"/>
        <v>0</v>
      </c>
      <c r="L2191" s="2332"/>
      <c r="M2191" s="2332"/>
    </row>
    <row r="2192" spans="2:13" x14ac:dyDescent="0.2">
      <c r="B2192" s="2441" t="s">
        <v>646</v>
      </c>
      <c r="C2192" s="2332">
        <f>+C2076+C1972</f>
        <v>437765</v>
      </c>
      <c r="D2192" s="2332">
        <f>+D2076+D1972</f>
        <v>655418</v>
      </c>
      <c r="E2192" s="2332">
        <f>+E2076+E1972</f>
        <v>655418</v>
      </c>
      <c r="F2192" s="2332">
        <f>+F2076+F1972</f>
        <v>310547</v>
      </c>
      <c r="G2192" s="2332">
        <f>+G2076+G1972</f>
        <v>372656.4</v>
      </c>
      <c r="H2192" s="2332"/>
      <c r="I2192" s="2332">
        <f>+I2076+I1972</f>
        <v>9243802</v>
      </c>
      <c r="J2192" s="2461">
        <f>+J2076+J1972</f>
        <v>4033319.12</v>
      </c>
      <c r="K2192" s="2333">
        <f t="shared" si="485"/>
        <v>4033319.12</v>
      </c>
      <c r="L2192" s="2332">
        <f>+L2076+L1972</f>
        <v>11628703</v>
      </c>
      <c r="M2192" s="2332">
        <f>+M2076+M1972</f>
        <v>14640537</v>
      </c>
    </row>
    <row r="2193" spans="1:13" x14ac:dyDescent="0.2">
      <c r="B2193" s="2441"/>
      <c r="C2193" s="2332"/>
      <c r="D2193" s="2332"/>
      <c r="E2193" s="2332"/>
      <c r="F2193" s="2332"/>
      <c r="K2193" s="2333">
        <f t="shared" si="485"/>
        <v>0</v>
      </c>
      <c r="L2193" s="2332"/>
      <c r="M2193" s="2332"/>
    </row>
    <row r="2194" spans="1:13" x14ac:dyDescent="0.2">
      <c r="B2194" s="2441" t="s">
        <v>6599</v>
      </c>
      <c r="C2194" s="2332">
        <f>C82+C483+C614+C929+C1052+C1095+C1160+C1216+C1257+C1317+C1382+C1417+C1529+C1662+C1766+C1853+C1968+C150+C213+C268++C542+C666+C859+C1000+C1465+C2128+C330+C391+C803+C2072+C1579</f>
        <v>17721012</v>
      </c>
      <c r="D2194" s="2332">
        <f>D82+D483+D614+D929+D1052+D1095+D1160+D1216+D1257+D1317+D1382+D1417+D1529+D1662+D1766+D1853+D1968+D150+D213+D268++D542+D666+D859+D1000+D1465+D2128+D330+D391+D803+D2072+D1579</f>
        <v>19107254</v>
      </c>
      <c r="E2194" s="2332">
        <f>E82+E483+E614+E929+E1052+E1095+E1160+E1216+E1257+E1317+E1382+E1417+E1529+E1662+E1766+E1853+E1968+E150+E213+E268++E542+E666+E859+E1000+E1465+E2128+E330+E391+E803+E2072+E1579</f>
        <v>20513569</v>
      </c>
      <c r="F2194" s="2332">
        <f>F82+F483+F614+F929+F1052+F1095+F1160+F1216+F1257+F1317+F1382+F1417+F1529+F1662+F1766+F1853+F1968+F150+F213+F268++F542+F666+F859+F1000+F1465+F2128+F330+F391+F803+F2072+F1579</f>
        <v>17974654</v>
      </c>
      <c r="G2194" s="2332">
        <f>G82+G483+G614+G929+G1052+G1095+G1160+G1216+G1257+G1317+G1382+G1417+G1529+G1662+G1766+G1853+G1968+G150+G213+G268++G542+G666+G859+G1000+G1465+G2128+G330+G391+G803+G2072+G1579</f>
        <v>21509854.799999997</v>
      </c>
      <c r="H2194" s="2332"/>
      <c r="I2194" s="2332">
        <f>I82+I483+I614+I929+I1052+I1095+I1160+I1216+I1257+I1317+I1382+I1417+I1529+I1662+I1766+I1853+I1968+I150+I213+I268++I542+I666+I859+I1000+I1465+I2128+I330+I391+I803+I2072+I1579+I686</f>
        <v>23682949.629999999</v>
      </c>
      <c r="J2194" s="2461">
        <f>J82+J483+J614+J929+J1052+J1095+J1160+J1216+J1257+J1317+J1382+J1417+J1529+J1662+J1766+J1853+J1968+J150+J213+J268++J542+J666+J859+J1000+J1465+J2128+J330+J391+J803+J2072+J1579+J686-1845021.68-1000+200000</f>
        <v>31575506.119999986</v>
      </c>
      <c r="K2194" s="2333">
        <f t="shared" si="485"/>
        <v>31575506.119999986</v>
      </c>
      <c r="L2194" s="2332">
        <f>L82+L483+L614+L929+L1052+L1095+L1160+L1216+L1257+L1317+L1382+L1417+L1529+L1662+L1766+L1853+L1968+L150+L213+L268++L542+L666+L859+L1000+L1465+L2128+L330+L391+L803+L2072+L1579</f>
        <v>22743729</v>
      </c>
      <c r="M2194" s="2332">
        <f>M82+M483+M614+M929+M1052+M1095+M1160+M1216+M1257+M1317+M1382+M1417+M1529+M1662+M1766+M1853+M1968+M150+M213+M268++M542+M666+M859+M1000+M1465+M2128+M330+M391+M803+M2072+M1579</f>
        <v>24092355</v>
      </c>
    </row>
    <row r="2195" spans="1:13" x14ac:dyDescent="0.2">
      <c r="B2195" s="2441"/>
      <c r="C2195" s="2332"/>
      <c r="D2195" s="2332"/>
      <c r="E2195" s="2332"/>
      <c r="F2195" s="2332"/>
      <c r="G2195" s="2332"/>
      <c r="H2195" s="2332"/>
      <c r="I2195" s="2332"/>
      <c r="J2195" s="2332"/>
      <c r="K2195" s="2333">
        <f t="shared" si="485"/>
        <v>0</v>
      </c>
      <c r="L2195" s="2332"/>
      <c r="M2195" s="2332"/>
    </row>
    <row r="2196" spans="1:13" x14ac:dyDescent="0.2">
      <c r="B2196" s="2441" t="s">
        <v>7074</v>
      </c>
      <c r="C2196" s="2332">
        <f>C670</f>
        <v>0</v>
      </c>
      <c r="D2196" s="2332">
        <f t="shared" ref="D2196:M2196" si="498">D670</f>
        <v>0</v>
      </c>
      <c r="E2196" s="2332">
        <f t="shared" si="498"/>
        <v>0</v>
      </c>
      <c r="F2196" s="2332">
        <f t="shared" si="498"/>
        <v>0</v>
      </c>
      <c r="G2196" s="2332">
        <f t="shared" si="498"/>
        <v>0</v>
      </c>
      <c r="H2196" s="2332"/>
      <c r="I2196" s="2332">
        <f t="shared" si="498"/>
        <v>2322154</v>
      </c>
      <c r="J2196" s="2461">
        <f t="shared" si="498"/>
        <v>2332154</v>
      </c>
      <c r="K2196" s="2333">
        <f t="shared" si="485"/>
        <v>2332154</v>
      </c>
      <c r="L2196" s="2332">
        <f t="shared" si="498"/>
        <v>2322154</v>
      </c>
      <c r="M2196" s="2332">
        <f t="shared" si="498"/>
        <v>2322154</v>
      </c>
    </row>
    <row r="2197" spans="1:13" x14ac:dyDescent="0.2">
      <c r="B2197" s="2442"/>
      <c r="C2197" s="2335"/>
      <c r="D2197" s="2335"/>
      <c r="E2197" s="2335"/>
      <c r="F2197" s="2448"/>
      <c r="G2197" s="2436"/>
      <c r="H2197" s="2436"/>
      <c r="I2197" s="2340"/>
      <c r="J2197" s="2340"/>
      <c r="K2197" s="2333">
        <f t="shared" ref="K2197:K2260" si="499">J2197</f>
        <v>0</v>
      </c>
      <c r="L2197" s="2335"/>
      <c r="M2197" s="2335"/>
    </row>
    <row r="2198" spans="1:13" x14ac:dyDescent="0.2">
      <c r="B2198" s="2441" t="s">
        <v>6623</v>
      </c>
      <c r="C2198" s="2351">
        <f>SUM(C2184:C2197)</f>
        <v>41186314.759999998</v>
      </c>
      <c r="D2198" s="2351">
        <f t="shared" ref="D2198:M2198" si="500">SUM(D2184:D2197)</f>
        <v>50387438</v>
      </c>
      <c r="E2198" s="2351">
        <f t="shared" si="500"/>
        <v>50790061</v>
      </c>
      <c r="F2198" s="2351">
        <f t="shared" si="500"/>
        <v>41400145</v>
      </c>
      <c r="G2198" s="2351">
        <f t="shared" si="500"/>
        <v>49586844</v>
      </c>
      <c r="H2198" s="2351"/>
      <c r="I2198" s="2351">
        <f t="shared" si="500"/>
        <v>79684017.289999992</v>
      </c>
      <c r="J2198" s="2351">
        <f>SUM(J2184:J2197)</f>
        <v>80544192.109999985</v>
      </c>
      <c r="K2198" s="2333">
        <f t="shared" si="499"/>
        <v>80544192.109999985</v>
      </c>
      <c r="L2198" s="2351">
        <f t="shared" si="500"/>
        <v>80429054</v>
      </c>
      <c r="M2198" s="2351">
        <f t="shared" si="500"/>
        <v>87758263</v>
      </c>
    </row>
    <row r="2199" spans="1:13" x14ac:dyDescent="0.2">
      <c r="B2199" s="2441"/>
      <c r="C2199" s="2351"/>
      <c r="D2199" s="2351"/>
      <c r="E2199" s="2351"/>
      <c r="K2199" s="2333">
        <f t="shared" si="499"/>
        <v>0</v>
      </c>
      <c r="L2199" s="2351"/>
      <c r="M2199" s="2351"/>
    </row>
    <row r="2200" spans="1:13" x14ac:dyDescent="0.2">
      <c r="B2200" s="2441" t="s">
        <v>6673</v>
      </c>
      <c r="C2200" s="2332">
        <f>C601+C1634+C1732+C1932</f>
        <v>5763609</v>
      </c>
      <c r="D2200" s="2332">
        <f>D601+D1634+D1732+D1932</f>
        <v>2856181</v>
      </c>
      <c r="E2200" s="2332">
        <f>E601+E1634+E1732+E1932</f>
        <v>2856181</v>
      </c>
      <c r="F2200" s="2332">
        <f>F601+F1634+F1732+F1932</f>
        <v>735398</v>
      </c>
      <c r="G2200" s="2332">
        <f>G601+G1634+G1732+G1932</f>
        <v>735398</v>
      </c>
      <c r="H2200" s="2332"/>
      <c r="I2200" s="2332">
        <f>I601+I1634+I1732+I1932</f>
        <v>2250160</v>
      </c>
      <c r="J2200" s="2461">
        <f>J601+J1634+J1732+J1932</f>
        <v>1422246.98</v>
      </c>
      <c r="K2200" s="2333">
        <f t="shared" si="499"/>
        <v>1422246.98</v>
      </c>
      <c r="L2200" s="2332">
        <f>L601+L1634+L1732+L1932</f>
        <v>1097176</v>
      </c>
      <c r="M2200" s="2332">
        <f>M601+M1634+M1732+M1932</f>
        <v>1208115</v>
      </c>
    </row>
    <row r="2201" spans="1:13" x14ac:dyDescent="0.2">
      <c r="B2201" s="2441"/>
      <c r="C2201" s="2351"/>
      <c r="D2201" s="2351"/>
      <c r="E2201" s="2351"/>
      <c r="K2201" s="2333">
        <f t="shared" si="499"/>
        <v>0</v>
      </c>
      <c r="L2201" s="2351"/>
      <c r="M2201" s="2351"/>
    </row>
    <row r="2202" spans="1:13" x14ac:dyDescent="0.2">
      <c r="B2202" s="2441" t="s">
        <v>7081</v>
      </c>
      <c r="C2202" s="2332">
        <f>+C1772+C1978+C1671+C1862+C689+C2082</f>
        <v>0</v>
      </c>
      <c r="D2202" s="2332">
        <f>+D1772+D1978+D1671+D1862+D689+D2082</f>
        <v>0</v>
      </c>
      <c r="E2202" s="2332">
        <f>+E1772+E1978+E1671+E1862+E689+E2082</f>
        <v>0</v>
      </c>
      <c r="F2202" s="2332">
        <f>+F1772+F1978+F1671+F1862+F689+F2082</f>
        <v>336000</v>
      </c>
      <c r="G2202" s="2332">
        <f>+G1772+G1978+G1671+G1862+G689+G2082</f>
        <v>336000</v>
      </c>
      <c r="H2202" s="2332"/>
      <c r="I2202" s="2332">
        <f>+I1772+I1978+I1671+I1862+I689+I2082</f>
        <v>943127</v>
      </c>
      <c r="J2202" s="2332">
        <v>0</v>
      </c>
      <c r="K2202" s="2333">
        <f t="shared" si="499"/>
        <v>0</v>
      </c>
      <c r="L2202" s="2332">
        <f>+L1772+L1978+L1671+L1862+L689+L2082</f>
        <v>688564</v>
      </c>
      <c r="M2202" s="2332">
        <f>+M1772+M1978+M1671+M1862+M689+M2082</f>
        <v>1271917</v>
      </c>
    </row>
    <row r="2203" spans="1:13" x14ac:dyDescent="0.2">
      <c r="B2203" s="2441"/>
      <c r="C2203" s="2351"/>
      <c r="D2203" s="2351"/>
      <c r="E2203" s="2351"/>
      <c r="K2203" s="2333">
        <f t="shared" si="499"/>
        <v>0</v>
      </c>
      <c r="L2203" s="2351"/>
      <c r="M2203" s="2351"/>
    </row>
    <row r="2204" spans="1:13" x14ac:dyDescent="0.2">
      <c r="B2204" s="2441" t="s">
        <v>7259</v>
      </c>
      <c r="C2204" s="2332">
        <f>C91+C92+C93+C155+C156+C275+C488+C489+C490+C549+C620+C693+C694+C695+C866+C938+C939+C940+C1007+C1102+C1168+C1224+C1263+C1326+C1390+C1473+C1537+C1587+C1677+C1775+C1776+C1777+C1868+C1981+C1982+C1983+C2134</f>
        <v>1315758</v>
      </c>
      <c r="D2204" s="2332">
        <f>D91+D92+D93+D155+D156+D275+D488+D489+D490+D549+D620+D693+D694+D695+D866+D938+D939+D940+D1007+D1102+D1168+D1224+D1263+D1326+D1390+D1473+D1537+D1587+D1677+D1775+D1776+D1777+D1868+D1981+D1982+D1983+D2134</f>
        <v>966099</v>
      </c>
      <c r="E2204" s="2332">
        <f>E91+E92+E93+E155+E156+E275+E488+E489+E490+E549+E620+E693+E694+E695+E866+E938+E939+E940+E1007+E1102+E1168+E1224+E1263+E1326+E1390+E1473+E1537+E1587+E1677+E1775+E1776+E1777+E1868+E1981+E1982+E1983+E2134</f>
        <v>966099</v>
      </c>
      <c r="F2204" s="2332">
        <f>F91+F92+F93+F155+F156+F275+F488+F489+F490+F549+F620+F693+F694+F695+F866+F938+F939+F940+F1007+F1102+F1168+F1224+F1263+F1326+F1390+F1473+F1537+F1587+F1677+F1775+F1776+F1777+F1868+F1981+F1982+F1983+F2134</f>
        <v>346363.91666666663</v>
      </c>
      <c r="G2204" s="2332">
        <f>G91+G92+G93+G155+G156+G275+G488+G489+G490+G549+G620+G693+G694+G695+G866+G938+G939+G940+G1007+G1102+G1168+G1224+G1263+G1326+G1390+G1473+G1537+G1587+G1677+G1775+G1776+G1777+G1868+G1981+G1982+G1983+G2134</f>
        <v>360879.5</v>
      </c>
      <c r="H2204" s="2332"/>
      <c r="I2204" s="2332">
        <f>I91+I92+I93+I155+I156+I275+I488+I489+I490+I549+I620+I693+I694+I695+I866+I938+I939+I940+I1007+I1102+I1168+I1224+I1263+I1326+I1390+I1473+I1537+I1587+I1677+I1775+I1776+I1777+I1868+I1981+I1982+I1983+I2134</f>
        <v>1049582</v>
      </c>
      <c r="J2204" s="2407">
        <f>J91+J92+J93+J155+J156+J275+J488+J489+J490+J549+J620+J693+J694+J695+J866+J938+J939+J940+J1007+J1102+J1168+J1224+J1263+J1326+J1390+J1473+J1537+J1587+J1677+J1775+J1776+J1777+J1868+J1987+J1982+J1983+J2134</f>
        <v>785859.48</v>
      </c>
      <c r="K2204" s="2333">
        <f t="shared" si="499"/>
        <v>785859.48</v>
      </c>
      <c r="L2204" s="2332">
        <f>L91+L92+L93+L155+L156+L275+L488+L489+L490+L549+L620+L693+L694+L695+L866+L938+L939+L940+L1007+L1102+L1168+L1224+L1263+L1326+L1390+L1473+L1537+L1587+L1677+L1775+L1776+L1777+L1868+L1981+L1982+L1983+L2134</f>
        <v>1122591</v>
      </c>
      <c r="M2204" s="2332">
        <f>M91+M92+M93+M155+M156+M275+M488+M489+M490+M549+M620+M693+M694+M695+M866+M938+M939+M940+M1007+M1102+M1168+M1224+M1263+M1326+M1390+M1473+M1537+M1587+M1677+M1775+M1776+M1777+M1868+M1981+M1982+M1983+M2134</f>
        <v>1209087</v>
      </c>
    </row>
    <row r="2205" spans="1:13" x14ac:dyDescent="0.2">
      <c r="B2205" s="2442"/>
      <c r="C2205" s="2335"/>
      <c r="D2205" s="2335"/>
      <c r="E2205" s="2335"/>
      <c r="F2205" s="2448"/>
      <c r="G2205" s="2436"/>
      <c r="H2205" s="2436"/>
      <c r="I2205" s="2340"/>
      <c r="J2205" s="2340"/>
      <c r="K2205" s="2333">
        <f t="shared" si="499"/>
        <v>0</v>
      </c>
      <c r="L2205" s="2335"/>
      <c r="M2205" s="2335"/>
    </row>
    <row r="2206" spans="1:13" x14ac:dyDescent="0.2">
      <c r="A2206" s="2404"/>
      <c r="B2206" s="2441" t="s">
        <v>7147</v>
      </c>
      <c r="C2206" s="2349">
        <f t="shared" ref="C2206:M2206" si="501">SUM(C2198:C2204)</f>
        <v>48265681.759999998</v>
      </c>
      <c r="D2206" s="2349">
        <f t="shared" si="501"/>
        <v>54209718</v>
      </c>
      <c r="E2206" s="2349">
        <f t="shared" si="501"/>
        <v>54612341</v>
      </c>
      <c r="F2206" s="2349">
        <f t="shared" si="501"/>
        <v>42817906.916666664</v>
      </c>
      <c r="G2206" s="2349">
        <f t="shared" si="501"/>
        <v>51019121.5</v>
      </c>
      <c r="H2206" s="2349"/>
      <c r="I2206" s="2349">
        <f t="shared" si="501"/>
        <v>83926886.289999992</v>
      </c>
      <c r="J2206" s="2349">
        <f>SUM(J2198:J2204)</f>
        <v>82752298.569999993</v>
      </c>
      <c r="K2206" s="2333">
        <f t="shared" si="499"/>
        <v>82752298.569999993</v>
      </c>
      <c r="L2206" s="2349">
        <f t="shared" si="501"/>
        <v>83337385</v>
      </c>
      <c r="M2206" s="2349">
        <f t="shared" si="501"/>
        <v>91447382</v>
      </c>
    </row>
    <row r="2207" spans="1:13" x14ac:dyDescent="0.2">
      <c r="B2207" s="2441"/>
      <c r="C2207" s="2332"/>
      <c r="D2207" s="2332"/>
      <c r="E2207" s="2332"/>
      <c r="F2207" s="2383"/>
      <c r="K2207" s="2333">
        <f t="shared" si="499"/>
        <v>0</v>
      </c>
      <c r="L2207" s="2449"/>
      <c r="M2207" s="2332"/>
    </row>
    <row r="2208" spans="1:13" x14ac:dyDescent="0.2">
      <c r="A2208" s="2369"/>
      <c r="B2208" s="2369"/>
      <c r="C2208" s="2369"/>
      <c r="D2208" s="2369"/>
      <c r="E2208" s="2369"/>
      <c r="F2208" s="2383"/>
      <c r="K2208" s="2333">
        <f t="shared" si="499"/>
        <v>0</v>
      </c>
      <c r="L2208" s="2369"/>
      <c r="M2208" s="2369"/>
    </row>
    <row r="2209" spans="1:13" x14ac:dyDescent="0.2">
      <c r="B2209" s="2440" t="s">
        <v>7260</v>
      </c>
      <c r="C2209" s="2332"/>
      <c r="D2209" s="2332"/>
      <c r="E2209" s="2332"/>
      <c r="F2209" s="2383"/>
      <c r="K2209" s="2333">
        <f t="shared" si="499"/>
        <v>0</v>
      </c>
      <c r="L2209" s="2449"/>
      <c r="M2209" s="2332"/>
    </row>
    <row r="2210" spans="1:13" x14ac:dyDescent="0.2">
      <c r="B2210" s="2441"/>
      <c r="C2210" s="2332"/>
      <c r="D2210" s="2332"/>
      <c r="E2210" s="2332"/>
      <c r="F2210" s="2383"/>
      <c r="K2210" s="2333">
        <f t="shared" si="499"/>
        <v>0</v>
      </c>
      <c r="L2210" s="2449"/>
      <c r="M2210" s="2332"/>
    </row>
    <row r="2211" spans="1:13" x14ac:dyDescent="0.2">
      <c r="B2211" s="2441" t="s">
        <v>7261</v>
      </c>
      <c r="C2211" s="2332">
        <f>C90+C157+C692+C937+C1013+C1778+C1985+C1986</f>
        <v>122153</v>
      </c>
      <c r="D2211" s="2332">
        <f>D90+D157+D692+D937+D1013+D1778+D1985+D1986</f>
        <v>0</v>
      </c>
      <c r="E2211" s="2332">
        <f>E90+E157+E692+E937+E1013+E1778+E1985+E1986</f>
        <v>0</v>
      </c>
      <c r="F2211" s="2332">
        <f>F90+F157+F692+F937+F1013+F1778+F1985+F1986</f>
        <v>0</v>
      </c>
      <c r="G2211" s="2332">
        <f>G90+G157+G692+G937+G1013+G1778+G1985+G1986</f>
        <v>0</v>
      </c>
      <c r="H2211" s="2332"/>
      <c r="I2211" s="2332">
        <f>I90+I157+I692+I937+I1013+I1778+I1985+I1986</f>
        <v>0</v>
      </c>
      <c r="J2211" s="2332">
        <f>J90+J157+J692+J937+J1013+J1778+J1985+J1986</f>
        <v>0</v>
      </c>
      <c r="K2211" s="2333">
        <f t="shared" si="499"/>
        <v>0</v>
      </c>
      <c r="L2211" s="2332">
        <f>L90+L157+L692+L937+L1013+L1778+L1985+L1986</f>
        <v>0</v>
      </c>
      <c r="M2211" s="2332">
        <f>M90+M157+M692+M937+M1013+M1778+M1985+M1986</f>
        <v>0</v>
      </c>
    </row>
    <row r="2212" spans="1:13" x14ac:dyDescent="0.2">
      <c r="B2212" s="2441"/>
      <c r="C2212" s="2332"/>
      <c r="D2212" s="2332"/>
      <c r="E2212" s="2332"/>
      <c r="K2212" s="2333">
        <f t="shared" si="499"/>
        <v>0</v>
      </c>
      <c r="L2212" s="2332"/>
      <c r="M2212" s="2332"/>
    </row>
    <row r="2213" spans="1:13" x14ac:dyDescent="0.2">
      <c r="B2213" s="2441" t="s">
        <v>7221</v>
      </c>
      <c r="C2213" s="2364">
        <f>C1991+C1783+C1874+C2091</f>
        <v>0</v>
      </c>
      <c r="D2213" s="2364">
        <f>D1991+D1783+D1874+D2091</f>
        <v>14579000</v>
      </c>
      <c r="E2213" s="2364">
        <f>E1991+E1783+E1874+E2091</f>
        <v>14579000</v>
      </c>
      <c r="F2213" s="2364">
        <f>F1991+F1783+F1874+F2091</f>
        <v>0</v>
      </c>
      <c r="G2213" s="2364">
        <f>G1991+G1783+G1874+G2091</f>
        <v>0</v>
      </c>
      <c r="H2213" s="2364"/>
      <c r="I2213" s="2364">
        <f>I1991+I1783+I1874+I2091</f>
        <v>0</v>
      </c>
      <c r="J2213" s="2364">
        <f>J1991+J1783+J1874+J2091</f>
        <v>0</v>
      </c>
      <c r="K2213" s="2333">
        <f t="shared" si="499"/>
        <v>0</v>
      </c>
      <c r="L2213" s="2364">
        <f>L1991+L1783+L1874+L2091</f>
        <v>0</v>
      </c>
      <c r="M2213" s="2364">
        <f>M1991+M1783+M1874+M2091</f>
        <v>0</v>
      </c>
    </row>
    <row r="2214" spans="1:13" x14ac:dyDescent="0.2">
      <c r="B2214" s="2442"/>
      <c r="C2214" s="2397"/>
      <c r="D2214" s="2397"/>
      <c r="E2214" s="2397"/>
      <c r="F2214" s="2436"/>
      <c r="G2214" s="2436"/>
      <c r="H2214" s="2436"/>
      <c r="I2214" s="2340"/>
      <c r="J2214" s="2340"/>
      <c r="K2214" s="2333">
        <f t="shared" si="499"/>
        <v>0</v>
      </c>
      <c r="L2214" s="2397"/>
      <c r="M2214" s="2397"/>
    </row>
    <row r="2215" spans="1:13" x14ac:dyDescent="0.2">
      <c r="A2215" s="2404"/>
      <c r="B2215" s="2441" t="s">
        <v>7147</v>
      </c>
      <c r="C2215" s="2349">
        <f>SUM(C2206:C2213)</f>
        <v>48387834.759999998</v>
      </c>
      <c r="D2215" s="2349">
        <f t="shared" ref="D2215:M2215" si="502">SUM(D2206:D2213)</f>
        <v>68788718</v>
      </c>
      <c r="E2215" s="2349">
        <f t="shared" si="502"/>
        <v>69191341</v>
      </c>
      <c r="F2215" s="2349">
        <f t="shared" si="502"/>
        <v>42817906.916666664</v>
      </c>
      <c r="G2215" s="2349">
        <f t="shared" si="502"/>
        <v>51019121.5</v>
      </c>
      <c r="H2215" s="2349"/>
      <c r="I2215" s="2349">
        <f t="shared" si="502"/>
        <v>83926886.289999992</v>
      </c>
      <c r="J2215" s="2349">
        <f>SUM(J2206:J2213)</f>
        <v>82752298.569999993</v>
      </c>
      <c r="K2215" s="2333">
        <f t="shared" si="499"/>
        <v>82752298.569999993</v>
      </c>
      <c r="L2215" s="2349">
        <f t="shared" si="502"/>
        <v>83337385</v>
      </c>
      <c r="M2215" s="2349">
        <f t="shared" si="502"/>
        <v>91447382</v>
      </c>
    </row>
    <row r="2216" spans="1:13" x14ac:dyDescent="0.2">
      <c r="A2216" s="2404"/>
      <c r="B2216" s="2441"/>
      <c r="C2216" s="2349"/>
      <c r="D2216" s="2349"/>
      <c r="E2216" s="2349"/>
      <c r="F2216" s="2432"/>
      <c r="G2216" s="2432"/>
      <c r="H2216" s="2432"/>
      <c r="I2216" s="2450"/>
      <c r="J2216" s="2450"/>
      <c r="K2216" s="2333">
        <f t="shared" si="499"/>
        <v>0</v>
      </c>
      <c r="L2216" s="2349"/>
      <c r="M2216" s="2349"/>
    </row>
    <row r="2217" spans="1:13" x14ac:dyDescent="0.2">
      <c r="B2217" s="2441" t="s">
        <v>7262</v>
      </c>
      <c r="C2217" s="2364">
        <f>C491+C492+C493+C494+C495+C496+C497+C498</f>
        <v>12178579</v>
      </c>
      <c r="D2217" s="2364">
        <f t="shared" ref="D2217:M2217" si="503">D491+D492+D493+D494+D495+D496+D497+D498</f>
        <v>7378472</v>
      </c>
      <c r="E2217" s="2364">
        <f t="shared" si="503"/>
        <v>8054872</v>
      </c>
      <c r="F2217" s="2364">
        <f t="shared" si="503"/>
        <v>3051325</v>
      </c>
      <c r="G2217" s="2364">
        <f t="shared" si="503"/>
        <v>5048429</v>
      </c>
      <c r="H2217" s="2364"/>
      <c r="I2217" s="2364">
        <f t="shared" si="503"/>
        <v>17852327</v>
      </c>
      <c r="J2217" s="2462">
        <f>J491+J492+J493+J494+J495+J496+J497+J498</f>
        <v>4079678.95</v>
      </c>
      <c r="K2217" s="2333">
        <f t="shared" si="499"/>
        <v>4079678.95</v>
      </c>
      <c r="L2217" s="2364">
        <f t="shared" si="503"/>
        <v>17614504</v>
      </c>
      <c r="M2217" s="2364">
        <f t="shared" si="503"/>
        <v>18554972</v>
      </c>
    </row>
    <row r="2218" spans="1:13" x14ac:dyDescent="0.2">
      <c r="B2218" s="2441"/>
      <c r="C2218" s="2332"/>
      <c r="D2218" s="2332"/>
      <c r="E2218" s="2332"/>
      <c r="K2218" s="2333">
        <f t="shared" si="499"/>
        <v>0</v>
      </c>
      <c r="L2218" s="2332"/>
      <c r="M2218" s="2332"/>
    </row>
    <row r="2219" spans="1:13" ht="13.5" thickBot="1" x14ac:dyDescent="0.25">
      <c r="B2219" s="2445" t="s">
        <v>6980</v>
      </c>
      <c r="C2219" s="2451">
        <f t="shared" ref="C2219:M2219" si="504">+C2215+C2217</f>
        <v>60566413.759999998</v>
      </c>
      <c r="D2219" s="2451">
        <f t="shared" si="504"/>
        <v>76167190</v>
      </c>
      <c r="E2219" s="2451">
        <f t="shared" si="504"/>
        <v>77246213</v>
      </c>
      <c r="F2219" s="2451">
        <f t="shared" si="504"/>
        <v>45869231.916666664</v>
      </c>
      <c r="G2219" s="2451">
        <f t="shared" si="504"/>
        <v>56067550.5</v>
      </c>
      <c r="H2219" s="2451"/>
      <c r="I2219" s="2451">
        <f t="shared" si="504"/>
        <v>101779213.28999999</v>
      </c>
      <c r="J2219" s="2451">
        <f>+J2215+J2217</f>
        <v>86831977.519999996</v>
      </c>
      <c r="K2219" s="2344">
        <f t="shared" si="499"/>
        <v>86831977.519999996</v>
      </c>
      <c r="L2219" s="2451">
        <f t="shared" si="504"/>
        <v>100951889</v>
      </c>
      <c r="M2219" s="2451">
        <f t="shared" si="504"/>
        <v>110002354</v>
      </c>
    </row>
    <row r="2220" spans="1:13" ht="13.5" thickTop="1" x14ac:dyDescent="0.2">
      <c r="B2220" s="2441"/>
      <c r="C2220" s="2349"/>
      <c r="D2220" s="2349"/>
      <c r="E2220" s="2349"/>
      <c r="K2220" s="2333">
        <f t="shared" si="499"/>
        <v>0</v>
      </c>
      <c r="L2220" s="2349"/>
      <c r="M2220" s="2349"/>
    </row>
    <row r="2221" spans="1:13" ht="13.5" thickBot="1" x14ac:dyDescent="0.25">
      <c r="B2221" s="2452" t="s">
        <v>7263</v>
      </c>
      <c r="C2221" s="2355">
        <f>C2179-C2219</f>
        <v>-6423353.7599999979</v>
      </c>
      <c r="D2221" s="2355">
        <f>D2179-D2219</f>
        <v>3230230</v>
      </c>
      <c r="E2221" s="2355">
        <f>E2179-E2219</f>
        <v>3443099</v>
      </c>
      <c r="F2221" s="2355">
        <f>F2179-F2219</f>
        <v>-7425514.7566666678</v>
      </c>
      <c r="G2221" s="2355">
        <f>G2179-G2219</f>
        <v>6915189.4600000009</v>
      </c>
      <c r="H2221" s="2355"/>
      <c r="I2221" s="2355">
        <f>I2179-I2219</f>
        <v>-15097771.289999992</v>
      </c>
      <c r="J2221" s="2355">
        <f>J2179-J2219</f>
        <v>0.34000000357627869</v>
      </c>
      <c r="K2221" s="2344">
        <f t="shared" si="499"/>
        <v>0.34000000357627869</v>
      </c>
      <c r="L2221" s="2355">
        <f>L2179-L2219</f>
        <v>-4871592</v>
      </c>
      <c r="M2221" s="2355">
        <f>M2179-M2219</f>
        <v>-873215</v>
      </c>
    </row>
    <row r="2222" spans="1:13" ht="13.5" thickTop="1" x14ac:dyDescent="0.2">
      <c r="B2222" s="2441"/>
      <c r="C2222" s="2356"/>
      <c r="D2222" s="2356"/>
      <c r="E2222" s="2356"/>
      <c r="K2222" s="2333">
        <f t="shared" si="499"/>
        <v>0</v>
      </c>
      <c r="L2222" s="2356"/>
      <c r="M2222" s="2356"/>
    </row>
    <row r="2223" spans="1:13" x14ac:dyDescent="0.2">
      <c r="B2223" s="2441"/>
      <c r="C2223" s="2356"/>
      <c r="D2223" s="2356"/>
      <c r="E2223" s="2356"/>
      <c r="K2223" s="2333">
        <f t="shared" si="499"/>
        <v>0</v>
      </c>
      <c r="L2223" s="2356"/>
      <c r="M2223" s="2356"/>
    </row>
    <row r="2224" spans="1:13" x14ac:dyDescent="0.2">
      <c r="B2224" s="2441" t="s">
        <v>7264</v>
      </c>
      <c r="C2224" s="2356">
        <v>0</v>
      </c>
      <c r="D2224" s="2356">
        <v>1500000</v>
      </c>
      <c r="E2224" s="2356">
        <f>1750000+250000</f>
        <v>2000000</v>
      </c>
      <c r="F2224" s="2356">
        <v>0</v>
      </c>
      <c r="G2224" s="2356">
        <v>0</v>
      </c>
      <c r="H2224" s="2356"/>
      <c r="I2224" s="2356">
        <v>0</v>
      </c>
      <c r="J2224" s="2356">
        <v>0</v>
      </c>
      <c r="K2224" s="2333">
        <f t="shared" si="499"/>
        <v>0</v>
      </c>
      <c r="L2224" s="2356">
        <v>0</v>
      </c>
      <c r="M2224" s="2356">
        <f>3000000+3000000</f>
        <v>6000000</v>
      </c>
    </row>
    <row r="2225" spans="2:13" x14ac:dyDescent="0.2">
      <c r="B2225" s="2441"/>
      <c r="C2225" s="2356"/>
      <c r="D2225" s="2356"/>
      <c r="E2225" s="2356"/>
      <c r="F2225" s="2356"/>
      <c r="G2225" s="2356"/>
      <c r="H2225" s="2356"/>
      <c r="I2225" s="2356"/>
      <c r="J2225" s="2356"/>
      <c r="K2225" s="2333">
        <f t="shared" si="499"/>
        <v>0</v>
      </c>
      <c r="L2225" s="2356"/>
      <c r="M2225" s="2453"/>
    </row>
    <row r="2226" spans="2:13" x14ac:dyDescent="0.2">
      <c r="B2226" s="2441" t="s">
        <v>7265</v>
      </c>
      <c r="C2226" s="2356">
        <v>0</v>
      </c>
      <c r="D2226" s="2356">
        <v>0</v>
      </c>
      <c r="E2226" s="2356">
        <v>0</v>
      </c>
      <c r="F2226" s="2356">
        <v>0</v>
      </c>
      <c r="G2226" s="2356">
        <v>0</v>
      </c>
      <c r="H2226" s="2356"/>
      <c r="I2226" s="2356">
        <v>0</v>
      </c>
      <c r="J2226" s="2356">
        <v>0</v>
      </c>
      <c r="K2226" s="2333">
        <f t="shared" si="499"/>
        <v>0</v>
      </c>
      <c r="L2226" s="2356">
        <f>2000000</f>
        <v>2000000</v>
      </c>
      <c r="M2226" s="2453">
        <v>0</v>
      </c>
    </row>
    <row r="2227" spans="2:13" x14ac:dyDescent="0.2">
      <c r="B2227" s="2441"/>
      <c r="C2227" s="2356"/>
      <c r="D2227" s="2356"/>
      <c r="E2227" s="2356"/>
      <c r="F2227" s="2356"/>
      <c r="G2227" s="2356"/>
      <c r="H2227" s="2356"/>
      <c r="I2227" s="2356"/>
      <c r="J2227" s="2356"/>
      <c r="K2227" s="2333">
        <f t="shared" si="499"/>
        <v>0</v>
      </c>
      <c r="L2227" s="2356"/>
      <c r="M2227" s="2453"/>
    </row>
    <row r="2228" spans="2:13" x14ac:dyDescent="0.2">
      <c r="B2228" s="2441" t="s">
        <v>7266</v>
      </c>
      <c r="C2228" s="2356">
        <v>0</v>
      </c>
      <c r="D2228" s="2356">
        <f>37975*12</f>
        <v>455700</v>
      </c>
      <c r="E2228" s="2356">
        <f>(37975*12)+30000</f>
        <v>485700</v>
      </c>
      <c r="F2228" s="2356">
        <v>0</v>
      </c>
      <c r="G2228" s="2356">
        <v>0</v>
      </c>
      <c r="H2228" s="2356"/>
      <c r="I2228" s="2356">
        <v>0</v>
      </c>
      <c r="J2228" s="2356">
        <v>0</v>
      </c>
      <c r="K2228" s="2333">
        <f t="shared" si="499"/>
        <v>0</v>
      </c>
      <c r="L2228" s="2356">
        <v>0</v>
      </c>
      <c r="M2228" s="2356">
        <v>0</v>
      </c>
    </row>
    <row r="2229" spans="2:13" x14ac:dyDescent="0.2">
      <c r="B2229" s="2441"/>
      <c r="C2229" s="2356"/>
      <c r="D2229" s="2356"/>
      <c r="E2229" s="2356"/>
      <c r="F2229" s="2356"/>
      <c r="G2229" s="2356"/>
      <c r="H2229" s="2356"/>
      <c r="I2229" s="2356"/>
      <c r="J2229" s="2356"/>
      <c r="K2229" s="2333">
        <f t="shared" si="499"/>
        <v>0</v>
      </c>
      <c r="L2229" s="2356"/>
      <c r="M2229" s="2356"/>
    </row>
    <row r="2230" spans="2:13" x14ac:dyDescent="0.2">
      <c r="B2230" s="2441" t="s">
        <v>7267</v>
      </c>
      <c r="C2230" s="2356">
        <v>0</v>
      </c>
      <c r="D2230" s="2356">
        <v>0</v>
      </c>
      <c r="E2230" s="2356">
        <v>0</v>
      </c>
      <c r="F2230" s="2356">
        <v>0</v>
      </c>
      <c r="G2230" s="2356">
        <v>0</v>
      </c>
      <c r="H2230" s="2356"/>
      <c r="I2230" s="2356">
        <v>0</v>
      </c>
      <c r="J2230" s="2356">
        <v>0</v>
      </c>
      <c r="K2230" s="2333">
        <f t="shared" si="499"/>
        <v>0</v>
      </c>
      <c r="L2230" s="2356">
        <v>0</v>
      </c>
      <c r="M2230" s="2356">
        <v>0</v>
      </c>
    </row>
    <row r="2231" spans="2:13" x14ac:dyDescent="0.2">
      <c r="B2231" s="2441"/>
      <c r="C2231" s="2356"/>
      <c r="D2231" s="2356"/>
      <c r="E2231" s="2356"/>
      <c r="K2231" s="2333">
        <f t="shared" si="499"/>
        <v>0</v>
      </c>
      <c r="L2231" s="2356"/>
      <c r="M2231" s="2356"/>
    </row>
    <row r="2232" spans="2:13" ht="13.5" thickBot="1" x14ac:dyDescent="0.25">
      <c r="B2232" s="2445" t="s">
        <v>7268</v>
      </c>
      <c r="C2232" s="2454">
        <f>C2221-C2224-C2226-C2228-C2230</f>
        <v>-6423353.7599999979</v>
      </c>
      <c r="D2232" s="2454">
        <f>D2221-D2224-D2226-D2228-D2230</f>
        <v>1274530</v>
      </c>
      <c r="E2232" s="2454">
        <f t="shared" ref="E2232:M2232" si="505">E2221-E2224-E2226-E2228-E2230</f>
        <v>957399</v>
      </c>
      <c r="F2232" s="2454">
        <f t="shared" si="505"/>
        <v>-7425514.7566666678</v>
      </c>
      <c r="G2232" s="2454">
        <f t="shared" si="505"/>
        <v>6915189.4600000009</v>
      </c>
      <c r="H2232" s="2454"/>
      <c r="I2232" s="2454">
        <f t="shared" si="505"/>
        <v>-15097771.289999992</v>
      </c>
      <c r="J2232" s="2454">
        <f>J2221-J2224-J2226-J2228-J2230</f>
        <v>0.34000000357627869</v>
      </c>
      <c r="K2232" s="2344">
        <f t="shared" si="499"/>
        <v>0.34000000357627869</v>
      </c>
      <c r="L2232" s="2454">
        <f t="shared" si="505"/>
        <v>-6871592</v>
      </c>
      <c r="M2232" s="2454">
        <f t="shared" si="505"/>
        <v>-6873215</v>
      </c>
    </row>
    <row r="2233" spans="2:13" ht="13.5" thickTop="1" x14ac:dyDescent="0.2">
      <c r="B2233" s="2441"/>
      <c r="C2233" s="2356"/>
      <c r="D2233" s="2356"/>
      <c r="E2233" s="2356"/>
      <c r="K2233" s="2333">
        <f t="shared" si="499"/>
        <v>0</v>
      </c>
      <c r="L2233" s="2356"/>
      <c r="M2233" s="2356"/>
    </row>
    <row r="2234" spans="2:13" x14ac:dyDescent="0.2">
      <c r="K2234" s="2333">
        <f t="shared" si="499"/>
        <v>0</v>
      </c>
    </row>
    <row r="2235" spans="2:13" x14ac:dyDescent="0.2">
      <c r="B2235" s="2441" t="s">
        <v>7269</v>
      </c>
      <c r="C2235" s="2351">
        <f>C24+C430+C579+C714+C821+C888+C1128+C1184+C1241+C1284+C1342+C1405+C1551+C1611+C1710+C1809+C1910+C2028+C959+C1435+C2107+C1490+C109+C174+C229+C291+C350+C1029</f>
        <v>54143060</v>
      </c>
      <c r="D2235" s="2351">
        <f>D24+D430+D579+D714+D821+D888+D1128+D1184+D1241+D1284+D1342+D1405+D1551+D1611+D1710+D1809+D1910+D2028+D959+D1435+D2107+D1490+D109+D174+D229+D291+D350+D1029</f>
        <v>79397420</v>
      </c>
      <c r="E2235" s="2351">
        <f>E24+E430+E579+E714+E821+E888+E1128+E1184+E1241+E1284+E1342+E1405+E1551+E1611+E1710+E1809+E1910+E2028+E959+E1435+E2107+E1490+E109+E174+E229+E291+E350+E1029</f>
        <v>80689312</v>
      </c>
      <c r="F2235" s="2351">
        <f>F24+F430+F579+F714+F821+F888+F1128+F1184+F1241+F1284+F1342+F1405+F1551+F1611+F1710+F1809+F1910+F2028+F959+F1435+F2107+F1490+F109+F174+F229+F291+F350+F1029</f>
        <v>38443717.159999996</v>
      </c>
      <c r="G2235" s="2351">
        <f>G24+G430+G579+G714+G821+G888+G1128+G1184+G1241+G1284+G1342+G1405+G1551+G1611+G1710+G1809+G1910+G2028+G959+G1435+G2107+G1490+G109+G174+G229+G291+G350+G1029</f>
        <v>62982739.959999993</v>
      </c>
      <c r="H2235" s="2351"/>
      <c r="I2235" s="2351">
        <f>I24+I430+I579+I714+I821+I888+I1128+I1184+I1241+I1284+I1342+I1405+I1551+I1611+I1710+I1809+I1910+I2028+I959+I1435+I2107+I1490+I109+I174+I229+I291+I350+I1029</f>
        <v>86681442</v>
      </c>
      <c r="J2235" s="2351">
        <f>J24+J430+J579+J714+J821+J888+J1128+J1184+J1241+J1284+J1342+J1405+J1551+J1611+J1710+J1809+J1910+J2028+J959+J1435+J2107+J1490+J109+J174+J229+J291+J350+J1029</f>
        <v>86831977.529999986</v>
      </c>
      <c r="K2235" s="2333">
        <f t="shared" si="499"/>
        <v>86831977.529999986</v>
      </c>
      <c r="L2235" s="2351">
        <f>L24+L430+L579+L714+L821+L888+L1128+L1184+L1241+L1284+L1342+L1405+L1551+L1611+L1710+L1809+L1910+L2028+L959+L1435+L2107+L1490+L109+L174+L229+L291+L350+L1029</f>
        <v>96080297</v>
      </c>
      <c r="M2235" s="2351">
        <f>M24+M430+M579+M714+M821+M888+M1128+M1184+M1241+M1284+M1342+M1405+M1551+M1611+M1710+M1809+M1910+M2028+M959+M1435+M2107+M1490+M109+M174+M229+M291+M350+M1029</f>
        <v>109129139</v>
      </c>
    </row>
    <row r="2236" spans="2:13" x14ac:dyDescent="0.2">
      <c r="B2236" s="2441"/>
      <c r="C2236" s="2351">
        <f t="shared" ref="C2236:M2236" si="506">+C2179</f>
        <v>54143060</v>
      </c>
      <c r="D2236" s="2351">
        <f>+D2179</f>
        <v>79397420</v>
      </c>
      <c r="E2236" s="2351">
        <f t="shared" si="506"/>
        <v>80689312</v>
      </c>
      <c r="F2236" s="2351">
        <f t="shared" si="506"/>
        <v>38443717.159999996</v>
      </c>
      <c r="G2236" s="2351">
        <f t="shared" si="506"/>
        <v>62982739.960000001</v>
      </c>
      <c r="H2236" s="2351"/>
      <c r="I2236" s="2351">
        <f t="shared" si="506"/>
        <v>86681442</v>
      </c>
      <c r="J2236" s="2351">
        <f>J2179</f>
        <v>86831977.859999999</v>
      </c>
      <c r="K2236" s="2333">
        <f t="shared" si="499"/>
        <v>86831977.859999999</v>
      </c>
      <c r="L2236" s="2351">
        <f t="shared" si="506"/>
        <v>96080297</v>
      </c>
      <c r="M2236" s="2351">
        <f t="shared" si="506"/>
        <v>109129139</v>
      </c>
    </row>
    <row r="2237" spans="2:13" x14ac:dyDescent="0.2">
      <c r="B2237" s="2441"/>
      <c r="C2237" s="2351">
        <f t="shared" ref="C2237:M2237" si="507">+C2235-C2236</f>
        <v>0</v>
      </c>
      <c r="D2237" s="2351">
        <f>+D2235-D2236</f>
        <v>0</v>
      </c>
      <c r="E2237" s="2351">
        <f t="shared" si="507"/>
        <v>0</v>
      </c>
      <c r="F2237" s="2351">
        <f t="shared" si="507"/>
        <v>0</v>
      </c>
      <c r="G2237" s="2351">
        <f t="shared" si="507"/>
        <v>0</v>
      </c>
      <c r="H2237" s="2351"/>
      <c r="I2237" s="2351">
        <f t="shared" si="507"/>
        <v>0</v>
      </c>
      <c r="J2237" s="2351">
        <f>+J2235-J2236</f>
        <v>-0.33000001311302185</v>
      </c>
      <c r="K2237" s="2333">
        <f t="shared" si="499"/>
        <v>-0.33000001311302185</v>
      </c>
      <c r="L2237" s="2351">
        <f t="shared" si="507"/>
        <v>0</v>
      </c>
      <c r="M2237" s="2351">
        <f t="shared" si="507"/>
        <v>0</v>
      </c>
    </row>
    <row r="2238" spans="2:13" x14ac:dyDescent="0.2">
      <c r="B2238" s="2441"/>
      <c r="C2238" s="2351"/>
      <c r="D2238" s="2351"/>
      <c r="E2238" s="2351"/>
      <c r="K2238" s="2333">
        <f t="shared" si="499"/>
        <v>0</v>
      </c>
      <c r="L2238" s="2351"/>
      <c r="M2238" s="2351"/>
    </row>
    <row r="2239" spans="2:13" x14ac:dyDescent="0.2">
      <c r="B2239" s="2441" t="s">
        <v>7270</v>
      </c>
      <c r="C2239" s="2349">
        <f>C96+C160+C501+C622+C807+C943+C1056+C1104+C1170+C1228+C1265+C1328+C1392+C1421+C1539+C1591+C1681+C1785+C1876+C1993+C2093+C215+C277+C334+C396+C551+C698+C868+C1015+C1475+C2136</f>
        <v>60566413.759999998</v>
      </c>
      <c r="D2239" s="2349">
        <f>D96+D160+D501+D622+D807+D943+D1056+D1104+D1170+D1228+D1265+D1328+D1392+D1421+D1539+D1591+D1681+D1785+D1876+D1993+D2093+D215+D277+D334+D396+D551+D698+D868+D1015+D1475+D2136</f>
        <v>76167190</v>
      </c>
      <c r="E2239" s="2349">
        <f>E96+E160+E501+E622+E807+E943+E1056+E1104+E1170+E1228+E1265+E1328+E1392+E1421+E1539+E1591+E1681+E1785+E1876+E1993+E2093+E215+E277+E334+E396+E551+E698+E868+E1015+E1475+E2136</f>
        <v>77246213</v>
      </c>
      <c r="F2239" s="2349">
        <f>F96+F160+F501+F622+F807+F943+F1056+F1104+F1170+F1228+F1265+F1328+F1392+F1421+F1539+F1591+F1681+F1785+F1876+F1993+F2093+F215+F277+F334+F396+F551+F698+F868+F1015+F1475+F2136</f>
        <v>45869231.916666664</v>
      </c>
      <c r="G2239" s="2349">
        <f>G96+G160+G501+G622+G807+G943+G1056+G1104+G1170+G1228+G1265+G1328+G1392+G1421+G1539+G1591+G1681+G1785+G1876+G1993+G2093+G215+G277+G334+G396+G551+G698+G868+G1015+G1475+G2136</f>
        <v>56067550.500000022</v>
      </c>
      <c r="H2239" s="2349"/>
      <c r="I2239" s="2349">
        <f>I96+I160+I501+I622+I807+I943+I1056+I1104+I1170+I1228+I1265+I1328+I1392+I1421+I1539+I1591+I1681+I1785+I1876+I1993+I2093+I215+I277+I334+I396+I551+I698+I868+I1015+I1475+I2136</f>
        <v>101779213.28999999</v>
      </c>
      <c r="J2239" s="2349" t="e">
        <f>J96+J160+J501+J622+J807+J943+J1056+J1104+J1170+J1228+J1265+J1328+J1392+J1421+J1539+J1591+J1681+J1785+J1876+J1993+J2093+J215+J277+J334+J396+J551+J698+J868+J1015+J1475+J2136-1828923+200000</f>
        <v>#REF!</v>
      </c>
      <c r="K2239" s="2333" t="e">
        <f t="shared" si="499"/>
        <v>#REF!</v>
      </c>
      <c r="L2239" s="2349">
        <f>L96+L160+L501+L622+L807+L943+L1056+L1104+L1170+L1228+L1265+L1328+L1392+L1421+L1539+L1591+L1681+L1785+L1876+L1993+L2093+L215+L277+L334+L396+L551+L698+L868+L1015+L1475+L2136</f>
        <v>100951889</v>
      </c>
      <c r="M2239" s="2349">
        <f>M96+M160+M501+M622+M807+M943+M1056+M1104+M1170+M1228+M1265+M1328+M1392+M1421+M1539+M1591+M1681+M1785+M1876+M1993+M2093+M215+M277+M334+M396+M551+M698+M868+M1015+M1475+M2136</f>
        <v>110002354</v>
      </c>
    </row>
    <row r="2240" spans="2:13" x14ac:dyDescent="0.2">
      <c r="B2240" s="2441"/>
      <c r="C2240" s="2349">
        <f t="shared" ref="C2240:M2240" si="508">+C2219</f>
        <v>60566413.759999998</v>
      </c>
      <c r="D2240" s="2349">
        <f t="shared" si="508"/>
        <v>76167190</v>
      </c>
      <c r="E2240" s="2349">
        <f t="shared" si="508"/>
        <v>77246213</v>
      </c>
      <c r="F2240" s="2349">
        <f t="shared" si="508"/>
        <v>45869231.916666664</v>
      </c>
      <c r="G2240" s="2349">
        <f t="shared" si="508"/>
        <v>56067550.5</v>
      </c>
      <c r="H2240" s="2349"/>
      <c r="I2240" s="2349">
        <f t="shared" si="508"/>
        <v>101779213.28999999</v>
      </c>
      <c r="J2240" s="2349">
        <f>+J2219</f>
        <v>86831977.519999996</v>
      </c>
      <c r="K2240" s="2333">
        <f t="shared" si="499"/>
        <v>86831977.519999996</v>
      </c>
      <c r="L2240" s="2349">
        <f t="shared" si="508"/>
        <v>100951889</v>
      </c>
      <c r="M2240" s="2349">
        <f t="shared" si="508"/>
        <v>110002354</v>
      </c>
    </row>
    <row r="2241" spans="2:13" x14ac:dyDescent="0.2">
      <c r="B2241" s="2441"/>
      <c r="C2241" s="2349">
        <f t="shared" ref="C2241:M2241" si="509">+C2239-C2240</f>
        <v>0</v>
      </c>
      <c r="D2241" s="2349">
        <f t="shared" si="509"/>
        <v>0</v>
      </c>
      <c r="E2241" s="2349">
        <f t="shared" si="509"/>
        <v>0</v>
      </c>
      <c r="F2241" s="2349">
        <f t="shared" si="509"/>
        <v>0</v>
      </c>
      <c r="G2241" s="2349">
        <f t="shared" si="509"/>
        <v>0</v>
      </c>
      <c r="H2241" s="2349"/>
      <c r="I2241" s="2349">
        <f t="shared" si="509"/>
        <v>0</v>
      </c>
      <c r="J2241" s="2349" t="e">
        <f>+J2239-J2240</f>
        <v>#REF!</v>
      </c>
      <c r="K2241" s="2333" t="e">
        <f t="shared" si="499"/>
        <v>#REF!</v>
      </c>
      <c r="L2241" s="2349">
        <f t="shared" si="509"/>
        <v>0</v>
      </c>
      <c r="M2241" s="2349">
        <f t="shared" si="509"/>
        <v>0</v>
      </c>
    </row>
    <row r="2242" spans="2:13" x14ac:dyDescent="0.2">
      <c r="B2242" s="2441"/>
      <c r="C2242" s="2349"/>
      <c r="D2242" s="2349"/>
      <c r="E2242" s="2349"/>
      <c r="K2242" s="2333">
        <f t="shared" si="499"/>
        <v>0</v>
      </c>
      <c r="L2242" s="2349"/>
      <c r="M2242" s="2349"/>
    </row>
    <row r="2243" spans="2:13" ht="13.5" thickBot="1" x14ac:dyDescent="0.25">
      <c r="B2243" s="2441" t="s">
        <v>7271</v>
      </c>
      <c r="C2243" s="2454">
        <f>C98+C162+C503+C624+C809+C823+C945+C1058+C1106+C1172+C1230+C1267+C1330+C1394+C1423+C1541+C1593+C1683+C1787+C1878+C1995+C2095+C217+C279+C336+C398+C553+C700+C870+C1017+C1477+C2138</f>
        <v>-6423353.7599999998</v>
      </c>
      <c r="D2243" s="2454">
        <f>D98+D162+D503+D624+D809+D823+D945+D1058+D1106+D1172+D1230+D1267+D1330+D1394+D1423+D1541+D1593+D1683+D1787+D1878+D1995+D2095+D217+D279+D336+D398+D553+D700+D870+D1017+D1477+D2138</f>
        <v>3230230</v>
      </c>
      <c r="E2243" s="2454">
        <f>E98+E162+E503+E624+E809+E823+E945+E1058+E1106+E1172+E1230+E1267+E1330+E1394+E1423+E1541+E1593+E1683+E1787+E1878+E1995+E2095+E217+E279+E336+E398+E553+E700+E870+E1017+E1477+E2138</f>
        <v>3443099</v>
      </c>
      <c r="F2243" s="2454">
        <f>F98+F162+F503+F624+F809+F823+F945+F1058+F1106+F1172+F1230+F1267+F1330+F1394+F1423+F1541+F1593+F1683+F1787+F1878+F1995+F2095+F217+F279+F336+F398+F553+F700+F870+F1017+F1477+F2138</f>
        <v>-7425514.7566666659</v>
      </c>
      <c r="G2243" s="2454">
        <f>G98+G162+G503+G624+G809+G823+G945+G1058+G1106+G1172+G1230+G1267+G1330+G1394+G1423+G1541+G1593+G1683+G1787+G1878+G1995+G2095+G217+G279+G336+G398+G553+G700+G870+G1017+G1477+G2138</f>
        <v>6915189.4600000009</v>
      </c>
      <c r="H2243" s="2454"/>
      <c r="I2243" s="2454">
        <f>I98+I162+I503+I624+I809+I823+I945+I1058+I1106+I1172+I1230+I1267+I1330+I1394+I1423+I1541+I1593+I1683+I1787+I1878+I1995+I2095+I217+I279+I336+I398+I553+I700+I870+I1017+I1477+I2138</f>
        <v>-15097771.289999999</v>
      </c>
      <c r="J2243" s="2454" t="e">
        <f>J98+J162+J503+J624+J809+J823+J945+J1058+J1106+J1172+J1230+J1267+J1330+J1394+J1423+J1541+J1593+J1683+J1787+J1878+J1995+J2095+J217+J279+J336+J398+J553+J700+J870+J1017+J1477+J2138+1828923-200000</f>
        <v>#REF!</v>
      </c>
      <c r="K2243" s="2333" t="e">
        <f t="shared" si="499"/>
        <v>#REF!</v>
      </c>
      <c r="L2243" s="2454">
        <f>L98+L162+L503+L624+L809+L823+L945+L1058+L1106+L1172+L1230+L1267+L1330+L1394+L1423+L1541+L1593+L1683+L1787+L1878+L1995+L2095+L217+L279+L336+L398+L553+L700+L870+L1017+L1477+L2138</f>
        <v>-4871592</v>
      </c>
      <c r="M2243" s="2454">
        <f>M98+M162+M503+M624+M809+M823+M945+M1058+M1106+M1172+M1230+M1267+M1330+M1394+M1423+M1541+M1593+M1683+M1787+M1878+M1995+M2095+M217+M279+M336+M398+M553+M700+M870+M1017+M1477+M2138</f>
        <v>-873215</v>
      </c>
    </row>
    <row r="2244" spans="2:13" ht="13.5" thickTop="1" x14ac:dyDescent="0.2">
      <c r="B2244" s="2441"/>
      <c r="C2244" s="2356">
        <f t="shared" ref="C2244:M2244" si="510">+C2221</f>
        <v>-6423353.7599999979</v>
      </c>
      <c r="D2244" s="2356">
        <f t="shared" si="510"/>
        <v>3230230</v>
      </c>
      <c r="E2244" s="2356">
        <f t="shared" si="510"/>
        <v>3443099</v>
      </c>
      <c r="F2244" s="2356">
        <f t="shared" si="510"/>
        <v>-7425514.7566666678</v>
      </c>
      <c r="G2244" s="2356">
        <f t="shared" si="510"/>
        <v>6915189.4600000009</v>
      </c>
      <c r="H2244" s="2356"/>
      <c r="I2244" s="2356">
        <f t="shared" si="510"/>
        <v>-15097771.289999992</v>
      </c>
      <c r="J2244" s="2356">
        <f>+J2221</f>
        <v>0.34000000357627869</v>
      </c>
      <c r="K2244" s="2333">
        <f t="shared" si="499"/>
        <v>0.34000000357627869</v>
      </c>
      <c r="L2244" s="2356">
        <f t="shared" si="510"/>
        <v>-4871592</v>
      </c>
      <c r="M2244" s="2356">
        <f t="shared" si="510"/>
        <v>-873215</v>
      </c>
    </row>
    <row r="2245" spans="2:13" x14ac:dyDescent="0.2">
      <c r="B2245" s="2441"/>
      <c r="C2245" s="2356">
        <f t="shared" ref="C2245:M2245" si="511">+C2243-C2244</f>
        <v>0</v>
      </c>
      <c r="D2245" s="2356">
        <f t="shared" si="511"/>
        <v>0</v>
      </c>
      <c r="E2245" s="2356">
        <f t="shared" si="511"/>
        <v>0</v>
      </c>
      <c r="F2245" s="2356">
        <f t="shared" si="511"/>
        <v>0</v>
      </c>
      <c r="G2245" s="2356">
        <f t="shared" si="511"/>
        <v>0</v>
      </c>
      <c r="H2245" s="2356"/>
      <c r="I2245" s="2356">
        <f t="shared" si="511"/>
        <v>0</v>
      </c>
      <c r="J2245" s="2356" t="e">
        <f>+J2243-J2244</f>
        <v>#REF!</v>
      </c>
      <c r="K2245" s="2333" t="e">
        <f t="shared" si="499"/>
        <v>#REF!</v>
      </c>
      <c r="L2245" s="2356">
        <f t="shared" si="511"/>
        <v>0</v>
      </c>
      <c r="M2245" s="2356">
        <f t="shared" si="511"/>
        <v>0</v>
      </c>
    </row>
    <row r="2246" spans="2:13" x14ac:dyDescent="0.2">
      <c r="K2246" s="2333">
        <f t="shared" si="499"/>
        <v>0</v>
      </c>
    </row>
    <row r="2247" spans="2:13" x14ac:dyDescent="0.2">
      <c r="K2247" s="2333">
        <f t="shared" si="499"/>
        <v>0</v>
      </c>
    </row>
    <row r="2248" spans="2:13" x14ac:dyDescent="0.2">
      <c r="K2248" s="2333">
        <f t="shared" si="499"/>
        <v>0</v>
      </c>
    </row>
    <row r="2249" spans="2:13" x14ac:dyDescent="0.2">
      <c r="K2249" s="2333">
        <f t="shared" si="499"/>
        <v>0</v>
      </c>
    </row>
    <row r="2250" spans="2:13" x14ac:dyDescent="0.2">
      <c r="B2250" s="2308" t="s">
        <v>6943</v>
      </c>
      <c r="C2250" s="2455">
        <f>+C40+C127+C192+C247+C309+C368+C435+C512+C632+C831+C893+C964+C1034+C1067+C1133+C1189+C1289+C1347+C1440+C1495+C1556+C1616+C1715+C1814+C1915+C2033+C2112</f>
        <v>12520408</v>
      </c>
      <c r="D2250" s="2455">
        <f>+D40+D127+D192+D247+D309+D368+D435+D512+D632+D831+D893+D964+D1034+D1067+D1133+D1189+D1289+D1347+D1440+D1495+D1556+D1616+D1715+D1814+D1915+D2033+D2112</f>
        <v>14401420</v>
      </c>
      <c r="E2250" s="2455">
        <f>+E40+E127+E192+E247+E309+E368+E435+E512+E632+E831+E893+E964+E1034+E1067+E1133+E1189+E1289+E1347+E1440+E1495+E1556+E1616+E1715+E1814+E1915+E2033+E2112</f>
        <v>13959976</v>
      </c>
      <c r="F2250" s="2455">
        <f>+F40+F127+F192+F247+F309+F368+F435+F512+F632+F831+F893+F964+F1034+F1067+F1133+F1189+F1289+F1347+F1440+F1495+F1556+F1616+F1715+F1814+F1915+F2033+F2112</f>
        <v>11649554</v>
      </c>
      <c r="G2250" s="2455">
        <f>+G40+G127+G192+G247+G309+G368+G435+G512+G632+G831+G893+G964+G1034+G1067+G1133+G1189+G1289+G1347+G1440+G1495+G1556+G1616+G1715+G1814+G1915+G2033+G2112</f>
        <v>13979464.799999999</v>
      </c>
      <c r="H2250" s="2455"/>
      <c r="I2250" s="2455">
        <f>+I40+I127+I192+I247+I309+I368+I435+I512+I632+I831+I893+I964+I1034+I1067+I1133+I1189+I1289+I1347+I1440+I1495+I1556+I1616+I1715+I1814+I1915+I2033+I2112</f>
        <v>20103952</v>
      </c>
      <c r="J2250" s="2455">
        <f>+J40+J127+J192+J247+J309+J368+J435+J512+J632+J831+J893+J964+J1034+J1067+J1133+J1189+J1289+J1347+J1440+J1495+J1556+J1616+J1715+J1814+J1915+J2033+J2112</f>
        <v>21561635.210000001</v>
      </c>
      <c r="K2250" s="2333">
        <f t="shared" si="499"/>
        <v>21561635.210000001</v>
      </c>
      <c r="L2250" s="2455">
        <f>+L40+L127+L192+L247+L309+L368+L435+L512+L632+L831+L893+L964+L1034+L1067+L1133+L1189+L1289+L1347+L1440+L1495+L1556+L1616+L1715+L1814+L1915+L2033+L2112</f>
        <v>21712270</v>
      </c>
      <c r="M2250" s="2455">
        <f>+M40+M127+M192+M247+M309+M368+M435+M512+M632+M831+M893+M964+M1034+M1067+M1133+M1189+M1289+M1347+M1440+M1495+M1556+M1616+M1715+M1814+M1915+M2033+M2112</f>
        <v>23449253</v>
      </c>
    </row>
    <row r="2251" spans="2:13" x14ac:dyDescent="0.2">
      <c r="B2251" s="2308" t="s">
        <v>6946</v>
      </c>
      <c r="C2251" s="2455">
        <f>+C46+C132+C197+C252+C314+C373+C440+C6466+C517+C637+C836+C898+C969+C1039+C1072+C1138+C1194+C1294+C1352+C1449+C1500+C1561+C1621+C1720+C1819+C1920+C2038+C2116</f>
        <v>1064788</v>
      </c>
      <c r="D2251" s="2455">
        <f>+D46+D132+D197+D252+D314+D373+D440+D6463+D517+D637+D836+D898+D969+D1039+D1072+D1138+D1194+D1294+D1352+D1449+D1500+D1561+D1621+D1720+D1819+D1920+D2038+D2116</f>
        <v>1189599</v>
      </c>
      <c r="E2251" s="2455">
        <f>+E46+E132+E197+E252+E314+E373+E440+E6463+E517+E637+E836+E898+E969+E1039+E1072+E1138+E1194+E1294+E1352+E1449+E1500+E1561+E1621+E1720+E1819+E1920+E2038+E2116</f>
        <v>1190677</v>
      </c>
      <c r="F2251" s="2455">
        <f>+F46+F132+F197+F252+F314+F373+F440+F6463+F517+F637+F836+F898+F969+F1039+F1072+F1138+F1194+F1294+F1352+F1449+F1500+F1561+F1621+F1720+F1819+F1920+F2038+F2116</f>
        <v>976681</v>
      </c>
      <c r="G2251" s="2455">
        <f>+G46+G132+G197+G252+G314+G373+G440+G6463+G517+G637+G836+G898+G969+G1039+G1072+G1138+G1194+G1294+G1352+G1449+G1500+G1561+G1621+G1720+G1819+G1920+G2038+G2116</f>
        <v>1172017.2000000002</v>
      </c>
      <c r="H2251" s="2455"/>
      <c r="I2251" s="2455">
        <f>+I46+I132+I197+I252+I314+I373+I440+I6463+I517+I637+I836+I898+I969+I1039+I1072+I1138+I1194+I1294+I1352+I1449+I1500+I1561+I1621+I1720+I1819+I1920+I2038+I2116</f>
        <v>1675331</v>
      </c>
      <c r="J2251" s="2455">
        <f>+J46+J132+J197+J252+J314+J373+J440+J6463+J517+J637+J836+J898+J969+J1039+J1072+J1138+J1194+J1294+J1352+J1449+J1500+J1561+J1621+J1720+J1819+J1920+J2038+J2116</f>
        <v>1413423.34</v>
      </c>
      <c r="K2251" s="2333">
        <f t="shared" si="499"/>
        <v>1413423.34</v>
      </c>
      <c r="L2251" s="2455">
        <f>+L46+L132+L197+L252+L314+L373+L440+L6463+L517+L637+L836+L898+L969+L1039+L1072+L1138+L1194+L1294+L1352+L1449+L1500+L1561+L1621+L1720+L1819+L1920+L2038+L2116</f>
        <v>1809358</v>
      </c>
      <c r="M2251" s="2455">
        <f>+M46+M132+M197+M252+M314+M373+M440+M6463+M517+M637+M836+M898+M969+M1039+M1072+M1138+M1194+M1294+M1352+M1449+M1500+M1561+M1621+M1720+M1819+M1920+M2038+M2116</f>
        <v>1954105</v>
      </c>
    </row>
    <row r="2252" spans="2:13" x14ac:dyDescent="0.2">
      <c r="B2252" s="2308" t="s">
        <v>6410</v>
      </c>
      <c r="C2252" s="2455">
        <f>+C44+C130+C195+C250+C312+C371+C438+C515+C635+C834+C896+C967+C1037+C1070+C1136+C1192+C1292+C1350+C1443+C1498+C1559+C1619+C1718+C1817+C1918+C2036+C2114</f>
        <v>140843</v>
      </c>
      <c r="D2252" s="2455">
        <f>+D44+D130+D195+D250+D312+D371+D438+D515+D635+D834+D896+D967+D1037+D1070+D1136+D1192+D1292+D1350+D1443+D1498+D1559+D1619+D1718+D1817+D1918+D2036+D2114</f>
        <v>251654</v>
      </c>
      <c r="E2252" s="2455">
        <f>+E44+E130+E195+E250+E312+E371+E438+E515+E635+E834+E896+E967+E1037+E1070+E1136+E1192+E1292+E1350+E1443+E1498+E1559+E1619+E1718+E1817+E1918+E2036+E2114</f>
        <v>252220</v>
      </c>
      <c r="F2252" s="2455">
        <f>+F44+F130+F195+F250+F312+F371+F438+F515+F635+F834+F896+F967+F1037+F1070+F1136+F1192+F1292+F1350+F1443+F1498+F1559+F1619+F1718+F1817+F1918+F2036+F2114</f>
        <v>131377</v>
      </c>
      <c r="G2252" s="2455">
        <f>+G44+G130+G195+G250+G312+G371+G438+G515+G635+G834+G896+G967+G1037+G1070+G1136+G1192+G1292+G1350+G1443+G1498+G1559+G1619+G1718+G1817+G1918+G2036+G2114</f>
        <v>157652.39999999997</v>
      </c>
      <c r="H2252" s="2455"/>
      <c r="I2252" s="2455">
        <f>+I44+I130+I195+I250+I312+I371+I438+I515+I635+I834+I896+I967+I1037+I1070+I1136+I1192+I1292+I1350+I1443+I1498+I1559+I1619+I1718+I1817+I1918+I2036+I2114</f>
        <v>336625</v>
      </c>
      <c r="J2252" s="2455">
        <f>+J44+J130+J195+J250+J312+J371+J438+J515+J635+J834+J896+J967+J1037+J1070+J1136+J1192+J1292+J1350+J1443+J1498+J1559+J1619+J1718+J1817+J1918+J2036+J2114</f>
        <v>238976.57</v>
      </c>
      <c r="K2252" s="2333">
        <f t="shared" si="499"/>
        <v>238976.57</v>
      </c>
      <c r="L2252" s="2455">
        <f>+L44+L130+L195+L250+L312+L371+L438+L515+L635+L834+L896+L967+L1037+L1070+L1136+L1192+L1292+L1350+L1443+L1498+L1559+L1619+L1718+L1817+L1918+L2036+L2114</f>
        <v>363556</v>
      </c>
      <c r="M2252" s="2455">
        <f>+M44+M130+M195+M250+M312+M371+M438+M515+M635+M834+M896+M967+M1037+M1070+M1136+M1192+M1292+M1350+M1443+M1498+M1559+M1619+M1718+M1817+M1918+M2036+M2114</f>
        <v>392644</v>
      </c>
    </row>
    <row r="2253" spans="2:13" x14ac:dyDescent="0.2">
      <c r="B2253" s="2308" t="s">
        <v>6950</v>
      </c>
      <c r="C2253" s="2455">
        <f>+C51+C137+C202+C257+C319+C378+C445+C522+C642+C840+C903+C974+C1044+C1079+C1142+C1199+C1299+C1357+C1451+C1505+C1567+C1626+C1724+C1824+C1926+C2044+C2118</f>
        <v>161248</v>
      </c>
      <c r="D2253" s="2455">
        <f>+D51+D137+D202+D257+D319+D378+D445+D522+D642+D840+D903+D974+D1044+D1079+D1142+D1199+D1299+D1357+D1451+D1505+D1567+D1626+D1724+D1824+D1926+D2044+D2118</f>
        <v>297209</v>
      </c>
      <c r="E2253" s="2455">
        <f>+E51+E137+E202+E257+E319+E378+E445+E522+E642+E840+E903+E974+E1044+E1079+E1142+E1199+E1299+E1357+E1451+E1505+E1567+E1626+E1724+E1824+E1926+E2044+E2118</f>
        <v>297209</v>
      </c>
      <c r="F2253" s="2455">
        <f>+F51+F137+F202+F257+F319+F378+F445+F522+F642+F840+F903+F974+F1044+F1079+F1142+F1199+F1299+F1357+F1451+F1505+F1567+F1626+F1724+F1824+F1926+F2044+F2118</f>
        <v>70462</v>
      </c>
      <c r="G2253" s="2455">
        <f>+G51+G137+G202+G257+G319+G378+G445+G522+G642+G840+G903+G974+G1044+G1079+G1142+G1199+G1299+G1357+G1451+G1505+G1567+G1626+G1724+G1824+G1926+G2044+G2118</f>
        <v>84554.4</v>
      </c>
      <c r="H2253" s="2455"/>
      <c r="I2253" s="2455">
        <f>+I51+I137+I202+I257+I319+I378+I445+I522+I642+I840+I903+I974+I1044+I1079+I1142+I1199+I1299+I1357+I1451+I1505+I1567+I1626+I1724+I1824+I1926+I2044+I2118</f>
        <v>410796</v>
      </c>
      <c r="J2253" s="2455">
        <f>+J51+J137+J202+J257+J319+J378+J445+J522+J642+J840+J903+J974+J1044+J1079+J1142+J1199+J1299+J1357+J1451+J1505+J1567+J1626+J1724+J1824+J1926+J2044+J2118</f>
        <v>254748.43000000002</v>
      </c>
      <c r="K2253" s="2333">
        <f t="shared" si="499"/>
        <v>254748.43000000002</v>
      </c>
      <c r="L2253" s="2455">
        <f>+L51+L137+L202+L257+L319+L378+L445+L522+L642+L840+L903+L974+L1044+L1079+L1142+L1199+L1299+L1357+L1451+L1505+L1567+L1626+L1724+L1824+L1926+L2044+L2118</f>
        <v>443661</v>
      </c>
      <c r="M2253" s="2455">
        <f>+M51+M137+M202+M257+M319+M378+M445+M522+M642+M840+M903+M974+M1044+M1079+M1142+M1199+M1299+M1357+M1451+M1505+M1567+M1626+M1724+M1824+M1926+M2044+M2118</f>
        <v>479157</v>
      </c>
    </row>
    <row r="2254" spans="2:13" x14ac:dyDescent="0.2">
      <c r="B2254" s="2308" t="s">
        <v>6408</v>
      </c>
      <c r="C2254" s="2455">
        <f>+C45+C131+C196+C251+C313+C372+C439+C516+C636+C835+C897+C968+C1038+C1071+C1137+C1193+C1293+C1351+C1444+C1499+C1560+C1620+C1719+C1818+C1919+C2037+C2115</f>
        <v>8776</v>
      </c>
      <c r="D2254" s="2455">
        <f>+D45+D131+D196+D251+D313+D372+D439+D516+D636+D835+D897+D968+D1038+D1071+D1137+D1193+D1293+D1351+D1444+D1499+D1560+D1620+D1719+D1818+D1919+D2037+D2115</f>
        <v>8027</v>
      </c>
      <c r="E2254" s="2455">
        <f>+E45+E131+E196+E251+E313+E372+E439+E516+E636+E835+E897+E968+E1038+E1071+E1137+E1193+E1293+E1351+E1444+E1499+E1560+E1620+E1719+E1818+E1919+E2037+E2115</f>
        <v>8271</v>
      </c>
      <c r="F2254" s="2455">
        <f>+F45+F131+F196+F251+F313+F372+F439+F516+F636+F835+F897+F968+F1038+F1071+F1137+F1193+F1293+F1351+F1444+F1499+F1560+F1620+F1719+F1818+F1919+F2037+F2115</f>
        <v>7604</v>
      </c>
      <c r="G2254" s="2455">
        <f>+G45+G131+G196+G251+G313+G372+G439+G516+G636+G835+G897+G968+G1038+G1071+G1137+G1193+G1293+G1351+G1444+G1499+G1560+G1620+G1719+G1818+G1919+G2037+G2115</f>
        <v>9124.7999999999993</v>
      </c>
      <c r="H2254" s="2455"/>
      <c r="I2254" s="2455">
        <f>+I45+I131+I196+I251+I313+I372+I439+I516+I636+I835+I897+I968+I1038+I1071+I1137+I1193+I1293+I1351+I1444+I1499+I1560+I1620+I1719+I1818+I1919+I2037+I2115</f>
        <v>11070</v>
      </c>
      <c r="J2254" s="2455">
        <f>+J45+J131+J196+J251+J313+J372+J439+J516+J636+J835+J897+J968+J1038+J1071+J1137+J1193+J1293+J1351+J1444+J1499+J1560+J1620+J1719+J1818+J1919+J2037+J2115</f>
        <v>13506.86</v>
      </c>
      <c r="K2254" s="2333">
        <f t="shared" si="499"/>
        <v>13506.86</v>
      </c>
      <c r="L2254" s="2455">
        <f>+L45+L131+L196+L251+L313+L372+L439+L516+L636+L835+L897+L968+L1038+L1071+L1137+L1193+L1293+L1351+L1444+L1499+L1560+L1620+L1719+L1818+L1919+L2037+L2115</f>
        <v>11958</v>
      </c>
      <c r="M2254" s="2455">
        <f>+M45+M131+M196+M251+M313+M372+M439+M516+M636+M835+M897+M968+M1038+M1071+M1137+M1193+M1293+M1351+M1444+M1499+M1560+M1620+M1719+M1818+M1919+M2037+M2115</f>
        <v>12915</v>
      </c>
    </row>
    <row r="2255" spans="2:13" x14ac:dyDescent="0.2">
      <c r="B2255" s="2308" t="s">
        <v>6952</v>
      </c>
      <c r="C2255" s="2455">
        <f>+C53+C139+C204+C259+C321+C380+C448+C524+C644+C842+C906+C976+C1046+C1078+C1144+C1200+C1246+C1301+C1359+C1452+C1508+C1568+C1629+C1727+C1826+C1927+C2045+C2119</f>
        <v>149911</v>
      </c>
      <c r="D2255" s="2455">
        <f>+D53+D139+D204+D259+D321+D380+D448+D524+D644+D842+D906+D976+D1046+D1078+D1144+D1200+D1246+D1301+D1359+D1452+D1508+D1568+D1629+D1727+D1826+D1927+D2045+D2119</f>
        <v>277271</v>
      </c>
      <c r="E2255" s="2455">
        <f>+E53+E139+E204+E259+E321+E380+E448+E524+E644+E842+E906+E976+E1046+E1078+E1144+E1200+E1246+E1301+E1359+E1452+E1508+E1568+E1629+E1727+E1826+E1927+E2045+E2119</f>
        <v>277271</v>
      </c>
      <c r="F2255" s="2455">
        <f>+F53+F139+F204+F259+F321+F380+F448+F524+F644+F842+F906+F976+F1046+F1078+F1144+F1200+F1246+F1301+F1359+F1452+F1508+F1568+F1629+F1727+F1826+F1927+F2045+F2119</f>
        <v>0</v>
      </c>
      <c r="G2255" s="2455">
        <f>+G53+G139+G204+G259+G321+G380+G448+G524+G644+G842+G906+G976+G1046+G1078+G1144+G1200+G1246+G1301+G1359+G1452+G1508+G1568+G1629+G1727+G1826+G1927+G2045+G2119</f>
        <v>0</v>
      </c>
      <c r="H2255" s="2455"/>
      <c r="I2255" s="2455">
        <f>+I53+I139+I204+I259+I321+I380+I448+I524+I644+I842+I906+I976+I1046+I1078+I1144+I1200+I1246+I1301+I1359+I1452+I1508+I1568+I1629+I1727+I1826+I1927+I2045+I2119</f>
        <v>382043</v>
      </c>
      <c r="J2255" s="2455">
        <f>+J53+J139+J204+J259+J321+J380+J448+J524+J644+J842+J906+J976+J1046+J1078+J1144+J1200+J1246+J1301+J1359+J1452+J1508+J1568+J1629+J1727+J1826+J1927+J2045+J2119</f>
        <v>128918.11</v>
      </c>
      <c r="K2255" s="2333">
        <f t="shared" si="499"/>
        <v>128918.11</v>
      </c>
      <c r="L2255" s="2455">
        <f>+L53+L139+L204+L259+L321+L380+L448+L524+L644+L842+L906+L976+L1046+L1078+L1144+L1200+L1246+L1301+L1359+L1452+L1508+L1568+L1629+L1727+L1826+L1927+L2045+L2119</f>
        <v>412607</v>
      </c>
      <c r="M2255" s="2455">
        <f>+M53+M139+M204+M259+M321+M380+M448+M524+M644+M842+M906+M976+M1046+M1078+M1144+M1200+M1246+M1301+M1359+M1452+M1508+M1568+M1629+M1727+M1826+M1927+M2045+M2119</f>
        <v>445615</v>
      </c>
    </row>
    <row r="2256" spans="2:13" x14ac:dyDescent="0.2">
      <c r="B2256" s="2308" t="s">
        <v>7272</v>
      </c>
      <c r="C2256" s="2455">
        <f>+C43+C129+C194+C249+C311+C370+C437+C514+C634+C833+C895+C966+C1036+C1069+C1135+C1191+C1291+C1349+C1442+C1497+C1558+C1618+C1717+C1816+C1917+C2035+C2113</f>
        <v>2225298</v>
      </c>
      <c r="D2256" s="2455">
        <f>+D43+D129+D194+D249+D311+D370+D437+D514+D634+D833+D895+D966+D1036+D1069+D1135+D1191+D1291+D1349+D1442+D1497+D1558+D1618+D1717+D1816+D1917+D2035+D2113</f>
        <v>1424724</v>
      </c>
      <c r="E2256" s="2455">
        <f>+E43+E129+E194+E249+E311+E370+E437+E514+E634+E833+E895+E966+E1036+E1069+E1135+E1191+E1291+E1349+E1442+E1497+E1558+E1618+E1717+E1816+E1917+E2035+E2113</f>
        <v>1650670</v>
      </c>
      <c r="F2256" s="2455">
        <f>+F43+F129+F194+F249+F311+F370+F437+F514+F634+F833+F895+F966+F1036+F1069+F1135+F1191+F1291+F1349+F1442+F1497+F1558+F1618+F1717+F1816+F1917+F2035+F2113</f>
        <v>2077512</v>
      </c>
      <c r="G2256" s="2455">
        <f>+G43+G129+G194+G249+G311+G370+G437+G514+G634+G833+G895+G966+G1036+G1069+G1135+G1191+G1291+G1349+G1442+G1497+G1558+G1618+G1717+G1816+G1917+G2035+G2113</f>
        <v>2493014.4</v>
      </c>
      <c r="H2256" s="2455"/>
      <c r="I2256" s="2455">
        <f>+I43+I129+I194+I249+I311+I370+I437+I514+I634+I833+I895+I966+I1036+I1069+I1135+I1191+I1291+I1349+I1442+I1497+I1558+I1618+I1717+I1816+I1917+I2035+I2113</f>
        <v>3318100</v>
      </c>
      <c r="J2256" s="2455">
        <f>+J43+J129+J194+J249+J311+J370+J437+J514+J634+J833+J895+J966+J1036+J1069+J1135+J1191+J1291+J1349+J1442+J1497+J1558+J1618+J1717+J1816+J1917+J2035+J2113</f>
        <v>3508239.5</v>
      </c>
      <c r="K2256" s="2333">
        <f t="shared" si="499"/>
        <v>3508239.5</v>
      </c>
      <c r="L2256" s="2455">
        <f>+L43+L129+L194+L249+L311+L370+L437+L514+L634+L833+L895+L966+L1036+L1069+L1135+L1191+L1291+L1349+L1442+L1497+L1558+L1618+L1717+L1816+L1917+L2035+L2113</f>
        <v>3583546</v>
      </c>
      <c r="M2256" s="2455">
        <f>+M43+M129+M194+M249+M311+M370+M437+M514+M634+M833+M895+M966+M1036+M1069+M1135+M1191+M1291+M1349+M1442+M1497+M1558+M1618+M1717+M1816+M1917+M2035+M2113</f>
        <v>3870231</v>
      </c>
    </row>
    <row r="2257" spans="2:13" x14ac:dyDescent="0.2">
      <c r="B2257" s="2308" t="s">
        <v>7273</v>
      </c>
      <c r="C2257" s="2455">
        <f>+C42+C128+C193+C248+C310+C369+C436+C513+C633+C832+C894+C965+C1035+C1068+C1134+C1190+C1290+C1348+C1441+C1496+C1557+C1617+C1716+C1815+C1916+C2034</f>
        <v>781088</v>
      </c>
      <c r="D2257" s="2455">
        <f>+D42+D128+D193+D248+D310+D369+D436+D513+D633+D832+D894+D965+D1035+D1068+D1134+D1190+D1290+D1348+D1441+D1496+D1557+D1617+D1716+D1815+D1916+D2034</f>
        <v>548343</v>
      </c>
      <c r="E2257" s="2455">
        <f>+E42+E128+E193+E248+E310+E369+E436+E513+E633+E832+E894+E965+E1035+E1068+E1134+E1190+E1290+E1348+E1441+E1496+E1557+E1617+E1716+E1815+E1916+E2034</f>
        <v>726550</v>
      </c>
      <c r="F2257" s="2455">
        <f>+F42+F128+F193+F248+F310+F369+F436+F513+F633+F832+F894+F965+F1035+F1068+F1134+F1190+F1290+F1348+F1441+F1496+F1557+F1617+F1716+F1815+F1916+F2034</f>
        <v>801772</v>
      </c>
      <c r="G2257" s="2455">
        <f>+G42+G128+G193+G248+G310+G369+G436+G513+G633+G832+G894+G965+G1035+G1068+G1134+G1190+G1290+G1348+G1441+G1496+G1557+G1617+G1716+G1815+G1916+G2034</f>
        <v>962126.4</v>
      </c>
      <c r="H2257" s="2455"/>
      <c r="I2257" s="2455">
        <f>+I42+I128+I193+I248+I310+I369+I436+I513+I633+I832+I894+I965+I1035+I1068+I1134+I1190+I1290+I1348+I1441+I1496+I1557+I1617+I1716+I1815+I1916+I2034</f>
        <v>1061346</v>
      </c>
      <c r="J2257" s="2455">
        <f>+J42+J128+J193+J248+J310+J369+J436+J513+J633+J832+J894+J965+J1035+J1068+J1134+J1190+J1290+J1348+J1441+J1496+J1557+J1617+J1716+J1815+J1916+J2034</f>
        <v>1339941.6000000003</v>
      </c>
      <c r="K2257" s="2333">
        <f t="shared" si="499"/>
        <v>1339941.6000000003</v>
      </c>
      <c r="L2257" s="2455">
        <f>+L42+L128+L193+L248+L310+L369+L436+L513+L633+L832+L894+L965+L1035+L1068+L1134+L1190+L1290+L1348+L1441+L1496+L1557+L1617+L1716+L1815+L1916+L2034</f>
        <v>1146256</v>
      </c>
      <c r="M2257" s="2455">
        <f>+M42+M128+M193+M248+M310+M369+M436+M513+M633+M832+M894+M965+M1035+M1068+M1134+M1190+M1290+M1348+M1441+M1496+M1557+M1617+M1716+M1815+M1916+M2034</f>
        <v>1237957</v>
      </c>
    </row>
    <row r="2258" spans="2:13" x14ac:dyDescent="0.2">
      <c r="B2258" s="2308" t="s">
        <v>7274</v>
      </c>
      <c r="C2258" s="2455">
        <f>+C48+C134+C199+C254+C316+C375+C442+C519+C639+C900+C971+C1041+C1074+C1296+C1354+C1447+C1502+C1564+C1623+C1821+C1922+C2040</f>
        <v>66590</v>
      </c>
      <c r="D2258" s="2455">
        <f>+D48+D134+D199+D254+D316+D375+D442+D519+D639+D900+D971+D1041+D1074+D1296+D1354+D1447+D1502+D1564+D1623+D1821+D1922+D2040</f>
        <v>53826</v>
      </c>
      <c r="E2258" s="2455">
        <f>+E48+E134+E199+E254+E316+E375+E442+E519+E639+E900+E971+E1041+E1074+E1296+E1354+E1447+E1502+E1564+E1623+E1821+E1922+E2040</f>
        <v>59996</v>
      </c>
      <c r="F2258" s="2455">
        <f>+F48+F134+F199+F254+F316+F375+F442+F519+F639+F900+F971+F1041+F1074+F1296+F1354+F1447+F1502+F1564+F1623+F1821+F1922+F2040</f>
        <v>41129</v>
      </c>
      <c r="G2258" s="2455">
        <f>+G48+G134+G199+G254+G316+G375+G442+G519+G639+G900+G971+G1041+G1074+G1296+G1354+G1447+G1502+G1564+G1623+G1821+G1922+G2040</f>
        <v>49354.8</v>
      </c>
      <c r="H2258" s="2455"/>
      <c r="I2258" s="2455">
        <f>+I48+I134+I199+I254+I316+I375+I442+I519+I639+I900+I971+I1041+I1074+I1296+I1354+I1447+I1502+I1564+I1623+I1821+I1922+I2040</f>
        <v>44371</v>
      </c>
      <c r="J2258" s="2455">
        <f>+J48+J134+J199+J254+J316+J375+J442+J519+J639+J900+J971+J1041+J1074+J1296+J1354+J1447+J1502+J1564+J1623+J1821+J1922+J2040</f>
        <v>56631.090000000011</v>
      </c>
      <c r="K2258" s="2333">
        <f t="shared" si="499"/>
        <v>56631.090000000011</v>
      </c>
      <c r="L2258" s="2455">
        <f>+L48+L134+L199+L254+L316+L375+L442+L519+L639+L900+L971+L1041+L1074+L1296+L1354+L1447+L1502+L1564+L1623+L1821+L1922+L2040</f>
        <v>47920</v>
      </c>
      <c r="M2258" s="2455">
        <f>+M48+M134+M199+M254+M316+M375+M442+M519+M639+M900+M971+M1041+M1074+M1296+M1354+M1447+M1502+M1564+M1623+M1821+M1922+M2040</f>
        <v>51753</v>
      </c>
    </row>
    <row r="2259" spans="2:13" x14ac:dyDescent="0.2">
      <c r="B2259" s="2308" t="s">
        <v>7275</v>
      </c>
      <c r="C2259" s="2455">
        <f>+C50+C136+C201+C256+C318+C377+C444+C521+C641+C839+C902+C973+C1043+C1076+C1141+C1197+C1298+C1356+C1446+C1504+C1563+C1625+C1723+C1823+C1924+C2042</f>
        <v>9300</v>
      </c>
      <c r="D2259" s="2455">
        <f>+D50+D136+D201+D256+D318+D377+D444+D521+D641+D839+D902+D973+D1043+D1076+D1141+D1197+D1298+D1356+D1446+D1504+D1563+D1625+D1723+D1823+D1924+D2042</f>
        <v>238743</v>
      </c>
      <c r="E2259" s="2455">
        <f>+E50+E136+E201+E256+E318+E377+E444+E521+E641+E839+E902+E973+E1043+E1076+E1141+E1197+E1298+E1356+E1446+E1504+E1563+E1625+E1723+E1823+E1924+E2042</f>
        <v>257618</v>
      </c>
      <c r="F2259" s="2455">
        <f>+F50+F136+F201+F256+F318+F377+F444+F521+F641+F839+F902+F973+F1043+F1076+F1141+F1197+F1298+F1356+F1446+F1504+F1563+F1625+F1723+F1823+F1924+F2042</f>
        <v>241204</v>
      </c>
      <c r="G2259" s="2455">
        <f>+G50+G136+G201+G256+G318+G377+G444+G521+G641+G839+G902+G973+G1043+G1076+G1141+G1197+G1298+G1356+G1446+G1504+G1563+G1625+G1723+G1823+G1924+G2042</f>
        <v>289444.80000000005</v>
      </c>
      <c r="H2259" s="2455"/>
      <c r="I2259" s="2455">
        <f>+I50+I136+I201+I256+I318+I377+I444+I521+I641+I839+I902+I973+I1043+I1076+I1141+I1197+I1298+I1356+I1446+I1504+I1563+I1625+I1723+I1823+I1924+I2042</f>
        <v>902245</v>
      </c>
      <c r="J2259" s="2455">
        <f>+J50+J136+J201+J256+J318+J377+J444+J521+J641+J839+J902+J973+J1043+J1076+J1141+J1197+J1298+J1356+J1446+J1504+J1563+J1625+J1723+J1823+J1924+J2042</f>
        <v>204870.46999999997</v>
      </c>
      <c r="K2259" s="2333">
        <f t="shared" si="499"/>
        <v>204870.46999999997</v>
      </c>
      <c r="L2259" s="2455">
        <f>+L50+L136+L201+L256+L318+L377+L444+L521+L641+L839+L902+L973+L1043+L1076+L1141+L1197+L1298+L1356+L1446+L1504+L1563+L1625+L1723+L1823+L1924+L2042</f>
        <v>974425</v>
      </c>
      <c r="M2259" s="2455">
        <f>+M50+M136+M201+M256+M318+M377+M444+M521+M641+M839+M902+M973+M1043+M1076+M1141+M1197+M1298+M1356+M1446+M1504+M1563+M1625+M1723+M1823+M1924+M2042</f>
        <v>1052379</v>
      </c>
    </row>
    <row r="2260" spans="2:13" x14ac:dyDescent="0.2">
      <c r="B2260" s="2308" t="s">
        <v>7276</v>
      </c>
      <c r="C2260" s="2455">
        <f>+C47+C133+C198+C253+C315+C374+C441+C518+C638+C837+C899+C970+C1040+C1073+C1139+C1195+C1295+C1353+C1445+C1501+C1562+C1622+C1721+C1820+C1921+C2039</f>
        <v>42630</v>
      </c>
      <c r="D2260" s="2455">
        <f>+D47+D133+D198+D253+D315+D374+D441+D518+D638+D837+D899+D970+D1040+D1073+D1139+D1195+D1295+D1353+D1445+D1501+D1562+D1622+D1721+D1820+D1921+D2039</f>
        <v>0</v>
      </c>
      <c r="E2260" s="2455">
        <f>+E47+E133+E198+E253+E315+E374+E441+E518+E638+E837+E899+E970+E1040+E1073+E1139+E1195+E1295+E1353+E1445+E1501+E1562+E1622+E1721+E1820+E1921+E2039</f>
        <v>0</v>
      </c>
      <c r="F2260" s="2455">
        <f>+F47+F133+F198+F253+F315+F374+F441+F518+F638+F837+F899+F970+F1040+F1073+F1139+F1195+F1295+F1353+F1445+F1501+F1562+F1622+F1721+F1820+F1921+F2039</f>
        <v>0</v>
      </c>
      <c r="G2260" s="2455">
        <f>+G47+G133+G198+G253+G315+G374+G441+G518+G638+G837+G899+G970+G1040+G1073+G1139+G1195+G1295+G1353+G1445+G1501+G1562+G1622+G1721+G1820+G1921+G2039</f>
        <v>0</v>
      </c>
      <c r="H2260" s="2455"/>
      <c r="I2260" s="2455">
        <f>+I47+I133+I198+I253+I315+I374+I441+I518+I638+I837+I899+I970+I1040+I1073+I1139+I1195+I1295+I1353+I1445+I1501+I1562+I1622+I1721+I1820+I1921+I2039</f>
        <v>63654</v>
      </c>
      <c r="J2260" s="2455">
        <f>+J47+J133+J198+J253+J315+J374+J441+J518+J638+J837+J899+J970+J1040+J1073+J1139+J1195+J1295+J1353+J1445+J1501+J1562+J1622+J1721+J1820+J1921+J2039</f>
        <v>47472</v>
      </c>
      <c r="K2260" s="2333">
        <f t="shared" si="499"/>
        <v>47472</v>
      </c>
      <c r="L2260" s="2455">
        <f>+L47+L133+L198+L253+L315+L374+L441+L518+L638+L837+L899+L970+L1040+L1073+L1139+L1195+L1295+L1353+L1445+L1501+L1562+L1622+L1721+L1820+L1921+L2039</f>
        <v>68746</v>
      </c>
      <c r="M2260" s="2455">
        <f>+M47+M133+M198+M253+M315+M374+M441+M518+M638+M837+M899+M970+M1040+M1073+M1139+M1195+M1295+M1353+M1445+M1501+M1562+M1622+M1721+M1820+M1921+M2039</f>
        <v>74246</v>
      </c>
    </row>
    <row r="2261" spans="2:13" x14ac:dyDescent="0.2">
      <c r="B2261" s="2308" t="s">
        <v>7277</v>
      </c>
      <c r="C2261" s="2455">
        <f>+C52+C138+C203+C258+C320+C379+C447+C523+C643+C841+C905+C975+C1045+C1077+C1143+C1198+C1300+C1358+C1448+C1506+C1565+C1627+C1725+C1825+C1925+C2043</f>
        <v>272538</v>
      </c>
      <c r="D2261" s="2455">
        <f>+D52+D138+D203+D258+D320+D379+D447+D523+D643+D841+D905+D975+D1045+D1077+D1143+D1198+D1300+D1358+D1448+D1506+D1565+D1627+D1725+D1825+D1925+D2043</f>
        <v>251562</v>
      </c>
      <c r="E2261" s="2455">
        <f>+E52+E138+E203+E258+E320+E379+E447+E523+E643+E841+E905+E975+E1045+E1077+E1143+E1198+E1300+E1358+E1448+E1506+E1565+E1627+E1725+E1825+E1925+E2043</f>
        <v>261018</v>
      </c>
      <c r="F2261" s="2455">
        <f>+F52+F138+F203+F258+F320+F379+F447+F523+F643+F841+F905+F975+F1045+F1077+F1143+F1198+F1300+F1358+F1448+F1506+F1565+F1627+F1725+F1825+F1925+F2043</f>
        <v>159018</v>
      </c>
      <c r="G2261" s="2455">
        <f>+G52+G138+G203+G258+G320+G379+G447+G523+G643+G841+G905+G975+G1045+G1077+G1143+G1198+G1300+G1358+G1448+G1506+G1565+G1627+G1725+G1825+G1925+G2043</f>
        <v>190821.6</v>
      </c>
      <c r="H2261" s="2455"/>
      <c r="I2261" s="2455">
        <f>+I52+I138+I203+I258+I320+I379+I447+I523+I643+I841+I905+I975+I1045+I1077+I1143+I1198+I1300+I1358+I1448+I1506+I1565+I1627+I1725+I1825+I1925+I2043</f>
        <v>273557</v>
      </c>
      <c r="J2261" s="2455">
        <f>+J52+J138+J203+J258+J320+J379+J447+J523+J643+J841+J905+J975+J1045+J1077+J1143+J1198+J1300+J1358+J1448+J1506+J1565+J1627+J1725+J1825+J1925+J2043</f>
        <v>302508.64</v>
      </c>
      <c r="K2261" s="2333">
        <f t="shared" ref="K2261:K2324" si="512">J2261</f>
        <v>302508.64</v>
      </c>
      <c r="L2261" s="2455">
        <f>+L52+L138+L203+L258+L320+L379+L447+L523+L643+L841+L905+L975+L1045+L1077+L1143+L1198+L1300+L1358+L1448+L1506+L1565+L1627+L1725+L1825+L1925+L2043</f>
        <v>295441</v>
      </c>
      <c r="M2261" s="2455">
        <f>+M52+M138+M203+M258+M320+M379+M447+M523+M643+M841+M905+M975+M1045+M1077+M1143+M1198+M1300+M1358+M1448+M1506+M1565+M1627+M1725+M1825+M1925+M2043</f>
        <v>319075</v>
      </c>
    </row>
    <row r="2262" spans="2:13" x14ac:dyDescent="0.2">
      <c r="B2262" s="2308" t="s">
        <v>6948</v>
      </c>
      <c r="C2262" s="2455">
        <f>+C49+C135+C200+C255+C317+C376+C443+C520+C640+C838+C901+C972+C1042+C1075+C1140+C1196+C1297+C1355+C1450+C1503+C1566+C1624+C1722+C1822+C1923+C2041+C2117</f>
        <v>831444</v>
      </c>
      <c r="D2262" s="2455">
        <f>+D49+D135+D200+D255+D317+D376+D443+D520+D640+D838+D901+D972+D1042+D1075+D1140+D1196+D1297+D1355+D1450+D1503+D1566+D1624+D1722+D1822+D1923+D2041+D2117</f>
        <v>1012719</v>
      </c>
      <c r="E2262" s="2455">
        <f>+E49+E135+E200+E255+E317+E376+E443+E520+E640+E838+E901+E972+E1042+E1075+E1140+E1196+E1297+E1355+E1450+E1503+E1566+E1624+E1722+E1822+E1923+E2041+E2117</f>
        <v>1013621</v>
      </c>
      <c r="F2262" s="2455">
        <f>+F49+F135+F200+F255+F317+F376+F443+F520+F640+F838+F901+F972+F1042+F1075+F1140+F1196+F1297+F1355+F1450+F1503+F1566+F1624+F1722+F1822+F1923+F2041+F2117</f>
        <v>783864</v>
      </c>
      <c r="G2262" s="2455">
        <f>+G49+G135+G200+G255+G317+G376+G443+G520+G640+G838+G901+G972+G1042+G1075+G1140+G1196+G1297+G1355+G1450+G1503+G1566+G1624+G1722+G1822+G1923+G2041+G2117</f>
        <v>940636.8</v>
      </c>
      <c r="H2262" s="2455"/>
      <c r="I2262" s="2455">
        <f>+I49+I135+I200+I255+I317+I376+I443+I520+I640+I838+I901+I972+I1042+I1075+I1140+I1196+I1297+I1355+I1450+I1503+I1566+I1624+I1722+I1822+I1923+I2041+I2117</f>
        <v>866828</v>
      </c>
      <c r="J2262" s="2455">
        <f>+J49+J135+J200+J255+J317+J376+J443+J520+J640+J838+J901+J972+J1042+J1075+J1140+J1196+J1297+J1355+J1450+J1503+J1566+J1624+J1722+J1822+J1923+J2041+J2117</f>
        <v>1580232.54</v>
      </c>
      <c r="K2262" s="2333">
        <f t="shared" si="512"/>
        <v>1580232.54</v>
      </c>
      <c r="L2262" s="2455">
        <f>+L49+L135+L200+L255+L317+L376+L443+L520+L640+L838+L901+L972+L1042+L1075+L1140+L1196+L1297+L1355+L1450+L1503+L1566+L1624+L1722+L1822+L1923+L2041+L2117</f>
        <v>936176</v>
      </c>
      <c r="M2262" s="2455">
        <f>+M49+M135+M200+M255+M317+M376+M443+M520+M640+M838+M901+M972+M1042+M1075+M1140+M1196+M1297+M1355+M1450+M1503+M1566+M1624+M1722+M1822+M1923+M2041+M2117</f>
        <v>1011070</v>
      </c>
    </row>
    <row r="2263" spans="2:13" x14ac:dyDescent="0.2">
      <c r="B2263" s="2308" t="s">
        <v>7171</v>
      </c>
      <c r="C2263" s="2455">
        <f>+C1247+C1507+C1628+C1726</f>
        <v>170980</v>
      </c>
      <c r="D2263" s="2455">
        <f>+D1247+D1507+D1628+D1726</f>
        <v>0</v>
      </c>
      <c r="E2263" s="2455">
        <f>+E1247+E1507+E1628+E1726</f>
        <v>0</v>
      </c>
      <c r="F2263" s="2455">
        <f>+F1247+F1507+F1628+F1726</f>
        <v>130576</v>
      </c>
      <c r="G2263" s="2455">
        <f>+G1247+G1507+G1628+G1726</f>
        <v>156691.20000000001</v>
      </c>
      <c r="H2263" s="2455"/>
      <c r="I2263" s="2455">
        <f>+I1247+I1507+I1628+I1726</f>
        <v>0</v>
      </c>
      <c r="J2263" s="2455">
        <f>+J1247+J1507+J1628+J1726</f>
        <v>0</v>
      </c>
      <c r="K2263" s="2333">
        <f t="shared" si="512"/>
        <v>0</v>
      </c>
      <c r="L2263" s="2455">
        <f>+L1247+L1507+L1628+L1726</f>
        <v>0</v>
      </c>
      <c r="M2263" s="2455">
        <f>+M1247+M1507+M1628+M1726</f>
        <v>0</v>
      </c>
    </row>
    <row r="2264" spans="2:13" x14ac:dyDescent="0.2">
      <c r="B2264" s="2308" t="s">
        <v>7039</v>
      </c>
      <c r="C2264" s="2455">
        <f>+C446</f>
        <v>238750</v>
      </c>
      <c r="D2264" s="2455">
        <f t="shared" ref="D2264:M2264" si="513">+D446</f>
        <v>331197</v>
      </c>
      <c r="E2264" s="2455">
        <f t="shared" si="513"/>
        <v>331197</v>
      </c>
      <c r="F2264" s="2455">
        <f t="shared" si="513"/>
        <v>301286</v>
      </c>
      <c r="G2264" s="2455">
        <f t="shared" si="513"/>
        <v>361543.19999999995</v>
      </c>
      <c r="H2264" s="2455"/>
      <c r="I2264" s="2455">
        <f t="shared" si="513"/>
        <v>196983</v>
      </c>
      <c r="J2264" s="2455">
        <f>+J446</f>
        <v>272017.91999999998</v>
      </c>
      <c r="K2264" s="2333">
        <f t="shared" si="512"/>
        <v>272017.91999999998</v>
      </c>
      <c r="L2264" s="2455">
        <f t="shared" si="513"/>
        <v>212742</v>
      </c>
      <c r="M2264" s="2455">
        <f t="shared" si="513"/>
        <v>229761</v>
      </c>
    </row>
    <row r="2265" spans="2:13" x14ac:dyDescent="0.2">
      <c r="B2265" s="2308" t="s">
        <v>7278</v>
      </c>
      <c r="C2265" s="2456">
        <f>+C904</f>
        <v>0</v>
      </c>
      <c r="D2265" s="2456">
        <f t="shared" ref="D2265:M2265" si="514">+D904</f>
        <v>34003</v>
      </c>
      <c r="E2265" s="2456">
        <f t="shared" si="514"/>
        <v>34003</v>
      </c>
      <c r="F2265" s="2456">
        <f t="shared" si="514"/>
        <v>0</v>
      </c>
      <c r="G2265" s="2456">
        <f t="shared" si="514"/>
        <v>0</v>
      </c>
      <c r="H2265" s="2456"/>
      <c r="I2265" s="2456">
        <f t="shared" si="514"/>
        <v>26127</v>
      </c>
      <c r="J2265" s="2456">
        <f>+J904</f>
        <v>8913.99</v>
      </c>
      <c r="K2265" s="2333">
        <f t="shared" si="512"/>
        <v>8913.99</v>
      </c>
      <c r="L2265" s="2456">
        <f t="shared" si="514"/>
        <v>28217</v>
      </c>
      <c r="M2265" s="2456">
        <f t="shared" si="514"/>
        <v>30474</v>
      </c>
    </row>
    <row r="2266" spans="2:13" x14ac:dyDescent="0.2">
      <c r="C2266" s="2384">
        <f>SUM(C2250:C2265)</f>
        <v>18684592</v>
      </c>
      <c r="D2266" s="2384">
        <f t="shared" ref="D2266:M2266" si="515">SUM(D2250:D2265)</f>
        <v>20320297</v>
      </c>
      <c r="E2266" s="2384">
        <f t="shared" si="515"/>
        <v>20320297</v>
      </c>
      <c r="F2266" s="2384">
        <f t="shared" si="515"/>
        <v>17372039</v>
      </c>
      <c r="G2266" s="2384">
        <f t="shared" si="515"/>
        <v>20846446.800000001</v>
      </c>
      <c r="H2266" s="2384"/>
      <c r="I2266" s="2384">
        <f t="shared" si="515"/>
        <v>29673028</v>
      </c>
      <c r="J2266" s="2384">
        <f>SUM(J2250:J2265)</f>
        <v>30932036.27</v>
      </c>
      <c r="K2266" s="2333">
        <f t="shared" si="512"/>
        <v>30932036.27</v>
      </c>
      <c r="L2266" s="2384">
        <f t="shared" si="515"/>
        <v>32046879</v>
      </c>
      <c r="M2266" s="2384">
        <f t="shared" si="515"/>
        <v>34610635</v>
      </c>
    </row>
    <row r="2267" spans="2:13" x14ac:dyDescent="0.2">
      <c r="C2267" s="2384"/>
      <c r="K2267" s="2333">
        <f t="shared" si="512"/>
        <v>0</v>
      </c>
    </row>
    <row r="2268" spans="2:13" x14ac:dyDescent="0.2">
      <c r="B2268" s="2450" t="s">
        <v>7279</v>
      </c>
      <c r="K2268" s="2333">
        <f t="shared" si="512"/>
        <v>0</v>
      </c>
    </row>
    <row r="2269" spans="2:13" x14ac:dyDescent="0.2">
      <c r="B2269" s="2308" t="s">
        <v>6943</v>
      </c>
      <c r="C2269" s="2455">
        <f t="shared" ref="C2269:G2270" si="516">+C114+C179+C234+C296+C355</f>
        <v>599708</v>
      </c>
      <c r="D2269" s="2455">
        <f t="shared" si="516"/>
        <v>1735229</v>
      </c>
      <c r="E2269" s="2455">
        <f t="shared" si="516"/>
        <v>1559467</v>
      </c>
      <c r="F2269" s="2455">
        <f t="shared" si="516"/>
        <v>840942</v>
      </c>
      <c r="G2269" s="2455">
        <f t="shared" si="516"/>
        <v>1009130.4</v>
      </c>
      <c r="H2269" s="2455"/>
      <c r="I2269" s="2455">
        <f>+I114+I179+I234+I296+I355</f>
        <v>1844210</v>
      </c>
      <c r="J2269" s="2455">
        <f>+J114+J179+J234+J296+J355</f>
        <v>1279852</v>
      </c>
      <c r="K2269" s="2333">
        <f t="shared" si="512"/>
        <v>1279852</v>
      </c>
      <c r="L2269" s="2455">
        <f>+L114+L179+L234+L296+L355</f>
        <v>1991748</v>
      </c>
      <c r="M2269" s="2455">
        <f>+M114+M179+M234+M296+M355</f>
        <v>2151087</v>
      </c>
    </row>
    <row r="2270" spans="2:13" x14ac:dyDescent="0.2">
      <c r="B2270" s="2308" t="s">
        <v>657</v>
      </c>
      <c r="C2270" s="2455">
        <f t="shared" si="516"/>
        <v>0</v>
      </c>
      <c r="D2270" s="2455">
        <f t="shared" si="516"/>
        <v>0</v>
      </c>
      <c r="E2270" s="2455">
        <f t="shared" si="516"/>
        <v>0</v>
      </c>
      <c r="F2270" s="2455">
        <f t="shared" si="516"/>
        <v>0</v>
      </c>
      <c r="G2270" s="2455">
        <f t="shared" si="516"/>
        <v>0</v>
      </c>
      <c r="H2270" s="2455"/>
      <c r="I2270" s="2455">
        <f>+I115+I180+I235+I297+I356</f>
        <v>65503</v>
      </c>
      <c r="J2270" s="2455">
        <f>+J115+J180+J235+J297+J356</f>
        <v>12165.89</v>
      </c>
      <c r="K2270" s="2333">
        <f t="shared" si="512"/>
        <v>12165.89</v>
      </c>
      <c r="L2270" s="2455">
        <f>+L115+L180+L235+L297+L356</f>
        <v>70744</v>
      </c>
      <c r="M2270" s="2455">
        <f>+M115+M180+M235+M297+M356</f>
        <v>76404</v>
      </c>
    </row>
    <row r="2271" spans="2:13" x14ac:dyDescent="0.2">
      <c r="B2271" s="2308" t="s">
        <v>6946</v>
      </c>
      <c r="C2271" s="2455">
        <f>+C120+C185+C240+C302+C361</f>
        <v>14027</v>
      </c>
      <c r="D2271" s="2455">
        <f>+D120+D185+D240+D302+D361</f>
        <v>152769</v>
      </c>
      <c r="E2271" s="2455">
        <f>+E120+E185+E240+E302+E361</f>
        <v>152769</v>
      </c>
      <c r="F2271" s="2455">
        <f>+F120+F185+F240+F302+F361</f>
        <v>45005</v>
      </c>
      <c r="G2271" s="2455">
        <f>+G120+G185+G240+G302+G361</f>
        <v>54006</v>
      </c>
      <c r="H2271" s="2455"/>
      <c r="I2271" s="2455">
        <f>+I120+I185+I240+I302+I361</f>
        <v>153683</v>
      </c>
      <c r="J2271" s="2455">
        <f>+J120+J185+J240+J302+J361</f>
        <v>63206.400000000009</v>
      </c>
      <c r="K2271" s="2333">
        <f t="shared" si="512"/>
        <v>63206.400000000009</v>
      </c>
      <c r="L2271" s="2455">
        <f>+L120+L185+L240+L302+L361</f>
        <v>165977</v>
      </c>
      <c r="M2271" s="2455">
        <f>+M120+M185+M240+M302+M361</f>
        <v>179257</v>
      </c>
    </row>
    <row r="2272" spans="2:13" x14ac:dyDescent="0.2">
      <c r="B2272" s="2308" t="s">
        <v>6410</v>
      </c>
      <c r="C2272" s="2455">
        <f>+C118+C183+C238+C300+C359</f>
        <v>1747</v>
      </c>
      <c r="D2272" s="2455">
        <f>+D118+D183+D238+D300+D359</f>
        <v>0</v>
      </c>
      <c r="E2272" s="2455">
        <f>+E118+E183+E238+E300+E359</f>
        <v>2396</v>
      </c>
      <c r="F2272" s="2455">
        <f>+F118+F183+F238+F300+F359</f>
        <v>2496</v>
      </c>
      <c r="G2272" s="2455">
        <f>+G118+G183+G238+G300+G359</f>
        <v>2995.2</v>
      </c>
      <c r="H2272" s="2455"/>
      <c r="I2272" s="2455">
        <f>+I118+I183+I238+I300+I359</f>
        <v>8085</v>
      </c>
      <c r="J2272" s="2455">
        <f>+J118+J183+J238+J300+J359</f>
        <v>5360.6500000000005</v>
      </c>
      <c r="K2272" s="2333">
        <f t="shared" si="512"/>
        <v>5360.6500000000005</v>
      </c>
      <c r="L2272" s="2455">
        <f>+L118+L183+L238+L300+L359</f>
        <v>8730</v>
      </c>
      <c r="M2272" s="2455">
        <f>+M118+M183+M238+M300+M359</f>
        <v>9430</v>
      </c>
    </row>
    <row r="2273" spans="2:13" x14ac:dyDescent="0.2">
      <c r="B2273" s="2308" t="s">
        <v>6950</v>
      </c>
      <c r="C2273" s="2455">
        <f>+C124+C189+C244+C306+C365</f>
        <v>2025</v>
      </c>
      <c r="D2273" s="2455">
        <f>+D124+D189+D244+D306+D365</f>
        <v>0</v>
      </c>
      <c r="E2273" s="2455">
        <f>+E124+E189+E244+E306+E365</f>
        <v>0</v>
      </c>
      <c r="F2273" s="2455">
        <f>+F124+F189+F244+F306+F365</f>
        <v>5316</v>
      </c>
      <c r="G2273" s="2455">
        <f>+G124+G189+G244+G306+G365</f>
        <v>6379.1999999999989</v>
      </c>
      <c r="H2273" s="2455"/>
      <c r="I2273" s="2455">
        <f>+I124+I189+I244+I306+I365</f>
        <v>45949</v>
      </c>
      <c r="J2273" s="2455">
        <f>+J124+J189+J244+J306+J365</f>
        <v>14752.109999999999</v>
      </c>
      <c r="K2273" s="2333">
        <f t="shared" si="512"/>
        <v>14752.109999999999</v>
      </c>
      <c r="L2273" s="2455">
        <f>+L124+L189+L244+L306+L365</f>
        <v>49625</v>
      </c>
      <c r="M2273" s="2455">
        <f>+M124+M189+M244+M306+M365</f>
        <v>53594</v>
      </c>
    </row>
    <row r="2274" spans="2:13" x14ac:dyDescent="0.2">
      <c r="B2274" s="2308" t="s">
        <v>6408</v>
      </c>
      <c r="C2274" s="2455">
        <f>+C119+C184+C239+C301+C360</f>
        <v>45</v>
      </c>
      <c r="D2274" s="2455">
        <f>+D119+D184+D239+D301+D360</f>
        <v>0</v>
      </c>
      <c r="E2274" s="2455">
        <f>+E119+E184+E239+E301+E360</f>
        <v>72</v>
      </c>
      <c r="F2274" s="2455">
        <f>+F119+F184+F239+F301+F360</f>
        <v>57</v>
      </c>
      <c r="G2274" s="2455">
        <f>+G119+G184+G239+G301+G360</f>
        <v>68.399999999999991</v>
      </c>
      <c r="H2274" s="2455"/>
      <c r="I2274" s="2455">
        <f>+I119+I184+I239+I301+I360</f>
        <v>90</v>
      </c>
      <c r="J2274" s="2455">
        <f>+J119+J184+J239+J301+J360</f>
        <v>4114.8</v>
      </c>
      <c r="K2274" s="2333">
        <f t="shared" si="512"/>
        <v>4114.8</v>
      </c>
      <c r="L2274" s="2455">
        <f>+L119+L184+L239+L301+L360</f>
        <v>98</v>
      </c>
      <c r="M2274" s="2455">
        <f>+M119+M184+M239+M301+M360</f>
        <v>106</v>
      </c>
    </row>
    <row r="2275" spans="2:13" x14ac:dyDescent="0.2">
      <c r="B2275" s="2308" t="s">
        <v>6952</v>
      </c>
      <c r="C2275" s="2455">
        <f>+C126+C191+C246+C308+C367</f>
        <v>5972</v>
      </c>
      <c r="D2275" s="2455">
        <f>+D126+D191+D246+D308+D367</f>
        <v>0</v>
      </c>
      <c r="E2275" s="2455">
        <f>+E126+E191+E246+E308+E367</f>
        <v>0</v>
      </c>
      <c r="F2275" s="2455">
        <f>+F126+F191+F246+F308+F367</f>
        <v>0</v>
      </c>
      <c r="G2275" s="2455">
        <f>+G126+G191+G246+G308+G367</f>
        <v>0</v>
      </c>
      <c r="H2275" s="2455"/>
      <c r="I2275" s="2455">
        <f>+I126+I191+I246+I308+I367</f>
        <v>42732</v>
      </c>
      <c r="J2275" s="2455">
        <f>+J126+J191+J246+J308+J367</f>
        <v>19723.12</v>
      </c>
      <c r="K2275" s="2333">
        <f t="shared" si="512"/>
        <v>19723.12</v>
      </c>
      <c r="L2275" s="2455">
        <f>+L126+L191+L246+L308+L367</f>
        <v>46151</v>
      </c>
      <c r="M2275" s="2455">
        <f>+M126+M191+M246+M308+M367</f>
        <v>49842</v>
      </c>
    </row>
    <row r="2276" spans="2:13" x14ac:dyDescent="0.2">
      <c r="B2276" s="2308" t="s">
        <v>7272</v>
      </c>
      <c r="C2276" s="2455">
        <f>+C117+C182+C237+C299+C358</f>
        <v>19140</v>
      </c>
      <c r="D2276" s="2455">
        <f>+D117+D182+D237+D299+D358</f>
        <v>0</v>
      </c>
      <c r="E2276" s="2455">
        <f>+E117+E182+E237+E299+E358</f>
        <v>130944</v>
      </c>
      <c r="F2276" s="2455">
        <f>+F117+F182+F237+F299+F358</f>
        <v>144201</v>
      </c>
      <c r="G2276" s="2455">
        <f>+G117+G182+G237+G299+G358</f>
        <v>173041.2</v>
      </c>
      <c r="H2276" s="2455"/>
      <c r="I2276" s="2455">
        <f>+I117+I182+I237+I299+I358</f>
        <v>196995</v>
      </c>
      <c r="J2276" s="2455">
        <f>+J117+J182+J237+J299+J358</f>
        <v>123459.78</v>
      </c>
      <c r="K2276" s="2333">
        <f t="shared" si="512"/>
        <v>123459.78</v>
      </c>
      <c r="L2276" s="2455">
        <f>+L117+L182+L237+L299+L358</f>
        <v>212754</v>
      </c>
      <c r="M2276" s="2455">
        <f>+M117+M182+M237+M299+M358</f>
        <v>229775</v>
      </c>
    </row>
    <row r="2277" spans="2:13" x14ac:dyDescent="0.2">
      <c r="B2277" s="2308" t="s">
        <v>7273</v>
      </c>
      <c r="C2277" s="2455">
        <f>+C116+C181+C236+C298+C357</f>
        <v>9033</v>
      </c>
      <c r="D2277" s="2455">
        <f>+D116+D181+D236+D298+D357</f>
        <v>0</v>
      </c>
      <c r="E2277" s="2455">
        <f>+E116+E181+E236+E298+E357</f>
        <v>16349</v>
      </c>
      <c r="F2277" s="2455">
        <f>+F116+F181+F236+F298+F357</f>
        <v>17030</v>
      </c>
      <c r="G2277" s="2455">
        <f>+G116+G181+G236+G298+G357</f>
        <v>20436</v>
      </c>
      <c r="H2277" s="2455"/>
      <c r="I2277" s="2455">
        <f>+I116+I181+I236+I298+I357</f>
        <v>20436</v>
      </c>
      <c r="J2277" s="2455">
        <f>+J116+J181+J236+J298+J357</f>
        <v>1961.8599999999997</v>
      </c>
      <c r="K2277" s="2333">
        <f t="shared" si="512"/>
        <v>1961.8599999999997</v>
      </c>
      <c r="L2277" s="2455">
        <f>+L116+L181+L236+L298+L357</f>
        <v>22071</v>
      </c>
      <c r="M2277" s="2455">
        <f>+M116+M181+M236+M298+M357</f>
        <v>23837</v>
      </c>
    </row>
    <row r="2278" spans="2:13" x14ac:dyDescent="0.2">
      <c r="B2278" s="2308" t="s">
        <v>7274</v>
      </c>
      <c r="C2278" s="2455">
        <f t="shared" ref="C2278:G2279" si="517">+C122+C187+C242+C304+C363</f>
        <v>16472</v>
      </c>
      <c r="D2278" s="2455">
        <f t="shared" si="517"/>
        <v>171272</v>
      </c>
      <c r="E2278" s="2455">
        <f t="shared" si="517"/>
        <v>171272</v>
      </c>
      <c r="F2278" s="2455">
        <f t="shared" si="517"/>
        <v>56041</v>
      </c>
      <c r="G2278" s="2455">
        <f t="shared" si="517"/>
        <v>67249.2</v>
      </c>
      <c r="H2278" s="2455"/>
      <c r="I2278" s="2455">
        <f>+I122+I187+I242+I304+I363</f>
        <v>168551</v>
      </c>
      <c r="J2278" s="2455">
        <f>+J122+J187+J242+J304+J363</f>
        <v>64471.18</v>
      </c>
      <c r="K2278" s="2333">
        <f t="shared" si="512"/>
        <v>64471.18</v>
      </c>
      <c r="L2278" s="2455">
        <f>+L122+L187+L242+L304+L363</f>
        <v>182034</v>
      </c>
      <c r="M2278" s="2455">
        <f>+M122+M187+M242+M304+M363</f>
        <v>196596</v>
      </c>
    </row>
    <row r="2279" spans="2:13" x14ac:dyDescent="0.2">
      <c r="B2279" s="2308" t="s">
        <v>7275</v>
      </c>
      <c r="C2279" s="2455">
        <f t="shared" si="517"/>
        <v>4440</v>
      </c>
      <c r="D2279" s="2455">
        <f t="shared" si="517"/>
        <v>117216</v>
      </c>
      <c r="E2279" s="2455">
        <f t="shared" si="517"/>
        <v>127262</v>
      </c>
      <c r="F2279" s="2455">
        <f t="shared" si="517"/>
        <v>20355</v>
      </c>
      <c r="G2279" s="2455">
        <f t="shared" si="517"/>
        <v>24426</v>
      </c>
      <c r="H2279" s="2455"/>
      <c r="I2279" s="2455">
        <f>+I123+I188+I243+I305+I364</f>
        <v>0</v>
      </c>
      <c r="J2279" s="2455">
        <f>+J123+J188+J243+J305+J364</f>
        <v>0</v>
      </c>
      <c r="K2279" s="2333">
        <f t="shared" si="512"/>
        <v>0</v>
      </c>
      <c r="L2279" s="2455">
        <f>+L123+L188+L243+L305+L364</f>
        <v>0</v>
      </c>
      <c r="M2279" s="2455">
        <f>+M123+M188+M243+M305+M364</f>
        <v>0</v>
      </c>
    </row>
    <row r="2280" spans="2:13" x14ac:dyDescent="0.2">
      <c r="B2280" s="2308" t="s">
        <v>7276</v>
      </c>
      <c r="C2280" s="2455">
        <f>+C121+C186+C241+C303+C362</f>
        <v>5601.76</v>
      </c>
      <c r="D2280" s="2455">
        <f>+D121+D186+D241+D303+D362</f>
        <v>35135</v>
      </c>
      <c r="E2280" s="2455">
        <f>+E121+E186+E241+E303+E362</f>
        <v>51090</v>
      </c>
      <c r="F2280" s="2455">
        <f>+F121+F186+F241+F303+F362</f>
        <v>22407</v>
      </c>
      <c r="G2280" s="2455">
        <f>+G121+G186+G241+G303+G362</f>
        <v>26888.399999999998</v>
      </c>
      <c r="H2280" s="2455"/>
      <c r="I2280" s="2455">
        <f>+I121+I186+I241+I303+I362</f>
        <v>127359</v>
      </c>
      <c r="J2280" s="2455">
        <f>+J121+J186+J241+J303+J362</f>
        <v>75988.12000000001</v>
      </c>
      <c r="K2280" s="2333">
        <f t="shared" si="512"/>
        <v>75988.12000000001</v>
      </c>
      <c r="L2280" s="2455">
        <f>+L121+L186+L241+L303+L362</f>
        <v>113209</v>
      </c>
      <c r="M2280" s="2455">
        <f>+M121+M186+M241+M303+M362</f>
        <v>122266</v>
      </c>
    </row>
    <row r="2281" spans="2:13" x14ac:dyDescent="0.2">
      <c r="B2281" s="2308" t="s">
        <v>7277</v>
      </c>
      <c r="C2281" s="2456">
        <f>+C125+C190+C245+C307+C366</f>
        <v>127078</v>
      </c>
      <c r="D2281" s="2456">
        <f>+D125+D190+D245+D307+D366</f>
        <v>745769</v>
      </c>
      <c r="E2281" s="2456">
        <f>+E125+E190+E245+E307+E366</f>
        <v>745769</v>
      </c>
      <c r="F2281" s="2456">
        <f>+F125+F190+F245+F307+F366</f>
        <v>134345</v>
      </c>
      <c r="G2281" s="2456">
        <f>+G125+G190+G245+G307+G366</f>
        <v>161214</v>
      </c>
      <c r="H2281" s="2456"/>
      <c r="I2281" s="2456">
        <f>+I125+I190+I245+I307+I366</f>
        <v>610570</v>
      </c>
      <c r="J2281" s="2456">
        <f>+J125+J190+J245+J307+J366</f>
        <v>228660.68</v>
      </c>
      <c r="K2281" s="2333">
        <f t="shared" si="512"/>
        <v>228660.68</v>
      </c>
      <c r="L2281" s="2456">
        <f>+L125+L190+L245+L307+L366</f>
        <v>659417</v>
      </c>
      <c r="M2281" s="2456">
        <f>+M125+M190+M245+M307+M366</f>
        <v>712172</v>
      </c>
    </row>
    <row r="2282" spans="2:13" x14ac:dyDescent="0.2">
      <c r="C2282" s="2455">
        <f>SUBTOTAL(9,C2269:C2281)</f>
        <v>805288.76</v>
      </c>
      <c r="D2282" s="2455">
        <f t="shared" ref="D2282:M2282" si="518">SUBTOTAL(9,D2269:D2281)</f>
        <v>2957390</v>
      </c>
      <c r="E2282" s="2455">
        <f t="shared" si="518"/>
        <v>2957390</v>
      </c>
      <c r="F2282" s="2455">
        <f t="shared" si="518"/>
        <v>1288195</v>
      </c>
      <c r="G2282" s="2455">
        <f t="shared" si="518"/>
        <v>1545833.9999999995</v>
      </c>
      <c r="H2282" s="2455"/>
      <c r="I2282" s="2455">
        <f t="shared" si="518"/>
        <v>3284163</v>
      </c>
      <c r="J2282" s="2455">
        <f>SUBTOTAL(9,J2269:J2281)</f>
        <v>1893716.59</v>
      </c>
      <c r="K2282" s="2333">
        <f t="shared" si="512"/>
        <v>1893716.59</v>
      </c>
      <c r="L2282" s="2455">
        <f t="shared" si="518"/>
        <v>3522558</v>
      </c>
      <c r="M2282" s="2455">
        <f t="shared" si="518"/>
        <v>3804366</v>
      </c>
    </row>
    <row r="2283" spans="2:13" x14ac:dyDescent="0.2">
      <c r="K2283" s="2333">
        <f t="shared" si="512"/>
        <v>0</v>
      </c>
    </row>
    <row r="2284" spans="2:13" x14ac:dyDescent="0.2">
      <c r="C2284" s="2455">
        <f>+C2266+C2282</f>
        <v>19489880.760000002</v>
      </c>
      <c r="D2284" s="2455">
        <f>+D2266+D2282</f>
        <v>23277687</v>
      </c>
      <c r="E2284" s="2455">
        <f t="shared" ref="E2284:M2284" si="519">+E2266+E2282</f>
        <v>23277687</v>
      </c>
      <c r="F2284" s="2455">
        <f t="shared" si="519"/>
        <v>18660234</v>
      </c>
      <c r="G2284" s="2455">
        <f t="shared" si="519"/>
        <v>22392280.800000001</v>
      </c>
      <c r="H2284" s="2455"/>
      <c r="I2284" s="2455">
        <f t="shared" si="519"/>
        <v>32957191</v>
      </c>
      <c r="J2284" s="2455">
        <f>+J2266+J2282</f>
        <v>32825752.859999999</v>
      </c>
      <c r="K2284" s="2333">
        <f t="shared" si="512"/>
        <v>32825752.859999999</v>
      </c>
      <c r="L2284" s="2455">
        <f t="shared" si="519"/>
        <v>35569437</v>
      </c>
      <c r="M2284" s="2455">
        <f t="shared" si="519"/>
        <v>38415001</v>
      </c>
    </row>
    <row r="2285" spans="2:13" x14ac:dyDescent="0.2">
      <c r="C2285" s="2455">
        <f>+C2184</f>
        <v>19489880.759999998</v>
      </c>
      <c r="D2285" s="2455">
        <f t="shared" ref="D2285:M2285" si="520">+D2184</f>
        <v>23277687</v>
      </c>
      <c r="E2285" s="2455">
        <f t="shared" si="520"/>
        <v>23277687</v>
      </c>
      <c r="F2285" s="2455">
        <f t="shared" si="520"/>
        <v>18660234</v>
      </c>
      <c r="G2285" s="2455">
        <f t="shared" si="520"/>
        <v>22392280.800000004</v>
      </c>
      <c r="H2285" s="2455"/>
      <c r="I2285" s="2455">
        <f t="shared" si="520"/>
        <v>33290114</v>
      </c>
      <c r="J2285" s="2455">
        <f>+J2184</f>
        <v>33847342.579999998</v>
      </c>
      <c r="K2285" s="2333">
        <f t="shared" si="512"/>
        <v>33847342.579999998</v>
      </c>
      <c r="L2285" s="2455">
        <f t="shared" si="520"/>
        <v>35569437</v>
      </c>
      <c r="M2285" s="2455">
        <f t="shared" si="520"/>
        <v>38415001</v>
      </c>
    </row>
    <row r="2286" spans="2:13" x14ac:dyDescent="0.2">
      <c r="C2286" s="2455">
        <f>+C2284-C2285</f>
        <v>0</v>
      </c>
      <c r="D2286" s="2455">
        <f t="shared" ref="D2286:M2286" si="521">+D2284-D2285</f>
        <v>0</v>
      </c>
      <c r="E2286" s="2455">
        <f t="shared" si="521"/>
        <v>0</v>
      </c>
      <c r="F2286" s="2455">
        <f t="shared" si="521"/>
        <v>0</v>
      </c>
      <c r="G2286" s="2455">
        <f t="shared" si="521"/>
        <v>0</v>
      </c>
      <c r="H2286" s="2455"/>
      <c r="I2286" s="2455">
        <f t="shared" si="521"/>
        <v>-332923</v>
      </c>
      <c r="J2286" s="2455">
        <f>+J2284-J2285</f>
        <v>-1021589.7199999988</v>
      </c>
      <c r="K2286" s="2333">
        <f t="shared" si="512"/>
        <v>-1021589.7199999988</v>
      </c>
      <c r="L2286" s="2455">
        <f t="shared" si="521"/>
        <v>0</v>
      </c>
      <c r="M2286" s="2455">
        <f t="shared" si="521"/>
        <v>0</v>
      </c>
    </row>
    <row r="2287" spans="2:13" x14ac:dyDescent="0.2">
      <c r="K2287" s="2333">
        <f t="shared" si="512"/>
        <v>0</v>
      </c>
    </row>
    <row r="2288" spans="2:13" x14ac:dyDescent="0.2">
      <c r="B2288" s="2450" t="s">
        <v>7280</v>
      </c>
      <c r="K2288" s="2333">
        <f t="shared" si="512"/>
        <v>0</v>
      </c>
    </row>
    <row r="2289" spans="2:13" x14ac:dyDescent="0.2">
      <c r="B2289" s="2346" t="s">
        <v>6934</v>
      </c>
      <c r="C2289" s="2455">
        <f t="shared" ref="C2289:M2295" si="522">+C29</f>
        <v>0</v>
      </c>
      <c r="D2289" s="2455">
        <f t="shared" si="522"/>
        <v>0</v>
      </c>
      <c r="E2289" s="2455">
        <f t="shared" si="522"/>
        <v>0</v>
      </c>
      <c r="F2289" s="2455">
        <f t="shared" si="522"/>
        <v>0</v>
      </c>
      <c r="G2289" s="2455">
        <f t="shared" si="522"/>
        <v>0</v>
      </c>
      <c r="H2289" s="2455"/>
      <c r="I2289" s="2455">
        <f t="shared" si="522"/>
        <v>1677</v>
      </c>
      <c r="J2289" s="2455">
        <f t="shared" si="522"/>
        <v>0</v>
      </c>
      <c r="K2289" s="2333">
        <f t="shared" si="512"/>
        <v>0</v>
      </c>
      <c r="L2289" s="2455">
        <f t="shared" si="522"/>
        <v>1811</v>
      </c>
      <c r="M2289" s="2455">
        <f t="shared" si="522"/>
        <v>1956</v>
      </c>
    </row>
    <row r="2290" spans="2:13" x14ac:dyDescent="0.2">
      <c r="B2290" s="2346" t="s">
        <v>6935</v>
      </c>
      <c r="C2290" s="2455">
        <f t="shared" si="522"/>
        <v>0</v>
      </c>
      <c r="D2290" s="2455">
        <f t="shared" si="522"/>
        <v>0</v>
      </c>
      <c r="E2290" s="2455">
        <f t="shared" si="522"/>
        <v>0</v>
      </c>
      <c r="F2290" s="2455">
        <f t="shared" si="522"/>
        <v>0</v>
      </c>
      <c r="G2290" s="2455">
        <f t="shared" si="522"/>
        <v>0</v>
      </c>
      <c r="H2290" s="2455"/>
      <c r="I2290" s="2455">
        <f t="shared" si="522"/>
        <v>45</v>
      </c>
      <c r="J2290" s="2455">
        <f t="shared" si="522"/>
        <v>0</v>
      </c>
      <c r="K2290" s="2333">
        <f t="shared" si="512"/>
        <v>0</v>
      </c>
      <c r="L2290" s="2455">
        <f t="shared" si="522"/>
        <v>49</v>
      </c>
      <c r="M2290" s="2455">
        <f t="shared" si="522"/>
        <v>53</v>
      </c>
    </row>
    <row r="2291" spans="2:13" x14ac:dyDescent="0.2">
      <c r="B2291" s="2346" t="s">
        <v>6936</v>
      </c>
      <c r="C2291" s="2455">
        <f t="shared" si="522"/>
        <v>0</v>
      </c>
      <c r="D2291" s="2455">
        <f t="shared" si="522"/>
        <v>19862</v>
      </c>
      <c r="E2291" s="2455">
        <f t="shared" si="522"/>
        <v>19862</v>
      </c>
      <c r="F2291" s="2455">
        <f t="shared" si="522"/>
        <v>5511</v>
      </c>
      <c r="G2291" s="2455">
        <f t="shared" si="522"/>
        <v>6613.2000000000007</v>
      </c>
      <c r="H2291" s="2455"/>
      <c r="I2291" s="2455">
        <f t="shared" si="522"/>
        <v>4848</v>
      </c>
      <c r="J2291" s="2455">
        <f t="shared" si="522"/>
        <v>19786.14</v>
      </c>
      <c r="K2291" s="2333">
        <f t="shared" si="512"/>
        <v>19786.14</v>
      </c>
      <c r="L2291" s="2455">
        <f t="shared" si="522"/>
        <v>5236</v>
      </c>
      <c r="M2291" s="2455">
        <f t="shared" si="522"/>
        <v>5655</v>
      </c>
    </row>
    <row r="2292" spans="2:13" x14ac:dyDescent="0.2">
      <c r="B2292" s="2346" t="s">
        <v>6937</v>
      </c>
      <c r="C2292" s="2455">
        <f t="shared" si="522"/>
        <v>1248325</v>
      </c>
      <c r="D2292" s="2455">
        <f t="shared" si="522"/>
        <v>1402403</v>
      </c>
      <c r="E2292" s="2455">
        <f t="shared" si="522"/>
        <v>1402403</v>
      </c>
      <c r="F2292" s="2455">
        <f t="shared" si="522"/>
        <v>1162556</v>
      </c>
      <c r="G2292" s="2455">
        <f t="shared" si="522"/>
        <v>1395067.2000000002</v>
      </c>
      <c r="H2292" s="2455"/>
      <c r="I2292" s="2455">
        <f t="shared" si="522"/>
        <v>1527850</v>
      </c>
      <c r="J2292" s="2455">
        <f t="shared" si="522"/>
        <v>1627850</v>
      </c>
      <c r="K2292" s="2333">
        <f t="shared" si="512"/>
        <v>1627850</v>
      </c>
      <c r="L2292" s="2455">
        <f t="shared" si="522"/>
        <v>1650078</v>
      </c>
      <c r="M2292" s="2455">
        <f t="shared" si="522"/>
        <v>1782084</v>
      </c>
    </row>
    <row r="2293" spans="2:13" x14ac:dyDescent="0.2">
      <c r="B2293" s="2346" t="s">
        <v>6938</v>
      </c>
      <c r="C2293" s="2455">
        <f t="shared" si="522"/>
        <v>89003</v>
      </c>
      <c r="D2293" s="2455">
        <f t="shared" si="522"/>
        <v>116305</v>
      </c>
      <c r="E2293" s="2455">
        <f t="shared" si="522"/>
        <v>116305</v>
      </c>
      <c r="F2293" s="2455">
        <f t="shared" si="522"/>
        <v>88135</v>
      </c>
      <c r="G2293" s="2455">
        <f t="shared" si="522"/>
        <v>105762</v>
      </c>
      <c r="H2293" s="2455"/>
      <c r="I2293" s="2455">
        <f t="shared" si="522"/>
        <v>126685</v>
      </c>
      <c r="J2293" s="2455">
        <f t="shared" si="522"/>
        <v>130186</v>
      </c>
      <c r="K2293" s="2333">
        <f t="shared" si="512"/>
        <v>130186</v>
      </c>
      <c r="L2293" s="2455">
        <f t="shared" si="522"/>
        <v>136820</v>
      </c>
      <c r="M2293" s="2455">
        <f t="shared" si="522"/>
        <v>147766</v>
      </c>
    </row>
    <row r="2294" spans="2:13" x14ac:dyDescent="0.2">
      <c r="B2294" s="2346" t="s">
        <v>6939</v>
      </c>
      <c r="C2294" s="2455">
        <f t="shared" si="522"/>
        <v>377111</v>
      </c>
      <c r="D2294" s="2455">
        <f t="shared" si="522"/>
        <v>467467</v>
      </c>
      <c r="E2294" s="2455">
        <f t="shared" si="522"/>
        <v>467467</v>
      </c>
      <c r="F2294" s="2455">
        <f t="shared" si="522"/>
        <v>357114</v>
      </c>
      <c r="G2294" s="2455">
        <f t="shared" si="522"/>
        <v>428536.80000000005</v>
      </c>
      <c r="H2294" s="2455"/>
      <c r="I2294" s="2455">
        <f t="shared" si="522"/>
        <v>509286</v>
      </c>
      <c r="J2294" s="2455">
        <f t="shared" si="522"/>
        <v>524010.62</v>
      </c>
      <c r="K2294" s="2333">
        <f t="shared" si="512"/>
        <v>524010.62</v>
      </c>
      <c r="L2294" s="2455">
        <f t="shared" si="522"/>
        <v>550029</v>
      </c>
      <c r="M2294" s="2455">
        <f t="shared" si="522"/>
        <v>594031</v>
      </c>
    </row>
    <row r="2295" spans="2:13" x14ac:dyDescent="0.2">
      <c r="B2295" s="2346" t="s">
        <v>6940</v>
      </c>
      <c r="C2295" s="2456">
        <f t="shared" si="522"/>
        <v>0</v>
      </c>
      <c r="D2295" s="2456">
        <f t="shared" si="522"/>
        <v>0</v>
      </c>
      <c r="E2295" s="2456">
        <f t="shared" si="522"/>
        <v>0</v>
      </c>
      <c r="F2295" s="2456">
        <f t="shared" si="522"/>
        <v>0</v>
      </c>
      <c r="G2295" s="2456">
        <f t="shared" si="522"/>
        <v>0</v>
      </c>
      <c r="H2295" s="2456"/>
      <c r="I2295" s="2456">
        <f t="shared" si="522"/>
        <v>4509</v>
      </c>
      <c r="J2295" s="2456">
        <f t="shared" si="522"/>
        <v>0</v>
      </c>
      <c r="K2295" s="2333">
        <f t="shared" si="512"/>
        <v>0</v>
      </c>
      <c r="L2295" s="2456">
        <f t="shared" si="522"/>
        <v>4870</v>
      </c>
      <c r="M2295" s="2456">
        <f t="shared" si="522"/>
        <v>5260</v>
      </c>
    </row>
    <row r="2296" spans="2:13" x14ac:dyDescent="0.2">
      <c r="C2296" s="2455">
        <f>SUBTOTAL(9,C2289:C2295)</f>
        <v>1714439</v>
      </c>
      <c r="D2296" s="2455">
        <f t="shared" ref="D2296:M2296" si="523">SUBTOTAL(9,D2289:D2295)</f>
        <v>2006037</v>
      </c>
      <c r="E2296" s="2455">
        <f t="shared" si="523"/>
        <v>2006037</v>
      </c>
      <c r="F2296" s="2455">
        <f t="shared" si="523"/>
        <v>1613316</v>
      </c>
      <c r="G2296" s="2455">
        <f t="shared" si="523"/>
        <v>1935979.2000000002</v>
      </c>
      <c r="H2296" s="2455"/>
      <c r="I2296" s="2455">
        <f t="shared" si="523"/>
        <v>2174900</v>
      </c>
      <c r="J2296" s="2455">
        <f>SUBTOTAL(9,J2289:J2295)</f>
        <v>2301832.7599999998</v>
      </c>
      <c r="K2296" s="2333">
        <f t="shared" si="512"/>
        <v>2301832.7599999998</v>
      </c>
      <c r="L2296" s="2455">
        <f t="shared" si="523"/>
        <v>2348893</v>
      </c>
      <c r="M2296" s="2455">
        <f t="shared" si="523"/>
        <v>2536805</v>
      </c>
    </row>
    <row r="2297" spans="2:13" x14ac:dyDescent="0.2">
      <c r="K2297" s="2333">
        <f t="shared" si="512"/>
        <v>0</v>
      </c>
    </row>
    <row r="2298" spans="2:13" x14ac:dyDescent="0.2">
      <c r="C2298" s="2455">
        <f>+C2186</f>
        <v>1714439</v>
      </c>
      <c r="D2298" s="2455">
        <f t="shared" ref="D2298:M2298" si="524">+D2186</f>
        <v>2006037</v>
      </c>
      <c r="E2298" s="2455">
        <f t="shared" si="524"/>
        <v>2006037</v>
      </c>
      <c r="F2298" s="2455">
        <f t="shared" si="524"/>
        <v>1613316</v>
      </c>
      <c r="G2298" s="2455">
        <f t="shared" si="524"/>
        <v>1935979.2000000002</v>
      </c>
      <c r="H2298" s="2455"/>
      <c r="I2298" s="2455">
        <f t="shared" si="524"/>
        <v>2174900</v>
      </c>
      <c r="J2298" s="2455">
        <f>+J2186</f>
        <v>2321992.7599999998</v>
      </c>
      <c r="K2298" s="2333">
        <f t="shared" si="512"/>
        <v>2321992.7599999998</v>
      </c>
      <c r="L2298" s="2455">
        <f t="shared" si="524"/>
        <v>2348893</v>
      </c>
      <c r="M2298" s="2455">
        <f t="shared" si="524"/>
        <v>2536805</v>
      </c>
    </row>
    <row r="2299" spans="2:13" x14ac:dyDescent="0.2">
      <c r="C2299" s="2455">
        <f>+C2296-C2298</f>
        <v>0</v>
      </c>
      <c r="D2299" s="2455">
        <f t="shared" ref="D2299:M2299" si="525">+D2296-D2298</f>
        <v>0</v>
      </c>
      <c r="E2299" s="2455">
        <f t="shared" si="525"/>
        <v>0</v>
      </c>
      <c r="F2299" s="2455">
        <f t="shared" si="525"/>
        <v>0</v>
      </c>
      <c r="G2299" s="2455">
        <f t="shared" si="525"/>
        <v>0</v>
      </c>
      <c r="H2299" s="2455"/>
      <c r="I2299" s="2455">
        <f t="shared" si="525"/>
        <v>0</v>
      </c>
      <c r="J2299" s="2455">
        <f>+J2296-J2298</f>
        <v>-20160</v>
      </c>
      <c r="K2299" s="2333">
        <f t="shared" si="512"/>
        <v>-20160</v>
      </c>
      <c r="L2299" s="2455">
        <f t="shared" si="525"/>
        <v>0</v>
      </c>
      <c r="M2299" s="2455">
        <f t="shared" si="525"/>
        <v>0</v>
      </c>
    </row>
    <row r="2300" spans="2:13" x14ac:dyDescent="0.2">
      <c r="K2300" s="2333">
        <f t="shared" si="512"/>
        <v>0</v>
      </c>
    </row>
    <row r="2301" spans="2:13" x14ac:dyDescent="0.2">
      <c r="K2301" s="2333">
        <f t="shared" si="512"/>
        <v>0</v>
      </c>
    </row>
    <row r="2302" spans="2:13" x14ac:dyDescent="0.2">
      <c r="K2302" s="2333">
        <f t="shared" si="512"/>
        <v>0</v>
      </c>
    </row>
    <row r="2303" spans="2:13" x14ac:dyDescent="0.2">
      <c r="B2303" s="2450" t="s">
        <v>7281</v>
      </c>
      <c r="K2303" s="2333">
        <f t="shared" si="512"/>
        <v>0</v>
      </c>
    </row>
    <row r="2304" spans="2:13" x14ac:dyDescent="0.2">
      <c r="B2304" s="2308" t="s">
        <v>6955</v>
      </c>
      <c r="C2304" s="2455">
        <f>+C58+C453+C649+C1515+C1642+C1741+C1837+C1941+C2054</f>
        <v>353553</v>
      </c>
      <c r="D2304" s="2455">
        <f>+D58+D453+D649+D1515+D1642+D1741+D1837+D1941+D2054</f>
        <v>929750</v>
      </c>
      <c r="E2304" s="2455">
        <f>+E58+E453+E649+E1515+E1642+E1741+E1837+E1941+E2054</f>
        <v>878256</v>
      </c>
      <c r="F2304" s="2455">
        <f>+F58+F453+F649+F1515+F1642+F1741+F1837+F1941+F2054</f>
        <v>1152012</v>
      </c>
      <c r="G2304" s="2455">
        <f>+G58+G453+G649+G1515+G1642+G1741+G1837+G1941+G2054</f>
        <v>1382414.4</v>
      </c>
      <c r="H2304" s="2455"/>
      <c r="I2304" s="2455">
        <f>+I58+I453+I649+I1515+I1642+I1741+I1837+I1941+I2054</f>
        <v>0</v>
      </c>
      <c r="J2304" s="2455">
        <f>+J58+J453+J649+J1515+J1642+J1741+J1837+J1941+J2054</f>
        <v>0</v>
      </c>
      <c r="K2304" s="2333">
        <f t="shared" si="512"/>
        <v>0</v>
      </c>
      <c r="L2304" s="2455">
        <f>+L58+L453+L649+L1515+L1642+L1741+L1837+L1941+L2054</f>
        <v>0</v>
      </c>
      <c r="M2304" s="2455">
        <f>+M58+M453+M649+M1515+M1642+M1741+M1837+M1941+M2054</f>
        <v>0</v>
      </c>
    </row>
    <row r="2305" spans="2:13" x14ac:dyDescent="0.2">
      <c r="B2305" s="2308" t="s">
        <v>7164</v>
      </c>
      <c r="C2305" s="2455">
        <f>+C1513+C1573+C1641+C1740+C1835+C1944</f>
        <v>36187</v>
      </c>
      <c r="D2305" s="2455">
        <f>+D1513+D1573+D1641+D1740+D1835+D1944</f>
        <v>67200</v>
      </c>
      <c r="E2305" s="2455">
        <f>+E1513+E1573+E1641+E1740+E1835+E1944</f>
        <v>65002</v>
      </c>
      <c r="F2305" s="2455">
        <f>+F1513+F1573+F1641+F1740+F1835+F1944</f>
        <v>42900</v>
      </c>
      <c r="G2305" s="2455">
        <f>+G1513+G1573+G1641+G1740+G1835+G1944</f>
        <v>51480</v>
      </c>
      <c r="H2305" s="2455"/>
      <c r="I2305" s="2455">
        <f>+I1513+I1573+I1641+I1740+I1835+I1944</f>
        <v>0</v>
      </c>
      <c r="J2305" s="2455">
        <f>+J1513+J1573+J1641+J1740+J1835+J1944</f>
        <v>0</v>
      </c>
      <c r="K2305" s="2333">
        <f t="shared" si="512"/>
        <v>0</v>
      </c>
      <c r="L2305" s="2455">
        <f>+L1513+L1573+L1641+L1740+L1835+L1944</f>
        <v>0</v>
      </c>
      <c r="M2305" s="2455">
        <f>+M1513+M1573+M1641+M1740+M1835+M1944</f>
        <v>0</v>
      </c>
    </row>
    <row r="2306" spans="2:13" x14ac:dyDescent="0.2">
      <c r="B2306" s="2308" t="s">
        <v>200</v>
      </c>
      <c r="C2306" s="2455">
        <f>C731+C910+C1512+C1572+C1739+C1834+C1939</f>
        <v>26329</v>
      </c>
      <c r="D2306" s="2455">
        <f>D731+D910+D1512+D1572+D1739+D1834+D1939</f>
        <v>326550</v>
      </c>
      <c r="E2306" s="2455">
        <f>E731+E910+E1512+E1572+E1739+E1834+E1939</f>
        <v>326550</v>
      </c>
      <c r="F2306" s="2455">
        <f>F731+F910+F1512+F1572+F1739+F1834+F1939</f>
        <v>193500</v>
      </c>
      <c r="G2306" s="2455">
        <f>G731+G910+G1512+G1572+G1739+G1834+G1939</f>
        <v>232200.00000000003</v>
      </c>
      <c r="H2306" s="2455"/>
      <c r="I2306" s="2455">
        <f>I731+I910+I1512+I1572+I1739+I1834+I1939</f>
        <v>176400</v>
      </c>
      <c r="J2306" s="2455">
        <f>J731+J910+J1512+J1572+J1739+J1834+J1939</f>
        <v>283229.96000000002</v>
      </c>
      <c r="K2306" s="2333">
        <f t="shared" si="512"/>
        <v>283229.96000000002</v>
      </c>
      <c r="L2306" s="2455">
        <f>L731+L910+L1512+L1572+L1739+L1834+L1939</f>
        <v>186984</v>
      </c>
      <c r="M2306" s="2455">
        <f>M731+M910+M1512+M1572+M1739+M1834+M1939</f>
        <v>198203</v>
      </c>
    </row>
    <row r="2307" spans="2:13" x14ac:dyDescent="0.2">
      <c r="B2307" s="2308" t="s">
        <v>6954</v>
      </c>
      <c r="C2307" s="2455">
        <f>+C57+C452+C528+C648+C846+C911+C980+C1083+C1305</f>
        <v>23080</v>
      </c>
      <c r="D2307" s="2455">
        <f>+D57+D452+D528+D648+D846+D911+D980+D1083+D1305</f>
        <v>141500</v>
      </c>
      <c r="E2307" s="2455">
        <f>+E57+E452+E528+E648+E846+E911+E980+E1083+E1305</f>
        <v>141500</v>
      </c>
      <c r="F2307" s="2455">
        <f>+F57+F452+F528+F648+F846+F911+F980+F1083+F1305</f>
        <v>17321</v>
      </c>
      <c r="G2307" s="2455">
        <f>+G57+G452+G528+G648+G846+G911+G980+G1083+G1305</f>
        <v>20785.199999999997</v>
      </c>
      <c r="H2307" s="2455"/>
      <c r="I2307" s="2455">
        <f>+I57+I452+I528+I648+I846+I911+I980+I1083+I1305</f>
        <v>0</v>
      </c>
      <c r="J2307" s="2455">
        <f>+J57+J452+J528+J648+J846+J911+J980+J1083+J1305</f>
        <v>0</v>
      </c>
      <c r="K2307" s="2333">
        <f t="shared" si="512"/>
        <v>0</v>
      </c>
      <c r="L2307" s="2455">
        <f>+L57+L452+L528+L648+L846+L911+L980+L1083+L1305</f>
        <v>0</v>
      </c>
      <c r="M2307" s="2455">
        <f>+M57+M452+M528+M648+M846+M911+M980+M1083+M1305</f>
        <v>0</v>
      </c>
    </row>
    <row r="2308" spans="2:13" x14ac:dyDescent="0.2">
      <c r="B2308" s="2308" t="s">
        <v>7202</v>
      </c>
      <c r="C2308" s="2384">
        <f>+C1645</f>
        <v>0</v>
      </c>
      <c r="D2308" s="2384">
        <f t="shared" ref="D2308:M2308" si="526">+D1645</f>
        <v>63000</v>
      </c>
      <c r="E2308" s="2384">
        <f t="shared" si="526"/>
        <v>63000</v>
      </c>
      <c r="F2308" s="2384">
        <f t="shared" si="526"/>
        <v>0</v>
      </c>
      <c r="G2308" s="2384">
        <f t="shared" si="526"/>
        <v>0</v>
      </c>
      <c r="H2308" s="2384"/>
      <c r="I2308" s="2384">
        <f t="shared" si="526"/>
        <v>0</v>
      </c>
      <c r="J2308" s="2384">
        <f>+J1645</f>
        <v>0</v>
      </c>
      <c r="K2308" s="2333">
        <f t="shared" si="512"/>
        <v>0</v>
      </c>
      <c r="L2308" s="2384">
        <f t="shared" si="526"/>
        <v>0</v>
      </c>
      <c r="M2308" s="2384">
        <f t="shared" si="526"/>
        <v>0</v>
      </c>
    </row>
    <row r="2309" spans="2:13" x14ac:dyDescent="0.2">
      <c r="B2309" s="2308" t="s">
        <v>7244</v>
      </c>
      <c r="C2309" s="2384">
        <v>0</v>
      </c>
      <c r="D2309" s="2384">
        <v>0</v>
      </c>
      <c r="E2309" s="2384">
        <v>0</v>
      </c>
      <c r="F2309" s="2384">
        <v>0</v>
      </c>
      <c r="G2309" s="2384">
        <v>0</v>
      </c>
      <c r="H2309" s="2384"/>
      <c r="I2309" s="2384">
        <v>0</v>
      </c>
      <c r="J2309" s="2384">
        <v>0</v>
      </c>
      <c r="K2309" s="2333">
        <f t="shared" si="512"/>
        <v>0</v>
      </c>
      <c r="L2309" s="2384">
        <v>0</v>
      </c>
      <c r="M2309" s="2384">
        <v>0</v>
      </c>
    </row>
    <row r="2310" spans="2:13" x14ac:dyDescent="0.2">
      <c r="B2310" s="2308" t="s">
        <v>461</v>
      </c>
      <c r="C2310" s="2384">
        <v>0</v>
      </c>
      <c r="D2310" s="2384">
        <v>0</v>
      </c>
      <c r="E2310" s="2384">
        <v>0</v>
      </c>
      <c r="F2310" s="2384">
        <v>0</v>
      </c>
      <c r="G2310" s="2384">
        <v>0</v>
      </c>
      <c r="H2310" s="2384"/>
      <c r="I2310" s="2384">
        <v>0</v>
      </c>
      <c r="J2310" s="2384">
        <v>0</v>
      </c>
      <c r="K2310" s="2333">
        <f t="shared" si="512"/>
        <v>0</v>
      </c>
      <c r="L2310" s="2384">
        <v>0</v>
      </c>
      <c r="M2310" s="2384">
        <v>0</v>
      </c>
    </row>
    <row r="2311" spans="2:13" x14ac:dyDescent="0.2">
      <c r="B2311" s="2308" t="s">
        <v>7245</v>
      </c>
      <c r="C2311" s="2384">
        <v>0</v>
      </c>
      <c r="D2311" s="2384">
        <v>0</v>
      </c>
      <c r="E2311" s="2384">
        <v>0</v>
      </c>
      <c r="F2311" s="2384">
        <v>0</v>
      </c>
      <c r="G2311" s="2384">
        <v>0</v>
      </c>
      <c r="H2311" s="2384"/>
      <c r="I2311" s="2384">
        <v>0</v>
      </c>
      <c r="J2311" s="2384">
        <v>0</v>
      </c>
      <c r="K2311" s="2333">
        <f t="shared" si="512"/>
        <v>0</v>
      </c>
      <c r="L2311" s="2384">
        <v>0</v>
      </c>
      <c r="M2311" s="2384">
        <v>0</v>
      </c>
    </row>
    <row r="2312" spans="2:13" x14ac:dyDescent="0.2">
      <c r="B2312" s="2308" t="s">
        <v>7172</v>
      </c>
      <c r="C2312" s="2384">
        <f>+C2123</f>
        <v>89</v>
      </c>
      <c r="D2312" s="2384">
        <f t="shared" ref="D2312:M2312" si="527">+D2123</f>
        <v>127050</v>
      </c>
      <c r="E2312" s="2384">
        <f t="shared" si="527"/>
        <v>127050</v>
      </c>
      <c r="F2312" s="2384">
        <f t="shared" si="527"/>
        <v>1050</v>
      </c>
      <c r="G2312" s="2384">
        <f t="shared" si="527"/>
        <v>1260</v>
      </c>
      <c r="H2312" s="2384"/>
      <c r="I2312" s="2384">
        <f t="shared" si="527"/>
        <v>0</v>
      </c>
      <c r="J2312" s="2384">
        <f>+J2123</f>
        <v>0</v>
      </c>
      <c r="K2312" s="2333">
        <f t="shared" si="512"/>
        <v>0</v>
      </c>
      <c r="L2312" s="2384">
        <f t="shared" si="527"/>
        <v>0</v>
      </c>
      <c r="M2312" s="2384">
        <f t="shared" si="527"/>
        <v>0</v>
      </c>
    </row>
    <row r="2313" spans="2:13" x14ac:dyDescent="0.2">
      <c r="B2313" s="2308" t="s">
        <v>139</v>
      </c>
      <c r="C2313" s="2384">
        <v>0</v>
      </c>
      <c r="D2313" s="2384">
        <v>0</v>
      </c>
      <c r="E2313" s="2384">
        <v>0</v>
      </c>
      <c r="F2313" s="2384">
        <v>0</v>
      </c>
      <c r="G2313" s="2384">
        <v>0</v>
      </c>
      <c r="H2313" s="2384"/>
      <c r="I2313" s="2384">
        <v>0</v>
      </c>
      <c r="J2313" s="2384">
        <v>0</v>
      </c>
      <c r="K2313" s="2333">
        <f t="shared" si="512"/>
        <v>0</v>
      </c>
      <c r="L2313" s="2384">
        <v>0</v>
      </c>
      <c r="M2313" s="2384">
        <v>0</v>
      </c>
    </row>
    <row r="2314" spans="2:13" x14ac:dyDescent="0.2">
      <c r="B2314" s="2308" t="s">
        <v>7233</v>
      </c>
      <c r="C2314" s="2384">
        <v>0</v>
      </c>
      <c r="D2314" s="2384">
        <v>0</v>
      </c>
      <c r="E2314" s="2384">
        <v>0</v>
      </c>
      <c r="F2314" s="2384">
        <v>0</v>
      </c>
      <c r="G2314" s="2384">
        <v>0</v>
      </c>
      <c r="H2314" s="2384"/>
      <c r="I2314" s="2384">
        <v>0</v>
      </c>
      <c r="J2314" s="2384">
        <v>0</v>
      </c>
      <c r="K2314" s="2333">
        <f t="shared" si="512"/>
        <v>0</v>
      </c>
      <c r="L2314" s="2384">
        <v>0</v>
      </c>
      <c r="M2314" s="2384">
        <v>0</v>
      </c>
    </row>
    <row r="2315" spans="2:13" x14ac:dyDescent="0.2">
      <c r="B2315" s="2308" t="s">
        <v>7219</v>
      </c>
      <c r="C2315" s="2384">
        <v>0</v>
      </c>
      <c r="D2315" s="2384">
        <v>0</v>
      </c>
      <c r="E2315" s="2384">
        <v>0</v>
      </c>
      <c r="F2315" s="2384">
        <v>0</v>
      </c>
      <c r="G2315" s="2384">
        <v>0</v>
      </c>
      <c r="H2315" s="2384"/>
      <c r="I2315" s="2384">
        <v>0</v>
      </c>
      <c r="J2315" s="2384">
        <v>0</v>
      </c>
      <c r="K2315" s="2333">
        <f t="shared" si="512"/>
        <v>0</v>
      </c>
      <c r="L2315" s="2384">
        <v>0</v>
      </c>
      <c r="M2315" s="2384">
        <v>0</v>
      </c>
    </row>
    <row r="2316" spans="2:13" x14ac:dyDescent="0.2">
      <c r="B2316" s="2308" t="s">
        <v>500</v>
      </c>
      <c r="C2316" s="2384">
        <v>0</v>
      </c>
      <c r="D2316" s="2384">
        <v>0</v>
      </c>
      <c r="E2316" s="2384">
        <v>0</v>
      </c>
      <c r="F2316" s="2384">
        <v>0</v>
      </c>
      <c r="G2316" s="2384">
        <v>0</v>
      </c>
      <c r="H2316" s="2384"/>
      <c r="I2316" s="2384">
        <v>0</v>
      </c>
      <c r="J2316" s="2384">
        <v>0</v>
      </c>
      <c r="K2316" s="2333">
        <f t="shared" si="512"/>
        <v>0</v>
      </c>
      <c r="L2316" s="2384">
        <v>0</v>
      </c>
      <c r="M2316" s="2384">
        <v>0</v>
      </c>
    </row>
    <row r="2317" spans="2:13" x14ac:dyDescent="0.2">
      <c r="B2317" s="2308" t="s">
        <v>688</v>
      </c>
      <c r="C2317" s="2384">
        <v>0</v>
      </c>
      <c r="D2317" s="2384">
        <v>0</v>
      </c>
      <c r="E2317" s="2384">
        <v>0</v>
      </c>
      <c r="F2317" s="2384">
        <v>0</v>
      </c>
      <c r="G2317" s="2384">
        <v>0</v>
      </c>
      <c r="H2317" s="2384"/>
      <c r="I2317" s="2384">
        <v>0</v>
      </c>
      <c r="J2317" s="2384">
        <v>0</v>
      </c>
      <c r="K2317" s="2333">
        <f t="shared" si="512"/>
        <v>0</v>
      </c>
      <c r="L2317" s="2384">
        <v>0</v>
      </c>
      <c r="M2317" s="2384">
        <v>0</v>
      </c>
    </row>
    <row r="2318" spans="2:13" x14ac:dyDescent="0.2">
      <c r="B2318" s="2308" t="s">
        <v>7201</v>
      </c>
      <c r="C2318" s="2384">
        <v>0</v>
      </c>
      <c r="D2318" s="2384">
        <v>0</v>
      </c>
      <c r="E2318" s="2384">
        <v>0</v>
      </c>
      <c r="F2318" s="2384">
        <v>0</v>
      </c>
      <c r="G2318" s="2384">
        <v>0</v>
      </c>
      <c r="H2318" s="2384"/>
      <c r="I2318" s="2384">
        <v>0</v>
      </c>
      <c r="J2318" s="2384">
        <v>0</v>
      </c>
      <c r="K2318" s="2333">
        <f t="shared" si="512"/>
        <v>0</v>
      </c>
      <c r="L2318" s="2384">
        <v>0</v>
      </c>
      <c r="M2318" s="2384">
        <v>0</v>
      </c>
    </row>
    <row r="2319" spans="2:13" x14ac:dyDescent="0.2">
      <c r="B2319" s="2308" t="s">
        <v>7195</v>
      </c>
      <c r="C2319" s="2384">
        <v>0</v>
      </c>
      <c r="D2319" s="2384">
        <v>0</v>
      </c>
      <c r="E2319" s="2384">
        <v>0</v>
      </c>
      <c r="F2319" s="2384">
        <v>0</v>
      </c>
      <c r="G2319" s="2384">
        <v>0</v>
      </c>
      <c r="H2319" s="2384"/>
      <c r="I2319" s="2384">
        <v>0</v>
      </c>
      <c r="J2319" s="2384">
        <v>0</v>
      </c>
      <c r="K2319" s="2333">
        <f t="shared" si="512"/>
        <v>0</v>
      </c>
      <c r="L2319" s="2384">
        <v>0</v>
      </c>
      <c r="M2319" s="2384">
        <v>0</v>
      </c>
    </row>
    <row r="2320" spans="2:13" x14ac:dyDescent="0.2">
      <c r="B2320" s="2308" t="s">
        <v>7182</v>
      </c>
      <c r="C2320" s="2384">
        <v>0</v>
      </c>
      <c r="D2320" s="2384">
        <v>0</v>
      </c>
      <c r="E2320" s="2384">
        <v>0</v>
      </c>
      <c r="F2320" s="2384">
        <v>0</v>
      </c>
      <c r="G2320" s="2384">
        <v>0</v>
      </c>
      <c r="H2320" s="2384"/>
      <c r="I2320" s="2384">
        <v>0</v>
      </c>
      <c r="J2320" s="2384">
        <v>0</v>
      </c>
      <c r="K2320" s="2333">
        <f t="shared" si="512"/>
        <v>0</v>
      </c>
      <c r="L2320" s="2384">
        <v>0</v>
      </c>
      <c r="M2320" s="2384">
        <v>0</v>
      </c>
    </row>
    <row r="2321" spans="2:13" x14ac:dyDescent="0.2">
      <c r="B2321" s="2308" t="s">
        <v>7282</v>
      </c>
      <c r="C2321" s="2384">
        <v>0</v>
      </c>
      <c r="D2321" s="2384">
        <v>0</v>
      </c>
      <c r="E2321" s="2384">
        <v>0</v>
      </c>
      <c r="F2321" s="2384">
        <v>0</v>
      </c>
      <c r="G2321" s="2384">
        <v>0</v>
      </c>
      <c r="H2321" s="2384"/>
      <c r="I2321" s="2384">
        <v>0</v>
      </c>
      <c r="J2321" s="2384">
        <v>0</v>
      </c>
      <c r="K2321" s="2333">
        <f t="shared" si="512"/>
        <v>0</v>
      </c>
      <c r="L2321" s="2384">
        <v>0</v>
      </c>
      <c r="M2321" s="2384">
        <v>0</v>
      </c>
    </row>
    <row r="2322" spans="2:13" x14ac:dyDescent="0.2">
      <c r="B2322" s="2308" t="s">
        <v>4424</v>
      </c>
      <c r="C2322" s="2456">
        <v>0</v>
      </c>
      <c r="D2322" s="2456">
        <v>0</v>
      </c>
      <c r="E2322" s="2456">
        <v>0</v>
      </c>
      <c r="F2322" s="2456">
        <v>0</v>
      </c>
      <c r="G2322" s="2456">
        <v>0</v>
      </c>
      <c r="H2322" s="2456"/>
      <c r="I2322" s="2456">
        <v>0</v>
      </c>
      <c r="J2322" s="2456">
        <v>0</v>
      </c>
      <c r="K2322" s="2333">
        <f t="shared" si="512"/>
        <v>0</v>
      </c>
      <c r="L2322" s="2456">
        <v>0</v>
      </c>
      <c r="M2322" s="2456">
        <v>0</v>
      </c>
    </row>
    <row r="2323" spans="2:13" x14ac:dyDescent="0.2">
      <c r="C2323" s="2455">
        <f>SUBTOTAL(9,C2304:C2322)</f>
        <v>439238</v>
      </c>
      <c r="D2323" s="2455">
        <f t="shared" ref="D2323:M2323" si="528">SUBTOTAL(9,D2304:D2322)</f>
        <v>1655050</v>
      </c>
      <c r="E2323" s="2455">
        <f t="shared" si="528"/>
        <v>1601358</v>
      </c>
      <c r="F2323" s="2455">
        <f t="shared" si="528"/>
        <v>1406783</v>
      </c>
      <c r="G2323" s="2455">
        <f t="shared" si="528"/>
        <v>1688139.5999999999</v>
      </c>
      <c r="H2323" s="2455"/>
      <c r="I2323" s="2455">
        <f t="shared" si="528"/>
        <v>176400</v>
      </c>
      <c r="J2323" s="2455">
        <f>SUBTOTAL(9,J2304:J2322)</f>
        <v>283229.96000000002</v>
      </c>
      <c r="K2323" s="2333">
        <f t="shared" si="512"/>
        <v>283229.96000000002</v>
      </c>
      <c r="L2323" s="2455">
        <f t="shared" si="528"/>
        <v>186984</v>
      </c>
      <c r="M2323" s="2455">
        <f t="shared" si="528"/>
        <v>198203</v>
      </c>
    </row>
    <row r="2324" spans="2:13" x14ac:dyDescent="0.2">
      <c r="C2324" s="2455">
        <f>+C2188</f>
        <v>1346275</v>
      </c>
      <c r="D2324" s="2455">
        <f t="shared" ref="D2324:M2324" si="529">+D2188</f>
        <v>5141300</v>
      </c>
      <c r="E2324" s="2455">
        <f t="shared" si="529"/>
        <v>4137608</v>
      </c>
      <c r="F2324" s="2455">
        <f t="shared" si="529"/>
        <v>2673394</v>
      </c>
      <c r="G2324" s="2455">
        <f t="shared" si="529"/>
        <v>3208072.8</v>
      </c>
      <c r="H2324" s="2455"/>
      <c r="I2324" s="2455">
        <f t="shared" si="529"/>
        <v>3939302.66</v>
      </c>
      <c r="J2324" s="2455">
        <f>+J2188</f>
        <v>1636697.3499999999</v>
      </c>
      <c r="K2324" s="2333">
        <f t="shared" si="512"/>
        <v>1636697.3499999999</v>
      </c>
      <c r="L2324" s="2455">
        <f t="shared" si="529"/>
        <v>186984</v>
      </c>
      <c r="M2324" s="2455">
        <f t="shared" si="529"/>
        <v>198203</v>
      </c>
    </row>
    <row r="2325" spans="2:13" x14ac:dyDescent="0.2">
      <c r="C2325" s="2455">
        <f>+C2323-C2324</f>
        <v>-907037</v>
      </c>
      <c r="D2325" s="2455">
        <f t="shared" ref="D2325:M2325" si="530">+D2323-D2324</f>
        <v>-3486250</v>
      </c>
      <c r="E2325" s="2455">
        <f t="shared" si="530"/>
        <v>-2536250</v>
      </c>
      <c r="F2325" s="2455">
        <f t="shared" si="530"/>
        <v>-1266611</v>
      </c>
      <c r="G2325" s="2455">
        <f t="shared" si="530"/>
        <v>-1519933.2</v>
      </c>
      <c r="H2325" s="2455"/>
      <c r="I2325" s="2455">
        <f t="shared" si="530"/>
        <v>-3762902.66</v>
      </c>
      <c r="J2325" s="2455">
        <f>+J2323-J2324</f>
        <v>-1353467.39</v>
      </c>
      <c r="K2325" s="2333">
        <f t="shared" ref="K2325:K2388" si="531">J2325</f>
        <v>-1353467.39</v>
      </c>
      <c r="L2325" s="2455">
        <f t="shared" si="530"/>
        <v>0</v>
      </c>
      <c r="M2325" s="2455">
        <f t="shared" si="530"/>
        <v>0</v>
      </c>
    </row>
    <row r="2326" spans="2:13" x14ac:dyDescent="0.2">
      <c r="C2326" s="2455"/>
      <c r="D2326" s="2455"/>
      <c r="E2326" s="2455"/>
      <c r="F2326" s="2455"/>
      <c r="G2326" s="2455"/>
      <c r="H2326" s="2455"/>
      <c r="I2326" s="2455"/>
      <c r="J2326" s="2455"/>
      <c r="K2326" s="2333">
        <f t="shared" si="531"/>
        <v>0</v>
      </c>
      <c r="L2326" s="2455"/>
      <c r="M2326" s="2455"/>
    </row>
    <row r="2327" spans="2:13" x14ac:dyDescent="0.2">
      <c r="B2327" s="2308" t="s">
        <v>6482</v>
      </c>
      <c r="C2327" s="2455">
        <f>+C79+C664+C1380+C1526+C1658+C1762+C1851+C1965+C2062</f>
        <v>1069670</v>
      </c>
      <c r="D2327" s="2455">
        <f>+D79+D664+D1380+D1526+D1658+D1762+D1851+D1965+D2062</f>
        <v>1656353</v>
      </c>
      <c r="E2327" s="2455">
        <f>+E79+E664+E1380+E1526+E1658+E1762+E1851+E1965+E2062</f>
        <v>1656353</v>
      </c>
      <c r="F2327" s="2455">
        <f>+F79+F664+F1380+F1526+F1658+F1762+F1851+F1965+F2062</f>
        <v>1020532</v>
      </c>
      <c r="G2327" s="2455">
        <f>+G79+G664+G1380+G1526+G1658+G1762+G1851+G1965+G2062</f>
        <v>1224638.4000000004</v>
      </c>
      <c r="H2327" s="2455"/>
      <c r="I2327" s="2455">
        <f>+I79+I664+I1380+I1526+I1658+I1762+I1851+I1965+I2062</f>
        <v>0</v>
      </c>
      <c r="J2327" s="2455">
        <f>+J79+J664+J1380+J1526+J1658+J1762+J1851+J1965+J2062</f>
        <v>0</v>
      </c>
      <c r="K2327" s="2333">
        <f t="shared" si="531"/>
        <v>0</v>
      </c>
      <c r="L2327" s="2455">
        <f>+L79+L664+L1380+L1526+L1658+L1762+L1851+L1965+L2062</f>
        <v>0</v>
      </c>
      <c r="M2327" s="2455">
        <f>+M79+M664+M1380+M1526+M1658+M1762+M1851+M1965+M2062</f>
        <v>0</v>
      </c>
    </row>
    <row r="2328" spans="2:13" x14ac:dyDescent="0.2">
      <c r="B2328" s="2308" t="s">
        <v>1435</v>
      </c>
      <c r="C2328" s="2455">
        <f>+C669</f>
        <v>0</v>
      </c>
      <c r="D2328" s="2455">
        <f t="shared" ref="D2328:M2328" si="532">+D669</f>
        <v>0</v>
      </c>
      <c r="E2328" s="2455">
        <f t="shared" si="532"/>
        <v>0</v>
      </c>
      <c r="F2328" s="2455">
        <f t="shared" si="532"/>
        <v>0</v>
      </c>
      <c r="G2328" s="2455">
        <f t="shared" si="532"/>
        <v>0</v>
      </c>
      <c r="H2328" s="2455"/>
      <c r="I2328" s="2455">
        <f t="shared" si="532"/>
        <v>2322154</v>
      </c>
      <c r="J2328" s="2455">
        <f>+J669</f>
        <v>2332154</v>
      </c>
      <c r="K2328" s="2333">
        <f t="shared" si="531"/>
        <v>2332154</v>
      </c>
      <c r="L2328" s="2455">
        <f t="shared" si="532"/>
        <v>2322154</v>
      </c>
      <c r="M2328" s="2455">
        <f t="shared" si="532"/>
        <v>2322154</v>
      </c>
    </row>
    <row r="2329" spans="2:13" x14ac:dyDescent="0.2">
      <c r="K2329" s="2333">
        <f t="shared" si="531"/>
        <v>0</v>
      </c>
    </row>
    <row r="2330" spans="2:13" x14ac:dyDescent="0.2">
      <c r="B2330" s="2308" t="s">
        <v>228</v>
      </c>
      <c r="C2330" s="2455">
        <f>+C1148</f>
        <v>621</v>
      </c>
      <c r="D2330" s="2455">
        <f t="shared" ref="D2330:M2330" si="533">+D1148</f>
        <v>31500</v>
      </c>
      <c r="E2330" s="2455">
        <f t="shared" si="533"/>
        <v>31500</v>
      </c>
      <c r="F2330" s="2455">
        <f t="shared" si="533"/>
        <v>0</v>
      </c>
      <c r="G2330" s="2455">
        <f t="shared" si="533"/>
        <v>0</v>
      </c>
      <c r="H2330" s="2455"/>
      <c r="I2330" s="2455">
        <f t="shared" si="533"/>
        <v>0</v>
      </c>
      <c r="J2330" s="2455">
        <f>+J1148</f>
        <v>0</v>
      </c>
      <c r="K2330" s="2333">
        <f t="shared" si="531"/>
        <v>0</v>
      </c>
      <c r="L2330" s="2455">
        <f t="shared" si="533"/>
        <v>0</v>
      </c>
      <c r="M2330" s="2455">
        <f t="shared" si="533"/>
        <v>0</v>
      </c>
    </row>
    <row r="2331" spans="2:13" x14ac:dyDescent="0.2">
      <c r="B2331" s="2308" t="s">
        <v>7283</v>
      </c>
      <c r="C2331" s="2455">
        <f>+C1204+C1205+C1206</f>
        <v>14465</v>
      </c>
      <c r="D2331" s="2455">
        <f t="shared" ref="D2331:M2331" si="534">+D1204+D1205+D1206</f>
        <v>510500</v>
      </c>
      <c r="E2331" s="2455">
        <f t="shared" si="534"/>
        <v>510500</v>
      </c>
      <c r="F2331" s="2455">
        <f t="shared" si="534"/>
        <v>33951</v>
      </c>
      <c r="G2331" s="2455">
        <f t="shared" si="534"/>
        <v>40741.199999999997</v>
      </c>
      <c r="H2331" s="2455"/>
      <c r="I2331" s="2455">
        <f t="shared" si="534"/>
        <v>0</v>
      </c>
      <c r="J2331" s="2455">
        <f>+J1204+J1205+J1206</f>
        <v>0</v>
      </c>
      <c r="K2331" s="2333">
        <f t="shared" si="531"/>
        <v>0</v>
      </c>
      <c r="L2331" s="2455">
        <f t="shared" si="534"/>
        <v>0</v>
      </c>
      <c r="M2331" s="2455">
        <f t="shared" si="534"/>
        <v>0</v>
      </c>
    </row>
    <row r="2332" spans="2:13" x14ac:dyDescent="0.2">
      <c r="B2332" s="2308" t="s">
        <v>691</v>
      </c>
      <c r="C2332" s="2455">
        <f>+C1251+C1252</f>
        <v>0</v>
      </c>
      <c r="D2332" s="2455">
        <f t="shared" ref="D2332:M2332" si="535">+D1251+D1252</f>
        <v>1000000</v>
      </c>
      <c r="E2332" s="2455">
        <f t="shared" si="535"/>
        <v>400000</v>
      </c>
      <c r="F2332" s="2455">
        <f t="shared" si="535"/>
        <v>1433</v>
      </c>
      <c r="G2332" s="2455">
        <f t="shared" si="535"/>
        <v>1719.6000000000001</v>
      </c>
      <c r="H2332" s="2455"/>
      <c r="I2332" s="2455">
        <f t="shared" si="535"/>
        <v>0</v>
      </c>
      <c r="J2332" s="2455">
        <f>+J1251+J1252</f>
        <v>0</v>
      </c>
      <c r="K2332" s="2333">
        <f t="shared" si="531"/>
        <v>0</v>
      </c>
      <c r="L2332" s="2455">
        <f t="shared" si="535"/>
        <v>0</v>
      </c>
      <c r="M2332" s="2455">
        <f t="shared" si="535"/>
        <v>0</v>
      </c>
    </row>
    <row r="2333" spans="2:13" x14ac:dyDescent="0.2">
      <c r="B2333" s="2308" t="s">
        <v>1838</v>
      </c>
      <c r="C2333" s="2455">
        <f>+C1363+C1364</f>
        <v>9664</v>
      </c>
      <c r="D2333" s="2455">
        <f t="shared" ref="D2333:M2333" si="536">+D1363+D1364</f>
        <v>231500</v>
      </c>
      <c r="E2333" s="2455">
        <f t="shared" si="536"/>
        <v>181500</v>
      </c>
      <c r="F2333" s="2455">
        <f t="shared" si="536"/>
        <v>219298</v>
      </c>
      <c r="G2333" s="2455">
        <f t="shared" si="536"/>
        <v>263157.59999999998</v>
      </c>
      <c r="H2333" s="2455"/>
      <c r="I2333" s="2455">
        <f t="shared" si="536"/>
        <v>0</v>
      </c>
      <c r="J2333" s="2455">
        <f>+J1363+J1364</f>
        <v>0</v>
      </c>
      <c r="K2333" s="2333">
        <f t="shared" si="531"/>
        <v>0</v>
      </c>
      <c r="L2333" s="2455">
        <f t="shared" si="536"/>
        <v>0</v>
      </c>
      <c r="M2333" s="2455">
        <f t="shared" si="536"/>
        <v>0</v>
      </c>
    </row>
    <row r="2334" spans="2:13" x14ac:dyDescent="0.2">
      <c r="B2334" s="2308" t="s">
        <v>7284</v>
      </c>
      <c r="C2334" s="2455">
        <f>+C1410</f>
        <v>498</v>
      </c>
      <c r="D2334" s="2455">
        <f t="shared" ref="D2334:M2334" si="537">+D1410</f>
        <v>200000</v>
      </c>
      <c r="E2334" s="2455">
        <f t="shared" si="537"/>
        <v>100000</v>
      </c>
      <c r="F2334" s="2455">
        <f t="shared" si="537"/>
        <v>161082</v>
      </c>
      <c r="G2334" s="2455">
        <f t="shared" si="537"/>
        <v>193298.40000000002</v>
      </c>
      <c r="H2334" s="2455"/>
      <c r="I2334" s="2455">
        <f t="shared" si="537"/>
        <v>0</v>
      </c>
      <c r="J2334" s="2455">
        <f>+J1410</f>
        <v>0</v>
      </c>
      <c r="K2334" s="2333">
        <f t="shared" si="531"/>
        <v>0</v>
      </c>
      <c r="L2334" s="2455">
        <f t="shared" si="537"/>
        <v>0</v>
      </c>
      <c r="M2334" s="2455">
        <f t="shared" si="537"/>
        <v>0</v>
      </c>
    </row>
    <row r="2335" spans="2:13" x14ac:dyDescent="0.2">
      <c r="B2335" s="2308" t="s">
        <v>7106</v>
      </c>
      <c r="C2335" s="2455">
        <f>+C1456</f>
        <v>1000</v>
      </c>
      <c r="D2335" s="2455">
        <f t="shared" ref="D2335:M2335" si="538">+D1456</f>
        <v>80000</v>
      </c>
      <c r="E2335" s="2455">
        <f t="shared" si="538"/>
        <v>80000</v>
      </c>
      <c r="F2335" s="2455">
        <f t="shared" si="538"/>
        <v>0</v>
      </c>
      <c r="G2335" s="2455">
        <f t="shared" si="538"/>
        <v>0</v>
      </c>
      <c r="H2335" s="2455"/>
      <c r="I2335" s="2455">
        <f t="shared" si="538"/>
        <v>0</v>
      </c>
      <c r="J2335" s="2455">
        <f>+J1456</f>
        <v>0</v>
      </c>
      <c r="K2335" s="2333">
        <f t="shared" si="531"/>
        <v>0</v>
      </c>
      <c r="L2335" s="2455">
        <f t="shared" si="538"/>
        <v>0</v>
      </c>
      <c r="M2335" s="2455">
        <f t="shared" si="538"/>
        <v>0</v>
      </c>
    </row>
    <row r="2336" spans="2:13" x14ac:dyDescent="0.2">
      <c r="B2336" s="2308" t="s">
        <v>693</v>
      </c>
      <c r="C2336" s="2455">
        <f>+C1514</f>
        <v>195</v>
      </c>
      <c r="D2336" s="2455">
        <f t="shared" ref="D2336:M2336" si="539">+D1514</f>
        <v>50000</v>
      </c>
      <c r="E2336" s="2455">
        <f t="shared" si="539"/>
        <v>50000</v>
      </c>
      <c r="F2336" s="2455">
        <f t="shared" si="539"/>
        <v>120</v>
      </c>
      <c r="G2336" s="2455">
        <f t="shared" si="539"/>
        <v>144</v>
      </c>
      <c r="H2336" s="2455"/>
      <c r="I2336" s="2455">
        <f t="shared" si="539"/>
        <v>0</v>
      </c>
      <c r="J2336" s="2455">
        <f>+J1514</f>
        <v>0</v>
      </c>
      <c r="K2336" s="2333">
        <f t="shared" si="531"/>
        <v>0</v>
      </c>
      <c r="L2336" s="2455">
        <f t="shared" si="539"/>
        <v>0</v>
      </c>
      <c r="M2336" s="2455">
        <f t="shared" si="539"/>
        <v>0</v>
      </c>
    </row>
    <row r="2337" spans="2:13" x14ac:dyDescent="0.2">
      <c r="B2337" s="2308" t="s">
        <v>7114</v>
      </c>
      <c r="C2337" s="2455">
        <f>+C1574</f>
        <v>3487</v>
      </c>
      <c r="D2337" s="2455">
        <f t="shared" ref="D2337:M2337" si="540">+D1574</f>
        <v>5250</v>
      </c>
      <c r="E2337" s="2455">
        <f t="shared" si="540"/>
        <v>5250</v>
      </c>
      <c r="F2337" s="2455">
        <f t="shared" si="540"/>
        <v>1503</v>
      </c>
      <c r="G2337" s="2455">
        <f t="shared" si="540"/>
        <v>1803.6000000000001</v>
      </c>
      <c r="H2337" s="2455"/>
      <c r="I2337" s="2455">
        <f t="shared" si="540"/>
        <v>0</v>
      </c>
      <c r="J2337" s="2455">
        <f>+J1574</f>
        <v>0</v>
      </c>
      <c r="K2337" s="2333">
        <f t="shared" si="531"/>
        <v>0</v>
      </c>
      <c r="L2337" s="2455">
        <f t="shared" si="540"/>
        <v>0</v>
      </c>
      <c r="M2337" s="2455">
        <f t="shared" si="540"/>
        <v>0</v>
      </c>
    </row>
    <row r="2338" spans="2:13" x14ac:dyDescent="0.2">
      <c r="B2338" s="2308" t="s">
        <v>166</v>
      </c>
      <c r="C2338" s="2455">
        <f>+C1643+C1644</f>
        <v>0</v>
      </c>
      <c r="D2338" s="2455">
        <f t="shared" ref="D2338:M2338" si="541">+D1643+D1644</f>
        <v>155000</v>
      </c>
      <c r="E2338" s="2455">
        <f t="shared" si="541"/>
        <v>155000</v>
      </c>
      <c r="F2338" s="2455">
        <f t="shared" si="541"/>
        <v>0</v>
      </c>
      <c r="G2338" s="2455">
        <f t="shared" si="541"/>
        <v>0</v>
      </c>
      <c r="H2338" s="2455"/>
      <c r="I2338" s="2455">
        <f t="shared" si="541"/>
        <v>0</v>
      </c>
      <c r="J2338" s="2455">
        <f>+J1643+J1644</f>
        <v>0</v>
      </c>
      <c r="K2338" s="2333">
        <f t="shared" si="531"/>
        <v>0</v>
      </c>
      <c r="L2338" s="2455">
        <f t="shared" si="541"/>
        <v>0</v>
      </c>
      <c r="M2338" s="2455">
        <f t="shared" si="541"/>
        <v>0</v>
      </c>
    </row>
    <row r="2339" spans="2:13" x14ac:dyDescent="0.2">
      <c r="B2339" s="2308" t="s">
        <v>7285</v>
      </c>
      <c r="C2339" s="2455">
        <f>+C1742+C1743</f>
        <v>226848</v>
      </c>
      <c r="D2339" s="2455">
        <f t="shared" ref="D2339:M2339" si="542">+D1742+D1743</f>
        <v>262500</v>
      </c>
      <c r="E2339" s="2455">
        <f t="shared" si="542"/>
        <v>262500</v>
      </c>
      <c r="F2339" s="2455">
        <f t="shared" si="542"/>
        <v>80822</v>
      </c>
      <c r="G2339" s="2455">
        <f t="shared" si="542"/>
        <v>96986.4</v>
      </c>
      <c r="H2339" s="2455"/>
      <c r="I2339" s="2455">
        <f t="shared" si="542"/>
        <v>0</v>
      </c>
      <c r="J2339" s="2455">
        <f>+J1742+J1743</f>
        <v>0</v>
      </c>
      <c r="K2339" s="2333">
        <f t="shared" si="531"/>
        <v>0</v>
      </c>
      <c r="L2339" s="2455">
        <f t="shared" si="542"/>
        <v>0</v>
      </c>
      <c r="M2339" s="2455">
        <f t="shared" si="542"/>
        <v>0</v>
      </c>
    </row>
    <row r="2340" spans="2:13" x14ac:dyDescent="0.2">
      <c r="B2340" s="2308" t="s">
        <v>7286</v>
      </c>
      <c r="C2340" s="2455">
        <f>+C1836</f>
        <v>8908</v>
      </c>
      <c r="D2340" s="2455">
        <f t="shared" ref="D2340:M2340" si="543">+D1836</f>
        <v>500000</v>
      </c>
      <c r="E2340" s="2455">
        <f t="shared" si="543"/>
        <v>300000</v>
      </c>
      <c r="F2340" s="2455">
        <f t="shared" si="543"/>
        <v>1811</v>
      </c>
      <c r="G2340" s="2455">
        <f t="shared" si="543"/>
        <v>2173.1999999999998</v>
      </c>
      <c r="H2340" s="2455"/>
      <c r="I2340" s="2455">
        <f t="shared" si="543"/>
        <v>0</v>
      </c>
      <c r="J2340" s="2455">
        <f>+J1836</f>
        <v>0</v>
      </c>
      <c r="K2340" s="2333">
        <f t="shared" si="531"/>
        <v>0</v>
      </c>
      <c r="L2340" s="2455">
        <f t="shared" si="543"/>
        <v>0</v>
      </c>
      <c r="M2340" s="2455">
        <f t="shared" si="543"/>
        <v>0</v>
      </c>
    </row>
    <row r="2341" spans="2:13" x14ac:dyDescent="0.2">
      <c r="B2341" s="2308" t="s">
        <v>236</v>
      </c>
      <c r="C2341" s="2455">
        <f>+C1942+C1943</f>
        <v>641351</v>
      </c>
      <c r="D2341" s="2455">
        <f t="shared" ref="D2341:M2341" si="544">+D1942+D1943</f>
        <v>410000</v>
      </c>
      <c r="E2341" s="2455">
        <f t="shared" si="544"/>
        <v>410000</v>
      </c>
      <c r="F2341" s="2455">
        <f t="shared" si="544"/>
        <v>766591</v>
      </c>
      <c r="G2341" s="2455">
        <f t="shared" si="544"/>
        <v>919909.2</v>
      </c>
      <c r="H2341" s="2455"/>
      <c r="I2341" s="2455">
        <f t="shared" si="544"/>
        <v>0</v>
      </c>
      <c r="J2341" s="2455">
        <f>+J1942+J1943</f>
        <v>0</v>
      </c>
      <c r="K2341" s="2333">
        <f t="shared" si="531"/>
        <v>0</v>
      </c>
      <c r="L2341" s="2455">
        <f t="shared" si="544"/>
        <v>0</v>
      </c>
      <c r="M2341" s="2455">
        <f t="shared" si="544"/>
        <v>0</v>
      </c>
    </row>
    <row r="2342" spans="2:13" x14ac:dyDescent="0.2">
      <c r="B2342" s="2308" t="s">
        <v>139</v>
      </c>
      <c r="C2342" s="2455">
        <f>+C1940</f>
        <v>0</v>
      </c>
      <c r="D2342" s="2455">
        <f t="shared" ref="D2342:M2342" si="545">+D1940</f>
        <v>50000</v>
      </c>
      <c r="E2342" s="2455">
        <f t="shared" si="545"/>
        <v>50000</v>
      </c>
      <c r="F2342" s="2455">
        <f t="shared" si="545"/>
        <v>0</v>
      </c>
      <c r="G2342" s="2455">
        <f t="shared" si="545"/>
        <v>0</v>
      </c>
      <c r="H2342" s="2455"/>
      <c r="I2342" s="2455">
        <f t="shared" si="545"/>
        <v>0</v>
      </c>
      <c r="J2342" s="2455">
        <f>+J1940</f>
        <v>0</v>
      </c>
      <c r="K2342" s="2333">
        <f t="shared" si="531"/>
        <v>0</v>
      </c>
      <c r="L2342" s="2455">
        <f t="shared" si="545"/>
        <v>0</v>
      </c>
      <c r="M2342" s="2455">
        <f t="shared" si="545"/>
        <v>0</v>
      </c>
    </row>
    <row r="2343" spans="2:13" x14ac:dyDescent="0.2">
      <c r="B2343" s="2308" t="s">
        <v>7245</v>
      </c>
      <c r="C2343" s="2455">
        <f>+C2057</f>
        <v>0</v>
      </c>
      <c r="D2343" s="2455">
        <f t="shared" ref="D2343:M2343" si="546">+D2057</f>
        <v>0</v>
      </c>
      <c r="E2343" s="2455">
        <f t="shared" si="546"/>
        <v>0</v>
      </c>
      <c r="F2343" s="2455">
        <f t="shared" si="546"/>
        <v>0</v>
      </c>
      <c r="G2343" s="2455">
        <f t="shared" si="546"/>
        <v>0</v>
      </c>
      <c r="H2343" s="2455"/>
      <c r="I2343" s="2455">
        <f t="shared" si="546"/>
        <v>0</v>
      </c>
      <c r="J2343" s="2455">
        <f>+J2057</f>
        <v>0</v>
      </c>
      <c r="K2343" s="2333">
        <f t="shared" si="531"/>
        <v>0</v>
      </c>
      <c r="L2343" s="2455">
        <f t="shared" si="546"/>
        <v>0</v>
      </c>
      <c r="M2343" s="2455">
        <f t="shared" si="546"/>
        <v>0</v>
      </c>
    </row>
    <row r="2344" spans="2:13" x14ac:dyDescent="0.2">
      <c r="B2344" s="2308" t="s">
        <v>229</v>
      </c>
      <c r="C2344" s="2456">
        <f>+C2053+C2055+C2056</f>
        <v>0</v>
      </c>
      <c r="D2344" s="2456">
        <f t="shared" ref="D2344:M2344" si="547">+D2053+D2055+D2056</f>
        <v>0</v>
      </c>
      <c r="E2344" s="2456">
        <f t="shared" si="547"/>
        <v>0</v>
      </c>
      <c r="F2344" s="2456">
        <f t="shared" si="547"/>
        <v>0</v>
      </c>
      <c r="G2344" s="2456">
        <f t="shared" si="547"/>
        <v>0</v>
      </c>
      <c r="H2344" s="2456"/>
      <c r="I2344" s="2456">
        <f t="shared" si="547"/>
        <v>0</v>
      </c>
      <c r="J2344" s="2456">
        <f>+J2053+J2055+J2056</f>
        <v>0</v>
      </c>
      <c r="K2344" s="2333">
        <f t="shared" si="531"/>
        <v>0</v>
      </c>
      <c r="L2344" s="2456">
        <f t="shared" si="547"/>
        <v>0</v>
      </c>
      <c r="M2344" s="2456">
        <f t="shared" si="547"/>
        <v>0</v>
      </c>
    </row>
    <row r="2345" spans="2:13" x14ac:dyDescent="0.2">
      <c r="C2345" s="2455">
        <f>SUM(C2330:C2344)</f>
        <v>907037</v>
      </c>
      <c r="D2345" s="2455">
        <f t="shared" ref="D2345:M2345" si="548">SUM(D2330:D2344)</f>
        <v>3486250</v>
      </c>
      <c r="E2345" s="2455">
        <f t="shared" si="548"/>
        <v>2536250</v>
      </c>
      <c r="F2345" s="2455">
        <f t="shared" si="548"/>
        <v>1266611</v>
      </c>
      <c r="G2345" s="2455">
        <f t="shared" si="548"/>
        <v>1519933.1999999997</v>
      </c>
      <c r="H2345" s="2455"/>
      <c r="I2345" s="2455">
        <f t="shared" si="548"/>
        <v>0</v>
      </c>
      <c r="J2345" s="2455">
        <f>SUM(J2330:J2344)</f>
        <v>0</v>
      </c>
      <c r="K2345" s="2333">
        <f t="shared" si="531"/>
        <v>0</v>
      </c>
      <c r="L2345" s="2455">
        <f t="shared" si="548"/>
        <v>0</v>
      </c>
      <c r="M2345" s="2455">
        <f t="shared" si="548"/>
        <v>0</v>
      </c>
    </row>
    <row r="2346" spans="2:13" x14ac:dyDescent="0.2">
      <c r="C2346" s="2455">
        <f>+C2325+C2345</f>
        <v>0</v>
      </c>
      <c r="D2346" s="2455">
        <f t="shared" ref="D2346:M2346" si="549">+D2325+D2345</f>
        <v>0</v>
      </c>
      <c r="E2346" s="2455">
        <f t="shared" si="549"/>
        <v>0</v>
      </c>
      <c r="F2346" s="2455">
        <f t="shared" si="549"/>
        <v>0</v>
      </c>
      <c r="G2346" s="2455">
        <f t="shared" si="549"/>
        <v>0</v>
      </c>
      <c r="H2346" s="2455"/>
      <c r="I2346" s="2455">
        <f t="shared" si="549"/>
        <v>-3762902.66</v>
      </c>
      <c r="J2346" s="2455">
        <f>+J2325+J2345</f>
        <v>-1353467.39</v>
      </c>
      <c r="K2346" s="2333">
        <f t="shared" si="531"/>
        <v>-1353467.39</v>
      </c>
      <c r="L2346" s="2455">
        <f t="shared" si="549"/>
        <v>0</v>
      </c>
      <c r="M2346" s="2455">
        <f t="shared" si="549"/>
        <v>0</v>
      </c>
    </row>
    <row r="2347" spans="2:13" x14ac:dyDescent="0.2">
      <c r="K2347" s="2333">
        <f t="shared" si="531"/>
        <v>0</v>
      </c>
    </row>
    <row r="2348" spans="2:13" x14ac:dyDescent="0.2">
      <c r="C2348" s="2455">
        <f>+C2323+C2327+C2345+C2328</f>
        <v>2415945</v>
      </c>
      <c r="D2348" s="2455">
        <f t="shared" ref="D2348:M2348" si="550">+D2323+D2327+D2345+D2328</f>
        <v>6797653</v>
      </c>
      <c r="E2348" s="2455">
        <f t="shared" si="550"/>
        <v>5793961</v>
      </c>
      <c r="F2348" s="2455">
        <f t="shared" si="550"/>
        <v>3693926</v>
      </c>
      <c r="G2348" s="2455">
        <f t="shared" si="550"/>
        <v>4432711.1999999993</v>
      </c>
      <c r="H2348" s="2455"/>
      <c r="I2348" s="2455">
        <f t="shared" si="550"/>
        <v>2498554</v>
      </c>
      <c r="J2348" s="2455">
        <f>+J2323+J2327+J2345+J2328</f>
        <v>2615383.96</v>
      </c>
      <c r="K2348" s="2333">
        <f t="shared" si="531"/>
        <v>2615383.96</v>
      </c>
      <c r="L2348" s="2455">
        <f t="shared" si="550"/>
        <v>2509138</v>
      </c>
      <c r="M2348" s="2455">
        <f t="shared" si="550"/>
        <v>2520357</v>
      </c>
    </row>
    <row r="2349" spans="2:13" x14ac:dyDescent="0.2">
      <c r="K2349" s="2333">
        <f t="shared" si="531"/>
        <v>0</v>
      </c>
    </row>
    <row r="2350" spans="2:13" x14ac:dyDescent="0.2">
      <c r="K2350" s="2333">
        <f t="shared" si="531"/>
        <v>0</v>
      </c>
    </row>
    <row r="2351" spans="2:13" x14ac:dyDescent="0.2">
      <c r="K2351" s="2333">
        <f t="shared" si="531"/>
        <v>0</v>
      </c>
    </row>
    <row r="2352" spans="2:13" x14ac:dyDescent="0.2">
      <c r="K2352" s="2333">
        <f t="shared" si="531"/>
        <v>0</v>
      </c>
    </row>
    <row r="2353" spans="11:11" x14ac:dyDescent="0.2">
      <c r="K2353" s="2333">
        <f t="shared" si="531"/>
        <v>0</v>
      </c>
    </row>
    <row r="2354" spans="11:11" x14ac:dyDescent="0.2">
      <c r="K2354" s="2333">
        <f t="shared" si="531"/>
        <v>0</v>
      </c>
    </row>
    <row r="2355" spans="11:11" x14ac:dyDescent="0.2">
      <c r="K2355" s="2333">
        <f t="shared" si="531"/>
        <v>0</v>
      </c>
    </row>
    <row r="2356" spans="11:11" x14ac:dyDescent="0.2">
      <c r="K2356" s="2333">
        <f t="shared" si="531"/>
        <v>0</v>
      </c>
    </row>
    <row r="2357" spans="11:11" x14ac:dyDescent="0.2">
      <c r="K2357" s="2333">
        <f t="shared" si="531"/>
        <v>0</v>
      </c>
    </row>
    <row r="2358" spans="11:11" x14ac:dyDescent="0.2">
      <c r="K2358" s="2333">
        <f t="shared" si="531"/>
        <v>0</v>
      </c>
    </row>
    <row r="2359" spans="11:11" x14ac:dyDescent="0.2">
      <c r="K2359" s="2333">
        <f t="shared" si="531"/>
        <v>0</v>
      </c>
    </row>
    <row r="2360" spans="11:11" x14ac:dyDescent="0.2">
      <c r="K2360" s="2333">
        <f t="shared" si="531"/>
        <v>0</v>
      </c>
    </row>
    <row r="2361" spans="11:11" x14ac:dyDescent="0.2">
      <c r="K2361" s="2333">
        <f t="shared" si="531"/>
        <v>0</v>
      </c>
    </row>
    <row r="2362" spans="11:11" x14ac:dyDescent="0.2">
      <c r="K2362" s="2333">
        <f t="shared" si="531"/>
        <v>0</v>
      </c>
    </row>
    <row r="2363" spans="11:11" x14ac:dyDescent="0.2">
      <c r="K2363" s="2333">
        <f t="shared" si="531"/>
        <v>0</v>
      </c>
    </row>
    <row r="2364" spans="11:11" x14ac:dyDescent="0.2">
      <c r="K2364" s="2333">
        <f t="shared" si="531"/>
        <v>0</v>
      </c>
    </row>
    <row r="2365" spans="11:11" x14ac:dyDescent="0.2">
      <c r="K2365" s="2333">
        <f t="shared" si="531"/>
        <v>0</v>
      </c>
    </row>
    <row r="2366" spans="11:11" x14ac:dyDescent="0.2">
      <c r="K2366" s="2333">
        <f t="shared" si="531"/>
        <v>0</v>
      </c>
    </row>
    <row r="2367" spans="11:11" x14ac:dyDescent="0.2">
      <c r="K2367" s="2333">
        <f t="shared" si="531"/>
        <v>0</v>
      </c>
    </row>
    <row r="2368" spans="11:11" x14ac:dyDescent="0.2">
      <c r="K2368" s="2333">
        <f t="shared" si="531"/>
        <v>0</v>
      </c>
    </row>
    <row r="2369" spans="11:11" x14ac:dyDescent="0.2">
      <c r="K2369" s="2333">
        <f t="shared" si="531"/>
        <v>0</v>
      </c>
    </row>
    <row r="2370" spans="11:11" x14ac:dyDescent="0.2">
      <c r="K2370" s="2333">
        <f t="shared" si="531"/>
        <v>0</v>
      </c>
    </row>
    <row r="2371" spans="11:11" x14ac:dyDescent="0.2">
      <c r="K2371" s="2333">
        <f t="shared" si="531"/>
        <v>0</v>
      </c>
    </row>
    <row r="2372" spans="11:11" x14ac:dyDescent="0.2">
      <c r="K2372" s="2333">
        <f t="shared" si="531"/>
        <v>0</v>
      </c>
    </row>
    <row r="2373" spans="11:11" x14ac:dyDescent="0.2">
      <c r="K2373" s="2333">
        <f t="shared" si="531"/>
        <v>0</v>
      </c>
    </row>
    <row r="2374" spans="11:11" x14ac:dyDescent="0.2">
      <c r="K2374" s="2333">
        <f t="shared" si="531"/>
        <v>0</v>
      </c>
    </row>
    <row r="2375" spans="11:11" x14ac:dyDescent="0.2">
      <c r="K2375" s="2333">
        <f t="shared" si="531"/>
        <v>0</v>
      </c>
    </row>
    <row r="2376" spans="11:11" x14ac:dyDescent="0.2">
      <c r="K2376" s="2333">
        <f t="shared" si="531"/>
        <v>0</v>
      </c>
    </row>
    <row r="2377" spans="11:11" x14ac:dyDescent="0.2">
      <c r="K2377" s="2333">
        <f t="shared" si="531"/>
        <v>0</v>
      </c>
    </row>
    <row r="2378" spans="11:11" x14ac:dyDescent="0.2">
      <c r="K2378" s="2333">
        <f t="shared" si="531"/>
        <v>0</v>
      </c>
    </row>
    <row r="2379" spans="11:11" x14ac:dyDescent="0.2">
      <c r="K2379" s="2333">
        <f t="shared" si="531"/>
        <v>0</v>
      </c>
    </row>
    <row r="2380" spans="11:11" x14ac:dyDescent="0.2">
      <c r="K2380" s="2333">
        <f t="shared" si="531"/>
        <v>0</v>
      </c>
    </row>
    <row r="2381" spans="11:11" x14ac:dyDescent="0.2">
      <c r="K2381" s="2333">
        <f t="shared" si="531"/>
        <v>0</v>
      </c>
    </row>
    <row r="2382" spans="11:11" x14ac:dyDescent="0.2">
      <c r="K2382" s="2333">
        <f t="shared" si="531"/>
        <v>0</v>
      </c>
    </row>
    <row r="2383" spans="11:11" x14ac:dyDescent="0.2">
      <c r="K2383" s="2333">
        <f t="shared" si="531"/>
        <v>0</v>
      </c>
    </row>
    <row r="2384" spans="11:11" x14ac:dyDescent="0.2">
      <c r="K2384" s="2333">
        <f t="shared" si="531"/>
        <v>0</v>
      </c>
    </row>
    <row r="2385" spans="11:11" x14ac:dyDescent="0.2">
      <c r="K2385" s="2333">
        <f t="shared" si="531"/>
        <v>0</v>
      </c>
    </row>
    <row r="2386" spans="11:11" x14ac:dyDescent="0.2">
      <c r="K2386" s="2333">
        <f t="shared" si="531"/>
        <v>0</v>
      </c>
    </row>
    <row r="2387" spans="11:11" x14ac:dyDescent="0.2">
      <c r="K2387" s="2333">
        <f t="shared" si="531"/>
        <v>0</v>
      </c>
    </row>
    <row r="2388" spans="11:11" x14ac:dyDescent="0.2">
      <c r="K2388" s="2333">
        <f t="shared" si="531"/>
        <v>0</v>
      </c>
    </row>
    <row r="2389" spans="11:11" x14ac:dyDescent="0.2">
      <c r="K2389" s="2333">
        <f t="shared" ref="K2389:K2418" si="551">J2389</f>
        <v>0</v>
      </c>
    </row>
    <row r="2390" spans="11:11" x14ac:dyDescent="0.2">
      <c r="K2390" s="2333">
        <f t="shared" si="551"/>
        <v>0</v>
      </c>
    </row>
    <row r="2391" spans="11:11" x14ac:dyDescent="0.2">
      <c r="K2391" s="2333">
        <f t="shared" si="551"/>
        <v>0</v>
      </c>
    </row>
    <row r="2392" spans="11:11" x14ac:dyDescent="0.2">
      <c r="K2392" s="2333">
        <f t="shared" si="551"/>
        <v>0</v>
      </c>
    </row>
    <row r="2393" spans="11:11" x14ac:dyDescent="0.2">
      <c r="K2393" s="2333">
        <f t="shared" si="551"/>
        <v>0</v>
      </c>
    </row>
    <row r="2394" spans="11:11" x14ac:dyDescent="0.2">
      <c r="K2394" s="2333">
        <f t="shared" si="551"/>
        <v>0</v>
      </c>
    </row>
    <row r="2395" spans="11:11" x14ac:dyDescent="0.2">
      <c r="K2395" s="2333">
        <f t="shared" si="551"/>
        <v>0</v>
      </c>
    </row>
    <row r="2396" spans="11:11" x14ac:dyDescent="0.2">
      <c r="K2396" s="2333">
        <f t="shared" si="551"/>
        <v>0</v>
      </c>
    </row>
    <row r="2397" spans="11:11" x14ac:dyDescent="0.2">
      <c r="K2397" s="2333">
        <f t="shared" si="551"/>
        <v>0</v>
      </c>
    </row>
    <row r="2398" spans="11:11" x14ac:dyDescent="0.2">
      <c r="K2398" s="2333">
        <f t="shared" si="551"/>
        <v>0</v>
      </c>
    </row>
    <row r="2399" spans="11:11" x14ac:dyDescent="0.2">
      <c r="K2399" s="2333">
        <f t="shared" si="551"/>
        <v>0</v>
      </c>
    </row>
    <row r="2400" spans="11:11" x14ac:dyDescent="0.2">
      <c r="K2400" s="2333">
        <f t="shared" si="551"/>
        <v>0</v>
      </c>
    </row>
    <row r="2401" spans="11:11" x14ac:dyDescent="0.2">
      <c r="K2401" s="2333">
        <f t="shared" si="551"/>
        <v>0</v>
      </c>
    </row>
    <row r="2402" spans="11:11" x14ac:dyDescent="0.2">
      <c r="K2402" s="2333">
        <f t="shared" si="551"/>
        <v>0</v>
      </c>
    </row>
    <row r="2403" spans="11:11" x14ac:dyDescent="0.2">
      <c r="K2403" s="2333">
        <f t="shared" si="551"/>
        <v>0</v>
      </c>
    </row>
    <row r="2404" spans="11:11" x14ac:dyDescent="0.2">
      <c r="K2404" s="2333">
        <f t="shared" si="551"/>
        <v>0</v>
      </c>
    </row>
    <row r="2405" spans="11:11" x14ac:dyDescent="0.2">
      <c r="K2405" s="2333">
        <f t="shared" si="551"/>
        <v>0</v>
      </c>
    </row>
    <row r="2406" spans="11:11" x14ac:dyDescent="0.2">
      <c r="K2406" s="2333">
        <f t="shared" si="551"/>
        <v>0</v>
      </c>
    </row>
    <row r="2407" spans="11:11" x14ac:dyDescent="0.2">
      <c r="K2407" s="2333">
        <f t="shared" si="551"/>
        <v>0</v>
      </c>
    </row>
    <row r="2408" spans="11:11" x14ac:dyDescent="0.2">
      <c r="K2408" s="2333">
        <f t="shared" si="551"/>
        <v>0</v>
      </c>
    </row>
    <row r="2409" spans="11:11" x14ac:dyDescent="0.2">
      <c r="K2409" s="2333">
        <f t="shared" si="551"/>
        <v>0</v>
      </c>
    </row>
    <row r="2410" spans="11:11" x14ac:dyDescent="0.2">
      <c r="K2410" s="2333">
        <f t="shared" si="551"/>
        <v>0</v>
      </c>
    </row>
    <row r="2411" spans="11:11" x14ac:dyDescent="0.2">
      <c r="K2411" s="2333">
        <f t="shared" si="551"/>
        <v>0</v>
      </c>
    </row>
    <row r="2412" spans="11:11" x14ac:dyDescent="0.2">
      <c r="K2412" s="2333">
        <f t="shared" si="551"/>
        <v>0</v>
      </c>
    </row>
    <row r="2413" spans="11:11" x14ac:dyDescent="0.2">
      <c r="K2413" s="2333">
        <f t="shared" si="551"/>
        <v>0</v>
      </c>
    </row>
    <row r="2414" spans="11:11" x14ac:dyDescent="0.2">
      <c r="K2414" s="2333">
        <f t="shared" si="551"/>
        <v>0</v>
      </c>
    </row>
    <row r="2415" spans="11:11" x14ac:dyDescent="0.2">
      <c r="K2415" s="2333">
        <f t="shared" si="551"/>
        <v>0</v>
      </c>
    </row>
    <row r="2416" spans="11:11" x14ac:dyDescent="0.2">
      <c r="K2416" s="2333">
        <f t="shared" si="551"/>
        <v>0</v>
      </c>
    </row>
    <row r="2417" spans="11:11" x14ac:dyDescent="0.2">
      <c r="K2417" s="2333">
        <f t="shared" si="551"/>
        <v>0</v>
      </c>
    </row>
    <row r="2418" spans="11:11" x14ac:dyDescent="0.2">
      <c r="K2418" s="2333">
        <f t="shared" si="551"/>
        <v>0</v>
      </c>
    </row>
  </sheetData>
  <mergeCells count="18">
    <mergeCell ref="F8:F10"/>
    <mergeCell ref="A1:M1"/>
    <mergeCell ref="A3:M3"/>
    <mergeCell ref="D6:G7"/>
    <mergeCell ref="I6:M7"/>
    <mergeCell ref="J8:J10"/>
    <mergeCell ref="K8:K10"/>
    <mergeCell ref="L8:L10"/>
    <mergeCell ref="M8:M10"/>
    <mergeCell ref="G8:G10"/>
    <mergeCell ref="H8:H10"/>
    <mergeCell ref="I8:I10"/>
    <mergeCell ref="C8:C10"/>
    <mergeCell ref="D8:D10"/>
    <mergeCell ref="A6:A10"/>
    <mergeCell ref="B6:B10"/>
    <mergeCell ref="C6:C7"/>
    <mergeCell ref="E8:E1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9"/>
  <sheetViews>
    <sheetView topLeftCell="A656" workbookViewId="0">
      <selection activeCell="F21" sqref="F21"/>
    </sheetView>
  </sheetViews>
  <sheetFormatPr defaultRowHeight="12.75" x14ac:dyDescent="0.2"/>
  <cols>
    <col min="1" max="1" width="19.5703125" bestFit="1" customWidth="1"/>
    <col min="2" max="2" width="37.28515625" bestFit="1" customWidth="1"/>
    <col min="3" max="3" width="15" style="2022" bestFit="1" customWidth="1"/>
    <col min="4" max="4" width="15.5703125" style="2022" bestFit="1" customWidth="1"/>
    <col min="5" max="5" width="15" style="2022" bestFit="1" customWidth="1"/>
    <col min="6" max="6" width="15.5703125" style="2022" bestFit="1" customWidth="1"/>
    <col min="7" max="8" width="17.42578125" style="2022" bestFit="1" customWidth="1"/>
    <col min="9" max="9" width="15.5703125" style="2022" bestFit="1" customWidth="1"/>
  </cols>
  <sheetData>
    <row r="1" spans="1:9" x14ac:dyDescent="0.2">
      <c r="A1" t="s">
        <v>5997</v>
      </c>
      <c r="B1" t="s">
        <v>7</v>
      </c>
      <c r="D1" s="2022" t="s">
        <v>5992</v>
      </c>
      <c r="E1" s="2022" t="s">
        <v>5993</v>
      </c>
      <c r="F1" s="2022" t="s">
        <v>5994</v>
      </c>
      <c r="G1" s="2022" t="s">
        <v>5995</v>
      </c>
      <c r="H1" s="2022" t="s">
        <v>5996</v>
      </c>
    </row>
    <row r="2" spans="1:9" x14ac:dyDescent="0.2">
      <c r="C2" s="2022" t="s">
        <v>243</v>
      </c>
      <c r="D2" s="2022" t="s">
        <v>5998</v>
      </c>
      <c r="E2" s="2022" t="s">
        <v>5999</v>
      </c>
      <c r="F2" s="2022" t="s">
        <v>6000</v>
      </c>
      <c r="G2" s="2022" t="s">
        <v>6001</v>
      </c>
      <c r="H2" s="2022" t="s">
        <v>6002</v>
      </c>
    </row>
    <row r="3" spans="1:9" x14ac:dyDescent="0.2">
      <c r="A3" t="s">
        <v>4807</v>
      </c>
      <c r="B3" t="s">
        <v>6003</v>
      </c>
      <c r="C3" s="2022">
        <v>1143565.23</v>
      </c>
      <c r="D3" s="2022">
        <v>0</v>
      </c>
      <c r="E3" s="2022">
        <v>1320309.21</v>
      </c>
      <c r="F3" s="2022">
        <v>-332367.58</v>
      </c>
      <c r="G3" s="2022">
        <v>987941.63</v>
      </c>
      <c r="H3" s="2022">
        <v>0</v>
      </c>
      <c r="I3" s="2022">
        <f t="shared" ref="I3:I66" si="0">G3+H3</f>
        <v>987941.63</v>
      </c>
    </row>
    <row r="4" spans="1:9" x14ac:dyDescent="0.2">
      <c r="A4" t="s">
        <v>4811</v>
      </c>
      <c r="B4" t="s">
        <v>6004</v>
      </c>
      <c r="C4" s="2022">
        <v>116860.07</v>
      </c>
      <c r="D4" s="2022">
        <v>0</v>
      </c>
      <c r="E4" s="2022">
        <v>65844.820000000007</v>
      </c>
      <c r="F4" s="2022">
        <v>0</v>
      </c>
      <c r="G4" s="2022">
        <v>65844.820000000007</v>
      </c>
      <c r="H4" s="2022">
        <v>0</v>
      </c>
      <c r="I4" s="2022">
        <f t="shared" si="0"/>
        <v>65844.820000000007</v>
      </c>
    </row>
    <row r="5" spans="1:9" x14ac:dyDescent="0.2">
      <c r="A5" t="s">
        <v>4813</v>
      </c>
      <c r="B5" t="s">
        <v>6005</v>
      </c>
      <c r="C5" s="2022">
        <v>6100</v>
      </c>
      <c r="D5" s="2022">
        <v>0</v>
      </c>
      <c r="E5" s="2022">
        <v>6100</v>
      </c>
      <c r="F5" s="2022">
        <v>0</v>
      </c>
      <c r="G5" s="2022">
        <v>6100</v>
      </c>
      <c r="H5" s="2022">
        <v>0</v>
      </c>
      <c r="I5" s="2022">
        <f t="shared" si="0"/>
        <v>6100</v>
      </c>
    </row>
    <row r="6" spans="1:9" x14ac:dyDescent="0.2">
      <c r="A6" t="s">
        <v>4815</v>
      </c>
      <c r="B6" t="s">
        <v>6006</v>
      </c>
      <c r="C6" s="2022">
        <v>0</v>
      </c>
      <c r="D6" s="2022">
        <v>0</v>
      </c>
      <c r="E6" s="2022">
        <v>2048</v>
      </c>
      <c r="F6" s="2022">
        <v>0</v>
      </c>
      <c r="G6" s="2022">
        <v>2048</v>
      </c>
      <c r="H6" s="2022">
        <v>0</v>
      </c>
      <c r="I6" s="2022">
        <f t="shared" si="0"/>
        <v>2048</v>
      </c>
    </row>
    <row r="7" spans="1:9" x14ac:dyDescent="0.2">
      <c r="A7" t="s">
        <v>4817</v>
      </c>
      <c r="B7" t="s">
        <v>6007</v>
      </c>
      <c r="C7" s="2022">
        <v>0</v>
      </c>
      <c r="D7" s="2022">
        <v>0</v>
      </c>
      <c r="E7" s="2022">
        <v>19586.66</v>
      </c>
      <c r="F7" s="2022">
        <v>0</v>
      </c>
      <c r="G7" s="2022">
        <v>19586.66</v>
      </c>
      <c r="H7" s="2022">
        <v>0</v>
      </c>
      <c r="I7" s="2022">
        <f t="shared" si="0"/>
        <v>19586.66</v>
      </c>
    </row>
    <row r="8" spans="1:9" x14ac:dyDescent="0.2">
      <c r="A8" t="s">
        <v>4819</v>
      </c>
      <c r="B8" t="s">
        <v>6008</v>
      </c>
      <c r="C8" s="2022">
        <v>4832</v>
      </c>
      <c r="D8" s="2022">
        <v>0</v>
      </c>
      <c r="E8" s="2022">
        <v>3584</v>
      </c>
      <c r="F8" s="2022">
        <v>-800</v>
      </c>
      <c r="G8" s="2022">
        <v>2784</v>
      </c>
      <c r="H8" s="2022">
        <v>0</v>
      </c>
      <c r="I8" s="2022">
        <f t="shared" si="0"/>
        <v>2784</v>
      </c>
    </row>
    <row r="9" spans="1:9" x14ac:dyDescent="0.2">
      <c r="A9" t="s">
        <v>4821</v>
      </c>
      <c r="B9" t="s">
        <v>6009</v>
      </c>
      <c r="C9" s="2022">
        <v>200907.34</v>
      </c>
      <c r="D9" s="2022">
        <v>0</v>
      </c>
      <c r="E9" s="2022">
        <v>186542.41</v>
      </c>
      <c r="F9" s="2022">
        <v>-3135.07</v>
      </c>
      <c r="G9" s="2022">
        <v>183407.34</v>
      </c>
      <c r="H9" s="2022">
        <v>0</v>
      </c>
      <c r="I9" s="2022">
        <f t="shared" si="0"/>
        <v>183407.34</v>
      </c>
    </row>
    <row r="10" spans="1:9" x14ac:dyDescent="0.2">
      <c r="A10" t="s">
        <v>4823</v>
      </c>
      <c r="B10" t="s">
        <v>6010</v>
      </c>
      <c r="C10" s="2022">
        <v>516.6</v>
      </c>
      <c r="D10" s="2022">
        <v>0</v>
      </c>
      <c r="E10" s="2022">
        <v>520.70000000000005</v>
      </c>
      <c r="F10" s="2022">
        <v>0</v>
      </c>
      <c r="G10" s="2022">
        <v>520.70000000000005</v>
      </c>
      <c r="H10" s="2022">
        <v>0</v>
      </c>
      <c r="I10" s="2022">
        <f t="shared" si="0"/>
        <v>520.70000000000005</v>
      </c>
    </row>
    <row r="11" spans="1:9" x14ac:dyDescent="0.2">
      <c r="A11" t="s">
        <v>4825</v>
      </c>
      <c r="B11" t="s">
        <v>6011</v>
      </c>
      <c r="C11" s="2022">
        <v>13137.49</v>
      </c>
      <c r="D11" s="2022">
        <v>0</v>
      </c>
      <c r="E11" s="2022">
        <v>13657.96</v>
      </c>
      <c r="F11" s="2022">
        <v>0</v>
      </c>
      <c r="G11" s="2022">
        <v>13657.96</v>
      </c>
      <c r="H11" s="2022">
        <v>0</v>
      </c>
      <c r="I11" s="2022">
        <f t="shared" si="0"/>
        <v>13657.96</v>
      </c>
    </row>
    <row r="12" spans="1:9" x14ac:dyDescent="0.2">
      <c r="A12" t="s">
        <v>4828</v>
      </c>
      <c r="B12" t="s">
        <v>6012</v>
      </c>
      <c r="C12" s="2022">
        <v>44543.3</v>
      </c>
      <c r="D12" s="2022">
        <v>0</v>
      </c>
      <c r="E12" s="2022">
        <v>51328.1</v>
      </c>
      <c r="F12" s="2022">
        <v>0</v>
      </c>
      <c r="G12" s="2022">
        <v>51328.1</v>
      </c>
      <c r="H12" s="2022">
        <v>0</v>
      </c>
      <c r="I12" s="2022">
        <f t="shared" si="0"/>
        <v>51328.1</v>
      </c>
    </row>
    <row r="13" spans="1:9" x14ac:dyDescent="0.2">
      <c r="A13" t="s">
        <v>4830</v>
      </c>
      <c r="B13" t="s">
        <v>6013</v>
      </c>
      <c r="C13" s="2022">
        <v>153431.67999999999</v>
      </c>
      <c r="D13" s="2022">
        <v>0</v>
      </c>
      <c r="E13" s="2022">
        <v>153431.67999999999</v>
      </c>
      <c r="F13" s="2022">
        <v>0</v>
      </c>
      <c r="G13" s="2022">
        <v>153431.67999999999</v>
      </c>
      <c r="H13" s="2022">
        <v>0</v>
      </c>
      <c r="I13" s="2022">
        <f t="shared" si="0"/>
        <v>153431.67999999999</v>
      </c>
    </row>
    <row r="14" spans="1:9" x14ac:dyDescent="0.2">
      <c r="A14" t="s">
        <v>4832</v>
      </c>
      <c r="B14" t="s">
        <v>6014</v>
      </c>
      <c r="C14" s="2022">
        <v>27437.11</v>
      </c>
      <c r="D14" s="2022">
        <v>0</v>
      </c>
      <c r="E14" s="2022">
        <v>22178.560000000001</v>
      </c>
      <c r="F14" s="2022">
        <v>0</v>
      </c>
      <c r="G14" s="2022">
        <v>22178.560000000001</v>
      </c>
      <c r="H14" s="2022">
        <v>0</v>
      </c>
      <c r="I14" s="2022">
        <f t="shared" si="0"/>
        <v>22178.560000000001</v>
      </c>
    </row>
    <row r="15" spans="1:9" x14ac:dyDescent="0.2">
      <c r="A15" t="s">
        <v>4834</v>
      </c>
      <c r="B15" t="s">
        <v>6015</v>
      </c>
      <c r="C15" s="2022">
        <v>1718838.6</v>
      </c>
      <c r="D15" s="2022">
        <v>0</v>
      </c>
      <c r="E15" s="2022">
        <v>1731227.52</v>
      </c>
      <c r="F15" s="2022">
        <v>0</v>
      </c>
      <c r="G15" s="2022">
        <v>1731227.52</v>
      </c>
      <c r="H15" s="2022">
        <v>0</v>
      </c>
      <c r="I15" s="2022">
        <f t="shared" si="0"/>
        <v>1731227.52</v>
      </c>
    </row>
    <row r="16" spans="1:9" x14ac:dyDescent="0.2">
      <c r="A16" t="s">
        <v>4836</v>
      </c>
      <c r="B16" t="s">
        <v>4837</v>
      </c>
      <c r="C16" s="2022">
        <v>174768</v>
      </c>
      <c r="D16" s="2022">
        <v>0</v>
      </c>
      <c r="E16" s="2022">
        <v>136320</v>
      </c>
      <c r="F16" s="2022">
        <v>0</v>
      </c>
      <c r="G16" s="2022">
        <v>136320</v>
      </c>
      <c r="H16" s="2022">
        <v>0</v>
      </c>
      <c r="I16" s="2022">
        <f t="shared" si="0"/>
        <v>136320</v>
      </c>
    </row>
    <row r="17" spans="1:9" x14ac:dyDescent="0.2">
      <c r="A17" t="s">
        <v>4838</v>
      </c>
      <c r="B17" t="s">
        <v>4839</v>
      </c>
      <c r="C17" s="2022">
        <v>572949.6</v>
      </c>
      <c r="D17" s="2022">
        <v>0</v>
      </c>
      <c r="E17" s="2022">
        <v>530161.11</v>
      </c>
      <c r="F17" s="2022">
        <v>0</v>
      </c>
      <c r="G17" s="2022">
        <v>530161.11</v>
      </c>
      <c r="H17" s="2022">
        <v>0</v>
      </c>
      <c r="I17" s="2022">
        <f t="shared" si="0"/>
        <v>530161.11</v>
      </c>
    </row>
    <row r="18" spans="1:9" x14ac:dyDescent="0.2">
      <c r="A18" t="s">
        <v>4840</v>
      </c>
      <c r="B18" t="s">
        <v>6016</v>
      </c>
      <c r="C18" s="2022">
        <v>24665.56</v>
      </c>
      <c r="D18" s="2022">
        <v>0</v>
      </c>
      <c r="E18" s="2022">
        <v>22477.58</v>
      </c>
      <c r="F18" s="2022">
        <v>0</v>
      </c>
      <c r="G18" s="2022">
        <v>22477.58</v>
      </c>
      <c r="H18" s="2022">
        <v>0</v>
      </c>
      <c r="I18" s="2022">
        <f t="shared" si="0"/>
        <v>22477.58</v>
      </c>
    </row>
    <row r="19" spans="1:9" x14ac:dyDescent="0.2">
      <c r="A19" t="s">
        <v>4842</v>
      </c>
      <c r="B19" t="s">
        <v>6017</v>
      </c>
      <c r="C19" s="2022">
        <v>34370.6</v>
      </c>
      <c r="D19" s="2022">
        <v>0</v>
      </c>
      <c r="E19" s="2022">
        <v>49965.279999999999</v>
      </c>
      <c r="F19" s="2022">
        <v>0</v>
      </c>
      <c r="G19" s="2022">
        <v>49965.279999999999</v>
      </c>
      <c r="H19" s="2022">
        <v>0</v>
      </c>
      <c r="I19" s="2022">
        <f t="shared" si="0"/>
        <v>49965.279999999999</v>
      </c>
    </row>
    <row r="20" spans="1:9" x14ac:dyDescent="0.2">
      <c r="A20" t="s">
        <v>4844</v>
      </c>
      <c r="B20" t="s">
        <v>6018</v>
      </c>
      <c r="C20" s="2022">
        <v>75796.19</v>
      </c>
      <c r="D20" s="2022">
        <v>0</v>
      </c>
      <c r="E20" s="2022">
        <v>129577.82</v>
      </c>
      <c r="F20" s="2022">
        <v>0</v>
      </c>
      <c r="G20" s="2022">
        <v>129577.82</v>
      </c>
      <c r="H20" s="2022">
        <v>0</v>
      </c>
      <c r="I20" s="2022">
        <f t="shared" si="0"/>
        <v>129577.82</v>
      </c>
    </row>
    <row r="21" spans="1:9" x14ac:dyDescent="0.2">
      <c r="A21" t="s">
        <v>4846</v>
      </c>
      <c r="B21" t="s">
        <v>6019</v>
      </c>
      <c r="C21" s="2022">
        <v>28716.87</v>
      </c>
      <c r="D21" s="2022">
        <v>0</v>
      </c>
      <c r="E21" s="2022">
        <v>274949.63</v>
      </c>
      <c r="F21" s="2022">
        <v>0</v>
      </c>
      <c r="G21" s="2022">
        <v>274949.63</v>
      </c>
      <c r="H21" s="2022">
        <v>0</v>
      </c>
      <c r="I21" s="2022">
        <f t="shared" si="0"/>
        <v>274949.63</v>
      </c>
    </row>
    <row r="22" spans="1:9" x14ac:dyDescent="0.2">
      <c r="A22" t="s">
        <v>4848</v>
      </c>
      <c r="B22" t="s">
        <v>6020</v>
      </c>
      <c r="C22" s="2022">
        <v>28051.51</v>
      </c>
      <c r="D22" s="2022">
        <v>0</v>
      </c>
      <c r="E22" s="2022">
        <v>0</v>
      </c>
      <c r="F22" s="2022">
        <v>0</v>
      </c>
      <c r="G22" s="2022">
        <v>0</v>
      </c>
      <c r="H22" s="2022">
        <v>0</v>
      </c>
      <c r="I22" s="2022">
        <f t="shared" si="0"/>
        <v>0</v>
      </c>
    </row>
    <row r="23" spans="1:9" x14ac:dyDescent="0.2">
      <c r="A23" t="s">
        <v>4852</v>
      </c>
      <c r="B23" t="s">
        <v>6021</v>
      </c>
      <c r="C23" s="2022">
        <v>631.6</v>
      </c>
      <c r="D23" s="2022">
        <v>0</v>
      </c>
      <c r="E23" s="2022">
        <v>534.69000000000005</v>
      </c>
      <c r="F23" s="2022">
        <v>0</v>
      </c>
      <c r="G23" s="2022">
        <v>534.69000000000005</v>
      </c>
      <c r="H23" s="2022">
        <v>0</v>
      </c>
      <c r="I23" s="2022">
        <f t="shared" si="0"/>
        <v>534.69000000000005</v>
      </c>
    </row>
    <row r="24" spans="1:9" x14ac:dyDescent="0.2">
      <c r="A24" t="s">
        <v>4854</v>
      </c>
      <c r="B24" t="s">
        <v>6022</v>
      </c>
      <c r="C24" s="2022">
        <v>7450.29</v>
      </c>
      <c r="D24" s="2022">
        <v>0</v>
      </c>
      <c r="E24" s="2022">
        <v>0</v>
      </c>
      <c r="F24" s="2022">
        <v>0</v>
      </c>
      <c r="G24" s="2022">
        <v>0</v>
      </c>
      <c r="H24" s="2022">
        <v>0</v>
      </c>
      <c r="I24" s="2022">
        <f t="shared" si="0"/>
        <v>0</v>
      </c>
    </row>
    <row r="25" spans="1:9" x14ac:dyDescent="0.2">
      <c r="A25" t="s">
        <v>4856</v>
      </c>
      <c r="B25" t="s">
        <v>6023</v>
      </c>
      <c r="C25" s="2022">
        <v>400000</v>
      </c>
      <c r="D25" s="2022">
        <v>0</v>
      </c>
      <c r="E25" s="2022">
        <v>278984.65000000002</v>
      </c>
      <c r="F25" s="2022">
        <v>-698</v>
      </c>
      <c r="G25" s="2022">
        <v>278286.65000000002</v>
      </c>
      <c r="H25" s="2022">
        <v>0</v>
      </c>
      <c r="I25" s="2022">
        <f t="shared" si="0"/>
        <v>278286.65000000002</v>
      </c>
    </row>
    <row r="26" spans="1:9" x14ac:dyDescent="0.2">
      <c r="A26" t="s">
        <v>4858</v>
      </c>
      <c r="B26" t="s">
        <v>6024</v>
      </c>
      <c r="C26" s="2022">
        <v>24230</v>
      </c>
      <c r="D26" s="2022">
        <v>0</v>
      </c>
      <c r="E26" s="2022">
        <v>21751.54</v>
      </c>
      <c r="F26" s="2022">
        <v>0</v>
      </c>
      <c r="G26" s="2022">
        <v>21751.54</v>
      </c>
      <c r="H26" s="2022">
        <v>0</v>
      </c>
      <c r="I26" s="2022">
        <f t="shared" si="0"/>
        <v>21751.54</v>
      </c>
    </row>
    <row r="27" spans="1:9" x14ac:dyDescent="0.2">
      <c r="A27" t="s">
        <v>4860</v>
      </c>
      <c r="B27" t="s">
        <v>6025</v>
      </c>
      <c r="C27" s="2022">
        <v>2120</v>
      </c>
      <c r="D27" s="2022">
        <v>0</v>
      </c>
      <c r="E27" s="2022">
        <v>2120</v>
      </c>
      <c r="F27" s="2022">
        <v>0</v>
      </c>
      <c r="G27" s="2022">
        <v>2120</v>
      </c>
      <c r="H27" s="2022">
        <v>0</v>
      </c>
      <c r="I27" s="2022">
        <f t="shared" si="0"/>
        <v>2120</v>
      </c>
    </row>
    <row r="28" spans="1:9" x14ac:dyDescent="0.2">
      <c r="A28" t="s">
        <v>4870</v>
      </c>
      <c r="B28" t="s">
        <v>6026</v>
      </c>
      <c r="C28" s="2022">
        <v>31800</v>
      </c>
      <c r="D28" s="2022">
        <v>0</v>
      </c>
      <c r="E28" s="2022">
        <v>91736.66</v>
      </c>
      <c r="F28" s="2022">
        <v>0</v>
      </c>
      <c r="G28" s="2022">
        <v>91736.66</v>
      </c>
      <c r="H28" s="2022">
        <v>0</v>
      </c>
      <c r="I28" s="2022">
        <f t="shared" si="0"/>
        <v>91736.66</v>
      </c>
    </row>
    <row r="29" spans="1:9" x14ac:dyDescent="0.2">
      <c r="A29" t="s">
        <v>4872</v>
      </c>
      <c r="B29" t="s">
        <v>4873</v>
      </c>
      <c r="C29" s="2022">
        <v>2663.7</v>
      </c>
      <c r="D29" s="2022">
        <v>0</v>
      </c>
      <c r="E29" s="2022">
        <v>1370.45</v>
      </c>
      <c r="F29" s="2022">
        <v>0</v>
      </c>
      <c r="G29" s="2022">
        <v>1370.45</v>
      </c>
      <c r="H29" s="2022">
        <v>0</v>
      </c>
      <c r="I29" s="2022">
        <f t="shared" si="0"/>
        <v>1370.45</v>
      </c>
    </row>
    <row r="30" spans="1:9" x14ac:dyDescent="0.2">
      <c r="A30" t="s">
        <v>4874</v>
      </c>
      <c r="B30" t="s">
        <v>6027</v>
      </c>
      <c r="C30" s="2022">
        <v>19902</v>
      </c>
      <c r="D30" s="2022">
        <v>0</v>
      </c>
      <c r="E30" s="2022">
        <v>49199.17</v>
      </c>
      <c r="F30" s="2022">
        <v>-11096.1</v>
      </c>
      <c r="G30" s="2022">
        <v>38103.07</v>
      </c>
      <c r="H30" s="2022">
        <v>0</v>
      </c>
      <c r="I30" s="2022">
        <f t="shared" si="0"/>
        <v>38103.07</v>
      </c>
    </row>
    <row r="31" spans="1:9" x14ac:dyDescent="0.2">
      <c r="A31" t="s">
        <v>4876</v>
      </c>
      <c r="B31" t="s">
        <v>6028</v>
      </c>
      <c r="C31" s="2022">
        <v>9600</v>
      </c>
      <c r="D31" s="2022">
        <v>0</v>
      </c>
      <c r="E31" s="2022">
        <v>4800</v>
      </c>
      <c r="F31" s="2022">
        <v>0</v>
      </c>
      <c r="G31" s="2022">
        <v>4800</v>
      </c>
      <c r="H31" s="2022">
        <v>0</v>
      </c>
      <c r="I31" s="2022">
        <f t="shared" si="0"/>
        <v>4800</v>
      </c>
    </row>
    <row r="32" spans="1:9" x14ac:dyDescent="0.2">
      <c r="A32" t="s">
        <v>4878</v>
      </c>
      <c r="B32" t="s">
        <v>6029</v>
      </c>
      <c r="C32" s="2022">
        <v>400000</v>
      </c>
      <c r="D32" s="2022">
        <v>0</v>
      </c>
      <c r="E32" s="2022">
        <v>448844.58</v>
      </c>
      <c r="F32" s="2022">
        <v>-1873.4</v>
      </c>
      <c r="G32" s="2022">
        <v>446971.18</v>
      </c>
      <c r="H32" s="2022">
        <v>0</v>
      </c>
      <c r="I32" s="2022">
        <f t="shared" si="0"/>
        <v>446971.18</v>
      </c>
    </row>
    <row r="33" spans="1:9" x14ac:dyDescent="0.2">
      <c r="A33" t="s">
        <v>4880</v>
      </c>
      <c r="B33" t="s">
        <v>6030</v>
      </c>
      <c r="C33" s="2022">
        <v>10985.94</v>
      </c>
      <c r="D33" s="2022">
        <v>0</v>
      </c>
      <c r="E33" s="2022">
        <v>7941.83</v>
      </c>
      <c r="F33" s="2022">
        <v>0</v>
      </c>
      <c r="G33" s="2022">
        <v>7941.83</v>
      </c>
      <c r="H33" s="2022">
        <v>0</v>
      </c>
      <c r="I33" s="2022">
        <f t="shared" si="0"/>
        <v>7941.83</v>
      </c>
    </row>
    <row r="34" spans="1:9" x14ac:dyDescent="0.2">
      <c r="A34" t="s">
        <v>4886</v>
      </c>
      <c r="B34" t="s">
        <v>6031</v>
      </c>
      <c r="C34" s="2022">
        <v>1017.96</v>
      </c>
      <c r="D34" s="2022">
        <v>0</v>
      </c>
      <c r="E34" s="2022">
        <v>1808.25</v>
      </c>
      <c r="F34" s="2022">
        <v>0</v>
      </c>
      <c r="G34" s="2022">
        <v>1808.25</v>
      </c>
      <c r="H34" s="2022">
        <v>0</v>
      </c>
      <c r="I34" s="2022">
        <f t="shared" si="0"/>
        <v>1808.25</v>
      </c>
    </row>
    <row r="35" spans="1:9" x14ac:dyDescent="0.2">
      <c r="A35" t="s">
        <v>4888</v>
      </c>
      <c r="B35" t="s">
        <v>6032</v>
      </c>
      <c r="C35" s="2022">
        <v>2018.91</v>
      </c>
      <c r="D35" s="2022">
        <v>0</v>
      </c>
      <c r="E35" s="2022">
        <v>5000</v>
      </c>
      <c r="F35" s="2022">
        <v>0</v>
      </c>
      <c r="G35" s="2022">
        <v>5000</v>
      </c>
      <c r="H35" s="2022">
        <v>0</v>
      </c>
      <c r="I35" s="2022">
        <f t="shared" si="0"/>
        <v>5000</v>
      </c>
    </row>
    <row r="36" spans="1:9" x14ac:dyDescent="0.2">
      <c r="A36" t="s">
        <v>4890</v>
      </c>
      <c r="B36" t="s">
        <v>6033</v>
      </c>
      <c r="C36" s="2022">
        <v>1639.88</v>
      </c>
      <c r="D36" s="2022">
        <v>0</v>
      </c>
      <c r="E36" s="2022">
        <v>314.47000000000003</v>
      </c>
      <c r="F36" s="2022">
        <v>-1600</v>
      </c>
      <c r="G36" s="2022">
        <v>0</v>
      </c>
      <c r="H36" s="2022">
        <v>-1285.53</v>
      </c>
      <c r="I36" s="2022">
        <f t="shared" si="0"/>
        <v>-1285.53</v>
      </c>
    </row>
    <row r="37" spans="1:9" x14ac:dyDescent="0.2">
      <c r="A37" t="s">
        <v>4892</v>
      </c>
      <c r="B37" t="s">
        <v>4893</v>
      </c>
      <c r="C37" s="2022">
        <v>1688.6</v>
      </c>
      <c r="D37" s="2022">
        <v>0</v>
      </c>
      <c r="E37" s="2022">
        <v>0</v>
      </c>
      <c r="F37" s="2022">
        <v>0</v>
      </c>
      <c r="G37" s="2022">
        <v>0</v>
      </c>
      <c r="H37" s="2022">
        <v>0</v>
      </c>
      <c r="I37" s="2022">
        <f t="shared" si="0"/>
        <v>0</v>
      </c>
    </row>
    <row r="38" spans="1:9" x14ac:dyDescent="0.2">
      <c r="A38" t="s">
        <v>4894</v>
      </c>
      <c r="B38" t="s">
        <v>6034</v>
      </c>
      <c r="C38" s="2022">
        <v>87259.74</v>
      </c>
      <c r="D38" s="2022">
        <v>0</v>
      </c>
      <c r="E38" s="2022">
        <v>46569.87</v>
      </c>
      <c r="F38" s="2022">
        <v>0</v>
      </c>
      <c r="G38" s="2022">
        <v>46569.87</v>
      </c>
      <c r="H38" s="2022">
        <v>0</v>
      </c>
      <c r="I38" s="2022">
        <f t="shared" si="0"/>
        <v>46569.87</v>
      </c>
    </row>
    <row r="39" spans="1:9" x14ac:dyDescent="0.2">
      <c r="A39" t="s">
        <v>4896</v>
      </c>
      <c r="B39" t="s">
        <v>6035</v>
      </c>
      <c r="C39" s="2022">
        <v>36928.29</v>
      </c>
      <c r="D39" s="2022">
        <v>0</v>
      </c>
      <c r="E39" s="2022">
        <v>0</v>
      </c>
      <c r="F39" s="2022">
        <v>0</v>
      </c>
      <c r="G39" s="2022">
        <v>0</v>
      </c>
      <c r="H39" s="2022">
        <v>0</v>
      </c>
      <c r="I39" s="2022">
        <f t="shared" si="0"/>
        <v>0</v>
      </c>
    </row>
    <row r="40" spans="1:9" x14ac:dyDescent="0.2">
      <c r="A40" t="s">
        <v>4898</v>
      </c>
      <c r="B40" t="s">
        <v>6036</v>
      </c>
      <c r="C40" s="2022">
        <v>2687.09</v>
      </c>
      <c r="D40" s="2022">
        <v>0</v>
      </c>
      <c r="E40" s="2022">
        <v>0</v>
      </c>
      <c r="F40" s="2022">
        <v>0</v>
      </c>
      <c r="G40" s="2022">
        <v>0</v>
      </c>
      <c r="H40" s="2022">
        <v>0</v>
      </c>
      <c r="I40" s="2022">
        <f t="shared" si="0"/>
        <v>0</v>
      </c>
    </row>
    <row r="41" spans="1:9" x14ac:dyDescent="0.2">
      <c r="A41" t="s">
        <v>4900</v>
      </c>
      <c r="B41" t="s">
        <v>6037</v>
      </c>
      <c r="C41" s="2022">
        <v>-2810723.2</v>
      </c>
      <c r="D41" s="2022">
        <v>0</v>
      </c>
      <c r="E41" s="2022">
        <v>0</v>
      </c>
      <c r="F41" s="2022">
        <v>0</v>
      </c>
      <c r="G41" s="2022">
        <v>0</v>
      </c>
      <c r="H41" s="2022">
        <v>0</v>
      </c>
      <c r="I41" s="2022">
        <f t="shared" si="0"/>
        <v>0</v>
      </c>
    </row>
    <row r="42" spans="1:9" x14ac:dyDescent="0.2">
      <c r="A42" t="s">
        <v>4902</v>
      </c>
      <c r="B42" t="s">
        <v>6038</v>
      </c>
      <c r="C42" s="2022">
        <v>-2601388.5499999998</v>
      </c>
      <c r="D42" s="2022">
        <v>0</v>
      </c>
      <c r="E42" s="2022">
        <v>0</v>
      </c>
      <c r="F42" s="2022">
        <v>0</v>
      </c>
      <c r="G42" s="2022">
        <v>0</v>
      </c>
      <c r="H42" s="2022">
        <v>0</v>
      </c>
      <c r="I42" s="2022">
        <f t="shared" si="0"/>
        <v>0</v>
      </c>
    </row>
    <row r="43" spans="1:9" x14ac:dyDescent="0.2">
      <c r="A43" t="s">
        <v>4904</v>
      </c>
      <c r="B43" t="s">
        <v>6003</v>
      </c>
      <c r="C43" s="2022">
        <v>632000.04</v>
      </c>
      <c r="D43" s="2022">
        <v>0</v>
      </c>
      <c r="E43" s="2022">
        <v>649031.04</v>
      </c>
      <c r="F43" s="2022">
        <v>0</v>
      </c>
      <c r="G43" s="2022">
        <v>649031.04</v>
      </c>
      <c r="H43" s="2022">
        <v>0</v>
      </c>
      <c r="I43" s="2022">
        <f t="shared" si="0"/>
        <v>649031.04</v>
      </c>
    </row>
    <row r="44" spans="1:9" x14ac:dyDescent="0.2">
      <c r="A44" t="s">
        <v>4905</v>
      </c>
      <c r="B44" t="s">
        <v>6039</v>
      </c>
      <c r="C44" s="2022">
        <v>89000</v>
      </c>
      <c r="D44" s="2022">
        <v>0</v>
      </c>
      <c r="E44" s="2022">
        <v>0</v>
      </c>
      <c r="F44" s="2022">
        <v>0</v>
      </c>
      <c r="G44" s="2022">
        <v>0</v>
      </c>
      <c r="H44" s="2022">
        <v>0</v>
      </c>
      <c r="I44" s="2022">
        <f t="shared" si="0"/>
        <v>0</v>
      </c>
    </row>
    <row r="45" spans="1:9" x14ac:dyDescent="0.2">
      <c r="A45" t="s">
        <v>4906</v>
      </c>
      <c r="B45" t="s">
        <v>6004</v>
      </c>
      <c r="C45" s="2022">
        <v>6902</v>
      </c>
      <c r="D45" s="2022">
        <v>0</v>
      </c>
      <c r="E45" s="2022">
        <v>8596.6200000000008</v>
      </c>
      <c r="F45" s="2022">
        <v>0</v>
      </c>
      <c r="G45" s="2022">
        <v>8596.6200000000008</v>
      </c>
      <c r="H45" s="2022">
        <v>0</v>
      </c>
      <c r="I45" s="2022">
        <f t="shared" si="0"/>
        <v>8596.6200000000008</v>
      </c>
    </row>
    <row r="46" spans="1:9" x14ac:dyDescent="0.2">
      <c r="A46" t="s">
        <v>4907</v>
      </c>
      <c r="B46" t="s">
        <v>6005</v>
      </c>
      <c r="C46" s="2022">
        <v>3656.4</v>
      </c>
      <c r="D46" s="2022">
        <v>0</v>
      </c>
      <c r="E46" s="2022">
        <v>3656.4</v>
      </c>
      <c r="F46" s="2022">
        <v>0</v>
      </c>
      <c r="G46" s="2022">
        <v>3656.4</v>
      </c>
      <c r="H46" s="2022">
        <v>0</v>
      </c>
      <c r="I46" s="2022">
        <f t="shared" si="0"/>
        <v>3656.4</v>
      </c>
    </row>
    <row r="47" spans="1:9" x14ac:dyDescent="0.2">
      <c r="A47" t="s">
        <v>4908</v>
      </c>
      <c r="B47" t="s">
        <v>6006</v>
      </c>
      <c r="C47" s="2022">
        <v>3969.6</v>
      </c>
      <c r="D47" s="2022">
        <v>0</v>
      </c>
      <c r="E47" s="2022">
        <v>3969.6</v>
      </c>
      <c r="F47" s="2022">
        <v>0</v>
      </c>
      <c r="G47" s="2022">
        <v>3969.6</v>
      </c>
      <c r="H47" s="2022">
        <v>0</v>
      </c>
      <c r="I47" s="2022">
        <f t="shared" si="0"/>
        <v>3969.6</v>
      </c>
    </row>
    <row r="48" spans="1:9" x14ac:dyDescent="0.2">
      <c r="A48" t="s">
        <v>4910</v>
      </c>
      <c r="B48" t="s">
        <v>6009</v>
      </c>
      <c r="C48" s="2022">
        <v>267000</v>
      </c>
      <c r="D48" s="2022">
        <v>0</v>
      </c>
      <c r="E48" s="2022">
        <v>168043.3</v>
      </c>
      <c r="F48" s="2022">
        <v>0</v>
      </c>
      <c r="G48" s="2022">
        <v>168043.3</v>
      </c>
      <c r="H48" s="2022">
        <v>0</v>
      </c>
      <c r="I48" s="2022">
        <f t="shared" si="0"/>
        <v>168043.3</v>
      </c>
    </row>
    <row r="49" spans="1:9" x14ac:dyDescent="0.2">
      <c r="A49" t="s">
        <v>4911</v>
      </c>
      <c r="B49" t="s">
        <v>6010</v>
      </c>
      <c r="C49" s="2022">
        <v>22356.6</v>
      </c>
      <c r="D49" s="2022">
        <v>0</v>
      </c>
      <c r="E49" s="2022">
        <v>22340.2</v>
      </c>
      <c r="F49" s="2022">
        <v>0</v>
      </c>
      <c r="G49" s="2022">
        <v>22340.2</v>
      </c>
      <c r="H49" s="2022">
        <v>0</v>
      </c>
      <c r="I49" s="2022">
        <f t="shared" si="0"/>
        <v>22340.2</v>
      </c>
    </row>
    <row r="50" spans="1:9" x14ac:dyDescent="0.2">
      <c r="A50" t="s">
        <v>4912</v>
      </c>
      <c r="B50" t="s">
        <v>6011</v>
      </c>
      <c r="C50" s="2022">
        <v>8799.85</v>
      </c>
      <c r="D50" s="2022">
        <v>0</v>
      </c>
      <c r="E50" s="2022">
        <v>8263.9699999999993</v>
      </c>
      <c r="F50" s="2022">
        <v>0</v>
      </c>
      <c r="G50" s="2022">
        <v>8263.9699999999993</v>
      </c>
      <c r="H50" s="2022">
        <v>0</v>
      </c>
      <c r="I50" s="2022">
        <f t="shared" si="0"/>
        <v>8263.9699999999993</v>
      </c>
    </row>
    <row r="51" spans="1:9" x14ac:dyDescent="0.2">
      <c r="A51" t="s">
        <v>4914</v>
      </c>
      <c r="B51" t="s">
        <v>6012</v>
      </c>
      <c r="C51" s="2022">
        <v>14147.04</v>
      </c>
      <c r="D51" s="2022">
        <v>0</v>
      </c>
      <c r="E51" s="2022">
        <v>10229.040000000001</v>
      </c>
      <c r="F51" s="2022">
        <v>0</v>
      </c>
      <c r="G51" s="2022">
        <v>10229.040000000001</v>
      </c>
      <c r="H51" s="2022">
        <v>0</v>
      </c>
      <c r="I51" s="2022">
        <f t="shared" si="0"/>
        <v>10229.040000000001</v>
      </c>
    </row>
    <row r="52" spans="1:9" x14ac:dyDescent="0.2">
      <c r="A52" t="s">
        <v>4915</v>
      </c>
      <c r="B52" t="s">
        <v>6013</v>
      </c>
      <c r="C52" s="2022">
        <v>43469.86</v>
      </c>
      <c r="D52" s="2022">
        <v>0</v>
      </c>
      <c r="E52" s="2022">
        <v>56053.42</v>
      </c>
      <c r="F52" s="2022">
        <v>0</v>
      </c>
      <c r="G52" s="2022">
        <v>56053.42</v>
      </c>
      <c r="H52" s="2022">
        <v>0</v>
      </c>
      <c r="I52" s="2022">
        <f t="shared" si="0"/>
        <v>56053.42</v>
      </c>
    </row>
    <row r="53" spans="1:9" x14ac:dyDescent="0.2">
      <c r="A53" t="s">
        <v>4916</v>
      </c>
      <c r="B53" t="s">
        <v>6014</v>
      </c>
      <c r="C53" s="2022">
        <v>3379.22</v>
      </c>
      <c r="D53" s="2022">
        <v>0</v>
      </c>
      <c r="E53" s="2022">
        <v>2939.03</v>
      </c>
      <c r="F53" s="2022">
        <v>0</v>
      </c>
      <c r="G53" s="2022">
        <v>2939.03</v>
      </c>
      <c r="H53" s="2022">
        <v>0</v>
      </c>
      <c r="I53" s="2022">
        <f t="shared" si="0"/>
        <v>2939.03</v>
      </c>
    </row>
    <row r="54" spans="1:9" x14ac:dyDescent="0.2">
      <c r="A54" t="s">
        <v>4917</v>
      </c>
      <c r="B54" t="s">
        <v>6040</v>
      </c>
      <c r="C54" s="2022">
        <v>0</v>
      </c>
      <c r="D54" s="2022">
        <v>0</v>
      </c>
      <c r="E54" s="2022">
        <v>1000</v>
      </c>
      <c r="F54" s="2022">
        <v>0</v>
      </c>
      <c r="G54" s="2022">
        <v>1000</v>
      </c>
      <c r="H54" s="2022">
        <v>0</v>
      </c>
      <c r="I54" s="2022">
        <f t="shared" si="0"/>
        <v>1000</v>
      </c>
    </row>
    <row r="55" spans="1:9" x14ac:dyDescent="0.2">
      <c r="A55" t="s">
        <v>4919</v>
      </c>
      <c r="B55" t="s">
        <v>6021</v>
      </c>
      <c r="C55" s="2022">
        <v>35.08</v>
      </c>
      <c r="D55" s="2022">
        <v>0</v>
      </c>
      <c r="E55" s="2022">
        <v>17.54</v>
      </c>
      <c r="F55" s="2022">
        <v>0</v>
      </c>
      <c r="G55" s="2022">
        <v>17.54</v>
      </c>
      <c r="H55" s="2022">
        <v>0</v>
      </c>
      <c r="I55" s="2022">
        <f t="shared" si="0"/>
        <v>17.54</v>
      </c>
    </row>
    <row r="56" spans="1:9" x14ac:dyDescent="0.2">
      <c r="A56" t="s">
        <v>4925</v>
      </c>
      <c r="B56" t="s">
        <v>6027</v>
      </c>
      <c r="C56" s="2022">
        <v>12346.38</v>
      </c>
      <c r="D56" s="2022">
        <v>0</v>
      </c>
      <c r="E56" s="2022">
        <v>74876.59</v>
      </c>
      <c r="F56" s="2022">
        <v>0</v>
      </c>
      <c r="G56" s="2022">
        <v>74876.59</v>
      </c>
      <c r="H56" s="2022">
        <v>0</v>
      </c>
      <c r="I56" s="2022">
        <f t="shared" si="0"/>
        <v>74876.59</v>
      </c>
    </row>
    <row r="57" spans="1:9" x14ac:dyDescent="0.2">
      <c r="A57" t="s">
        <v>4926</v>
      </c>
      <c r="B57" t="s">
        <v>6028</v>
      </c>
      <c r="C57" s="2022">
        <v>0</v>
      </c>
      <c r="D57" s="2022">
        <v>0</v>
      </c>
      <c r="E57" s="2022">
        <v>56400</v>
      </c>
      <c r="F57" s="2022">
        <v>0</v>
      </c>
      <c r="G57" s="2022">
        <v>56400</v>
      </c>
      <c r="H57" s="2022">
        <v>0</v>
      </c>
      <c r="I57" s="2022">
        <f t="shared" si="0"/>
        <v>56400</v>
      </c>
    </row>
    <row r="58" spans="1:9" x14ac:dyDescent="0.2">
      <c r="A58" t="s">
        <v>4927</v>
      </c>
      <c r="B58" t="s">
        <v>6029</v>
      </c>
      <c r="C58" s="2022">
        <v>180000</v>
      </c>
      <c r="D58" s="2022">
        <v>0</v>
      </c>
      <c r="E58" s="2022">
        <v>291914.06</v>
      </c>
      <c r="F58" s="2022">
        <v>-961.9</v>
      </c>
      <c r="G58" s="2022">
        <v>290952.15999999997</v>
      </c>
      <c r="H58" s="2022">
        <v>0</v>
      </c>
      <c r="I58" s="2022">
        <f t="shared" si="0"/>
        <v>290952.15999999997</v>
      </c>
    </row>
    <row r="59" spans="1:9" x14ac:dyDescent="0.2">
      <c r="A59" t="s">
        <v>4930</v>
      </c>
      <c r="B59" t="s">
        <v>6041</v>
      </c>
      <c r="C59" s="2022">
        <v>41890</v>
      </c>
      <c r="D59" s="2022">
        <v>0</v>
      </c>
      <c r="E59" s="2022">
        <v>21640</v>
      </c>
      <c r="F59" s="2022">
        <v>0</v>
      </c>
      <c r="G59" s="2022">
        <v>21640</v>
      </c>
      <c r="H59" s="2022">
        <v>0</v>
      </c>
      <c r="I59" s="2022">
        <f t="shared" si="0"/>
        <v>21640</v>
      </c>
    </row>
    <row r="60" spans="1:9" x14ac:dyDescent="0.2">
      <c r="A60" t="s">
        <v>4932</v>
      </c>
      <c r="B60" t="s">
        <v>6037</v>
      </c>
      <c r="C60" s="2022">
        <v>-1328952.07</v>
      </c>
      <c r="D60" s="2022">
        <v>0</v>
      </c>
      <c r="E60" s="2022">
        <v>0</v>
      </c>
      <c r="F60" s="2022">
        <v>0</v>
      </c>
      <c r="G60" s="2022">
        <v>0</v>
      </c>
      <c r="H60" s="2022">
        <v>0</v>
      </c>
      <c r="I60" s="2022">
        <f t="shared" si="0"/>
        <v>0</v>
      </c>
    </row>
    <row r="61" spans="1:9" x14ac:dyDescent="0.2">
      <c r="A61" t="s">
        <v>4935</v>
      </c>
      <c r="B61" t="s">
        <v>6042</v>
      </c>
      <c r="C61" s="2022">
        <v>489595.47</v>
      </c>
      <c r="D61" s="2022">
        <v>0</v>
      </c>
      <c r="E61" s="2022">
        <v>452138.23999999999</v>
      </c>
      <c r="F61" s="2022">
        <v>-3022.4</v>
      </c>
      <c r="G61" s="2022">
        <v>449115.84</v>
      </c>
      <c r="H61" s="2022">
        <v>0</v>
      </c>
      <c r="I61" s="2022">
        <f t="shared" si="0"/>
        <v>449115.84</v>
      </c>
    </row>
    <row r="62" spans="1:9" x14ac:dyDescent="0.2">
      <c r="A62" t="s">
        <v>4936</v>
      </c>
      <c r="B62" t="s">
        <v>6043</v>
      </c>
      <c r="C62" s="2022">
        <v>2786173.48</v>
      </c>
      <c r="D62" s="2022">
        <v>0</v>
      </c>
      <c r="E62" s="2022">
        <v>2727323.88</v>
      </c>
      <c r="F62" s="2022">
        <v>-24506.32</v>
      </c>
      <c r="G62" s="2022">
        <v>2702817.56</v>
      </c>
      <c r="H62" s="2022">
        <v>0</v>
      </c>
      <c r="I62" s="2022">
        <f t="shared" si="0"/>
        <v>2702817.56</v>
      </c>
    </row>
    <row r="63" spans="1:9" x14ac:dyDescent="0.2">
      <c r="A63" t="s">
        <v>4938</v>
      </c>
      <c r="B63" t="s">
        <v>6044</v>
      </c>
      <c r="C63" s="2022">
        <v>66858.960000000006</v>
      </c>
      <c r="D63" s="2022">
        <v>0</v>
      </c>
      <c r="E63" s="2022">
        <v>0</v>
      </c>
      <c r="F63" s="2022">
        <v>0</v>
      </c>
      <c r="G63" s="2022">
        <v>0</v>
      </c>
      <c r="H63" s="2022">
        <v>0</v>
      </c>
      <c r="I63" s="2022">
        <f t="shared" si="0"/>
        <v>0</v>
      </c>
    </row>
    <row r="64" spans="1:9" x14ac:dyDescent="0.2">
      <c r="A64" t="s">
        <v>4939</v>
      </c>
      <c r="B64" t="s">
        <v>6045</v>
      </c>
      <c r="C64" s="2022">
        <v>9850</v>
      </c>
      <c r="D64" s="2022">
        <v>0</v>
      </c>
      <c r="E64" s="2022">
        <v>0</v>
      </c>
      <c r="F64" s="2022">
        <v>0</v>
      </c>
      <c r="G64" s="2022">
        <v>0</v>
      </c>
      <c r="H64" s="2022">
        <v>0</v>
      </c>
      <c r="I64" s="2022">
        <f t="shared" si="0"/>
        <v>0</v>
      </c>
    </row>
    <row r="65" spans="1:9" x14ac:dyDescent="0.2">
      <c r="A65" t="s">
        <v>4940</v>
      </c>
      <c r="B65" t="s">
        <v>6046</v>
      </c>
      <c r="C65" s="2022">
        <v>311303.28999999998</v>
      </c>
      <c r="D65" s="2022">
        <v>0</v>
      </c>
      <c r="E65" s="2022">
        <v>241190.21</v>
      </c>
      <c r="F65" s="2022">
        <v>0</v>
      </c>
      <c r="G65" s="2022">
        <v>241190.21</v>
      </c>
      <c r="H65" s="2022">
        <v>0</v>
      </c>
      <c r="I65" s="2022">
        <f t="shared" si="0"/>
        <v>241190.21</v>
      </c>
    </row>
    <row r="66" spans="1:9" x14ac:dyDescent="0.2">
      <c r="A66" t="s">
        <v>4942</v>
      </c>
      <c r="B66" t="s">
        <v>6047</v>
      </c>
      <c r="C66" s="2022">
        <v>7017</v>
      </c>
      <c r="D66" s="2022">
        <v>0</v>
      </c>
      <c r="E66" s="2022">
        <v>5817</v>
      </c>
      <c r="F66" s="2022">
        <v>0</v>
      </c>
      <c r="G66" s="2022">
        <v>5817</v>
      </c>
      <c r="H66" s="2022">
        <v>0</v>
      </c>
      <c r="I66" s="2022">
        <f t="shared" si="0"/>
        <v>5817</v>
      </c>
    </row>
    <row r="67" spans="1:9" x14ac:dyDescent="0.2">
      <c r="A67" t="s">
        <v>4943</v>
      </c>
      <c r="B67" t="s">
        <v>6048</v>
      </c>
      <c r="C67" s="2022">
        <v>6200</v>
      </c>
      <c r="D67" s="2022">
        <v>0</v>
      </c>
      <c r="E67" s="2022">
        <v>7300</v>
      </c>
      <c r="F67" s="2022">
        <v>0</v>
      </c>
      <c r="G67" s="2022">
        <v>7300</v>
      </c>
      <c r="H67" s="2022">
        <v>0</v>
      </c>
      <c r="I67" s="2022">
        <f t="shared" ref="I67:I130" si="1">G67+H67</f>
        <v>7300</v>
      </c>
    </row>
    <row r="68" spans="1:9" x14ac:dyDescent="0.2">
      <c r="A68" t="s">
        <v>4946</v>
      </c>
      <c r="B68" t="s">
        <v>6049</v>
      </c>
      <c r="C68" s="2022">
        <v>18792</v>
      </c>
      <c r="D68" s="2022">
        <v>0</v>
      </c>
      <c r="E68" s="2022">
        <v>14616</v>
      </c>
      <c r="F68" s="2022">
        <v>0</v>
      </c>
      <c r="G68" s="2022">
        <v>14616</v>
      </c>
      <c r="H68" s="2022">
        <v>0</v>
      </c>
      <c r="I68" s="2022">
        <f t="shared" si="1"/>
        <v>14616</v>
      </c>
    </row>
    <row r="69" spans="1:9" x14ac:dyDescent="0.2">
      <c r="A69" t="s">
        <v>4948</v>
      </c>
      <c r="B69" t="s">
        <v>6050</v>
      </c>
      <c r="C69" s="2022">
        <v>17547.2</v>
      </c>
      <c r="D69" s="2022">
        <v>0</v>
      </c>
      <c r="E69" s="2022">
        <v>15089.25</v>
      </c>
      <c r="F69" s="2022">
        <v>0</v>
      </c>
      <c r="G69" s="2022">
        <v>15089.25</v>
      </c>
      <c r="H69" s="2022">
        <v>0</v>
      </c>
      <c r="I69" s="2022">
        <f t="shared" si="1"/>
        <v>15089.25</v>
      </c>
    </row>
    <row r="70" spans="1:9" x14ac:dyDescent="0.2">
      <c r="A70" t="s">
        <v>4953</v>
      </c>
      <c r="B70" t="s">
        <v>6051</v>
      </c>
      <c r="C70" s="2022">
        <v>90014.45</v>
      </c>
      <c r="D70" s="2022">
        <v>0</v>
      </c>
      <c r="E70" s="2022">
        <v>290483.88</v>
      </c>
      <c r="F70" s="2022">
        <v>-960</v>
      </c>
      <c r="G70" s="2022">
        <v>289523.88</v>
      </c>
      <c r="H70" s="2022">
        <v>0</v>
      </c>
      <c r="I70" s="2022">
        <f t="shared" si="1"/>
        <v>289523.88</v>
      </c>
    </row>
    <row r="71" spans="1:9" x14ac:dyDescent="0.2">
      <c r="A71" t="s">
        <v>4955</v>
      </c>
      <c r="B71" t="s">
        <v>6052</v>
      </c>
      <c r="C71" s="2022">
        <v>145543.17000000001</v>
      </c>
      <c r="D71" s="2022">
        <v>0</v>
      </c>
      <c r="E71" s="2022">
        <v>145543.17000000001</v>
      </c>
      <c r="F71" s="2022">
        <v>0</v>
      </c>
      <c r="G71" s="2022">
        <v>145543.17000000001</v>
      </c>
      <c r="H71" s="2022">
        <v>0</v>
      </c>
      <c r="I71" s="2022">
        <f t="shared" si="1"/>
        <v>145543.17000000001</v>
      </c>
    </row>
    <row r="72" spans="1:9" x14ac:dyDescent="0.2">
      <c r="A72" t="s">
        <v>4956</v>
      </c>
      <c r="B72" t="s">
        <v>6053</v>
      </c>
      <c r="C72" s="2022">
        <v>152975.29999999999</v>
      </c>
      <c r="D72" s="2022">
        <v>0</v>
      </c>
      <c r="E72" s="2022">
        <v>138975.29999999999</v>
      </c>
      <c r="F72" s="2022">
        <v>0</v>
      </c>
      <c r="G72" s="2022">
        <v>138975.29999999999</v>
      </c>
      <c r="H72" s="2022">
        <v>0</v>
      </c>
      <c r="I72" s="2022">
        <f t="shared" si="1"/>
        <v>138975.29999999999</v>
      </c>
    </row>
    <row r="73" spans="1:9" x14ac:dyDescent="0.2">
      <c r="A73" t="s">
        <v>4958</v>
      </c>
      <c r="B73" t="s">
        <v>6054</v>
      </c>
      <c r="C73" s="2022">
        <v>82</v>
      </c>
      <c r="D73" s="2022">
        <v>0</v>
      </c>
      <c r="E73" s="2022">
        <v>65.599999999999994</v>
      </c>
      <c r="F73" s="2022">
        <v>0</v>
      </c>
      <c r="G73" s="2022">
        <v>65.599999999999994</v>
      </c>
      <c r="H73" s="2022">
        <v>0</v>
      </c>
      <c r="I73" s="2022">
        <f t="shared" si="1"/>
        <v>65.599999999999994</v>
      </c>
    </row>
    <row r="74" spans="1:9" x14ac:dyDescent="0.2">
      <c r="A74" t="s">
        <v>4959</v>
      </c>
      <c r="B74" t="s">
        <v>6055</v>
      </c>
      <c r="C74" s="2022">
        <v>1230</v>
      </c>
      <c r="D74" s="2022">
        <v>0</v>
      </c>
      <c r="E74" s="2022">
        <v>1201.3</v>
      </c>
      <c r="F74" s="2022">
        <v>0</v>
      </c>
      <c r="G74" s="2022">
        <v>1201.3</v>
      </c>
      <c r="H74" s="2022">
        <v>0</v>
      </c>
      <c r="I74" s="2022">
        <f t="shared" si="1"/>
        <v>1201.3</v>
      </c>
    </row>
    <row r="75" spans="1:9" x14ac:dyDescent="0.2">
      <c r="A75" t="s">
        <v>4961</v>
      </c>
      <c r="B75" t="s">
        <v>6056</v>
      </c>
      <c r="C75" s="2022">
        <v>4988.3500000000004</v>
      </c>
      <c r="D75" s="2022">
        <v>0</v>
      </c>
      <c r="E75" s="2022">
        <v>4265.0600000000004</v>
      </c>
      <c r="F75" s="2022">
        <v>0</v>
      </c>
      <c r="G75" s="2022">
        <v>4265.0600000000004</v>
      </c>
      <c r="H75" s="2022">
        <v>0</v>
      </c>
      <c r="I75" s="2022">
        <f t="shared" si="1"/>
        <v>4265.0600000000004</v>
      </c>
    </row>
    <row r="76" spans="1:9" x14ac:dyDescent="0.2">
      <c r="A76" t="s">
        <v>4962</v>
      </c>
      <c r="B76" t="s">
        <v>6057</v>
      </c>
      <c r="C76" s="2022">
        <v>30731.8</v>
      </c>
      <c r="D76" s="2022">
        <v>0</v>
      </c>
      <c r="E76" s="2022">
        <v>30757.26</v>
      </c>
      <c r="F76" s="2022">
        <v>0</v>
      </c>
      <c r="G76" s="2022">
        <v>30757.26</v>
      </c>
      <c r="H76" s="2022">
        <v>0</v>
      </c>
      <c r="I76" s="2022">
        <f t="shared" si="1"/>
        <v>30757.26</v>
      </c>
    </row>
    <row r="77" spans="1:9" x14ac:dyDescent="0.2">
      <c r="A77" t="s">
        <v>4967</v>
      </c>
      <c r="B77" t="s">
        <v>6058</v>
      </c>
      <c r="C77" s="2022">
        <v>25185</v>
      </c>
      <c r="D77" s="2022">
        <v>0</v>
      </c>
      <c r="E77" s="2022">
        <v>20745</v>
      </c>
      <c r="F77" s="2022">
        <v>0</v>
      </c>
      <c r="G77" s="2022">
        <v>20745</v>
      </c>
      <c r="H77" s="2022">
        <v>0</v>
      </c>
      <c r="I77" s="2022">
        <f t="shared" si="1"/>
        <v>20745</v>
      </c>
    </row>
    <row r="78" spans="1:9" x14ac:dyDescent="0.2">
      <c r="A78" t="s">
        <v>4968</v>
      </c>
      <c r="B78" t="s">
        <v>6059</v>
      </c>
      <c r="C78" s="2022">
        <v>158970</v>
      </c>
      <c r="D78" s="2022">
        <v>0</v>
      </c>
      <c r="E78" s="2022">
        <v>178702.8</v>
      </c>
      <c r="F78" s="2022">
        <v>0</v>
      </c>
      <c r="G78" s="2022">
        <v>178702.8</v>
      </c>
      <c r="H78" s="2022">
        <v>0</v>
      </c>
      <c r="I78" s="2022">
        <f t="shared" si="1"/>
        <v>178702.8</v>
      </c>
    </row>
    <row r="79" spans="1:9" x14ac:dyDescent="0.2">
      <c r="A79" t="s">
        <v>4970</v>
      </c>
      <c r="B79" t="s">
        <v>6060</v>
      </c>
      <c r="C79" s="2022">
        <v>19626.580000000002</v>
      </c>
      <c r="D79" s="2022">
        <v>0</v>
      </c>
      <c r="E79" s="2022">
        <v>11439.26</v>
      </c>
      <c r="F79" s="2022">
        <v>0</v>
      </c>
      <c r="G79" s="2022">
        <v>11439.26</v>
      </c>
      <c r="H79" s="2022">
        <v>0</v>
      </c>
      <c r="I79" s="2022">
        <f t="shared" si="1"/>
        <v>11439.26</v>
      </c>
    </row>
    <row r="80" spans="1:9" x14ac:dyDescent="0.2">
      <c r="A80" t="s">
        <v>4971</v>
      </c>
      <c r="B80" t="s">
        <v>6061</v>
      </c>
      <c r="C80" s="2022">
        <v>539590.03</v>
      </c>
      <c r="D80" s="2022">
        <v>0</v>
      </c>
      <c r="E80" s="2022">
        <v>520630.68</v>
      </c>
      <c r="F80" s="2022">
        <v>0</v>
      </c>
      <c r="G80" s="2022">
        <v>520630.68</v>
      </c>
      <c r="H80" s="2022">
        <v>0</v>
      </c>
      <c r="I80" s="2022">
        <f t="shared" si="1"/>
        <v>520630.68</v>
      </c>
    </row>
    <row r="81" spans="1:9" x14ac:dyDescent="0.2">
      <c r="A81" t="s">
        <v>4973</v>
      </c>
      <c r="B81" t="s">
        <v>6062</v>
      </c>
      <c r="C81" s="2022">
        <v>2228.0100000000002</v>
      </c>
      <c r="D81" s="2022">
        <v>0</v>
      </c>
      <c r="E81" s="2022">
        <v>1777.61</v>
      </c>
      <c r="F81" s="2022">
        <v>0</v>
      </c>
      <c r="G81" s="2022">
        <v>1777.61</v>
      </c>
      <c r="H81" s="2022">
        <v>0</v>
      </c>
      <c r="I81" s="2022">
        <f t="shared" si="1"/>
        <v>1777.61</v>
      </c>
    </row>
    <row r="82" spans="1:9" x14ac:dyDescent="0.2">
      <c r="A82" t="s">
        <v>4974</v>
      </c>
      <c r="B82" t="s">
        <v>6063</v>
      </c>
      <c r="C82" s="2022">
        <v>27485.97</v>
      </c>
      <c r="D82" s="2022">
        <v>0</v>
      </c>
      <c r="E82" s="2022">
        <v>26508.32</v>
      </c>
      <c r="F82" s="2022">
        <v>0</v>
      </c>
      <c r="G82" s="2022">
        <v>26508.32</v>
      </c>
      <c r="H82" s="2022">
        <v>0</v>
      </c>
      <c r="I82" s="2022">
        <f t="shared" si="1"/>
        <v>26508.32</v>
      </c>
    </row>
    <row r="83" spans="1:9" x14ac:dyDescent="0.2">
      <c r="A83" t="s">
        <v>4976</v>
      </c>
      <c r="B83" t="s">
        <v>6064</v>
      </c>
      <c r="C83" s="2022">
        <v>371153.55</v>
      </c>
      <c r="D83" s="2022">
        <v>0</v>
      </c>
      <c r="E83" s="2022">
        <v>0</v>
      </c>
      <c r="F83" s="2022">
        <v>0</v>
      </c>
      <c r="G83" s="2022">
        <v>0</v>
      </c>
      <c r="H83" s="2022">
        <v>0</v>
      </c>
      <c r="I83" s="2022">
        <f t="shared" si="1"/>
        <v>0</v>
      </c>
    </row>
    <row r="84" spans="1:9" x14ac:dyDescent="0.2">
      <c r="A84" t="s">
        <v>4979</v>
      </c>
      <c r="B84" t="s">
        <v>4980</v>
      </c>
      <c r="C84" s="2022">
        <v>0</v>
      </c>
      <c r="D84" s="2022">
        <v>0</v>
      </c>
      <c r="E84" s="2022">
        <v>42811.53</v>
      </c>
      <c r="F84" s="2022">
        <v>0</v>
      </c>
      <c r="G84" s="2022">
        <v>42811.53</v>
      </c>
      <c r="H84" s="2022">
        <v>0</v>
      </c>
      <c r="I84" s="2022">
        <f t="shared" si="1"/>
        <v>42811.53</v>
      </c>
    </row>
    <row r="85" spans="1:9" x14ac:dyDescent="0.2">
      <c r="A85" t="s">
        <v>4981</v>
      </c>
      <c r="B85" t="s">
        <v>4982</v>
      </c>
      <c r="C85" s="2022">
        <v>141655.92000000001</v>
      </c>
      <c r="D85" s="2022">
        <v>0</v>
      </c>
      <c r="E85" s="2022">
        <v>236093.2</v>
      </c>
      <c r="F85" s="2022">
        <v>0</v>
      </c>
      <c r="G85" s="2022">
        <v>236093.2</v>
      </c>
      <c r="H85" s="2022">
        <v>0</v>
      </c>
      <c r="I85" s="2022">
        <f t="shared" si="1"/>
        <v>236093.2</v>
      </c>
    </row>
    <row r="86" spans="1:9" x14ac:dyDescent="0.2">
      <c r="A86" t="s">
        <v>4990</v>
      </c>
      <c r="B86" t="s">
        <v>6065</v>
      </c>
      <c r="C86" s="2022">
        <v>1500000</v>
      </c>
      <c r="D86" s="2022">
        <v>0</v>
      </c>
      <c r="E86" s="2022">
        <v>0</v>
      </c>
      <c r="F86" s="2022">
        <v>0</v>
      </c>
      <c r="G86" s="2022">
        <v>0</v>
      </c>
      <c r="H86" s="2022">
        <v>0</v>
      </c>
      <c r="I86" s="2022">
        <f t="shared" si="1"/>
        <v>0</v>
      </c>
    </row>
    <row r="87" spans="1:9" x14ac:dyDescent="0.2">
      <c r="A87" t="s">
        <v>4995</v>
      </c>
      <c r="B87" t="s">
        <v>6066</v>
      </c>
      <c r="C87" s="2022">
        <v>83080.42</v>
      </c>
      <c r="D87" s="2022">
        <v>0</v>
      </c>
      <c r="E87" s="2022">
        <v>81964.539999999994</v>
      </c>
      <c r="F87" s="2022">
        <v>-4088.49</v>
      </c>
      <c r="G87" s="2022">
        <v>77876.05</v>
      </c>
      <c r="H87" s="2022">
        <v>0</v>
      </c>
      <c r="I87" s="2022">
        <f t="shared" si="1"/>
        <v>77876.05</v>
      </c>
    </row>
    <row r="88" spans="1:9" x14ac:dyDescent="0.2">
      <c r="A88" t="s">
        <v>4997</v>
      </c>
      <c r="B88" t="s">
        <v>6067</v>
      </c>
      <c r="C88" s="2022">
        <v>331527.36</v>
      </c>
      <c r="D88" s="2022">
        <v>0</v>
      </c>
      <c r="E88" s="2022">
        <v>297261.34000000003</v>
      </c>
      <c r="F88" s="2022">
        <v>-1194.93</v>
      </c>
      <c r="G88" s="2022">
        <v>296066.40999999997</v>
      </c>
      <c r="H88" s="2022">
        <v>0</v>
      </c>
      <c r="I88" s="2022">
        <f t="shared" si="1"/>
        <v>296066.40999999997</v>
      </c>
    </row>
    <row r="89" spans="1:9" x14ac:dyDescent="0.2">
      <c r="A89" t="s">
        <v>4999</v>
      </c>
      <c r="B89" t="s">
        <v>6068</v>
      </c>
      <c r="C89" s="2022">
        <v>687.96</v>
      </c>
      <c r="D89" s="2022">
        <v>0</v>
      </c>
      <c r="E89" s="2022">
        <v>1468.83</v>
      </c>
      <c r="F89" s="2022">
        <v>0</v>
      </c>
      <c r="G89" s="2022">
        <v>1468.83</v>
      </c>
      <c r="H89" s="2022">
        <v>0</v>
      </c>
      <c r="I89" s="2022">
        <f t="shared" si="1"/>
        <v>1468.83</v>
      </c>
    </row>
    <row r="90" spans="1:9" x14ac:dyDescent="0.2">
      <c r="A90" t="s">
        <v>5000</v>
      </c>
      <c r="B90" t="s">
        <v>6069</v>
      </c>
      <c r="C90" s="2022">
        <v>453944.19</v>
      </c>
      <c r="D90" s="2022">
        <v>0</v>
      </c>
      <c r="E90" s="2022">
        <v>399270.55</v>
      </c>
      <c r="F90" s="2022">
        <v>-36290.99</v>
      </c>
      <c r="G90" s="2022">
        <v>362979.56</v>
      </c>
      <c r="H90" s="2022">
        <v>0</v>
      </c>
      <c r="I90" s="2022">
        <f t="shared" si="1"/>
        <v>362979.56</v>
      </c>
    </row>
    <row r="91" spans="1:9" x14ac:dyDescent="0.2">
      <c r="A91" t="s">
        <v>5002</v>
      </c>
      <c r="B91" t="s">
        <v>6070</v>
      </c>
      <c r="C91" s="2022">
        <v>79651.95</v>
      </c>
      <c r="D91" s="2022">
        <v>0</v>
      </c>
      <c r="E91" s="2022">
        <v>79255.8</v>
      </c>
      <c r="F91" s="2022">
        <v>0</v>
      </c>
      <c r="G91" s="2022">
        <v>79255.8</v>
      </c>
      <c r="H91" s="2022">
        <v>0</v>
      </c>
      <c r="I91" s="2022">
        <f t="shared" si="1"/>
        <v>79255.8</v>
      </c>
    </row>
    <row r="92" spans="1:9" x14ac:dyDescent="0.2">
      <c r="A92" t="s">
        <v>5004</v>
      </c>
      <c r="B92" t="s">
        <v>6071</v>
      </c>
      <c r="C92" s="2022">
        <v>2666692.73</v>
      </c>
      <c r="D92" s="2022">
        <v>0</v>
      </c>
      <c r="E92" s="2022">
        <v>2933291.96</v>
      </c>
      <c r="F92" s="2022">
        <v>-1090825.8999999999</v>
      </c>
      <c r="G92" s="2022">
        <v>1842466.06</v>
      </c>
      <c r="H92" s="2022">
        <v>0</v>
      </c>
      <c r="I92" s="2022">
        <f t="shared" si="1"/>
        <v>1842466.06</v>
      </c>
    </row>
    <row r="93" spans="1:9" x14ac:dyDescent="0.2">
      <c r="A93" t="s">
        <v>5006</v>
      </c>
      <c r="B93" t="s">
        <v>6072</v>
      </c>
      <c r="C93" s="2022">
        <v>25986.87</v>
      </c>
      <c r="D93" s="2022">
        <v>0</v>
      </c>
      <c r="E93" s="2022">
        <v>36272.07</v>
      </c>
      <c r="F93" s="2022">
        <v>0</v>
      </c>
      <c r="G93" s="2022">
        <v>36272.07</v>
      </c>
      <c r="H93" s="2022">
        <v>0</v>
      </c>
      <c r="I93" s="2022">
        <f t="shared" si="1"/>
        <v>36272.07</v>
      </c>
    </row>
    <row r="94" spans="1:9" x14ac:dyDescent="0.2">
      <c r="A94" t="s">
        <v>5007</v>
      </c>
      <c r="B94" t="s">
        <v>6073</v>
      </c>
      <c r="C94" s="2022">
        <v>0</v>
      </c>
      <c r="D94" s="2022">
        <v>0</v>
      </c>
      <c r="E94" s="2022">
        <v>12577</v>
      </c>
      <c r="F94" s="2022">
        <v>0</v>
      </c>
      <c r="G94" s="2022">
        <v>12577</v>
      </c>
      <c r="H94" s="2022">
        <v>0</v>
      </c>
      <c r="I94" s="2022">
        <f t="shared" si="1"/>
        <v>12577</v>
      </c>
    </row>
    <row r="95" spans="1:9" x14ac:dyDescent="0.2">
      <c r="A95" t="s">
        <v>5009</v>
      </c>
      <c r="B95" t="s">
        <v>6074</v>
      </c>
      <c r="C95" s="2022">
        <v>174508.68</v>
      </c>
      <c r="D95" s="2022">
        <v>0</v>
      </c>
      <c r="E95" s="2022">
        <v>177073.93</v>
      </c>
      <c r="F95" s="2022">
        <v>0</v>
      </c>
      <c r="G95" s="2022">
        <v>177073.93</v>
      </c>
      <c r="H95" s="2022">
        <v>0</v>
      </c>
      <c r="I95" s="2022">
        <f t="shared" si="1"/>
        <v>177073.93</v>
      </c>
    </row>
    <row r="96" spans="1:9" x14ac:dyDescent="0.2">
      <c r="A96" t="s">
        <v>5013</v>
      </c>
      <c r="B96" t="s">
        <v>6075</v>
      </c>
      <c r="C96" s="2022">
        <v>66551.69</v>
      </c>
      <c r="D96" s="2022">
        <v>0</v>
      </c>
      <c r="E96" s="2022">
        <v>113162.8</v>
      </c>
      <c r="F96" s="2022">
        <v>0</v>
      </c>
      <c r="G96" s="2022">
        <v>113162.8</v>
      </c>
      <c r="H96" s="2022">
        <v>0</v>
      </c>
      <c r="I96" s="2022">
        <f t="shared" si="1"/>
        <v>113162.8</v>
      </c>
    </row>
    <row r="97" spans="1:9" x14ac:dyDescent="0.2">
      <c r="A97" t="s">
        <v>5015</v>
      </c>
      <c r="B97" t="s">
        <v>6076</v>
      </c>
      <c r="C97" s="2022">
        <v>0</v>
      </c>
      <c r="D97" s="2022">
        <v>0</v>
      </c>
      <c r="E97" s="2022">
        <v>0</v>
      </c>
      <c r="F97" s="2022">
        <v>-378.4</v>
      </c>
      <c r="G97" s="2022">
        <v>0</v>
      </c>
      <c r="H97" s="2022">
        <v>-378.4</v>
      </c>
      <c r="I97" s="2022">
        <f t="shared" si="1"/>
        <v>-378.4</v>
      </c>
    </row>
    <row r="98" spans="1:9" x14ac:dyDescent="0.2">
      <c r="A98" t="s">
        <v>5017</v>
      </c>
      <c r="B98" t="s">
        <v>6077</v>
      </c>
      <c r="C98" s="2022">
        <v>2689.5</v>
      </c>
      <c r="D98" s="2022">
        <v>0</v>
      </c>
      <c r="E98" s="2022">
        <v>1287.94</v>
      </c>
      <c r="F98" s="2022">
        <v>0</v>
      </c>
      <c r="G98" s="2022">
        <v>1287.94</v>
      </c>
      <c r="H98" s="2022">
        <v>0</v>
      </c>
      <c r="I98" s="2022">
        <f t="shared" si="1"/>
        <v>1287.94</v>
      </c>
    </row>
    <row r="99" spans="1:9" x14ac:dyDescent="0.2">
      <c r="A99" t="s">
        <v>5018</v>
      </c>
      <c r="B99" t="s">
        <v>6078</v>
      </c>
      <c r="C99" s="2022">
        <v>194794.16</v>
      </c>
      <c r="D99" s="2022">
        <v>0</v>
      </c>
      <c r="E99" s="2022">
        <v>91493.95</v>
      </c>
      <c r="F99" s="2022">
        <v>0</v>
      </c>
      <c r="G99" s="2022">
        <v>91493.95</v>
      </c>
      <c r="H99" s="2022">
        <v>0</v>
      </c>
      <c r="I99" s="2022">
        <f t="shared" si="1"/>
        <v>91493.95</v>
      </c>
    </row>
    <row r="100" spans="1:9" x14ac:dyDescent="0.2">
      <c r="A100" t="s">
        <v>5019</v>
      </c>
      <c r="B100" t="s">
        <v>6079</v>
      </c>
      <c r="C100" s="2022">
        <v>6625.43</v>
      </c>
      <c r="D100" s="2022">
        <v>0</v>
      </c>
      <c r="E100" s="2022">
        <v>2749.92</v>
      </c>
      <c r="F100" s="2022">
        <v>-781.29</v>
      </c>
      <c r="G100" s="2022">
        <v>1968.63</v>
      </c>
      <c r="H100" s="2022">
        <v>0</v>
      </c>
      <c r="I100" s="2022">
        <f t="shared" si="1"/>
        <v>1968.63</v>
      </c>
    </row>
    <row r="101" spans="1:9" x14ac:dyDescent="0.2">
      <c r="A101" t="s">
        <v>5020</v>
      </c>
      <c r="B101" t="s">
        <v>6080</v>
      </c>
      <c r="C101" s="2022">
        <v>15632.14</v>
      </c>
      <c r="D101" s="2022">
        <v>0</v>
      </c>
      <c r="E101" s="2022">
        <v>18000.560000000001</v>
      </c>
      <c r="F101" s="2022">
        <v>0</v>
      </c>
      <c r="G101" s="2022">
        <v>18000.560000000001</v>
      </c>
      <c r="H101" s="2022">
        <v>0</v>
      </c>
      <c r="I101" s="2022">
        <f t="shared" si="1"/>
        <v>18000.560000000001</v>
      </c>
    </row>
    <row r="102" spans="1:9" x14ac:dyDescent="0.2">
      <c r="A102" t="s">
        <v>5021</v>
      </c>
      <c r="B102" t="s">
        <v>6081</v>
      </c>
      <c r="C102" s="2022">
        <v>302445.98</v>
      </c>
      <c r="D102" s="2022">
        <v>0</v>
      </c>
      <c r="E102" s="2022">
        <v>302445.98</v>
      </c>
      <c r="F102" s="2022">
        <v>0</v>
      </c>
      <c r="G102" s="2022">
        <v>302445.98</v>
      </c>
      <c r="H102" s="2022">
        <v>0</v>
      </c>
      <c r="I102" s="2022">
        <f t="shared" si="1"/>
        <v>302445.98</v>
      </c>
    </row>
    <row r="103" spans="1:9" x14ac:dyDescent="0.2">
      <c r="A103" t="s">
        <v>5022</v>
      </c>
      <c r="B103" t="s">
        <v>4873</v>
      </c>
      <c r="C103" s="2022">
        <v>12855.15</v>
      </c>
      <c r="D103" s="2022">
        <v>0</v>
      </c>
      <c r="E103" s="2022">
        <v>8595.33</v>
      </c>
      <c r="F103" s="2022">
        <v>0</v>
      </c>
      <c r="G103" s="2022">
        <v>8595.33</v>
      </c>
      <c r="H103" s="2022">
        <v>0</v>
      </c>
      <c r="I103" s="2022">
        <f t="shared" si="1"/>
        <v>8595.33</v>
      </c>
    </row>
    <row r="104" spans="1:9" x14ac:dyDescent="0.2">
      <c r="A104" t="s">
        <v>5024</v>
      </c>
      <c r="B104" t="s">
        <v>5025</v>
      </c>
      <c r="C104" s="2022">
        <v>0</v>
      </c>
      <c r="D104" s="2022">
        <v>0</v>
      </c>
      <c r="E104" s="2022">
        <v>570</v>
      </c>
      <c r="F104" s="2022">
        <v>0</v>
      </c>
      <c r="G104" s="2022">
        <v>570</v>
      </c>
      <c r="H104" s="2022">
        <v>0</v>
      </c>
      <c r="I104" s="2022">
        <f t="shared" si="1"/>
        <v>570</v>
      </c>
    </row>
    <row r="105" spans="1:9" x14ac:dyDescent="0.2">
      <c r="A105" t="s">
        <v>5026</v>
      </c>
      <c r="B105" t="s">
        <v>6082</v>
      </c>
      <c r="C105" s="2022">
        <v>3915</v>
      </c>
      <c r="D105" s="2022">
        <v>0</v>
      </c>
      <c r="E105" s="2022">
        <v>2521.34</v>
      </c>
      <c r="F105" s="2022">
        <v>0</v>
      </c>
      <c r="G105" s="2022">
        <v>2521.34</v>
      </c>
      <c r="H105" s="2022">
        <v>0</v>
      </c>
      <c r="I105" s="2022">
        <f t="shared" si="1"/>
        <v>2521.34</v>
      </c>
    </row>
    <row r="106" spans="1:9" x14ac:dyDescent="0.2">
      <c r="A106" t="s">
        <v>5027</v>
      </c>
      <c r="B106" t="s">
        <v>6083</v>
      </c>
      <c r="C106" s="2022">
        <v>0</v>
      </c>
      <c r="D106" s="2022">
        <v>0</v>
      </c>
      <c r="E106" s="2022">
        <v>58900</v>
      </c>
      <c r="F106" s="2022">
        <v>0</v>
      </c>
      <c r="G106" s="2022">
        <v>58900</v>
      </c>
      <c r="H106" s="2022">
        <v>0</v>
      </c>
      <c r="I106" s="2022">
        <f t="shared" si="1"/>
        <v>58900</v>
      </c>
    </row>
    <row r="107" spans="1:9" x14ac:dyDescent="0.2">
      <c r="A107" t="s">
        <v>5029</v>
      </c>
      <c r="B107" t="s">
        <v>6084</v>
      </c>
      <c r="C107" s="2022">
        <v>190000</v>
      </c>
      <c r="D107" s="2022">
        <v>0</v>
      </c>
      <c r="E107" s="2022">
        <v>196535.97</v>
      </c>
      <c r="F107" s="2022">
        <v>0</v>
      </c>
      <c r="G107" s="2022">
        <v>196535.97</v>
      </c>
      <c r="H107" s="2022">
        <v>0</v>
      </c>
      <c r="I107" s="2022">
        <f t="shared" si="1"/>
        <v>196535.97</v>
      </c>
    </row>
    <row r="108" spans="1:9" x14ac:dyDescent="0.2">
      <c r="A108" t="s">
        <v>5030</v>
      </c>
      <c r="B108" t="s">
        <v>6085</v>
      </c>
      <c r="C108" s="2022">
        <v>190000</v>
      </c>
      <c r="D108" s="2022">
        <v>0</v>
      </c>
      <c r="E108" s="2022">
        <v>257215.04</v>
      </c>
      <c r="F108" s="2022">
        <v>0</v>
      </c>
      <c r="G108" s="2022">
        <v>257215.04</v>
      </c>
      <c r="H108" s="2022">
        <v>0</v>
      </c>
      <c r="I108" s="2022">
        <f t="shared" si="1"/>
        <v>257215.04</v>
      </c>
    </row>
    <row r="109" spans="1:9" x14ac:dyDescent="0.2">
      <c r="A109" t="s">
        <v>5034</v>
      </c>
      <c r="B109" t="s">
        <v>6086</v>
      </c>
      <c r="C109" s="2022">
        <v>90000</v>
      </c>
      <c r="D109" s="2022">
        <v>0</v>
      </c>
      <c r="E109" s="2022">
        <v>32201</v>
      </c>
      <c r="F109" s="2022">
        <v>0</v>
      </c>
      <c r="G109" s="2022">
        <v>32201</v>
      </c>
      <c r="H109" s="2022">
        <v>0</v>
      </c>
      <c r="I109" s="2022">
        <f t="shared" si="1"/>
        <v>32201</v>
      </c>
    </row>
    <row r="110" spans="1:9" x14ac:dyDescent="0.2">
      <c r="A110" t="s">
        <v>5035</v>
      </c>
      <c r="B110" t="s">
        <v>6087</v>
      </c>
      <c r="C110" s="2022">
        <v>567596.88</v>
      </c>
      <c r="D110" s="2022">
        <v>0</v>
      </c>
      <c r="E110" s="2022">
        <v>751960.18</v>
      </c>
      <c r="F110" s="2022">
        <v>-99.7</v>
      </c>
      <c r="G110" s="2022">
        <v>751860.48</v>
      </c>
      <c r="H110" s="2022">
        <v>0</v>
      </c>
      <c r="I110" s="2022">
        <f t="shared" si="1"/>
        <v>751860.48</v>
      </c>
    </row>
    <row r="111" spans="1:9" x14ac:dyDescent="0.2">
      <c r="A111" t="s">
        <v>5037</v>
      </c>
      <c r="B111" t="s">
        <v>4885</v>
      </c>
      <c r="C111" s="2022">
        <v>500000</v>
      </c>
      <c r="D111" s="2022">
        <v>0</v>
      </c>
      <c r="E111" s="2022">
        <v>521441.35</v>
      </c>
      <c r="F111" s="2022">
        <v>-89127.7</v>
      </c>
      <c r="G111" s="2022">
        <v>432313.65</v>
      </c>
      <c r="H111" s="2022">
        <v>0</v>
      </c>
      <c r="I111" s="2022">
        <f t="shared" si="1"/>
        <v>432313.65</v>
      </c>
    </row>
    <row r="112" spans="1:9" x14ac:dyDescent="0.2">
      <c r="A112" t="s">
        <v>5038</v>
      </c>
      <c r="B112" t="s">
        <v>6088</v>
      </c>
      <c r="C112" s="2022">
        <v>1200000</v>
      </c>
      <c r="D112" s="2022">
        <v>0</v>
      </c>
      <c r="E112" s="2022">
        <v>1322034.3400000001</v>
      </c>
      <c r="F112" s="2022">
        <v>-16453.12</v>
      </c>
      <c r="G112" s="2022">
        <v>1305581.22</v>
      </c>
      <c r="H112" s="2022">
        <v>0</v>
      </c>
      <c r="I112" s="2022">
        <f t="shared" si="1"/>
        <v>1305581.22</v>
      </c>
    </row>
    <row r="113" spans="1:9" x14ac:dyDescent="0.2">
      <c r="A113" t="s">
        <v>5039</v>
      </c>
      <c r="B113" t="s">
        <v>6089</v>
      </c>
      <c r="C113" s="2022">
        <v>179.71</v>
      </c>
      <c r="D113" s="2022">
        <v>0</v>
      </c>
      <c r="E113" s="2022">
        <v>1508.41</v>
      </c>
      <c r="F113" s="2022">
        <v>0</v>
      </c>
      <c r="G113" s="2022">
        <v>1508.41</v>
      </c>
      <c r="H113" s="2022">
        <v>0</v>
      </c>
      <c r="I113" s="2022">
        <f t="shared" si="1"/>
        <v>1508.41</v>
      </c>
    </row>
    <row r="114" spans="1:9" x14ac:dyDescent="0.2">
      <c r="A114" t="s">
        <v>5040</v>
      </c>
      <c r="B114" t="s">
        <v>6090</v>
      </c>
      <c r="C114" s="2022">
        <v>72.75</v>
      </c>
      <c r="D114" s="2022">
        <v>0</v>
      </c>
      <c r="E114" s="2022">
        <v>1941.15</v>
      </c>
      <c r="F114" s="2022">
        <v>0</v>
      </c>
      <c r="G114" s="2022">
        <v>1941.15</v>
      </c>
      <c r="H114" s="2022">
        <v>0</v>
      </c>
      <c r="I114" s="2022">
        <f t="shared" si="1"/>
        <v>1941.15</v>
      </c>
    </row>
    <row r="115" spans="1:9" x14ac:dyDescent="0.2">
      <c r="A115" t="s">
        <v>5041</v>
      </c>
      <c r="B115" t="s">
        <v>6091</v>
      </c>
      <c r="C115" s="2022">
        <v>200000</v>
      </c>
      <c r="D115" s="2022">
        <v>0</v>
      </c>
      <c r="E115" s="2022">
        <v>230438.59</v>
      </c>
      <c r="F115" s="2022">
        <v>-170900</v>
      </c>
      <c r="G115" s="2022">
        <v>59538.59</v>
      </c>
      <c r="H115" s="2022">
        <v>0</v>
      </c>
      <c r="I115" s="2022">
        <f t="shared" si="1"/>
        <v>59538.59</v>
      </c>
    </row>
    <row r="116" spans="1:9" x14ac:dyDescent="0.2">
      <c r="A116" t="s">
        <v>5043</v>
      </c>
      <c r="B116" t="s">
        <v>6092</v>
      </c>
      <c r="C116" s="2022">
        <v>0</v>
      </c>
      <c r="D116" s="2022">
        <v>0</v>
      </c>
      <c r="E116" s="2022">
        <v>404000</v>
      </c>
      <c r="F116" s="2022">
        <v>0</v>
      </c>
      <c r="G116" s="2022">
        <v>404000</v>
      </c>
      <c r="H116" s="2022">
        <v>0</v>
      </c>
      <c r="I116" s="2022">
        <f t="shared" si="1"/>
        <v>404000</v>
      </c>
    </row>
    <row r="117" spans="1:9" x14ac:dyDescent="0.2">
      <c r="A117" t="s">
        <v>5044</v>
      </c>
      <c r="B117" t="s">
        <v>6093</v>
      </c>
      <c r="C117" s="2022">
        <v>4000000</v>
      </c>
      <c r="D117" s="2022">
        <v>0</v>
      </c>
      <c r="E117" s="2022">
        <v>3007097.59</v>
      </c>
      <c r="F117" s="2022">
        <v>-486792.57</v>
      </c>
      <c r="G117" s="2022">
        <v>2520305.02</v>
      </c>
      <c r="H117" s="2022">
        <v>0</v>
      </c>
      <c r="I117" s="2022">
        <f t="shared" si="1"/>
        <v>2520305.02</v>
      </c>
    </row>
    <row r="118" spans="1:9" x14ac:dyDescent="0.2">
      <c r="A118" t="s">
        <v>5045</v>
      </c>
      <c r="B118" t="s">
        <v>5046</v>
      </c>
      <c r="C118" s="2022">
        <v>4008.93</v>
      </c>
      <c r="D118" s="2022">
        <v>0</v>
      </c>
      <c r="E118" s="2022">
        <v>0</v>
      </c>
      <c r="F118" s="2022">
        <v>0</v>
      </c>
      <c r="G118" s="2022">
        <v>0</v>
      </c>
      <c r="H118" s="2022">
        <v>0</v>
      </c>
      <c r="I118" s="2022">
        <f t="shared" si="1"/>
        <v>0</v>
      </c>
    </row>
    <row r="119" spans="1:9" x14ac:dyDescent="0.2">
      <c r="A119" t="s">
        <v>5049</v>
      </c>
      <c r="B119" t="s">
        <v>4893</v>
      </c>
      <c r="C119" s="2022">
        <v>2535.02</v>
      </c>
      <c r="D119" s="2022">
        <v>0</v>
      </c>
      <c r="E119" s="2022">
        <v>2460.62</v>
      </c>
      <c r="F119" s="2022">
        <v>0</v>
      </c>
      <c r="G119" s="2022">
        <v>2460.62</v>
      </c>
      <c r="H119" s="2022">
        <v>0</v>
      </c>
      <c r="I119" s="2022">
        <f t="shared" si="1"/>
        <v>2460.62</v>
      </c>
    </row>
    <row r="120" spans="1:9" x14ac:dyDescent="0.2">
      <c r="A120" t="s">
        <v>5052</v>
      </c>
      <c r="B120" t="s">
        <v>6094</v>
      </c>
      <c r="C120" s="2022">
        <v>14173.85</v>
      </c>
      <c r="D120" s="2022">
        <v>0</v>
      </c>
      <c r="E120" s="2022">
        <v>0</v>
      </c>
      <c r="F120" s="2022">
        <v>0</v>
      </c>
      <c r="G120" s="2022">
        <v>0</v>
      </c>
      <c r="H120" s="2022">
        <v>0</v>
      </c>
      <c r="I120" s="2022">
        <f t="shared" si="1"/>
        <v>0</v>
      </c>
    </row>
    <row r="121" spans="1:9" x14ac:dyDescent="0.2">
      <c r="A121" t="s">
        <v>5055</v>
      </c>
      <c r="B121" t="s">
        <v>6095</v>
      </c>
      <c r="C121" s="2022">
        <v>86834.26</v>
      </c>
      <c r="D121" s="2022">
        <v>0</v>
      </c>
      <c r="E121" s="2022">
        <v>65087.72</v>
      </c>
      <c r="F121" s="2022">
        <v>0</v>
      </c>
      <c r="G121" s="2022">
        <v>65087.72</v>
      </c>
      <c r="H121" s="2022">
        <v>0</v>
      </c>
      <c r="I121" s="2022">
        <f t="shared" si="1"/>
        <v>65087.72</v>
      </c>
    </row>
    <row r="122" spans="1:9" x14ac:dyDescent="0.2">
      <c r="A122" t="s">
        <v>5057</v>
      </c>
      <c r="B122" t="s">
        <v>6036</v>
      </c>
      <c r="C122" s="2022">
        <v>37060.6</v>
      </c>
      <c r="D122" s="2022">
        <v>0</v>
      </c>
      <c r="E122" s="2022">
        <v>0</v>
      </c>
      <c r="F122" s="2022">
        <v>0</v>
      </c>
      <c r="G122" s="2022">
        <v>0</v>
      </c>
      <c r="H122" s="2022">
        <v>0</v>
      </c>
      <c r="I122" s="2022">
        <f t="shared" si="1"/>
        <v>0</v>
      </c>
    </row>
    <row r="123" spans="1:9" x14ac:dyDescent="0.2">
      <c r="A123" t="s">
        <v>5058</v>
      </c>
      <c r="B123" t="s">
        <v>6036</v>
      </c>
      <c r="C123" s="2022">
        <v>29893.57</v>
      </c>
      <c r="D123" s="2022">
        <v>0</v>
      </c>
      <c r="E123" s="2022">
        <v>9955.9</v>
      </c>
      <c r="F123" s="2022">
        <v>0</v>
      </c>
      <c r="G123" s="2022">
        <v>9955.9</v>
      </c>
      <c r="H123" s="2022">
        <v>0</v>
      </c>
      <c r="I123" s="2022">
        <f t="shared" si="1"/>
        <v>9955.9</v>
      </c>
    </row>
    <row r="124" spans="1:9" x14ac:dyDescent="0.2">
      <c r="A124" t="s">
        <v>5061</v>
      </c>
      <c r="B124" t="s">
        <v>5062</v>
      </c>
      <c r="C124" s="2022">
        <v>-5968220.9400000004</v>
      </c>
      <c r="D124" s="2022">
        <v>0</v>
      </c>
      <c r="E124" s="2022">
        <v>753.05</v>
      </c>
      <c r="F124" s="2022">
        <v>-2979713.85</v>
      </c>
      <c r="G124" s="2022">
        <v>0</v>
      </c>
      <c r="H124" s="2022">
        <v>-2978960.8</v>
      </c>
      <c r="I124" s="2022">
        <f t="shared" si="1"/>
        <v>-2978960.8</v>
      </c>
    </row>
    <row r="125" spans="1:9" x14ac:dyDescent="0.2">
      <c r="A125" t="s">
        <v>5063</v>
      </c>
      <c r="B125" t="s">
        <v>5064</v>
      </c>
      <c r="C125" s="2022">
        <v>-6035446.3600000003</v>
      </c>
      <c r="D125" s="2022">
        <v>0</v>
      </c>
      <c r="E125" s="2022">
        <v>0</v>
      </c>
      <c r="F125" s="2022">
        <v>-411281.35</v>
      </c>
      <c r="G125" s="2022">
        <v>0</v>
      </c>
      <c r="H125" s="2022">
        <v>-411281.35</v>
      </c>
      <c r="I125" s="2022">
        <f t="shared" si="1"/>
        <v>-411281.35</v>
      </c>
    </row>
    <row r="126" spans="1:9" x14ac:dyDescent="0.2">
      <c r="A126" t="s">
        <v>5065</v>
      </c>
      <c r="B126" t="s">
        <v>5066</v>
      </c>
      <c r="C126" s="2022">
        <v>6646089.25</v>
      </c>
      <c r="D126" s="2022">
        <v>0</v>
      </c>
      <c r="E126" s="2022">
        <v>1091323.3999999999</v>
      </c>
      <c r="F126" s="2022">
        <v>0</v>
      </c>
      <c r="G126" s="2022">
        <v>1091323.3999999999</v>
      </c>
      <c r="H126" s="2022">
        <v>0</v>
      </c>
      <c r="I126" s="2022">
        <f t="shared" si="1"/>
        <v>1091323.3999999999</v>
      </c>
    </row>
    <row r="127" spans="1:9" x14ac:dyDescent="0.2">
      <c r="A127" t="s">
        <v>5067</v>
      </c>
      <c r="B127" t="s">
        <v>5068</v>
      </c>
      <c r="C127" s="2022">
        <v>-620319.69999999995</v>
      </c>
      <c r="D127" s="2022">
        <v>0</v>
      </c>
      <c r="E127" s="2022">
        <v>0</v>
      </c>
      <c r="F127" s="2022">
        <v>-74352.350000000006</v>
      </c>
      <c r="G127" s="2022">
        <v>0</v>
      </c>
      <c r="H127" s="2022">
        <v>-74352.350000000006</v>
      </c>
      <c r="I127" s="2022">
        <f t="shared" si="1"/>
        <v>-74352.350000000006</v>
      </c>
    </row>
    <row r="128" spans="1:9" x14ac:dyDescent="0.2">
      <c r="A128" t="s">
        <v>5069</v>
      </c>
      <c r="B128" t="s">
        <v>5070</v>
      </c>
      <c r="C128" s="2022">
        <v>-868246.17</v>
      </c>
      <c r="D128" s="2022">
        <v>0</v>
      </c>
      <c r="E128" s="2022">
        <v>38011.949999999997</v>
      </c>
      <c r="F128" s="2022">
        <v>-3435760.55</v>
      </c>
      <c r="G128" s="2022">
        <v>0</v>
      </c>
      <c r="H128" s="2022">
        <v>-3397748.6</v>
      </c>
      <c r="I128" s="2022">
        <f t="shared" si="1"/>
        <v>-3397748.6</v>
      </c>
    </row>
    <row r="129" spans="1:9" x14ac:dyDescent="0.2">
      <c r="A129" t="s">
        <v>5075</v>
      </c>
      <c r="B129" t="s">
        <v>5076</v>
      </c>
      <c r="C129" s="2022">
        <v>-15000</v>
      </c>
      <c r="D129" s="2022">
        <v>0</v>
      </c>
      <c r="E129" s="2022">
        <v>0.01</v>
      </c>
      <c r="F129" s="2022">
        <v>-952.83</v>
      </c>
      <c r="G129" s="2022">
        <v>0</v>
      </c>
      <c r="H129" s="2022">
        <v>-952.82</v>
      </c>
      <c r="I129" s="2022">
        <f t="shared" si="1"/>
        <v>-952.82</v>
      </c>
    </row>
    <row r="130" spans="1:9" x14ac:dyDescent="0.2">
      <c r="A130" t="s">
        <v>5077</v>
      </c>
      <c r="B130" t="s">
        <v>5078</v>
      </c>
      <c r="C130" s="2022">
        <v>-242201.05</v>
      </c>
      <c r="D130" s="2022">
        <v>0</v>
      </c>
      <c r="E130" s="2022">
        <v>55155</v>
      </c>
      <c r="F130" s="2022">
        <v>-385659.2</v>
      </c>
      <c r="G130" s="2022">
        <v>0</v>
      </c>
      <c r="H130" s="2022">
        <v>-330504.2</v>
      </c>
      <c r="I130" s="2022">
        <f t="shared" si="1"/>
        <v>-330504.2</v>
      </c>
    </row>
    <row r="131" spans="1:9" x14ac:dyDescent="0.2">
      <c r="A131" t="s">
        <v>5079</v>
      </c>
      <c r="B131" t="s">
        <v>6096</v>
      </c>
      <c r="C131" s="2022">
        <v>-7625.82</v>
      </c>
      <c r="D131" s="2022">
        <v>0</v>
      </c>
      <c r="E131" s="2022">
        <v>0</v>
      </c>
      <c r="F131" s="2022">
        <v>0</v>
      </c>
      <c r="G131" s="2022">
        <v>0</v>
      </c>
      <c r="H131" s="2022">
        <v>0</v>
      </c>
      <c r="I131" s="2022">
        <f t="shared" ref="I131:I194" si="2">G131+H131</f>
        <v>0</v>
      </c>
    </row>
    <row r="132" spans="1:9" x14ac:dyDescent="0.2">
      <c r="A132" t="s">
        <v>5081</v>
      </c>
      <c r="B132" t="s">
        <v>6097</v>
      </c>
      <c r="C132" s="2022">
        <v>0</v>
      </c>
      <c r="D132" s="2022">
        <v>0</v>
      </c>
      <c r="E132" s="2022">
        <v>0</v>
      </c>
      <c r="F132" s="2022">
        <v>-2961.77</v>
      </c>
      <c r="G132" s="2022">
        <v>0</v>
      </c>
      <c r="H132" s="2022">
        <v>-2961.77</v>
      </c>
      <c r="I132" s="2022">
        <f t="shared" si="2"/>
        <v>-2961.77</v>
      </c>
    </row>
    <row r="133" spans="1:9" x14ac:dyDescent="0.2">
      <c r="A133" t="s">
        <v>5083</v>
      </c>
      <c r="B133" t="s">
        <v>6098</v>
      </c>
      <c r="C133" s="2022">
        <v>-997346.51</v>
      </c>
      <c r="D133" s="2022">
        <v>0</v>
      </c>
      <c r="E133" s="2022">
        <v>0</v>
      </c>
      <c r="F133" s="2022">
        <v>-33396000</v>
      </c>
      <c r="G133" s="2022">
        <v>0</v>
      </c>
      <c r="H133" s="2022">
        <v>-33396000</v>
      </c>
      <c r="I133" s="2022">
        <f t="shared" si="2"/>
        <v>-33396000</v>
      </c>
    </row>
    <row r="134" spans="1:9" x14ac:dyDescent="0.2">
      <c r="A134" t="s">
        <v>5084</v>
      </c>
      <c r="B134" t="s">
        <v>6099</v>
      </c>
      <c r="C134" s="2022">
        <v>-3126185.31</v>
      </c>
      <c r="D134" s="2022">
        <v>0</v>
      </c>
      <c r="E134" s="2022">
        <v>706992.27</v>
      </c>
      <c r="F134" s="2022">
        <v>-12236000</v>
      </c>
      <c r="G134" s="2022">
        <v>0</v>
      </c>
      <c r="H134" s="2022">
        <v>-11529007.73</v>
      </c>
      <c r="I134" s="2022">
        <f t="shared" si="2"/>
        <v>-11529007.73</v>
      </c>
    </row>
    <row r="135" spans="1:9" x14ac:dyDescent="0.2">
      <c r="A135" t="s">
        <v>5085</v>
      </c>
      <c r="B135" t="s">
        <v>6100</v>
      </c>
      <c r="C135" s="2022">
        <v>-1500000</v>
      </c>
      <c r="D135" s="2022">
        <v>0</v>
      </c>
      <c r="E135" s="2022">
        <v>0</v>
      </c>
      <c r="F135" s="2022">
        <v>0</v>
      </c>
      <c r="G135" s="2022">
        <v>0</v>
      </c>
      <c r="H135" s="2022">
        <v>0</v>
      </c>
      <c r="I135" s="2022">
        <f t="shared" si="2"/>
        <v>0</v>
      </c>
    </row>
    <row r="136" spans="1:9" x14ac:dyDescent="0.2">
      <c r="A136" t="s">
        <v>5087</v>
      </c>
      <c r="B136" t="s">
        <v>6101</v>
      </c>
      <c r="C136" s="2022">
        <v>-15000</v>
      </c>
      <c r="D136" s="2022">
        <v>0</v>
      </c>
      <c r="E136" s="2022">
        <v>1579.26</v>
      </c>
      <c r="F136" s="2022">
        <v>-12523.2</v>
      </c>
      <c r="G136" s="2022">
        <v>0</v>
      </c>
      <c r="H136" s="2022">
        <v>-10943.94</v>
      </c>
      <c r="I136" s="2022">
        <f t="shared" si="2"/>
        <v>-10943.94</v>
      </c>
    </row>
    <row r="137" spans="1:9" x14ac:dyDescent="0.2">
      <c r="A137" t="s">
        <v>5092</v>
      </c>
      <c r="B137" t="s">
        <v>6102</v>
      </c>
      <c r="C137" s="2022">
        <v>-600000</v>
      </c>
      <c r="D137" s="2022">
        <v>0</v>
      </c>
      <c r="E137" s="2022">
        <v>498365.8</v>
      </c>
      <c r="F137" s="2022">
        <v>-4061624.19</v>
      </c>
      <c r="G137" s="2022">
        <v>0</v>
      </c>
      <c r="H137" s="2022">
        <v>-3563258.39</v>
      </c>
      <c r="I137" s="2022">
        <f t="shared" si="2"/>
        <v>-3563258.39</v>
      </c>
    </row>
    <row r="138" spans="1:9" x14ac:dyDescent="0.2">
      <c r="A138" t="s">
        <v>5096</v>
      </c>
      <c r="B138" t="s">
        <v>6103</v>
      </c>
      <c r="C138" s="2022">
        <v>0</v>
      </c>
      <c r="D138" s="2022">
        <v>0</v>
      </c>
      <c r="E138" s="2022">
        <v>39677.379999999997</v>
      </c>
      <c r="F138" s="2022">
        <v>0</v>
      </c>
      <c r="G138" s="2022">
        <v>39677.379999999997</v>
      </c>
      <c r="H138" s="2022">
        <v>0</v>
      </c>
      <c r="I138" s="2022">
        <f t="shared" si="2"/>
        <v>39677.379999999997</v>
      </c>
    </row>
    <row r="139" spans="1:9" x14ac:dyDescent="0.2">
      <c r="A139" t="s">
        <v>5099</v>
      </c>
      <c r="B139" t="s">
        <v>6003</v>
      </c>
      <c r="C139" s="2022">
        <v>888615.66</v>
      </c>
      <c r="D139" s="2022">
        <v>0</v>
      </c>
      <c r="E139" s="2022">
        <v>914002.88</v>
      </c>
      <c r="F139" s="2022">
        <v>-4473.83</v>
      </c>
      <c r="G139" s="2022">
        <v>909529.05</v>
      </c>
      <c r="H139" s="2022">
        <v>0</v>
      </c>
      <c r="I139" s="2022">
        <f t="shared" si="2"/>
        <v>909529.05</v>
      </c>
    </row>
    <row r="140" spans="1:9" x14ac:dyDescent="0.2">
      <c r="A140" t="s">
        <v>5100</v>
      </c>
      <c r="B140" t="s">
        <v>6004</v>
      </c>
      <c r="C140" s="2022">
        <v>67186.11</v>
      </c>
      <c r="D140" s="2022">
        <v>0</v>
      </c>
      <c r="E140" s="2022">
        <v>48305.19</v>
      </c>
      <c r="F140" s="2022">
        <v>0</v>
      </c>
      <c r="G140" s="2022">
        <v>48305.19</v>
      </c>
      <c r="H140" s="2022">
        <v>0</v>
      </c>
      <c r="I140" s="2022">
        <f t="shared" si="2"/>
        <v>48305.19</v>
      </c>
    </row>
    <row r="141" spans="1:9" x14ac:dyDescent="0.2">
      <c r="A141" t="s">
        <v>5101</v>
      </c>
      <c r="B141" t="s">
        <v>6005</v>
      </c>
      <c r="C141" s="2022">
        <v>1300</v>
      </c>
      <c r="D141" s="2022">
        <v>0</v>
      </c>
      <c r="E141" s="2022">
        <v>1300</v>
      </c>
      <c r="F141" s="2022">
        <v>0</v>
      </c>
      <c r="G141" s="2022">
        <v>1300</v>
      </c>
      <c r="H141" s="2022">
        <v>0</v>
      </c>
      <c r="I141" s="2022">
        <f t="shared" si="2"/>
        <v>1300</v>
      </c>
    </row>
    <row r="142" spans="1:9" x14ac:dyDescent="0.2">
      <c r="A142" t="s">
        <v>5103</v>
      </c>
      <c r="B142" t="s">
        <v>6009</v>
      </c>
      <c r="C142" s="2022">
        <v>130434.04</v>
      </c>
      <c r="D142" s="2022">
        <v>0</v>
      </c>
      <c r="E142" s="2022">
        <v>130434.04</v>
      </c>
      <c r="F142" s="2022">
        <v>0</v>
      </c>
      <c r="G142" s="2022">
        <v>130434.04</v>
      </c>
      <c r="H142" s="2022">
        <v>0</v>
      </c>
      <c r="I142" s="2022">
        <f t="shared" si="2"/>
        <v>130434.04</v>
      </c>
    </row>
    <row r="143" spans="1:9" x14ac:dyDescent="0.2">
      <c r="A143" t="s">
        <v>5104</v>
      </c>
      <c r="B143" t="s">
        <v>6010</v>
      </c>
      <c r="C143" s="2022">
        <v>290.75</v>
      </c>
      <c r="D143" s="2022">
        <v>0</v>
      </c>
      <c r="E143" s="2022">
        <v>290.75</v>
      </c>
      <c r="F143" s="2022">
        <v>0</v>
      </c>
      <c r="G143" s="2022">
        <v>290.75</v>
      </c>
      <c r="H143" s="2022">
        <v>0</v>
      </c>
      <c r="I143" s="2022">
        <f t="shared" si="2"/>
        <v>290.75</v>
      </c>
    </row>
    <row r="144" spans="1:9" x14ac:dyDescent="0.2">
      <c r="A144" t="s">
        <v>5105</v>
      </c>
      <c r="B144" t="s">
        <v>6011</v>
      </c>
      <c r="C144" s="2022">
        <v>10797.87</v>
      </c>
      <c r="D144" s="2022">
        <v>0</v>
      </c>
      <c r="E144" s="2022">
        <v>10329.280000000001</v>
      </c>
      <c r="F144" s="2022">
        <v>0</v>
      </c>
      <c r="G144" s="2022">
        <v>10329.280000000001</v>
      </c>
      <c r="H144" s="2022">
        <v>0</v>
      </c>
      <c r="I144" s="2022">
        <f t="shared" si="2"/>
        <v>10329.280000000001</v>
      </c>
    </row>
    <row r="145" spans="1:9" x14ac:dyDescent="0.2">
      <c r="A145" t="s">
        <v>5107</v>
      </c>
      <c r="B145" t="s">
        <v>6012</v>
      </c>
      <c r="C145" s="2022">
        <v>23368.2</v>
      </c>
      <c r="D145" s="2022">
        <v>0</v>
      </c>
      <c r="E145" s="2022">
        <v>31633.200000000001</v>
      </c>
      <c r="F145" s="2022">
        <v>0</v>
      </c>
      <c r="G145" s="2022">
        <v>31633.200000000001</v>
      </c>
      <c r="H145" s="2022">
        <v>0</v>
      </c>
      <c r="I145" s="2022">
        <f t="shared" si="2"/>
        <v>31633.200000000001</v>
      </c>
    </row>
    <row r="146" spans="1:9" x14ac:dyDescent="0.2">
      <c r="A146" t="s">
        <v>5108</v>
      </c>
      <c r="B146" t="s">
        <v>6013</v>
      </c>
      <c r="C146" s="2022">
        <v>166697.04999999999</v>
      </c>
      <c r="D146" s="2022">
        <v>0</v>
      </c>
      <c r="E146" s="2022">
        <v>216697.05</v>
      </c>
      <c r="F146" s="2022">
        <v>0</v>
      </c>
      <c r="G146" s="2022">
        <v>216697.05</v>
      </c>
      <c r="H146" s="2022">
        <v>0</v>
      </c>
      <c r="I146" s="2022">
        <f t="shared" si="2"/>
        <v>216697.05</v>
      </c>
    </row>
    <row r="147" spans="1:9" x14ac:dyDescent="0.2">
      <c r="A147" t="s">
        <v>5109</v>
      </c>
      <c r="B147" t="s">
        <v>6014</v>
      </c>
      <c r="C147" s="2022">
        <v>7395.71</v>
      </c>
      <c r="D147" s="2022">
        <v>0</v>
      </c>
      <c r="E147" s="2022">
        <v>7524.15</v>
      </c>
      <c r="F147" s="2022">
        <v>0</v>
      </c>
      <c r="G147" s="2022">
        <v>7524.15</v>
      </c>
      <c r="H147" s="2022">
        <v>0</v>
      </c>
      <c r="I147" s="2022">
        <f t="shared" si="2"/>
        <v>7524.15</v>
      </c>
    </row>
    <row r="148" spans="1:9" x14ac:dyDescent="0.2">
      <c r="A148" t="s">
        <v>5112</v>
      </c>
      <c r="B148" t="s">
        <v>6104</v>
      </c>
      <c r="C148" s="2022">
        <v>0</v>
      </c>
      <c r="D148" s="2022">
        <v>0</v>
      </c>
      <c r="E148" s="2022">
        <v>25884.21</v>
      </c>
      <c r="F148" s="2022">
        <v>0</v>
      </c>
      <c r="G148" s="2022">
        <v>25884.21</v>
      </c>
      <c r="H148" s="2022">
        <v>0</v>
      </c>
      <c r="I148" s="2022">
        <f t="shared" si="2"/>
        <v>25884.21</v>
      </c>
    </row>
    <row r="149" spans="1:9" x14ac:dyDescent="0.2">
      <c r="A149" t="s">
        <v>5114</v>
      </c>
      <c r="B149" t="s">
        <v>6021</v>
      </c>
      <c r="C149" s="2022">
        <v>1581.58</v>
      </c>
      <c r="D149" s="2022">
        <v>0</v>
      </c>
      <c r="E149" s="2022">
        <v>3849.21</v>
      </c>
      <c r="F149" s="2022">
        <v>0</v>
      </c>
      <c r="G149" s="2022">
        <v>3849.21</v>
      </c>
      <c r="H149" s="2022">
        <v>0</v>
      </c>
      <c r="I149" s="2022">
        <f t="shared" si="2"/>
        <v>3849.21</v>
      </c>
    </row>
    <row r="150" spans="1:9" x14ac:dyDescent="0.2">
      <c r="A150" t="s">
        <v>5115</v>
      </c>
      <c r="B150" t="s">
        <v>6105</v>
      </c>
      <c r="C150" s="2022">
        <v>56.45</v>
      </c>
      <c r="D150" s="2022">
        <v>0</v>
      </c>
      <c r="E150" s="2022">
        <v>206.98</v>
      </c>
      <c r="F150" s="2022">
        <v>0</v>
      </c>
      <c r="G150" s="2022">
        <v>206.98</v>
      </c>
      <c r="H150" s="2022">
        <v>0</v>
      </c>
      <c r="I150" s="2022">
        <f t="shared" si="2"/>
        <v>206.98</v>
      </c>
    </row>
    <row r="151" spans="1:9" x14ac:dyDescent="0.2">
      <c r="A151" t="s">
        <v>5118</v>
      </c>
      <c r="B151" t="s">
        <v>6029</v>
      </c>
      <c r="C151" s="2022">
        <v>100000</v>
      </c>
      <c r="D151" s="2022">
        <v>0</v>
      </c>
      <c r="E151" s="2022">
        <v>163741.47</v>
      </c>
      <c r="F151" s="2022">
        <v>-600</v>
      </c>
      <c r="G151" s="2022">
        <v>163141.47</v>
      </c>
      <c r="H151" s="2022">
        <v>0</v>
      </c>
      <c r="I151" s="2022">
        <f t="shared" si="2"/>
        <v>163141.47</v>
      </c>
    </row>
    <row r="152" spans="1:9" x14ac:dyDescent="0.2">
      <c r="A152" t="s">
        <v>5119</v>
      </c>
      <c r="B152" t="s">
        <v>6030</v>
      </c>
      <c r="C152" s="2022">
        <v>2061.39</v>
      </c>
      <c r="D152" s="2022">
        <v>0</v>
      </c>
      <c r="E152" s="2022">
        <v>2061.39</v>
      </c>
      <c r="F152" s="2022">
        <v>0</v>
      </c>
      <c r="G152" s="2022">
        <v>2061.39</v>
      </c>
      <c r="H152" s="2022">
        <v>0</v>
      </c>
      <c r="I152" s="2022">
        <f t="shared" si="2"/>
        <v>2061.39</v>
      </c>
    </row>
    <row r="153" spans="1:9" x14ac:dyDescent="0.2">
      <c r="A153" t="s">
        <v>5120</v>
      </c>
      <c r="B153" t="s">
        <v>6033</v>
      </c>
      <c r="C153" s="2022">
        <v>633.19000000000005</v>
      </c>
      <c r="D153" s="2022">
        <v>0</v>
      </c>
      <c r="E153" s="2022">
        <v>633.19000000000005</v>
      </c>
      <c r="F153" s="2022">
        <v>0</v>
      </c>
      <c r="G153" s="2022">
        <v>633.19000000000005</v>
      </c>
      <c r="H153" s="2022">
        <v>0</v>
      </c>
      <c r="I153" s="2022">
        <f t="shared" si="2"/>
        <v>633.19000000000005</v>
      </c>
    </row>
    <row r="154" spans="1:9" x14ac:dyDescent="0.2">
      <c r="A154" t="s">
        <v>5122</v>
      </c>
      <c r="B154" t="s">
        <v>6035</v>
      </c>
      <c r="C154" s="2022">
        <v>20215.11</v>
      </c>
      <c r="D154" s="2022">
        <v>0</v>
      </c>
      <c r="E154" s="2022">
        <v>20215.11</v>
      </c>
      <c r="F154" s="2022">
        <v>0</v>
      </c>
      <c r="G154" s="2022">
        <v>20215.11</v>
      </c>
      <c r="H154" s="2022">
        <v>0</v>
      </c>
      <c r="I154" s="2022">
        <f t="shared" si="2"/>
        <v>20215.11</v>
      </c>
    </row>
    <row r="155" spans="1:9" x14ac:dyDescent="0.2">
      <c r="A155" t="s">
        <v>5124</v>
      </c>
      <c r="B155" t="s">
        <v>6037</v>
      </c>
      <c r="C155" s="2022">
        <v>-1420633.11</v>
      </c>
      <c r="D155" s="2022">
        <v>0</v>
      </c>
      <c r="E155" s="2022">
        <v>0</v>
      </c>
      <c r="F155" s="2022">
        <v>0</v>
      </c>
      <c r="G155" s="2022">
        <v>0</v>
      </c>
      <c r="H155" s="2022">
        <v>0</v>
      </c>
      <c r="I155" s="2022">
        <f t="shared" si="2"/>
        <v>0</v>
      </c>
    </row>
    <row r="156" spans="1:9" x14ac:dyDescent="0.2">
      <c r="A156" t="s">
        <v>5125</v>
      </c>
      <c r="B156" t="s">
        <v>6003</v>
      </c>
      <c r="C156" s="2022">
        <v>335532.62</v>
      </c>
      <c r="D156" s="2022">
        <v>0</v>
      </c>
      <c r="E156" s="2022">
        <v>312424.53999999998</v>
      </c>
      <c r="F156" s="2022">
        <v>-4721.74</v>
      </c>
      <c r="G156" s="2022">
        <v>307702.8</v>
      </c>
      <c r="H156" s="2022">
        <v>0</v>
      </c>
      <c r="I156" s="2022">
        <f t="shared" si="2"/>
        <v>307702.8</v>
      </c>
    </row>
    <row r="157" spans="1:9" x14ac:dyDescent="0.2">
      <c r="A157" t="s">
        <v>5126</v>
      </c>
      <c r="B157" t="s">
        <v>6004</v>
      </c>
      <c r="C157" s="2022">
        <v>24514.6</v>
      </c>
      <c r="D157" s="2022">
        <v>0</v>
      </c>
      <c r="E157" s="2022">
        <v>30808.959999999999</v>
      </c>
      <c r="F157" s="2022">
        <v>0</v>
      </c>
      <c r="G157" s="2022">
        <v>30808.959999999999</v>
      </c>
      <c r="H157" s="2022">
        <v>0</v>
      </c>
      <c r="I157" s="2022">
        <f t="shared" si="2"/>
        <v>30808.959999999999</v>
      </c>
    </row>
    <row r="158" spans="1:9" x14ac:dyDescent="0.2">
      <c r="A158" t="s">
        <v>5127</v>
      </c>
      <c r="B158" t="s">
        <v>6005</v>
      </c>
      <c r="C158" s="2022">
        <v>2200</v>
      </c>
      <c r="D158" s="2022">
        <v>0</v>
      </c>
      <c r="E158" s="2022">
        <v>1000</v>
      </c>
      <c r="F158" s="2022">
        <v>0</v>
      </c>
      <c r="G158" s="2022">
        <v>1000</v>
      </c>
      <c r="H158" s="2022">
        <v>0</v>
      </c>
      <c r="I158" s="2022">
        <f t="shared" si="2"/>
        <v>1000</v>
      </c>
    </row>
    <row r="159" spans="1:9" x14ac:dyDescent="0.2">
      <c r="A159" t="s">
        <v>5128</v>
      </c>
      <c r="B159" t="s">
        <v>6006</v>
      </c>
      <c r="C159" s="2022">
        <v>6264</v>
      </c>
      <c r="D159" s="2022">
        <v>0</v>
      </c>
      <c r="E159" s="2022">
        <v>4576.8999999999996</v>
      </c>
      <c r="F159" s="2022">
        <v>0</v>
      </c>
      <c r="G159" s="2022">
        <v>4576.8999999999996</v>
      </c>
      <c r="H159" s="2022">
        <v>0</v>
      </c>
      <c r="I159" s="2022">
        <f t="shared" si="2"/>
        <v>4576.8999999999996</v>
      </c>
    </row>
    <row r="160" spans="1:9" x14ac:dyDescent="0.2">
      <c r="A160" t="s">
        <v>5129</v>
      </c>
      <c r="B160" t="s">
        <v>6007</v>
      </c>
      <c r="C160" s="2022">
        <v>10218.89</v>
      </c>
      <c r="D160" s="2022">
        <v>0</v>
      </c>
      <c r="E160" s="2022">
        <v>16112.83</v>
      </c>
      <c r="F160" s="2022">
        <v>0</v>
      </c>
      <c r="G160" s="2022">
        <v>16112.83</v>
      </c>
      <c r="H160" s="2022">
        <v>0</v>
      </c>
      <c r="I160" s="2022">
        <f t="shared" si="2"/>
        <v>16112.83</v>
      </c>
    </row>
    <row r="161" spans="1:9" x14ac:dyDescent="0.2">
      <c r="A161" t="s">
        <v>5131</v>
      </c>
      <c r="B161" t="s">
        <v>6009</v>
      </c>
      <c r="C161" s="2022">
        <v>49162.78</v>
      </c>
      <c r="D161" s="2022">
        <v>0</v>
      </c>
      <c r="E161" s="2022">
        <v>37850.78</v>
      </c>
      <c r="F161" s="2022">
        <v>0</v>
      </c>
      <c r="G161" s="2022">
        <v>37850.78</v>
      </c>
      <c r="H161" s="2022">
        <v>0</v>
      </c>
      <c r="I161" s="2022">
        <f t="shared" si="2"/>
        <v>37850.78</v>
      </c>
    </row>
    <row r="162" spans="1:9" x14ac:dyDescent="0.2">
      <c r="A162" t="s">
        <v>5132</v>
      </c>
      <c r="B162" t="s">
        <v>6010</v>
      </c>
      <c r="C162" s="2022">
        <v>168.1</v>
      </c>
      <c r="D162" s="2022">
        <v>0</v>
      </c>
      <c r="E162" s="2022">
        <v>155.80000000000001</v>
      </c>
      <c r="F162" s="2022">
        <v>0</v>
      </c>
      <c r="G162" s="2022">
        <v>155.80000000000001</v>
      </c>
      <c r="H162" s="2022">
        <v>0</v>
      </c>
      <c r="I162" s="2022">
        <f t="shared" si="2"/>
        <v>155.80000000000001</v>
      </c>
    </row>
    <row r="163" spans="1:9" x14ac:dyDescent="0.2">
      <c r="A163" t="s">
        <v>5133</v>
      </c>
      <c r="B163" t="s">
        <v>6011</v>
      </c>
      <c r="C163" s="2022">
        <v>3998.02</v>
      </c>
      <c r="D163" s="2022">
        <v>0</v>
      </c>
      <c r="E163" s="2022">
        <v>3966.83</v>
      </c>
      <c r="F163" s="2022">
        <v>0</v>
      </c>
      <c r="G163" s="2022">
        <v>3966.83</v>
      </c>
      <c r="H163" s="2022">
        <v>0</v>
      </c>
      <c r="I163" s="2022">
        <f t="shared" si="2"/>
        <v>3966.83</v>
      </c>
    </row>
    <row r="164" spans="1:9" x14ac:dyDescent="0.2">
      <c r="A164" t="s">
        <v>5135</v>
      </c>
      <c r="B164" t="s">
        <v>6012</v>
      </c>
      <c r="C164" s="2022">
        <v>44594</v>
      </c>
      <c r="D164" s="2022">
        <v>0</v>
      </c>
      <c r="E164" s="2022">
        <v>36080</v>
      </c>
      <c r="F164" s="2022">
        <v>0</v>
      </c>
      <c r="G164" s="2022">
        <v>36080</v>
      </c>
      <c r="H164" s="2022">
        <v>0</v>
      </c>
      <c r="I164" s="2022">
        <f t="shared" si="2"/>
        <v>36080</v>
      </c>
    </row>
    <row r="165" spans="1:9" x14ac:dyDescent="0.2">
      <c r="A165" t="s">
        <v>5136</v>
      </c>
      <c r="B165" t="s">
        <v>6013</v>
      </c>
      <c r="C165" s="2022">
        <v>69018.17</v>
      </c>
      <c r="D165" s="2022">
        <v>0</v>
      </c>
      <c r="E165" s="2022">
        <v>61117.15</v>
      </c>
      <c r="F165" s="2022">
        <v>0</v>
      </c>
      <c r="G165" s="2022">
        <v>61117.15</v>
      </c>
      <c r="H165" s="2022">
        <v>0</v>
      </c>
      <c r="I165" s="2022">
        <f t="shared" si="2"/>
        <v>61117.15</v>
      </c>
    </row>
    <row r="166" spans="1:9" x14ac:dyDescent="0.2">
      <c r="A166" t="s">
        <v>5137</v>
      </c>
      <c r="B166" t="s">
        <v>6014</v>
      </c>
      <c r="C166" s="2022">
        <v>3893.16</v>
      </c>
      <c r="D166" s="2022">
        <v>0</v>
      </c>
      <c r="E166" s="2022">
        <v>3454.77</v>
      </c>
      <c r="F166" s="2022">
        <v>0</v>
      </c>
      <c r="G166" s="2022">
        <v>3454.77</v>
      </c>
      <c r="H166" s="2022">
        <v>0</v>
      </c>
      <c r="I166" s="2022">
        <f t="shared" si="2"/>
        <v>3454.77</v>
      </c>
    </row>
    <row r="167" spans="1:9" x14ac:dyDescent="0.2">
      <c r="A167" t="s">
        <v>5138</v>
      </c>
      <c r="B167" t="s">
        <v>6106</v>
      </c>
      <c r="C167" s="2022">
        <v>315.79000000000002</v>
      </c>
      <c r="D167" s="2022">
        <v>0</v>
      </c>
      <c r="E167" s="2022">
        <v>315.79000000000002</v>
      </c>
      <c r="F167" s="2022">
        <v>0</v>
      </c>
      <c r="G167" s="2022">
        <v>315.79000000000002</v>
      </c>
      <c r="H167" s="2022">
        <v>0</v>
      </c>
      <c r="I167" s="2022">
        <f t="shared" si="2"/>
        <v>315.79000000000002</v>
      </c>
    </row>
    <row r="168" spans="1:9" x14ac:dyDescent="0.2">
      <c r="A168" t="s">
        <v>5139</v>
      </c>
      <c r="B168" t="s">
        <v>6021</v>
      </c>
      <c r="C168" s="2022">
        <v>412.57</v>
      </c>
      <c r="D168" s="2022">
        <v>0</v>
      </c>
      <c r="E168" s="2022">
        <v>0</v>
      </c>
      <c r="F168" s="2022">
        <v>0</v>
      </c>
      <c r="G168" s="2022">
        <v>0</v>
      </c>
      <c r="H168" s="2022">
        <v>0</v>
      </c>
      <c r="I168" s="2022">
        <f t="shared" si="2"/>
        <v>0</v>
      </c>
    </row>
    <row r="169" spans="1:9" x14ac:dyDescent="0.2">
      <c r="A169" t="s">
        <v>5140</v>
      </c>
      <c r="B169" t="s">
        <v>6107</v>
      </c>
      <c r="C169" s="2022">
        <v>0</v>
      </c>
      <c r="D169" s="2022">
        <v>0</v>
      </c>
      <c r="E169" s="2022">
        <v>1666.68</v>
      </c>
      <c r="F169" s="2022">
        <v>0</v>
      </c>
      <c r="G169" s="2022">
        <v>1666.68</v>
      </c>
      <c r="H169" s="2022">
        <v>0</v>
      </c>
      <c r="I169" s="2022">
        <f t="shared" si="2"/>
        <v>1666.68</v>
      </c>
    </row>
    <row r="170" spans="1:9" x14ac:dyDescent="0.2">
      <c r="A170" t="s">
        <v>5142</v>
      </c>
      <c r="B170" t="s">
        <v>6105</v>
      </c>
      <c r="C170" s="2022">
        <v>205.96</v>
      </c>
      <c r="D170" s="2022">
        <v>0</v>
      </c>
      <c r="E170" s="2022">
        <v>0</v>
      </c>
      <c r="F170" s="2022">
        <v>0</v>
      </c>
      <c r="G170" s="2022">
        <v>0</v>
      </c>
      <c r="H170" s="2022">
        <v>0</v>
      </c>
      <c r="I170" s="2022">
        <f t="shared" si="2"/>
        <v>0</v>
      </c>
    </row>
    <row r="171" spans="1:9" x14ac:dyDescent="0.2">
      <c r="A171" t="s">
        <v>5143</v>
      </c>
      <c r="B171" t="s">
        <v>6108</v>
      </c>
      <c r="C171" s="2022">
        <v>265</v>
      </c>
      <c r="D171" s="2022">
        <v>0</v>
      </c>
      <c r="E171" s="2022">
        <v>66</v>
      </c>
      <c r="F171" s="2022">
        <v>0</v>
      </c>
      <c r="G171" s="2022">
        <v>66</v>
      </c>
      <c r="H171" s="2022">
        <v>0</v>
      </c>
      <c r="I171" s="2022">
        <f t="shared" si="2"/>
        <v>66</v>
      </c>
    </row>
    <row r="172" spans="1:9" x14ac:dyDescent="0.2">
      <c r="A172" t="s">
        <v>5144</v>
      </c>
      <c r="B172" t="s">
        <v>6109</v>
      </c>
      <c r="C172" s="2022">
        <v>23000</v>
      </c>
      <c r="D172" s="2022">
        <v>0</v>
      </c>
      <c r="E172" s="2022">
        <v>14887.93</v>
      </c>
      <c r="F172" s="2022">
        <v>0</v>
      </c>
      <c r="G172" s="2022">
        <v>14887.93</v>
      </c>
      <c r="H172" s="2022">
        <v>0</v>
      </c>
      <c r="I172" s="2022">
        <f t="shared" si="2"/>
        <v>14887.93</v>
      </c>
    </row>
    <row r="173" spans="1:9" x14ac:dyDescent="0.2">
      <c r="A173" t="s">
        <v>5145</v>
      </c>
      <c r="B173" t="s">
        <v>4873</v>
      </c>
      <c r="C173" s="2022">
        <v>0</v>
      </c>
      <c r="D173" s="2022">
        <v>0</v>
      </c>
      <c r="E173" s="2022">
        <v>9990</v>
      </c>
      <c r="F173" s="2022">
        <v>0</v>
      </c>
      <c r="G173" s="2022">
        <v>9990</v>
      </c>
      <c r="H173" s="2022">
        <v>0</v>
      </c>
      <c r="I173" s="2022">
        <f t="shared" si="2"/>
        <v>9990</v>
      </c>
    </row>
    <row r="174" spans="1:9" x14ac:dyDescent="0.2">
      <c r="A174" t="s">
        <v>5146</v>
      </c>
      <c r="B174" t="s">
        <v>6029</v>
      </c>
      <c r="C174" s="2022">
        <v>13720.89</v>
      </c>
      <c r="D174" s="2022">
        <v>0</v>
      </c>
      <c r="E174" s="2022">
        <v>9337.73</v>
      </c>
      <c r="F174" s="2022">
        <v>0</v>
      </c>
      <c r="G174" s="2022">
        <v>9337.73</v>
      </c>
      <c r="H174" s="2022">
        <v>0</v>
      </c>
      <c r="I174" s="2022">
        <f t="shared" si="2"/>
        <v>9337.73</v>
      </c>
    </row>
    <row r="175" spans="1:9" x14ac:dyDescent="0.2">
      <c r="A175" t="s">
        <v>5147</v>
      </c>
      <c r="B175" t="s">
        <v>6110</v>
      </c>
      <c r="C175" s="2022">
        <v>200000</v>
      </c>
      <c r="D175" s="2022">
        <v>0</v>
      </c>
      <c r="E175" s="2022">
        <v>156972.99</v>
      </c>
      <c r="F175" s="2022">
        <v>0</v>
      </c>
      <c r="G175" s="2022">
        <v>156972.99</v>
      </c>
      <c r="H175" s="2022">
        <v>0</v>
      </c>
      <c r="I175" s="2022">
        <f t="shared" si="2"/>
        <v>156972.99</v>
      </c>
    </row>
    <row r="176" spans="1:9" x14ac:dyDescent="0.2">
      <c r="A176" t="s">
        <v>5148</v>
      </c>
      <c r="B176" t="s">
        <v>6030</v>
      </c>
      <c r="C176" s="2022">
        <v>692</v>
      </c>
      <c r="D176" s="2022">
        <v>0</v>
      </c>
      <c r="E176" s="2022">
        <v>23600.38</v>
      </c>
      <c r="F176" s="2022">
        <v>0</v>
      </c>
      <c r="G176" s="2022">
        <v>23600.38</v>
      </c>
      <c r="H176" s="2022">
        <v>0</v>
      </c>
      <c r="I176" s="2022">
        <f t="shared" si="2"/>
        <v>23600.38</v>
      </c>
    </row>
    <row r="177" spans="1:9" x14ac:dyDescent="0.2">
      <c r="A177" t="s">
        <v>5150</v>
      </c>
      <c r="B177" t="s">
        <v>6033</v>
      </c>
      <c r="C177" s="2022">
        <v>412.57</v>
      </c>
      <c r="D177" s="2022">
        <v>0</v>
      </c>
      <c r="E177" s="2022">
        <v>171.6</v>
      </c>
      <c r="F177" s="2022">
        <v>0</v>
      </c>
      <c r="G177" s="2022">
        <v>171.6</v>
      </c>
      <c r="H177" s="2022">
        <v>0</v>
      </c>
      <c r="I177" s="2022">
        <f t="shared" si="2"/>
        <v>171.6</v>
      </c>
    </row>
    <row r="178" spans="1:9" x14ac:dyDescent="0.2">
      <c r="A178" t="s">
        <v>5151</v>
      </c>
      <c r="B178" t="s">
        <v>4893</v>
      </c>
      <c r="C178" s="2022">
        <v>20000</v>
      </c>
      <c r="D178" s="2022">
        <v>0</v>
      </c>
      <c r="E178" s="2022">
        <v>13632.28</v>
      </c>
      <c r="F178" s="2022">
        <v>0</v>
      </c>
      <c r="G178" s="2022">
        <v>13632.28</v>
      </c>
      <c r="H178" s="2022">
        <v>0</v>
      </c>
      <c r="I178" s="2022">
        <f t="shared" si="2"/>
        <v>13632.28</v>
      </c>
    </row>
    <row r="179" spans="1:9" x14ac:dyDescent="0.2">
      <c r="A179" t="s">
        <v>5152</v>
      </c>
      <c r="B179" t="s">
        <v>6034</v>
      </c>
      <c r="C179" s="2022">
        <v>22801.9</v>
      </c>
      <c r="D179" s="2022">
        <v>0</v>
      </c>
      <c r="E179" s="2022">
        <v>7712.4</v>
      </c>
      <c r="F179" s="2022">
        <v>-90</v>
      </c>
      <c r="G179" s="2022">
        <v>7622.4</v>
      </c>
      <c r="H179" s="2022">
        <v>0</v>
      </c>
      <c r="I179" s="2022">
        <f t="shared" si="2"/>
        <v>7622.4</v>
      </c>
    </row>
    <row r="180" spans="1:9" x14ac:dyDescent="0.2">
      <c r="A180" t="s">
        <v>5153</v>
      </c>
      <c r="B180" t="s">
        <v>6035</v>
      </c>
      <c r="C180" s="2022">
        <v>9095.24</v>
      </c>
      <c r="D180" s="2022">
        <v>0</v>
      </c>
      <c r="E180" s="2022">
        <v>38515.71</v>
      </c>
      <c r="F180" s="2022">
        <v>0</v>
      </c>
      <c r="G180" s="2022">
        <v>38515.71</v>
      </c>
      <c r="H180" s="2022">
        <v>0</v>
      </c>
      <c r="I180" s="2022">
        <f t="shared" si="2"/>
        <v>38515.71</v>
      </c>
    </row>
    <row r="181" spans="1:9" x14ac:dyDescent="0.2">
      <c r="A181" t="s">
        <v>5154</v>
      </c>
      <c r="B181" t="s">
        <v>6036</v>
      </c>
      <c r="C181" s="2022">
        <v>0</v>
      </c>
      <c r="D181" s="2022">
        <v>0</v>
      </c>
      <c r="E181" s="2022">
        <v>10681.96</v>
      </c>
      <c r="F181" s="2022">
        <v>0</v>
      </c>
      <c r="G181" s="2022">
        <v>10681.96</v>
      </c>
      <c r="H181" s="2022">
        <v>0</v>
      </c>
      <c r="I181" s="2022">
        <f t="shared" si="2"/>
        <v>10681.96</v>
      </c>
    </row>
    <row r="182" spans="1:9" x14ac:dyDescent="0.2">
      <c r="A182" t="s">
        <v>5155</v>
      </c>
      <c r="B182" t="s">
        <v>6037</v>
      </c>
      <c r="C182" s="2022">
        <v>-840486.26</v>
      </c>
      <c r="D182" s="2022">
        <v>0</v>
      </c>
      <c r="E182" s="2022">
        <v>0</v>
      </c>
      <c r="F182" s="2022">
        <v>0</v>
      </c>
      <c r="G182" s="2022">
        <v>0</v>
      </c>
      <c r="H182" s="2022">
        <v>0</v>
      </c>
      <c r="I182" s="2022">
        <f t="shared" si="2"/>
        <v>0</v>
      </c>
    </row>
    <row r="183" spans="1:9" x14ac:dyDescent="0.2">
      <c r="A183" t="s">
        <v>5161</v>
      </c>
      <c r="B183" t="s">
        <v>4863</v>
      </c>
      <c r="C183" s="2022">
        <v>50000</v>
      </c>
      <c r="D183" s="2022">
        <v>0</v>
      </c>
      <c r="E183" s="2022">
        <v>82797.39</v>
      </c>
      <c r="F183" s="2022">
        <v>-6156</v>
      </c>
      <c r="G183" s="2022">
        <v>76641.39</v>
      </c>
      <c r="H183" s="2022">
        <v>0</v>
      </c>
      <c r="I183" s="2022">
        <f t="shared" si="2"/>
        <v>76641.39</v>
      </c>
    </row>
    <row r="184" spans="1:9" x14ac:dyDescent="0.2">
      <c r="A184" t="s">
        <v>5164</v>
      </c>
      <c r="B184" t="s">
        <v>6111</v>
      </c>
      <c r="C184" s="2022">
        <v>1500000</v>
      </c>
      <c r="D184" s="2022">
        <v>0</v>
      </c>
      <c r="E184" s="2022">
        <v>828183.29</v>
      </c>
      <c r="F184" s="2022">
        <v>-141551.1</v>
      </c>
      <c r="G184" s="2022">
        <v>686632.19</v>
      </c>
      <c r="H184" s="2022">
        <v>0</v>
      </c>
      <c r="I184" s="2022">
        <f t="shared" si="2"/>
        <v>686632.19</v>
      </c>
    </row>
    <row r="185" spans="1:9" x14ac:dyDescent="0.2">
      <c r="A185" t="s">
        <v>5190</v>
      </c>
      <c r="B185" t="s">
        <v>5191</v>
      </c>
      <c r="C185" s="2022">
        <v>-23512.85</v>
      </c>
      <c r="D185" s="2022">
        <v>0</v>
      </c>
      <c r="E185" s="2022">
        <v>454.12</v>
      </c>
      <c r="F185" s="2022">
        <v>-25931.82</v>
      </c>
      <c r="G185" s="2022">
        <v>0</v>
      </c>
      <c r="H185" s="2022">
        <v>-25477.7</v>
      </c>
      <c r="I185" s="2022">
        <f t="shared" si="2"/>
        <v>-25477.7</v>
      </c>
    </row>
    <row r="186" spans="1:9" x14ac:dyDescent="0.2">
      <c r="A186" t="s">
        <v>5192</v>
      </c>
      <c r="B186" t="s">
        <v>6112</v>
      </c>
      <c r="C186" s="2022">
        <v>-2500</v>
      </c>
      <c r="D186" s="2022">
        <v>0</v>
      </c>
      <c r="E186" s="2022">
        <v>1011.58</v>
      </c>
      <c r="F186" s="2022">
        <v>-3364.3</v>
      </c>
      <c r="G186" s="2022">
        <v>0</v>
      </c>
      <c r="H186" s="2022">
        <v>-2352.7199999999998</v>
      </c>
      <c r="I186" s="2022">
        <f t="shared" si="2"/>
        <v>-2352.7199999999998</v>
      </c>
    </row>
    <row r="187" spans="1:9" x14ac:dyDescent="0.2">
      <c r="A187" t="s">
        <v>5196</v>
      </c>
      <c r="B187" t="s">
        <v>5073</v>
      </c>
      <c r="C187" s="2022">
        <v>-199526</v>
      </c>
      <c r="D187" s="2022">
        <v>0</v>
      </c>
      <c r="E187" s="2022">
        <v>32338.77</v>
      </c>
      <c r="F187" s="2022">
        <v>-263330</v>
      </c>
      <c r="G187" s="2022">
        <v>0</v>
      </c>
      <c r="H187" s="2022">
        <v>-230991.23</v>
      </c>
      <c r="I187" s="2022">
        <f t="shared" si="2"/>
        <v>-230991.23</v>
      </c>
    </row>
    <row r="188" spans="1:9" x14ac:dyDescent="0.2">
      <c r="A188" t="s">
        <v>5197</v>
      </c>
      <c r="B188" t="s">
        <v>6098</v>
      </c>
      <c r="C188" s="2022">
        <v>-1324461.1499999999</v>
      </c>
      <c r="D188" s="2022">
        <v>0</v>
      </c>
      <c r="E188" s="2022">
        <v>0</v>
      </c>
      <c r="F188" s="2022">
        <v>0</v>
      </c>
      <c r="G188" s="2022">
        <v>0</v>
      </c>
      <c r="H188" s="2022">
        <v>0</v>
      </c>
      <c r="I188" s="2022">
        <f t="shared" si="2"/>
        <v>0</v>
      </c>
    </row>
    <row r="189" spans="1:9" x14ac:dyDescent="0.2">
      <c r="A189" t="s">
        <v>5198</v>
      </c>
      <c r="B189" t="s">
        <v>6113</v>
      </c>
      <c r="C189" s="2022">
        <v>282101.34000000003</v>
      </c>
      <c r="D189" s="2022">
        <v>0</v>
      </c>
      <c r="E189" s="2022">
        <v>282701.34000000003</v>
      </c>
      <c r="F189" s="2022">
        <v>-600</v>
      </c>
      <c r="G189" s="2022">
        <v>282101.34000000003</v>
      </c>
      <c r="H189" s="2022">
        <v>0</v>
      </c>
      <c r="I189" s="2022">
        <f t="shared" si="2"/>
        <v>282101.34000000003</v>
      </c>
    </row>
    <row r="190" spans="1:9" x14ac:dyDescent="0.2">
      <c r="A190" t="s">
        <v>5199</v>
      </c>
      <c r="B190" t="s">
        <v>6114</v>
      </c>
      <c r="C190" s="2022">
        <v>430511.91</v>
      </c>
      <c r="D190" s="2022">
        <v>0</v>
      </c>
      <c r="E190" s="2022">
        <v>430511.91</v>
      </c>
      <c r="F190" s="2022">
        <v>0</v>
      </c>
      <c r="G190" s="2022">
        <v>430511.91</v>
      </c>
      <c r="H190" s="2022">
        <v>0</v>
      </c>
      <c r="I190" s="2022">
        <f t="shared" si="2"/>
        <v>430511.91</v>
      </c>
    </row>
    <row r="191" spans="1:9" x14ac:dyDescent="0.2">
      <c r="A191" t="s">
        <v>5200</v>
      </c>
      <c r="B191" t="s">
        <v>6115</v>
      </c>
      <c r="C191" s="2022">
        <v>331670.44</v>
      </c>
      <c r="D191" s="2022">
        <v>0</v>
      </c>
      <c r="E191" s="2022">
        <v>367683.32</v>
      </c>
      <c r="F191" s="2022">
        <v>-1976.08</v>
      </c>
      <c r="G191" s="2022">
        <v>365707.24</v>
      </c>
      <c r="H191" s="2022">
        <v>0</v>
      </c>
      <c r="I191" s="2022">
        <f t="shared" si="2"/>
        <v>365707.24</v>
      </c>
    </row>
    <row r="192" spans="1:9" x14ac:dyDescent="0.2">
      <c r="A192" t="s">
        <v>5201</v>
      </c>
      <c r="B192" t="s">
        <v>6116</v>
      </c>
      <c r="C192" s="2022">
        <v>1072148.3400000001</v>
      </c>
      <c r="D192" s="2022">
        <v>0</v>
      </c>
      <c r="E192" s="2022">
        <v>1028965.14</v>
      </c>
      <c r="F192" s="2022">
        <v>-1264.25</v>
      </c>
      <c r="G192" s="2022">
        <v>1027700.89</v>
      </c>
      <c r="H192" s="2022">
        <v>0</v>
      </c>
      <c r="I192" s="2022">
        <f t="shared" si="2"/>
        <v>1027700.89</v>
      </c>
    </row>
    <row r="193" spans="1:9" x14ac:dyDescent="0.2">
      <c r="A193" t="s">
        <v>5204</v>
      </c>
      <c r="B193" t="s">
        <v>6117</v>
      </c>
      <c r="C193" s="2022">
        <v>51665.34</v>
      </c>
      <c r="D193" s="2022">
        <v>0</v>
      </c>
      <c r="E193" s="2022">
        <v>0</v>
      </c>
      <c r="F193" s="2022">
        <v>0</v>
      </c>
      <c r="G193" s="2022">
        <v>0</v>
      </c>
      <c r="H193" s="2022">
        <v>0</v>
      </c>
      <c r="I193" s="2022">
        <f t="shared" si="2"/>
        <v>0</v>
      </c>
    </row>
    <row r="194" spans="1:9" x14ac:dyDescent="0.2">
      <c r="A194" t="s">
        <v>5205</v>
      </c>
      <c r="B194" t="s">
        <v>6118</v>
      </c>
      <c r="C194" s="2022">
        <v>51144</v>
      </c>
      <c r="D194" s="2022">
        <v>0</v>
      </c>
      <c r="E194" s="2022">
        <v>0</v>
      </c>
      <c r="F194" s="2022">
        <v>0</v>
      </c>
      <c r="G194" s="2022">
        <v>0</v>
      </c>
      <c r="H194" s="2022">
        <v>0</v>
      </c>
      <c r="I194" s="2022">
        <f t="shared" si="2"/>
        <v>0</v>
      </c>
    </row>
    <row r="195" spans="1:9" x14ac:dyDescent="0.2">
      <c r="A195" t="s">
        <v>5207</v>
      </c>
      <c r="B195" t="s">
        <v>6119</v>
      </c>
      <c r="C195" s="2022">
        <v>97040.67</v>
      </c>
      <c r="D195" s="2022">
        <v>0</v>
      </c>
      <c r="E195" s="2022">
        <v>75263.399999999994</v>
      </c>
      <c r="F195" s="2022">
        <v>0</v>
      </c>
      <c r="G195" s="2022">
        <v>75263.399999999994</v>
      </c>
      <c r="H195" s="2022">
        <v>0</v>
      </c>
      <c r="I195" s="2022">
        <f t="shared" ref="I195:I258" si="3">G195+H195</f>
        <v>75263.399999999994</v>
      </c>
    </row>
    <row r="196" spans="1:9" x14ac:dyDescent="0.2">
      <c r="A196" t="s">
        <v>5210</v>
      </c>
      <c r="B196" t="s">
        <v>6120</v>
      </c>
      <c r="C196" s="2022">
        <v>5001</v>
      </c>
      <c r="D196" s="2022">
        <v>0</v>
      </c>
      <c r="E196" s="2022">
        <v>5885</v>
      </c>
      <c r="F196" s="2022">
        <v>0</v>
      </c>
      <c r="G196" s="2022">
        <v>5885</v>
      </c>
      <c r="H196" s="2022">
        <v>0</v>
      </c>
      <c r="I196" s="2022">
        <f t="shared" si="3"/>
        <v>5885</v>
      </c>
    </row>
    <row r="197" spans="1:9" x14ac:dyDescent="0.2">
      <c r="A197" t="s">
        <v>5213</v>
      </c>
      <c r="B197" t="s">
        <v>6121</v>
      </c>
      <c r="C197" s="2022">
        <v>3654</v>
      </c>
      <c r="D197" s="2022">
        <v>0</v>
      </c>
      <c r="E197" s="2022">
        <v>3654</v>
      </c>
      <c r="F197" s="2022">
        <v>0</v>
      </c>
      <c r="G197" s="2022">
        <v>3654</v>
      </c>
      <c r="H197" s="2022">
        <v>0</v>
      </c>
      <c r="I197" s="2022">
        <f t="shared" si="3"/>
        <v>3654</v>
      </c>
    </row>
    <row r="198" spans="1:9" x14ac:dyDescent="0.2">
      <c r="A198" t="s">
        <v>5214</v>
      </c>
      <c r="B198" t="s">
        <v>6122</v>
      </c>
      <c r="C198" s="2022">
        <v>1111</v>
      </c>
      <c r="D198" s="2022">
        <v>0</v>
      </c>
      <c r="E198" s="2022">
        <v>1111</v>
      </c>
      <c r="F198" s="2022">
        <v>0</v>
      </c>
      <c r="G198" s="2022">
        <v>1111</v>
      </c>
      <c r="H198" s="2022">
        <v>0</v>
      </c>
      <c r="I198" s="2022">
        <f t="shared" si="3"/>
        <v>1111</v>
      </c>
    </row>
    <row r="199" spans="1:9" x14ac:dyDescent="0.2">
      <c r="A199" t="s">
        <v>5219</v>
      </c>
      <c r="B199" t="s">
        <v>6123</v>
      </c>
      <c r="C199" s="2022">
        <v>128938.69</v>
      </c>
      <c r="D199" s="2022">
        <v>0</v>
      </c>
      <c r="E199" s="2022">
        <v>128938.69</v>
      </c>
      <c r="F199" s="2022">
        <v>0</v>
      </c>
      <c r="G199" s="2022">
        <v>128938.69</v>
      </c>
      <c r="H199" s="2022">
        <v>0</v>
      </c>
      <c r="I199" s="2022">
        <f t="shared" si="3"/>
        <v>128938.69</v>
      </c>
    </row>
    <row r="200" spans="1:9" x14ac:dyDescent="0.2">
      <c r="A200" t="s">
        <v>5220</v>
      </c>
      <c r="B200" t="s">
        <v>6123</v>
      </c>
      <c r="C200" s="2022">
        <v>37516.32</v>
      </c>
      <c r="D200" s="2022">
        <v>0</v>
      </c>
      <c r="E200" s="2022">
        <v>37516.32</v>
      </c>
      <c r="F200" s="2022">
        <v>0</v>
      </c>
      <c r="G200" s="2022">
        <v>37516.32</v>
      </c>
      <c r="H200" s="2022">
        <v>0</v>
      </c>
      <c r="I200" s="2022">
        <f t="shared" si="3"/>
        <v>37516.32</v>
      </c>
    </row>
    <row r="201" spans="1:9" x14ac:dyDescent="0.2">
      <c r="A201" t="s">
        <v>5221</v>
      </c>
      <c r="B201" t="s">
        <v>6124</v>
      </c>
      <c r="C201" s="2022">
        <v>0</v>
      </c>
      <c r="D201" s="2022">
        <v>0</v>
      </c>
      <c r="E201" s="2022">
        <v>0</v>
      </c>
      <c r="F201" s="2022">
        <v>-1500</v>
      </c>
      <c r="G201" s="2022">
        <v>0</v>
      </c>
      <c r="H201" s="2022">
        <v>-1500</v>
      </c>
      <c r="I201" s="2022">
        <f t="shared" si="3"/>
        <v>-1500</v>
      </c>
    </row>
    <row r="202" spans="1:9" x14ac:dyDescent="0.2">
      <c r="A202" t="s">
        <v>5222</v>
      </c>
      <c r="B202" t="s">
        <v>6125</v>
      </c>
      <c r="C202" s="2022">
        <v>75449.86</v>
      </c>
      <c r="D202" s="2022">
        <v>0</v>
      </c>
      <c r="E202" s="2022">
        <v>71489.86</v>
      </c>
      <c r="F202" s="2022">
        <v>-1200</v>
      </c>
      <c r="G202" s="2022">
        <v>70289.86</v>
      </c>
      <c r="H202" s="2022">
        <v>0</v>
      </c>
      <c r="I202" s="2022">
        <f t="shared" si="3"/>
        <v>70289.86</v>
      </c>
    </row>
    <row r="203" spans="1:9" x14ac:dyDescent="0.2">
      <c r="A203" t="s">
        <v>5223</v>
      </c>
      <c r="B203" t="s">
        <v>6126</v>
      </c>
      <c r="C203" s="2022">
        <v>36.9</v>
      </c>
      <c r="D203" s="2022">
        <v>0</v>
      </c>
      <c r="E203" s="2022">
        <v>36.9</v>
      </c>
      <c r="F203" s="2022">
        <v>0</v>
      </c>
      <c r="G203" s="2022">
        <v>36.9</v>
      </c>
      <c r="H203" s="2022">
        <v>0</v>
      </c>
      <c r="I203" s="2022">
        <f t="shared" si="3"/>
        <v>36.9</v>
      </c>
    </row>
    <row r="204" spans="1:9" x14ac:dyDescent="0.2">
      <c r="A204" t="s">
        <v>5224</v>
      </c>
      <c r="B204" t="s">
        <v>6126</v>
      </c>
      <c r="C204" s="2022">
        <v>36.9</v>
      </c>
      <c r="D204" s="2022">
        <v>0</v>
      </c>
      <c r="E204" s="2022">
        <v>36.9</v>
      </c>
      <c r="F204" s="2022">
        <v>0</v>
      </c>
      <c r="G204" s="2022">
        <v>36.9</v>
      </c>
      <c r="H204" s="2022">
        <v>0</v>
      </c>
      <c r="I204" s="2022">
        <f t="shared" si="3"/>
        <v>36.9</v>
      </c>
    </row>
    <row r="205" spans="1:9" x14ac:dyDescent="0.2">
      <c r="A205" t="s">
        <v>5225</v>
      </c>
      <c r="B205" t="s">
        <v>6127</v>
      </c>
      <c r="C205" s="2022">
        <v>28.7</v>
      </c>
      <c r="D205" s="2022">
        <v>0</v>
      </c>
      <c r="E205" s="2022">
        <v>28.7</v>
      </c>
      <c r="F205" s="2022">
        <v>0</v>
      </c>
      <c r="G205" s="2022">
        <v>28.7</v>
      </c>
      <c r="H205" s="2022">
        <v>0</v>
      </c>
      <c r="I205" s="2022">
        <f t="shared" si="3"/>
        <v>28.7</v>
      </c>
    </row>
    <row r="206" spans="1:9" x14ac:dyDescent="0.2">
      <c r="A206" t="s">
        <v>5226</v>
      </c>
      <c r="B206" t="s">
        <v>6128</v>
      </c>
      <c r="C206" s="2022">
        <v>508.4</v>
      </c>
      <c r="D206" s="2022">
        <v>0</v>
      </c>
      <c r="E206" s="2022">
        <v>467.4</v>
      </c>
      <c r="F206" s="2022">
        <v>0</v>
      </c>
      <c r="G206" s="2022">
        <v>467.4</v>
      </c>
      <c r="H206" s="2022">
        <v>0</v>
      </c>
      <c r="I206" s="2022">
        <f t="shared" si="3"/>
        <v>467.4</v>
      </c>
    </row>
    <row r="207" spans="1:9" x14ac:dyDescent="0.2">
      <c r="A207" t="s">
        <v>5227</v>
      </c>
      <c r="B207" t="s">
        <v>6129</v>
      </c>
      <c r="C207" s="2022">
        <v>3463.44</v>
      </c>
      <c r="D207" s="2022">
        <v>0</v>
      </c>
      <c r="E207" s="2022">
        <v>3521.02</v>
      </c>
      <c r="F207" s="2022">
        <v>0</v>
      </c>
      <c r="G207" s="2022">
        <v>3521.02</v>
      </c>
      <c r="H207" s="2022">
        <v>0</v>
      </c>
      <c r="I207" s="2022">
        <f t="shared" si="3"/>
        <v>3521.02</v>
      </c>
    </row>
    <row r="208" spans="1:9" x14ac:dyDescent="0.2">
      <c r="A208" t="s">
        <v>5228</v>
      </c>
      <c r="B208" t="s">
        <v>6129</v>
      </c>
      <c r="C208" s="2022">
        <v>3278.63</v>
      </c>
      <c r="D208" s="2022">
        <v>0</v>
      </c>
      <c r="E208" s="2022">
        <v>3278.66</v>
      </c>
      <c r="F208" s="2022">
        <v>0</v>
      </c>
      <c r="G208" s="2022">
        <v>3278.66</v>
      </c>
      <c r="H208" s="2022">
        <v>0</v>
      </c>
      <c r="I208" s="2022">
        <f t="shared" si="3"/>
        <v>3278.66</v>
      </c>
    </row>
    <row r="209" spans="1:9" x14ac:dyDescent="0.2">
      <c r="A209" t="s">
        <v>5229</v>
      </c>
      <c r="B209" t="s">
        <v>6130</v>
      </c>
      <c r="C209" s="2022">
        <v>1356.7</v>
      </c>
      <c r="D209" s="2022">
        <v>0</v>
      </c>
      <c r="E209" s="2022">
        <v>1356.7</v>
      </c>
      <c r="F209" s="2022">
        <v>0</v>
      </c>
      <c r="G209" s="2022">
        <v>1356.7</v>
      </c>
      <c r="H209" s="2022">
        <v>0</v>
      </c>
      <c r="I209" s="2022">
        <f t="shared" si="3"/>
        <v>1356.7</v>
      </c>
    </row>
    <row r="210" spans="1:9" x14ac:dyDescent="0.2">
      <c r="A210" t="s">
        <v>5230</v>
      </c>
      <c r="B210" t="s">
        <v>6131</v>
      </c>
      <c r="C210" s="2022">
        <v>11778.52</v>
      </c>
      <c r="D210" s="2022">
        <v>0</v>
      </c>
      <c r="E210" s="2022">
        <v>11806.17</v>
      </c>
      <c r="F210" s="2022">
        <v>0</v>
      </c>
      <c r="G210" s="2022">
        <v>11806.17</v>
      </c>
      <c r="H210" s="2022">
        <v>0</v>
      </c>
      <c r="I210" s="2022">
        <f t="shared" si="3"/>
        <v>11806.17</v>
      </c>
    </row>
    <row r="211" spans="1:9" x14ac:dyDescent="0.2">
      <c r="A211" t="s">
        <v>5235</v>
      </c>
      <c r="B211" t="s">
        <v>6132</v>
      </c>
      <c r="C211" s="2022">
        <v>16084.8</v>
      </c>
      <c r="D211" s="2022">
        <v>0</v>
      </c>
      <c r="E211" s="2022">
        <v>16084.8</v>
      </c>
      <c r="F211" s="2022">
        <v>0</v>
      </c>
      <c r="G211" s="2022">
        <v>16084.8</v>
      </c>
      <c r="H211" s="2022">
        <v>0</v>
      </c>
      <c r="I211" s="2022">
        <f t="shared" si="3"/>
        <v>16084.8</v>
      </c>
    </row>
    <row r="212" spans="1:9" x14ac:dyDescent="0.2">
      <c r="A212" t="s">
        <v>5237</v>
      </c>
      <c r="B212" t="s">
        <v>6133</v>
      </c>
      <c r="C212" s="2022">
        <v>20364.599999999999</v>
      </c>
      <c r="D212" s="2022">
        <v>0</v>
      </c>
      <c r="E212" s="2022">
        <v>20364.599999999999</v>
      </c>
      <c r="F212" s="2022">
        <v>0</v>
      </c>
      <c r="G212" s="2022">
        <v>20364.599999999999</v>
      </c>
      <c r="H212" s="2022">
        <v>0</v>
      </c>
      <c r="I212" s="2022">
        <f t="shared" si="3"/>
        <v>20364.599999999999</v>
      </c>
    </row>
    <row r="213" spans="1:9" x14ac:dyDescent="0.2">
      <c r="A213" t="s">
        <v>5238</v>
      </c>
      <c r="B213" t="s">
        <v>6134</v>
      </c>
      <c r="C213" s="2022">
        <v>122794.8</v>
      </c>
      <c r="D213" s="2022">
        <v>0</v>
      </c>
      <c r="E213" s="2022">
        <v>117959.2</v>
      </c>
      <c r="F213" s="2022">
        <v>0</v>
      </c>
      <c r="G213" s="2022">
        <v>117959.2</v>
      </c>
      <c r="H213" s="2022">
        <v>0</v>
      </c>
      <c r="I213" s="2022">
        <f t="shared" si="3"/>
        <v>117959.2</v>
      </c>
    </row>
    <row r="214" spans="1:9" x14ac:dyDescent="0.2">
      <c r="A214" t="s">
        <v>5239</v>
      </c>
      <c r="B214" t="s">
        <v>6135</v>
      </c>
      <c r="C214" s="2022">
        <v>49315.58</v>
      </c>
      <c r="D214" s="2022">
        <v>0</v>
      </c>
      <c r="E214" s="2022">
        <v>49315.38</v>
      </c>
      <c r="F214" s="2022">
        <v>0</v>
      </c>
      <c r="G214" s="2022">
        <v>49315.38</v>
      </c>
      <c r="H214" s="2022">
        <v>0</v>
      </c>
      <c r="I214" s="2022">
        <f t="shared" si="3"/>
        <v>49315.38</v>
      </c>
    </row>
    <row r="215" spans="1:9" x14ac:dyDescent="0.2">
      <c r="A215" t="s">
        <v>5240</v>
      </c>
      <c r="B215" t="s">
        <v>6136</v>
      </c>
      <c r="C215" s="2022">
        <v>69044.399999999994</v>
      </c>
      <c r="D215" s="2022">
        <v>0</v>
      </c>
      <c r="E215" s="2022">
        <v>69044.399999999994</v>
      </c>
      <c r="F215" s="2022">
        <v>0</v>
      </c>
      <c r="G215" s="2022">
        <v>69044.399999999994</v>
      </c>
      <c r="H215" s="2022">
        <v>0</v>
      </c>
      <c r="I215" s="2022">
        <f t="shared" si="3"/>
        <v>69044.399999999994</v>
      </c>
    </row>
    <row r="216" spans="1:9" x14ac:dyDescent="0.2">
      <c r="A216" t="s">
        <v>5241</v>
      </c>
      <c r="B216" t="s">
        <v>6137</v>
      </c>
      <c r="C216" s="2022">
        <v>26841.65</v>
      </c>
      <c r="D216" s="2022">
        <v>0</v>
      </c>
      <c r="E216" s="2022">
        <v>26841.65</v>
      </c>
      <c r="F216" s="2022">
        <v>0</v>
      </c>
      <c r="G216" s="2022">
        <v>26841.65</v>
      </c>
      <c r="H216" s="2022">
        <v>0</v>
      </c>
      <c r="I216" s="2022">
        <f t="shared" si="3"/>
        <v>26841.65</v>
      </c>
    </row>
    <row r="217" spans="1:9" x14ac:dyDescent="0.2">
      <c r="A217" t="s">
        <v>5242</v>
      </c>
      <c r="B217" t="s">
        <v>6138</v>
      </c>
      <c r="C217" s="2022">
        <v>205975.49</v>
      </c>
      <c r="D217" s="2022">
        <v>0</v>
      </c>
      <c r="E217" s="2022">
        <v>189992.89</v>
      </c>
      <c r="F217" s="2022">
        <v>0</v>
      </c>
      <c r="G217" s="2022">
        <v>189992.89</v>
      </c>
      <c r="H217" s="2022">
        <v>0</v>
      </c>
      <c r="I217" s="2022">
        <f t="shared" si="3"/>
        <v>189992.89</v>
      </c>
    </row>
    <row r="218" spans="1:9" x14ac:dyDescent="0.2">
      <c r="A218" t="s">
        <v>5243</v>
      </c>
      <c r="B218" t="s">
        <v>6139</v>
      </c>
      <c r="C218" s="2022">
        <v>1497.36</v>
      </c>
      <c r="D218" s="2022">
        <v>0</v>
      </c>
      <c r="E218" s="2022">
        <v>1123.02</v>
      </c>
      <c r="F218" s="2022">
        <v>0</v>
      </c>
      <c r="G218" s="2022">
        <v>1123.02</v>
      </c>
      <c r="H218" s="2022">
        <v>0</v>
      </c>
      <c r="I218" s="2022">
        <f t="shared" si="3"/>
        <v>1123.02</v>
      </c>
    </row>
    <row r="219" spans="1:9" x14ac:dyDescent="0.2">
      <c r="A219" t="s">
        <v>5244</v>
      </c>
      <c r="B219" t="s">
        <v>6140</v>
      </c>
      <c r="C219" s="2022">
        <v>1497.36</v>
      </c>
      <c r="D219" s="2022">
        <v>0</v>
      </c>
      <c r="E219" s="2022">
        <v>1123.02</v>
      </c>
      <c r="F219" s="2022">
        <v>0</v>
      </c>
      <c r="G219" s="2022">
        <v>1123.02</v>
      </c>
      <c r="H219" s="2022">
        <v>0</v>
      </c>
      <c r="I219" s="2022">
        <f t="shared" si="3"/>
        <v>1123.02</v>
      </c>
    </row>
    <row r="220" spans="1:9" x14ac:dyDescent="0.2">
      <c r="A220" t="s">
        <v>5245</v>
      </c>
      <c r="B220" t="s">
        <v>6141</v>
      </c>
      <c r="C220" s="2022">
        <v>873.47</v>
      </c>
      <c r="D220" s="2022">
        <v>0</v>
      </c>
      <c r="E220" s="2022">
        <v>873.46</v>
      </c>
      <c r="F220" s="2022">
        <v>0</v>
      </c>
      <c r="G220" s="2022">
        <v>873.46</v>
      </c>
      <c r="H220" s="2022">
        <v>0</v>
      </c>
      <c r="I220" s="2022">
        <f t="shared" si="3"/>
        <v>873.46</v>
      </c>
    </row>
    <row r="221" spans="1:9" x14ac:dyDescent="0.2">
      <c r="A221" t="s">
        <v>5246</v>
      </c>
      <c r="B221" t="s">
        <v>6142</v>
      </c>
      <c r="C221" s="2022">
        <v>9655.3799999999992</v>
      </c>
      <c r="D221" s="2022">
        <v>0</v>
      </c>
      <c r="E221" s="2022">
        <v>9061.19</v>
      </c>
      <c r="F221" s="2022">
        <v>0</v>
      </c>
      <c r="G221" s="2022">
        <v>9061.19</v>
      </c>
      <c r="H221" s="2022">
        <v>0</v>
      </c>
      <c r="I221" s="2022">
        <f t="shared" si="3"/>
        <v>9061.19</v>
      </c>
    </row>
    <row r="222" spans="1:9" x14ac:dyDescent="0.2">
      <c r="A222" t="s">
        <v>5250</v>
      </c>
      <c r="B222" t="s">
        <v>5251</v>
      </c>
      <c r="C222" s="2022">
        <v>790000</v>
      </c>
      <c r="D222" s="2022">
        <v>0</v>
      </c>
      <c r="E222" s="2022">
        <v>0</v>
      </c>
      <c r="F222" s="2022">
        <v>0</v>
      </c>
      <c r="G222" s="2022">
        <v>0</v>
      </c>
      <c r="H222" s="2022">
        <v>0</v>
      </c>
      <c r="I222" s="2022">
        <f t="shared" si="3"/>
        <v>0</v>
      </c>
    </row>
    <row r="223" spans="1:9" x14ac:dyDescent="0.2">
      <c r="A223" t="s">
        <v>5253</v>
      </c>
      <c r="B223" t="s">
        <v>5113</v>
      </c>
      <c r="C223" s="2022">
        <v>220895.52</v>
      </c>
      <c r="D223" s="2022">
        <v>0</v>
      </c>
      <c r="E223" s="2022">
        <v>188928.24</v>
      </c>
      <c r="F223" s="2022">
        <v>-5440</v>
      </c>
      <c r="G223" s="2022">
        <v>183488.24</v>
      </c>
      <c r="H223" s="2022">
        <v>0</v>
      </c>
      <c r="I223" s="2022">
        <f t="shared" si="3"/>
        <v>183488.24</v>
      </c>
    </row>
    <row r="224" spans="1:9" x14ac:dyDescent="0.2">
      <c r="A224" t="s">
        <v>5254</v>
      </c>
      <c r="B224" t="s">
        <v>6143</v>
      </c>
      <c r="C224" s="2022">
        <v>2050.79</v>
      </c>
      <c r="D224" s="2022">
        <v>0</v>
      </c>
      <c r="E224" s="2022">
        <v>1533.51</v>
      </c>
      <c r="F224" s="2022">
        <v>0</v>
      </c>
      <c r="G224" s="2022">
        <v>1533.51</v>
      </c>
      <c r="H224" s="2022">
        <v>0</v>
      </c>
      <c r="I224" s="2022">
        <f t="shared" si="3"/>
        <v>1533.51</v>
      </c>
    </row>
    <row r="225" spans="1:9" x14ac:dyDescent="0.2">
      <c r="A225" t="s">
        <v>5255</v>
      </c>
      <c r="B225" t="s">
        <v>6143</v>
      </c>
      <c r="C225" s="2022">
        <v>6362.49</v>
      </c>
      <c r="D225" s="2022">
        <v>0</v>
      </c>
      <c r="E225" s="2022">
        <v>3635.62</v>
      </c>
      <c r="F225" s="2022">
        <v>0</v>
      </c>
      <c r="G225" s="2022">
        <v>3635.62</v>
      </c>
      <c r="H225" s="2022">
        <v>0</v>
      </c>
      <c r="I225" s="2022">
        <f t="shared" si="3"/>
        <v>3635.62</v>
      </c>
    </row>
    <row r="226" spans="1:9" x14ac:dyDescent="0.2">
      <c r="A226" t="s">
        <v>5257</v>
      </c>
      <c r="B226" t="s">
        <v>6144</v>
      </c>
      <c r="C226" s="2022">
        <v>62979.16</v>
      </c>
      <c r="D226" s="2022">
        <v>0</v>
      </c>
      <c r="E226" s="2022">
        <v>51250.15</v>
      </c>
      <c r="F226" s="2022">
        <v>-263.16000000000003</v>
      </c>
      <c r="G226" s="2022">
        <v>50986.99</v>
      </c>
      <c r="H226" s="2022">
        <v>0</v>
      </c>
      <c r="I226" s="2022">
        <f t="shared" si="3"/>
        <v>50986.99</v>
      </c>
    </row>
    <row r="227" spans="1:9" x14ac:dyDescent="0.2">
      <c r="A227" t="s">
        <v>5258</v>
      </c>
      <c r="B227" t="s">
        <v>5259</v>
      </c>
      <c r="C227" s="2022">
        <v>200000</v>
      </c>
      <c r="D227" s="2022">
        <v>0</v>
      </c>
      <c r="E227" s="2022">
        <v>260.75</v>
      </c>
      <c r="F227" s="2022">
        <v>0</v>
      </c>
      <c r="G227" s="2022">
        <v>260.75</v>
      </c>
      <c r="H227" s="2022">
        <v>0</v>
      </c>
      <c r="I227" s="2022">
        <f t="shared" si="3"/>
        <v>260.75</v>
      </c>
    </row>
    <row r="228" spans="1:9" x14ac:dyDescent="0.2">
      <c r="A228" t="s">
        <v>5260</v>
      </c>
      <c r="B228" t="s">
        <v>4857</v>
      </c>
      <c r="C228" s="2022">
        <v>8342</v>
      </c>
      <c r="D228" s="2022">
        <v>0</v>
      </c>
      <c r="E228" s="2022">
        <v>8342</v>
      </c>
      <c r="F228" s="2022">
        <v>0</v>
      </c>
      <c r="G228" s="2022">
        <v>8342</v>
      </c>
      <c r="H228" s="2022">
        <v>0</v>
      </c>
      <c r="I228" s="2022">
        <f t="shared" si="3"/>
        <v>8342</v>
      </c>
    </row>
    <row r="229" spans="1:9" x14ac:dyDescent="0.2">
      <c r="A229" t="s">
        <v>5264</v>
      </c>
      <c r="B229" t="s">
        <v>6145</v>
      </c>
      <c r="C229" s="2022">
        <v>24984.1</v>
      </c>
      <c r="D229" s="2022">
        <v>0</v>
      </c>
      <c r="E229" s="2022">
        <v>1908.01</v>
      </c>
      <c r="F229" s="2022">
        <v>0</v>
      </c>
      <c r="G229" s="2022">
        <v>1908.01</v>
      </c>
      <c r="H229" s="2022">
        <v>0</v>
      </c>
      <c r="I229" s="2022">
        <f t="shared" si="3"/>
        <v>1908.01</v>
      </c>
    </row>
    <row r="230" spans="1:9" x14ac:dyDescent="0.2">
      <c r="A230" t="s">
        <v>5266</v>
      </c>
      <c r="B230" t="s">
        <v>6146</v>
      </c>
      <c r="C230" s="2022">
        <v>3038.53</v>
      </c>
      <c r="D230" s="2022">
        <v>0</v>
      </c>
      <c r="E230" s="2022">
        <v>1747.61</v>
      </c>
      <c r="F230" s="2022">
        <v>0</v>
      </c>
      <c r="G230" s="2022">
        <v>1747.61</v>
      </c>
      <c r="H230" s="2022">
        <v>0</v>
      </c>
      <c r="I230" s="2022">
        <f t="shared" si="3"/>
        <v>1747.61</v>
      </c>
    </row>
    <row r="231" spans="1:9" x14ac:dyDescent="0.2">
      <c r="A231" t="s">
        <v>5267</v>
      </c>
      <c r="B231" t="s">
        <v>6147</v>
      </c>
      <c r="C231" s="2022">
        <v>197461.19</v>
      </c>
      <c r="D231" s="2022">
        <v>0</v>
      </c>
      <c r="E231" s="2022">
        <v>169716.17</v>
      </c>
      <c r="F231" s="2022">
        <v>0</v>
      </c>
      <c r="G231" s="2022">
        <v>169716.17</v>
      </c>
      <c r="H231" s="2022">
        <v>0</v>
      </c>
      <c r="I231" s="2022">
        <f t="shared" si="3"/>
        <v>169716.17</v>
      </c>
    </row>
    <row r="232" spans="1:9" x14ac:dyDescent="0.2">
      <c r="A232" t="s">
        <v>5268</v>
      </c>
      <c r="B232" t="s">
        <v>5269</v>
      </c>
      <c r="C232" s="2022">
        <v>1083911.8999999999</v>
      </c>
      <c r="D232" s="2022">
        <v>0</v>
      </c>
      <c r="E232" s="2022">
        <v>1210970.23</v>
      </c>
      <c r="F232" s="2022">
        <v>0</v>
      </c>
      <c r="G232" s="2022">
        <v>1210970.23</v>
      </c>
      <c r="H232" s="2022">
        <v>0</v>
      </c>
      <c r="I232" s="2022">
        <f t="shared" si="3"/>
        <v>1210970.23</v>
      </c>
    </row>
    <row r="233" spans="1:9" x14ac:dyDescent="0.2">
      <c r="A233" t="s">
        <v>5270</v>
      </c>
      <c r="B233" t="s">
        <v>6148</v>
      </c>
      <c r="C233" s="2022">
        <v>2067.98</v>
      </c>
      <c r="D233" s="2022">
        <v>0</v>
      </c>
      <c r="E233" s="2022">
        <v>2112</v>
      </c>
      <c r="F233" s="2022">
        <v>-1056</v>
      </c>
      <c r="G233" s="2022">
        <v>1056</v>
      </c>
      <c r="H233" s="2022">
        <v>0</v>
      </c>
      <c r="I233" s="2022">
        <f t="shared" si="3"/>
        <v>1056</v>
      </c>
    </row>
    <row r="234" spans="1:9" x14ac:dyDescent="0.2">
      <c r="A234" t="s">
        <v>5271</v>
      </c>
      <c r="B234" t="s">
        <v>6149</v>
      </c>
      <c r="C234" s="2022">
        <v>0</v>
      </c>
      <c r="D234" s="2022">
        <v>0</v>
      </c>
      <c r="E234" s="2022">
        <v>1227.44</v>
      </c>
      <c r="F234" s="2022">
        <v>0</v>
      </c>
      <c r="G234" s="2022">
        <v>1227.44</v>
      </c>
      <c r="H234" s="2022">
        <v>0</v>
      </c>
      <c r="I234" s="2022">
        <f t="shared" si="3"/>
        <v>1227.44</v>
      </c>
    </row>
    <row r="235" spans="1:9" x14ac:dyDescent="0.2">
      <c r="A235" t="s">
        <v>5273</v>
      </c>
      <c r="B235" t="s">
        <v>4873</v>
      </c>
      <c r="C235" s="2022">
        <v>0</v>
      </c>
      <c r="D235" s="2022">
        <v>0</v>
      </c>
      <c r="E235" s="2022">
        <v>390.75</v>
      </c>
      <c r="F235" s="2022">
        <v>0</v>
      </c>
      <c r="G235" s="2022">
        <v>390.75</v>
      </c>
      <c r="H235" s="2022">
        <v>0</v>
      </c>
      <c r="I235" s="2022">
        <f t="shared" si="3"/>
        <v>390.75</v>
      </c>
    </row>
    <row r="236" spans="1:9" x14ac:dyDescent="0.2">
      <c r="A236" t="s">
        <v>5274</v>
      </c>
      <c r="B236" t="s">
        <v>4873</v>
      </c>
      <c r="C236" s="2022">
        <v>2015.99</v>
      </c>
      <c r="D236" s="2022">
        <v>0</v>
      </c>
      <c r="E236" s="2022">
        <v>3007.78</v>
      </c>
      <c r="F236" s="2022">
        <v>0</v>
      </c>
      <c r="G236" s="2022">
        <v>3007.78</v>
      </c>
      <c r="H236" s="2022">
        <v>0</v>
      </c>
      <c r="I236" s="2022">
        <f t="shared" si="3"/>
        <v>3007.78</v>
      </c>
    </row>
    <row r="237" spans="1:9" x14ac:dyDescent="0.2">
      <c r="A237" t="s">
        <v>5275</v>
      </c>
      <c r="B237" t="s">
        <v>6150</v>
      </c>
      <c r="C237" s="2022">
        <v>2067.98</v>
      </c>
      <c r="D237" s="2022">
        <v>0</v>
      </c>
      <c r="E237" s="2022">
        <v>1203.0899999999999</v>
      </c>
      <c r="F237" s="2022">
        <v>0</v>
      </c>
      <c r="G237" s="2022">
        <v>1203.0899999999999</v>
      </c>
      <c r="H237" s="2022">
        <v>0</v>
      </c>
      <c r="I237" s="2022">
        <f t="shared" si="3"/>
        <v>1203.0899999999999</v>
      </c>
    </row>
    <row r="238" spans="1:9" x14ac:dyDescent="0.2">
      <c r="A238" t="s">
        <v>5277</v>
      </c>
      <c r="B238" t="s">
        <v>6151</v>
      </c>
      <c r="C238" s="2022">
        <v>0</v>
      </c>
      <c r="D238" s="2022">
        <v>0</v>
      </c>
      <c r="E238" s="2022">
        <v>350</v>
      </c>
      <c r="F238" s="2022">
        <v>0</v>
      </c>
      <c r="G238" s="2022">
        <v>350</v>
      </c>
      <c r="H238" s="2022">
        <v>0</v>
      </c>
      <c r="I238" s="2022">
        <f t="shared" si="3"/>
        <v>350</v>
      </c>
    </row>
    <row r="239" spans="1:9" x14ac:dyDescent="0.2">
      <c r="A239" t="s">
        <v>5278</v>
      </c>
      <c r="B239" t="s">
        <v>6152</v>
      </c>
      <c r="C239" s="2022">
        <v>49178.8</v>
      </c>
      <c r="D239" s="2022">
        <v>0</v>
      </c>
      <c r="E239" s="2022">
        <v>327495.5</v>
      </c>
      <c r="F239" s="2022">
        <v>-300</v>
      </c>
      <c r="G239" s="2022">
        <v>327195.5</v>
      </c>
      <c r="H239" s="2022">
        <v>0</v>
      </c>
      <c r="I239" s="2022">
        <f t="shared" si="3"/>
        <v>327195.5</v>
      </c>
    </row>
    <row r="240" spans="1:9" x14ac:dyDescent="0.2">
      <c r="A240" t="s">
        <v>5279</v>
      </c>
      <c r="B240" t="s">
        <v>6153</v>
      </c>
      <c r="C240" s="2022">
        <v>83153.990000000005</v>
      </c>
      <c r="D240" s="2022">
        <v>0</v>
      </c>
      <c r="E240" s="2022">
        <v>66344.929999999993</v>
      </c>
      <c r="F240" s="2022">
        <v>0</v>
      </c>
      <c r="G240" s="2022">
        <v>66344.929999999993</v>
      </c>
      <c r="H240" s="2022">
        <v>0</v>
      </c>
      <c r="I240" s="2022">
        <f t="shared" si="3"/>
        <v>66344.929999999993</v>
      </c>
    </row>
    <row r="241" spans="1:9" x14ac:dyDescent="0.2">
      <c r="A241" t="s">
        <v>5280</v>
      </c>
      <c r="B241" t="s">
        <v>6153</v>
      </c>
      <c r="C241" s="2022">
        <v>20000</v>
      </c>
      <c r="D241" s="2022">
        <v>0</v>
      </c>
      <c r="E241" s="2022">
        <v>53367.89</v>
      </c>
      <c r="F241" s="2022">
        <v>0</v>
      </c>
      <c r="G241" s="2022">
        <v>53367.89</v>
      </c>
      <c r="H241" s="2022">
        <v>0</v>
      </c>
      <c r="I241" s="2022">
        <f t="shared" si="3"/>
        <v>53367.89</v>
      </c>
    </row>
    <row r="242" spans="1:9" x14ac:dyDescent="0.2">
      <c r="A242" t="s">
        <v>5281</v>
      </c>
      <c r="B242" t="s">
        <v>6154</v>
      </c>
      <c r="C242" s="2022">
        <v>1746.46</v>
      </c>
      <c r="D242" s="2022">
        <v>0</v>
      </c>
      <c r="E242" s="2022">
        <v>1746.49</v>
      </c>
      <c r="F242" s="2022">
        <v>0</v>
      </c>
      <c r="G242" s="2022">
        <v>1746.49</v>
      </c>
      <c r="H242" s="2022">
        <v>0</v>
      </c>
      <c r="I242" s="2022">
        <f t="shared" si="3"/>
        <v>1746.49</v>
      </c>
    </row>
    <row r="243" spans="1:9" x14ac:dyDescent="0.2">
      <c r="A243" t="s">
        <v>5282</v>
      </c>
      <c r="B243" t="s">
        <v>6155</v>
      </c>
      <c r="C243" s="2022">
        <v>225189.46</v>
      </c>
      <c r="D243" s="2022">
        <v>0</v>
      </c>
      <c r="E243" s="2022">
        <v>322002.61</v>
      </c>
      <c r="F243" s="2022">
        <v>0</v>
      </c>
      <c r="G243" s="2022">
        <v>322002.61</v>
      </c>
      <c r="H243" s="2022">
        <v>0</v>
      </c>
      <c r="I243" s="2022">
        <f t="shared" si="3"/>
        <v>322002.61</v>
      </c>
    </row>
    <row r="244" spans="1:9" x14ac:dyDescent="0.2">
      <c r="A244" t="s">
        <v>5284</v>
      </c>
      <c r="B244" t="s">
        <v>6156</v>
      </c>
      <c r="C244" s="2022">
        <v>4078.95</v>
      </c>
      <c r="D244" s="2022">
        <v>0</v>
      </c>
      <c r="E244" s="2022">
        <v>5605.09</v>
      </c>
      <c r="F244" s="2022">
        <v>-2000</v>
      </c>
      <c r="G244" s="2022">
        <v>3605.09</v>
      </c>
      <c r="H244" s="2022">
        <v>0</v>
      </c>
      <c r="I244" s="2022">
        <f t="shared" si="3"/>
        <v>3605.09</v>
      </c>
    </row>
    <row r="245" spans="1:9" x14ac:dyDescent="0.2">
      <c r="A245" t="s">
        <v>5286</v>
      </c>
      <c r="B245" t="s">
        <v>6157</v>
      </c>
      <c r="C245" s="2022">
        <v>211772.18</v>
      </c>
      <c r="D245" s="2022">
        <v>0</v>
      </c>
      <c r="E245" s="2022">
        <v>360615.87</v>
      </c>
      <c r="F245" s="2022">
        <v>-6005.46</v>
      </c>
      <c r="G245" s="2022">
        <v>354610.41</v>
      </c>
      <c r="H245" s="2022">
        <v>0</v>
      </c>
      <c r="I245" s="2022">
        <f t="shared" si="3"/>
        <v>354610.41</v>
      </c>
    </row>
    <row r="246" spans="1:9" x14ac:dyDescent="0.2">
      <c r="A246" t="s">
        <v>5287</v>
      </c>
      <c r="B246" t="s">
        <v>6158</v>
      </c>
      <c r="C246" s="2022">
        <v>375046.02</v>
      </c>
      <c r="D246" s="2022">
        <v>0</v>
      </c>
      <c r="E246" s="2022">
        <v>2217088</v>
      </c>
      <c r="F246" s="2022">
        <v>-1965911.74</v>
      </c>
      <c r="G246" s="2022">
        <v>251176.26</v>
      </c>
      <c r="H246" s="2022">
        <v>0</v>
      </c>
      <c r="I246" s="2022">
        <f t="shared" si="3"/>
        <v>251176.26</v>
      </c>
    </row>
    <row r="247" spans="1:9" x14ac:dyDescent="0.2">
      <c r="A247" t="s">
        <v>5291</v>
      </c>
      <c r="B247" t="s">
        <v>6159</v>
      </c>
      <c r="C247" s="2022">
        <v>1694.18</v>
      </c>
      <c r="D247" s="2022">
        <v>0</v>
      </c>
      <c r="E247" s="2022">
        <v>627.46</v>
      </c>
      <c r="F247" s="2022">
        <v>0</v>
      </c>
      <c r="G247" s="2022">
        <v>627.46</v>
      </c>
      <c r="H247" s="2022">
        <v>0</v>
      </c>
      <c r="I247" s="2022">
        <f t="shared" si="3"/>
        <v>627.46</v>
      </c>
    </row>
    <row r="248" spans="1:9" x14ac:dyDescent="0.2">
      <c r="A248" t="s">
        <v>5293</v>
      </c>
      <c r="B248" t="s">
        <v>4929</v>
      </c>
      <c r="C248" s="2022">
        <v>0</v>
      </c>
      <c r="D248" s="2022">
        <v>0</v>
      </c>
      <c r="E248" s="2022">
        <v>131.65</v>
      </c>
      <c r="F248" s="2022">
        <v>-1072</v>
      </c>
      <c r="G248" s="2022">
        <v>0</v>
      </c>
      <c r="H248" s="2022">
        <v>-940.35</v>
      </c>
      <c r="I248" s="2022">
        <f t="shared" si="3"/>
        <v>-940.35</v>
      </c>
    </row>
    <row r="249" spans="1:9" x14ac:dyDescent="0.2">
      <c r="A249" t="s">
        <v>5294</v>
      </c>
      <c r="B249" t="s">
        <v>6160</v>
      </c>
      <c r="C249" s="2022">
        <v>800000</v>
      </c>
      <c r="D249" s="2022">
        <v>0</v>
      </c>
      <c r="E249" s="2022">
        <v>1637088.5</v>
      </c>
      <c r="F249" s="2022">
        <v>-184750</v>
      </c>
      <c r="G249" s="2022">
        <v>1452338.5</v>
      </c>
      <c r="H249" s="2022">
        <v>0</v>
      </c>
      <c r="I249" s="2022">
        <f t="shared" si="3"/>
        <v>1452338.5</v>
      </c>
    </row>
    <row r="250" spans="1:9" x14ac:dyDescent="0.2">
      <c r="A250" t="s">
        <v>5295</v>
      </c>
      <c r="B250" t="s">
        <v>5296</v>
      </c>
      <c r="C250" s="2022">
        <v>600000</v>
      </c>
      <c r="D250" s="2022">
        <v>0</v>
      </c>
      <c r="E250" s="2022">
        <v>0</v>
      </c>
      <c r="F250" s="2022">
        <v>0</v>
      </c>
      <c r="G250" s="2022">
        <v>0</v>
      </c>
      <c r="H250" s="2022">
        <v>0</v>
      </c>
      <c r="I250" s="2022">
        <f t="shared" si="3"/>
        <v>0</v>
      </c>
    </row>
    <row r="251" spans="1:9" x14ac:dyDescent="0.2">
      <c r="A251" t="s">
        <v>5299</v>
      </c>
      <c r="B251" t="s">
        <v>4893</v>
      </c>
      <c r="C251" s="2022">
        <v>1982.46</v>
      </c>
      <c r="D251" s="2022">
        <v>0</v>
      </c>
      <c r="E251" s="2022">
        <v>1982.46</v>
      </c>
      <c r="F251" s="2022">
        <v>0</v>
      </c>
      <c r="G251" s="2022">
        <v>1982.46</v>
      </c>
      <c r="H251" s="2022">
        <v>0</v>
      </c>
      <c r="I251" s="2022">
        <f t="shared" si="3"/>
        <v>1982.46</v>
      </c>
    </row>
    <row r="252" spans="1:9" x14ac:dyDescent="0.2">
      <c r="A252" t="s">
        <v>5300</v>
      </c>
      <c r="B252" t="s">
        <v>6161</v>
      </c>
      <c r="C252" s="2022">
        <v>0</v>
      </c>
      <c r="D252" s="2022">
        <v>0</v>
      </c>
      <c r="E252" s="2022">
        <v>43.86</v>
      </c>
      <c r="F252" s="2022">
        <v>0</v>
      </c>
      <c r="G252" s="2022">
        <v>43.86</v>
      </c>
      <c r="H252" s="2022">
        <v>0</v>
      </c>
      <c r="I252" s="2022">
        <f t="shared" si="3"/>
        <v>43.86</v>
      </c>
    </row>
    <row r="253" spans="1:9" x14ac:dyDescent="0.2">
      <c r="A253" t="s">
        <v>5301</v>
      </c>
      <c r="B253" t="s">
        <v>6162</v>
      </c>
      <c r="C253" s="2022">
        <v>5221.82</v>
      </c>
      <c r="D253" s="2022">
        <v>0</v>
      </c>
      <c r="E253" s="2022">
        <v>5221.82</v>
      </c>
      <c r="F253" s="2022">
        <v>0</v>
      </c>
      <c r="G253" s="2022">
        <v>5221.82</v>
      </c>
      <c r="H253" s="2022">
        <v>0</v>
      </c>
      <c r="I253" s="2022">
        <f t="shared" si="3"/>
        <v>5221.82</v>
      </c>
    </row>
    <row r="254" spans="1:9" x14ac:dyDescent="0.2">
      <c r="A254" t="s">
        <v>5302</v>
      </c>
      <c r="B254" t="s">
        <v>6163</v>
      </c>
      <c r="C254" s="2022">
        <v>13818.53</v>
      </c>
      <c r="D254" s="2022">
        <v>0</v>
      </c>
      <c r="E254" s="2022">
        <v>0</v>
      </c>
      <c r="F254" s="2022">
        <v>0</v>
      </c>
      <c r="G254" s="2022">
        <v>0</v>
      </c>
      <c r="H254" s="2022">
        <v>0</v>
      </c>
      <c r="I254" s="2022">
        <f t="shared" si="3"/>
        <v>0</v>
      </c>
    </row>
    <row r="255" spans="1:9" x14ac:dyDescent="0.2">
      <c r="A255" t="s">
        <v>5304</v>
      </c>
      <c r="B255" t="s">
        <v>6036</v>
      </c>
      <c r="C255" s="2022">
        <v>15212.05</v>
      </c>
      <c r="D255" s="2022">
        <v>0</v>
      </c>
      <c r="E255" s="2022">
        <v>0</v>
      </c>
      <c r="F255" s="2022">
        <v>0</v>
      </c>
      <c r="G255" s="2022">
        <v>0</v>
      </c>
      <c r="H255" s="2022">
        <v>0</v>
      </c>
      <c r="I255" s="2022">
        <f t="shared" si="3"/>
        <v>0</v>
      </c>
    </row>
    <row r="256" spans="1:9" x14ac:dyDescent="0.2">
      <c r="A256" t="s">
        <v>5305</v>
      </c>
      <c r="B256" t="s">
        <v>6164</v>
      </c>
      <c r="C256" s="2022">
        <v>-462705.37</v>
      </c>
      <c r="D256" s="2022">
        <v>0</v>
      </c>
      <c r="E256" s="2022">
        <v>0</v>
      </c>
      <c r="F256" s="2022">
        <v>0</v>
      </c>
      <c r="G256" s="2022">
        <v>0</v>
      </c>
      <c r="H256" s="2022">
        <v>0</v>
      </c>
      <c r="I256" s="2022">
        <f t="shared" si="3"/>
        <v>0</v>
      </c>
    </row>
    <row r="257" spans="1:9" x14ac:dyDescent="0.2">
      <c r="A257" t="s">
        <v>5306</v>
      </c>
      <c r="B257" t="s">
        <v>6164</v>
      </c>
      <c r="C257" s="2022">
        <v>-519172.23</v>
      </c>
      <c r="D257" s="2022">
        <v>0</v>
      </c>
      <c r="E257" s="2022">
        <v>0</v>
      </c>
      <c r="F257" s="2022">
        <v>0</v>
      </c>
      <c r="G257" s="2022">
        <v>0</v>
      </c>
      <c r="H257" s="2022">
        <v>0</v>
      </c>
      <c r="I257" s="2022">
        <f t="shared" si="3"/>
        <v>0</v>
      </c>
    </row>
    <row r="258" spans="1:9" x14ac:dyDescent="0.2">
      <c r="A258" t="s">
        <v>5307</v>
      </c>
      <c r="B258" t="s">
        <v>6165</v>
      </c>
      <c r="C258" s="2022">
        <v>-1184789.56</v>
      </c>
      <c r="D258" s="2022">
        <v>0</v>
      </c>
      <c r="E258" s="2022">
        <v>0</v>
      </c>
      <c r="F258" s="2022">
        <v>0</v>
      </c>
      <c r="G258" s="2022">
        <v>0</v>
      </c>
      <c r="H258" s="2022">
        <v>0</v>
      </c>
      <c r="I258" s="2022">
        <f t="shared" si="3"/>
        <v>0</v>
      </c>
    </row>
    <row r="259" spans="1:9" x14ac:dyDescent="0.2">
      <c r="A259" t="s">
        <v>5308</v>
      </c>
      <c r="B259" t="s">
        <v>6166</v>
      </c>
      <c r="C259" s="2022">
        <v>-3499273.07</v>
      </c>
      <c r="D259" s="2022">
        <v>0</v>
      </c>
      <c r="E259" s="2022">
        <v>0</v>
      </c>
      <c r="F259" s="2022">
        <v>0</v>
      </c>
      <c r="G259" s="2022">
        <v>0</v>
      </c>
      <c r="H259" s="2022">
        <v>0</v>
      </c>
      <c r="I259" s="2022">
        <f t="shared" ref="I259:I322" si="4">G259+H259</f>
        <v>0</v>
      </c>
    </row>
    <row r="260" spans="1:9" x14ac:dyDescent="0.2">
      <c r="A260" t="s">
        <v>5309</v>
      </c>
      <c r="B260" t="s">
        <v>4934</v>
      </c>
      <c r="C260" s="2022">
        <v>-790000</v>
      </c>
      <c r="D260" s="2022">
        <v>0</v>
      </c>
      <c r="E260" s="2022">
        <v>0</v>
      </c>
      <c r="F260" s="2022">
        <v>0</v>
      </c>
      <c r="G260" s="2022">
        <v>0</v>
      </c>
      <c r="H260" s="2022">
        <v>0</v>
      </c>
      <c r="I260" s="2022">
        <f t="shared" si="4"/>
        <v>0</v>
      </c>
    </row>
    <row r="261" spans="1:9" x14ac:dyDescent="0.2">
      <c r="A261" t="s">
        <v>5317</v>
      </c>
      <c r="B261" t="s">
        <v>6003</v>
      </c>
      <c r="C261" s="2022">
        <v>686142.44</v>
      </c>
      <c r="D261" s="2022">
        <v>0</v>
      </c>
      <c r="E261" s="2022">
        <v>787759.48</v>
      </c>
      <c r="F261" s="2022">
        <v>0</v>
      </c>
      <c r="G261" s="2022">
        <v>787759.48</v>
      </c>
      <c r="H261" s="2022">
        <v>0</v>
      </c>
      <c r="I261" s="2022">
        <f t="shared" si="4"/>
        <v>787759.48</v>
      </c>
    </row>
    <row r="262" spans="1:9" x14ac:dyDescent="0.2">
      <c r="A262" t="s">
        <v>5318</v>
      </c>
      <c r="B262" t="s">
        <v>6004</v>
      </c>
      <c r="C262" s="2022">
        <v>54905.94</v>
      </c>
      <c r="D262" s="2022">
        <v>0</v>
      </c>
      <c r="E262" s="2022">
        <v>64455.3</v>
      </c>
      <c r="F262" s="2022">
        <v>0</v>
      </c>
      <c r="G262" s="2022">
        <v>64455.3</v>
      </c>
      <c r="H262" s="2022">
        <v>0</v>
      </c>
      <c r="I262" s="2022">
        <f t="shared" si="4"/>
        <v>64455.3</v>
      </c>
    </row>
    <row r="263" spans="1:9" x14ac:dyDescent="0.2">
      <c r="A263" t="s">
        <v>5319</v>
      </c>
      <c r="B263" t="s">
        <v>6005</v>
      </c>
      <c r="C263" s="2022">
        <v>4444</v>
      </c>
      <c r="D263" s="2022">
        <v>0</v>
      </c>
      <c r="E263" s="2022">
        <v>4444</v>
      </c>
      <c r="F263" s="2022">
        <v>0</v>
      </c>
      <c r="G263" s="2022">
        <v>4444</v>
      </c>
      <c r="H263" s="2022">
        <v>0</v>
      </c>
      <c r="I263" s="2022">
        <f t="shared" si="4"/>
        <v>4444</v>
      </c>
    </row>
    <row r="264" spans="1:9" x14ac:dyDescent="0.2">
      <c r="A264" t="s">
        <v>5320</v>
      </c>
      <c r="B264" t="s">
        <v>6006</v>
      </c>
      <c r="C264" s="2022">
        <v>0</v>
      </c>
      <c r="D264" s="2022">
        <v>0</v>
      </c>
      <c r="E264" s="2022">
        <v>2088</v>
      </c>
      <c r="F264" s="2022">
        <v>0</v>
      </c>
      <c r="G264" s="2022">
        <v>2088</v>
      </c>
      <c r="H264" s="2022">
        <v>0</v>
      </c>
      <c r="I264" s="2022">
        <f t="shared" si="4"/>
        <v>2088</v>
      </c>
    </row>
    <row r="265" spans="1:9" x14ac:dyDescent="0.2">
      <c r="A265" t="s">
        <v>5321</v>
      </c>
      <c r="B265" t="s">
        <v>6007</v>
      </c>
      <c r="C265" s="2022">
        <v>0</v>
      </c>
      <c r="D265" s="2022">
        <v>0</v>
      </c>
      <c r="E265" s="2022">
        <v>373.04</v>
      </c>
      <c r="F265" s="2022">
        <v>0</v>
      </c>
      <c r="G265" s="2022">
        <v>373.04</v>
      </c>
      <c r="H265" s="2022">
        <v>0</v>
      </c>
      <c r="I265" s="2022">
        <f t="shared" si="4"/>
        <v>373.04</v>
      </c>
    </row>
    <row r="266" spans="1:9" x14ac:dyDescent="0.2">
      <c r="A266" t="s">
        <v>5323</v>
      </c>
      <c r="B266" t="s">
        <v>6009</v>
      </c>
      <c r="C266" s="2022">
        <v>133400.62</v>
      </c>
      <c r="D266" s="2022">
        <v>0</v>
      </c>
      <c r="E266" s="2022">
        <v>147400.62</v>
      </c>
      <c r="F266" s="2022">
        <v>0</v>
      </c>
      <c r="G266" s="2022">
        <v>147400.62</v>
      </c>
      <c r="H266" s="2022">
        <v>0</v>
      </c>
      <c r="I266" s="2022">
        <f t="shared" si="4"/>
        <v>147400.62</v>
      </c>
    </row>
    <row r="267" spans="1:9" x14ac:dyDescent="0.2">
      <c r="A267" t="s">
        <v>5324</v>
      </c>
      <c r="B267" t="s">
        <v>6010</v>
      </c>
      <c r="C267" s="2022">
        <v>147.6</v>
      </c>
      <c r="D267" s="2022">
        <v>0</v>
      </c>
      <c r="E267" s="2022">
        <v>180.4</v>
      </c>
      <c r="F267" s="2022">
        <v>0</v>
      </c>
      <c r="G267" s="2022">
        <v>180.4</v>
      </c>
      <c r="H267" s="2022">
        <v>0</v>
      </c>
      <c r="I267" s="2022">
        <f t="shared" si="4"/>
        <v>180.4</v>
      </c>
    </row>
    <row r="268" spans="1:9" x14ac:dyDescent="0.2">
      <c r="A268" t="s">
        <v>5325</v>
      </c>
      <c r="B268" t="s">
        <v>6011</v>
      </c>
      <c r="C268" s="2022">
        <v>7088.87</v>
      </c>
      <c r="D268" s="2022">
        <v>0</v>
      </c>
      <c r="E268" s="2022">
        <v>9188.2199999999993</v>
      </c>
      <c r="F268" s="2022">
        <v>0</v>
      </c>
      <c r="G268" s="2022">
        <v>9188.2199999999993</v>
      </c>
      <c r="H268" s="2022">
        <v>0</v>
      </c>
      <c r="I268" s="2022">
        <f t="shared" si="4"/>
        <v>9188.2199999999993</v>
      </c>
    </row>
    <row r="269" spans="1:9" x14ac:dyDescent="0.2">
      <c r="A269" t="s">
        <v>5327</v>
      </c>
      <c r="B269" t="s">
        <v>6012</v>
      </c>
      <c r="C269" s="2022">
        <v>65469.599999999999</v>
      </c>
      <c r="D269" s="2022">
        <v>0</v>
      </c>
      <c r="E269" s="2022">
        <v>75307.199999999997</v>
      </c>
      <c r="F269" s="2022">
        <v>0</v>
      </c>
      <c r="G269" s="2022">
        <v>75307.199999999997</v>
      </c>
      <c r="H269" s="2022">
        <v>0</v>
      </c>
      <c r="I269" s="2022">
        <f t="shared" si="4"/>
        <v>75307.199999999997</v>
      </c>
    </row>
    <row r="270" spans="1:9" x14ac:dyDescent="0.2">
      <c r="A270" t="s">
        <v>5328</v>
      </c>
      <c r="B270" t="s">
        <v>6013</v>
      </c>
      <c r="C270" s="2022">
        <v>128128.98</v>
      </c>
      <c r="D270" s="2022">
        <v>0</v>
      </c>
      <c r="E270" s="2022">
        <v>149245.01999999999</v>
      </c>
      <c r="F270" s="2022">
        <v>0</v>
      </c>
      <c r="G270" s="2022">
        <v>149245.01999999999</v>
      </c>
      <c r="H270" s="2022">
        <v>0</v>
      </c>
      <c r="I270" s="2022">
        <f t="shared" si="4"/>
        <v>149245.01999999999</v>
      </c>
    </row>
    <row r="271" spans="1:9" x14ac:dyDescent="0.2">
      <c r="A271" t="s">
        <v>5329</v>
      </c>
      <c r="B271" t="s">
        <v>6014</v>
      </c>
      <c r="C271" s="2022">
        <v>4492.08</v>
      </c>
      <c r="D271" s="2022">
        <v>0</v>
      </c>
      <c r="E271" s="2022">
        <v>5461.96</v>
      </c>
      <c r="F271" s="2022">
        <v>0</v>
      </c>
      <c r="G271" s="2022">
        <v>5461.96</v>
      </c>
      <c r="H271" s="2022">
        <v>0</v>
      </c>
      <c r="I271" s="2022">
        <f t="shared" si="4"/>
        <v>5461.96</v>
      </c>
    </row>
    <row r="272" spans="1:9" x14ac:dyDescent="0.2">
      <c r="A272" t="s">
        <v>5334</v>
      </c>
      <c r="B272" t="s">
        <v>6167</v>
      </c>
      <c r="C272" s="2022">
        <v>9100</v>
      </c>
      <c r="D272" s="2022">
        <v>0</v>
      </c>
      <c r="E272" s="2022">
        <v>9100</v>
      </c>
      <c r="F272" s="2022">
        <v>0</v>
      </c>
      <c r="G272" s="2022">
        <v>9100</v>
      </c>
      <c r="H272" s="2022">
        <v>0</v>
      </c>
      <c r="I272" s="2022">
        <f t="shared" si="4"/>
        <v>9100</v>
      </c>
    </row>
    <row r="273" spans="1:9" x14ac:dyDescent="0.2">
      <c r="A273" t="s">
        <v>5337</v>
      </c>
      <c r="B273" t="s">
        <v>6168</v>
      </c>
      <c r="C273" s="2022">
        <v>2300</v>
      </c>
      <c r="D273" s="2022">
        <v>0</v>
      </c>
      <c r="E273" s="2022">
        <v>4809.37</v>
      </c>
      <c r="F273" s="2022">
        <v>0</v>
      </c>
      <c r="G273" s="2022">
        <v>4809.37</v>
      </c>
      <c r="H273" s="2022">
        <v>0</v>
      </c>
      <c r="I273" s="2022">
        <f t="shared" si="4"/>
        <v>4809.37</v>
      </c>
    </row>
    <row r="274" spans="1:9" x14ac:dyDescent="0.2">
      <c r="A274" t="s">
        <v>5339</v>
      </c>
      <c r="B274" t="s">
        <v>6021</v>
      </c>
      <c r="C274" s="2022">
        <v>0</v>
      </c>
      <c r="D274" s="2022">
        <v>0</v>
      </c>
      <c r="E274" s="2022">
        <v>153.51</v>
      </c>
      <c r="F274" s="2022">
        <v>0</v>
      </c>
      <c r="G274" s="2022">
        <v>153.51</v>
      </c>
      <c r="H274" s="2022">
        <v>0</v>
      </c>
      <c r="I274" s="2022">
        <f t="shared" si="4"/>
        <v>153.51</v>
      </c>
    </row>
    <row r="275" spans="1:9" x14ac:dyDescent="0.2">
      <c r="A275" t="s">
        <v>5344</v>
      </c>
      <c r="B275" t="s">
        <v>6029</v>
      </c>
      <c r="C275" s="2022">
        <v>150150</v>
      </c>
      <c r="D275" s="2022">
        <v>0</v>
      </c>
      <c r="E275" s="2022">
        <v>99605.05</v>
      </c>
      <c r="F275" s="2022">
        <v>-314</v>
      </c>
      <c r="G275" s="2022">
        <v>99291.05</v>
      </c>
      <c r="H275" s="2022">
        <v>0</v>
      </c>
      <c r="I275" s="2022">
        <f t="shared" si="4"/>
        <v>99291.05</v>
      </c>
    </row>
    <row r="276" spans="1:9" x14ac:dyDescent="0.2">
      <c r="A276" t="s">
        <v>5346</v>
      </c>
      <c r="B276" t="s">
        <v>6030</v>
      </c>
      <c r="C276" s="2022">
        <v>64951.88</v>
      </c>
      <c r="D276" s="2022">
        <v>0</v>
      </c>
      <c r="E276" s="2022">
        <v>68853.27</v>
      </c>
      <c r="F276" s="2022">
        <v>0</v>
      </c>
      <c r="G276" s="2022">
        <v>68853.27</v>
      </c>
      <c r="H276" s="2022">
        <v>0</v>
      </c>
      <c r="I276" s="2022">
        <f t="shared" si="4"/>
        <v>68853.27</v>
      </c>
    </row>
    <row r="277" spans="1:9" x14ac:dyDescent="0.2">
      <c r="A277" t="s">
        <v>5351</v>
      </c>
      <c r="B277" t="s">
        <v>6033</v>
      </c>
      <c r="C277" s="2022">
        <v>0</v>
      </c>
      <c r="D277" s="2022">
        <v>0</v>
      </c>
      <c r="E277" s="2022">
        <v>667.89</v>
      </c>
      <c r="F277" s="2022">
        <v>0</v>
      </c>
      <c r="G277" s="2022">
        <v>667.89</v>
      </c>
      <c r="H277" s="2022">
        <v>0</v>
      </c>
      <c r="I277" s="2022">
        <f t="shared" si="4"/>
        <v>667.89</v>
      </c>
    </row>
    <row r="278" spans="1:9" x14ac:dyDescent="0.2">
      <c r="A278" t="s">
        <v>5356</v>
      </c>
      <c r="B278" t="s">
        <v>6035</v>
      </c>
      <c r="C278" s="2022">
        <v>5085.1899999999996</v>
      </c>
      <c r="D278" s="2022">
        <v>0</v>
      </c>
      <c r="E278" s="2022">
        <v>0</v>
      </c>
      <c r="F278" s="2022">
        <v>0</v>
      </c>
      <c r="G278" s="2022">
        <v>0</v>
      </c>
      <c r="H278" s="2022">
        <v>0</v>
      </c>
      <c r="I278" s="2022">
        <f t="shared" si="4"/>
        <v>0</v>
      </c>
    </row>
    <row r="279" spans="1:9" x14ac:dyDescent="0.2">
      <c r="A279" t="s">
        <v>5357</v>
      </c>
      <c r="B279" t="s">
        <v>6036</v>
      </c>
      <c r="C279" s="2022">
        <v>5199.38</v>
      </c>
      <c r="D279" s="2022">
        <v>0</v>
      </c>
      <c r="E279" s="2022">
        <v>0</v>
      </c>
      <c r="F279" s="2022">
        <v>0</v>
      </c>
      <c r="G279" s="2022">
        <v>0</v>
      </c>
      <c r="H279" s="2022">
        <v>0</v>
      </c>
      <c r="I279" s="2022">
        <f t="shared" si="4"/>
        <v>0</v>
      </c>
    </row>
    <row r="280" spans="1:9" x14ac:dyDescent="0.2">
      <c r="A280" t="s">
        <v>5358</v>
      </c>
      <c r="B280" t="s">
        <v>6037</v>
      </c>
      <c r="C280" s="2022">
        <v>-1310722.01</v>
      </c>
      <c r="D280" s="2022">
        <v>0</v>
      </c>
      <c r="E280" s="2022">
        <v>0</v>
      </c>
      <c r="F280" s="2022">
        <v>0</v>
      </c>
      <c r="G280" s="2022">
        <v>0</v>
      </c>
      <c r="H280" s="2022">
        <v>0</v>
      </c>
      <c r="I280" s="2022">
        <f t="shared" si="4"/>
        <v>0</v>
      </c>
    </row>
    <row r="281" spans="1:9" x14ac:dyDescent="0.2">
      <c r="A281" t="s">
        <v>5360</v>
      </c>
      <c r="B281" t="s">
        <v>6003</v>
      </c>
      <c r="C281" s="2022">
        <v>680477.2</v>
      </c>
      <c r="D281" s="2022">
        <v>0</v>
      </c>
      <c r="E281" s="2022">
        <v>698444.35</v>
      </c>
      <c r="F281" s="2022">
        <v>-11978.1</v>
      </c>
      <c r="G281" s="2022">
        <v>686466.25</v>
      </c>
      <c r="H281" s="2022">
        <v>0</v>
      </c>
      <c r="I281" s="2022">
        <f t="shared" si="4"/>
        <v>686466.25</v>
      </c>
    </row>
    <row r="282" spans="1:9" x14ac:dyDescent="0.2">
      <c r="A282" t="s">
        <v>5361</v>
      </c>
      <c r="B282" t="s">
        <v>6004</v>
      </c>
      <c r="C282" s="2022">
        <v>60000</v>
      </c>
      <c r="D282" s="2022">
        <v>0</v>
      </c>
      <c r="E282" s="2022">
        <v>57466.3</v>
      </c>
      <c r="F282" s="2022">
        <v>0</v>
      </c>
      <c r="G282" s="2022">
        <v>57466.3</v>
      </c>
      <c r="H282" s="2022">
        <v>0</v>
      </c>
      <c r="I282" s="2022">
        <f t="shared" si="4"/>
        <v>57466.3</v>
      </c>
    </row>
    <row r="283" spans="1:9" x14ac:dyDescent="0.2">
      <c r="A283" t="s">
        <v>5362</v>
      </c>
      <c r="B283" t="s">
        <v>6008</v>
      </c>
      <c r="C283" s="2022">
        <v>367.87</v>
      </c>
      <c r="D283" s="2022">
        <v>0</v>
      </c>
      <c r="E283" s="2022">
        <v>367.87</v>
      </c>
      <c r="F283" s="2022">
        <v>0</v>
      </c>
      <c r="G283" s="2022">
        <v>367.87</v>
      </c>
      <c r="H283" s="2022">
        <v>0</v>
      </c>
      <c r="I283" s="2022">
        <f t="shared" si="4"/>
        <v>367.87</v>
      </c>
    </row>
    <row r="284" spans="1:9" x14ac:dyDescent="0.2">
      <c r="A284" t="s">
        <v>5363</v>
      </c>
      <c r="B284" t="s">
        <v>6010</v>
      </c>
      <c r="C284" s="2022">
        <v>344.4</v>
      </c>
      <c r="D284" s="2022">
        <v>0</v>
      </c>
      <c r="E284" s="2022">
        <v>344.4</v>
      </c>
      <c r="F284" s="2022">
        <v>0</v>
      </c>
      <c r="G284" s="2022">
        <v>344.4</v>
      </c>
      <c r="H284" s="2022">
        <v>0</v>
      </c>
      <c r="I284" s="2022">
        <f t="shared" si="4"/>
        <v>344.4</v>
      </c>
    </row>
    <row r="285" spans="1:9" x14ac:dyDescent="0.2">
      <c r="A285" t="s">
        <v>5364</v>
      </c>
      <c r="B285" t="s">
        <v>6011</v>
      </c>
      <c r="C285" s="2022">
        <v>8975.67</v>
      </c>
      <c r="D285" s="2022">
        <v>0</v>
      </c>
      <c r="E285" s="2022">
        <v>7251.2</v>
      </c>
      <c r="F285" s="2022">
        <v>0</v>
      </c>
      <c r="G285" s="2022">
        <v>7251.2</v>
      </c>
      <c r="H285" s="2022">
        <v>0</v>
      </c>
      <c r="I285" s="2022">
        <f t="shared" si="4"/>
        <v>7251.2</v>
      </c>
    </row>
    <row r="286" spans="1:9" x14ac:dyDescent="0.2">
      <c r="A286" t="s">
        <v>5366</v>
      </c>
      <c r="B286" t="s">
        <v>6012</v>
      </c>
      <c r="C286" s="2022">
        <v>49176</v>
      </c>
      <c r="D286" s="2022">
        <v>0</v>
      </c>
      <c r="E286" s="2022">
        <v>49176</v>
      </c>
      <c r="F286" s="2022">
        <v>0</v>
      </c>
      <c r="G286" s="2022">
        <v>49176</v>
      </c>
      <c r="H286" s="2022">
        <v>0</v>
      </c>
      <c r="I286" s="2022">
        <f t="shared" si="4"/>
        <v>49176</v>
      </c>
    </row>
    <row r="287" spans="1:9" x14ac:dyDescent="0.2">
      <c r="A287" t="s">
        <v>5367</v>
      </c>
      <c r="B287" t="s">
        <v>6013</v>
      </c>
      <c r="C287" s="2022">
        <v>131323.38</v>
      </c>
      <c r="D287" s="2022">
        <v>0</v>
      </c>
      <c r="E287" s="2022">
        <v>131323.38</v>
      </c>
      <c r="F287" s="2022">
        <v>0</v>
      </c>
      <c r="G287" s="2022">
        <v>131323.38</v>
      </c>
      <c r="H287" s="2022">
        <v>0</v>
      </c>
      <c r="I287" s="2022">
        <f t="shared" si="4"/>
        <v>131323.38</v>
      </c>
    </row>
    <row r="288" spans="1:9" x14ac:dyDescent="0.2">
      <c r="A288" t="s">
        <v>5368</v>
      </c>
      <c r="B288" t="s">
        <v>6014</v>
      </c>
      <c r="C288" s="2022">
        <v>8594.68</v>
      </c>
      <c r="D288" s="2022">
        <v>0</v>
      </c>
      <c r="E288" s="2022">
        <v>7008.3</v>
      </c>
      <c r="F288" s="2022">
        <v>0</v>
      </c>
      <c r="G288" s="2022">
        <v>7008.3</v>
      </c>
      <c r="H288" s="2022">
        <v>0</v>
      </c>
      <c r="I288" s="2022">
        <f t="shared" si="4"/>
        <v>7008.3</v>
      </c>
    </row>
    <row r="289" spans="1:9" x14ac:dyDescent="0.2">
      <c r="A289" t="s">
        <v>5373</v>
      </c>
      <c r="B289" t="s">
        <v>6029</v>
      </c>
      <c r="C289" s="2022">
        <v>0</v>
      </c>
      <c r="D289" s="2022">
        <v>0</v>
      </c>
      <c r="E289" s="2022">
        <v>1001.1</v>
      </c>
      <c r="F289" s="2022">
        <v>0</v>
      </c>
      <c r="G289" s="2022">
        <v>1001.1</v>
      </c>
      <c r="H289" s="2022">
        <v>0</v>
      </c>
      <c r="I289" s="2022">
        <f t="shared" si="4"/>
        <v>1001.1</v>
      </c>
    </row>
    <row r="290" spans="1:9" x14ac:dyDescent="0.2">
      <c r="A290" t="s">
        <v>5374</v>
      </c>
      <c r="B290" t="s">
        <v>6030</v>
      </c>
      <c r="C290" s="2022">
        <v>14437.79</v>
      </c>
      <c r="D290" s="2022">
        <v>0</v>
      </c>
      <c r="E290" s="2022">
        <v>11111.67</v>
      </c>
      <c r="F290" s="2022">
        <v>-470.2</v>
      </c>
      <c r="G290" s="2022">
        <v>10641.47</v>
      </c>
      <c r="H290" s="2022">
        <v>0</v>
      </c>
      <c r="I290" s="2022">
        <f t="shared" si="4"/>
        <v>10641.47</v>
      </c>
    </row>
    <row r="291" spans="1:9" x14ac:dyDescent="0.2">
      <c r="A291" t="s">
        <v>5379</v>
      </c>
      <c r="B291" t="s">
        <v>6035</v>
      </c>
      <c r="C291" s="2022">
        <v>10095.32</v>
      </c>
      <c r="D291" s="2022">
        <v>0</v>
      </c>
      <c r="E291" s="2022">
        <v>0</v>
      </c>
      <c r="F291" s="2022">
        <v>0</v>
      </c>
      <c r="G291" s="2022">
        <v>0</v>
      </c>
      <c r="H291" s="2022">
        <v>0</v>
      </c>
      <c r="I291" s="2022">
        <f t="shared" si="4"/>
        <v>0</v>
      </c>
    </row>
    <row r="292" spans="1:9" x14ac:dyDescent="0.2">
      <c r="A292" t="s">
        <v>5380</v>
      </c>
      <c r="B292" t="s">
        <v>6036</v>
      </c>
      <c r="C292" s="2022">
        <v>9011.5300000000007</v>
      </c>
      <c r="D292" s="2022">
        <v>0</v>
      </c>
      <c r="E292" s="2022">
        <v>0</v>
      </c>
      <c r="F292" s="2022">
        <v>0</v>
      </c>
      <c r="G292" s="2022">
        <v>0</v>
      </c>
      <c r="H292" s="2022">
        <v>0</v>
      </c>
      <c r="I292" s="2022">
        <f t="shared" si="4"/>
        <v>0</v>
      </c>
    </row>
    <row r="293" spans="1:9" x14ac:dyDescent="0.2">
      <c r="A293" t="s">
        <v>5383</v>
      </c>
      <c r="B293" t="s">
        <v>6037</v>
      </c>
      <c r="C293" s="2022">
        <v>-972775.24</v>
      </c>
      <c r="D293" s="2022">
        <v>0</v>
      </c>
      <c r="E293" s="2022">
        <v>0</v>
      </c>
      <c r="F293" s="2022">
        <v>0</v>
      </c>
      <c r="G293" s="2022">
        <v>0</v>
      </c>
      <c r="H293" s="2022">
        <v>0</v>
      </c>
      <c r="I293" s="2022">
        <f t="shared" si="4"/>
        <v>0</v>
      </c>
    </row>
    <row r="294" spans="1:9" x14ac:dyDescent="0.2">
      <c r="A294" t="s">
        <v>5384</v>
      </c>
      <c r="B294" t="s">
        <v>6169</v>
      </c>
      <c r="C294" s="2022">
        <v>-28.6</v>
      </c>
      <c r="D294" s="2022">
        <v>0</v>
      </c>
      <c r="E294" s="2022">
        <v>10.91</v>
      </c>
      <c r="F294" s="2022">
        <v>-88.8</v>
      </c>
      <c r="G294" s="2022">
        <v>0</v>
      </c>
      <c r="H294" s="2022">
        <v>-77.89</v>
      </c>
      <c r="I294" s="2022">
        <f t="shared" si="4"/>
        <v>-77.89</v>
      </c>
    </row>
    <row r="295" spans="1:9" x14ac:dyDescent="0.2">
      <c r="A295" t="s">
        <v>5387</v>
      </c>
      <c r="B295" t="s">
        <v>6003</v>
      </c>
      <c r="C295" s="2022">
        <v>177941.12</v>
      </c>
      <c r="D295" s="2022">
        <v>0</v>
      </c>
      <c r="E295" s="2022">
        <v>185158.59</v>
      </c>
      <c r="F295" s="2022">
        <v>-3967.11</v>
      </c>
      <c r="G295" s="2022">
        <v>181191.48</v>
      </c>
      <c r="H295" s="2022">
        <v>0</v>
      </c>
      <c r="I295" s="2022">
        <f t="shared" si="4"/>
        <v>181191.48</v>
      </c>
    </row>
    <row r="296" spans="1:9" x14ac:dyDescent="0.2">
      <c r="A296" t="s">
        <v>5388</v>
      </c>
      <c r="B296" t="s">
        <v>6004</v>
      </c>
      <c r="C296" s="2022">
        <v>15027.27</v>
      </c>
      <c r="D296" s="2022">
        <v>0</v>
      </c>
      <c r="E296" s="2022">
        <v>10018.18</v>
      </c>
      <c r="F296" s="2022">
        <v>0</v>
      </c>
      <c r="G296" s="2022">
        <v>10018.18</v>
      </c>
      <c r="H296" s="2022">
        <v>0</v>
      </c>
      <c r="I296" s="2022">
        <f t="shared" si="4"/>
        <v>10018.18</v>
      </c>
    </row>
    <row r="297" spans="1:9" x14ac:dyDescent="0.2">
      <c r="A297" t="s">
        <v>5391</v>
      </c>
      <c r="B297" t="s">
        <v>6010</v>
      </c>
      <c r="C297" s="2022">
        <v>147.6</v>
      </c>
      <c r="D297" s="2022">
        <v>0</v>
      </c>
      <c r="E297" s="2022">
        <v>135.30000000000001</v>
      </c>
      <c r="F297" s="2022">
        <v>0</v>
      </c>
      <c r="G297" s="2022">
        <v>135.30000000000001</v>
      </c>
      <c r="H297" s="2022">
        <v>0</v>
      </c>
      <c r="I297" s="2022">
        <f t="shared" si="4"/>
        <v>135.30000000000001</v>
      </c>
    </row>
    <row r="298" spans="1:9" x14ac:dyDescent="0.2">
      <c r="A298" t="s">
        <v>5392</v>
      </c>
      <c r="B298" t="s">
        <v>6011</v>
      </c>
      <c r="C298" s="2022">
        <v>2146.04</v>
      </c>
      <c r="D298" s="2022">
        <v>0</v>
      </c>
      <c r="E298" s="2022">
        <v>1654.78</v>
      </c>
      <c r="F298" s="2022">
        <v>0</v>
      </c>
      <c r="G298" s="2022">
        <v>1654.78</v>
      </c>
      <c r="H298" s="2022">
        <v>0</v>
      </c>
      <c r="I298" s="2022">
        <f t="shared" si="4"/>
        <v>1654.78</v>
      </c>
    </row>
    <row r="299" spans="1:9" x14ac:dyDescent="0.2">
      <c r="A299" t="s">
        <v>5394</v>
      </c>
      <c r="B299" t="s">
        <v>6012</v>
      </c>
      <c r="C299" s="2022">
        <v>11066.47</v>
      </c>
      <c r="D299" s="2022">
        <v>0</v>
      </c>
      <c r="E299" s="2022">
        <v>9951.07</v>
      </c>
      <c r="F299" s="2022">
        <v>0</v>
      </c>
      <c r="G299" s="2022">
        <v>9951.07</v>
      </c>
      <c r="H299" s="2022">
        <v>0</v>
      </c>
      <c r="I299" s="2022">
        <f t="shared" si="4"/>
        <v>9951.07</v>
      </c>
    </row>
    <row r="300" spans="1:9" x14ac:dyDescent="0.2">
      <c r="A300" t="s">
        <v>5395</v>
      </c>
      <c r="B300" t="s">
        <v>6013</v>
      </c>
      <c r="C300" s="2022">
        <v>31264.94</v>
      </c>
      <c r="D300" s="2022">
        <v>0</v>
      </c>
      <c r="E300" s="2022">
        <v>28549.52</v>
      </c>
      <c r="F300" s="2022">
        <v>0</v>
      </c>
      <c r="G300" s="2022">
        <v>28549.52</v>
      </c>
      <c r="H300" s="2022">
        <v>0</v>
      </c>
      <c r="I300" s="2022">
        <f t="shared" si="4"/>
        <v>28549.52</v>
      </c>
    </row>
    <row r="301" spans="1:9" x14ac:dyDescent="0.2">
      <c r="A301" t="s">
        <v>5396</v>
      </c>
      <c r="B301" t="s">
        <v>6014</v>
      </c>
      <c r="C301" s="2022">
        <v>2411.16</v>
      </c>
      <c r="D301" s="2022">
        <v>0</v>
      </c>
      <c r="E301" s="2022">
        <v>2003.06</v>
      </c>
      <c r="F301" s="2022">
        <v>0</v>
      </c>
      <c r="G301" s="2022">
        <v>2003.06</v>
      </c>
      <c r="H301" s="2022">
        <v>0</v>
      </c>
      <c r="I301" s="2022">
        <f t="shared" si="4"/>
        <v>2003.06</v>
      </c>
    </row>
    <row r="302" spans="1:9" x14ac:dyDescent="0.2">
      <c r="A302" t="s">
        <v>5400</v>
      </c>
      <c r="B302" t="s">
        <v>6170</v>
      </c>
      <c r="C302" s="2022">
        <v>0</v>
      </c>
      <c r="D302" s="2022">
        <v>0</v>
      </c>
      <c r="E302" s="2022">
        <v>5992.11</v>
      </c>
      <c r="F302" s="2022">
        <v>0</v>
      </c>
      <c r="G302" s="2022">
        <v>5992.11</v>
      </c>
      <c r="H302" s="2022">
        <v>0</v>
      </c>
      <c r="I302" s="2022">
        <f t="shared" si="4"/>
        <v>5992.11</v>
      </c>
    </row>
    <row r="303" spans="1:9" x14ac:dyDescent="0.2">
      <c r="A303" t="s">
        <v>5402</v>
      </c>
      <c r="B303" t="s">
        <v>4873</v>
      </c>
      <c r="C303" s="2022">
        <v>212.94</v>
      </c>
      <c r="D303" s="2022">
        <v>0</v>
      </c>
      <c r="E303" s="2022">
        <v>5494.1</v>
      </c>
      <c r="F303" s="2022">
        <v>-382.89</v>
      </c>
      <c r="G303" s="2022">
        <v>5111.21</v>
      </c>
      <c r="H303" s="2022">
        <v>0</v>
      </c>
      <c r="I303" s="2022">
        <f t="shared" si="4"/>
        <v>5111.21</v>
      </c>
    </row>
    <row r="304" spans="1:9" x14ac:dyDescent="0.2">
      <c r="A304" t="s">
        <v>5403</v>
      </c>
      <c r="B304" t="s">
        <v>6171</v>
      </c>
      <c r="C304" s="2022">
        <v>80850</v>
      </c>
      <c r="D304" s="2022">
        <v>0</v>
      </c>
      <c r="E304" s="2022">
        <v>92954.55</v>
      </c>
      <c r="F304" s="2022">
        <v>0</v>
      </c>
      <c r="G304" s="2022">
        <v>92954.55</v>
      </c>
      <c r="H304" s="2022">
        <v>0</v>
      </c>
      <c r="I304" s="2022">
        <f t="shared" si="4"/>
        <v>92954.55</v>
      </c>
    </row>
    <row r="305" spans="1:9" x14ac:dyDescent="0.2">
      <c r="A305" t="s">
        <v>5407</v>
      </c>
      <c r="B305" t="s">
        <v>6033</v>
      </c>
      <c r="C305" s="2022">
        <v>2500</v>
      </c>
      <c r="D305" s="2022">
        <v>0</v>
      </c>
      <c r="E305" s="2022">
        <v>4443.8500000000004</v>
      </c>
      <c r="F305" s="2022">
        <v>-301.64999999999998</v>
      </c>
      <c r="G305" s="2022">
        <v>4142.2</v>
      </c>
      <c r="H305" s="2022">
        <v>0</v>
      </c>
      <c r="I305" s="2022">
        <f t="shared" si="4"/>
        <v>4142.2</v>
      </c>
    </row>
    <row r="306" spans="1:9" x14ac:dyDescent="0.2">
      <c r="A306" t="s">
        <v>5408</v>
      </c>
      <c r="B306" t="s">
        <v>6172</v>
      </c>
      <c r="C306" s="2022">
        <v>13493.39</v>
      </c>
      <c r="D306" s="2022">
        <v>0</v>
      </c>
      <c r="E306" s="2022">
        <v>9385.99</v>
      </c>
      <c r="F306" s="2022">
        <v>0</v>
      </c>
      <c r="G306" s="2022">
        <v>9385.99</v>
      </c>
      <c r="H306" s="2022">
        <v>0</v>
      </c>
      <c r="I306" s="2022">
        <f t="shared" si="4"/>
        <v>9385.99</v>
      </c>
    </row>
    <row r="307" spans="1:9" x14ac:dyDescent="0.2">
      <c r="A307" t="s">
        <v>5415</v>
      </c>
      <c r="B307" t="s">
        <v>6173</v>
      </c>
      <c r="C307" s="2022">
        <v>3500</v>
      </c>
      <c r="D307" s="2022">
        <v>0</v>
      </c>
      <c r="E307" s="2022">
        <v>2360.1799999999998</v>
      </c>
      <c r="F307" s="2022">
        <v>0</v>
      </c>
      <c r="G307" s="2022">
        <v>2360.1799999999998</v>
      </c>
      <c r="H307" s="2022">
        <v>0</v>
      </c>
      <c r="I307" s="2022">
        <f t="shared" si="4"/>
        <v>2360.1799999999998</v>
      </c>
    </row>
    <row r="308" spans="1:9" x14ac:dyDescent="0.2">
      <c r="A308" t="s">
        <v>5418</v>
      </c>
      <c r="B308" t="s">
        <v>6174</v>
      </c>
      <c r="C308" s="2022">
        <v>1144</v>
      </c>
      <c r="D308" s="2022">
        <v>0</v>
      </c>
      <c r="E308" s="2022">
        <v>0</v>
      </c>
      <c r="F308" s="2022">
        <v>0</v>
      </c>
      <c r="G308" s="2022">
        <v>0</v>
      </c>
      <c r="H308" s="2022">
        <v>0</v>
      </c>
      <c r="I308" s="2022">
        <f t="shared" si="4"/>
        <v>0</v>
      </c>
    </row>
    <row r="309" spans="1:9" x14ac:dyDescent="0.2">
      <c r="A309" t="s">
        <v>5419</v>
      </c>
      <c r="B309" t="s">
        <v>6035</v>
      </c>
      <c r="C309" s="2022">
        <v>2751.71</v>
      </c>
      <c r="D309" s="2022">
        <v>0</v>
      </c>
      <c r="E309" s="2022">
        <v>0</v>
      </c>
      <c r="F309" s="2022">
        <v>0</v>
      </c>
      <c r="G309" s="2022">
        <v>0</v>
      </c>
      <c r="H309" s="2022">
        <v>0</v>
      </c>
      <c r="I309" s="2022">
        <f t="shared" si="4"/>
        <v>0</v>
      </c>
    </row>
    <row r="310" spans="1:9" x14ac:dyDescent="0.2">
      <c r="A310" t="s">
        <v>5420</v>
      </c>
      <c r="B310" t="s">
        <v>6036</v>
      </c>
      <c r="C310" s="2022">
        <v>2320.86</v>
      </c>
      <c r="D310" s="2022">
        <v>0</v>
      </c>
      <c r="E310" s="2022">
        <v>0</v>
      </c>
      <c r="F310" s="2022">
        <v>0</v>
      </c>
      <c r="G310" s="2022">
        <v>0</v>
      </c>
      <c r="H310" s="2022">
        <v>0</v>
      </c>
      <c r="I310" s="2022">
        <f t="shared" si="4"/>
        <v>0</v>
      </c>
    </row>
    <row r="311" spans="1:9" x14ac:dyDescent="0.2">
      <c r="A311" t="s">
        <v>5421</v>
      </c>
      <c r="B311" t="s">
        <v>6175</v>
      </c>
      <c r="C311" s="2022">
        <v>-11788.7</v>
      </c>
      <c r="D311" s="2022">
        <v>0</v>
      </c>
      <c r="E311" s="2022">
        <v>1927.01</v>
      </c>
      <c r="F311" s="2022">
        <v>-8144.2</v>
      </c>
      <c r="G311" s="2022">
        <v>0</v>
      </c>
      <c r="H311" s="2022">
        <v>-6217.19</v>
      </c>
      <c r="I311" s="2022">
        <f t="shared" si="4"/>
        <v>-6217.19</v>
      </c>
    </row>
    <row r="312" spans="1:9" x14ac:dyDescent="0.2">
      <c r="A312" t="s">
        <v>5422</v>
      </c>
      <c r="B312" t="s">
        <v>6176</v>
      </c>
      <c r="C312" s="2022">
        <v>-750.2</v>
      </c>
      <c r="D312" s="2022">
        <v>0</v>
      </c>
      <c r="E312" s="2022">
        <v>66.06</v>
      </c>
      <c r="F312" s="2022">
        <v>-537.9</v>
      </c>
      <c r="G312" s="2022">
        <v>0</v>
      </c>
      <c r="H312" s="2022">
        <v>-471.84</v>
      </c>
      <c r="I312" s="2022">
        <f t="shared" si="4"/>
        <v>-471.84</v>
      </c>
    </row>
    <row r="313" spans="1:9" x14ac:dyDescent="0.2">
      <c r="A313" t="s">
        <v>5424</v>
      </c>
      <c r="B313" t="s">
        <v>6037</v>
      </c>
      <c r="C313" s="2022">
        <v>-334238.59999999998</v>
      </c>
      <c r="D313" s="2022">
        <v>0</v>
      </c>
      <c r="E313" s="2022">
        <v>0</v>
      </c>
      <c r="F313" s="2022">
        <v>0</v>
      </c>
      <c r="G313" s="2022">
        <v>0</v>
      </c>
      <c r="H313" s="2022">
        <v>0</v>
      </c>
      <c r="I313" s="2022">
        <f t="shared" si="4"/>
        <v>0</v>
      </c>
    </row>
    <row r="314" spans="1:9" x14ac:dyDescent="0.2">
      <c r="A314" t="s">
        <v>5426</v>
      </c>
      <c r="B314" t="s">
        <v>6025</v>
      </c>
      <c r="C314" s="2022">
        <v>16681.509999999998</v>
      </c>
      <c r="D314" s="2022">
        <v>0</v>
      </c>
      <c r="E314" s="2022">
        <v>12720</v>
      </c>
      <c r="F314" s="2022">
        <v>0</v>
      </c>
      <c r="G314" s="2022">
        <v>12720</v>
      </c>
      <c r="H314" s="2022">
        <v>0</v>
      </c>
      <c r="I314" s="2022">
        <f t="shared" si="4"/>
        <v>12720</v>
      </c>
    </row>
    <row r="315" spans="1:9" x14ac:dyDescent="0.2">
      <c r="A315" t="s">
        <v>5428</v>
      </c>
      <c r="B315" t="s">
        <v>6177</v>
      </c>
      <c r="C315" s="2022">
        <v>78824.25</v>
      </c>
      <c r="D315" s="2022">
        <v>0</v>
      </c>
      <c r="E315" s="2022">
        <v>0</v>
      </c>
      <c r="F315" s="2022">
        <v>0</v>
      </c>
      <c r="G315" s="2022">
        <v>0</v>
      </c>
      <c r="H315" s="2022">
        <v>0</v>
      </c>
      <c r="I315" s="2022">
        <f t="shared" si="4"/>
        <v>0</v>
      </c>
    </row>
    <row r="316" spans="1:9" x14ac:dyDescent="0.2">
      <c r="A316" t="s">
        <v>5429</v>
      </c>
      <c r="B316" t="s">
        <v>6178</v>
      </c>
      <c r="C316" s="2022">
        <v>10000</v>
      </c>
      <c r="D316" s="2022">
        <v>0</v>
      </c>
      <c r="E316" s="2022">
        <v>4761.78</v>
      </c>
      <c r="F316" s="2022">
        <v>-10274.1</v>
      </c>
      <c r="G316" s="2022">
        <v>0</v>
      </c>
      <c r="H316" s="2022">
        <v>-5512.32</v>
      </c>
      <c r="I316" s="2022">
        <f t="shared" si="4"/>
        <v>-5512.32</v>
      </c>
    </row>
    <row r="317" spans="1:9" x14ac:dyDescent="0.2">
      <c r="A317" t="s">
        <v>5430</v>
      </c>
      <c r="B317" t="s">
        <v>6037</v>
      </c>
      <c r="C317" s="2022">
        <v>-54992.18</v>
      </c>
      <c r="D317" s="2022">
        <v>0</v>
      </c>
      <c r="E317" s="2022">
        <v>0</v>
      </c>
      <c r="F317" s="2022">
        <v>0</v>
      </c>
      <c r="G317" s="2022">
        <v>0</v>
      </c>
      <c r="H317" s="2022">
        <v>0</v>
      </c>
      <c r="I317" s="2022">
        <f t="shared" si="4"/>
        <v>0</v>
      </c>
    </row>
    <row r="318" spans="1:9" x14ac:dyDescent="0.2">
      <c r="A318" t="s">
        <v>5431</v>
      </c>
      <c r="B318" t="s">
        <v>6179</v>
      </c>
      <c r="C318" s="2022">
        <v>-50513.58</v>
      </c>
      <c r="D318" s="2022">
        <v>0</v>
      </c>
      <c r="E318" s="2022">
        <v>3955.08</v>
      </c>
      <c r="F318" s="2022">
        <v>-31325.11</v>
      </c>
      <c r="G318" s="2022">
        <v>0</v>
      </c>
      <c r="H318" s="2022">
        <v>-27370.03</v>
      </c>
      <c r="I318" s="2022">
        <f t="shared" si="4"/>
        <v>-27370.03</v>
      </c>
    </row>
    <row r="319" spans="1:9" x14ac:dyDescent="0.2">
      <c r="A319" t="s">
        <v>5433</v>
      </c>
      <c r="B319" t="s">
        <v>6180</v>
      </c>
      <c r="C319" s="2022">
        <v>91624.48</v>
      </c>
      <c r="D319" s="2022">
        <v>0</v>
      </c>
      <c r="E319" s="2022">
        <v>91624.48</v>
      </c>
      <c r="F319" s="2022">
        <v>0</v>
      </c>
      <c r="G319" s="2022">
        <v>91624.48</v>
      </c>
      <c r="H319" s="2022">
        <v>0</v>
      </c>
      <c r="I319" s="2022">
        <f t="shared" si="4"/>
        <v>91624.48</v>
      </c>
    </row>
    <row r="320" spans="1:9" x14ac:dyDescent="0.2">
      <c r="A320" t="s">
        <v>5434</v>
      </c>
      <c r="B320" t="s">
        <v>6181</v>
      </c>
      <c r="C320" s="2022">
        <v>730080.97</v>
      </c>
      <c r="D320" s="2022">
        <v>0</v>
      </c>
      <c r="E320" s="2022">
        <v>786021.82</v>
      </c>
      <c r="F320" s="2022">
        <v>-3512.46</v>
      </c>
      <c r="G320" s="2022">
        <v>782509.36</v>
      </c>
      <c r="H320" s="2022">
        <v>0</v>
      </c>
      <c r="I320" s="2022">
        <f t="shared" si="4"/>
        <v>782509.36</v>
      </c>
    </row>
    <row r="321" spans="1:9" x14ac:dyDescent="0.2">
      <c r="A321" t="s">
        <v>5437</v>
      </c>
      <c r="B321" t="s">
        <v>6182</v>
      </c>
      <c r="C321" s="2022">
        <v>87048.62</v>
      </c>
      <c r="D321" s="2022">
        <v>0</v>
      </c>
      <c r="E321" s="2022">
        <v>75647.31</v>
      </c>
      <c r="F321" s="2022">
        <v>0</v>
      </c>
      <c r="G321" s="2022">
        <v>75647.31</v>
      </c>
      <c r="H321" s="2022">
        <v>0</v>
      </c>
      <c r="I321" s="2022">
        <f t="shared" si="4"/>
        <v>75647.31</v>
      </c>
    </row>
    <row r="322" spans="1:9" x14ac:dyDescent="0.2">
      <c r="A322" t="s">
        <v>5439</v>
      </c>
      <c r="B322" t="s">
        <v>6183</v>
      </c>
      <c r="C322" s="2022">
        <v>500</v>
      </c>
      <c r="D322" s="2022">
        <v>0</v>
      </c>
      <c r="E322" s="2022">
        <v>500</v>
      </c>
      <c r="F322" s="2022">
        <v>0</v>
      </c>
      <c r="G322" s="2022">
        <v>500</v>
      </c>
      <c r="H322" s="2022">
        <v>0</v>
      </c>
      <c r="I322" s="2022">
        <f t="shared" si="4"/>
        <v>500</v>
      </c>
    </row>
    <row r="323" spans="1:9" x14ac:dyDescent="0.2">
      <c r="A323" t="s">
        <v>5440</v>
      </c>
      <c r="B323" t="s">
        <v>6184</v>
      </c>
      <c r="C323" s="2022">
        <v>6000</v>
      </c>
      <c r="D323" s="2022">
        <v>0</v>
      </c>
      <c r="E323" s="2022">
        <v>6000</v>
      </c>
      <c r="F323" s="2022">
        <v>0</v>
      </c>
      <c r="G323" s="2022">
        <v>6000</v>
      </c>
      <c r="H323" s="2022">
        <v>0</v>
      </c>
      <c r="I323" s="2022">
        <f t="shared" ref="I323:I386" si="5">G323+H323</f>
        <v>6000</v>
      </c>
    </row>
    <row r="324" spans="1:9" x14ac:dyDescent="0.2">
      <c r="A324" t="s">
        <v>5443</v>
      </c>
      <c r="B324" t="s">
        <v>6185</v>
      </c>
      <c r="C324" s="2022">
        <v>3000</v>
      </c>
      <c r="D324" s="2022">
        <v>0</v>
      </c>
      <c r="E324" s="2022">
        <v>1418.29</v>
      </c>
      <c r="F324" s="2022">
        <v>0</v>
      </c>
      <c r="G324" s="2022">
        <v>1418.29</v>
      </c>
      <c r="H324" s="2022">
        <v>0</v>
      </c>
      <c r="I324" s="2022">
        <f t="shared" si="5"/>
        <v>1418.29</v>
      </c>
    </row>
    <row r="325" spans="1:9" x14ac:dyDescent="0.2">
      <c r="A325" t="s">
        <v>5445</v>
      </c>
      <c r="B325" t="s">
        <v>6186</v>
      </c>
      <c r="C325" s="2022">
        <v>2093.39</v>
      </c>
      <c r="D325" s="2022">
        <v>0</v>
      </c>
      <c r="E325" s="2022">
        <v>3634.77</v>
      </c>
      <c r="F325" s="2022">
        <v>0</v>
      </c>
      <c r="G325" s="2022">
        <v>3634.77</v>
      </c>
      <c r="H325" s="2022">
        <v>0</v>
      </c>
      <c r="I325" s="2022">
        <f t="shared" si="5"/>
        <v>3634.77</v>
      </c>
    </row>
    <row r="326" spans="1:9" x14ac:dyDescent="0.2">
      <c r="A326" t="s">
        <v>5447</v>
      </c>
      <c r="B326" t="s">
        <v>6123</v>
      </c>
      <c r="C326" s="2022">
        <v>20410.509999999998</v>
      </c>
      <c r="D326" s="2022">
        <v>0</v>
      </c>
      <c r="E326" s="2022">
        <v>20410.509999999998</v>
      </c>
      <c r="F326" s="2022">
        <v>0</v>
      </c>
      <c r="G326" s="2022">
        <v>20410.509999999998</v>
      </c>
      <c r="H326" s="2022">
        <v>0</v>
      </c>
      <c r="I326" s="2022">
        <f t="shared" si="5"/>
        <v>20410.509999999998</v>
      </c>
    </row>
    <row r="327" spans="1:9" x14ac:dyDescent="0.2">
      <c r="A327" t="s">
        <v>5448</v>
      </c>
      <c r="B327" t="s">
        <v>6187</v>
      </c>
      <c r="C327" s="2022">
        <v>94514.97</v>
      </c>
      <c r="D327" s="2022">
        <v>0</v>
      </c>
      <c r="E327" s="2022">
        <v>108514.97</v>
      </c>
      <c r="F327" s="2022">
        <v>0</v>
      </c>
      <c r="G327" s="2022">
        <v>108514.97</v>
      </c>
      <c r="H327" s="2022">
        <v>0</v>
      </c>
      <c r="I327" s="2022">
        <f t="shared" si="5"/>
        <v>108514.97</v>
      </c>
    </row>
    <row r="328" spans="1:9" x14ac:dyDescent="0.2">
      <c r="A328" t="s">
        <v>5449</v>
      </c>
      <c r="B328" t="s">
        <v>6126</v>
      </c>
      <c r="C328" s="2022">
        <v>8.1999999999999993</v>
      </c>
      <c r="D328" s="2022">
        <v>0</v>
      </c>
      <c r="E328" s="2022">
        <v>8.1999999999999993</v>
      </c>
      <c r="F328" s="2022">
        <v>0</v>
      </c>
      <c r="G328" s="2022">
        <v>8.1999999999999993</v>
      </c>
      <c r="H328" s="2022">
        <v>0</v>
      </c>
      <c r="I328" s="2022">
        <f t="shared" si="5"/>
        <v>8.1999999999999993</v>
      </c>
    </row>
    <row r="329" spans="1:9" x14ac:dyDescent="0.2">
      <c r="A329" t="s">
        <v>5450</v>
      </c>
      <c r="B329" t="s">
        <v>6188</v>
      </c>
      <c r="C329" s="2022">
        <v>287</v>
      </c>
      <c r="D329" s="2022">
        <v>0</v>
      </c>
      <c r="E329" s="2022">
        <v>303.39999999999998</v>
      </c>
      <c r="F329" s="2022">
        <v>0</v>
      </c>
      <c r="G329" s="2022">
        <v>303.39999999999998</v>
      </c>
      <c r="H329" s="2022">
        <v>0</v>
      </c>
      <c r="I329" s="2022">
        <f t="shared" si="5"/>
        <v>303.39999999999998</v>
      </c>
    </row>
    <row r="330" spans="1:9" x14ac:dyDescent="0.2">
      <c r="A330" t="s">
        <v>5452</v>
      </c>
      <c r="B330" t="s">
        <v>6129</v>
      </c>
      <c r="C330" s="2022">
        <v>340.14</v>
      </c>
      <c r="D330" s="2022">
        <v>0</v>
      </c>
      <c r="E330" s="2022">
        <v>340.14</v>
      </c>
      <c r="F330" s="2022">
        <v>0</v>
      </c>
      <c r="G330" s="2022">
        <v>340.14</v>
      </c>
      <c r="H330" s="2022">
        <v>0</v>
      </c>
      <c r="I330" s="2022">
        <f t="shared" si="5"/>
        <v>340.14</v>
      </c>
    </row>
    <row r="331" spans="1:9" x14ac:dyDescent="0.2">
      <c r="A331" t="s">
        <v>5453</v>
      </c>
      <c r="B331" t="s">
        <v>6189</v>
      </c>
      <c r="C331" s="2022">
        <v>8964.4699999999993</v>
      </c>
      <c r="D331" s="2022">
        <v>0</v>
      </c>
      <c r="E331" s="2022">
        <v>9187.9500000000007</v>
      </c>
      <c r="F331" s="2022">
        <v>0</v>
      </c>
      <c r="G331" s="2022">
        <v>9187.9500000000007</v>
      </c>
      <c r="H331" s="2022">
        <v>0</v>
      </c>
      <c r="I331" s="2022">
        <f t="shared" si="5"/>
        <v>9187.9500000000007</v>
      </c>
    </row>
    <row r="332" spans="1:9" x14ac:dyDescent="0.2">
      <c r="A332" t="s">
        <v>5456</v>
      </c>
      <c r="B332" t="s">
        <v>6190</v>
      </c>
      <c r="C332" s="2022">
        <v>3072</v>
      </c>
      <c r="D332" s="2022">
        <v>0</v>
      </c>
      <c r="E332" s="2022">
        <v>3072</v>
      </c>
      <c r="F332" s="2022">
        <v>0</v>
      </c>
      <c r="G332" s="2022">
        <v>3072</v>
      </c>
      <c r="H332" s="2022">
        <v>0</v>
      </c>
      <c r="I332" s="2022">
        <f t="shared" si="5"/>
        <v>3072</v>
      </c>
    </row>
    <row r="333" spans="1:9" x14ac:dyDescent="0.2">
      <c r="A333" t="s">
        <v>5457</v>
      </c>
      <c r="B333" t="s">
        <v>6191</v>
      </c>
      <c r="C333" s="2022">
        <v>54456</v>
      </c>
      <c r="D333" s="2022">
        <v>0</v>
      </c>
      <c r="E333" s="2022">
        <v>57228</v>
      </c>
      <c r="F333" s="2022">
        <v>0</v>
      </c>
      <c r="G333" s="2022">
        <v>57228</v>
      </c>
      <c r="H333" s="2022">
        <v>0</v>
      </c>
      <c r="I333" s="2022">
        <f t="shared" si="5"/>
        <v>57228</v>
      </c>
    </row>
    <row r="334" spans="1:9" x14ac:dyDescent="0.2">
      <c r="A334" t="s">
        <v>5459</v>
      </c>
      <c r="B334" t="s">
        <v>6192</v>
      </c>
      <c r="C334" s="2022">
        <v>8339.02</v>
      </c>
      <c r="D334" s="2022">
        <v>0</v>
      </c>
      <c r="E334" s="2022">
        <v>8339.02</v>
      </c>
      <c r="F334" s="2022">
        <v>0</v>
      </c>
      <c r="G334" s="2022">
        <v>8339.02</v>
      </c>
      <c r="H334" s="2022">
        <v>0</v>
      </c>
      <c r="I334" s="2022">
        <f t="shared" si="5"/>
        <v>8339.02</v>
      </c>
    </row>
    <row r="335" spans="1:9" x14ac:dyDescent="0.2">
      <c r="A335" t="s">
        <v>5460</v>
      </c>
      <c r="B335" t="s">
        <v>6193</v>
      </c>
      <c r="C335" s="2022">
        <v>142301.13</v>
      </c>
      <c r="D335" s="2022">
        <v>0</v>
      </c>
      <c r="E335" s="2022">
        <v>151457.57</v>
      </c>
      <c r="F335" s="2022">
        <v>0</v>
      </c>
      <c r="G335" s="2022">
        <v>151457.57</v>
      </c>
      <c r="H335" s="2022">
        <v>0</v>
      </c>
      <c r="I335" s="2022">
        <f t="shared" si="5"/>
        <v>151457.57</v>
      </c>
    </row>
    <row r="336" spans="1:9" x14ac:dyDescent="0.2">
      <c r="A336" t="s">
        <v>5462</v>
      </c>
      <c r="B336" t="s">
        <v>6194</v>
      </c>
      <c r="C336" s="2022">
        <v>249.56</v>
      </c>
      <c r="D336" s="2022">
        <v>0</v>
      </c>
      <c r="E336" s="2022">
        <v>249.56</v>
      </c>
      <c r="F336" s="2022">
        <v>0</v>
      </c>
      <c r="G336" s="2022">
        <v>249.56</v>
      </c>
      <c r="H336" s="2022">
        <v>0</v>
      </c>
      <c r="I336" s="2022">
        <f t="shared" si="5"/>
        <v>249.56</v>
      </c>
    </row>
    <row r="337" spans="1:9" x14ac:dyDescent="0.2">
      <c r="A337" t="s">
        <v>5463</v>
      </c>
      <c r="B337" t="s">
        <v>6195</v>
      </c>
      <c r="C337" s="2022">
        <v>7135.92</v>
      </c>
      <c r="D337" s="2022">
        <v>0</v>
      </c>
      <c r="E337" s="2022">
        <v>7007.43</v>
      </c>
      <c r="F337" s="2022">
        <v>0</v>
      </c>
      <c r="G337" s="2022">
        <v>7007.43</v>
      </c>
      <c r="H337" s="2022">
        <v>0</v>
      </c>
      <c r="I337" s="2022">
        <f t="shared" si="5"/>
        <v>7007.43</v>
      </c>
    </row>
    <row r="338" spans="1:9" x14ac:dyDescent="0.2">
      <c r="A338" t="s">
        <v>5465</v>
      </c>
      <c r="B338" t="s">
        <v>6143</v>
      </c>
      <c r="C338" s="2022">
        <v>24415.38</v>
      </c>
      <c r="D338" s="2022">
        <v>0</v>
      </c>
      <c r="E338" s="2022">
        <v>23763</v>
      </c>
      <c r="F338" s="2022">
        <v>0</v>
      </c>
      <c r="G338" s="2022">
        <v>23763</v>
      </c>
      <c r="H338" s="2022">
        <v>0</v>
      </c>
      <c r="I338" s="2022">
        <f t="shared" si="5"/>
        <v>23763</v>
      </c>
    </row>
    <row r="339" spans="1:9" x14ac:dyDescent="0.2">
      <c r="A339" t="s">
        <v>5468</v>
      </c>
      <c r="B339" t="s">
        <v>6196</v>
      </c>
      <c r="C339" s="2022">
        <v>0</v>
      </c>
      <c r="D339" s="2022">
        <v>0</v>
      </c>
      <c r="E339" s="2022">
        <v>378</v>
      </c>
      <c r="F339" s="2022">
        <v>0</v>
      </c>
      <c r="G339" s="2022">
        <v>378</v>
      </c>
      <c r="H339" s="2022">
        <v>0</v>
      </c>
      <c r="I339" s="2022">
        <f t="shared" si="5"/>
        <v>378</v>
      </c>
    </row>
    <row r="340" spans="1:9" x14ac:dyDescent="0.2">
      <c r="A340" t="s">
        <v>5470</v>
      </c>
      <c r="B340" t="s">
        <v>4871</v>
      </c>
      <c r="C340" s="2022">
        <v>3000</v>
      </c>
      <c r="D340" s="2022">
        <v>0</v>
      </c>
      <c r="E340" s="2022">
        <v>3000</v>
      </c>
      <c r="F340" s="2022">
        <v>0</v>
      </c>
      <c r="G340" s="2022">
        <v>3000</v>
      </c>
      <c r="H340" s="2022">
        <v>0</v>
      </c>
      <c r="I340" s="2022">
        <f t="shared" si="5"/>
        <v>3000</v>
      </c>
    </row>
    <row r="341" spans="1:9" x14ac:dyDescent="0.2">
      <c r="A341" t="s">
        <v>5471</v>
      </c>
      <c r="B341" t="s">
        <v>4873</v>
      </c>
      <c r="C341" s="2022">
        <v>5000</v>
      </c>
      <c r="D341" s="2022">
        <v>0</v>
      </c>
      <c r="E341" s="2022">
        <v>7691.86</v>
      </c>
      <c r="F341" s="2022">
        <v>0</v>
      </c>
      <c r="G341" s="2022">
        <v>7691.86</v>
      </c>
      <c r="H341" s="2022">
        <v>0</v>
      </c>
      <c r="I341" s="2022">
        <f t="shared" si="5"/>
        <v>7691.86</v>
      </c>
    </row>
    <row r="342" spans="1:9" x14ac:dyDescent="0.2">
      <c r="A342" t="s">
        <v>5472</v>
      </c>
      <c r="B342" t="s">
        <v>4875</v>
      </c>
      <c r="C342" s="2022">
        <v>2868.05</v>
      </c>
      <c r="D342" s="2022">
        <v>0</v>
      </c>
      <c r="E342" s="2022">
        <v>769.25</v>
      </c>
      <c r="F342" s="2022">
        <v>0</v>
      </c>
      <c r="G342" s="2022">
        <v>769.25</v>
      </c>
      <c r="H342" s="2022">
        <v>0</v>
      </c>
      <c r="I342" s="2022">
        <f t="shared" si="5"/>
        <v>769.25</v>
      </c>
    </row>
    <row r="343" spans="1:9" x14ac:dyDescent="0.2">
      <c r="A343" t="s">
        <v>5474</v>
      </c>
      <c r="B343" t="s">
        <v>6153</v>
      </c>
      <c r="C343" s="2022">
        <v>23271</v>
      </c>
      <c r="D343" s="2022">
        <v>0</v>
      </c>
      <c r="E343" s="2022">
        <v>14454</v>
      </c>
      <c r="F343" s="2022">
        <v>0</v>
      </c>
      <c r="G343" s="2022">
        <v>14454</v>
      </c>
      <c r="H343" s="2022">
        <v>0</v>
      </c>
      <c r="I343" s="2022">
        <f t="shared" si="5"/>
        <v>14454</v>
      </c>
    </row>
    <row r="344" spans="1:9" x14ac:dyDescent="0.2">
      <c r="A344" t="s">
        <v>5475</v>
      </c>
      <c r="B344" t="s">
        <v>6197</v>
      </c>
      <c r="C344" s="2022">
        <v>27838.69</v>
      </c>
      <c r="D344" s="2022">
        <v>0</v>
      </c>
      <c r="E344" s="2022">
        <v>41416.21</v>
      </c>
      <c r="F344" s="2022">
        <v>0</v>
      </c>
      <c r="G344" s="2022">
        <v>41416.21</v>
      </c>
      <c r="H344" s="2022">
        <v>0</v>
      </c>
      <c r="I344" s="2022">
        <f t="shared" si="5"/>
        <v>41416.21</v>
      </c>
    </row>
    <row r="345" spans="1:9" x14ac:dyDescent="0.2">
      <c r="A345" t="s">
        <v>5476</v>
      </c>
      <c r="B345" t="s">
        <v>6198</v>
      </c>
      <c r="C345" s="2022">
        <v>0</v>
      </c>
      <c r="D345" s="2022">
        <v>0</v>
      </c>
      <c r="E345" s="2022">
        <v>5898.27</v>
      </c>
      <c r="F345" s="2022">
        <v>0</v>
      </c>
      <c r="G345" s="2022">
        <v>5898.27</v>
      </c>
      <c r="H345" s="2022">
        <v>0</v>
      </c>
      <c r="I345" s="2022">
        <f t="shared" si="5"/>
        <v>5898.27</v>
      </c>
    </row>
    <row r="346" spans="1:9" x14ac:dyDescent="0.2">
      <c r="A346" t="s">
        <v>5477</v>
      </c>
      <c r="B346" t="s">
        <v>6199</v>
      </c>
      <c r="C346" s="2022">
        <v>3500</v>
      </c>
      <c r="D346" s="2022">
        <v>0</v>
      </c>
      <c r="E346" s="2022">
        <v>431.49</v>
      </c>
      <c r="F346" s="2022">
        <v>0</v>
      </c>
      <c r="G346" s="2022">
        <v>431.49</v>
      </c>
      <c r="H346" s="2022">
        <v>0</v>
      </c>
      <c r="I346" s="2022">
        <f t="shared" si="5"/>
        <v>431.49</v>
      </c>
    </row>
    <row r="347" spans="1:9" x14ac:dyDescent="0.2">
      <c r="A347" t="s">
        <v>5479</v>
      </c>
      <c r="B347" t="s">
        <v>6200</v>
      </c>
      <c r="C347" s="2022">
        <v>5000</v>
      </c>
      <c r="D347" s="2022">
        <v>0</v>
      </c>
      <c r="E347" s="2022">
        <v>2569.2600000000002</v>
      </c>
      <c r="F347" s="2022">
        <v>0</v>
      </c>
      <c r="G347" s="2022">
        <v>2569.2600000000002</v>
      </c>
      <c r="H347" s="2022">
        <v>0</v>
      </c>
      <c r="I347" s="2022">
        <f t="shared" si="5"/>
        <v>2569.2600000000002</v>
      </c>
    </row>
    <row r="348" spans="1:9" x14ac:dyDescent="0.2">
      <c r="A348" t="s">
        <v>5482</v>
      </c>
      <c r="B348" t="s">
        <v>6201</v>
      </c>
      <c r="C348" s="2022">
        <v>131306.51</v>
      </c>
      <c r="D348" s="2022">
        <v>0</v>
      </c>
      <c r="E348" s="2022">
        <v>0</v>
      </c>
      <c r="F348" s="2022">
        <v>0</v>
      </c>
      <c r="G348" s="2022">
        <v>0</v>
      </c>
      <c r="H348" s="2022">
        <v>0</v>
      </c>
      <c r="I348" s="2022">
        <f t="shared" si="5"/>
        <v>0</v>
      </c>
    </row>
    <row r="349" spans="1:9" x14ac:dyDescent="0.2">
      <c r="A349" t="s">
        <v>5483</v>
      </c>
      <c r="B349" t="s">
        <v>6202</v>
      </c>
      <c r="C349" s="2022">
        <v>20000</v>
      </c>
      <c r="D349" s="2022">
        <v>0</v>
      </c>
      <c r="E349" s="2022">
        <v>8426.3799999999992</v>
      </c>
      <c r="F349" s="2022">
        <v>0</v>
      </c>
      <c r="G349" s="2022">
        <v>8426.3799999999992</v>
      </c>
      <c r="H349" s="2022">
        <v>0</v>
      </c>
      <c r="I349" s="2022">
        <f t="shared" si="5"/>
        <v>8426.3799999999992</v>
      </c>
    </row>
    <row r="350" spans="1:9" x14ac:dyDescent="0.2">
      <c r="A350" t="s">
        <v>5484</v>
      </c>
      <c r="B350" t="s">
        <v>6036</v>
      </c>
      <c r="C350" s="2022">
        <v>28310.21</v>
      </c>
      <c r="D350" s="2022">
        <v>0</v>
      </c>
      <c r="E350" s="2022">
        <v>0</v>
      </c>
      <c r="F350" s="2022">
        <v>0</v>
      </c>
      <c r="G350" s="2022">
        <v>0</v>
      </c>
      <c r="H350" s="2022">
        <v>0</v>
      </c>
      <c r="I350" s="2022">
        <f t="shared" si="5"/>
        <v>0</v>
      </c>
    </row>
    <row r="351" spans="1:9" x14ac:dyDescent="0.2">
      <c r="A351" t="s">
        <v>5485</v>
      </c>
      <c r="B351" t="s">
        <v>6164</v>
      </c>
      <c r="C351" s="2022">
        <v>-85746.28</v>
      </c>
      <c r="D351" s="2022">
        <v>0</v>
      </c>
      <c r="E351" s="2022">
        <v>0</v>
      </c>
      <c r="F351" s="2022">
        <v>0</v>
      </c>
      <c r="G351" s="2022">
        <v>0</v>
      </c>
      <c r="H351" s="2022">
        <v>0</v>
      </c>
      <c r="I351" s="2022">
        <f t="shared" si="5"/>
        <v>0</v>
      </c>
    </row>
    <row r="352" spans="1:9" x14ac:dyDescent="0.2">
      <c r="A352" t="s">
        <v>5486</v>
      </c>
      <c r="B352" t="s">
        <v>6098</v>
      </c>
      <c r="C352" s="2022">
        <v>-1213531.3700000001</v>
      </c>
      <c r="D352" s="2022">
        <v>0</v>
      </c>
      <c r="E352" s="2022">
        <v>0</v>
      </c>
      <c r="F352" s="2022">
        <v>0</v>
      </c>
      <c r="G352" s="2022">
        <v>0</v>
      </c>
      <c r="H352" s="2022">
        <v>0</v>
      </c>
      <c r="I352" s="2022">
        <f t="shared" si="5"/>
        <v>0</v>
      </c>
    </row>
    <row r="353" spans="1:9" x14ac:dyDescent="0.2">
      <c r="A353" t="s">
        <v>5488</v>
      </c>
      <c r="B353" t="s">
        <v>5489</v>
      </c>
      <c r="C353" s="2022">
        <v>-104578.7</v>
      </c>
      <c r="D353" s="2022">
        <v>0</v>
      </c>
      <c r="E353" s="2022">
        <v>0</v>
      </c>
      <c r="F353" s="2022">
        <v>0</v>
      </c>
      <c r="G353" s="2022">
        <v>0</v>
      </c>
      <c r="H353" s="2022">
        <v>0</v>
      </c>
      <c r="I353" s="2022">
        <f t="shared" si="5"/>
        <v>0</v>
      </c>
    </row>
    <row r="354" spans="1:9" x14ac:dyDescent="0.2">
      <c r="A354" t="s">
        <v>5490</v>
      </c>
      <c r="B354" t="s">
        <v>6003</v>
      </c>
      <c r="C354" s="2022">
        <v>411439.92</v>
      </c>
      <c r="D354" s="2022">
        <v>0</v>
      </c>
      <c r="E354" s="2022">
        <v>416468.94</v>
      </c>
      <c r="F354" s="2022">
        <v>-3352.68</v>
      </c>
      <c r="G354" s="2022">
        <v>413116.26</v>
      </c>
      <c r="H354" s="2022">
        <v>0</v>
      </c>
      <c r="I354" s="2022">
        <f t="shared" si="5"/>
        <v>413116.26</v>
      </c>
    </row>
    <row r="355" spans="1:9" x14ac:dyDescent="0.2">
      <c r="A355" t="s">
        <v>5491</v>
      </c>
      <c r="B355" t="s">
        <v>6004</v>
      </c>
      <c r="C355" s="2022">
        <v>43782.75</v>
      </c>
      <c r="D355" s="2022">
        <v>0</v>
      </c>
      <c r="E355" s="2022">
        <v>40051.14</v>
      </c>
      <c r="F355" s="2022">
        <v>0</v>
      </c>
      <c r="G355" s="2022">
        <v>40051.14</v>
      </c>
      <c r="H355" s="2022">
        <v>0</v>
      </c>
      <c r="I355" s="2022">
        <f t="shared" si="5"/>
        <v>40051.14</v>
      </c>
    </row>
    <row r="356" spans="1:9" x14ac:dyDescent="0.2">
      <c r="A356" t="s">
        <v>5492</v>
      </c>
      <c r="B356" t="s">
        <v>6008</v>
      </c>
      <c r="C356" s="2022">
        <v>2500</v>
      </c>
      <c r="D356" s="2022">
        <v>0</v>
      </c>
      <c r="E356" s="2022">
        <v>2500</v>
      </c>
      <c r="F356" s="2022">
        <v>0</v>
      </c>
      <c r="G356" s="2022">
        <v>2500</v>
      </c>
      <c r="H356" s="2022">
        <v>0</v>
      </c>
      <c r="I356" s="2022">
        <f t="shared" si="5"/>
        <v>2500</v>
      </c>
    </row>
    <row r="357" spans="1:9" x14ac:dyDescent="0.2">
      <c r="A357" t="s">
        <v>5493</v>
      </c>
      <c r="B357" t="s">
        <v>6009</v>
      </c>
      <c r="C357" s="2022">
        <v>40000</v>
      </c>
      <c r="D357" s="2022">
        <v>0</v>
      </c>
      <c r="E357" s="2022">
        <v>40000</v>
      </c>
      <c r="F357" s="2022">
        <v>0</v>
      </c>
      <c r="G357" s="2022">
        <v>40000</v>
      </c>
      <c r="H357" s="2022">
        <v>0</v>
      </c>
      <c r="I357" s="2022">
        <f t="shared" si="5"/>
        <v>40000</v>
      </c>
    </row>
    <row r="358" spans="1:9" x14ac:dyDescent="0.2">
      <c r="A358" t="s">
        <v>5494</v>
      </c>
      <c r="B358" t="s">
        <v>6010</v>
      </c>
      <c r="C358" s="2022">
        <v>188.6</v>
      </c>
      <c r="D358" s="2022">
        <v>0</v>
      </c>
      <c r="E358" s="2022">
        <v>188.6</v>
      </c>
      <c r="F358" s="2022">
        <v>0</v>
      </c>
      <c r="G358" s="2022">
        <v>188.6</v>
      </c>
      <c r="H358" s="2022">
        <v>0</v>
      </c>
      <c r="I358" s="2022">
        <f t="shared" si="5"/>
        <v>188.6</v>
      </c>
    </row>
    <row r="359" spans="1:9" x14ac:dyDescent="0.2">
      <c r="A359" t="s">
        <v>5495</v>
      </c>
      <c r="B359" t="s">
        <v>6011</v>
      </c>
      <c r="C359" s="2022">
        <v>6313.58</v>
      </c>
      <c r="D359" s="2022">
        <v>0</v>
      </c>
      <c r="E359" s="2022">
        <v>5236.16</v>
      </c>
      <c r="F359" s="2022">
        <v>0</v>
      </c>
      <c r="G359" s="2022">
        <v>5236.16</v>
      </c>
      <c r="H359" s="2022">
        <v>0</v>
      </c>
      <c r="I359" s="2022">
        <f t="shared" si="5"/>
        <v>5236.16</v>
      </c>
    </row>
    <row r="360" spans="1:9" x14ac:dyDescent="0.2">
      <c r="A360" t="s">
        <v>5497</v>
      </c>
      <c r="B360" t="s">
        <v>6012</v>
      </c>
      <c r="C360" s="2022">
        <v>15961.2</v>
      </c>
      <c r="D360" s="2022">
        <v>0</v>
      </c>
      <c r="E360" s="2022">
        <v>15961.2</v>
      </c>
      <c r="F360" s="2022">
        <v>0</v>
      </c>
      <c r="G360" s="2022">
        <v>15961.2</v>
      </c>
      <c r="H360" s="2022">
        <v>0</v>
      </c>
      <c r="I360" s="2022">
        <f t="shared" si="5"/>
        <v>15961.2</v>
      </c>
    </row>
    <row r="361" spans="1:9" x14ac:dyDescent="0.2">
      <c r="A361" t="s">
        <v>5498</v>
      </c>
      <c r="B361" t="s">
        <v>6013</v>
      </c>
      <c r="C361" s="2022">
        <v>82485.31</v>
      </c>
      <c r="D361" s="2022">
        <v>0</v>
      </c>
      <c r="E361" s="2022">
        <v>82485.31</v>
      </c>
      <c r="F361" s="2022">
        <v>0</v>
      </c>
      <c r="G361" s="2022">
        <v>82485.31</v>
      </c>
      <c r="H361" s="2022">
        <v>0</v>
      </c>
      <c r="I361" s="2022">
        <f t="shared" si="5"/>
        <v>82485.31</v>
      </c>
    </row>
    <row r="362" spans="1:9" x14ac:dyDescent="0.2">
      <c r="A362" t="s">
        <v>5499</v>
      </c>
      <c r="B362" t="s">
        <v>6014</v>
      </c>
      <c r="C362" s="2022">
        <v>4006.38</v>
      </c>
      <c r="D362" s="2022">
        <v>0</v>
      </c>
      <c r="E362" s="2022">
        <v>3669.18</v>
      </c>
      <c r="F362" s="2022">
        <v>0</v>
      </c>
      <c r="G362" s="2022">
        <v>3669.18</v>
      </c>
      <c r="H362" s="2022">
        <v>0</v>
      </c>
      <c r="I362" s="2022">
        <f t="shared" si="5"/>
        <v>3669.18</v>
      </c>
    </row>
    <row r="363" spans="1:9" x14ac:dyDescent="0.2">
      <c r="A363" t="s">
        <v>5504</v>
      </c>
      <c r="B363" t="s">
        <v>6029</v>
      </c>
      <c r="C363" s="2022">
        <v>40000</v>
      </c>
      <c r="D363" s="2022">
        <v>0</v>
      </c>
      <c r="E363" s="2022">
        <v>54610.7</v>
      </c>
      <c r="F363" s="2022">
        <v>0</v>
      </c>
      <c r="G363" s="2022">
        <v>54610.7</v>
      </c>
      <c r="H363" s="2022">
        <v>0</v>
      </c>
      <c r="I363" s="2022">
        <f t="shared" si="5"/>
        <v>54610.7</v>
      </c>
    </row>
    <row r="364" spans="1:9" x14ac:dyDescent="0.2">
      <c r="A364" t="s">
        <v>5505</v>
      </c>
      <c r="B364" t="s">
        <v>6030</v>
      </c>
      <c r="C364" s="2022">
        <v>35000</v>
      </c>
      <c r="D364" s="2022">
        <v>0</v>
      </c>
      <c r="E364" s="2022">
        <v>29969.58</v>
      </c>
      <c r="F364" s="2022">
        <v>0</v>
      </c>
      <c r="G364" s="2022">
        <v>29969.58</v>
      </c>
      <c r="H364" s="2022">
        <v>0</v>
      </c>
      <c r="I364" s="2022">
        <f t="shared" si="5"/>
        <v>29969.58</v>
      </c>
    </row>
    <row r="365" spans="1:9" x14ac:dyDescent="0.2">
      <c r="A365" t="s">
        <v>5508</v>
      </c>
      <c r="B365" t="s">
        <v>6035</v>
      </c>
      <c r="C365" s="2022">
        <v>2993.96</v>
      </c>
      <c r="D365" s="2022">
        <v>0</v>
      </c>
      <c r="E365" s="2022">
        <v>0</v>
      </c>
      <c r="F365" s="2022">
        <v>0</v>
      </c>
      <c r="G365" s="2022">
        <v>0</v>
      </c>
      <c r="H365" s="2022">
        <v>0</v>
      </c>
      <c r="I365" s="2022">
        <f t="shared" si="5"/>
        <v>0</v>
      </c>
    </row>
    <row r="366" spans="1:9" x14ac:dyDescent="0.2">
      <c r="A366" t="s">
        <v>5509</v>
      </c>
      <c r="B366" t="s">
        <v>6036</v>
      </c>
      <c r="C366" s="2022">
        <v>1565.74</v>
      </c>
      <c r="D366" s="2022">
        <v>0</v>
      </c>
      <c r="E366" s="2022">
        <v>0</v>
      </c>
      <c r="F366" s="2022">
        <v>0</v>
      </c>
      <c r="G366" s="2022">
        <v>0</v>
      </c>
      <c r="H366" s="2022">
        <v>0</v>
      </c>
      <c r="I366" s="2022">
        <f t="shared" si="5"/>
        <v>0</v>
      </c>
    </row>
    <row r="367" spans="1:9" x14ac:dyDescent="0.2">
      <c r="A367" t="s">
        <v>5510</v>
      </c>
      <c r="B367" t="s">
        <v>6203</v>
      </c>
      <c r="C367" s="2022">
        <v>-275185.94</v>
      </c>
      <c r="D367" s="2022">
        <v>0</v>
      </c>
      <c r="E367" s="2022">
        <v>4832.6000000000004</v>
      </c>
      <c r="F367" s="2022">
        <v>-325012.8</v>
      </c>
      <c r="G367" s="2022">
        <v>0</v>
      </c>
      <c r="H367" s="2022">
        <v>-320180.2</v>
      </c>
      <c r="I367" s="2022">
        <f t="shared" si="5"/>
        <v>-320180.2</v>
      </c>
    </row>
    <row r="368" spans="1:9" x14ac:dyDescent="0.2">
      <c r="A368" t="s">
        <v>5512</v>
      </c>
      <c r="B368" t="s">
        <v>6204</v>
      </c>
      <c r="C368" s="2022">
        <v>-1000</v>
      </c>
      <c r="D368" s="2022">
        <v>0</v>
      </c>
      <c r="E368" s="2022">
        <v>61.4</v>
      </c>
      <c r="F368" s="2022">
        <v>-500</v>
      </c>
      <c r="G368" s="2022">
        <v>0</v>
      </c>
      <c r="H368" s="2022">
        <v>-438.6</v>
      </c>
      <c r="I368" s="2022">
        <f t="shared" si="5"/>
        <v>-438.6</v>
      </c>
    </row>
    <row r="369" spans="1:9" x14ac:dyDescent="0.2">
      <c r="A369" t="s">
        <v>5514</v>
      </c>
      <c r="B369" t="s">
        <v>6037</v>
      </c>
      <c r="C369" s="2022">
        <v>-407201.11</v>
      </c>
      <c r="D369" s="2022">
        <v>0</v>
      </c>
      <c r="E369" s="2022">
        <v>0</v>
      </c>
      <c r="F369" s="2022">
        <v>0</v>
      </c>
      <c r="G369" s="2022">
        <v>0</v>
      </c>
      <c r="H369" s="2022">
        <v>0</v>
      </c>
      <c r="I369" s="2022">
        <f t="shared" si="5"/>
        <v>0</v>
      </c>
    </row>
    <row r="370" spans="1:9" x14ac:dyDescent="0.2">
      <c r="A370" t="s">
        <v>5515</v>
      </c>
      <c r="B370" t="s">
        <v>5516</v>
      </c>
      <c r="C370" s="2022">
        <v>-2850.39</v>
      </c>
      <c r="D370" s="2022">
        <v>0</v>
      </c>
      <c r="E370" s="2022">
        <v>329.04</v>
      </c>
      <c r="F370" s="2022">
        <v>-2679.2</v>
      </c>
      <c r="G370" s="2022">
        <v>0</v>
      </c>
      <c r="H370" s="2022">
        <v>-2350.16</v>
      </c>
      <c r="I370" s="2022">
        <f t="shared" si="5"/>
        <v>-2350.16</v>
      </c>
    </row>
    <row r="371" spans="1:9" x14ac:dyDescent="0.2">
      <c r="A371" t="s">
        <v>5517</v>
      </c>
      <c r="B371" t="s">
        <v>6003</v>
      </c>
      <c r="C371" s="2022">
        <v>491962.08</v>
      </c>
      <c r="D371" s="2022">
        <v>0</v>
      </c>
      <c r="E371" s="2022">
        <v>499640.4</v>
      </c>
      <c r="F371" s="2022">
        <v>-5345.82</v>
      </c>
      <c r="G371" s="2022">
        <v>494294.58</v>
      </c>
      <c r="H371" s="2022">
        <v>0</v>
      </c>
      <c r="I371" s="2022">
        <f t="shared" si="5"/>
        <v>494294.58</v>
      </c>
    </row>
    <row r="372" spans="1:9" x14ac:dyDescent="0.2">
      <c r="A372" t="s">
        <v>5518</v>
      </c>
      <c r="B372" t="s">
        <v>6004</v>
      </c>
      <c r="C372" s="2022">
        <v>54098.2</v>
      </c>
      <c r="D372" s="2022">
        <v>0</v>
      </c>
      <c r="E372" s="2022">
        <v>43648.25</v>
      </c>
      <c r="F372" s="2022">
        <v>0</v>
      </c>
      <c r="G372" s="2022">
        <v>43648.25</v>
      </c>
      <c r="H372" s="2022">
        <v>0</v>
      </c>
      <c r="I372" s="2022">
        <f t="shared" si="5"/>
        <v>43648.25</v>
      </c>
    </row>
    <row r="373" spans="1:9" x14ac:dyDescent="0.2">
      <c r="A373" t="s">
        <v>5519</v>
      </c>
      <c r="B373" t="s">
        <v>6005</v>
      </c>
      <c r="C373" s="2022">
        <v>6600</v>
      </c>
      <c r="D373" s="2022">
        <v>0</v>
      </c>
      <c r="E373" s="2022">
        <v>6600</v>
      </c>
      <c r="F373" s="2022">
        <v>0</v>
      </c>
      <c r="G373" s="2022">
        <v>6600</v>
      </c>
      <c r="H373" s="2022">
        <v>0</v>
      </c>
      <c r="I373" s="2022">
        <f t="shared" si="5"/>
        <v>6600</v>
      </c>
    </row>
    <row r="374" spans="1:9" x14ac:dyDescent="0.2">
      <c r="A374" t="s">
        <v>5520</v>
      </c>
      <c r="B374" t="s">
        <v>6006</v>
      </c>
      <c r="C374" s="2022">
        <v>2328</v>
      </c>
      <c r="D374" s="2022">
        <v>0</v>
      </c>
      <c r="E374" s="2022">
        <v>2328</v>
      </c>
      <c r="F374" s="2022">
        <v>0</v>
      </c>
      <c r="G374" s="2022">
        <v>2328</v>
      </c>
      <c r="H374" s="2022">
        <v>0</v>
      </c>
      <c r="I374" s="2022">
        <f t="shared" si="5"/>
        <v>2328</v>
      </c>
    </row>
    <row r="375" spans="1:9" x14ac:dyDescent="0.2">
      <c r="A375" t="s">
        <v>5521</v>
      </c>
      <c r="B375" t="s">
        <v>6007</v>
      </c>
      <c r="C375" s="2022">
        <v>79807.95</v>
      </c>
      <c r="D375" s="2022">
        <v>0</v>
      </c>
      <c r="E375" s="2022">
        <v>55247.48</v>
      </c>
      <c r="F375" s="2022">
        <v>0</v>
      </c>
      <c r="G375" s="2022">
        <v>55247.48</v>
      </c>
      <c r="H375" s="2022">
        <v>0</v>
      </c>
      <c r="I375" s="2022">
        <f t="shared" si="5"/>
        <v>55247.48</v>
      </c>
    </row>
    <row r="376" spans="1:9" x14ac:dyDescent="0.2">
      <c r="A376" t="s">
        <v>5522</v>
      </c>
      <c r="B376" t="s">
        <v>6008</v>
      </c>
      <c r="C376" s="2022">
        <v>600</v>
      </c>
      <c r="D376" s="2022">
        <v>0</v>
      </c>
      <c r="E376" s="2022">
        <v>600</v>
      </c>
      <c r="F376" s="2022">
        <v>0</v>
      </c>
      <c r="G376" s="2022">
        <v>600</v>
      </c>
      <c r="H376" s="2022">
        <v>0</v>
      </c>
      <c r="I376" s="2022">
        <f t="shared" si="5"/>
        <v>600</v>
      </c>
    </row>
    <row r="377" spans="1:9" x14ac:dyDescent="0.2">
      <c r="A377" t="s">
        <v>5523</v>
      </c>
      <c r="B377" t="s">
        <v>6009</v>
      </c>
      <c r="C377" s="2022">
        <v>189336.95999999999</v>
      </c>
      <c r="D377" s="2022">
        <v>0</v>
      </c>
      <c r="E377" s="2022">
        <v>189336.95999999999</v>
      </c>
      <c r="F377" s="2022">
        <v>0</v>
      </c>
      <c r="G377" s="2022">
        <v>189336.95999999999</v>
      </c>
      <c r="H377" s="2022">
        <v>0</v>
      </c>
      <c r="I377" s="2022">
        <f t="shared" si="5"/>
        <v>189336.95999999999</v>
      </c>
    </row>
    <row r="378" spans="1:9" x14ac:dyDescent="0.2">
      <c r="A378" t="s">
        <v>5524</v>
      </c>
      <c r="B378" t="s">
        <v>6010</v>
      </c>
      <c r="C378" s="2022">
        <v>246</v>
      </c>
      <c r="D378" s="2022">
        <v>0</v>
      </c>
      <c r="E378" s="2022">
        <v>246</v>
      </c>
      <c r="F378" s="2022">
        <v>0</v>
      </c>
      <c r="G378" s="2022">
        <v>246</v>
      </c>
      <c r="H378" s="2022">
        <v>0</v>
      </c>
      <c r="I378" s="2022">
        <f t="shared" si="5"/>
        <v>246</v>
      </c>
    </row>
    <row r="379" spans="1:9" x14ac:dyDescent="0.2">
      <c r="A379" t="s">
        <v>5525</v>
      </c>
      <c r="B379" t="s">
        <v>6011</v>
      </c>
      <c r="C379" s="2022">
        <v>7530.76</v>
      </c>
      <c r="D379" s="2022">
        <v>0</v>
      </c>
      <c r="E379" s="2022">
        <v>7022.02</v>
      </c>
      <c r="F379" s="2022">
        <v>0</v>
      </c>
      <c r="G379" s="2022">
        <v>7022.02</v>
      </c>
      <c r="H379" s="2022">
        <v>0</v>
      </c>
      <c r="I379" s="2022">
        <f t="shared" si="5"/>
        <v>7022.02</v>
      </c>
    </row>
    <row r="380" spans="1:9" x14ac:dyDescent="0.2">
      <c r="A380" t="s">
        <v>5527</v>
      </c>
      <c r="B380" t="s">
        <v>6012</v>
      </c>
      <c r="C380" s="2022">
        <v>81681.3</v>
      </c>
      <c r="D380" s="2022">
        <v>0</v>
      </c>
      <c r="E380" s="2022">
        <v>81519.3</v>
      </c>
      <c r="F380" s="2022">
        <v>0</v>
      </c>
      <c r="G380" s="2022">
        <v>81519.3</v>
      </c>
      <c r="H380" s="2022">
        <v>0</v>
      </c>
      <c r="I380" s="2022">
        <f t="shared" si="5"/>
        <v>81519.3</v>
      </c>
    </row>
    <row r="381" spans="1:9" x14ac:dyDescent="0.2">
      <c r="A381" t="s">
        <v>5528</v>
      </c>
      <c r="B381" t="s">
        <v>6013</v>
      </c>
      <c r="C381" s="2022">
        <v>99513.66</v>
      </c>
      <c r="D381" s="2022">
        <v>0</v>
      </c>
      <c r="E381" s="2022">
        <v>99513.66</v>
      </c>
      <c r="F381" s="2022">
        <v>0</v>
      </c>
      <c r="G381" s="2022">
        <v>99513.66</v>
      </c>
      <c r="H381" s="2022">
        <v>0</v>
      </c>
      <c r="I381" s="2022">
        <f t="shared" si="5"/>
        <v>99513.66</v>
      </c>
    </row>
    <row r="382" spans="1:9" x14ac:dyDescent="0.2">
      <c r="A382" t="s">
        <v>5529</v>
      </c>
      <c r="B382" t="s">
        <v>6014</v>
      </c>
      <c r="C382" s="2022">
        <v>6558.41</v>
      </c>
      <c r="D382" s="2022">
        <v>0</v>
      </c>
      <c r="E382" s="2022">
        <v>5908.92</v>
      </c>
      <c r="F382" s="2022">
        <v>0</v>
      </c>
      <c r="G382" s="2022">
        <v>5908.92</v>
      </c>
      <c r="H382" s="2022">
        <v>0</v>
      </c>
      <c r="I382" s="2022">
        <f t="shared" si="5"/>
        <v>5908.92</v>
      </c>
    </row>
    <row r="383" spans="1:9" x14ac:dyDescent="0.2">
      <c r="A383" t="s">
        <v>5538</v>
      </c>
      <c r="B383" t="s">
        <v>6029</v>
      </c>
      <c r="C383" s="2022">
        <v>45000</v>
      </c>
      <c r="D383" s="2022">
        <v>0</v>
      </c>
      <c r="E383" s="2022">
        <v>93152.16</v>
      </c>
      <c r="F383" s="2022">
        <v>0</v>
      </c>
      <c r="G383" s="2022">
        <v>93152.16</v>
      </c>
      <c r="H383" s="2022">
        <v>0</v>
      </c>
      <c r="I383" s="2022">
        <f t="shared" si="5"/>
        <v>93152.16</v>
      </c>
    </row>
    <row r="384" spans="1:9" x14ac:dyDescent="0.2">
      <c r="A384" t="s">
        <v>5544</v>
      </c>
      <c r="B384" t="s">
        <v>6041</v>
      </c>
      <c r="C384" s="2022">
        <v>30000</v>
      </c>
      <c r="D384" s="2022">
        <v>0</v>
      </c>
      <c r="E384" s="2022">
        <v>11400</v>
      </c>
      <c r="F384" s="2022">
        <v>-5700</v>
      </c>
      <c r="G384" s="2022">
        <v>5700</v>
      </c>
      <c r="H384" s="2022">
        <v>0</v>
      </c>
      <c r="I384" s="2022">
        <f t="shared" si="5"/>
        <v>5700</v>
      </c>
    </row>
    <row r="385" spans="1:9" x14ac:dyDescent="0.2">
      <c r="A385" t="s">
        <v>5545</v>
      </c>
      <c r="B385" t="s">
        <v>6205</v>
      </c>
      <c r="C385" s="2022">
        <v>0</v>
      </c>
      <c r="D385" s="2022">
        <v>0</v>
      </c>
      <c r="E385" s="2022">
        <v>6540</v>
      </c>
      <c r="F385" s="2022">
        <v>0</v>
      </c>
      <c r="G385" s="2022">
        <v>6540</v>
      </c>
      <c r="H385" s="2022">
        <v>0</v>
      </c>
      <c r="I385" s="2022">
        <f t="shared" si="5"/>
        <v>6540</v>
      </c>
    </row>
    <row r="386" spans="1:9" x14ac:dyDescent="0.2">
      <c r="A386" t="s">
        <v>5546</v>
      </c>
      <c r="B386" t="s">
        <v>6206</v>
      </c>
      <c r="C386" s="2022">
        <v>59116.59</v>
      </c>
      <c r="D386" s="2022">
        <v>0</v>
      </c>
      <c r="E386" s="2022">
        <v>0</v>
      </c>
      <c r="F386" s="2022">
        <v>0</v>
      </c>
      <c r="G386" s="2022">
        <v>0</v>
      </c>
      <c r="H386" s="2022">
        <v>0</v>
      </c>
      <c r="I386" s="2022">
        <f t="shared" si="5"/>
        <v>0</v>
      </c>
    </row>
    <row r="387" spans="1:9" x14ac:dyDescent="0.2">
      <c r="A387" t="s">
        <v>5547</v>
      </c>
      <c r="B387" t="s">
        <v>6035</v>
      </c>
      <c r="C387" s="2022">
        <v>4885.22</v>
      </c>
      <c r="D387" s="2022">
        <v>0</v>
      </c>
      <c r="E387" s="2022">
        <v>0</v>
      </c>
      <c r="F387" s="2022">
        <v>0</v>
      </c>
      <c r="G387" s="2022">
        <v>0</v>
      </c>
      <c r="H387" s="2022">
        <v>0</v>
      </c>
      <c r="I387" s="2022">
        <f t="shared" ref="I387:I450" si="6">G387+H387</f>
        <v>0</v>
      </c>
    </row>
    <row r="388" spans="1:9" x14ac:dyDescent="0.2">
      <c r="A388" t="s">
        <v>5548</v>
      </c>
      <c r="B388" t="s">
        <v>6036</v>
      </c>
      <c r="C388" s="2022">
        <v>4671.37</v>
      </c>
      <c r="D388" s="2022">
        <v>0</v>
      </c>
      <c r="E388" s="2022">
        <v>0</v>
      </c>
      <c r="F388" s="2022">
        <v>0</v>
      </c>
      <c r="G388" s="2022">
        <v>0</v>
      </c>
      <c r="H388" s="2022">
        <v>0</v>
      </c>
      <c r="I388" s="2022">
        <f t="shared" si="6"/>
        <v>0</v>
      </c>
    </row>
    <row r="389" spans="1:9" x14ac:dyDescent="0.2">
      <c r="A389" t="s">
        <v>5549</v>
      </c>
      <c r="B389" t="s">
        <v>6207</v>
      </c>
      <c r="C389" s="2022">
        <v>-50000</v>
      </c>
      <c r="D389" s="2022">
        <v>0</v>
      </c>
      <c r="E389" s="2022">
        <v>0</v>
      </c>
      <c r="F389" s="2022">
        <v>-157143</v>
      </c>
      <c r="G389" s="2022">
        <v>0</v>
      </c>
      <c r="H389" s="2022">
        <v>-157143</v>
      </c>
      <c r="I389" s="2022">
        <f t="shared" si="6"/>
        <v>-157143</v>
      </c>
    </row>
    <row r="390" spans="1:9" x14ac:dyDescent="0.2">
      <c r="A390" t="s">
        <v>5550</v>
      </c>
      <c r="B390" t="s">
        <v>6037</v>
      </c>
      <c r="C390" s="2022">
        <v>-1113936.5</v>
      </c>
      <c r="D390" s="2022">
        <v>0</v>
      </c>
      <c r="E390" s="2022">
        <v>0</v>
      </c>
      <c r="F390" s="2022">
        <v>0</v>
      </c>
      <c r="G390" s="2022">
        <v>0</v>
      </c>
      <c r="H390" s="2022">
        <v>0</v>
      </c>
      <c r="I390" s="2022">
        <f t="shared" si="6"/>
        <v>0</v>
      </c>
    </row>
    <row r="391" spans="1:9" x14ac:dyDescent="0.2">
      <c r="A391" t="s">
        <v>5565</v>
      </c>
      <c r="B391" t="s">
        <v>6003</v>
      </c>
      <c r="C391" s="2022">
        <v>118961.97</v>
      </c>
      <c r="D391" s="2022">
        <v>0</v>
      </c>
      <c r="E391" s="2022">
        <v>118961.97</v>
      </c>
      <c r="F391" s="2022">
        <v>0</v>
      </c>
      <c r="G391" s="2022">
        <v>118961.97</v>
      </c>
      <c r="H391" s="2022">
        <v>0</v>
      </c>
      <c r="I391" s="2022">
        <f t="shared" si="6"/>
        <v>118961.97</v>
      </c>
    </row>
    <row r="392" spans="1:9" x14ac:dyDescent="0.2">
      <c r="A392" t="s">
        <v>5566</v>
      </c>
      <c r="B392" t="s">
        <v>6004</v>
      </c>
      <c r="C392" s="2022">
        <v>9786.93</v>
      </c>
      <c r="D392" s="2022">
        <v>0</v>
      </c>
      <c r="E392" s="2022">
        <v>9513.09</v>
      </c>
      <c r="F392" s="2022">
        <v>0</v>
      </c>
      <c r="G392" s="2022">
        <v>9513.09</v>
      </c>
      <c r="H392" s="2022">
        <v>0</v>
      </c>
      <c r="I392" s="2022">
        <f t="shared" si="6"/>
        <v>9513.09</v>
      </c>
    </row>
    <row r="393" spans="1:9" x14ac:dyDescent="0.2">
      <c r="A393" t="s">
        <v>5567</v>
      </c>
      <c r="B393" t="s">
        <v>6007</v>
      </c>
      <c r="C393" s="2022">
        <v>500</v>
      </c>
      <c r="D393" s="2022">
        <v>0</v>
      </c>
      <c r="E393" s="2022">
        <v>1525.69</v>
      </c>
      <c r="F393" s="2022">
        <v>0</v>
      </c>
      <c r="G393" s="2022">
        <v>1525.69</v>
      </c>
      <c r="H393" s="2022">
        <v>0</v>
      </c>
      <c r="I393" s="2022">
        <f t="shared" si="6"/>
        <v>1525.69</v>
      </c>
    </row>
    <row r="394" spans="1:9" x14ac:dyDescent="0.2">
      <c r="A394" t="s">
        <v>5569</v>
      </c>
      <c r="B394" t="s">
        <v>6010</v>
      </c>
      <c r="C394" s="2022">
        <v>98.4</v>
      </c>
      <c r="D394" s="2022">
        <v>0</v>
      </c>
      <c r="E394" s="2022">
        <v>98.4</v>
      </c>
      <c r="F394" s="2022">
        <v>0</v>
      </c>
      <c r="G394" s="2022">
        <v>98.4</v>
      </c>
      <c r="H394" s="2022">
        <v>0</v>
      </c>
      <c r="I394" s="2022">
        <f t="shared" si="6"/>
        <v>98.4</v>
      </c>
    </row>
    <row r="395" spans="1:9" x14ac:dyDescent="0.2">
      <c r="A395" t="s">
        <v>5570</v>
      </c>
      <c r="B395" t="s">
        <v>6011</v>
      </c>
      <c r="C395" s="2022">
        <v>1417.54</v>
      </c>
      <c r="D395" s="2022">
        <v>0</v>
      </c>
      <c r="E395" s="2022">
        <v>1255.57</v>
      </c>
      <c r="F395" s="2022">
        <v>0</v>
      </c>
      <c r="G395" s="2022">
        <v>1255.57</v>
      </c>
      <c r="H395" s="2022">
        <v>0</v>
      </c>
      <c r="I395" s="2022">
        <f t="shared" si="6"/>
        <v>1255.57</v>
      </c>
    </row>
    <row r="396" spans="1:9" x14ac:dyDescent="0.2">
      <c r="A396" t="s">
        <v>5573</v>
      </c>
      <c r="B396" t="s">
        <v>6013</v>
      </c>
      <c r="C396" s="2022">
        <v>22523.55</v>
      </c>
      <c r="D396" s="2022">
        <v>0</v>
      </c>
      <c r="E396" s="2022">
        <v>22523.55</v>
      </c>
      <c r="F396" s="2022">
        <v>0</v>
      </c>
      <c r="G396" s="2022">
        <v>22523.55</v>
      </c>
      <c r="H396" s="2022">
        <v>0</v>
      </c>
      <c r="I396" s="2022">
        <f t="shared" si="6"/>
        <v>22523.55</v>
      </c>
    </row>
    <row r="397" spans="1:9" x14ac:dyDescent="0.2">
      <c r="A397" t="s">
        <v>5574</v>
      </c>
      <c r="B397" t="s">
        <v>6014</v>
      </c>
      <c r="C397" s="2022">
        <v>1470.1</v>
      </c>
      <c r="D397" s="2022">
        <v>0</v>
      </c>
      <c r="E397" s="2022">
        <v>1300</v>
      </c>
      <c r="F397" s="2022">
        <v>0</v>
      </c>
      <c r="G397" s="2022">
        <v>1300</v>
      </c>
      <c r="H397" s="2022">
        <v>0</v>
      </c>
      <c r="I397" s="2022">
        <f t="shared" si="6"/>
        <v>1300</v>
      </c>
    </row>
    <row r="398" spans="1:9" x14ac:dyDescent="0.2">
      <c r="A398" t="s">
        <v>5581</v>
      </c>
      <c r="B398" t="s">
        <v>6177</v>
      </c>
      <c r="C398" s="2022">
        <v>31529.7</v>
      </c>
      <c r="D398" s="2022">
        <v>0</v>
      </c>
      <c r="E398" s="2022">
        <v>0</v>
      </c>
      <c r="F398" s="2022">
        <v>0</v>
      </c>
      <c r="G398" s="2022">
        <v>0</v>
      </c>
      <c r="H398" s="2022">
        <v>0</v>
      </c>
      <c r="I398" s="2022">
        <f t="shared" si="6"/>
        <v>0</v>
      </c>
    </row>
    <row r="399" spans="1:9" x14ac:dyDescent="0.2">
      <c r="A399" t="s">
        <v>5582</v>
      </c>
      <c r="B399" t="s">
        <v>6035</v>
      </c>
      <c r="C399" s="2022">
        <v>1300.1600000000001</v>
      </c>
      <c r="D399" s="2022">
        <v>0</v>
      </c>
      <c r="E399" s="2022">
        <v>0</v>
      </c>
      <c r="F399" s="2022">
        <v>0</v>
      </c>
      <c r="G399" s="2022">
        <v>0</v>
      </c>
      <c r="H399" s="2022">
        <v>0</v>
      </c>
      <c r="I399" s="2022">
        <f t="shared" si="6"/>
        <v>0</v>
      </c>
    </row>
    <row r="400" spans="1:9" x14ac:dyDescent="0.2">
      <c r="A400" t="s">
        <v>5583</v>
      </c>
      <c r="B400" t="s">
        <v>6036</v>
      </c>
      <c r="C400" s="2022">
        <v>2059.6799999999998</v>
      </c>
      <c r="D400" s="2022">
        <v>0</v>
      </c>
      <c r="E400" s="2022">
        <v>0</v>
      </c>
      <c r="F400" s="2022">
        <v>0</v>
      </c>
      <c r="G400" s="2022">
        <v>0</v>
      </c>
      <c r="H400" s="2022">
        <v>0</v>
      </c>
      <c r="I400" s="2022">
        <f t="shared" si="6"/>
        <v>0</v>
      </c>
    </row>
    <row r="401" spans="1:9" x14ac:dyDescent="0.2">
      <c r="A401" t="s">
        <v>5584</v>
      </c>
      <c r="B401" t="s">
        <v>6037</v>
      </c>
      <c r="C401" s="2022">
        <v>-185105.96</v>
      </c>
      <c r="D401" s="2022">
        <v>0</v>
      </c>
      <c r="E401" s="2022">
        <v>0</v>
      </c>
      <c r="F401" s="2022">
        <v>0</v>
      </c>
      <c r="G401" s="2022">
        <v>0</v>
      </c>
      <c r="H401" s="2022">
        <v>0</v>
      </c>
      <c r="I401" s="2022">
        <f t="shared" si="6"/>
        <v>0</v>
      </c>
    </row>
    <row r="402" spans="1:9" x14ac:dyDescent="0.2">
      <c r="A402" t="s">
        <v>5586</v>
      </c>
      <c r="B402" t="s">
        <v>6208</v>
      </c>
      <c r="C402" s="2022">
        <v>-4542.07</v>
      </c>
      <c r="D402" s="2022">
        <v>0</v>
      </c>
      <c r="E402" s="2022">
        <v>165.93</v>
      </c>
      <c r="F402" s="2022">
        <v>-1337.2</v>
      </c>
      <c r="G402" s="2022">
        <v>0</v>
      </c>
      <c r="H402" s="2022">
        <v>-1171.27</v>
      </c>
      <c r="I402" s="2022">
        <f t="shared" si="6"/>
        <v>-1171.27</v>
      </c>
    </row>
    <row r="403" spans="1:9" x14ac:dyDescent="0.2">
      <c r="A403" t="s">
        <v>5587</v>
      </c>
      <c r="B403" t="s">
        <v>6209</v>
      </c>
      <c r="C403" s="2022">
        <v>793707.59</v>
      </c>
      <c r="D403" s="2022">
        <v>0</v>
      </c>
      <c r="E403" s="2022">
        <v>772147.63</v>
      </c>
      <c r="F403" s="2022">
        <v>-10954.38</v>
      </c>
      <c r="G403" s="2022">
        <v>761193.25</v>
      </c>
      <c r="H403" s="2022">
        <v>0</v>
      </c>
      <c r="I403" s="2022">
        <f t="shared" si="6"/>
        <v>761193.25</v>
      </c>
    </row>
    <row r="404" spans="1:9" x14ac:dyDescent="0.2">
      <c r="A404" t="s">
        <v>5588</v>
      </c>
      <c r="B404" t="s">
        <v>6210</v>
      </c>
      <c r="C404" s="2022">
        <v>295540.87</v>
      </c>
      <c r="D404" s="2022">
        <v>0</v>
      </c>
      <c r="E404" s="2022">
        <v>296312.09000000003</v>
      </c>
      <c r="F404" s="2022">
        <v>-4457.9399999999996</v>
      </c>
      <c r="G404" s="2022">
        <v>291854.15000000002</v>
      </c>
      <c r="H404" s="2022">
        <v>0</v>
      </c>
      <c r="I404" s="2022">
        <f t="shared" si="6"/>
        <v>291854.15000000002</v>
      </c>
    </row>
    <row r="405" spans="1:9" x14ac:dyDescent="0.2">
      <c r="A405" t="s">
        <v>5589</v>
      </c>
      <c r="B405" t="s">
        <v>6211</v>
      </c>
      <c r="C405" s="2022">
        <v>72305.08</v>
      </c>
      <c r="D405" s="2022">
        <v>0</v>
      </c>
      <c r="E405" s="2022">
        <v>69184.06</v>
      </c>
      <c r="F405" s="2022">
        <v>0</v>
      </c>
      <c r="G405" s="2022">
        <v>69184.06</v>
      </c>
      <c r="H405" s="2022">
        <v>0</v>
      </c>
      <c r="I405" s="2022">
        <f t="shared" si="6"/>
        <v>69184.06</v>
      </c>
    </row>
    <row r="406" spans="1:9" x14ac:dyDescent="0.2">
      <c r="A406" t="s">
        <v>5590</v>
      </c>
      <c r="B406" t="s">
        <v>6212</v>
      </c>
      <c r="C406" s="2022">
        <v>24604.66</v>
      </c>
      <c r="D406" s="2022">
        <v>0</v>
      </c>
      <c r="E406" s="2022">
        <v>25045.45</v>
      </c>
      <c r="F406" s="2022">
        <v>0</v>
      </c>
      <c r="G406" s="2022">
        <v>25045.45</v>
      </c>
      <c r="H406" s="2022">
        <v>0</v>
      </c>
      <c r="I406" s="2022">
        <f t="shared" si="6"/>
        <v>25045.45</v>
      </c>
    </row>
    <row r="407" spans="1:9" x14ac:dyDescent="0.2">
      <c r="A407" t="s">
        <v>5592</v>
      </c>
      <c r="B407" t="s">
        <v>6213</v>
      </c>
      <c r="C407" s="2022">
        <v>5367.12</v>
      </c>
      <c r="D407" s="2022">
        <v>0</v>
      </c>
      <c r="E407" s="2022">
        <v>5367.12</v>
      </c>
      <c r="F407" s="2022">
        <v>0</v>
      </c>
      <c r="G407" s="2022">
        <v>5367.12</v>
      </c>
      <c r="H407" s="2022">
        <v>0</v>
      </c>
      <c r="I407" s="2022">
        <f t="shared" si="6"/>
        <v>5367.12</v>
      </c>
    </row>
    <row r="408" spans="1:9" x14ac:dyDescent="0.2">
      <c r="A408" t="s">
        <v>5594</v>
      </c>
      <c r="B408" t="s">
        <v>6214</v>
      </c>
      <c r="C408" s="2022">
        <v>100080.04</v>
      </c>
      <c r="D408" s="2022">
        <v>0</v>
      </c>
      <c r="E408" s="2022">
        <v>69656.789999999994</v>
      </c>
      <c r="F408" s="2022">
        <v>0</v>
      </c>
      <c r="G408" s="2022">
        <v>69656.789999999994</v>
      </c>
      <c r="H408" s="2022">
        <v>0</v>
      </c>
      <c r="I408" s="2022">
        <f t="shared" si="6"/>
        <v>69656.789999999994</v>
      </c>
    </row>
    <row r="409" spans="1:9" x14ac:dyDescent="0.2">
      <c r="A409" t="s">
        <v>5595</v>
      </c>
      <c r="B409" t="s">
        <v>6215</v>
      </c>
      <c r="C409" s="2022">
        <v>3841.53</v>
      </c>
      <c r="D409" s="2022">
        <v>0</v>
      </c>
      <c r="E409" s="2022">
        <v>833.99</v>
      </c>
      <c r="F409" s="2022">
        <v>0</v>
      </c>
      <c r="G409" s="2022">
        <v>833.99</v>
      </c>
      <c r="H409" s="2022">
        <v>0</v>
      </c>
      <c r="I409" s="2022">
        <f t="shared" si="6"/>
        <v>833.99</v>
      </c>
    </row>
    <row r="410" spans="1:9" x14ac:dyDescent="0.2">
      <c r="A410" t="s">
        <v>5596</v>
      </c>
      <c r="B410" t="s">
        <v>6216</v>
      </c>
      <c r="C410" s="2022">
        <v>6182.35</v>
      </c>
      <c r="D410" s="2022">
        <v>0</v>
      </c>
      <c r="E410" s="2022">
        <v>6182.35</v>
      </c>
      <c r="F410" s="2022">
        <v>0</v>
      </c>
      <c r="G410" s="2022">
        <v>6182.35</v>
      </c>
      <c r="H410" s="2022">
        <v>0</v>
      </c>
      <c r="I410" s="2022">
        <f t="shared" si="6"/>
        <v>6182.35</v>
      </c>
    </row>
    <row r="411" spans="1:9" x14ac:dyDescent="0.2">
      <c r="A411" t="s">
        <v>5599</v>
      </c>
      <c r="B411" t="s">
        <v>6217</v>
      </c>
      <c r="C411" s="2022">
        <v>561.70000000000005</v>
      </c>
      <c r="D411" s="2022">
        <v>0</v>
      </c>
      <c r="E411" s="2022">
        <v>533</v>
      </c>
      <c r="F411" s="2022">
        <v>0</v>
      </c>
      <c r="G411" s="2022">
        <v>533</v>
      </c>
      <c r="H411" s="2022">
        <v>0</v>
      </c>
      <c r="I411" s="2022">
        <f t="shared" si="6"/>
        <v>533</v>
      </c>
    </row>
    <row r="412" spans="1:9" x14ac:dyDescent="0.2">
      <c r="A412" t="s">
        <v>5600</v>
      </c>
      <c r="B412" t="s">
        <v>6218</v>
      </c>
      <c r="C412" s="2022">
        <v>225.5</v>
      </c>
      <c r="D412" s="2022">
        <v>0</v>
      </c>
      <c r="E412" s="2022">
        <v>221.4</v>
      </c>
      <c r="F412" s="2022">
        <v>0</v>
      </c>
      <c r="G412" s="2022">
        <v>221.4</v>
      </c>
      <c r="H412" s="2022">
        <v>0</v>
      </c>
      <c r="I412" s="2022">
        <f t="shared" si="6"/>
        <v>221.4</v>
      </c>
    </row>
    <row r="413" spans="1:9" x14ac:dyDescent="0.2">
      <c r="A413" t="s">
        <v>5601</v>
      </c>
      <c r="B413" t="s">
        <v>6219</v>
      </c>
      <c r="C413" s="2022">
        <v>10663.63</v>
      </c>
      <c r="D413" s="2022">
        <v>0</v>
      </c>
      <c r="E413" s="2022">
        <v>9076.34</v>
      </c>
      <c r="F413" s="2022">
        <v>0</v>
      </c>
      <c r="G413" s="2022">
        <v>9076.34</v>
      </c>
      <c r="H413" s="2022">
        <v>0</v>
      </c>
      <c r="I413" s="2022">
        <f t="shared" si="6"/>
        <v>9076.34</v>
      </c>
    </row>
    <row r="414" spans="1:9" x14ac:dyDescent="0.2">
      <c r="A414" t="s">
        <v>5602</v>
      </c>
      <c r="B414" t="s">
        <v>6220</v>
      </c>
      <c r="C414" s="2022">
        <v>4953.75</v>
      </c>
      <c r="D414" s="2022">
        <v>0</v>
      </c>
      <c r="E414" s="2022">
        <v>3002.56</v>
      </c>
      <c r="F414" s="2022">
        <v>0</v>
      </c>
      <c r="G414" s="2022">
        <v>3002.56</v>
      </c>
      <c r="H414" s="2022">
        <v>0</v>
      </c>
      <c r="I414" s="2022">
        <f t="shared" si="6"/>
        <v>3002.56</v>
      </c>
    </row>
    <row r="415" spans="1:9" x14ac:dyDescent="0.2">
      <c r="A415" t="s">
        <v>5605</v>
      </c>
      <c r="B415" t="s">
        <v>6221</v>
      </c>
      <c r="C415" s="2022">
        <v>51606</v>
      </c>
      <c r="D415" s="2022">
        <v>0</v>
      </c>
      <c r="E415" s="2022">
        <v>52092</v>
      </c>
      <c r="F415" s="2022">
        <v>0</v>
      </c>
      <c r="G415" s="2022">
        <v>52092</v>
      </c>
      <c r="H415" s="2022">
        <v>0</v>
      </c>
      <c r="I415" s="2022">
        <f t="shared" si="6"/>
        <v>52092</v>
      </c>
    </row>
    <row r="416" spans="1:9" x14ac:dyDescent="0.2">
      <c r="A416" t="s">
        <v>5606</v>
      </c>
      <c r="B416" t="s">
        <v>6222</v>
      </c>
      <c r="C416" s="2022">
        <v>7930.8</v>
      </c>
      <c r="D416" s="2022">
        <v>0</v>
      </c>
      <c r="E416" s="2022">
        <v>7930.8</v>
      </c>
      <c r="F416" s="2022">
        <v>0</v>
      </c>
      <c r="G416" s="2022">
        <v>7930.8</v>
      </c>
      <c r="H416" s="2022">
        <v>0</v>
      </c>
      <c r="I416" s="2022">
        <f t="shared" si="6"/>
        <v>7930.8</v>
      </c>
    </row>
    <row r="417" spans="1:9" x14ac:dyDescent="0.2">
      <c r="A417" t="s">
        <v>5607</v>
      </c>
      <c r="B417" t="s">
        <v>6223</v>
      </c>
      <c r="C417" s="2022">
        <v>141008.57999999999</v>
      </c>
      <c r="D417" s="2022">
        <v>0</v>
      </c>
      <c r="E417" s="2022">
        <v>135306.48000000001</v>
      </c>
      <c r="F417" s="2022">
        <v>0</v>
      </c>
      <c r="G417" s="2022">
        <v>135306.48000000001</v>
      </c>
      <c r="H417" s="2022">
        <v>0</v>
      </c>
      <c r="I417" s="2022">
        <f t="shared" si="6"/>
        <v>135306.48000000001</v>
      </c>
    </row>
    <row r="418" spans="1:9" x14ac:dyDescent="0.2">
      <c r="A418" t="s">
        <v>5608</v>
      </c>
      <c r="B418" t="s">
        <v>6224</v>
      </c>
      <c r="C418" s="2022">
        <v>58347.24</v>
      </c>
      <c r="D418" s="2022">
        <v>0</v>
      </c>
      <c r="E418" s="2022">
        <v>57442.1</v>
      </c>
      <c r="F418" s="2022">
        <v>0</v>
      </c>
      <c r="G418" s="2022">
        <v>57442.1</v>
      </c>
      <c r="H418" s="2022">
        <v>0</v>
      </c>
      <c r="I418" s="2022">
        <f t="shared" si="6"/>
        <v>57442.1</v>
      </c>
    </row>
    <row r="419" spans="1:9" x14ac:dyDescent="0.2">
      <c r="A419" t="s">
        <v>5609</v>
      </c>
      <c r="B419" t="s">
        <v>6225</v>
      </c>
      <c r="C419" s="2022">
        <v>10700.56</v>
      </c>
      <c r="D419" s="2022">
        <v>0</v>
      </c>
      <c r="E419" s="2022">
        <v>8756.4</v>
      </c>
      <c r="F419" s="2022">
        <v>0</v>
      </c>
      <c r="G419" s="2022">
        <v>8756.4</v>
      </c>
      <c r="H419" s="2022">
        <v>0</v>
      </c>
      <c r="I419" s="2022">
        <f t="shared" si="6"/>
        <v>8756.4</v>
      </c>
    </row>
    <row r="420" spans="1:9" x14ac:dyDescent="0.2">
      <c r="A420" t="s">
        <v>5610</v>
      </c>
      <c r="B420" t="s">
        <v>6226</v>
      </c>
      <c r="C420" s="2022">
        <v>5090.82</v>
      </c>
      <c r="D420" s="2022">
        <v>0</v>
      </c>
      <c r="E420" s="2022">
        <v>3229.3</v>
      </c>
      <c r="F420" s="2022">
        <v>0</v>
      </c>
      <c r="G420" s="2022">
        <v>3229.3</v>
      </c>
      <c r="H420" s="2022">
        <v>0</v>
      </c>
      <c r="I420" s="2022">
        <f t="shared" si="6"/>
        <v>3229.3</v>
      </c>
    </row>
    <row r="421" spans="1:9" x14ac:dyDescent="0.2">
      <c r="A421" t="s">
        <v>5617</v>
      </c>
      <c r="B421" t="s">
        <v>6227</v>
      </c>
      <c r="C421" s="2022">
        <v>50000</v>
      </c>
      <c r="D421" s="2022">
        <v>0</v>
      </c>
      <c r="E421" s="2022">
        <v>25014.75</v>
      </c>
      <c r="F421" s="2022">
        <v>0</v>
      </c>
      <c r="G421" s="2022">
        <v>25014.75</v>
      </c>
      <c r="H421" s="2022">
        <v>0</v>
      </c>
      <c r="I421" s="2022">
        <f t="shared" si="6"/>
        <v>25014.75</v>
      </c>
    </row>
    <row r="422" spans="1:9" x14ac:dyDescent="0.2">
      <c r="A422" t="s">
        <v>5626</v>
      </c>
      <c r="B422" t="s">
        <v>6228</v>
      </c>
      <c r="C422" s="2022">
        <v>8689.59</v>
      </c>
      <c r="D422" s="2022">
        <v>0</v>
      </c>
      <c r="E422" s="2022">
        <v>2314.9699999999998</v>
      </c>
      <c r="F422" s="2022">
        <v>-286.99</v>
      </c>
      <c r="G422" s="2022">
        <v>2027.98</v>
      </c>
      <c r="H422" s="2022">
        <v>0</v>
      </c>
      <c r="I422" s="2022">
        <f t="shared" si="6"/>
        <v>2027.98</v>
      </c>
    </row>
    <row r="423" spans="1:9" x14ac:dyDescent="0.2">
      <c r="A423" t="s">
        <v>5627</v>
      </c>
      <c r="B423" t="s">
        <v>6229</v>
      </c>
      <c r="C423" s="2022">
        <v>14875.65</v>
      </c>
      <c r="D423" s="2022">
        <v>0</v>
      </c>
      <c r="E423" s="2022">
        <v>4360.7700000000004</v>
      </c>
      <c r="F423" s="2022">
        <v>0</v>
      </c>
      <c r="G423" s="2022">
        <v>4360.7700000000004</v>
      </c>
      <c r="H423" s="2022">
        <v>0</v>
      </c>
      <c r="I423" s="2022">
        <f t="shared" si="6"/>
        <v>4360.7700000000004</v>
      </c>
    </row>
    <row r="424" spans="1:9" x14ac:dyDescent="0.2">
      <c r="A424" t="s">
        <v>5629</v>
      </c>
      <c r="B424" t="s">
        <v>6230</v>
      </c>
      <c r="C424" s="2022">
        <v>1273.6600000000001</v>
      </c>
      <c r="D424" s="2022">
        <v>0</v>
      </c>
      <c r="E424" s="2022">
        <v>1273.6600000000001</v>
      </c>
      <c r="F424" s="2022">
        <v>0</v>
      </c>
      <c r="G424" s="2022">
        <v>1273.6600000000001</v>
      </c>
      <c r="H424" s="2022">
        <v>0</v>
      </c>
      <c r="I424" s="2022">
        <f t="shared" si="6"/>
        <v>1273.6600000000001</v>
      </c>
    </row>
    <row r="425" spans="1:9" x14ac:dyDescent="0.2">
      <c r="A425" t="s">
        <v>5630</v>
      </c>
      <c r="B425" t="s">
        <v>5171</v>
      </c>
      <c r="C425" s="2022">
        <v>0</v>
      </c>
      <c r="D425" s="2022">
        <v>0</v>
      </c>
      <c r="E425" s="2022">
        <v>1913.36</v>
      </c>
      <c r="F425" s="2022">
        <v>0</v>
      </c>
      <c r="G425" s="2022">
        <v>1913.36</v>
      </c>
      <c r="H425" s="2022">
        <v>0</v>
      </c>
      <c r="I425" s="2022">
        <f t="shared" si="6"/>
        <v>1913.36</v>
      </c>
    </row>
    <row r="426" spans="1:9" x14ac:dyDescent="0.2">
      <c r="A426" t="s">
        <v>5631</v>
      </c>
      <c r="B426" t="s">
        <v>6094</v>
      </c>
      <c r="C426" s="2022">
        <v>4004</v>
      </c>
      <c r="D426" s="2022">
        <v>0</v>
      </c>
      <c r="E426" s="2022">
        <v>0</v>
      </c>
      <c r="F426" s="2022">
        <v>0</v>
      </c>
      <c r="G426" s="2022">
        <v>0</v>
      </c>
      <c r="H426" s="2022">
        <v>0</v>
      </c>
      <c r="I426" s="2022">
        <f t="shared" si="6"/>
        <v>0</v>
      </c>
    </row>
    <row r="427" spans="1:9" x14ac:dyDescent="0.2">
      <c r="A427" t="s">
        <v>5633</v>
      </c>
      <c r="B427" t="s">
        <v>6231</v>
      </c>
      <c r="C427" s="2022">
        <v>45841.58</v>
      </c>
      <c r="D427" s="2022">
        <v>0</v>
      </c>
      <c r="E427" s="2022">
        <v>0</v>
      </c>
      <c r="F427" s="2022">
        <v>0</v>
      </c>
      <c r="G427" s="2022">
        <v>0</v>
      </c>
      <c r="H427" s="2022">
        <v>0</v>
      </c>
      <c r="I427" s="2022">
        <f t="shared" si="6"/>
        <v>0</v>
      </c>
    </row>
    <row r="428" spans="1:9" x14ac:dyDescent="0.2">
      <c r="A428" t="s">
        <v>5634</v>
      </c>
      <c r="B428" t="s">
        <v>6232</v>
      </c>
      <c r="C428" s="2022">
        <v>12162.55</v>
      </c>
      <c r="D428" s="2022">
        <v>0</v>
      </c>
      <c r="E428" s="2022">
        <v>0</v>
      </c>
      <c r="F428" s="2022">
        <v>0</v>
      </c>
      <c r="G428" s="2022">
        <v>0</v>
      </c>
      <c r="H428" s="2022">
        <v>0</v>
      </c>
      <c r="I428" s="2022">
        <f t="shared" si="6"/>
        <v>0</v>
      </c>
    </row>
    <row r="429" spans="1:9" x14ac:dyDescent="0.2">
      <c r="A429" t="s">
        <v>5635</v>
      </c>
      <c r="B429" t="s">
        <v>6036</v>
      </c>
      <c r="C429" s="2022">
        <v>6756.92</v>
      </c>
      <c r="D429" s="2022">
        <v>0</v>
      </c>
      <c r="E429" s="2022">
        <v>0</v>
      </c>
      <c r="F429" s="2022">
        <v>0</v>
      </c>
      <c r="G429" s="2022">
        <v>0</v>
      </c>
      <c r="H429" s="2022">
        <v>0</v>
      </c>
      <c r="I429" s="2022">
        <f t="shared" si="6"/>
        <v>0</v>
      </c>
    </row>
    <row r="430" spans="1:9" x14ac:dyDescent="0.2">
      <c r="A430" t="s">
        <v>5636</v>
      </c>
      <c r="B430" t="s">
        <v>6036</v>
      </c>
      <c r="C430" s="2022">
        <v>4901.62</v>
      </c>
      <c r="D430" s="2022">
        <v>0</v>
      </c>
      <c r="E430" s="2022">
        <v>0</v>
      </c>
      <c r="F430" s="2022">
        <v>0</v>
      </c>
      <c r="G430" s="2022">
        <v>0</v>
      </c>
      <c r="H430" s="2022">
        <v>0</v>
      </c>
      <c r="I430" s="2022">
        <f t="shared" si="6"/>
        <v>0</v>
      </c>
    </row>
    <row r="431" spans="1:9" x14ac:dyDescent="0.2">
      <c r="A431" t="s">
        <v>5638</v>
      </c>
      <c r="B431" t="s">
        <v>6233</v>
      </c>
      <c r="C431" s="2022">
        <v>-1702.17</v>
      </c>
      <c r="D431" s="2022">
        <v>0</v>
      </c>
      <c r="E431" s="2022">
        <v>349.11</v>
      </c>
      <c r="F431" s="2022">
        <v>-2842.5</v>
      </c>
      <c r="G431" s="2022">
        <v>0</v>
      </c>
      <c r="H431" s="2022">
        <v>-2493.39</v>
      </c>
      <c r="I431" s="2022">
        <f t="shared" si="6"/>
        <v>-2493.39</v>
      </c>
    </row>
    <row r="432" spans="1:9" x14ac:dyDescent="0.2">
      <c r="A432" t="s">
        <v>5640</v>
      </c>
      <c r="B432" t="s">
        <v>5639</v>
      </c>
      <c r="C432" s="2022">
        <v>-3152.91</v>
      </c>
      <c r="D432" s="2022">
        <v>0</v>
      </c>
      <c r="E432" s="2022">
        <v>0</v>
      </c>
      <c r="F432" s="2022">
        <v>0</v>
      </c>
      <c r="G432" s="2022">
        <v>0</v>
      </c>
      <c r="H432" s="2022">
        <v>0</v>
      </c>
      <c r="I432" s="2022">
        <f t="shared" si="6"/>
        <v>0</v>
      </c>
    </row>
    <row r="433" spans="1:9" x14ac:dyDescent="0.2">
      <c r="A433" t="s">
        <v>5641</v>
      </c>
      <c r="B433" t="s">
        <v>6234</v>
      </c>
      <c r="C433" s="2022">
        <v>-1262335.96</v>
      </c>
      <c r="D433" s="2022">
        <v>0</v>
      </c>
      <c r="E433" s="2022">
        <v>0</v>
      </c>
      <c r="F433" s="2022">
        <v>0</v>
      </c>
      <c r="G433" s="2022">
        <v>0</v>
      </c>
      <c r="H433" s="2022">
        <v>0</v>
      </c>
      <c r="I433" s="2022">
        <f t="shared" si="6"/>
        <v>0</v>
      </c>
    </row>
    <row r="434" spans="1:9" x14ac:dyDescent="0.2">
      <c r="A434" t="s">
        <v>5642</v>
      </c>
      <c r="B434" t="s">
        <v>6235</v>
      </c>
      <c r="C434" s="2022">
        <v>-474032.35</v>
      </c>
      <c r="D434" s="2022">
        <v>0</v>
      </c>
      <c r="E434" s="2022">
        <v>0</v>
      </c>
      <c r="F434" s="2022">
        <v>0</v>
      </c>
      <c r="G434" s="2022">
        <v>0</v>
      </c>
      <c r="H434" s="2022">
        <v>0</v>
      </c>
      <c r="I434" s="2022">
        <f t="shared" si="6"/>
        <v>0</v>
      </c>
    </row>
    <row r="435" spans="1:9" x14ac:dyDescent="0.2">
      <c r="A435" t="s">
        <v>5662</v>
      </c>
      <c r="B435" t="s">
        <v>6003</v>
      </c>
      <c r="C435" s="2022">
        <v>4029160.26</v>
      </c>
      <c r="D435" s="2022">
        <v>0</v>
      </c>
      <c r="E435" s="2022">
        <v>4101804.41</v>
      </c>
      <c r="F435" s="2022">
        <v>-38261.040000000001</v>
      </c>
      <c r="G435" s="2022">
        <v>4063543.37</v>
      </c>
      <c r="H435" s="2022">
        <v>0</v>
      </c>
      <c r="I435" s="2022">
        <f t="shared" si="6"/>
        <v>4063543.37</v>
      </c>
    </row>
    <row r="436" spans="1:9" x14ac:dyDescent="0.2">
      <c r="A436" t="s">
        <v>5663</v>
      </c>
      <c r="B436" t="s">
        <v>6004</v>
      </c>
      <c r="C436" s="2022">
        <v>327826.92</v>
      </c>
      <c r="D436" s="2022">
        <v>0</v>
      </c>
      <c r="E436" s="2022">
        <v>336735.39</v>
      </c>
      <c r="F436" s="2022">
        <v>0</v>
      </c>
      <c r="G436" s="2022">
        <v>336735.39</v>
      </c>
      <c r="H436" s="2022">
        <v>0</v>
      </c>
      <c r="I436" s="2022">
        <f t="shared" si="6"/>
        <v>336735.39</v>
      </c>
    </row>
    <row r="437" spans="1:9" x14ac:dyDescent="0.2">
      <c r="A437" t="s">
        <v>5664</v>
      </c>
      <c r="B437" t="s">
        <v>6005</v>
      </c>
      <c r="C437" s="2022">
        <v>1000</v>
      </c>
      <c r="D437" s="2022">
        <v>0</v>
      </c>
      <c r="E437" s="2022">
        <v>1000</v>
      </c>
      <c r="F437" s="2022">
        <v>0</v>
      </c>
      <c r="G437" s="2022">
        <v>1000</v>
      </c>
      <c r="H437" s="2022">
        <v>0</v>
      </c>
      <c r="I437" s="2022">
        <f t="shared" si="6"/>
        <v>1000</v>
      </c>
    </row>
    <row r="438" spans="1:9" x14ac:dyDescent="0.2">
      <c r="A438" t="s">
        <v>5665</v>
      </c>
      <c r="B438" t="s">
        <v>6236</v>
      </c>
      <c r="C438" s="2022">
        <v>16354.51</v>
      </c>
      <c r="D438" s="2022">
        <v>0</v>
      </c>
      <c r="E438" s="2022">
        <v>16345.51</v>
      </c>
      <c r="F438" s="2022">
        <v>0</v>
      </c>
      <c r="G438" s="2022">
        <v>16345.51</v>
      </c>
      <c r="H438" s="2022">
        <v>0</v>
      </c>
      <c r="I438" s="2022">
        <f t="shared" si="6"/>
        <v>16345.51</v>
      </c>
    </row>
    <row r="439" spans="1:9" x14ac:dyDescent="0.2">
      <c r="A439" t="s">
        <v>5667</v>
      </c>
      <c r="B439" t="s">
        <v>6007</v>
      </c>
      <c r="C439" s="2022">
        <v>747701.48</v>
      </c>
      <c r="D439" s="2022">
        <v>0</v>
      </c>
      <c r="E439" s="2022">
        <v>787881.85</v>
      </c>
      <c r="F439" s="2022">
        <v>0</v>
      </c>
      <c r="G439" s="2022">
        <v>787881.85</v>
      </c>
      <c r="H439" s="2022">
        <v>0</v>
      </c>
      <c r="I439" s="2022">
        <f t="shared" si="6"/>
        <v>787881.85</v>
      </c>
    </row>
    <row r="440" spans="1:9" x14ac:dyDescent="0.2">
      <c r="A440" t="s">
        <v>5668</v>
      </c>
      <c r="B440" t="s">
        <v>6008</v>
      </c>
      <c r="C440" s="2022">
        <v>97741.95</v>
      </c>
      <c r="D440" s="2022">
        <v>0</v>
      </c>
      <c r="E440" s="2022">
        <v>97741.95</v>
      </c>
      <c r="F440" s="2022">
        <v>0</v>
      </c>
      <c r="G440" s="2022">
        <v>97741.95</v>
      </c>
      <c r="H440" s="2022">
        <v>0</v>
      </c>
      <c r="I440" s="2022">
        <f t="shared" si="6"/>
        <v>97741.95</v>
      </c>
    </row>
    <row r="441" spans="1:9" x14ac:dyDescent="0.2">
      <c r="A441" t="s">
        <v>5670</v>
      </c>
      <c r="B441" t="s">
        <v>6010</v>
      </c>
      <c r="C441" s="2022">
        <v>2460</v>
      </c>
      <c r="D441" s="2022">
        <v>0</v>
      </c>
      <c r="E441" s="2022">
        <v>2484.6</v>
      </c>
      <c r="F441" s="2022">
        <v>0</v>
      </c>
      <c r="G441" s="2022">
        <v>2484.6</v>
      </c>
      <c r="H441" s="2022">
        <v>0</v>
      </c>
      <c r="I441" s="2022">
        <f t="shared" si="6"/>
        <v>2484.6</v>
      </c>
    </row>
    <row r="442" spans="1:9" x14ac:dyDescent="0.2">
      <c r="A442" t="s">
        <v>5671</v>
      </c>
      <c r="B442" t="s">
        <v>6011</v>
      </c>
      <c r="C442" s="2022">
        <v>54094.7</v>
      </c>
      <c r="D442" s="2022">
        <v>0</v>
      </c>
      <c r="E442" s="2022">
        <v>52271.94</v>
      </c>
      <c r="F442" s="2022">
        <v>0</v>
      </c>
      <c r="G442" s="2022">
        <v>52271.94</v>
      </c>
      <c r="H442" s="2022">
        <v>0</v>
      </c>
      <c r="I442" s="2022">
        <f t="shared" si="6"/>
        <v>52271.94</v>
      </c>
    </row>
    <row r="443" spans="1:9" x14ac:dyDescent="0.2">
      <c r="A443" t="s">
        <v>5673</v>
      </c>
      <c r="B443" t="s">
        <v>6012</v>
      </c>
      <c r="C443" s="2022">
        <v>211330.2</v>
      </c>
      <c r="D443" s="2022">
        <v>0</v>
      </c>
      <c r="E443" s="2022">
        <v>220489.92</v>
      </c>
      <c r="F443" s="2022">
        <v>0</v>
      </c>
      <c r="G443" s="2022">
        <v>220489.92</v>
      </c>
      <c r="H443" s="2022">
        <v>0</v>
      </c>
      <c r="I443" s="2022">
        <f t="shared" si="6"/>
        <v>220489.92</v>
      </c>
    </row>
    <row r="444" spans="1:9" x14ac:dyDescent="0.2">
      <c r="A444" t="s">
        <v>5674</v>
      </c>
      <c r="B444" t="s">
        <v>6013</v>
      </c>
      <c r="C444" s="2022">
        <v>721907.36</v>
      </c>
      <c r="D444" s="2022">
        <v>0</v>
      </c>
      <c r="E444" s="2022">
        <v>729481.12</v>
      </c>
      <c r="F444" s="2022">
        <v>0</v>
      </c>
      <c r="G444" s="2022">
        <v>729481.12</v>
      </c>
      <c r="H444" s="2022">
        <v>0</v>
      </c>
      <c r="I444" s="2022">
        <f t="shared" si="6"/>
        <v>729481.12</v>
      </c>
    </row>
    <row r="445" spans="1:9" x14ac:dyDescent="0.2">
      <c r="A445" t="s">
        <v>5675</v>
      </c>
      <c r="B445" t="s">
        <v>6014</v>
      </c>
      <c r="C445" s="2022">
        <v>54331.92</v>
      </c>
      <c r="D445" s="2022">
        <v>0</v>
      </c>
      <c r="E445" s="2022">
        <v>48939.96</v>
      </c>
      <c r="F445" s="2022">
        <v>0</v>
      </c>
      <c r="G445" s="2022">
        <v>48939.96</v>
      </c>
      <c r="H445" s="2022">
        <v>0</v>
      </c>
      <c r="I445" s="2022">
        <f t="shared" si="6"/>
        <v>48939.96</v>
      </c>
    </row>
    <row r="446" spans="1:9" x14ac:dyDescent="0.2">
      <c r="A446" t="s">
        <v>5676</v>
      </c>
      <c r="B446" t="s">
        <v>6237</v>
      </c>
      <c r="C446" s="2022">
        <v>400000</v>
      </c>
      <c r="D446" s="2022">
        <v>0</v>
      </c>
      <c r="E446" s="2022">
        <v>0</v>
      </c>
      <c r="F446" s="2022">
        <v>0</v>
      </c>
      <c r="G446" s="2022">
        <v>0</v>
      </c>
      <c r="H446" s="2022">
        <v>0</v>
      </c>
      <c r="I446" s="2022">
        <f t="shared" si="6"/>
        <v>0</v>
      </c>
    </row>
    <row r="447" spans="1:9" x14ac:dyDescent="0.2">
      <c r="A447" t="s">
        <v>5678</v>
      </c>
      <c r="B447" t="s">
        <v>6238</v>
      </c>
      <c r="C447" s="2022">
        <v>77497.2</v>
      </c>
      <c r="D447" s="2022">
        <v>0</v>
      </c>
      <c r="E447" s="2022">
        <v>0</v>
      </c>
      <c r="F447" s="2022">
        <v>0</v>
      </c>
      <c r="G447" s="2022">
        <v>0</v>
      </c>
      <c r="H447" s="2022">
        <v>0</v>
      </c>
      <c r="I447" s="2022">
        <f t="shared" si="6"/>
        <v>0</v>
      </c>
    </row>
    <row r="448" spans="1:9" x14ac:dyDescent="0.2">
      <c r="A448" t="s">
        <v>5679</v>
      </c>
      <c r="B448" t="s">
        <v>6239</v>
      </c>
      <c r="C448" s="2022">
        <v>549502.80000000005</v>
      </c>
      <c r="D448" s="2022">
        <v>0</v>
      </c>
      <c r="E448" s="2022">
        <v>0</v>
      </c>
      <c r="F448" s="2022">
        <v>0</v>
      </c>
      <c r="G448" s="2022">
        <v>0</v>
      </c>
      <c r="H448" s="2022">
        <v>0</v>
      </c>
      <c r="I448" s="2022">
        <f t="shared" si="6"/>
        <v>0</v>
      </c>
    </row>
    <row r="449" spans="1:9" x14ac:dyDescent="0.2">
      <c r="A449" t="s">
        <v>5682</v>
      </c>
      <c r="B449" t="s">
        <v>6240</v>
      </c>
      <c r="C449" s="2022">
        <v>3798397.58</v>
      </c>
      <c r="D449" s="2022">
        <v>0</v>
      </c>
      <c r="E449" s="2022">
        <v>0</v>
      </c>
      <c r="F449" s="2022">
        <v>0</v>
      </c>
      <c r="G449" s="2022">
        <v>0</v>
      </c>
      <c r="H449" s="2022">
        <v>0</v>
      </c>
      <c r="I449" s="2022">
        <f t="shared" si="6"/>
        <v>0</v>
      </c>
    </row>
    <row r="450" spans="1:9" x14ac:dyDescent="0.2">
      <c r="A450" t="s">
        <v>5684</v>
      </c>
      <c r="B450" t="s">
        <v>5685</v>
      </c>
      <c r="C450" s="2022">
        <v>8094000</v>
      </c>
      <c r="D450" s="2022">
        <v>0</v>
      </c>
      <c r="E450" s="2022">
        <v>0</v>
      </c>
      <c r="F450" s="2022">
        <v>0</v>
      </c>
      <c r="G450" s="2022">
        <v>0</v>
      </c>
      <c r="H450" s="2022">
        <v>0</v>
      </c>
      <c r="I450" s="2022">
        <f t="shared" si="6"/>
        <v>0</v>
      </c>
    </row>
    <row r="451" spans="1:9" x14ac:dyDescent="0.2">
      <c r="A451" t="s">
        <v>5688</v>
      </c>
      <c r="B451" t="s">
        <v>6241</v>
      </c>
      <c r="C451" s="2022">
        <v>19872.599999999999</v>
      </c>
      <c r="D451" s="2022">
        <v>0</v>
      </c>
      <c r="E451" s="2022">
        <v>30097.07</v>
      </c>
      <c r="F451" s="2022">
        <v>0</v>
      </c>
      <c r="G451" s="2022">
        <v>30097.07</v>
      </c>
      <c r="H451" s="2022">
        <v>0</v>
      </c>
      <c r="I451" s="2022">
        <f t="shared" ref="I451:I514" si="7">G451+H451</f>
        <v>30097.07</v>
      </c>
    </row>
    <row r="452" spans="1:9" x14ac:dyDescent="0.2">
      <c r="A452" t="s">
        <v>5692</v>
      </c>
      <c r="B452" t="s">
        <v>4873</v>
      </c>
      <c r="C452" s="2022">
        <v>24529.7</v>
      </c>
      <c r="D452" s="2022">
        <v>0</v>
      </c>
      <c r="E452" s="2022">
        <v>47352.05</v>
      </c>
      <c r="F452" s="2022">
        <v>-85.75</v>
      </c>
      <c r="G452" s="2022">
        <v>47266.3</v>
      </c>
      <c r="H452" s="2022">
        <v>0</v>
      </c>
      <c r="I452" s="2022">
        <f t="shared" si="7"/>
        <v>47266.3</v>
      </c>
    </row>
    <row r="453" spans="1:9" x14ac:dyDescent="0.2">
      <c r="A453" t="s">
        <v>5694</v>
      </c>
      <c r="B453" t="s">
        <v>6029</v>
      </c>
      <c r="C453" s="2022">
        <v>80000</v>
      </c>
      <c r="D453" s="2022">
        <v>0</v>
      </c>
      <c r="E453" s="2022">
        <v>136742.37</v>
      </c>
      <c r="F453" s="2022">
        <v>0</v>
      </c>
      <c r="G453" s="2022">
        <v>136742.37</v>
      </c>
      <c r="H453" s="2022">
        <v>0</v>
      </c>
      <c r="I453" s="2022">
        <f t="shared" si="7"/>
        <v>136742.37</v>
      </c>
    </row>
    <row r="454" spans="1:9" x14ac:dyDescent="0.2">
      <c r="A454" t="s">
        <v>5695</v>
      </c>
      <c r="B454" t="s">
        <v>6171</v>
      </c>
      <c r="C454" s="2022">
        <v>454.28</v>
      </c>
      <c r="D454" s="2022">
        <v>0</v>
      </c>
      <c r="E454" s="2022">
        <v>1976.28</v>
      </c>
      <c r="F454" s="2022">
        <v>0</v>
      </c>
      <c r="G454" s="2022">
        <v>1976.28</v>
      </c>
      <c r="H454" s="2022">
        <v>0</v>
      </c>
      <c r="I454" s="2022">
        <f t="shared" si="7"/>
        <v>1976.28</v>
      </c>
    </row>
    <row r="455" spans="1:9" x14ac:dyDescent="0.2">
      <c r="A455" t="s">
        <v>5696</v>
      </c>
      <c r="B455" t="s">
        <v>6030</v>
      </c>
      <c r="C455" s="2022">
        <v>10000</v>
      </c>
      <c r="D455" s="2022">
        <v>0</v>
      </c>
      <c r="E455" s="2022">
        <v>5278.07</v>
      </c>
      <c r="F455" s="2022">
        <v>0</v>
      </c>
      <c r="G455" s="2022">
        <v>5278.07</v>
      </c>
      <c r="H455" s="2022">
        <v>0</v>
      </c>
      <c r="I455" s="2022">
        <f t="shared" si="7"/>
        <v>5278.07</v>
      </c>
    </row>
    <row r="456" spans="1:9" x14ac:dyDescent="0.2">
      <c r="A456" t="s">
        <v>5697</v>
      </c>
      <c r="B456" t="s">
        <v>4883</v>
      </c>
      <c r="C456" s="2022">
        <v>80000</v>
      </c>
      <c r="D456" s="2022">
        <v>0</v>
      </c>
      <c r="E456" s="2022">
        <v>57978.9</v>
      </c>
      <c r="F456" s="2022">
        <v>0</v>
      </c>
      <c r="G456" s="2022">
        <v>57978.9</v>
      </c>
      <c r="H456" s="2022">
        <v>0</v>
      </c>
      <c r="I456" s="2022">
        <f t="shared" si="7"/>
        <v>57978.9</v>
      </c>
    </row>
    <row r="457" spans="1:9" x14ac:dyDescent="0.2">
      <c r="A457" t="s">
        <v>5699</v>
      </c>
      <c r="B457" t="s">
        <v>6032</v>
      </c>
      <c r="C457" s="2022">
        <v>65000</v>
      </c>
      <c r="D457" s="2022">
        <v>0</v>
      </c>
      <c r="E457" s="2022">
        <v>14783.72</v>
      </c>
      <c r="F457" s="2022">
        <v>-4513.07</v>
      </c>
      <c r="G457" s="2022">
        <v>10270.65</v>
      </c>
      <c r="H457" s="2022">
        <v>0</v>
      </c>
      <c r="I457" s="2022">
        <f t="shared" si="7"/>
        <v>10270.65</v>
      </c>
    </row>
    <row r="458" spans="1:9" x14ac:dyDescent="0.2">
      <c r="A458" t="s">
        <v>5706</v>
      </c>
      <c r="B458" t="s">
        <v>6173</v>
      </c>
      <c r="C458" s="2022">
        <v>8277.0300000000007</v>
      </c>
      <c r="D458" s="2022">
        <v>0</v>
      </c>
      <c r="E458" s="2022">
        <v>6710.35</v>
      </c>
      <c r="F458" s="2022">
        <v>0</v>
      </c>
      <c r="G458" s="2022">
        <v>6710.35</v>
      </c>
      <c r="H458" s="2022">
        <v>0</v>
      </c>
      <c r="I458" s="2022">
        <f t="shared" si="7"/>
        <v>6710.35</v>
      </c>
    </row>
    <row r="459" spans="1:9" x14ac:dyDescent="0.2">
      <c r="A459" t="s">
        <v>5707</v>
      </c>
      <c r="B459" t="s">
        <v>6205</v>
      </c>
      <c r="C459" s="2022">
        <v>15000</v>
      </c>
      <c r="D459" s="2022">
        <v>0</v>
      </c>
      <c r="E459" s="2022">
        <v>9765.5300000000007</v>
      </c>
      <c r="F459" s="2022">
        <v>0</v>
      </c>
      <c r="G459" s="2022">
        <v>9765.5300000000007</v>
      </c>
      <c r="H459" s="2022">
        <v>0</v>
      </c>
      <c r="I459" s="2022">
        <f t="shared" si="7"/>
        <v>9765.5300000000007</v>
      </c>
    </row>
    <row r="460" spans="1:9" x14ac:dyDescent="0.2">
      <c r="A460" t="s">
        <v>5708</v>
      </c>
      <c r="B460" t="s">
        <v>6034</v>
      </c>
      <c r="C460" s="2022">
        <v>5000</v>
      </c>
      <c r="D460" s="2022">
        <v>0</v>
      </c>
      <c r="E460" s="2022">
        <v>9881.02</v>
      </c>
      <c r="F460" s="2022">
        <v>-139.65</v>
      </c>
      <c r="G460" s="2022">
        <v>9741.3700000000008</v>
      </c>
      <c r="H460" s="2022">
        <v>0</v>
      </c>
      <c r="I460" s="2022">
        <f t="shared" si="7"/>
        <v>9741.3700000000008</v>
      </c>
    </row>
    <row r="461" spans="1:9" x14ac:dyDescent="0.2">
      <c r="A461" t="s">
        <v>5710</v>
      </c>
      <c r="B461" t="s">
        <v>6242</v>
      </c>
      <c r="C461" s="2022">
        <v>40000</v>
      </c>
      <c r="D461" s="2022">
        <v>0</v>
      </c>
      <c r="E461" s="2022">
        <v>22057.68</v>
      </c>
      <c r="F461" s="2022">
        <v>0</v>
      </c>
      <c r="G461" s="2022">
        <v>22057.68</v>
      </c>
      <c r="H461" s="2022">
        <v>0</v>
      </c>
      <c r="I461" s="2022">
        <f t="shared" si="7"/>
        <v>22057.68</v>
      </c>
    </row>
    <row r="462" spans="1:9" x14ac:dyDescent="0.2">
      <c r="A462" t="s">
        <v>5713</v>
      </c>
      <c r="B462" t="s">
        <v>6035</v>
      </c>
      <c r="C462" s="2022">
        <v>44121.35</v>
      </c>
      <c r="D462" s="2022">
        <v>0</v>
      </c>
      <c r="E462" s="2022">
        <v>23403.22</v>
      </c>
      <c r="F462" s="2022">
        <v>0</v>
      </c>
      <c r="G462" s="2022">
        <v>23403.22</v>
      </c>
      <c r="H462" s="2022">
        <v>0</v>
      </c>
      <c r="I462" s="2022">
        <f t="shared" si="7"/>
        <v>23403.22</v>
      </c>
    </row>
    <row r="463" spans="1:9" x14ac:dyDescent="0.2">
      <c r="A463" t="s">
        <v>5714</v>
      </c>
      <c r="B463" t="s">
        <v>6036</v>
      </c>
      <c r="C463" s="2022">
        <v>21087.45</v>
      </c>
      <c r="D463" s="2022">
        <v>0</v>
      </c>
      <c r="E463" s="2022">
        <v>0</v>
      </c>
      <c r="F463" s="2022">
        <v>0</v>
      </c>
      <c r="G463" s="2022">
        <v>0</v>
      </c>
      <c r="H463" s="2022">
        <v>0</v>
      </c>
      <c r="I463" s="2022">
        <f t="shared" si="7"/>
        <v>0</v>
      </c>
    </row>
    <row r="464" spans="1:9" x14ac:dyDescent="0.2">
      <c r="A464" t="s">
        <v>5715</v>
      </c>
      <c r="B464" t="s">
        <v>6243</v>
      </c>
      <c r="C464" s="2022">
        <v>-4183958.55</v>
      </c>
      <c r="D464" s="2022">
        <v>0</v>
      </c>
      <c r="E464" s="2022">
        <v>172624.67</v>
      </c>
      <c r="F464" s="2022">
        <v>-6871884.5599999996</v>
      </c>
      <c r="G464" s="2022">
        <v>0</v>
      </c>
      <c r="H464" s="2022">
        <v>-6699259.8899999997</v>
      </c>
      <c r="I464" s="2022">
        <f t="shared" si="7"/>
        <v>-6699259.8899999997</v>
      </c>
    </row>
    <row r="465" spans="1:9" x14ac:dyDescent="0.2">
      <c r="A465" t="s">
        <v>5717</v>
      </c>
      <c r="B465" t="s">
        <v>6037</v>
      </c>
      <c r="C465" s="2022">
        <v>-3507626.86</v>
      </c>
      <c r="D465" s="2022">
        <v>0</v>
      </c>
      <c r="E465" s="2022">
        <v>0</v>
      </c>
      <c r="F465" s="2022">
        <v>0</v>
      </c>
      <c r="G465" s="2022">
        <v>0</v>
      </c>
      <c r="H465" s="2022">
        <v>0</v>
      </c>
      <c r="I465" s="2022">
        <f t="shared" si="7"/>
        <v>0</v>
      </c>
    </row>
    <row r="466" spans="1:9" x14ac:dyDescent="0.2">
      <c r="A466" t="s">
        <v>5718</v>
      </c>
      <c r="B466" t="s">
        <v>6244</v>
      </c>
      <c r="C466" s="2022">
        <v>-3798397.58</v>
      </c>
      <c r="D466" s="2022">
        <v>0</v>
      </c>
      <c r="E466" s="2022">
        <v>0</v>
      </c>
      <c r="F466" s="2022">
        <v>0</v>
      </c>
      <c r="G466" s="2022">
        <v>0</v>
      </c>
      <c r="H466" s="2022">
        <v>0</v>
      </c>
      <c r="I466" s="2022">
        <f t="shared" si="7"/>
        <v>0</v>
      </c>
    </row>
    <row r="467" spans="1:9" x14ac:dyDescent="0.2">
      <c r="A467" t="s">
        <v>5719</v>
      </c>
      <c r="B467" t="s">
        <v>6245</v>
      </c>
      <c r="C467" s="2022">
        <v>-8094000</v>
      </c>
      <c r="D467" s="2022">
        <v>0</v>
      </c>
      <c r="E467" s="2022">
        <v>0</v>
      </c>
      <c r="F467" s="2022">
        <v>0</v>
      </c>
      <c r="G467" s="2022">
        <v>0</v>
      </c>
      <c r="H467" s="2022">
        <v>0</v>
      </c>
      <c r="I467" s="2022">
        <f t="shared" si="7"/>
        <v>0</v>
      </c>
    </row>
    <row r="468" spans="1:9" x14ac:dyDescent="0.2">
      <c r="A468" t="s">
        <v>5721</v>
      </c>
      <c r="B468" t="s">
        <v>6246</v>
      </c>
      <c r="C468" s="2022">
        <v>-6608.29</v>
      </c>
      <c r="D468" s="2022">
        <v>0</v>
      </c>
      <c r="E468" s="2022">
        <v>1098.82</v>
      </c>
      <c r="F468" s="2022">
        <v>-8947.5</v>
      </c>
      <c r="G468" s="2022">
        <v>0</v>
      </c>
      <c r="H468" s="2022">
        <v>-7848.68</v>
      </c>
      <c r="I468" s="2022">
        <f t="shared" si="7"/>
        <v>-7848.68</v>
      </c>
    </row>
    <row r="469" spans="1:9" x14ac:dyDescent="0.2">
      <c r="A469" t="s">
        <v>5723</v>
      </c>
      <c r="B469" t="s">
        <v>6247</v>
      </c>
      <c r="C469" s="2022">
        <v>-6058.01</v>
      </c>
      <c r="D469" s="2022">
        <v>0</v>
      </c>
      <c r="E469" s="2022">
        <v>582.38</v>
      </c>
      <c r="F469" s="2022">
        <v>-4740.1000000000004</v>
      </c>
      <c r="G469" s="2022">
        <v>0</v>
      </c>
      <c r="H469" s="2022">
        <v>-4157.72</v>
      </c>
      <c r="I469" s="2022">
        <f t="shared" si="7"/>
        <v>-4157.72</v>
      </c>
    </row>
    <row r="470" spans="1:9" x14ac:dyDescent="0.2">
      <c r="A470" t="s">
        <v>5725</v>
      </c>
      <c r="B470" t="s">
        <v>6039</v>
      </c>
      <c r="C470" s="2022">
        <v>0</v>
      </c>
      <c r="D470" s="2022">
        <v>0</v>
      </c>
      <c r="E470" s="2022">
        <v>72161.350000000006</v>
      </c>
      <c r="F470" s="2022">
        <v>-306683.77</v>
      </c>
      <c r="G470" s="2022">
        <v>0</v>
      </c>
      <c r="H470" s="2022">
        <v>-234522.42</v>
      </c>
      <c r="I470" s="2022">
        <f t="shared" si="7"/>
        <v>-234522.42</v>
      </c>
    </row>
    <row r="471" spans="1:9" x14ac:dyDescent="0.2">
      <c r="A471" t="s">
        <v>5726</v>
      </c>
      <c r="B471" t="s">
        <v>6003</v>
      </c>
      <c r="C471" s="2022">
        <v>2070118.11</v>
      </c>
      <c r="D471" s="2022">
        <v>0</v>
      </c>
      <c r="E471" s="2022">
        <v>2024934.39</v>
      </c>
      <c r="F471" s="2022">
        <v>-44736.89</v>
      </c>
      <c r="G471" s="2022">
        <v>1980197.5</v>
      </c>
      <c r="H471" s="2022">
        <v>0</v>
      </c>
      <c r="I471" s="2022">
        <f t="shared" si="7"/>
        <v>1980197.5</v>
      </c>
    </row>
    <row r="472" spans="1:9" x14ac:dyDescent="0.2">
      <c r="A472" t="s">
        <v>5727</v>
      </c>
      <c r="B472" t="s">
        <v>6004</v>
      </c>
      <c r="C472" s="2022">
        <v>176663.02</v>
      </c>
      <c r="D472" s="2022">
        <v>0</v>
      </c>
      <c r="E472" s="2022">
        <v>185280.98</v>
      </c>
      <c r="F472" s="2022">
        <v>-4000</v>
      </c>
      <c r="G472" s="2022">
        <v>181280.98</v>
      </c>
      <c r="H472" s="2022">
        <v>0</v>
      </c>
      <c r="I472" s="2022">
        <f t="shared" si="7"/>
        <v>181280.98</v>
      </c>
    </row>
    <row r="473" spans="1:9" x14ac:dyDescent="0.2">
      <c r="A473" t="s">
        <v>5729</v>
      </c>
      <c r="B473" t="s">
        <v>6236</v>
      </c>
      <c r="C473" s="2022">
        <v>8167.03</v>
      </c>
      <c r="D473" s="2022">
        <v>0</v>
      </c>
      <c r="E473" s="2022">
        <v>8167.03</v>
      </c>
      <c r="F473" s="2022">
        <v>0</v>
      </c>
      <c r="G473" s="2022">
        <v>8167.03</v>
      </c>
      <c r="H473" s="2022">
        <v>0</v>
      </c>
      <c r="I473" s="2022">
        <f t="shared" si="7"/>
        <v>8167.03</v>
      </c>
    </row>
    <row r="474" spans="1:9" x14ac:dyDescent="0.2">
      <c r="A474" t="s">
        <v>5730</v>
      </c>
      <c r="B474" t="s">
        <v>6006</v>
      </c>
      <c r="C474" s="2022">
        <v>2088</v>
      </c>
      <c r="D474" s="2022">
        <v>0</v>
      </c>
      <c r="E474" s="2022">
        <v>2088</v>
      </c>
      <c r="F474" s="2022">
        <v>0</v>
      </c>
      <c r="G474" s="2022">
        <v>2088</v>
      </c>
      <c r="H474" s="2022">
        <v>0</v>
      </c>
      <c r="I474" s="2022">
        <f t="shared" si="7"/>
        <v>2088</v>
      </c>
    </row>
    <row r="475" spans="1:9" x14ac:dyDescent="0.2">
      <c r="A475" t="s">
        <v>5731</v>
      </c>
      <c r="B475" t="s">
        <v>6007</v>
      </c>
      <c r="C475" s="2022">
        <v>165277.17000000001</v>
      </c>
      <c r="D475" s="2022">
        <v>0</v>
      </c>
      <c r="E475" s="2022">
        <v>168718.77</v>
      </c>
      <c r="F475" s="2022">
        <v>0</v>
      </c>
      <c r="G475" s="2022">
        <v>168718.77</v>
      </c>
      <c r="H475" s="2022">
        <v>0</v>
      </c>
      <c r="I475" s="2022">
        <f t="shared" si="7"/>
        <v>168718.77</v>
      </c>
    </row>
    <row r="476" spans="1:9" x14ac:dyDescent="0.2">
      <c r="A476" t="s">
        <v>5734</v>
      </c>
      <c r="B476" t="s">
        <v>6010</v>
      </c>
      <c r="C476" s="2022">
        <v>1664.6</v>
      </c>
      <c r="D476" s="2022">
        <v>0</v>
      </c>
      <c r="E476" s="2022">
        <v>1574.4</v>
      </c>
      <c r="F476" s="2022">
        <v>0</v>
      </c>
      <c r="G476" s="2022">
        <v>1574.4</v>
      </c>
      <c r="H476" s="2022">
        <v>0</v>
      </c>
      <c r="I476" s="2022">
        <f t="shared" si="7"/>
        <v>1574.4</v>
      </c>
    </row>
    <row r="477" spans="1:9" x14ac:dyDescent="0.2">
      <c r="A477" t="s">
        <v>5735</v>
      </c>
      <c r="B477" t="s">
        <v>6011</v>
      </c>
      <c r="C477" s="2022">
        <v>27883.34</v>
      </c>
      <c r="D477" s="2022">
        <v>0</v>
      </c>
      <c r="E477" s="2022">
        <v>23420.06</v>
      </c>
      <c r="F477" s="2022">
        <v>0</v>
      </c>
      <c r="G477" s="2022">
        <v>23420.06</v>
      </c>
      <c r="H477" s="2022">
        <v>0</v>
      </c>
      <c r="I477" s="2022">
        <f t="shared" si="7"/>
        <v>23420.06</v>
      </c>
    </row>
    <row r="478" spans="1:9" x14ac:dyDescent="0.2">
      <c r="A478" t="s">
        <v>5737</v>
      </c>
      <c r="B478" t="s">
        <v>6012</v>
      </c>
      <c r="C478" s="2022">
        <v>81997.2</v>
      </c>
      <c r="D478" s="2022">
        <v>0</v>
      </c>
      <c r="E478" s="2022">
        <v>78663.600000000006</v>
      </c>
      <c r="F478" s="2022">
        <v>0</v>
      </c>
      <c r="G478" s="2022">
        <v>78663.600000000006</v>
      </c>
      <c r="H478" s="2022">
        <v>0</v>
      </c>
      <c r="I478" s="2022">
        <f t="shared" si="7"/>
        <v>78663.600000000006</v>
      </c>
    </row>
    <row r="479" spans="1:9" x14ac:dyDescent="0.2">
      <c r="A479" t="s">
        <v>5738</v>
      </c>
      <c r="B479" t="s">
        <v>6013</v>
      </c>
      <c r="C479" s="2022">
        <v>387237.56</v>
      </c>
      <c r="D479" s="2022">
        <v>0</v>
      </c>
      <c r="E479" s="2022">
        <v>364086.82</v>
      </c>
      <c r="F479" s="2022">
        <v>0</v>
      </c>
      <c r="G479" s="2022">
        <v>364086.82</v>
      </c>
      <c r="H479" s="2022">
        <v>0</v>
      </c>
      <c r="I479" s="2022">
        <f t="shared" si="7"/>
        <v>364086.82</v>
      </c>
    </row>
    <row r="480" spans="1:9" x14ac:dyDescent="0.2">
      <c r="A480" t="s">
        <v>5739</v>
      </c>
      <c r="B480" t="s">
        <v>6014</v>
      </c>
      <c r="C480" s="2022">
        <v>29289.96</v>
      </c>
      <c r="D480" s="2022">
        <v>0</v>
      </c>
      <c r="E480" s="2022">
        <v>23704.13</v>
      </c>
      <c r="F480" s="2022">
        <v>0</v>
      </c>
      <c r="G480" s="2022">
        <v>23704.13</v>
      </c>
      <c r="H480" s="2022">
        <v>0</v>
      </c>
      <c r="I480" s="2022">
        <f t="shared" si="7"/>
        <v>23704.13</v>
      </c>
    </row>
    <row r="481" spans="1:9" x14ac:dyDescent="0.2">
      <c r="A481" t="s">
        <v>5740</v>
      </c>
      <c r="B481" t="s">
        <v>6237</v>
      </c>
      <c r="C481" s="2022">
        <v>389410.38</v>
      </c>
      <c r="D481" s="2022">
        <v>0</v>
      </c>
      <c r="E481" s="2022">
        <v>0</v>
      </c>
      <c r="F481" s="2022">
        <v>0</v>
      </c>
      <c r="G481" s="2022">
        <v>0</v>
      </c>
      <c r="H481" s="2022">
        <v>0</v>
      </c>
      <c r="I481" s="2022">
        <f t="shared" si="7"/>
        <v>0</v>
      </c>
    </row>
    <row r="482" spans="1:9" x14ac:dyDescent="0.2">
      <c r="A482" t="s">
        <v>5748</v>
      </c>
      <c r="B482" t="s">
        <v>6108</v>
      </c>
      <c r="C482" s="2022">
        <v>10722</v>
      </c>
      <c r="D482" s="2022">
        <v>0</v>
      </c>
      <c r="E482" s="2022">
        <v>10722</v>
      </c>
      <c r="F482" s="2022">
        <v>0</v>
      </c>
      <c r="G482" s="2022">
        <v>10722</v>
      </c>
      <c r="H482" s="2022">
        <v>0</v>
      </c>
      <c r="I482" s="2022">
        <f t="shared" si="7"/>
        <v>10722</v>
      </c>
    </row>
    <row r="483" spans="1:9" x14ac:dyDescent="0.2">
      <c r="A483" t="s">
        <v>5750</v>
      </c>
      <c r="B483" t="s">
        <v>4873</v>
      </c>
      <c r="C483" s="2022">
        <v>15000</v>
      </c>
      <c r="D483" s="2022">
        <v>0</v>
      </c>
      <c r="E483" s="2022">
        <v>6634.41</v>
      </c>
      <c r="F483" s="2022">
        <v>0</v>
      </c>
      <c r="G483" s="2022">
        <v>6634.41</v>
      </c>
      <c r="H483" s="2022">
        <v>0</v>
      </c>
      <c r="I483" s="2022">
        <f t="shared" si="7"/>
        <v>6634.41</v>
      </c>
    </row>
    <row r="484" spans="1:9" x14ac:dyDescent="0.2">
      <c r="A484" t="s">
        <v>5752</v>
      </c>
      <c r="B484" t="s">
        <v>6029</v>
      </c>
      <c r="C484" s="2022">
        <v>10000</v>
      </c>
      <c r="D484" s="2022">
        <v>0</v>
      </c>
      <c r="E484" s="2022">
        <v>13067.5</v>
      </c>
      <c r="F484" s="2022">
        <v>0</v>
      </c>
      <c r="G484" s="2022">
        <v>13067.5</v>
      </c>
      <c r="H484" s="2022">
        <v>0</v>
      </c>
      <c r="I484" s="2022">
        <f t="shared" si="7"/>
        <v>13067.5</v>
      </c>
    </row>
    <row r="485" spans="1:9" x14ac:dyDescent="0.2">
      <c r="A485" t="s">
        <v>5753</v>
      </c>
      <c r="B485" t="s">
        <v>6171</v>
      </c>
      <c r="C485" s="2022">
        <v>2500</v>
      </c>
      <c r="D485" s="2022">
        <v>0</v>
      </c>
      <c r="E485" s="2022">
        <v>1408.82</v>
      </c>
      <c r="F485" s="2022">
        <v>0</v>
      </c>
      <c r="G485" s="2022">
        <v>1408.82</v>
      </c>
      <c r="H485" s="2022">
        <v>0</v>
      </c>
      <c r="I485" s="2022">
        <f t="shared" si="7"/>
        <v>1408.82</v>
      </c>
    </row>
    <row r="486" spans="1:9" x14ac:dyDescent="0.2">
      <c r="A486" t="s">
        <v>5754</v>
      </c>
      <c r="B486" t="s">
        <v>6030</v>
      </c>
      <c r="C486" s="2022">
        <v>5902.83</v>
      </c>
      <c r="D486" s="2022">
        <v>0</v>
      </c>
      <c r="E486" s="2022">
        <v>5902.83</v>
      </c>
      <c r="F486" s="2022">
        <v>0</v>
      </c>
      <c r="G486" s="2022">
        <v>5902.83</v>
      </c>
      <c r="H486" s="2022">
        <v>0</v>
      </c>
      <c r="I486" s="2022">
        <f t="shared" si="7"/>
        <v>5902.83</v>
      </c>
    </row>
    <row r="487" spans="1:9" x14ac:dyDescent="0.2">
      <c r="A487" t="s">
        <v>5755</v>
      </c>
      <c r="B487" t="s">
        <v>4883</v>
      </c>
      <c r="C487" s="2022">
        <v>150000</v>
      </c>
      <c r="D487" s="2022">
        <v>0</v>
      </c>
      <c r="E487" s="2022">
        <v>113249.21</v>
      </c>
      <c r="F487" s="2022">
        <v>0</v>
      </c>
      <c r="G487" s="2022">
        <v>113249.21</v>
      </c>
      <c r="H487" s="2022">
        <v>0</v>
      </c>
      <c r="I487" s="2022">
        <f t="shared" si="7"/>
        <v>113249.21</v>
      </c>
    </row>
    <row r="488" spans="1:9" x14ac:dyDescent="0.2">
      <c r="A488" t="s">
        <v>5757</v>
      </c>
      <c r="B488" t="s">
        <v>6032</v>
      </c>
      <c r="C488" s="2022">
        <v>17477.830000000002</v>
      </c>
      <c r="D488" s="2022">
        <v>0</v>
      </c>
      <c r="E488" s="2022">
        <v>9111.41</v>
      </c>
      <c r="F488" s="2022">
        <v>0</v>
      </c>
      <c r="G488" s="2022">
        <v>9111.41</v>
      </c>
      <c r="H488" s="2022">
        <v>0</v>
      </c>
      <c r="I488" s="2022">
        <f t="shared" si="7"/>
        <v>9111.41</v>
      </c>
    </row>
    <row r="489" spans="1:9" x14ac:dyDescent="0.2">
      <c r="A489" t="s">
        <v>5761</v>
      </c>
      <c r="B489" t="s">
        <v>6177</v>
      </c>
      <c r="C489" s="2022">
        <v>35000</v>
      </c>
      <c r="D489" s="2022">
        <v>0</v>
      </c>
      <c r="E489" s="2022">
        <v>1500</v>
      </c>
      <c r="F489" s="2022">
        <v>0</v>
      </c>
      <c r="G489" s="2022">
        <v>1500</v>
      </c>
      <c r="H489" s="2022">
        <v>0</v>
      </c>
      <c r="I489" s="2022">
        <f t="shared" si="7"/>
        <v>1500</v>
      </c>
    </row>
    <row r="490" spans="1:9" x14ac:dyDescent="0.2">
      <c r="A490" t="s">
        <v>5762</v>
      </c>
      <c r="B490" t="s">
        <v>6034</v>
      </c>
      <c r="C490" s="2022">
        <v>150000</v>
      </c>
      <c r="D490" s="2022">
        <v>0</v>
      </c>
      <c r="E490" s="2022">
        <v>163602.32</v>
      </c>
      <c r="F490" s="2022">
        <v>0</v>
      </c>
      <c r="G490" s="2022">
        <v>163602.32</v>
      </c>
      <c r="H490" s="2022">
        <v>0</v>
      </c>
      <c r="I490" s="2022">
        <f t="shared" si="7"/>
        <v>163602.32</v>
      </c>
    </row>
    <row r="491" spans="1:9" x14ac:dyDescent="0.2">
      <c r="A491" t="s">
        <v>5764</v>
      </c>
      <c r="B491" t="s">
        <v>6242</v>
      </c>
      <c r="C491" s="2022">
        <v>24831.08</v>
      </c>
      <c r="D491" s="2022">
        <v>0</v>
      </c>
      <c r="E491" s="2022">
        <v>491.4</v>
      </c>
      <c r="F491" s="2022">
        <v>0</v>
      </c>
      <c r="G491" s="2022">
        <v>491.4</v>
      </c>
      <c r="H491" s="2022">
        <v>0</v>
      </c>
      <c r="I491" s="2022">
        <f t="shared" si="7"/>
        <v>491.4</v>
      </c>
    </row>
    <row r="492" spans="1:9" x14ac:dyDescent="0.2">
      <c r="A492" t="s">
        <v>5766</v>
      </c>
      <c r="B492" t="s">
        <v>6035</v>
      </c>
      <c r="C492" s="2022">
        <v>76930.649999999994</v>
      </c>
      <c r="D492" s="2022">
        <v>0</v>
      </c>
      <c r="E492" s="2022">
        <v>24106.94</v>
      </c>
      <c r="F492" s="2022">
        <v>0</v>
      </c>
      <c r="G492" s="2022">
        <v>24106.94</v>
      </c>
      <c r="H492" s="2022">
        <v>0</v>
      </c>
      <c r="I492" s="2022">
        <f t="shared" si="7"/>
        <v>24106.94</v>
      </c>
    </row>
    <row r="493" spans="1:9" x14ac:dyDescent="0.2">
      <c r="A493" t="s">
        <v>5767</v>
      </c>
      <c r="B493" t="s">
        <v>6036</v>
      </c>
      <c r="C493" s="2022">
        <v>21981.14</v>
      </c>
      <c r="D493" s="2022">
        <v>0</v>
      </c>
      <c r="E493" s="2022">
        <v>2082.21</v>
      </c>
      <c r="F493" s="2022">
        <v>0</v>
      </c>
      <c r="G493" s="2022">
        <v>2082.21</v>
      </c>
      <c r="H493" s="2022">
        <v>0</v>
      </c>
      <c r="I493" s="2022">
        <f t="shared" si="7"/>
        <v>2082.21</v>
      </c>
    </row>
    <row r="494" spans="1:9" x14ac:dyDescent="0.2">
      <c r="A494" t="s">
        <v>5768</v>
      </c>
      <c r="B494" t="s">
        <v>6248</v>
      </c>
      <c r="C494" s="2022">
        <v>-694560.48</v>
      </c>
      <c r="D494" s="2022">
        <v>0</v>
      </c>
      <c r="E494" s="2022">
        <v>131775.76999999999</v>
      </c>
      <c r="F494" s="2022">
        <v>-4612453.3499999996</v>
      </c>
      <c r="G494" s="2022">
        <v>0</v>
      </c>
      <c r="H494" s="2022">
        <v>-4480677.58</v>
      </c>
      <c r="I494" s="2022">
        <f t="shared" si="7"/>
        <v>-4480677.58</v>
      </c>
    </row>
    <row r="495" spans="1:9" x14ac:dyDescent="0.2">
      <c r="A495" t="s">
        <v>5770</v>
      </c>
      <c r="B495" t="s">
        <v>6037</v>
      </c>
      <c r="C495" s="2022">
        <v>-3165581.42</v>
      </c>
      <c r="D495" s="2022">
        <v>0</v>
      </c>
      <c r="E495" s="2022">
        <v>0</v>
      </c>
      <c r="F495" s="2022">
        <v>0</v>
      </c>
      <c r="G495" s="2022">
        <v>0</v>
      </c>
      <c r="H495" s="2022">
        <v>0</v>
      </c>
      <c r="I495" s="2022">
        <f t="shared" si="7"/>
        <v>0</v>
      </c>
    </row>
    <row r="496" spans="1:9" x14ac:dyDescent="0.2">
      <c r="A496" t="s">
        <v>5771</v>
      </c>
      <c r="B496" t="s">
        <v>6003</v>
      </c>
      <c r="C496" s="2022">
        <v>1468457.08</v>
      </c>
      <c r="D496" s="2022">
        <v>0</v>
      </c>
      <c r="E496" s="2022">
        <v>1552645.13</v>
      </c>
      <c r="F496" s="2022">
        <v>-33926.769999999997</v>
      </c>
      <c r="G496" s="2022">
        <v>1518718.36</v>
      </c>
      <c r="H496" s="2022">
        <v>0</v>
      </c>
      <c r="I496" s="2022">
        <f t="shared" si="7"/>
        <v>1518718.36</v>
      </c>
    </row>
    <row r="497" spans="1:9" x14ac:dyDescent="0.2">
      <c r="A497" t="s">
        <v>5772</v>
      </c>
      <c r="B497" t="s">
        <v>6004</v>
      </c>
      <c r="C497" s="2022">
        <v>119995.23</v>
      </c>
      <c r="D497" s="2022">
        <v>0</v>
      </c>
      <c r="E497" s="2022">
        <v>144210.39000000001</v>
      </c>
      <c r="F497" s="2022">
        <v>0</v>
      </c>
      <c r="G497" s="2022">
        <v>144210.39000000001</v>
      </c>
      <c r="H497" s="2022">
        <v>0</v>
      </c>
      <c r="I497" s="2022">
        <f t="shared" si="7"/>
        <v>144210.39000000001</v>
      </c>
    </row>
    <row r="498" spans="1:9" x14ac:dyDescent="0.2">
      <c r="A498" t="s">
        <v>5774</v>
      </c>
      <c r="B498" t="s">
        <v>6236</v>
      </c>
      <c r="C498" s="2022">
        <v>3987.46</v>
      </c>
      <c r="D498" s="2022">
        <v>0</v>
      </c>
      <c r="E498" s="2022">
        <v>3987.46</v>
      </c>
      <c r="F498" s="2022">
        <v>0</v>
      </c>
      <c r="G498" s="2022">
        <v>3987.46</v>
      </c>
      <c r="H498" s="2022">
        <v>0</v>
      </c>
      <c r="I498" s="2022">
        <f t="shared" si="7"/>
        <v>3987.46</v>
      </c>
    </row>
    <row r="499" spans="1:9" x14ac:dyDescent="0.2">
      <c r="A499" t="s">
        <v>5775</v>
      </c>
      <c r="B499" t="s">
        <v>6006</v>
      </c>
      <c r="C499" s="2022">
        <v>6264</v>
      </c>
      <c r="D499" s="2022">
        <v>0</v>
      </c>
      <c r="E499" s="2022">
        <v>6264</v>
      </c>
      <c r="F499" s="2022">
        <v>0</v>
      </c>
      <c r="G499" s="2022">
        <v>6264</v>
      </c>
      <c r="H499" s="2022">
        <v>0</v>
      </c>
      <c r="I499" s="2022">
        <f t="shared" si="7"/>
        <v>6264</v>
      </c>
    </row>
    <row r="500" spans="1:9" x14ac:dyDescent="0.2">
      <c r="A500" t="s">
        <v>5776</v>
      </c>
      <c r="B500" t="s">
        <v>6007</v>
      </c>
      <c r="C500" s="2022">
        <v>61844.45</v>
      </c>
      <c r="D500" s="2022">
        <v>0</v>
      </c>
      <c r="E500" s="2022">
        <v>65694.45</v>
      </c>
      <c r="F500" s="2022">
        <v>0</v>
      </c>
      <c r="G500" s="2022">
        <v>65694.45</v>
      </c>
      <c r="H500" s="2022">
        <v>0</v>
      </c>
      <c r="I500" s="2022">
        <f t="shared" si="7"/>
        <v>65694.45</v>
      </c>
    </row>
    <row r="501" spans="1:9" x14ac:dyDescent="0.2">
      <c r="A501" t="s">
        <v>5778</v>
      </c>
      <c r="B501" t="s">
        <v>6009</v>
      </c>
      <c r="C501" s="2022">
        <v>18335.310000000001</v>
      </c>
      <c r="D501" s="2022">
        <v>0</v>
      </c>
      <c r="E501" s="2022">
        <v>18335.310000000001</v>
      </c>
      <c r="F501" s="2022">
        <v>0</v>
      </c>
      <c r="G501" s="2022">
        <v>18335.310000000001</v>
      </c>
      <c r="H501" s="2022">
        <v>0</v>
      </c>
      <c r="I501" s="2022">
        <f t="shared" si="7"/>
        <v>18335.310000000001</v>
      </c>
    </row>
    <row r="502" spans="1:9" x14ac:dyDescent="0.2">
      <c r="A502" t="s">
        <v>5779</v>
      </c>
      <c r="B502" t="s">
        <v>6010</v>
      </c>
      <c r="C502" s="2022">
        <v>984</v>
      </c>
      <c r="D502" s="2022">
        <v>0</v>
      </c>
      <c r="E502" s="2022">
        <v>1041.4000000000001</v>
      </c>
      <c r="F502" s="2022">
        <v>0</v>
      </c>
      <c r="G502" s="2022">
        <v>1041.4000000000001</v>
      </c>
      <c r="H502" s="2022">
        <v>0</v>
      </c>
      <c r="I502" s="2022">
        <f t="shared" si="7"/>
        <v>1041.4000000000001</v>
      </c>
    </row>
    <row r="503" spans="1:9" x14ac:dyDescent="0.2">
      <c r="A503" t="s">
        <v>5780</v>
      </c>
      <c r="B503" t="s">
        <v>6011</v>
      </c>
      <c r="C503" s="2022">
        <v>19030.849999999999</v>
      </c>
      <c r="D503" s="2022">
        <v>0</v>
      </c>
      <c r="E503" s="2022">
        <v>17323.61</v>
      </c>
      <c r="F503" s="2022">
        <v>0</v>
      </c>
      <c r="G503" s="2022">
        <v>17323.61</v>
      </c>
      <c r="H503" s="2022">
        <v>0</v>
      </c>
      <c r="I503" s="2022">
        <f t="shared" si="7"/>
        <v>17323.61</v>
      </c>
    </row>
    <row r="504" spans="1:9" x14ac:dyDescent="0.2">
      <c r="A504" t="s">
        <v>5782</v>
      </c>
      <c r="B504" t="s">
        <v>6012</v>
      </c>
      <c r="C504" s="2022">
        <v>108914.4</v>
      </c>
      <c r="D504" s="2022">
        <v>0</v>
      </c>
      <c r="E504" s="2022">
        <v>120798.6</v>
      </c>
      <c r="F504" s="2022">
        <v>0</v>
      </c>
      <c r="G504" s="2022">
        <v>120798.6</v>
      </c>
      <c r="H504" s="2022">
        <v>0</v>
      </c>
      <c r="I504" s="2022">
        <f t="shared" si="7"/>
        <v>120798.6</v>
      </c>
    </row>
    <row r="505" spans="1:9" x14ac:dyDescent="0.2">
      <c r="A505" t="s">
        <v>5783</v>
      </c>
      <c r="B505" t="s">
        <v>6013</v>
      </c>
      <c r="C505" s="2022">
        <v>255549.37</v>
      </c>
      <c r="D505" s="2022">
        <v>0</v>
      </c>
      <c r="E505" s="2022">
        <v>263606.76</v>
      </c>
      <c r="F505" s="2022">
        <v>0</v>
      </c>
      <c r="G505" s="2022">
        <v>263606.76</v>
      </c>
      <c r="H505" s="2022">
        <v>0</v>
      </c>
      <c r="I505" s="2022">
        <f t="shared" si="7"/>
        <v>263606.76</v>
      </c>
    </row>
    <row r="506" spans="1:9" x14ac:dyDescent="0.2">
      <c r="A506" t="s">
        <v>5784</v>
      </c>
      <c r="B506" t="s">
        <v>6014</v>
      </c>
      <c r="C506" s="2022">
        <v>20206.080000000002</v>
      </c>
      <c r="D506" s="2022">
        <v>0</v>
      </c>
      <c r="E506" s="2022">
        <v>17204.27</v>
      </c>
      <c r="F506" s="2022">
        <v>0</v>
      </c>
      <c r="G506" s="2022">
        <v>17204.27</v>
      </c>
      <c r="H506" s="2022">
        <v>0</v>
      </c>
      <c r="I506" s="2022">
        <f t="shared" si="7"/>
        <v>17204.27</v>
      </c>
    </row>
    <row r="507" spans="1:9" x14ac:dyDescent="0.2">
      <c r="A507" t="s">
        <v>5788</v>
      </c>
      <c r="B507" t="s">
        <v>6240</v>
      </c>
      <c r="C507" s="2022">
        <v>8106389.4299999997</v>
      </c>
      <c r="D507" s="2022">
        <v>0</v>
      </c>
      <c r="E507" s="2022">
        <v>0</v>
      </c>
      <c r="F507" s="2022">
        <v>0</v>
      </c>
      <c r="G507" s="2022">
        <v>0</v>
      </c>
      <c r="H507" s="2022">
        <v>0</v>
      </c>
      <c r="I507" s="2022">
        <f t="shared" si="7"/>
        <v>0</v>
      </c>
    </row>
    <row r="508" spans="1:9" x14ac:dyDescent="0.2">
      <c r="A508" t="s">
        <v>5789</v>
      </c>
      <c r="B508" t="s">
        <v>6249</v>
      </c>
      <c r="C508" s="2022">
        <v>536000</v>
      </c>
      <c r="D508" s="2022">
        <v>0</v>
      </c>
      <c r="E508" s="2022">
        <v>0</v>
      </c>
      <c r="F508" s="2022">
        <v>0</v>
      </c>
      <c r="G508" s="2022">
        <v>0</v>
      </c>
      <c r="H508" s="2022">
        <v>0</v>
      </c>
      <c r="I508" s="2022">
        <f t="shared" si="7"/>
        <v>0</v>
      </c>
    </row>
    <row r="509" spans="1:9" x14ac:dyDescent="0.2">
      <c r="A509" t="s">
        <v>5791</v>
      </c>
      <c r="B509" t="s">
        <v>5792</v>
      </c>
      <c r="C509" s="2022">
        <v>4200000</v>
      </c>
      <c r="D509" s="2022">
        <v>0</v>
      </c>
      <c r="E509" s="2022">
        <v>0</v>
      </c>
      <c r="F509" s="2022">
        <v>0</v>
      </c>
      <c r="G509" s="2022">
        <v>0</v>
      </c>
      <c r="H509" s="2022">
        <v>0</v>
      </c>
      <c r="I509" s="2022">
        <f t="shared" si="7"/>
        <v>0</v>
      </c>
    </row>
    <row r="510" spans="1:9" x14ac:dyDescent="0.2">
      <c r="A510" t="s">
        <v>5797</v>
      </c>
      <c r="B510" t="s">
        <v>6241</v>
      </c>
      <c r="C510" s="2022">
        <v>0</v>
      </c>
      <c r="D510" s="2022">
        <v>0</v>
      </c>
      <c r="E510" s="2022">
        <v>6185</v>
      </c>
      <c r="F510" s="2022">
        <v>0</v>
      </c>
      <c r="G510" s="2022">
        <v>6185</v>
      </c>
      <c r="H510" s="2022">
        <v>0</v>
      </c>
      <c r="I510" s="2022">
        <f t="shared" si="7"/>
        <v>6185</v>
      </c>
    </row>
    <row r="511" spans="1:9" x14ac:dyDescent="0.2">
      <c r="A511" t="s">
        <v>5799</v>
      </c>
      <c r="B511" t="s">
        <v>6108</v>
      </c>
      <c r="C511" s="2022">
        <v>5661</v>
      </c>
      <c r="D511" s="2022">
        <v>0</v>
      </c>
      <c r="E511" s="2022">
        <v>8840.6</v>
      </c>
      <c r="F511" s="2022">
        <v>0</v>
      </c>
      <c r="G511" s="2022">
        <v>8840.6</v>
      </c>
      <c r="H511" s="2022">
        <v>0</v>
      </c>
      <c r="I511" s="2022">
        <f t="shared" si="7"/>
        <v>8840.6</v>
      </c>
    </row>
    <row r="512" spans="1:9" x14ac:dyDescent="0.2">
      <c r="A512" t="s">
        <v>5801</v>
      </c>
      <c r="B512" t="s">
        <v>4873</v>
      </c>
      <c r="C512" s="2022">
        <v>10050.48</v>
      </c>
      <c r="D512" s="2022">
        <v>0</v>
      </c>
      <c r="E512" s="2022">
        <v>8246.99</v>
      </c>
      <c r="F512" s="2022">
        <v>0</v>
      </c>
      <c r="G512" s="2022">
        <v>8246.99</v>
      </c>
      <c r="H512" s="2022">
        <v>0</v>
      </c>
      <c r="I512" s="2022">
        <f t="shared" si="7"/>
        <v>8246.99</v>
      </c>
    </row>
    <row r="513" spans="1:9" x14ac:dyDescent="0.2">
      <c r="A513" t="s">
        <v>5803</v>
      </c>
      <c r="B513" t="s">
        <v>6029</v>
      </c>
      <c r="C513" s="2022">
        <v>80000</v>
      </c>
      <c r="D513" s="2022">
        <v>0</v>
      </c>
      <c r="E513" s="2022">
        <v>95505.3</v>
      </c>
      <c r="F513" s="2022">
        <v>0</v>
      </c>
      <c r="G513" s="2022">
        <v>95505.3</v>
      </c>
      <c r="H513" s="2022">
        <v>0</v>
      </c>
      <c r="I513" s="2022">
        <f t="shared" si="7"/>
        <v>95505.3</v>
      </c>
    </row>
    <row r="514" spans="1:9" x14ac:dyDescent="0.2">
      <c r="A514" t="s">
        <v>5805</v>
      </c>
      <c r="B514" t="s">
        <v>6030</v>
      </c>
      <c r="C514" s="2022">
        <v>86793.52</v>
      </c>
      <c r="D514" s="2022">
        <v>0</v>
      </c>
      <c r="E514" s="2022">
        <v>46429.06</v>
      </c>
      <c r="F514" s="2022">
        <v>0</v>
      </c>
      <c r="G514" s="2022">
        <v>46429.06</v>
      </c>
      <c r="H514" s="2022">
        <v>0</v>
      </c>
      <c r="I514" s="2022">
        <f t="shared" si="7"/>
        <v>46429.06</v>
      </c>
    </row>
    <row r="515" spans="1:9" x14ac:dyDescent="0.2">
      <c r="A515" t="s">
        <v>5806</v>
      </c>
      <c r="B515" t="s">
        <v>4883</v>
      </c>
      <c r="C515" s="2022">
        <v>1000</v>
      </c>
      <c r="D515" s="2022">
        <v>0</v>
      </c>
      <c r="E515" s="2022">
        <v>105.7</v>
      </c>
      <c r="F515" s="2022">
        <v>0</v>
      </c>
      <c r="G515" s="2022">
        <v>105.7</v>
      </c>
      <c r="H515" s="2022">
        <v>0</v>
      </c>
      <c r="I515" s="2022">
        <f t="shared" ref="I515:I578" si="8">G515+H515</f>
        <v>105.7</v>
      </c>
    </row>
    <row r="516" spans="1:9" x14ac:dyDescent="0.2">
      <c r="A516" t="s">
        <v>5808</v>
      </c>
      <c r="B516" t="s">
        <v>6032</v>
      </c>
      <c r="C516" s="2022">
        <v>10000</v>
      </c>
      <c r="D516" s="2022">
        <v>0</v>
      </c>
      <c r="E516" s="2022">
        <v>2370.56</v>
      </c>
      <c r="F516" s="2022">
        <v>0</v>
      </c>
      <c r="G516" s="2022">
        <v>2370.56</v>
      </c>
      <c r="H516" s="2022">
        <v>0</v>
      </c>
      <c r="I516" s="2022">
        <f t="shared" si="8"/>
        <v>2370.56</v>
      </c>
    </row>
    <row r="517" spans="1:9" x14ac:dyDescent="0.2">
      <c r="A517" t="s">
        <v>5810</v>
      </c>
      <c r="B517" t="s">
        <v>6250</v>
      </c>
      <c r="C517" s="2022">
        <v>0</v>
      </c>
      <c r="D517" s="2022">
        <v>0</v>
      </c>
      <c r="E517" s="2022">
        <v>326890.44</v>
      </c>
      <c r="F517" s="2022">
        <v>0</v>
      </c>
      <c r="G517" s="2022">
        <v>326890.44</v>
      </c>
      <c r="H517" s="2022">
        <v>0</v>
      </c>
      <c r="I517" s="2022">
        <f t="shared" si="8"/>
        <v>326890.44</v>
      </c>
    </row>
    <row r="518" spans="1:9" x14ac:dyDescent="0.2">
      <c r="A518" t="s">
        <v>5811</v>
      </c>
      <c r="B518" t="s">
        <v>4929</v>
      </c>
      <c r="C518" s="2022">
        <v>0</v>
      </c>
      <c r="D518" s="2022">
        <v>0</v>
      </c>
      <c r="E518" s="2022">
        <v>1724.18</v>
      </c>
      <c r="F518" s="2022">
        <v>-2967.92</v>
      </c>
      <c r="G518" s="2022">
        <v>0</v>
      </c>
      <c r="H518" s="2022">
        <v>-1243.74</v>
      </c>
      <c r="I518" s="2022">
        <f t="shared" si="8"/>
        <v>-1243.74</v>
      </c>
    </row>
    <row r="519" spans="1:9" x14ac:dyDescent="0.2">
      <c r="A519" t="s">
        <v>5814</v>
      </c>
      <c r="B519" t="s">
        <v>6251</v>
      </c>
      <c r="C519" s="2022">
        <v>61576.22</v>
      </c>
      <c r="D519" s="2022">
        <v>0</v>
      </c>
      <c r="E519" s="2022">
        <v>71176.22</v>
      </c>
      <c r="F519" s="2022">
        <v>0</v>
      </c>
      <c r="G519" s="2022">
        <v>71176.22</v>
      </c>
      <c r="H519" s="2022">
        <v>0</v>
      </c>
      <c r="I519" s="2022">
        <f t="shared" si="8"/>
        <v>71176.22</v>
      </c>
    </row>
    <row r="520" spans="1:9" x14ac:dyDescent="0.2">
      <c r="A520" t="s">
        <v>5815</v>
      </c>
      <c r="B520" t="s">
        <v>6034</v>
      </c>
      <c r="C520" s="2022">
        <v>45000</v>
      </c>
      <c r="D520" s="2022">
        <v>0</v>
      </c>
      <c r="E520" s="2022">
        <v>43329.26</v>
      </c>
      <c r="F520" s="2022">
        <v>0</v>
      </c>
      <c r="G520" s="2022">
        <v>43329.26</v>
      </c>
      <c r="H520" s="2022">
        <v>0</v>
      </c>
      <c r="I520" s="2022">
        <f t="shared" si="8"/>
        <v>43329.26</v>
      </c>
    </row>
    <row r="521" spans="1:9" x14ac:dyDescent="0.2">
      <c r="A521" t="s">
        <v>5817</v>
      </c>
      <c r="B521" t="s">
        <v>6035</v>
      </c>
      <c r="C521" s="2022">
        <v>11901.41</v>
      </c>
      <c r="D521" s="2022">
        <v>0</v>
      </c>
      <c r="E521" s="2022">
        <v>11606.07</v>
      </c>
      <c r="F521" s="2022">
        <v>0</v>
      </c>
      <c r="G521" s="2022">
        <v>11606.07</v>
      </c>
      <c r="H521" s="2022">
        <v>0</v>
      </c>
      <c r="I521" s="2022">
        <f t="shared" si="8"/>
        <v>11606.07</v>
      </c>
    </row>
    <row r="522" spans="1:9" x14ac:dyDescent="0.2">
      <c r="A522" t="s">
        <v>5818</v>
      </c>
      <c r="B522" t="s">
        <v>6036</v>
      </c>
      <c r="C522" s="2022">
        <v>14378.08</v>
      </c>
      <c r="D522" s="2022">
        <v>0</v>
      </c>
      <c r="E522" s="2022">
        <v>4387.5200000000004</v>
      </c>
      <c r="F522" s="2022">
        <v>0</v>
      </c>
      <c r="G522" s="2022">
        <v>4387.5200000000004</v>
      </c>
      <c r="H522" s="2022">
        <v>0</v>
      </c>
      <c r="I522" s="2022">
        <f t="shared" si="8"/>
        <v>4387.5200000000004</v>
      </c>
    </row>
    <row r="523" spans="1:9" x14ac:dyDescent="0.2">
      <c r="A523" t="s">
        <v>5819</v>
      </c>
      <c r="B523" t="s">
        <v>6252</v>
      </c>
      <c r="C523" s="2022">
        <v>-6488.53</v>
      </c>
      <c r="D523" s="2022">
        <v>0</v>
      </c>
      <c r="E523" s="2022">
        <v>0</v>
      </c>
      <c r="F523" s="2022">
        <v>0</v>
      </c>
      <c r="G523" s="2022">
        <v>0</v>
      </c>
      <c r="H523" s="2022">
        <v>0</v>
      </c>
      <c r="I523" s="2022">
        <f t="shared" si="8"/>
        <v>0</v>
      </c>
    </row>
    <row r="524" spans="1:9" x14ac:dyDescent="0.2">
      <c r="A524" t="s">
        <v>5820</v>
      </c>
      <c r="B524" t="s">
        <v>6037</v>
      </c>
      <c r="C524" s="2022">
        <v>-2402403.79</v>
      </c>
      <c r="D524" s="2022">
        <v>0</v>
      </c>
      <c r="E524" s="2022">
        <v>0</v>
      </c>
      <c r="F524" s="2022">
        <v>0</v>
      </c>
      <c r="G524" s="2022">
        <v>0</v>
      </c>
      <c r="H524" s="2022">
        <v>0</v>
      </c>
      <c r="I524" s="2022">
        <f t="shared" si="8"/>
        <v>0</v>
      </c>
    </row>
    <row r="525" spans="1:9" x14ac:dyDescent="0.2">
      <c r="A525" t="s">
        <v>5821</v>
      </c>
      <c r="B525" t="s">
        <v>6244</v>
      </c>
      <c r="C525" s="2022">
        <v>-8106389.4299999997</v>
      </c>
      <c r="D525" s="2022">
        <v>0</v>
      </c>
      <c r="E525" s="2022">
        <v>0</v>
      </c>
      <c r="F525" s="2022">
        <v>0</v>
      </c>
      <c r="G525" s="2022">
        <v>0</v>
      </c>
      <c r="H525" s="2022">
        <v>0</v>
      </c>
      <c r="I525" s="2022">
        <f t="shared" si="8"/>
        <v>0</v>
      </c>
    </row>
    <row r="526" spans="1:9" x14ac:dyDescent="0.2">
      <c r="A526" t="s">
        <v>5822</v>
      </c>
      <c r="B526" t="s">
        <v>6253</v>
      </c>
      <c r="C526" s="2022">
        <v>-536000</v>
      </c>
      <c r="D526" s="2022">
        <v>0</v>
      </c>
      <c r="E526" s="2022">
        <v>0</v>
      </c>
      <c r="F526" s="2022">
        <v>0</v>
      </c>
      <c r="G526" s="2022">
        <v>0</v>
      </c>
      <c r="H526" s="2022">
        <v>0</v>
      </c>
      <c r="I526" s="2022">
        <f t="shared" si="8"/>
        <v>0</v>
      </c>
    </row>
    <row r="527" spans="1:9" x14ac:dyDescent="0.2">
      <c r="A527" t="s">
        <v>5824</v>
      </c>
      <c r="B527" t="s">
        <v>6254</v>
      </c>
      <c r="C527" s="2022">
        <v>-4200000</v>
      </c>
      <c r="D527" s="2022">
        <v>0</v>
      </c>
      <c r="E527" s="2022">
        <v>0</v>
      </c>
      <c r="F527" s="2022">
        <v>0</v>
      </c>
      <c r="G527" s="2022">
        <v>0</v>
      </c>
      <c r="H527" s="2022">
        <v>0</v>
      </c>
      <c r="I527" s="2022">
        <f t="shared" si="8"/>
        <v>0</v>
      </c>
    </row>
    <row r="528" spans="1:9" x14ac:dyDescent="0.2">
      <c r="A528" t="s">
        <v>5826</v>
      </c>
      <c r="B528" t="s">
        <v>6255</v>
      </c>
      <c r="C528" s="2022">
        <v>-1036.57</v>
      </c>
      <c r="D528" s="2022">
        <v>0</v>
      </c>
      <c r="E528" s="2022">
        <v>29.16</v>
      </c>
      <c r="F528" s="2022">
        <v>-237.6</v>
      </c>
      <c r="G528" s="2022">
        <v>0</v>
      </c>
      <c r="H528" s="2022">
        <v>-208.44</v>
      </c>
      <c r="I528" s="2022">
        <f t="shared" si="8"/>
        <v>-208.44</v>
      </c>
    </row>
    <row r="529" spans="1:9" x14ac:dyDescent="0.2">
      <c r="A529" t="s">
        <v>5828</v>
      </c>
      <c r="B529" t="s">
        <v>6003</v>
      </c>
      <c r="C529" s="2022">
        <v>3180071.08</v>
      </c>
      <c r="D529" s="2022">
        <v>0</v>
      </c>
      <c r="E529" s="2022">
        <v>3258616.8</v>
      </c>
      <c r="F529" s="2022">
        <v>-53715.09</v>
      </c>
      <c r="G529" s="2022">
        <v>3204901.71</v>
      </c>
      <c r="H529" s="2022">
        <v>0</v>
      </c>
      <c r="I529" s="2022">
        <f t="shared" si="8"/>
        <v>3204901.71</v>
      </c>
    </row>
    <row r="530" spans="1:9" x14ac:dyDescent="0.2">
      <c r="A530" t="s">
        <v>5829</v>
      </c>
      <c r="B530" t="s">
        <v>6004</v>
      </c>
      <c r="C530" s="2022">
        <v>211623.54</v>
      </c>
      <c r="D530" s="2022">
        <v>0</v>
      </c>
      <c r="E530" s="2022">
        <v>211448.58</v>
      </c>
      <c r="F530" s="2022">
        <v>0</v>
      </c>
      <c r="G530" s="2022">
        <v>211448.58</v>
      </c>
      <c r="H530" s="2022">
        <v>0</v>
      </c>
      <c r="I530" s="2022">
        <f t="shared" si="8"/>
        <v>211448.58</v>
      </c>
    </row>
    <row r="531" spans="1:9" x14ac:dyDescent="0.2">
      <c r="A531" t="s">
        <v>5830</v>
      </c>
      <c r="B531" t="s">
        <v>6005</v>
      </c>
      <c r="C531" s="2022">
        <v>1800</v>
      </c>
      <c r="D531" s="2022">
        <v>0</v>
      </c>
      <c r="E531" s="2022">
        <v>300</v>
      </c>
      <c r="F531" s="2022">
        <v>0</v>
      </c>
      <c r="G531" s="2022">
        <v>300</v>
      </c>
      <c r="H531" s="2022">
        <v>0</v>
      </c>
      <c r="I531" s="2022">
        <f t="shared" si="8"/>
        <v>300</v>
      </c>
    </row>
    <row r="532" spans="1:9" x14ac:dyDescent="0.2">
      <c r="A532" t="s">
        <v>5831</v>
      </c>
      <c r="B532" t="s">
        <v>6236</v>
      </c>
      <c r="C532" s="2022">
        <v>30911.919999999998</v>
      </c>
      <c r="D532" s="2022">
        <v>0</v>
      </c>
      <c r="E532" s="2022">
        <v>30911.919999999998</v>
      </c>
      <c r="F532" s="2022">
        <v>0</v>
      </c>
      <c r="G532" s="2022">
        <v>30911.919999999998</v>
      </c>
      <c r="H532" s="2022">
        <v>0</v>
      </c>
      <c r="I532" s="2022">
        <f t="shared" si="8"/>
        <v>30911.919999999998</v>
      </c>
    </row>
    <row r="533" spans="1:9" x14ac:dyDescent="0.2">
      <c r="A533" t="s">
        <v>5833</v>
      </c>
      <c r="B533" t="s">
        <v>6007</v>
      </c>
      <c r="C533" s="2022">
        <v>500000</v>
      </c>
      <c r="D533" s="2022">
        <v>0</v>
      </c>
      <c r="E533" s="2022">
        <v>502104.53</v>
      </c>
      <c r="F533" s="2022">
        <v>0</v>
      </c>
      <c r="G533" s="2022">
        <v>502104.53</v>
      </c>
      <c r="H533" s="2022">
        <v>0</v>
      </c>
      <c r="I533" s="2022">
        <f t="shared" si="8"/>
        <v>502104.53</v>
      </c>
    </row>
    <row r="534" spans="1:9" x14ac:dyDescent="0.2">
      <c r="A534" t="s">
        <v>5835</v>
      </c>
      <c r="B534" t="s">
        <v>6010</v>
      </c>
      <c r="C534" s="2022">
        <v>1664.6</v>
      </c>
      <c r="D534" s="2022">
        <v>0</v>
      </c>
      <c r="E534" s="2022">
        <v>1656.4</v>
      </c>
      <c r="F534" s="2022">
        <v>0</v>
      </c>
      <c r="G534" s="2022">
        <v>1656.4</v>
      </c>
      <c r="H534" s="2022">
        <v>0</v>
      </c>
      <c r="I534" s="2022">
        <f t="shared" si="8"/>
        <v>1656.4</v>
      </c>
    </row>
    <row r="535" spans="1:9" x14ac:dyDescent="0.2">
      <c r="A535" t="s">
        <v>5836</v>
      </c>
      <c r="B535" t="s">
        <v>6011</v>
      </c>
      <c r="C535" s="2022">
        <v>35714.42</v>
      </c>
      <c r="D535" s="2022">
        <v>0</v>
      </c>
      <c r="E535" s="2022">
        <v>31728.42</v>
      </c>
      <c r="F535" s="2022">
        <v>0</v>
      </c>
      <c r="G535" s="2022">
        <v>31728.42</v>
      </c>
      <c r="H535" s="2022">
        <v>0</v>
      </c>
      <c r="I535" s="2022">
        <f t="shared" si="8"/>
        <v>31728.42</v>
      </c>
    </row>
    <row r="536" spans="1:9" x14ac:dyDescent="0.2">
      <c r="A536" t="s">
        <v>5838</v>
      </c>
      <c r="B536" t="s">
        <v>6012</v>
      </c>
      <c r="C536" s="2022">
        <v>122311.8</v>
      </c>
      <c r="D536" s="2022">
        <v>0</v>
      </c>
      <c r="E536" s="2022">
        <v>131662.6</v>
      </c>
      <c r="F536" s="2022">
        <v>0</v>
      </c>
      <c r="G536" s="2022">
        <v>131662.6</v>
      </c>
      <c r="H536" s="2022">
        <v>0</v>
      </c>
      <c r="I536" s="2022">
        <f t="shared" si="8"/>
        <v>131662.6</v>
      </c>
    </row>
    <row r="537" spans="1:9" x14ac:dyDescent="0.2">
      <c r="A537" t="s">
        <v>5839</v>
      </c>
      <c r="B537" t="s">
        <v>6013</v>
      </c>
      <c r="C537" s="2022">
        <v>458476.46</v>
      </c>
      <c r="D537" s="2022">
        <v>0</v>
      </c>
      <c r="E537" s="2022">
        <v>457578.47</v>
      </c>
      <c r="F537" s="2022">
        <v>0</v>
      </c>
      <c r="G537" s="2022">
        <v>457578.47</v>
      </c>
      <c r="H537" s="2022">
        <v>0</v>
      </c>
      <c r="I537" s="2022">
        <f t="shared" si="8"/>
        <v>457578.47</v>
      </c>
    </row>
    <row r="538" spans="1:9" x14ac:dyDescent="0.2">
      <c r="A538" t="s">
        <v>5840</v>
      </c>
      <c r="B538" t="s">
        <v>6014</v>
      </c>
      <c r="C538" s="2022">
        <v>36827.89</v>
      </c>
      <c r="D538" s="2022">
        <v>0</v>
      </c>
      <c r="E538" s="2022">
        <v>31086.97</v>
      </c>
      <c r="F538" s="2022">
        <v>0</v>
      </c>
      <c r="G538" s="2022">
        <v>31086.97</v>
      </c>
      <c r="H538" s="2022">
        <v>0</v>
      </c>
      <c r="I538" s="2022">
        <f t="shared" si="8"/>
        <v>31086.97</v>
      </c>
    </row>
    <row r="539" spans="1:9" x14ac:dyDescent="0.2">
      <c r="A539" t="s">
        <v>5841</v>
      </c>
      <c r="B539" t="s">
        <v>6237</v>
      </c>
      <c r="C539" s="2022">
        <v>434745.59999999998</v>
      </c>
      <c r="D539" s="2022">
        <v>0</v>
      </c>
      <c r="E539" s="2022">
        <v>0</v>
      </c>
      <c r="F539" s="2022">
        <v>0</v>
      </c>
      <c r="G539" s="2022">
        <v>0</v>
      </c>
      <c r="H539" s="2022">
        <v>0</v>
      </c>
      <c r="I539" s="2022">
        <f t="shared" si="8"/>
        <v>0</v>
      </c>
    </row>
    <row r="540" spans="1:9" x14ac:dyDescent="0.2">
      <c r="A540" t="s">
        <v>5845</v>
      </c>
      <c r="B540" t="s">
        <v>6256</v>
      </c>
      <c r="C540" s="2022">
        <v>2315.79</v>
      </c>
      <c r="D540" s="2022">
        <v>0</v>
      </c>
      <c r="E540" s="2022">
        <v>2315.79</v>
      </c>
      <c r="F540" s="2022">
        <v>0</v>
      </c>
      <c r="G540" s="2022">
        <v>2315.79</v>
      </c>
      <c r="H540" s="2022">
        <v>0</v>
      </c>
      <c r="I540" s="2022">
        <f t="shared" si="8"/>
        <v>2315.79</v>
      </c>
    </row>
    <row r="541" spans="1:9" x14ac:dyDescent="0.2">
      <c r="A541" t="s">
        <v>5848</v>
      </c>
      <c r="B541" t="s">
        <v>6240</v>
      </c>
      <c r="C541" s="2022">
        <v>2850659.99</v>
      </c>
      <c r="D541" s="2022">
        <v>0</v>
      </c>
      <c r="E541" s="2022">
        <v>0</v>
      </c>
      <c r="F541" s="2022">
        <v>0</v>
      </c>
      <c r="G541" s="2022">
        <v>0</v>
      </c>
      <c r="H541" s="2022">
        <v>0</v>
      </c>
      <c r="I541" s="2022">
        <f t="shared" si="8"/>
        <v>0</v>
      </c>
    </row>
    <row r="542" spans="1:9" x14ac:dyDescent="0.2">
      <c r="A542" t="s">
        <v>5849</v>
      </c>
      <c r="B542" t="s">
        <v>6257</v>
      </c>
      <c r="C542" s="2022">
        <v>776553</v>
      </c>
      <c r="D542" s="2022">
        <v>0</v>
      </c>
      <c r="E542" s="2022">
        <v>0</v>
      </c>
      <c r="F542" s="2022">
        <v>0</v>
      </c>
      <c r="G542" s="2022">
        <v>0</v>
      </c>
      <c r="H542" s="2022">
        <v>0</v>
      </c>
      <c r="I542" s="2022">
        <f t="shared" si="8"/>
        <v>0</v>
      </c>
    </row>
    <row r="543" spans="1:9" x14ac:dyDescent="0.2">
      <c r="A543" t="s">
        <v>5850</v>
      </c>
      <c r="B543" t="s">
        <v>6021</v>
      </c>
      <c r="C543" s="2022">
        <v>23227.79</v>
      </c>
      <c r="D543" s="2022">
        <v>0</v>
      </c>
      <c r="E543" s="2022">
        <v>23227.79</v>
      </c>
      <c r="F543" s="2022">
        <v>0</v>
      </c>
      <c r="G543" s="2022">
        <v>23227.79</v>
      </c>
      <c r="H543" s="2022">
        <v>0</v>
      </c>
      <c r="I543" s="2022">
        <f t="shared" si="8"/>
        <v>23227.79</v>
      </c>
    </row>
    <row r="544" spans="1:9" x14ac:dyDescent="0.2">
      <c r="A544" t="s">
        <v>5851</v>
      </c>
      <c r="B544" t="s">
        <v>6105</v>
      </c>
      <c r="C544" s="2022">
        <v>0</v>
      </c>
      <c r="D544" s="2022">
        <v>0</v>
      </c>
      <c r="E544" s="2022">
        <v>175.44</v>
      </c>
      <c r="F544" s="2022">
        <v>0</v>
      </c>
      <c r="G544" s="2022">
        <v>175.44</v>
      </c>
      <c r="H544" s="2022">
        <v>0</v>
      </c>
      <c r="I544" s="2022">
        <f t="shared" si="8"/>
        <v>175.44</v>
      </c>
    </row>
    <row r="545" spans="1:9" x14ac:dyDescent="0.2">
      <c r="A545" t="s">
        <v>5853</v>
      </c>
      <c r="B545" t="s">
        <v>6241</v>
      </c>
      <c r="C545" s="2022">
        <v>5299.73</v>
      </c>
      <c r="D545" s="2022">
        <v>0</v>
      </c>
      <c r="E545" s="2022">
        <v>11518.67</v>
      </c>
      <c r="F545" s="2022">
        <v>0</v>
      </c>
      <c r="G545" s="2022">
        <v>11518.67</v>
      </c>
      <c r="H545" s="2022">
        <v>0</v>
      </c>
      <c r="I545" s="2022">
        <f t="shared" si="8"/>
        <v>11518.67</v>
      </c>
    </row>
    <row r="546" spans="1:9" x14ac:dyDescent="0.2">
      <c r="A546" t="s">
        <v>5856</v>
      </c>
      <c r="B546" t="s">
        <v>4873</v>
      </c>
      <c r="C546" s="2022">
        <v>50000</v>
      </c>
      <c r="D546" s="2022">
        <v>0</v>
      </c>
      <c r="E546" s="2022">
        <v>50065.279999999999</v>
      </c>
      <c r="F546" s="2022">
        <v>-96.4</v>
      </c>
      <c r="G546" s="2022">
        <v>49968.88</v>
      </c>
      <c r="H546" s="2022">
        <v>0</v>
      </c>
      <c r="I546" s="2022">
        <f t="shared" si="8"/>
        <v>49968.88</v>
      </c>
    </row>
    <row r="547" spans="1:9" x14ac:dyDescent="0.2">
      <c r="A547" t="s">
        <v>5859</v>
      </c>
      <c r="B547" t="s">
        <v>6258</v>
      </c>
      <c r="C547" s="2022">
        <v>1500000</v>
      </c>
      <c r="D547" s="2022">
        <v>0</v>
      </c>
      <c r="E547" s="2022">
        <v>2165966.1</v>
      </c>
      <c r="F547" s="2022">
        <v>-100160.26</v>
      </c>
      <c r="G547" s="2022">
        <v>2065805.84</v>
      </c>
      <c r="H547" s="2022">
        <v>0</v>
      </c>
      <c r="I547" s="2022">
        <f t="shared" si="8"/>
        <v>2065805.84</v>
      </c>
    </row>
    <row r="548" spans="1:9" x14ac:dyDescent="0.2">
      <c r="A548" t="s">
        <v>5861</v>
      </c>
      <c r="B548" t="s">
        <v>6029</v>
      </c>
      <c r="C548" s="2022">
        <v>5060</v>
      </c>
      <c r="D548" s="2022">
        <v>0</v>
      </c>
      <c r="E548" s="2022">
        <v>12216.52</v>
      </c>
      <c r="F548" s="2022">
        <v>0</v>
      </c>
      <c r="G548" s="2022">
        <v>12216.52</v>
      </c>
      <c r="H548" s="2022">
        <v>0</v>
      </c>
      <c r="I548" s="2022">
        <f t="shared" si="8"/>
        <v>12216.52</v>
      </c>
    </row>
    <row r="549" spans="1:9" x14ac:dyDescent="0.2">
      <c r="A549" t="s">
        <v>5863</v>
      </c>
      <c r="B549" t="s">
        <v>6030</v>
      </c>
      <c r="C549" s="2022">
        <v>12675.92</v>
      </c>
      <c r="D549" s="2022">
        <v>0</v>
      </c>
      <c r="E549" s="2022">
        <v>17244.34</v>
      </c>
      <c r="F549" s="2022">
        <v>0</v>
      </c>
      <c r="G549" s="2022">
        <v>17244.34</v>
      </c>
      <c r="H549" s="2022">
        <v>0</v>
      </c>
      <c r="I549" s="2022">
        <f t="shared" si="8"/>
        <v>17244.34</v>
      </c>
    </row>
    <row r="550" spans="1:9" x14ac:dyDescent="0.2">
      <c r="A550" t="s">
        <v>5864</v>
      </c>
      <c r="B550" t="s">
        <v>4883</v>
      </c>
      <c r="C550" s="2022">
        <v>837</v>
      </c>
      <c r="D550" s="2022">
        <v>0</v>
      </c>
      <c r="E550" s="2022">
        <v>1655.42</v>
      </c>
      <c r="F550" s="2022">
        <v>0</v>
      </c>
      <c r="G550" s="2022">
        <v>1655.42</v>
      </c>
      <c r="H550" s="2022">
        <v>0</v>
      </c>
      <c r="I550" s="2022">
        <f t="shared" si="8"/>
        <v>1655.42</v>
      </c>
    </row>
    <row r="551" spans="1:9" x14ac:dyDescent="0.2">
      <c r="A551" t="s">
        <v>5866</v>
      </c>
      <c r="B551" t="s">
        <v>6259</v>
      </c>
      <c r="C551" s="2022">
        <v>15000</v>
      </c>
      <c r="D551" s="2022">
        <v>0</v>
      </c>
      <c r="E551" s="2022">
        <v>12098.25</v>
      </c>
      <c r="F551" s="2022">
        <v>-400</v>
      </c>
      <c r="G551" s="2022">
        <v>11698.25</v>
      </c>
      <c r="H551" s="2022">
        <v>0</v>
      </c>
      <c r="I551" s="2022">
        <f t="shared" si="8"/>
        <v>11698.25</v>
      </c>
    </row>
    <row r="552" spans="1:9" x14ac:dyDescent="0.2">
      <c r="A552" t="s">
        <v>5868</v>
      </c>
      <c r="B552" t="s">
        <v>6032</v>
      </c>
      <c r="C552" s="2022">
        <v>10000</v>
      </c>
      <c r="D552" s="2022">
        <v>0</v>
      </c>
      <c r="E552" s="2022">
        <v>24275.9</v>
      </c>
      <c r="F552" s="2022">
        <v>-646.79999999999995</v>
      </c>
      <c r="G552" s="2022">
        <v>23629.1</v>
      </c>
      <c r="H552" s="2022">
        <v>0</v>
      </c>
      <c r="I552" s="2022">
        <f t="shared" si="8"/>
        <v>23629.1</v>
      </c>
    </row>
    <row r="553" spans="1:9" x14ac:dyDescent="0.2">
      <c r="A553" t="s">
        <v>5869</v>
      </c>
      <c r="B553" t="s">
        <v>6033</v>
      </c>
      <c r="C553" s="2022">
        <v>12872.49</v>
      </c>
      <c r="D553" s="2022">
        <v>0</v>
      </c>
      <c r="E553" s="2022">
        <v>15510.26</v>
      </c>
      <c r="F553" s="2022">
        <v>0</v>
      </c>
      <c r="G553" s="2022">
        <v>15510.26</v>
      </c>
      <c r="H553" s="2022">
        <v>0</v>
      </c>
      <c r="I553" s="2022">
        <f t="shared" si="8"/>
        <v>15510.26</v>
      </c>
    </row>
    <row r="554" spans="1:9" x14ac:dyDescent="0.2">
      <c r="A554" t="s">
        <v>5870</v>
      </c>
      <c r="B554" t="s">
        <v>6172</v>
      </c>
      <c r="C554" s="2022">
        <v>10000</v>
      </c>
      <c r="D554" s="2022">
        <v>0</v>
      </c>
      <c r="E554" s="2022">
        <v>457.85</v>
      </c>
      <c r="F554" s="2022">
        <v>0</v>
      </c>
      <c r="G554" s="2022">
        <v>457.85</v>
      </c>
      <c r="H554" s="2022">
        <v>0</v>
      </c>
      <c r="I554" s="2022">
        <f t="shared" si="8"/>
        <v>457.85</v>
      </c>
    </row>
    <row r="555" spans="1:9" x14ac:dyDescent="0.2">
      <c r="A555" t="s">
        <v>5872</v>
      </c>
      <c r="B555" t="s">
        <v>6250</v>
      </c>
      <c r="C555" s="2022">
        <v>508500.6</v>
      </c>
      <c r="D555" s="2022">
        <v>0</v>
      </c>
      <c r="E555" s="2022">
        <v>512011.23</v>
      </c>
      <c r="F555" s="2022">
        <v>-179250</v>
      </c>
      <c r="G555" s="2022">
        <v>332761.23</v>
      </c>
      <c r="H555" s="2022">
        <v>0</v>
      </c>
      <c r="I555" s="2022">
        <f t="shared" si="8"/>
        <v>332761.23</v>
      </c>
    </row>
    <row r="556" spans="1:9" x14ac:dyDescent="0.2">
      <c r="A556" t="s">
        <v>5874</v>
      </c>
      <c r="B556" t="s">
        <v>6173</v>
      </c>
      <c r="C556" s="2022">
        <v>2148.5</v>
      </c>
      <c r="D556" s="2022">
        <v>0</v>
      </c>
      <c r="E556" s="2022">
        <v>2148.5</v>
      </c>
      <c r="F556" s="2022">
        <v>0</v>
      </c>
      <c r="G556" s="2022">
        <v>2148.5</v>
      </c>
      <c r="H556" s="2022">
        <v>0</v>
      </c>
      <c r="I556" s="2022">
        <f t="shared" si="8"/>
        <v>2148.5</v>
      </c>
    </row>
    <row r="557" spans="1:9" x14ac:dyDescent="0.2">
      <c r="A557" t="s">
        <v>5875</v>
      </c>
      <c r="B557" t="s">
        <v>6205</v>
      </c>
      <c r="C557" s="2022">
        <v>2810</v>
      </c>
      <c r="D557" s="2022">
        <v>0</v>
      </c>
      <c r="E557" s="2022">
        <v>2866.66</v>
      </c>
      <c r="F557" s="2022">
        <v>0</v>
      </c>
      <c r="G557" s="2022">
        <v>2866.66</v>
      </c>
      <c r="H557" s="2022">
        <v>0</v>
      </c>
      <c r="I557" s="2022">
        <f t="shared" si="8"/>
        <v>2866.66</v>
      </c>
    </row>
    <row r="558" spans="1:9" x14ac:dyDescent="0.2">
      <c r="A558" t="s">
        <v>5877</v>
      </c>
      <c r="B558" t="s">
        <v>6034</v>
      </c>
      <c r="C558" s="2022">
        <v>45000</v>
      </c>
      <c r="D558" s="2022">
        <v>0</v>
      </c>
      <c r="E558" s="2022">
        <v>47495.12</v>
      </c>
      <c r="F558" s="2022">
        <v>0</v>
      </c>
      <c r="G558" s="2022">
        <v>47495.12</v>
      </c>
      <c r="H558" s="2022">
        <v>0</v>
      </c>
      <c r="I558" s="2022">
        <f t="shared" si="8"/>
        <v>47495.12</v>
      </c>
    </row>
    <row r="559" spans="1:9" x14ac:dyDescent="0.2">
      <c r="A559" t="s">
        <v>5878</v>
      </c>
      <c r="B559" t="s">
        <v>6260</v>
      </c>
      <c r="C559" s="2022">
        <v>0</v>
      </c>
      <c r="D559" s="2022">
        <v>0</v>
      </c>
      <c r="E559" s="2022">
        <v>57408.87</v>
      </c>
      <c r="F559" s="2022">
        <v>-98.9</v>
      </c>
      <c r="G559" s="2022">
        <v>57309.97</v>
      </c>
      <c r="H559" s="2022">
        <v>0</v>
      </c>
      <c r="I559" s="2022">
        <f t="shared" si="8"/>
        <v>57309.97</v>
      </c>
    </row>
    <row r="560" spans="1:9" x14ac:dyDescent="0.2">
      <c r="A560" t="s">
        <v>5879</v>
      </c>
      <c r="B560" t="s">
        <v>6242</v>
      </c>
      <c r="C560" s="2022">
        <v>150000</v>
      </c>
      <c r="D560" s="2022">
        <v>0</v>
      </c>
      <c r="E560" s="2022">
        <v>132456.07999999999</v>
      </c>
      <c r="F560" s="2022">
        <v>-21978.53</v>
      </c>
      <c r="G560" s="2022">
        <v>110477.55</v>
      </c>
      <c r="H560" s="2022">
        <v>0</v>
      </c>
      <c r="I560" s="2022">
        <f t="shared" si="8"/>
        <v>110477.55</v>
      </c>
    </row>
    <row r="561" spans="1:9" x14ac:dyDescent="0.2">
      <c r="A561" t="s">
        <v>5881</v>
      </c>
      <c r="B561" t="s">
        <v>6035</v>
      </c>
      <c r="C561" s="2022">
        <v>652.4</v>
      </c>
      <c r="D561" s="2022">
        <v>0</v>
      </c>
      <c r="E561" s="2022">
        <v>0</v>
      </c>
      <c r="F561" s="2022">
        <v>0</v>
      </c>
      <c r="G561" s="2022">
        <v>0</v>
      </c>
      <c r="H561" s="2022">
        <v>0</v>
      </c>
      <c r="I561" s="2022">
        <f t="shared" si="8"/>
        <v>0</v>
      </c>
    </row>
    <row r="562" spans="1:9" x14ac:dyDescent="0.2">
      <c r="A562" t="s">
        <v>5882</v>
      </c>
      <c r="B562" t="s">
        <v>6036</v>
      </c>
      <c r="C562" s="2022">
        <v>18492.419999999998</v>
      </c>
      <c r="D562" s="2022">
        <v>0</v>
      </c>
      <c r="E562" s="2022">
        <v>0</v>
      </c>
      <c r="F562" s="2022">
        <v>0</v>
      </c>
      <c r="G562" s="2022">
        <v>0</v>
      </c>
      <c r="H562" s="2022">
        <v>0</v>
      </c>
      <c r="I562" s="2022">
        <f t="shared" si="8"/>
        <v>0</v>
      </c>
    </row>
    <row r="563" spans="1:9" x14ac:dyDescent="0.2">
      <c r="A563" t="s">
        <v>5884</v>
      </c>
      <c r="B563" t="s">
        <v>6261</v>
      </c>
      <c r="C563" s="2022">
        <v>-2175371.4900000002</v>
      </c>
      <c r="D563" s="2022">
        <v>0</v>
      </c>
      <c r="E563" s="2022">
        <v>126425639.83</v>
      </c>
      <c r="F563" s="2022">
        <v>-149925595.69999999</v>
      </c>
      <c r="G563" s="2022">
        <v>0</v>
      </c>
      <c r="H563" s="2022">
        <v>-23499955.899999999</v>
      </c>
      <c r="I563" s="2022">
        <f t="shared" si="8"/>
        <v>-23499955.899999999</v>
      </c>
    </row>
    <row r="564" spans="1:9" x14ac:dyDescent="0.2">
      <c r="A564" t="s">
        <v>5886</v>
      </c>
      <c r="B564" t="s">
        <v>6037</v>
      </c>
      <c r="C564" s="2022">
        <v>-6268358.6600000001</v>
      </c>
      <c r="D564" s="2022">
        <v>0</v>
      </c>
      <c r="E564" s="2022">
        <v>0</v>
      </c>
      <c r="F564" s="2022">
        <v>0</v>
      </c>
      <c r="G564" s="2022">
        <v>0</v>
      </c>
      <c r="H564" s="2022">
        <v>0</v>
      </c>
      <c r="I564" s="2022">
        <f t="shared" si="8"/>
        <v>0</v>
      </c>
    </row>
    <row r="565" spans="1:9" x14ac:dyDescent="0.2">
      <c r="A565" t="s">
        <v>5887</v>
      </c>
      <c r="B565" t="s">
        <v>6244</v>
      </c>
      <c r="C565" s="2022">
        <v>-3627212.99</v>
      </c>
      <c r="D565" s="2022">
        <v>0</v>
      </c>
      <c r="E565" s="2022">
        <v>0</v>
      </c>
      <c r="F565" s="2022">
        <v>0</v>
      </c>
      <c r="G565" s="2022">
        <v>0</v>
      </c>
      <c r="H565" s="2022">
        <v>0</v>
      </c>
      <c r="I565" s="2022">
        <f t="shared" si="8"/>
        <v>0</v>
      </c>
    </row>
    <row r="566" spans="1:9" x14ac:dyDescent="0.2">
      <c r="A566" t="s">
        <v>5888</v>
      </c>
      <c r="B566" t="s">
        <v>6246</v>
      </c>
      <c r="C566" s="2022">
        <v>-547.34</v>
      </c>
      <c r="D566" s="2022">
        <v>0</v>
      </c>
      <c r="E566" s="2022">
        <v>98.07</v>
      </c>
      <c r="F566" s="2022">
        <v>-798.6</v>
      </c>
      <c r="G566" s="2022">
        <v>0</v>
      </c>
      <c r="H566" s="2022">
        <v>-700.53</v>
      </c>
      <c r="I566" s="2022">
        <f t="shared" si="8"/>
        <v>-700.53</v>
      </c>
    </row>
    <row r="567" spans="1:9" x14ac:dyDescent="0.2">
      <c r="A567" t="s">
        <v>5891</v>
      </c>
      <c r="B567" t="s">
        <v>6262</v>
      </c>
      <c r="C567" s="2022">
        <v>1055237.54</v>
      </c>
      <c r="D567" s="2022">
        <v>0</v>
      </c>
      <c r="E567" s="2022">
        <v>0</v>
      </c>
      <c r="F567" s="2022">
        <v>0</v>
      </c>
      <c r="G567" s="2022">
        <v>0</v>
      </c>
      <c r="H567" s="2022">
        <v>0</v>
      </c>
      <c r="I567" s="2022">
        <f t="shared" si="8"/>
        <v>0</v>
      </c>
    </row>
    <row r="568" spans="1:9" x14ac:dyDescent="0.2">
      <c r="A568" t="s">
        <v>5892</v>
      </c>
      <c r="B568" t="s">
        <v>6003</v>
      </c>
      <c r="C568" s="2022">
        <v>499293.48</v>
      </c>
      <c r="D568" s="2022">
        <v>0</v>
      </c>
      <c r="E568" s="2022">
        <v>499293.48</v>
      </c>
      <c r="F568" s="2022">
        <v>-3894.94</v>
      </c>
      <c r="G568" s="2022">
        <v>495398.54</v>
      </c>
      <c r="H568" s="2022">
        <v>0</v>
      </c>
      <c r="I568" s="2022">
        <f t="shared" si="8"/>
        <v>495398.54</v>
      </c>
    </row>
    <row r="569" spans="1:9" x14ac:dyDescent="0.2">
      <c r="A569" t="s">
        <v>5893</v>
      </c>
      <c r="B569" t="s">
        <v>6004</v>
      </c>
      <c r="C569" s="2022">
        <v>41123.379999999997</v>
      </c>
      <c r="D569" s="2022">
        <v>0</v>
      </c>
      <c r="E569" s="2022">
        <v>33134.199999999997</v>
      </c>
      <c r="F569" s="2022">
        <v>0</v>
      </c>
      <c r="G569" s="2022">
        <v>33134.199999999997</v>
      </c>
      <c r="H569" s="2022">
        <v>0</v>
      </c>
      <c r="I569" s="2022">
        <f t="shared" si="8"/>
        <v>33134.199999999997</v>
      </c>
    </row>
    <row r="570" spans="1:9" x14ac:dyDescent="0.2">
      <c r="A570" t="s">
        <v>5894</v>
      </c>
      <c r="B570" t="s">
        <v>6005</v>
      </c>
      <c r="C570" s="2022">
        <v>8400</v>
      </c>
      <c r="D570" s="2022">
        <v>0</v>
      </c>
      <c r="E570" s="2022">
        <v>8400</v>
      </c>
      <c r="F570" s="2022">
        <v>0</v>
      </c>
      <c r="G570" s="2022">
        <v>8400</v>
      </c>
      <c r="H570" s="2022">
        <v>0</v>
      </c>
      <c r="I570" s="2022">
        <f t="shared" si="8"/>
        <v>8400</v>
      </c>
    </row>
    <row r="571" spans="1:9" x14ac:dyDescent="0.2">
      <c r="A571" t="s">
        <v>5895</v>
      </c>
      <c r="B571" t="s">
        <v>6007</v>
      </c>
      <c r="C571" s="2022">
        <v>45000</v>
      </c>
      <c r="D571" s="2022">
        <v>0</v>
      </c>
      <c r="E571" s="2022">
        <v>35717.99</v>
      </c>
      <c r="F571" s="2022">
        <v>0</v>
      </c>
      <c r="G571" s="2022">
        <v>35717.99</v>
      </c>
      <c r="H571" s="2022">
        <v>0</v>
      </c>
      <c r="I571" s="2022">
        <f t="shared" si="8"/>
        <v>35717.99</v>
      </c>
    </row>
    <row r="572" spans="1:9" x14ac:dyDescent="0.2">
      <c r="A572" t="s">
        <v>5896</v>
      </c>
      <c r="B572" t="s">
        <v>6010</v>
      </c>
      <c r="C572" s="2022">
        <v>150.51</v>
      </c>
      <c r="D572" s="2022">
        <v>0</v>
      </c>
      <c r="E572" s="2022">
        <v>147.51</v>
      </c>
      <c r="F572" s="2022">
        <v>0</v>
      </c>
      <c r="G572" s="2022">
        <v>147.51</v>
      </c>
      <c r="H572" s="2022">
        <v>0</v>
      </c>
      <c r="I572" s="2022">
        <f t="shared" si="8"/>
        <v>147.51</v>
      </c>
    </row>
    <row r="573" spans="1:9" x14ac:dyDescent="0.2">
      <c r="A573" t="s">
        <v>5897</v>
      </c>
      <c r="B573" t="s">
        <v>6011</v>
      </c>
      <c r="C573" s="2022">
        <v>5345.46</v>
      </c>
      <c r="D573" s="2022">
        <v>0</v>
      </c>
      <c r="E573" s="2022">
        <v>5585.02</v>
      </c>
      <c r="F573" s="2022">
        <v>0</v>
      </c>
      <c r="G573" s="2022">
        <v>5585.02</v>
      </c>
      <c r="H573" s="2022">
        <v>0</v>
      </c>
      <c r="I573" s="2022">
        <f t="shared" si="8"/>
        <v>5585.02</v>
      </c>
    </row>
    <row r="574" spans="1:9" x14ac:dyDescent="0.2">
      <c r="A574" t="s">
        <v>5899</v>
      </c>
      <c r="B574" t="s">
        <v>6012</v>
      </c>
      <c r="C574" s="2022">
        <v>36381.599999999999</v>
      </c>
      <c r="D574" s="2022">
        <v>0</v>
      </c>
      <c r="E574" s="2022">
        <v>36381.599999999999</v>
      </c>
      <c r="F574" s="2022">
        <v>0</v>
      </c>
      <c r="G574" s="2022">
        <v>36381.599999999999</v>
      </c>
      <c r="H574" s="2022">
        <v>0</v>
      </c>
      <c r="I574" s="2022">
        <f t="shared" si="8"/>
        <v>36381.599999999999</v>
      </c>
    </row>
    <row r="575" spans="1:9" x14ac:dyDescent="0.2">
      <c r="A575" t="s">
        <v>5900</v>
      </c>
      <c r="B575" t="s">
        <v>6013</v>
      </c>
      <c r="C575" s="2022">
        <v>84253.75</v>
      </c>
      <c r="D575" s="2022">
        <v>0</v>
      </c>
      <c r="E575" s="2022">
        <v>84253.75</v>
      </c>
      <c r="F575" s="2022">
        <v>0</v>
      </c>
      <c r="G575" s="2022">
        <v>84253.75</v>
      </c>
      <c r="H575" s="2022">
        <v>0</v>
      </c>
      <c r="I575" s="2022">
        <f t="shared" si="8"/>
        <v>84253.75</v>
      </c>
    </row>
    <row r="576" spans="1:9" x14ac:dyDescent="0.2">
      <c r="A576" t="s">
        <v>5901</v>
      </c>
      <c r="B576" t="s">
        <v>6014</v>
      </c>
      <c r="C576" s="2022">
        <v>22352.94</v>
      </c>
      <c r="D576" s="2022">
        <v>0</v>
      </c>
      <c r="E576" s="2022">
        <v>22352.94</v>
      </c>
      <c r="F576" s="2022">
        <v>0</v>
      </c>
      <c r="G576" s="2022">
        <v>22352.94</v>
      </c>
      <c r="H576" s="2022">
        <v>0</v>
      </c>
      <c r="I576" s="2022">
        <f t="shared" si="8"/>
        <v>22352.94</v>
      </c>
    </row>
    <row r="577" spans="1:9" x14ac:dyDescent="0.2">
      <c r="A577" t="s">
        <v>5905</v>
      </c>
      <c r="B577" t="s">
        <v>6263</v>
      </c>
      <c r="C577" s="2022">
        <v>1400000</v>
      </c>
      <c r="D577" s="2022">
        <v>0</v>
      </c>
      <c r="E577" s="2022">
        <v>1715447.81</v>
      </c>
      <c r="F577" s="2022">
        <v>-307221.69</v>
      </c>
      <c r="G577" s="2022">
        <v>1408226.12</v>
      </c>
      <c r="H577" s="2022">
        <v>0</v>
      </c>
      <c r="I577" s="2022">
        <f t="shared" si="8"/>
        <v>1408226.12</v>
      </c>
    </row>
    <row r="578" spans="1:9" x14ac:dyDescent="0.2">
      <c r="A578" t="s">
        <v>5908</v>
      </c>
      <c r="B578" t="s">
        <v>6264</v>
      </c>
      <c r="C578" s="2022">
        <v>627000</v>
      </c>
      <c r="D578" s="2022">
        <v>0</v>
      </c>
      <c r="E578" s="2022">
        <v>0</v>
      </c>
      <c r="F578" s="2022">
        <v>0</v>
      </c>
      <c r="G578" s="2022">
        <v>0</v>
      </c>
      <c r="H578" s="2022">
        <v>0</v>
      </c>
      <c r="I578" s="2022">
        <f t="shared" si="8"/>
        <v>0</v>
      </c>
    </row>
    <row r="579" spans="1:9" x14ac:dyDescent="0.2">
      <c r="A579" t="s">
        <v>5913</v>
      </c>
      <c r="B579" t="s">
        <v>4873</v>
      </c>
      <c r="C579" s="2022">
        <v>16956.5</v>
      </c>
      <c r="D579" s="2022">
        <v>0</v>
      </c>
      <c r="E579" s="2022">
        <v>11091.46</v>
      </c>
      <c r="F579" s="2022">
        <v>0</v>
      </c>
      <c r="G579" s="2022">
        <v>11091.46</v>
      </c>
      <c r="H579" s="2022">
        <v>0</v>
      </c>
      <c r="I579" s="2022">
        <f t="shared" ref="I579:I642" si="9">G579+H579</f>
        <v>11091.46</v>
      </c>
    </row>
    <row r="580" spans="1:9" x14ac:dyDescent="0.2">
      <c r="A580" t="s">
        <v>5914</v>
      </c>
      <c r="B580" t="s">
        <v>6029</v>
      </c>
      <c r="C580" s="2022">
        <v>190865.64</v>
      </c>
      <c r="D580" s="2022">
        <v>0</v>
      </c>
      <c r="E580" s="2022">
        <v>201088.94</v>
      </c>
      <c r="F580" s="2022">
        <v>0</v>
      </c>
      <c r="G580" s="2022">
        <v>201088.94</v>
      </c>
      <c r="H580" s="2022">
        <v>0</v>
      </c>
      <c r="I580" s="2022">
        <f t="shared" si="9"/>
        <v>201088.94</v>
      </c>
    </row>
    <row r="581" spans="1:9" x14ac:dyDescent="0.2">
      <c r="A581" t="s">
        <v>5922</v>
      </c>
      <c r="B581" t="s">
        <v>6265</v>
      </c>
      <c r="C581" s="2022">
        <v>45000</v>
      </c>
      <c r="D581" s="2022">
        <v>0</v>
      </c>
      <c r="E581" s="2022">
        <v>29471.93</v>
      </c>
      <c r="F581" s="2022">
        <v>-9972</v>
      </c>
      <c r="G581" s="2022">
        <v>19499.93</v>
      </c>
      <c r="H581" s="2022">
        <v>0</v>
      </c>
      <c r="I581" s="2022">
        <f t="shared" si="9"/>
        <v>19499.93</v>
      </c>
    </row>
    <row r="582" spans="1:9" x14ac:dyDescent="0.2">
      <c r="A582" t="s">
        <v>5926</v>
      </c>
      <c r="B582" t="s">
        <v>6037</v>
      </c>
      <c r="C582" s="2022">
        <v>-2757295.32</v>
      </c>
      <c r="D582" s="2022">
        <v>0</v>
      </c>
      <c r="E582" s="2022">
        <v>0</v>
      </c>
      <c r="F582" s="2022">
        <v>0</v>
      </c>
      <c r="G582" s="2022">
        <v>0</v>
      </c>
      <c r="H582" s="2022">
        <v>0</v>
      </c>
      <c r="I582" s="2022">
        <f t="shared" si="9"/>
        <v>0</v>
      </c>
    </row>
    <row r="583" spans="1:9" x14ac:dyDescent="0.2">
      <c r="A583" t="s">
        <v>5927</v>
      </c>
      <c r="B583" t="s">
        <v>6266</v>
      </c>
      <c r="C583" s="2022">
        <v>-627000</v>
      </c>
      <c r="D583" s="2022">
        <v>0</v>
      </c>
      <c r="E583" s="2022">
        <v>0</v>
      </c>
      <c r="F583" s="2022">
        <v>0</v>
      </c>
      <c r="G583" s="2022">
        <v>0</v>
      </c>
      <c r="H583" s="2022">
        <v>0</v>
      </c>
      <c r="I583" s="2022">
        <f t="shared" si="9"/>
        <v>0</v>
      </c>
    </row>
    <row r="584" spans="1:9" x14ac:dyDescent="0.2">
      <c r="A584" t="s">
        <v>5931</v>
      </c>
      <c r="B584" t="s">
        <v>6267</v>
      </c>
      <c r="C584" s="2022">
        <v>362172.06</v>
      </c>
      <c r="D584" s="2022">
        <v>0</v>
      </c>
      <c r="E584" s="2022">
        <v>0</v>
      </c>
      <c r="F584" s="2022">
        <v>0</v>
      </c>
      <c r="G584" s="2022">
        <v>0</v>
      </c>
      <c r="H584" s="2022">
        <v>0</v>
      </c>
      <c r="I584" s="2022">
        <f t="shared" si="9"/>
        <v>0</v>
      </c>
    </row>
    <row r="585" spans="1:9" x14ac:dyDescent="0.2">
      <c r="A585" t="s">
        <v>4514</v>
      </c>
      <c r="B585" t="s">
        <v>6268</v>
      </c>
      <c r="C585" s="2022">
        <v>0</v>
      </c>
      <c r="D585" s="2022">
        <v>362</v>
      </c>
      <c r="E585" s="2022">
        <v>0</v>
      </c>
      <c r="F585" s="2022">
        <v>0</v>
      </c>
      <c r="G585" s="2022">
        <v>362</v>
      </c>
      <c r="H585" s="2022">
        <v>0</v>
      </c>
      <c r="I585" s="2022">
        <f t="shared" si="9"/>
        <v>362</v>
      </c>
    </row>
    <row r="586" spans="1:9" x14ac:dyDescent="0.2">
      <c r="A586" t="s">
        <v>4518</v>
      </c>
      <c r="B586" t="s">
        <v>4519</v>
      </c>
      <c r="C586" s="2022">
        <v>0</v>
      </c>
      <c r="D586" s="2022">
        <v>1501779.84</v>
      </c>
      <c r="E586" s="2022">
        <v>0</v>
      </c>
      <c r="F586" s="2022">
        <v>0</v>
      </c>
      <c r="G586" s="2022">
        <v>1501779.84</v>
      </c>
      <c r="H586" s="2022">
        <v>0</v>
      </c>
      <c r="I586" s="2022">
        <f t="shared" si="9"/>
        <v>1501779.84</v>
      </c>
    </row>
    <row r="587" spans="1:9" x14ac:dyDescent="0.2">
      <c r="A587" t="s">
        <v>4520</v>
      </c>
      <c r="B587" t="s">
        <v>6269</v>
      </c>
      <c r="C587" s="2022">
        <v>0</v>
      </c>
      <c r="D587" s="2022">
        <v>-166324402.84</v>
      </c>
      <c r="E587" s="2022">
        <v>10.8</v>
      </c>
      <c r="F587" s="2022">
        <v>-80505</v>
      </c>
      <c r="G587" s="2022">
        <v>0</v>
      </c>
      <c r="H587" s="2022">
        <v>-166404897.09999999</v>
      </c>
      <c r="I587" s="2022">
        <f t="shared" si="9"/>
        <v>-166404897.09999999</v>
      </c>
    </row>
    <row r="588" spans="1:9" x14ac:dyDescent="0.2">
      <c r="A588" t="s">
        <v>4522</v>
      </c>
      <c r="B588" t="s">
        <v>6270</v>
      </c>
      <c r="C588" s="2022">
        <v>0</v>
      </c>
      <c r="D588" s="2022">
        <v>1945897.45</v>
      </c>
      <c r="E588" s="2022">
        <v>0</v>
      </c>
      <c r="F588" s="2022">
        <v>0</v>
      </c>
      <c r="G588" s="2022">
        <v>1945897.45</v>
      </c>
      <c r="H588" s="2022">
        <v>0</v>
      </c>
      <c r="I588" s="2022">
        <f t="shared" si="9"/>
        <v>1945897.45</v>
      </c>
    </row>
    <row r="589" spans="1:9" x14ac:dyDescent="0.2">
      <c r="A589" t="s">
        <v>4524</v>
      </c>
      <c r="B589" t="s">
        <v>6271</v>
      </c>
      <c r="C589" s="2022">
        <v>0</v>
      </c>
      <c r="D589" s="2022">
        <v>-513729.96</v>
      </c>
      <c r="E589" s="2022">
        <v>0</v>
      </c>
      <c r="F589" s="2022">
        <v>0</v>
      </c>
      <c r="G589" s="2022">
        <v>0</v>
      </c>
      <c r="H589" s="2022">
        <v>-513729.96</v>
      </c>
      <c r="I589" s="2022">
        <f t="shared" si="9"/>
        <v>-513729.96</v>
      </c>
    </row>
    <row r="590" spans="1:9" x14ac:dyDescent="0.2">
      <c r="A590" t="s">
        <v>4526</v>
      </c>
      <c r="B590" t="s">
        <v>6272</v>
      </c>
      <c r="C590" s="2022">
        <v>0</v>
      </c>
      <c r="D590" s="2022">
        <v>-1720880.76</v>
      </c>
      <c r="E590" s="2022">
        <v>268472.33</v>
      </c>
      <c r="F590" s="2022">
        <v>0</v>
      </c>
      <c r="G590" s="2022">
        <v>0</v>
      </c>
      <c r="H590" s="2022">
        <v>-1452408.43</v>
      </c>
      <c r="I590" s="2022">
        <f t="shared" si="9"/>
        <v>-1452408.43</v>
      </c>
    </row>
    <row r="591" spans="1:9" x14ac:dyDescent="0.2">
      <c r="A591" t="s">
        <v>4528</v>
      </c>
      <c r="B591" t="s">
        <v>6273</v>
      </c>
      <c r="C591" s="2022">
        <v>0</v>
      </c>
      <c r="D591" s="2022">
        <v>-53804.39</v>
      </c>
      <c r="E591" s="2022">
        <v>0</v>
      </c>
      <c r="F591" s="2022">
        <v>0</v>
      </c>
      <c r="G591" s="2022">
        <v>0</v>
      </c>
      <c r="H591" s="2022">
        <v>-53804.39</v>
      </c>
      <c r="I591" s="2022">
        <f t="shared" si="9"/>
        <v>-53804.39</v>
      </c>
    </row>
    <row r="592" spans="1:9" x14ac:dyDescent="0.2">
      <c r="A592" t="s">
        <v>4530</v>
      </c>
      <c r="B592" t="s">
        <v>6273</v>
      </c>
      <c r="C592" s="2022">
        <v>0</v>
      </c>
      <c r="D592" s="2022">
        <v>-213213.04</v>
      </c>
      <c r="E592" s="2022">
        <v>0</v>
      </c>
      <c r="F592" s="2022">
        <v>0</v>
      </c>
      <c r="G592" s="2022">
        <v>0</v>
      </c>
      <c r="H592" s="2022">
        <v>-213213.04</v>
      </c>
      <c r="I592" s="2022">
        <f t="shared" si="9"/>
        <v>-213213.04</v>
      </c>
    </row>
    <row r="593" spans="1:9" x14ac:dyDescent="0.2">
      <c r="A593" t="s">
        <v>4532</v>
      </c>
      <c r="B593" t="s">
        <v>6274</v>
      </c>
      <c r="C593" s="2022">
        <v>0</v>
      </c>
      <c r="D593" s="2022">
        <v>-267194.32</v>
      </c>
      <c r="E593" s="2022">
        <v>0</v>
      </c>
      <c r="F593" s="2022">
        <v>0</v>
      </c>
      <c r="G593" s="2022">
        <v>0</v>
      </c>
      <c r="H593" s="2022">
        <v>-267194.32</v>
      </c>
      <c r="I593" s="2022">
        <f t="shared" si="9"/>
        <v>-267194.32</v>
      </c>
    </row>
    <row r="594" spans="1:9" x14ac:dyDescent="0.2">
      <c r="A594" t="s">
        <v>4534</v>
      </c>
      <c r="B594" t="s">
        <v>6275</v>
      </c>
      <c r="C594" s="2022">
        <v>0</v>
      </c>
      <c r="D594" s="2022">
        <v>-23201.65</v>
      </c>
      <c r="E594" s="2022">
        <v>0</v>
      </c>
      <c r="F594" s="2022">
        <v>0</v>
      </c>
      <c r="G594" s="2022">
        <v>0</v>
      </c>
      <c r="H594" s="2022">
        <v>-23201.65</v>
      </c>
      <c r="I594" s="2022">
        <f t="shared" si="9"/>
        <v>-23201.65</v>
      </c>
    </row>
    <row r="595" spans="1:9" x14ac:dyDescent="0.2">
      <c r="A595" t="s">
        <v>4536</v>
      </c>
      <c r="B595" t="s">
        <v>6276</v>
      </c>
      <c r="C595" s="2022">
        <v>0</v>
      </c>
      <c r="D595" s="2022">
        <v>-88134.56</v>
      </c>
      <c r="E595" s="2022">
        <v>0</v>
      </c>
      <c r="F595" s="2022">
        <v>0</v>
      </c>
      <c r="G595" s="2022">
        <v>0</v>
      </c>
      <c r="H595" s="2022">
        <v>-88134.56</v>
      </c>
      <c r="I595" s="2022">
        <f t="shared" si="9"/>
        <v>-88134.56</v>
      </c>
    </row>
    <row r="596" spans="1:9" x14ac:dyDescent="0.2">
      <c r="A596" t="s">
        <v>4538</v>
      </c>
      <c r="B596" t="s">
        <v>6277</v>
      </c>
      <c r="C596" s="2022">
        <v>0</v>
      </c>
      <c r="D596" s="2022">
        <v>-178476.72</v>
      </c>
      <c r="E596" s="2022">
        <v>0</v>
      </c>
      <c r="F596" s="2022">
        <v>0</v>
      </c>
      <c r="G596" s="2022">
        <v>0</v>
      </c>
      <c r="H596" s="2022">
        <v>-178476.72</v>
      </c>
      <c r="I596" s="2022">
        <f t="shared" si="9"/>
        <v>-178476.72</v>
      </c>
    </row>
    <row r="597" spans="1:9" x14ac:dyDescent="0.2">
      <c r="A597" t="s">
        <v>4540</v>
      </c>
      <c r="B597" t="s">
        <v>6278</v>
      </c>
      <c r="C597" s="2022">
        <v>0</v>
      </c>
      <c r="D597" s="2022">
        <v>-1636557.01</v>
      </c>
      <c r="E597" s="2022">
        <v>0</v>
      </c>
      <c r="F597" s="2022">
        <v>0</v>
      </c>
      <c r="G597" s="2022">
        <v>0</v>
      </c>
      <c r="H597" s="2022">
        <v>-1636557.01</v>
      </c>
      <c r="I597" s="2022">
        <f t="shared" si="9"/>
        <v>-1636557.01</v>
      </c>
    </row>
    <row r="598" spans="1:9" x14ac:dyDescent="0.2">
      <c r="A598" t="s">
        <v>4543</v>
      </c>
      <c r="B598" t="s">
        <v>6279</v>
      </c>
      <c r="C598" s="2022">
        <v>0</v>
      </c>
      <c r="D598" s="2022">
        <v>46.25</v>
      </c>
      <c r="E598" s="2022">
        <v>0</v>
      </c>
      <c r="F598" s="2022">
        <v>0</v>
      </c>
      <c r="G598" s="2022">
        <v>46.25</v>
      </c>
      <c r="H598" s="2022">
        <v>0</v>
      </c>
      <c r="I598" s="2022">
        <f t="shared" si="9"/>
        <v>46.25</v>
      </c>
    </row>
    <row r="599" spans="1:9" x14ac:dyDescent="0.2">
      <c r="A599" t="s">
        <v>4545</v>
      </c>
      <c r="B599" t="s">
        <v>6280</v>
      </c>
      <c r="C599" s="2022">
        <v>0</v>
      </c>
      <c r="D599" s="2022">
        <v>630.5</v>
      </c>
      <c r="E599" s="2022">
        <v>0</v>
      </c>
      <c r="F599" s="2022">
        <v>-1064.8</v>
      </c>
      <c r="G599" s="2022">
        <v>0</v>
      </c>
      <c r="H599" s="2022">
        <v>-434.3</v>
      </c>
      <c r="I599" s="2022">
        <f t="shared" si="9"/>
        <v>-434.3</v>
      </c>
    </row>
    <row r="600" spans="1:9" x14ac:dyDescent="0.2">
      <c r="A600" t="s">
        <v>4547</v>
      </c>
      <c r="B600" t="s">
        <v>6281</v>
      </c>
      <c r="C600" s="2022">
        <v>0</v>
      </c>
      <c r="D600" s="2022">
        <v>-1643</v>
      </c>
      <c r="E600" s="2022">
        <v>0</v>
      </c>
      <c r="F600" s="2022">
        <v>0</v>
      </c>
      <c r="G600" s="2022">
        <v>0</v>
      </c>
      <c r="H600" s="2022">
        <v>-1643</v>
      </c>
      <c r="I600" s="2022">
        <f t="shared" si="9"/>
        <v>-1643</v>
      </c>
    </row>
    <row r="601" spans="1:9" x14ac:dyDescent="0.2">
      <c r="A601" t="s">
        <v>4548</v>
      </c>
      <c r="B601" t="s">
        <v>6279</v>
      </c>
      <c r="C601" s="2022">
        <v>0</v>
      </c>
      <c r="D601" s="2022">
        <v>-800</v>
      </c>
      <c r="E601" s="2022">
        <v>0</v>
      </c>
      <c r="F601" s="2022">
        <v>0</v>
      </c>
      <c r="G601" s="2022">
        <v>0</v>
      </c>
      <c r="H601" s="2022">
        <v>-800</v>
      </c>
      <c r="I601" s="2022">
        <f t="shared" si="9"/>
        <v>-800</v>
      </c>
    </row>
    <row r="602" spans="1:9" x14ac:dyDescent="0.2">
      <c r="A602" t="s">
        <v>4549</v>
      </c>
      <c r="B602" t="s">
        <v>6280</v>
      </c>
      <c r="C602" s="2022">
        <v>0</v>
      </c>
      <c r="D602" s="2022">
        <v>-66120</v>
      </c>
      <c r="E602" s="2022">
        <v>0</v>
      </c>
      <c r="F602" s="2022">
        <v>0</v>
      </c>
      <c r="G602" s="2022">
        <v>0</v>
      </c>
      <c r="H602" s="2022">
        <v>-66120</v>
      </c>
      <c r="I602" s="2022">
        <f t="shared" si="9"/>
        <v>-66120</v>
      </c>
    </row>
    <row r="603" spans="1:9" x14ac:dyDescent="0.2">
      <c r="A603" t="s">
        <v>4551</v>
      </c>
      <c r="B603" t="s">
        <v>6282</v>
      </c>
      <c r="C603" s="2022">
        <v>0</v>
      </c>
      <c r="D603" s="2022">
        <v>-3023636.66</v>
      </c>
      <c r="E603" s="2022">
        <v>0</v>
      </c>
      <c r="F603" s="2022">
        <v>0</v>
      </c>
      <c r="G603" s="2022">
        <v>0</v>
      </c>
      <c r="H603" s="2022">
        <v>-3023636.66</v>
      </c>
      <c r="I603" s="2022">
        <f t="shared" si="9"/>
        <v>-3023636.66</v>
      </c>
    </row>
    <row r="604" spans="1:9" x14ac:dyDescent="0.2">
      <c r="A604" t="s">
        <v>4553</v>
      </c>
      <c r="B604" t="s">
        <v>6283</v>
      </c>
      <c r="C604" s="2022">
        <v>0</v>
      </c>
      <c r="D604" s="2022">
        <v>-689433.13</v>
      </c>
      <c r="E604" s="2022">
        <v>0</v>
      </c>
      <c r="F604" s="2022">
        <v>0</v>
      </c>
      <c r="G604" s="2022">
        <v>0</v>
      </c>
      <c r="H604" s="2022">
        <v>-689433.13</v>
      </c>
      <c r="I604" s="2022">
        <f t="shared" si="9"/>
        <v>-689433.13</v>
      </c>
    </row>
    <row r="605" spans="1:9" x14ac:dyDescent="0.2">
      <c r="A605" t="s">
        <v>4556</v>
      </c>
      <c r="B605" t="s">
        <v>6284</v>
      </c>
      <c r="C605" s="2022">
        <v>0</v>
      </c>
      <c r="D605" s="2022">
        <v>-34472.54</v>
      </c>
      <c r="E605" s="2022">
        <v>0</v>
      </c>
      <c r="F605" s="2022">
        <v>0</v>
      </c>
      <c r="G605" s="2022">
        <v>0</v>
      </c>
      <c r="H605" s="2022">
        <v>-34472.54</v>
      </c>
      <c r="I605" s="2022">
        <f t="shared" si="9"/>
        <v>-34472.54</v>
      </c>
    </row>
    <row r="606" spans="1:9" x14ac:dyDescent="0.2">
      <c r="A606" t="s">
        <v>4558</v>
      </c>
      <c r="B606" t="s">
        <v>6285</v>
      </c>
      <c r="C606" s="2022">
        <v>0</v>
      </c>
      <c r="D606" s="2022">
        <v>-12099045.41</v>
      </c>
      <c r="E606" s="2022">
        <v>59403948.420000002</v>
      </c>
      <c r="F606" s="2022">
        <v>-59356122.479999997</v>
      </c>
      <c r="G606" s="2022">
        <v>0</v>
      </c>
      <c r="H606" s="2022">
        <v>-12051219.470000001</v>
      </c>
      <c r="I606" s="2022">
        <f t="shared" si="9"/>
        <v>-12051219.470000001</v>
      </c>
    </row>
    <row r="607" spans="1:9" x14ac:dyDescent="0.2">
      <c r="A607" t="s">
        <v>4560</v>
      </c>
      <c r="B607" t="s">
        <v>6286</v>
      </c>
      <c r="C607" s="2022">
        <v>0</v>
      </c>
      <c r="D607" s="2022">
        <v>-250</v>
      </c>
      <c r="E607" s="2022">
        <v>192987.51999999999</v>
      </c>
      <c r="F607" s="2022">
        <v>0</v>
      </c>
      <c r="G607" s="2022">
        <v>192737.52</v>
      </c>
      <c r="H607" s="2022">
        <v>0</v>
      </c>
      <c r="I607" s="2022">
        <f t="shared" si="9"/>
        <v>192737.52</v>
      </c>
    </row>
    <row r="608" spans="1:9" x14ac:dyDescent="0.2">
      <c r="A608" t="s">
        <v>4562</v>
      </c>
      <c r="B608" t="s">
        <v>6287</v>
      </c>
      <c r="C608" s="2022">
        <v>0</v>
      </c>
      <c r="D608" s="2022">
        <v>198547.47</v>
      </c>
      <c r="E608" s="2022">
        <v>0</v>
      </c>
      <c r="F608" s="2022">
        <v>0</v>
      </c>
      <c r="G608" s="2022">
        <v>198547.47</v>
      </c>
      <c r="H608" s="2022">
        <v>0</v>
      </c>
      <c r="I608" s="2022">
        <f t="shared" si="9"/>
        <v>198547.47</v>
      </c>
    </row>
    <row r="609" spans="1:9" x14ac:dyDescent="0.2">
      <c r="A609" t="s">
        <v>4565</v>
      </c>
      <c r="B609" t="s">
        <v>4566</v>
      </c>
      <c r="C609" s="2022">
        <v>0</v>
      </c>
      <c r="D609" s="2022">
        <v>20565.13</v>
      </c>
      <c r="E609" s="2022">
        <v>0</v>
      </c>
      <c r="F609" s="2022">
        <v>0</v>
      </c>
      <c r="G609" s="2022">
        <v>20565.13</v>
      </c>
      <c r="H609" s="2022">
        <v>0</v>
      </c>
      <c r="I609" s="2022">
        <f t="shared" si="9"/>
        <v>20565.13</v>
      </c>
    </row>
    <row r="610" spans="1:9" x14ac:dyDescent="0.2">
      <c r="A610" t="s">
        <v>4571</v>
      </c>
      <c r="B610" t="s">
        <v>6288</v>
      </c>
      <c r="C610" s="2022">
        <v>0</v>
      </c>
      <c r="D610" s="2022">
        <v>-5030</v>
      </c>
      <c r="E610" s="2022">
        <v>1721.2</v>
      </c>
      <c r="F610" s="2022">
        <v>-5354.1</v>
      </c>
      <c r="G610" s="2022">
        <v>0</v>
      </c>
      <c r="H610" s="2022">
        <v>-8662.9</v>
      </c>
      <c r="I610" s="2022">
        <f t="shared" si="9"/>
        <v>-8662.9</v>
      </c>
    </row>
    <row r="611" spans="1:9" x14ac:dyDescent="0.2">
      <c r="A611" t="s">
        <v>4573</v>
      </c>
      <c r="B611" t="s">
        <v>4574</v>
      </c>
      <c r="C611" s="2022">
        <v>0</v>
      </c>
      <c r="D611" s="2022">
        <v>-31284</v>
      </c>
      <c r="E611" s="2022">
        <v>0</v>
      </c>
      <c r="F611" s="2022">
        <v>-16128</v>
      </c>
      <c r="G611" s="2022">
        <v>0</v>
      </c>
      <c r="H611" s="2022">
        <v>-47412</v>
      </c>
      <c r="I611" s="2022">
        <f t="shared" si="9"/>
        <v>-47412</v>
      </c>
    </row>
    <row r="612" spans="1:9" x14ac:dyDescent="0.2">
      <c r="A612" t="s">
        <v>4575</v>
      </c>
      <c r="B612" t="s">
        <v>6289</v>
      </c>
      <c r="C612" s="2022">
        <v>0</v>
      </c>
      <c r="D612" s="2022">
        <v>-834358.78</v>
      </c>
      <c r="E612" s="2022">
        <v>18017567.829999998</v>
      </c>
      <c r="F612" s="2022">
        <v>-21801810.719999999</v>
      </c>
      <c r="G612" s="2022">
        <v>0</v>
      </c>
      <c r="H612" s="2022">
        <v>-4618601.67</v>
      </c>
      <c r="I612" s="2022">
        <f t="shared" si="9"/>
        <v>-4618601.67</v>
      </c>
    </row>
    <row r="613" spans="1:9" x14ac:dyDescent="0.2">
      <c r="A613" t="s">
        <v>4577</v>
      </c>
      <c r="B613" t="s">
        <v>6290</v>
      </c>
      <c r="C613" s="2022">
        <v>0</v>
      </c>
      <c r="D613" s="2022">
        <v>511704.77</v>
      </c>
      <c r="E613" s="2022">
        <v>41038916.700000003</v>
      </c>
      <c r="F613" s="2022">
        <v>-40255970.979999997</v>
      </c>
      <c r="G613" s="2022">
        <v>1294650.49</v>
      </c>
      <c r="H613" s="2022">
        <v>0</v>
      </c>
      <c r="I613" s="2022">
        <f t="shared" si="9"/>
        <v>1294650.49</v>
      </c>
    </row>
    <row r="614" spans="1:9" x14ac:dyDescent="0.2">
      <c r="A614" t="s">
        <v>4579</v>
      </c>
      <c r="B614" t="s">
        <v>6291</v>
      </c>
      <c r="C614" s="2022">
        <v>0</v>
      </c>
      <c r="D614" s="2022">
        <v>0</v>
      </c>
      <c r="E614" s="2022">
        <v>500</v>
      </c>
      <c r="F614" s="2022">
        <v>0</v>
      </c>
      <c r="G614" s="2022">
        <v>500</v>
      </c>
      <c r="H614" s="2022">
        <v>0</v>
      </c>
      <c r="I614" s="2022">
        <f t="shared" si="9"/>
        <v>500</v>
      </c>
    </row>
    <row r="615" spans="1:9" x14ac:dyDescent="0.2">
      <c r="A615" t="s">
        <v>4581</v>
      </c>
      <c r="B615" t="s">
        <v>6292</v>
      </c>
      <c r="C615" s="2022">
        <v>0</v>
      </c>
      <c r="D615" s="2022">
        <v>9339.31</v>
      </c>
      <c r="E615" s="2022">
        <v>0</v>
      </c>
      <c r="F615" s="2022">
        <v>0</v>
      </c>
      <c r="G615" s="2022">
        <v>9339.31</v>
      </c>
      <c r="H615" s="2022">
        <v>0</v>
      </c>
      <c r="I615" s="2022">
        <f t="shared" si="9"/>
        <v>9339.31</v>
      </c>
    </row>
    <row r="616" spans="1:9" x14ac:dyDescent="0.2">
      <c r="A616" t="s">
        <v>4584</v>
      </c>
      <c r="B616" t="s">
        <v>6293</v>
      </c>
      <c r="C616" s="2022">
        <v>0</v>
      </c>
      <c r="D616" s="2022">
        <v>-28.03</v>
      </c>
      <c r="E616" s="2022">
        <v>0</v>
      </c>
      <c r="F616" s="2022">
        <v>0</v>
      </c>
      <c r="G616" s="2022">
        <v>0</v>
      </c>
      <c r="H616" s="2022">
        <v>-28.03</v>
      </c>
      <c r="I616" s="2022">
        <f t="shared" si="9"/>
        <v>-28.03</v>
      </c>
    </row>
    <row r="617" spans="1:9" x14ac:dyDescent="0.2">
      <c r="A617" t="s">
        <v>4586</v>
      </c>
      <c r="B617" t="s">
        <v>6294</v>
      </c>
      <c r="C617" s="2022">
        <v>0</v>
      </c>
      <c r="D617" s="2022">
        <v>22734</v>
      </c>
      <c r="E617" s="2022">
        <v>0</v>
      </c>
      <c r="F617" s="2022">
        <v>0</v>
      </c>
      <c r="G617" s="2022">
        <v>22734</v>
      </c>
      <c r="H617" s="2022">
        <v>0</v>
      </c>
      <c r="I617" s="2022">
        <f t="shared" si="9"/>
        <v>22734</v>
      </c>
    </row>
    <row r="618" spans="1:9" x14ac:dyDescent="0.2">
      <c r="A618" t="s">
        <v>4589</v>
      </c>
      <c r="B618" t="s">
        <v>6295</v>
      </c>
      <c r="C618" s="2022">
        <v>0</v>
      </c>
      <c r="D618" s="2022">
        <v>-236574.36</v>
      </c>
      <c r="E618" s="2022">
        <v>0</v>
      </c>
      <c r="F618" s="2022">
        <v>-10136.68</v>
      </c>
      <c r="G618" s="2022">
        <v>0</v>
      </c>
      <c r="H618" s="2022">
        <v>-246711.04000000001</v>
      </c>
      <c r="I618" s="2022">
        <f t="shared" si="9"/>
        <v>-246711.04000000001</v>
      </c>
    </row>
    <row r="619" spans="1:9" x14ac:dyDescent="0.2">
      <c r="A619" t="s">
        <v>4591</v>
      </c>
      <c r="B619" t="s">
        <v>6296</v>
      </c>
      <c r="C619" s="2022">
        <v>0</v>
      </c>
      <c r="D619" s="2022">
        <v>-5135150</v>
      </c>
      <c r="E619" s="2022">
        <v>0</v>
      </c>
      <c r="F619" s="2022">
        <v>0</v>
      </c>
      <c r="G619" s="2022">
        <v>0</v>
      </c>
      <c r="H619" s="2022">
        <v>-5135150</v>
      </c>
      <c r="I619" s="2022">
        <f t="shared" si="9"/>
        <v>-5135150</v>
      </c>
    </row>
    <row r="620" spans="1:9" x14ac:dyDescent="0.2">
      <c r="A620" t="s">
        <v>4592</v>
      </c>
      <c r="B620" t="s">
        <v>6297</v>
      </c>
      <c r="C620" s="2022">
        <v>0</v>
      </c>
      <c r="D620" s="2022">
        <v>-39526</v>
      </c>
      <c r="E620" s="2022">
        <v>0</v>
      </c>
      <c r="F620" s="2022">
        <v>0</v>
      </c>
      <c r="G620" s="2022">
        <v>0</v>
      </c>
      <c r="H620" s="2022">
        <v>-39526</v>
      </c>
      <c r="I620" s="2022">
        <f t="shared" si="9"/>
        <v>-39526</v>
      </c>
    </row>
    <row r="621" spans="1:9" x14ac:dyDescent="0.2">
      <c r="A621" t="s">
        <v>4594</v>
      </c>
      <c r="B621" t="s">
        <v>6298</v>
      </c>
      <c r="C621" s="2022">
        <v>0</v>
      </c>
      <c r="D621" s="2022">
        <v>0</v>
      </c>
      <c r="E621" s="2022">
        <v>4181304.48</v>
      </c>
      <c r="F621" s="2022">
        <v>-4061436.73</v>
      </c>
      <c r="G621" s="2022">
        <v>119867.75</v>
      </c>
      <c r="H621" s="2022">
        <v>0</v>
      </c>
      <c r="I621" s="2022">
        <f t="shared" si="9"/>
        <v>119867.75</v>
      </c>
    </row>
    <row r="622" spans="1:9" x14ac:dyDescent="0.2">
      <c r="A622" t="s">
        <v>4596</v>
      </c>
      <c r="B622" t="s">
        <v>6299</v>
      </c>
      <c r="C622" s="2022">
        <v>0</v>
      </c>
      <c r="D622" s="2022">
        <v>26063.87</v>
      </c>
      <c r="E622" s="2022">
        <v>80322438.590000004</v>
      </c>
      <c r="F622" s="2022">
        <v>-102148269.5</v>
      </c>
      <c r="G622" s="2022">
        <v>0</v>
      </c>
      <c r="H622" s="2022">
        <v>-21799767.100000001</v>
      </c>
      <c r="I622" s="2022">
        <f t="shared" si="9"/>
        <v>-21799767.100000001</v>
      </c>
    </row>
    <row r="623" spans="1:9" x14ac:dyDescent="0.2">
      <c r="A623" t="s">
        <v>4598</v>
      </c>
      <c r="B623" t="s">
        <v>6300</v>
      </c>
      <c r="C623" s="2022">
        <v>0</v>
      </c>
      <c r="D623" s="2022">
        <v>-780</v>
      </c>
      <c r="E623" s="2022">
        <v>16128</v>
      </c>
      <c r="F623" s="2022">
        <v>-20290</v>
      </c>
      <c r="G623" s="2022">
        <v>0</v>
      </c>
      <c r="H623" s="2022">
        <v>-4942</v>
      </c>
      <c r="I623" s="2022">
        <f t="shared" si="9"/>
        <v>-4942</v>
      </c>
    </row>
    <row r="624" spans="1:9" x14ac:dyDescent="0.2">
      <c r="A624" t="s">
        <v>4600</v>
      </c>
      <c r="B624" t="s">
        <v>6301</v>
      </c>
      <c r="C624" s="2022">
        <v>0</v>
      </c>
      <c r="D624" s="2022">
        <v>-1352069</v>
      </c>
      <c r="E624" s="2022">
        <v>0</v>
      </c>
      <c r="F624" s="2022">
        <v>-855000</v>
      </c>
      <c r="G624" s="2022">
        <v>0</v>
      </c>
      <c r="H624" s="2022">
        <v>-2207069</v>
      </c>
      <c r="I624" s="2022">
        <f t="shared" si="9"/>
        <v>-2207069</v>
      </c>
    </row>
    <row r="625" spans="1:9" x14ac:dyDescent="0.2">
      <c r="A625" t="s">
        <v>4602</v>
      </c>
      <c r="B625" t="s">
        <v>6302</v>
      </c>
      <c r="C625" s="2022">
        <v>0</v>
      </c>
      <c r="D625" s="2022">
        <v>-343835.01</v>
      </c>
      <c r="E625" s="2022">
        <v>6856838.9400000004</v>
      </c>
      <c r="F625" s="2022">
        <v>-7238999.9900000002</v>
      </c>
      <c r="G625" s="2022">
        <v>0</v>
      </c>
      <c r="H625" s="2022">
        <v>-725996.06</v>
      </c>
      <c r="I625" s="2022">
        <f t="shared" si="9"/>
        <v>-725996.06</v>
      </c>
    </row>
    <row r="626" spans="1:9" x14ac:dyDescent="0.2">
      <c r="A626" t="s">
        <v>4604</v>
      </c>
      <c r="B626" t="s">
        <v>6303</v>
      </c>
      <c r="C626" s="2022">
        <v>0</v>
      </c>
      <c r="D626" s="2022">
        <v>0</v>
      </c>
      <c r="E626" s="2022">
        <v>975800.55</v>
      </c>
      <c r="F626" s="2022">
        <v>-1500000</v>
      </c>
      <c r="G626" s="2022">
        <v>0</v>
      </c>
      <c r="H626" s="2022">
        <v>-524199.45</v>
      </c>
      <c r="I626" s="2022">
        <f t="shared" si="9"/>
        <v>-524199.45</v>
      </c>
    </row>
    <row r="627" spans="1:9" x14ac:dyDescent="0.2">
      <c r="A627" t="s">
        <v>4606</v>
      </c>
      <c r="B627" t="s">
        <v>4607</v>
      </c>
      <c r="C627" s="2022">
        <v>0</v>
      </c>
      <c r="D627" s="2022">
        <v>605341.9</v>
      </c>
      <c r="E627" s="2022">
        <v>1214788.17</v>
      </c>
      <c r="F627" s="2022">
        <v>-313000</v>
      </c>
      <c r="G627" s="2022">
        <v>1507130.07</v>
      </c>
      <c r="H627" s="2022">
        <v>0</v>
      </c>
      <c r="I627" s="2022">
        <f t="shared" si="9"/>
        <v>1507130.07</v>
      </c>
    </row>
    <row r="628" spans="1:9" x14ac:dyDescent="0.2">
      <c r="A628" t="s">
        <v>4608</v>
      </c>
      <c r="B628" t="s">
        <v>6304</v>
      </c>
      <c r="C628" s="2022">
        <v>0</v>
      </c>
      <c r="D628" s="2022">
        <v>-12487502.699999999</v>
      </c>
      <c r="E628" s="2022">
        <v>1475500.2</v>
      </c>
      <c r="F628" s="2022">
        <v>-14563000</v>
      </c>
      <c r="G628" s="2022">
        <v>0</v>
      </c>
      <c r="H628" s="2022">
        <v>-25575002.5</v>
      </c>
      <c r="I628" s="2022">
        <f t="shared" si="9"/>
        <v>-25575002.5</v>
      </c>
    </row>
    <row r="629" spans="1:9" x14ac:dyDescent="0.2">
      <c r="A629" t="s">
        <v>4610</v>
      </c>
      <c r="B629" t="s">
        <v>6305</v>
      </c>
      <c r="C629" s="2022">
        <v>0</v>
      </c>
      <c r="D629" s="2022">
        <v>-31183.05</v>
      </c>
      <c r="E629" s="2022">
        <v>387206.33</v>
      </c>
      <c r="F629" s="2022">
        <v>-1246.5899999999999</v>
      </c>
      <c r="G629" s="2022">
        <v>354776.69</v>
      </c>
      <c r="H629" s="2022">
        <v>0</v>
      </c>
      <c r="I629" s="2022">
        <f t="shared" si="9"/>
        <v>354776.69</v>
      </c>
    </row>
    <row r="630" spans="1:9" x14ac:dyDescent="0.2">
      <c r="A630" t="s">
        <v>4612</v>
      </c>
      <c r="B630" t="s">
        <v>6306</v>
      </c>
      <c r="C630" s="2022">
        <v>0</v>
      </c>
      <c r="D630" s="2022">
        <v>-1846795</v>
      </c>
      <c r="E630" s="2022">
        <v>0</v>
      </c>
      <c r="F630" s="2022">
        <v>0</v>
      </c>
      <c r="G630" s="2022">
        <v>0</v>
      </c>
      <c r="H630" s="2022">
        <v>-1846795</v>
      </c>
      <c r="I630" s="2022">
        <f t="shared" si="9"/>
        <v>-1846795</v>
      </c>
    </row>
    <row r="631" spans="1:9" x14ac:dyDescent="0.2">
      <c r="A631" t="s">
        <v>4614</v>
      </c>
      <c r="B631" t="s">
        <v>4615</v>
      </c>
      <c r="C631" s="2022">
        <v>0</v>
      </c>
      <c r="D631" s="2022">
        <v>-527275</v>
      </c>
      <c r="E631" s="2022">
        <v>0</v>
      </c>
      <c r="F631" s="2022">
        <v>0</v>
      </c>
      <c r="G631" s="2022">
        <v>0</v>
      </c>
      <c r="H631" s="2022">
        <v>-527275</v>
      </c>
      <c r="I631" s="2022">
        <f t="shared" si="9"/>
        <v>-527275</v>
      </c>
    </row>
    <row r="632" spans="1:9" x14ac:dyDescent="0.2">
      <c r="A632" t="s">
        <v>4616</v>
      </c>
      <c r="B632" t="s">
        <v>4617</v>
      </c>
      <c r="C632" s="2022">
        <v>0</v>
      </c>
      <c r="D632" s="2022">
        <v>-2208424</v>
      </c>
      <c r="E632" s="2022">
        <v>0</v>
      </c>
      <c r="F632" s="2022">
        <v>0</v>
      </c>
      <c r="G632" s="2022">
        <v>0</v>
      </c>
      <c r="H632" s="2022">
        <v>-2208424</v>
      </c>
      <c r="I632" s="2022">
        <f t="shared" si="9"/>
        <v>-2208424</v>
      </c>
    </row>
    <row r="633" spans="1:9" x14ac:dyDescent="0.2">
      <c r="A633" t="s">
        <v>4618</v>
      </c>
      <c r="B633" t="s">
        <v>6307</v>
      </c>
      <c r="C633" s="2022">
        <v>0</v>
      </c>
      <c r="D633" s="2022">
        <v>-92818</v>
      </c>
      <c r="E633" s="2022">
        <v>0</v>
      </c>
      <c r="F633" s="2022">
        <v>0</v>
      </c>
      <c r="G633" s="2022">
        <v>0</v>
      </c>
      <c r="H633" s="2022">
        <v>-92818</v>
      </c>
      <c r="I633" s="2022">
        <f t="shared" si="9"/>
        <v>-92818</v>
      </c>
    </row>
    <row r="634" spans="1:9" x14ac:dyDescent="0.2">
      <c r="A634" t="s">
        <v>4620</v>
      </c>
      <c r="B634" t="s">
        <v>6308</v>
      </c>
      <c r="C634" s="2022">
        <v>0</v>
      </c>
      <c r="D634" s="2022">
        <v>-176085</v>
      </c>
      <c r="E634" s="2022">
        <v>0</v>
      </c>
      <c r="F634" s="2022">
        <v>-1651000</v>
      </c>
      <c r="G634" s="2022">
        <v>0</v>
      </c>
      <c r="H634" s="2022">
        <v>-1827085</v>
      </c>
      <c r="I634" s="2022">
        <f t="shared" si="9"/>
        <v>-1827085</v>
      </c>
    </row>
    <row r="635" spans="1:9" x14ac:dyDescent="0.2">
      <c r="A635" t="s">
        <v>4622</v>
      </c>
      <c r="B635" t="s">
        <v>6309</v>
      </c>
      <c r="C635" s="2022">
        <v>0</v>
      </c>
      <c r="D635" s="2022">
        <v>-909915</v>
      </c>
      <c r="E635" s="2022">
        <v>0</v>
      </c>
      <c r="F635" s="2022">
        <v>0</v>
      </c>
      <c r="G635" s="2022">
        <v>0</v>
      </c>
      <c r="H635" s="2022">
        <v>-909915</v>
      </c>
      <c r="I635" s="2022">
        <f t="shared" si="9"/>
        <v>-909915</v>
      </c>
    </row>
    <row r="636" spans="1:9" x14ac:dyDescent="0.2">
      <c r="A636" t="s">
        <v>4624</v>
      </c>
      <c r="B636" t="s">
        <v>6310</v>
      </c>
      <c r="C636" s="2022">
        <v>0</v>
      </c>
      <c r="D636" s="2022">
        <v>-2220000</v>
      </c>
      <c r="E636" s="2022">
        <v>0</v>
      </c>
      <c r="F636" s="2022">
        <v>0</v>
      </c>
      <c r="G636" s="2022">
        <v>0</v>
      </c>
      <c r="H636" s="2022">
        <v>-2220000</v>
      </c>
      <c r="I636" s="2022">
        <f t="shared" si="9"/>
        <v>-2220000</v>
      </c>
    </row>
    <row r="637" spans="1:9" x14ac:dyDescent="0.2">
      <c r="A637" t="s">
        <v>4626</v>
      </c>
      <c r="B637" t="s">
        <v>6311</v>
      </c>
      <c r="C637" s="2022">
        <v>0</v>
      </c>
      <c r="D637" s="2022">
        <v>2138316.88</v>
      </c>
      <c r="E637" s="2022">
        <v>1597891.26</v>
      </c>
      <c r="F637" s="2022">
        <v>0</v>
      </c>
      <c r="G637" s="2022">
        <v>3736208.14</v>
      </c>
      <c r="H637" s="2022">
        <v>0</v>
      </c>
      <c r="I637" s="2022">
        <f t="shared" si="9"/>
        <v>3736208.14</v>
      </c>
    </row>
    <row r="638" spans="1:9" x14ac:dyDescent="0.2">
      <c r="A638" t="s">
        <v>4628</v>
      </c>
      <c r="B638" t="s">
        <v>6312</v>
      </c>
      <c r="C638" s="2022">
        <v>0</v>
      </c>
      <c r="D638" s="2022">
        <v>3204500.2</v>
      </c>
      <c r="E638" s="2022">
        <v>1124764.6000000001</v>
      </c>
      <c r="F638" s="2022">
        <v>0</v>
      </c>
      <c r="G638" s="2022">
        <v>4329264.8</v>
      </c>
      <c r="H638" s="2022">
        <v>0</v>
      </c>
      <c r="I638" s="2022">
        <f t="shared" si="9"/>
        <v>4329264.8</v>
      </c>
    </row>
    <row r="639" spans="1:9" x14ac:dyDescent="0.2">
      <c r="A639" t="s">
        <v>4630</v>
      </c>
      <c r="B639" t="s">
        <v>6313</v>
      </c>
      <c r="C639" s="2022">
        <v>0</v>
      </c>
      <c r="D639" s="2022">
        <v>3118613.4</v>
      </c>
      <c r="E639" s="2022">
        <v>2184134.3199999998</v>
      </c>
      <c r="F639" s="2022">
        <v>0</v>
      </c>
      <c r="G639" s="2022">
        <v>5302747.72</v>
      </c>
      <c r="H639" s="2022">
        <v>0</v>
      </c>
      <c r="I639" s="2022">
        <f t="shared" si="9"/>
        <v>5302747.72</v>
      </c>
    </row>
    <row r="640" spans="1:9" x14ac:dyDescent="0.2">
      <c r="A640" t="s">
        <v>4632</v>
      </c>
      <c r="B640" t="s">
        <v>6314</v>
      </c>
      <c r="C640" s="2022">
        <v>0</v>
      </c>
      <c r="D640" s="2022">
        <v>3760897.78</v>
      </c>
      <c r="E640" s="2022">
        <v>9793602.0399999991</v>
      </c>
      <c r="F640" s="2022">
        <v>-400000</v>
      </c>
      <c r="G640" s="2022">
        <v>13154499.82</v>
      </c>
      <c r="H640" s="2022">
        <v>0</v>
      </c>
      <c r="I640" s="2022">
        <f t="shared" si="9"/>
        <v>13154499.82</v>
      </c>
    </row>
    <row r="641" spans="1:9" x14ac:dyDescent="0.2">
      <c r="A641" t="s">
        <v>4634</v>
      </c>
      <c r="B641" t="s">
        <v>6315</v>
      </c>
      <c r="C641" s="2022">
        <v>0</v>
      </c>
      <c r="D641" s="2022">
        <v>-2091729.91</v>
      </c>
      <c r="E641" s="2022">
        <v>123700615.87</v>
      </c>
      <c r="F641" s="2022">
        <v>-125524244.59999999</v>
      </c>
      <c r="G641" s="2022">
        <v>0</v>
      </c>
      <c r="H641" s="2022">
        <v>-3915358.7</v>
      </c>
      <c r="I641" s="2022">
        <f t="shared" si="9"/>
        <v>-3915358.7</v>
      </c>
    </row>
    <row r="642" spans="1:9" x14ac:dyDescent="0.2">
      <c r="A642" t="s">
        <v>4636</v>
      </c>
      <c r="B642" t="s">
        <v>6316</v>
      </c>
      <c r="C642" s="2022">
        <v>0</v>
      </c>
      <c r="D642" s="2022">
        <v>196206.46</v>
      </c>
      <c r="E642" s="2022">
        <v>0</v>
      </c>
      <c r="F642" s="2022">
        <v>0</v>
      </c>
      <c r="G642" s="2022">
        <v>196206.46</v>
      </c>
      <c r="H642" s="2022">
        <v>0</v>
      </c>
      <c r="I642" s="2022">
        <f t="shared" si="9"/>
        <v>196206.46</v>
      </c>
    </row>
    <row r="643" spans="1:9" x14ac:dyDescent="0.2">
      <c r="A643" t="s">
        <v>4639</v>
      </c>
      <c r="B643" t="s">
        <v>6317</v>
      </c>
      <c r="C643" s="2022">
        <v>0</v>
      </c>
      <c r="D643" s="2022">
        <v>931819.03</v>
      </c>
      <c r="E643" s="2022">
        <v>0</v>
      </c>
      <c r="F643" s="2022">
        <v>0</v>
      </c>
      <c r="G643" s="2022">
        <v>931819.03</v>
      </c>
      <c r="H643" s="2022">
        <v>0</v>
      </c>
      <c r="I643" s="2022">
        <f t="shared" ref="I643:I697" si="10">G643+H643</f>
        <v>931819.03</v>
      </c>
    </row>
    <row r="644" spans="1:9" x14ac:dyDescent="0.2">
      <c r="A644" t="s">
        <v>4642</v>
      </c>
      <c r="B644" t="s">
        <v>6318</v>
      </c>
      <c r="C644" s="2022">
        <v>0</v>
      </c>
      <c r="D644" s="2022">
        <v>26289.83</v>
      </c>
      <c r="E644" s="2022">
        <v>0</v>
      </c>
      <c r="F644" s="2022">
        <v>0</v>
      </c>
      <c r="G644" s="2022">
        <v>26289.83</v>
      </c>
      <c r="H644" s="2022">
        <v>0</v>
      </c>
      <c r="I644" s="2022">
        <f t="shared" si="10"/>
        <v>26289.83</v>
      </c>
    </row>
    <row r="645" spans="1:9" x14ac:dyDescent="0.2">
      <c r="A645" t="s">
        <v>4645</v>
      </c>
      <c r="B645" t="s">
        <v>6319</v>
      </c>
      <c r="C645" s="2022">
        <v>0</v>
      </c>
      <c r="D645" s="2022">
        <v>345558.03</v>
      </c>
      <c r="E645" s="2022">
        <v>0</v>
      </c>
      <c r="F645" s="2022">
        <v>0</v>
      </c>
      <c r="G645" s="2022">
        <v>345558.03</v>
      </c>
      <c r="H645" s="2022">
        <v>0</v>
      </c>
      <c r="I645" s="2022">
        <f t="shared" si="10"/>
        <v>345558.03</v>
      </c>
    </row>
    <row r="646" spans="1:9" x14ac:dyDescent="0.2">
      <c r="A646" t="s">
        <v>4648</v>
      </c>
      <c r="B646" t="s">
        <v>6320</v>
      </c>
      <c r="C646" s="2022">
        <v>0</v>
      </c>
      <c r="D646" s="2022">
        <v>27903.51</v>
      </c>
      <c r="E646" s="2022">
        <v>0</v>
      </c>
      <c r="F646" s="2022">
        <v>0</v>
      </c>
      <c r="G646" s="2022">
        <v>27903.51</v>
      </c>
      <c r="H646" s="2022">
        <v>0</v>
      </c>
      <c r="I646" s="2022">
        <f t="shared" si="10"/>
        <v>27903.51</v>
      </c>
    </row>
    <row r="647" spans="1:9" x14ac:dyDescent="0.2">
      <c r="A647" t="s">
        <v>4651</v>
      </c>
      <c r="B647" t="s">
        <v>6321</v>
      </c>
      <c r="C647" s="2022">
        <v>0</v>
      </c>
      <c r="D647" s="2022">
        <v>18214120.309999999</v>
      </c>
      <c r="E647" s="2022">
        <v>0</v>
      </c>
      <c r="F647" s="2022">
        <v>0</v>
      </c>
      <c r="G647" s="2022">
        <v>18214120.309999999</v>
      </c>
      <c r="H647" s="2022">
        <v>0</v>
      </c>
      <c r="I647" s="2022">
        <f t="shared" si="10"/>
        <v>18214120.309999999</v>
      </c>
    </row>
    <row r="648" spans="1:9" x14ac:dyDescent="0.2">
      <c r="A648" t="s">
        <v>4654</v>
      </c>
      <c r="B648" t="s">
        <v>6322</v>
      </c>
      <c r="C648" s="2022">
        <v>0</v>
      </c>
      <c r="D648" s="2022">
        <v>2885047.73</v>
      </c>
      <c r="E648" s="2022">
        <v>0</v>
      </c>
      <c r="F648" s="2022">
        <v>-422.4</v>
      </c>
      <c r="G648" s="2022">
        <v>2884625.33</v>
      </c>
      <c r="H648" s="2022">
        <v>0</v>
      </c>
      <c r="I648" s="2022">
        <f t="shared" si="10"/>
        <v>2884625.33</v>
      </c>
    </row>
    <row r="649" spans="1:9" x14ac:dyDescent="0.2">
      <c r="A649" t="s">
        <v>4661</v>
      </c>
      <c r="B649" t="s">
        <v>6323</v>
      </c>
      <c r="C649" s="2022">
        <v>0</v>
      </c>
      <c r="D649" s="2022">
        <v>41895492.960000001</v>
      </c>
      <c r="E649" s="2022">
        <v>0</v>
      </c>
      <c r="F649" s="2022">
        <v>0</v>
      </c>
      <c r="G649" s="2022">
        <v>41895492.960000001</v>
      </c>
      <c r="H649" s="2022">
        <v>0</v>
      </c>
      <c r="I649" s="2022">
        <f t="shared" si="10"/>
        <v>41895492.960000001</v>
      </c>
    </row>
    <row r="650" spans="1:9" x14ac:dyDescent="0.2">
      <c r="A650" t="s">
        <v>4664</v>
      </c>
      <c r="B650" t="s">
        <v>6324</v>
      </c>
      <c r="C650" s="2022">
        <v>0</v>
      </c>
      <c r="D650" s="2022">
        <v>4795214.75</v>
      </c>
      <c r="E650" s="2022">
        <v>0</v>
      </c>
      <c r="F650" s="2022">
        <v>0</v>
      </c>
      <c r="G650" s="2022">
        <v>4795214.75</v>
      </c>
      <c r="H650" s="2022">
        <v>0</v>
      </c>
      <c r="I650" s="2022">
        <f t="shared" si="10"/>
        <v>4795214.75</v>
      </c>
    </row>
    <row r="651" spans="1:9" x14ac:dyDescent="0.2">
      <c r="A651" t="s">
        <v>4666</v>
      </c>
      <c r="B651" t="s">
        <v>6325</v>
      </c>
      <c r="C651" s="2022">
        <v>0</v>
      </c>
      <c r="D651" s="2022">
        <v>3537909.67</v>
      </c>
      <c r="E651" s="2022">
        <v>0</v>
      </c>
      <c r="F651" s="2022">
        <v>0</v>
      </c>
      <c r="G651" s="2022">
        <v>3537909.67</v>
      </c>
      <c r="H651" s="2022">
        <v>0</v>
      </c>
      <c r="I651" s="2022">
        <f t="shared" si="10"/>
        <v>3537909.67</v>
      </c>
    </row>
    <row r="652" spans="1:9" x14ac:dyDescent="0.2">
      <c r="A652" t="s">
        <v>4669</v>
      </c>
      <c r="B652" t="s">
        <v>6326</v>
      </c>
      <c r="C652" s="2022">
        <v>0</v>
      </c>
      <c r="D652" s="2022">
        <v>319.62</v>
      </c>
      <c r="E652" s="2022">
        <v>0</v>
      </c>
      <c r="F652" s="2022">
        <v>0</v>
      </c>
      <c r="G652" s="2022">
        <v>319.62</v>
      </c>
      <c r="H652" s="2022">
        <v>0</v>
      </c>
      <c r="I652" s="2022">
        <f t="shared" si="10"/>
        <v>319.62</v>
      </c>
    </row>
    <row r="653" spans="1:9" x14ac:dyDescent="0.2">
      <c r="A653" t="s">
        <v>4671</v>
      </c>
      <c r="B653" t="s">
        <v>6327</v>
      </c>
      <c r="C653" s="2022">
        <v>0</v>
      </c>
      <c r="D653" s="2022">
        <v>11342737.130000001</v>
      </c>
      <c r="E653" s="2022">
        <v>0</v>
      </c>
      <c r="F653" s="2022">
        <v>0</v>
      </c>
      <c r="G653" s="2022">
        <v>11342737.130000001</v>
      </c>
      <c r="H653" s="2022">
        <v>0</v>
      </c>
      <c r="I653" s="2022">
        <f t="shared" si="10"/>
        <v>11342737.130000001</v>
      </c>
    </row>
    <row r="654" spans="1:9" x14ac:dyDescent="0.2">
      <c r="A654" t="s">
        <v>4674</v>
      </c>
      <c r="B654" t="s">
        <v>4675</v>
      </c>
      <c r="C654" s="2022">
        <v>0</v>
      </c>
      <c r="D654" s="2022">
        <v>18498159.18</v>
      </c>
      <c r="E654" s="2022">
        <v>0</v>
      </c>
      <c r="F654" s="2022">
        <v>0</v>
      </c>
      <c r="G654" s="2022">
        <v>18498159.18</v>
      </c>
      <c r="H654" s="2022">
        <v>0</v>
      </c>
      <c r="I654" s="2022">
        <f t="shared" si="10"/>
        <v>18498159.18</v>
      </c>
    </row>
    <row r="655" spans="1:9" x14ac:dyDescent="0.2">
      <c r="A655" t="s">
        <v>4677</v>
      </c>
      <c r="B655" t="s">
        <v>6328</v>
      </c>
      <c r="C655" s="2022">
        <v>0</v>
      </c>
      <c r="D655" s="2022">
        <v>9612138.2699999996</v>
      </c>
      <c r="E655" s="2022">
        <v>0</v>
      </c>
      <c r="F655" s="2022">
        <v>0</v>
      </c>
      <c r="G655" s="2022">
        <v>9612138.2699999996</v>
      </c>
      <c r="H655" s="2022">
        <v>0</v>
      </c>
      <c r="I655" s="2022">
        <f t="shared" si="10"/>
        <v>9612138.2699999996</v>
      </c>
    </row>
    <row r="656" spans="1:9" x14ac:dyDescent="0.2">
      <c r="A656" t="s">
        <v>4680</v>
      </c>
      <c r="B656" t="s">
        <v>6329</v>
      </c>
      <c r="C656" s="2022">
        <v>0</v>
      </c>
      <c r="D656" s="2022">
        <v>29404500</v>
      </c>
      <c r="E656" s="2022">
        <v>0</v>
      </c>
      <c r="F656" s="2022">
        <v>0</v>
      </c>
      <c r="G656" s="2022">
        <v>29404500</v>
      </c>
      <c r="H656" s="2022">
        <v>0</v>
      </c>
      <c r="I656" s="2022">
        <f t="shared" si="10"/>
        <v>29404500</v>
      </c>
    </row>
    <row r="657" spans="1:9" x14ac:dyDescent="0.2">
      <c r="A657" t="s">
        <v>4683</v>
      </c>
      <c r="B657" t="s">
        <v>6330</v>
      </c>
      <c r="C657" s="2022">
        <v>0</v>
      </c>
      <c r="D657" s="2022">
        <v>38996.29</v>
      </c>
      <c r="E657" s="2022">
        <v>0</v>
      </c>
      <c r="F657" s="2022">
        <v>0</v>
      </c>
      <c r="G657" s="2022">
        <v>38996.29</v>
      </c>
      <c r="H657" s="2022">
        <v>0</v>
      </c>
      <c r="I657" s="2022">
        <f t="shared" si="10"/>
        <v>38996.29</v>
      </c>
    </row>
    <row r="658" spans="1:9" x14ac:dyDescent="0.2">
      <c r="A658" t="s">
        <v>4686</v>
      </c>
      <c r="B658" t="s">
        <v>6331</v>
      </c>
      <c r="C658" s="2022">
        <v>0</v>
      </c>
      <c r="D658" s="2022">
        <v>2690389.98</v>
      </c>
      <c r="E658" s="2022">
        <v>0</v>
      </c>
      <c r="F658" s="2022">
        <v>0</v>
      </c>
      <c r="G658" s="2022">
        <v>2690389.98</v>
      </c>
      <c r="H658" s="2022">
        <v>0</v>
      </c>
      <c r="I658" s="2022">
        <f t="shared" si="10"/>
        <v>2690389.98</v>
      </c>
    </row>
    <row r="659" spans="1:9" x14ac:dyDescent="0.2">
      <c r="A659" t="s">
        <v>4689</v>
      </c>
      <c r="B659" t="s">
        <v>6332</v>
      </c>
      <c r="C659" s="2022">
        <v>0</v>
      </c>
      <c r="D659" s="2022">
        <v>8144.68</v>
      </c>
      <c r="E659" s="2022">
        <v>0</v>
      </c>
      <c r="F659" s="2022">
        <v>0</v>
      </c>
      <c r="G659" s="2022">
        <v>8144.68</v>
      </c>
      <c r="H659" s="2022">
        <v>0</v>
      </c>
      <c r="I659" s="2022">
        <f t="shared" si="10"/>
        <v>8144.68</v>
      </c>
    </row>
    <row r="660" spans="1:9" x14ac:dyDescent="0.2">
      <c r="A660" t="s">
        <v>4692</v>
      </c>
      <c r="B660" t="s">
        <v>6333</v>
      </c>
      <c r="C660" s="2022">
        <v>0</v>
      </c>
      <c r="D660" s="2022">
        <v>1490059.17</v>
      </c>
      <c r="E660" s="2022">
        <v>0</v>
      </c>
      <c r="F660" s="2022">
        <v>0</v>
      </c>
      <c r="G660" s="2022">
        <v>1490059.17</v>
      </c>
      <c r="H660" s="2022">
        <v>0</v>
      </c>
      <c r="I660" s="2022">
        <f t="shared" si="10"/>
        <v>1490059.17</v>
      </c>
    </row>
    <row r="661" spans="1:9" x14ac:dyDescent="0.2">
      <c r="A661" t="s">
        <v>4695</v>
      </c>
      <c r="B661" t="s">
        <v>6334</v>
      </c>
      <c r="C661" s="2022">
        <v>0</v>
      </c>
      <c r="D661" s="2022">
        <v>1231.58</v>
      </c>
      <c r="E661" s="2022">
        <v>0</v>
      </c>
      <c r="F661" s="2022">
        <v>0</v>
      </c>
      <c r="G661" s="2022">
        <v>1231.58</v>
      </c>
      <c r="H661" s="2022">
        <v>0</v>
      </c>
      <c r="I661" s="2022">
        <f t="shared" si="10"/>
        <v>1231.58</v>
      </c>
    </row>
    <row r="662" spans="1:9" x14ac:dyDescent="0.2">
      <c r="A662" t="s">
        <v>4698</v>
      </c>
      <c r="B662" t="s">
        <v>6335</v>
      </c>
      <c r="C662" s="2022">
        <v>0</v>
      </c>
      <c r="D662" s="2022">
        <v>24517.68</v>
      </c>
      <c r="E662" s="2022">
        <v>0</v>
      </c>
      <c r="F662" s="2022">
        <v>0</v>
      </c>
      <c r="G662" s="2022">
        <v>24517.68</v>
      </c>
      <c r="H662" s="2022">
        <v>0</v>
      </c>
      <c r="I662" s="2022">
        <f t="shared" si="10"/>
        <v>24517.68</v>
      </c>
    </row>
    <row r="663" spans="1:9" x14ac:dyDescent="0.2">
      <c r="A663" t="s">
        <v>4701</v>
      </c>
      <c r="B663" t="s">
        <v>6336</v>
      </c>
      <c r="C663" s="2022">
        <v>0</v>
      </c>
      <c r="D663" s="2022">
        <v>1002705.54</v>
      </c>
      <c r="E663" s="2022">
        <v>0</v>
      </c>
      <c r="F663" s="2022">
        <v>0</v>
      </c>
      <c r="G663" s="2022">
        <v>1002705.54</v>
      </c>
      <c r="H663" s="2022">
        <v>0</v>
      </c>
      <c r="I663" s="2022">
        <f t="shared" si="10"/>
        <v>1002705.54</v>
      </c>
    </row>
    <row r="664" spans="1:9" x14ac:dyDescent="0.2">
      <c r="A664" t="s">
        <v>4704</v>
      </c>
      <c r="B664" t="s">
        <v>6337</v>
      </c>
      <c r="C664" s="2022">
        <v>0</v>
      </c>
      <c r="D664" s="2022">
        <v>19790250.27</v>
      </c>
      <c r="E664" s="2022">
        <v>0</v>
      </c>
      <c r="F664" s="2022">
        <v>0</v>
      </c>
      <c r="G664" s="2022">
        <v>19790250.27</v>
      </c>
      <c r="H664" s="2022">
        <v>0</v>
      </c>
      <c r="I664" s="2022">
        <f t="shared" si="10"/>
        <v>19790250.27</v>
      </c>
    </row>
    <row r="665" spans="1:9" x14ac:dyDescent="0.2">
      <c r="A665" t="s">
        <v>4707</v>
      </c>
      <c r="B665" t="s">
        <v>6338</v>
      </c>
      <c r="C665" s="2022">
        <v>0</v>
      </c>
      <c r="D665" s="2022">
        <v>3009493.17</v>
      </c>
      <c r="E665" s="2022">
        <v>0</v>
      </c>
      <c r="F665" s="2022">
        <v>0</v>
      </c>
      <c r="G665" s="2022">
        <v>3009493.17</v>
      </c>
      <c r="H665" s="2022">
        <v>0</v>
      </c>
      <c r="I665" s="2022">
        <f t="shared" si="10"/>
        <v>3009493.17</v>
      </c>
    </row>
    <row r="666" spans="1:9" x14ac:dyDescent="0.2">
      <c r="A666" t="s">
        <v>4710</v>
      </c>
      <c r="B666" t="s">
        <v>6339</v>
      </c>
      <c r="C666" s="2022">
        <v>0</v>
      </c>
      <c r="D666" s="2022">
        <v>2101559.0099999998</v>
      </c>
      <c r="E666" s="2022">
        <v>0</v>
      </c>
      <c r="F666" s="2022">
        <v>0</v>
      </c>
      <c r="G666" s="2022">
        <v>2101559.0099999998</v>
      </c>
      <c r="H666" s="2022">
        <v>0</v>
      </c>
      <c r="I666" s="2022">
        <f t="shared" si="10"/>
        <v>2101559.0099999998</v>
      </c>
    </row>
    <row r="667" spans="1:9" x14ac:dyDescent="0.2">
      <c r="A667" t="s">
        <v>4734</v>
      </c>
      <c r="B667" t="s">
        <v>6340</v>
      </c>
      <c r="C667" s="2022">
        <v>0</v>
      </c>
      <c r="D667" s="2022">
        <v>88840.25</v>
      </c>
      <c r="E667" s="2022">
        <v>0</v>
      </c>
      <c r="F667" s="2022">
        <v>-1807046.89</v>
      </c>
      <c r="G667" s="2022">
        <v>0</v>
      </c>
      <c r="H667" s="2022">
        <v>-1718206.64</v>
      </c>
      <c r="I667" s="2022">
        <f t="shared" si="10"/>
        <v>-1718206.64</v>
      </c>
    </row>
    <row r="668" spans="1:9" x14ac:dyDescent="0.2">
      <c r="A668" t="s">
        <v>4736</v>
      </c>
      <c r="B668" t="s">
        <v>6341</v>
      </c>
      <c r="C668" s="2022">
        <v>0</v>
      </c>
      <c r="D668" s="2022">
        <v>277.87</v>
      </c>
      <c r="E668" s="2022">
        <v>0</v>
      </c>
      <c r="F668" s="2022">
        <v>0</v>
      </c>
      <c r="G668" s="2022">
        <v>277.87</v>
      </c>
      <c r="H668" s="2022">
        <v>0</v>
      </c>
      <c r="I668" s="2022">
        <f t="shared" si="10"/>
        <v>277.87</v>
      </c>
    </row>
    <row r="669" spans="1:9" x14ac:dyDescent="0.2">
      <c r="A669" t="s">
        <v>4738</v>
      </c>
      <c r="B669" t="s">
        <v>6342</v>
      </c>
      <c r="C669" s="2022">
        <v>0</v>
      </c>
      <c r="D669" s="2022">
        <v>1628.34</v>
      </c>
      <c r="E669" s="2022">
        <v>0</v>
      </c>
      <c r="F669" s="2022">
        <v>0</v>
      </c>
      <c r="G669" s="2022">
        <v>1628.34</v>
      </c>
      <c r="H669" s="2022">
        <v>0</v>
      </c>
      <c r="I669" s="2022">
        <f t="shared" si="10"/>
        <v>1628.34</v>
      </c>
    </row>
    <row r="670" spans="1:9" x14ac:dyDescent="0.2">
      <c r="A670" t="s">
        <v>4740</v>
      </c>
      <c r="B670" t="s">
        <v>6343</v>
      </c>
      <c r="C670" s="2022">
        <v>0</v>
      </c>
      <c r="D670" s="2022">
        <v>31640.080000000002</v>
      </c>
      <c r="E670" s="2022">
        <v>18809000</v>
      </c>
      <c r="F670" s="2022">
        <v>0</v>
      </c>
      <c r="G670" s="2022">
        <v>18840640.079999998</v>
      </c>
      <c r="H670" s="2022">
        <v>0</v>
      </c>
      <c r="I670" s="2022">
        <f t="shared" si="10"/>
        <v>18840640.079999998</v>
      </c>
    </row>
    <row r="671" spans="1:9" x14ac:dyDescent="0.2">
      <c r="A671" t="s">
        <v>4742</v>
      </c>
      <c r="B671" t="s">
        <v>6344</v>
      </c>
      <c r="C671" s="2022">
        <v>0</v>
      </c>
      <c r="D671" s="2022">
        <v>56189.57</v>
      </c>
      <c r="E671" s="2022">
        <v>0</v>
      </c>
      <c r="F671" s="2022">
        <v>0</v>
      </c>
      <c r="G671" s="2022">
        <v>56189.57</v>
      </c>
      <c r="H671" s="2022">
        <v>0</v>
      </c>
      <c r="I671" s="2022">
        <f t="shared" si="10"/>
        <v>56189.57</v>
      </c>
    </row>
    <row r="672" spans="1:9" x14ac:dyDescent="0.2">
      <c r="A672" t="s">
        <v>4744</v>
      </c>
      <c r="B672" t="s">
        <v>6345</v>
      </c>
      <c r="C672" s="2022">
        <v>0</v>
      </c>
      <c r="D672" s="2022">
        <v>120653</v>
      </c>
      <c r="E672" s="2022">
        <v>0</v>
      </c>
      <c r="F672" s="2022">
        <v>0</v>
      </c>
      <c r="G672" s="2022">
        <v>120653</v>
      </c>
      <c r="H672" s="2022">
        <v>0</v>
      </c>
      <c r="I672" s="2022">
        <f t="shared" si="10"/>
        <v>120653</v>
      </c>
    </row>
    <row r="673" spans="1:9" x14ac:dyDescent="0.2">
      <c r="A673" t="s">
        <v>4746</v>
      </c>
      <c r="B673" t="s">
        <v>6346</v>
      </c>
      <c r="C673" s="2022">
        <v>0</v>
      </c>
      <c r="D673" s="2022">
        <v>33650.5</v>
      </c>
      <c r="E673" s="2022">
        <v>0</v>
      </c>
      <c r="F673" s="2022">
        <v>0</v>
      </c>
      <c r="G673" s="2022">
        <v>33650.5</v>
      </c>
      <c r="H673" s="2022">
        <v>0</v>
      </c>
      <c r="I673" s="2022">
        <f t="shared" si="10"/>
        <v>33650.5</v>
      </c>
    </row>
    <row r="674" spans="1:9" x14ac:dyDescent="0.2">
      <c r="A674" t="s">
        <v>4748</v>
      </c>
      <c r="B674" t="s">
        <v>6347</v>
      </c>
      <c r="C674" s="2022">
        <v>0</v>
      </c>
      <c r="D674" s="2022">
        <v>62175</v>
      </c>
      <c r="E674" s="2022">
        <v>0</v>
      </c>
      <c r="F674" s="2022">
        <v>0</v>
      </c>
      <c r="G674" s="2022">
        <v>62175</v>
      </c>
      <c r="H674" s="2022">
        <v>0</v>
      </c>
      <c r="I674" s="2022">
        <f t="shared" si="10"/>
        <v>62175</v>
      </c>
    </row>
    <row r="675" spans="1:9" x14ac:dyDescent="0.2">
      <c r="A675" t="s">
        <v>4750</v>
      </c>
      <c r="B675" t="s">
        <v>6348</v>
      </c>
      <c r="C675" s="2022">
        <v>0</v>
      </c>
      <c r="D675" s="2022">
        <v>585000</v>
      </c>
      <c r="E675" s="2022">
        <v>0</v>
      </c>
      <c r="F675" s="2022">
        <v>0</v>
      </c>
      <c r="G675" s="2022">
        <v>585000</v>
      </c>
      <c r="H675" s="2022">
        <v>0</v>
      </c>
      <c r="I675" s="2022">
        <f t="shared" si="10"/>
        <v>585000</v>
      </c>
    </row>
    <row r="676" spans="1:9" x14ac:dyDescent="0.2">
      <c r="A676" t="s">
        <v>4755</v>
      </c>
      <c r="B676" t="s">
        <v>6349</v>
      </c>
      <c r="C676" s="2022">
        <v>0</v>
      </c>
      <c r="D676" s="2022">
        <v>2510796.9300000002</v>
      </c>
      <c r="E676" s="2022">
        <v>164.43</v>
      </c>
      <c r="F676" s="2022">
        <v>-29642.65</v>
      </c>
      <c r="G676" s="2022">
        <v>2481318.71</v>
      </c>
      <c r="H676" s="2022">
        <v>0</v>
      </c>
      <c r="I676" s="2022">
        <f t="shared" si="10"/>
        <v>2481318.71</v>
      </c>
    </row>
    <row r="677" spans="1:9" x14ac:dyDescent="0.2">
      <c r="A677" t="s">
        <v>4758</v>
      </c>
      <c r="B677" t="s">
        <v>6350</v>
      </c>
      <c r="C677" s="2022">
        <v>0</v>
      </c>
      <c r="D677" s="2022">
        <v>-42166845.710000001</v>
      </c>
      <c r="E677" s="2022">
        <v>0</v>
      </c>
      <c r="F677" s="2022">
        <v>0</v>
      </c>
      <c r="G677" s="2022">
        <v>0</v>
      </c>
      <c r="H677" s="2022">
        <v>-42166845.710000001</v>
      </c>
      <c r="I677" s="2022">
        <f t="shared" si="10"/>
        <v>-42166845.710000001</v>
      </c>
    </row>
    <row r="678" spans="1:9" x14ac:dyDescent="0.2">
      <c r="A678" t="s">
        <v>4760</v>
      </c>
      <c r="B678" t="s">
        <v>6351</v>
      </c>
      <c r="C678" s="2022">
        <v>0</v>
      </c>
      <c r="D678" s="2022">
        <v>421097.62</v>
      </c>
      <c r="E678" s="2022">
        <v>0</v>
      </c>
      <c r="F678" s="2022">
        <v>0</v>
      </c>
      <c r="G678" s="2022">
        <v>421097.62</v>
      </c>
      <c r="H678" s="2022">
        <v>0</v>
      </c>
      <c r="I678" s="2022">
        <f t="shared" si="10"/>
        <v>421097.62</v>
      </c>
    </row>
    <row r="679" spans="1:9" x14ac:dyDescent="0.2">
      <c r="A679" t="s">
        <v>4762</v>
      </c>
      <c r="B679" t="s">
        <v>6352</v>
      </c>
      <c r="C679" s="2022">
        <v>0</v>
      </c>
      <c r="D679" s="2022">
        <v>170683.16</v>
      </c>
      <c r="E679" s="2022">
        <v>0</v>
      </c>
      <c r="F679" s="2022">
        <v>-2397.2800000000002</v>
      </c>
      <c r="G679" s="2022">
        <v>168285.88</v>
      </c>
      <c r="H679" s="2022">
        <v>0</v>
      </c>
      <c r="I679" s="2022">
        <f t="shared" si="10"/>
        <v>168285.88</v>
      </c>
    </row>
    <row r="680" spans="1:9" x14ac:dyDescent="0.2">
      <c r="A680" t="s">
        <v>4764</v>
      </c>
      <c r="B680" t="s">
        <v>6353</v>
      </c>
      <c r="C680" s="2022">
        <v>0</v>
      </c>
      <c r="D680" s="2022">
        <v>4588917.53</v>
      </c>
      <c r="E680" s="2022">
        <v>1249770</v>
      </c>
      <c r="F680" s="2022">
        <v>-214503.6</v>
      </c>
      <c r="G680" s="2022">
        <v>5624183.9299999997</v>
      </c>
      <c r="H680" s="2022">
        <v>0</v>
      </c>
      <c r="I680" s="2022">
        <f t="shared" si="10"/>
        <v>5624183.9299999997</v>
      </c>
    </row>
    <row r="681" spans="1:9" x14ac:dyDescent="0.2">
      <c r="A681" t="s">
        <v>4766</v>
      </c>
      <c r="B681" t="s">
        <v>6354</v>
      </c>
      <c r="C681" s="2022">
        <v>0</v>
      </c>
      <c r="D681" s="2022">
        <v>1459.56</v>
      </c>
      <c r="E681" s="2022">
        <v>0</v>
      </c>
      <c r="F681" s="2022">
        <v>0</v>
      </c>
      <c r="G681" s="2022">
        <v>1459.56</v>
      </c>
      <c r="H681" s="2022">
        <v>0</v>
      </c>
      <c r="I681" s="2022">
        <f t="shared" si="10"/>
        <v>1459.56</v>
      </c>
    </row>
    <row r="682" spans="1:9" x14ac:dyDescent="0.2">
      <c r="A682" t="s">
        <v>4768</v>
      </c>
      <c r="B682" t="s">
        <v>6355</v>
      </c>
      <c r="C682" s="2022">
        <v>0</v>
      </c>
      <c r="D682" s="2022">
        <v>16826.5</v>
      </c>
      <c r="E682" s="2022">
        <v>28705.8</v>
      </c>
      <c r="F682" s="2022">
        <v>-17691.39</v>
      </c>
      <c r="G682" s="2022">
        <v>27840.91</v>
      </c>
      <c r="H682" s="2022">
        <v>0</v>
      </c>
      <c r="I682" s="2022">
        <f t="shared" si="10"/>
        <v>27840.91</v>
      </c>
    </row>
    <row r="683" spans="1:9" x14ac:dyDescent="0.2">
      <c r="A683" t="s">
        <v>4770</v>
      </c>
      <c r="B683" t="s">
        <v>6356</v>
      </c>
      <c r="C683" s="2022">
        <v>0</v>
      </c>
      <c r="D683" s="2022">
        <v>4126580.5</v>
      </c>
      <c r="E683" s="2022">
        <v>9568046.6500000004</v>
      </c>
      <c r="F683" s="2022">
        <v>-7688907.6600000001</v>
      </c>
      <c r="G683" s="2022">
        <v>6005719.4900000002</v>
      </c>
      <c r="H683" s="2022">
        <v>0</v>
      </c>
      <c r="I683" s="2022">
        <f t="shared" si="10"/>
        <v>6005719.4900000002</v>
      </c>
    </row>
    <row r="684" spans="1:9" x14ac:dyDescent="0.2">
      <c r="A684" t="s">
        <v>4772</v>
      </c>
      <c r="B684" t="s">
        <v>6357</v>
      </c>
      <c r="C684" s="2022">
        <v>0</v>
      </c>
      <c r="D684" s="2022">
        <v>6526920.75</v>
      </c>
      <c r="E684" s="2022">
        <v>5138185.5</v>
      </c>
      <c r="F684" s="2022">
        <v>-1000490.07</v>
      </c>
      <c r="G684" s="2022">
        <v>10664616.18</v>
      </c>
      <c r="H684" s="2022">
        <v>0</v>
      </c>
      <c r="I684" s="2022">
        <f t="shared" si="10"/>
        <v>10664616.18</v>
      </c>
    </row>
    <row r="685" spans="1:9" x14ac:dyDescent="0.2">
      <c r="A685" t="s">
        <v>4774</v>
      </c>
      <c r="B685" t="s">
        <v>6358</v>
      </c>
      <c r="C685" s="2022">
        <v>0</v>
      </c>
      <c r="D685" s="2022">
        <v>544619.55000000005</v>
      </c>
      <c r="E685" s="2022">
        <v>327218.25</v>
      </c>
      <c r="F685" s="2022">
        <v>-225040.65</v>
      </c>
      <c r="G685" s="2022">
        <v>646797.15</v>
      </c>
      <c r="H685" s="2022">
        <v>0</v>
      </c>
      <c r="I685" s="2022">
        <f t="shared" si="10"/>
        <v>646797.15</v>
      </c>
    </row>
    <row r="686" spans="1:9" x14ac:dyDescent="0.2">
      <c r="A686" t="s">
        <v>4776</v>
      </c>
      <c r="B686" t="s">
        <v>6359</v>
      </c>
      <c r="C686" s="2022">
        <v>0</v>
      </c>
      <c r="D686" s="2022">
        <v>9386734.0399999991</v>
      </c>
      <c r="E686" s="2022">
        <v>357.2</v>
      </c>
      <c r="F686" s="2022">
        <v>-61057.279999999999</v>
      </c>
      <c r="G686" s="2022">
        <v>9326033.9600000009</v>
      </c>
      <c r="H686" s="2022">
        <v>0</v>
      </c>
      <c r="I686" s="2022">
        <f t="shared" si="10"/>
        <v>9326033.9600000009</v>
      </c>
    </row>
    <row r="687" spans="1:9" x14ac:dyDescent="0.2">
      <c r="A687" t="s">
        <v>4778</v>
      </c>
      <c r="B687" t="s">
        <v>6337</v>
      </c>
      <c r="C687" s="2022">
        <v>0</v>
      </c>
      <c r="D687" s="2022">
        <v>8350622.5999999996</v>
      </c>
      <c r="E687" s="2022">
        <v>7681799.9500000002</v>
      </c>
      <c r="F687" s="2022">
        <v>-2193491.6800000002</v>
      </c>
      <c r="G687" s="2022">
        <v>13838930.869999999</v>
      </c>
      <c r="H687" s="2022">
        <v>0</v>
      </c>
      <c r="I687" s="2022">
        <f t="shared" si="10"/>
        <v>13838930.869999999</v>
      </c>
    </row>
    <row r="688" spans="1:9" x14ac:dyDescent="0.2">
      <c r="A688" t="s">
        <v>4779</v>
      </c>
      <c r="B688" t="s">
        <v>6360</v>
      </c>
      <c r="C688" s="2022">
        <v>0</v>
      </c>
      <c r="D688" s="2022">
        <v>15301840.9</v>
      </c>
      <c r="E688" s="2022">
        <v>170388016.40000001</v>
      </c>
      <c r="F688" s="2022">
        <v>-145383211.09999999</v>
      </c>
      <c r="G688" s="2022">
        <v>40306646.159999996</v>
      </c>
      <c r="H688" s="2022">
        <v>0</v>
      </c>
      <c r="I688" s="2022">
        <f t="shared" si="10"/>
        <v>40306646.159999996</v>
      </c>
    </row>
    <row r="689" spans="1:9" x14ac:dyDescent="0.2">
      <c r="A689" t="s">
        <v>4784</v>
      </c>
      <c r="B689" t="s">
        <v>6361</v>
      </c>
      <c r="C689" s="2022">
        <v>0</v>
      </c>
      <c r="D689" s="2022">
        <v>-1483730.49</v>
      </c>
      <c r="E689" s="2022">
        <v>2720234.39</v>
      </c>
      <c r="F689" s="2022">
        <v>-2667402.7599999998</v>
      </c>
      <c r="G689" s="2022">
        <v>0</v>
      </c>
      <c r="H689" s="2022">
        <v>-1430898.86</v>
      </c>
      <c r="I689" s="2022">
        <f t="shared" si="10"/>
        <v>-1430898.86</v>
      </c>
    </row>
    <row r="690" spans="1:9" x14ac:dyDescent="0.2">
      <c r="A690" t="s">
        <v>4789</v>
      </c>
      <c r="B690" t="s">
        <v>6362</v>
      </c>
      <c r="C690" s="2022">
        <v>0</v>
      </c>
      <c r="D690" s="2022">
        <v>12406.74</v>
      </c>
      <c r="E690" s="2022">
        <v>10427.9</v>
      </c>
      <c r="F690" s="2022">
        <v>0</v>
      </c>
      <c r="G690" s="2022">
        <v>22834.639999999999</v>
      </c>
      <c r="H690" s="2022">
        <v>0</v>
      </c>
      <c r="I690" s="2022">
        <f t="shared" si="10"/>
        <v>22834.639999999999</v>
      </c>
    </row>
    <row r="691" spans="1:9" x14ac:dyDescent="0.2">
      <c r="A691" t="s">
        <v>4792</v>
      </c>
      <c r="B691" t="s">
        <v>6363</v>
      </c>
      <c r="C691" s="2022">
        <v>0</v>
      </c>
      <c r="D691" s="2022">
        <v>4704</v>
      </c>
      <c r="E691" s="2022">
        <v>0</v>
      </c>
      <c r="F691" s="2022">
        <v>0</v>
      </c>
      <c r="G691" s="2022">
        <v>4704</v>
      </c>
      <c r="H691" s="2022">
        <v>0</v>
      </c>
      <c r="I691" s="2022">
        <f t="shared" si="10"/>
        <v>4704</v>
      </c>
    </row>
    <row r="692" spans="1:9" x14ac:dyDescent="0.2">
      <c r="A692" t="s">
        <v>4795</v>
      </c>
      <c r="B692" t="s">
        <v>6364</v>
      </c>
      <c r="C692" s="2022">
        <v>0</v>
      </c>
      <c r="D692" s="2022">
        <v>8846420.7699999996</v>
      </c>
      <c r="E692" s="2022">
        <v>2629984.79</v>
      </c>
      <c r="F692" s="2022">
        <v>-1727422.64</v>
      </c>
      <c r="G692" s="2022">
        <v>9748982.9199999999</v>
      </c>
      <c r="H692" s="2022">
        <v>0</v>
      </c>
      <c r="I692" s="2022">
        <f t="shared" si="10"/>
        <v>9748982.9199999999</v>
      </c>
    </row>
    <row r="693" spans="1:9" x14ac:dyDescent="0.2">
      <c r="A693" t="s">
        <v>4797</v>
      </c>
      <c r="B693" t="s">
        <v>6365</v>
      </c>
      <c r="C693" s="2022">
        <v>0</v>
      </c>
      <c r="D693" s="2022">
        <v>10215500</v>
      </c>
      <c r="E693" s="2022">
        <v>0</v>
      </c>
      <c r="F693" s="2022">
        <v>0</v>
      </c>
      <c r="G693" s="2022">
        <v>10215500</v>
      </c>
      <c r="H693" s="2022">
        <v>0</v>
      </c>
      <c r="I693" s="2022">
        <f t="shared" si="10"/>
        <v>10215500</v>
      </c>
    </row>
    <row r="694" spans="1:9" x14ac:dyDescent="0.2">
      <c r="A694" t="s">
        <v>4799</v>
      </c>
      <c r="B694" t="s">
        <v>6366</v>
      </c>
      <c r="C694" s="2022">
        <v>0</v>
      </c>
      <c r="D694" s="2022">
        <v>18051.21</v>
      </c>
      <c r="E694" s="2022">
        <v>29349.88</v>
      </c>
      <c r="F694" s="2022">
        <v>-46670.54</v>
      </c>
      <c r="G694" s="2022">
        <v>730.55</v>
      </c>
      <c r="H694" s="2022">
        <v>0</v>
      </c>
      <c r="I694" s="2022">
        <f t="shared" si="10"/>
        <v>730.55</v>
      </c>
    </row>
    <row r="695" spans="1:9" x14ac:dyDescent="0.2">
      <c r="A695" t="s">
        <v>4801</v>
      </c>
      <c r="B695" t="s">
        <v>6367</v>
      </c>
      <c r="C695" s="2022">
        <v>0</v>
      </c>
      <c r="D695" s="2022">
        <v>87328.11</v>
      </c>
      <c r="E695" s="2022">
        <v>1623918.6</v>
      </c>
      <c r="F695" s="2022">
        <v>-1704478.61</v>
      </c>
      <c r="G695" s="2022">
        <v>6768.1</v>
      </c>
      <c r="H695" s="2022">
        <v>0</v>
      </c>
      <c r="I695" s="2022">
        <f t="shared" si="10"/>
        <v>6768.1</v>
      </c>
    </row>
    <row r="696" spans="1:9" x14ac:dyDescent="0.2">
      <c r="A696" t="s">
        <v>4803</v>
      </c>
      <c r="B696" t="s">
        <v>6368</v>
      </c>
      <c r="C696" s="2022">
        <v>0</v>
      </c>
      <c r="D696" s="2022">
        <v>1179.9000000000001</v>
      </c>
      <c r="E696" s="2022">
        <v>0</v>
      </c>
      <c r="F696" s="2022">
        <v>0</v>
      </c>
      <c r="G696" s="2022">
        <v>1179.9000000000001</v>
      </c>
      <c r="H696" s="2022">
        <v>0</v>
      </c>
      <c r="I696" s="2022">
        <f t="shared" si="10"/>
        <v>1179.9000000000001</v>
      </c>
    </row>
    <row r="697" spans="1:9" x14ac:dyDescent="0.2">
      <c r="A697" t="s">
        <v>4805</v>
      </c>
      <c r="B697" t="s">
        <v>6369</v>
      </c>
      <c r="C697" s="2022">
        <v>0</v>
      </c>
      <c r="D697" s="2022">
        <v>107085.45</v>
      </c>
      <c r="E697" s="2022">
        <v>2015546.37</v>
      </c>
      <c r="F697" s="2022">
        <v>-2113920.89</v>
      </c>
      <c r="G697" s="2022">
        <v>8710.93</v>
      </c>
      <c r="H697" s="2022">
        <v>0</v>
      </c>
      <c r="I697" s="2022">
        <f t="shared" si="10"/>
        <v>8710.93</v>
      </c>
    </row>
    <row r="698" spans="1:9" x14ac:dyDescent="0.2">
      <c r="A698" t="s">
        <v>7289</v>
      </c>
      <c r="B698" t="s">
        <v>7290</v>
      </c>
      <c r="G698" s="2022">
        <v>397906964.68000001</v>
      </c>
      <c r="H698" s="2022">
        <v>-397906964.68000001</v>
      </c>
      <c r="I698" s="2022">
        <f>SUM(I3:I697)</f>
        <v>7.0000158175389515E-2</v>
      </c>
    </row>
    <row r="699" spans="1:9" x14ac:dyDescent="0.2">
      <c r="A699" t="s">
        <v>7291</v>
      </c>
      <c r="B699" t="s">
        <v>7292</v>
      </c>
      <c r="C699" s="2022" t="s">
        <v>6376</v>
      </c>
      <c r="D699" s="2022" t="s">
        <v>6376</v>
      </c>
      <c r="E699" s="2022" t="s">
        <v>6376</v>
      </c>
      <c r="F699" s="2022" t="s">
        <v>6376</v>
      </c>
      <c r="G699" s="2022" t="s">
        <v>6377</v>
      </c>
      <c r="H699" s="2022" t="s">
        <v>6377</v>
      </c>
    </row>
  </sheetData>
  <sortState ref="A3:I976">
    <sortCondition ref="A3:A976"/>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5"/>
  <sheetViews>
    <sheetView workbookViewId="0">
      <selection activeCell="F21" sqref="F21"/>
    </sheetView>
  </sheetViews>
  <sheetFormatPr defaultRowHeight="12.75" x14ac:dyDescent="0.2"/>
  <cols>
    <col min="1" max="1" width="28" style="2100" customWidth="1"/>
    <col min="2" max="2" width="42.5703125" style="2100" customWidth="1"/>
    <col min="3" max="3" width="17.140625" style="2022" customWidth="1"/>
    <col min="5" max="5" width="14.28515625" bestFit="1" customWidth="1"/>
  </cols>
  <sheetData>
    <row r="1" spans="1:5" ht="15" x14ac:dyDescent="0.25">
      <c r="A1" s="2644" t="s">
        <v>4807</v>
      </c>
      <c r="B1" s="2644" t="s">
        <v>6003</v>
      </c>
      <c r="C1" s="2645">
        <v>301020.56</v>
      </c>
      <c r="E1" t="str">
        <f>VLOOKUP(A1,'Trial Balance - FPer'!$A$7:$B$1126,1,FALSE)</f>
        <v>0101/1000/0000</v>
      </c>
    </row>
    <row r="2" spans="1:5" ht="15" x14ac:dyDescent="0.25">
      <c r="A2" s="2644" t="s">
        <v>4809</v>
      </c>
      <c r="B2" s="2644" t="s">
        <v>6039</v>
      </c>
      <c r="C2" s="2645">
        <v>592800.26</v>
      </c>
      <c r="E2" s="2100" t="str">
        <f>VLOOKUP(A2,'Trial Balance - FPer'!$A$7:$B$1126,1,FALSE)</f>
        <v>0101/1001/0000</v>
      </c>
    </row>
    <row r="3" spans="1:5" ht="15" x14ac:dyDescent="0.25">
      <c r="A3" s="2644" t="s">
        <v>4811</v>
      </c>
      <c r="B3" s="2644" t="s">
        <v>6004</v>
      </c>
      <c r="C3" s="2645">
        <v>28790.27</v>
      </c>
      <c r="E3" s="2100" t="str">
        <f>VLOOKUP(A3,'Trial Balance - FPer'!$A$7:$B$1126,1,FALSE)</f>
        <v>0101/1002/0000</v>
      </c>
    </row>
    <row r="4" spans="1:5" ht="15" x14ac:dyDescent="0.25">
      <c r="A4" s="2644" t="s">
        <v>4813</v>
      </c>
      <c r="B4" s="2644" t="s">
        <v>6005</v>
      </c>
      <c r="C4" s="2645">
        <v>4326</v>
      </c>
      <c r="E4" s="2100" t="str">
        <f>VLOOKUP(A4,'Trial Balance - FPer'!$A$7:$B$1126,1,FALSE)</f>
        <v>0101/1003/0000</v>
      </c>
    </row>
    <row r="5" spans="1:5" ht="15" x14ac:dyDescent="0.25">
      <c r="A5" s="2644" t="s">
        <v>4819</v>
      </c>
      <c r="B5" s="2644" t="s">
        <v>6008</v>
      </c>
      <c r="C5" s="2645">
        <v>0</v>
      </c>
      <c r="E5" s="2100" t="str">
        <f>VLOOKUP(A5,'Trial Balance - FPer'!$A$7:$B$1126,1,FALSE)</f>
        <v>0101/1007/0000</v>
      </c>
    </row>
    <row r="6" spans="1:5" ht="15" x14ac:dyDescent="0.25">
      <c r="A6" s="2644" t="s">
        <v>4821</v>
      </c>
      <c r="B6" s="2644" t="s">
        <v>6009</v>
      </c>
      <c r="C6" s="2645">
        <v>0</v>
      </c>
      <c r="E6" s="2100" t="str">
        <f>VLOOKUP(A6,'Trial Balance - FPer'!$A$7:$B$1126,1,FALSE)</f>
        <v>0101/1009/0000</v>
      </c>
    </row>
    <row r="7" spans="1:5" ht="15" x14ac:dyDescent="0.25">
      <c r="A7" s="2644" t="s">
        <v>4823</v>
      </c>
      <c r="B7" s="2644" t="s">
        <v>6010</v>
      </c>
      <c r="C7" s="2645">
        <v>505.49</v>
      </c>
      <c r="E7" s="2100" t="str">
        <f>VLOOKUP(A7,'Trial Balance - FPer'!$A$7:$B$1126,1,FALSE)</f>
        <v>0101/1010/0000</v>
      </c>
    </row>
    <row r="8" spans="1:5" ht="15" x14ac:dyDescent="0.25">
      <c r="A8" s="2644" t="s">
        <v>4825</v>
      </c>
      <c r="B8" s="2644" t="s">
        <v>6011</v>
      </c>
      <c r="C8" s="2645">
        <v>9322.52</v>
      </c>
      <c r="E8" s="2100" t="str">
        <f>VLOOKUP(A8,'Trial Balance - FPer'!$A$7:$B$1126,1,FALSE)</f>
        <v>0101/1011/0000</v>
      </c>
    </row>
    <row r="9" spans="1:5" ht="15" x14ac:dyDescent="0.25">
      <c r="A9" s="2644" t="s">
        <v>4827</v>
      </c>
      <c r="B9" s="2644" t="s">
        <v>7710</v>
      </c>
      <c r="C9" s="2645">
        <v>3977.76</v>
      </c>
      <c r="E9" s="2100" t="str">
        <f>VLOOKUP(A9,'Trial Balance - FPer'!$A$7:$B$1126,1,FALSE)</f>
        <v>0101/1012/0000</v>
      </c>
    </row>
    <row r="10" spans="1:5" ht="15" x14ac:dyDescent="0.25">
      <c r="A10" s="2644" t="s">
        <v>4828</v>
      </c>
      <c r="B10" s="2644" t="s">
        <v>6012</v>
      </c>
      <c r="C10" s="2645">
        <v>48820.639999999999</v>
      </c>
      <c r="E10" s="2100" t="str">
        <f>VLOOKUP(A10,'Trial Balance - FPer'!$A$7:$B$1126,1,FALSE)</f>
        <v>0101/1050/0000</v>
      </c>
    </row>
    <row r="11" spans="1:5" ht="15" x14ac:dyDescent="0.25">
      <c r="A11" s="2644" t="s">
        <v>4830</v>
      </c>
      <c r="B11" s="2644" t="s">
        <v>6013</v>
      </c>
      <c r="C11" s="2645">
        <v>64212.53</v>
      </c>
      <c r="E11" s="2100" t="str">
        <f>VLOOKUP(A11,'Trial Balance - FPer'!$A$7:$B$1126,1,FALSE)</f>
        <v>0101/1051/0000</v>
      </c>
    </row>
    <row r="12" spans="1:5" ht="15" x14ac:dyDescent="0.25">
      <c r="A12" s="2644" t="s">
        <v>4832</v>
      </c>
      <c r="B12" s="2644" t="s">
        <v>6014</v>
      </c>
      <c r="C12" s="2645">
        <v>9095.42</v>
      </c>
      <c r="E12" s="2100" t="str">
        <f>VLOOKUP(A12,'Trial Balance - FPer'!$A$7:$B$1126,1,FALSE)</f>
        <v>0101/1052/0000</v>
      </c>
    </row>
    <row r="13" spans="1:5" ht="15" x14ac:dyDescent="0.25">
      <c r="A13" s="2644" t="s">
        <v>4834</v>
      </c>
      <c r="B13" s="2644" t="s">
        <v>6015</v>
      </c>
      <c r="C13" s="2645">
        <v>1760519.78</v>
      </c>
      <c r="E13" s="2100" t="str">
        <f>VLOOKUP(A13,'Trial Balance - FPer'!$A$7:$B$1126,1,FALSE)</f>
        <v>0101/1092/0000</v>
      </c>
    </row>
    <row r="14" spans="1:5" ht="15" x14ac:dyDescent="0.25">
      <c r="A14" s="2644" t="s">
        <v>4836</v>
      </c>
      <c r="B14" s="2644" t="s">
        <v>4837</v>
      </c>
      <c r="C14" s="2645">
        <v>140796.16</v>
      </c>
      <c r="E14" s="2100" t="str">
        <f>VLOOKUP(A14,'Trial Balance - FPer'!$A$7:$B$1126,1,FALSE)</f>
        <v>0101/1093/0000</v>
      </c>
    </row>
    <row r="15" spans="1:5" ht="15" x14ac:dyDescent="0.25">
      <c r="A15" s="2644" t="s">
        <v>4838</v>
      </c>
      <c r="B15" s="2644" t="s">
        <v>4839</v>
      </c>
      <c r="C15" s="2645">
        <v>566717.49</v>
      </c>
      <c r="E15" s="2100" t="str">
        <f>VLOOKUP(A15,'Trial Balance - FPer'!$A$7:$B$1126,1,FALSE)</f>
        <v>0101/1094/0000</v>
      </c>
    </row>
    <row r="16" spans="1:5" ht="15" x14ac:dyDescent="0.25">
      <c r="A16" s="2644" t="s">
        <v>4840</v>
      </c>
      <c r="B16" s="2644" t="s">
        <v>6016</v>
      </c>
      <c r="C16" s="2645">
        <v>21398.71</v>
      </c>
      <c r="E16" s="2100" t="str">
        <f>VLOOKUP(A16,'Trial Balance - FPer'!$A$7:$B$1126,1,FALSE)</f>
        <v>0101/1095/0000</v>
      </c>
    </row>
    <row r="17" spans="1:5" ht="15" x14ac:dyDescent="0.25">
      <c r="A17" s="2644" t="s">
        <v>4842</v>
      </c>
      <c r="B17" s="2644" t="s">
        <v>6017</v>
      </c>
      <c r="C17" s="2645">
        <v>21803.040000000001</v>
      </c>
      <c r="E17" s="2100" t="str">
        <f>VLOOKUP(A17,'Trial Balance - FPer'!$A$7:$B$1126,1,FALSE)</f>
        <v>0101/1096/0000</v>
      </c>
    </row>
    <row r="18" spans="1:5" ht="15" x14ac:dyDescent="0.25">
      <c r="A18" s="2644" t="s">
        <v>4844</v>
      </c>
      <c r="B18" s="2644" t="s">
        <v>6018</v>
      </c>
      <c r="C18" s="2645">
        <v>0</v>
      </c>
      <c r="E18" s="2100" t="str">
        <f>VLOOKUP(A18,'Trial Balance - FPer'!$A$7:$B$1126,1,FALSE)</f>
        <v>0101/1097/0000</v>
      </c>
    </row>
    <row r="19" spans="1:5" ht="15" x14ac:dyDescent="0.25">
      <c r="A19" s="2644" t="s">
        <v>4848</v>
      </c>
      <c r="B19" s="2644" t="s">
        <v>6020</v>
      </c>
      <c r="C19" s="2645">
        <v>28051.51</v>
      </c>
      <c r="E19" s="2100" t="str">
        <f>VLOOKUP(A19,'Trial Balance - FPer'!$A$7:$B$1126,1,FALSE)</f>
        <v>0101/6200/0000</v>
      </c>
    </row>
    <row r="20" spans="1:5" ht="15" x14ac:dyDescent="0.25">
      <c r="A20" s="2644" t="s">
        <v>4852</v>
      </c>
      <c r="B20" s="2644" t="s">
        <v>6021</v>
      </c>
      <c r="C20" s="2645">
        <v>30.87</v>
      </c>
      <c r="E20" s="2100" t="str">
        <f>VLOOKUP(A20,'Trial Balance - FPer'!$A$7:$B$1126,1,FALSE)</f>
        <v>0101/6514/0000</v>
      </c>
    </row>
    <row r="21" spans="1:5" ht="15" x14ac:dyDescent="0.25">
      <c r="A21" s="2644" t="s">
        <v>4854</v>
      </c>
      <c r="B21" s="2644" t="s">
        <v>6022</v>
      </c>
      <c r="C21" s="2645">
        <v>7450.29</v>
      </c>
      <c r="E21" s="2100" t="str">
        <f>VLOOKUP(A21,'Trial Balance - FPer'!$A$7:$B$1126,1,FALSE)</f>
        <v>0101/6516/0000</v>
      </c>
    </row>
    <row r="22" spans="1:5" ht="15" x14ac:dyDescent="0.25">
      <c r="A22" s="2644" t="s">
        <v>4856</v>
      </c>
      <c r="B22" s="2644" t="s">
        <v>6023</v>
      </c>
      <c r="C22" s="2645">
        <v>400000</v>
      </c>
      <c r="E22" s="2100" t="str">
        <f>VLOOKUP(A22,'Trial Balance - FPer'!$A$7:$B$1126,1,FALSE)</f>
        <v>0101/6519/0000</v>
      </c>
    </row>
    <row r="23" spans="1:5" ht="15" x14ac:dyDescent="0.25">
      <c r="A23" s="2644" t="s">
        <v>4858</v>
      </c>
      <c r="B23" s="2644" t="s">
        <v>6024</v>
      </c>
      <c r="C23" s="2645">
        <v>27954.080000000002</v>
      </c>
      <c r="E23" s="2100" t="str">
        <f>VLOOKUP(A23,'Trial Balance - FPer'!$A$7:$B$1126,1,FALSE)</f>
        <v>0101/6520/0000</v>
      </c>
    </row>
    <row r="24" spans="1:5" ht="15" x14ac:dyDescent="0.25">
      <c r="A24" s="2644" t="s">
        <v>4870</v>
      </c>
      <c r="B24" s="2644" t="s">
        <v>6026</v>
      </c>
      <c r="C24" s="2645">
        <v>11550</v>
      </c>
      <c r="E24" s="2100" t="str">
        <f>VLOOKUP(A24,'Trial Balance - FPer'!$A$7:$B$1126,1,FALSE)</f>
        <v>0101/6534/0000</v>
      </c>
    </row>
    <row r="25" spans="1:5" ht="15" x14ac:dyDescent="0.25">
      <c r="A25" s="2644" t="s">
        <v>4872</v>
      </c>
      <c r="B25" s="2644" t="s">
        <v>4873</v>
      </c>
      <c r="C25" s="2645">
        <v>4364.43</v>
      </c>
      <c r="E25" s="2100" t="str">
        <f>VLOOKUP(A25,'Trial Balance - FPer'!$A$7:$B$1126,1,FALSE)</f>
        <v>0101/6535/0000</v>
      </c>
    </row>
    <row r="26" spans="1:5" ht="15" x14ac:dyDescent="0.25">
      <c r="A26" s="2644" t="s">
        <v>4874</v>
      </c>
      <c r="B26" s="2644" t="s">
        <v>6027</v>
      </c>
      <c r="C26" s="2645">
        <v>20000</v>
      </c>
      <c r="E26" s="2100" t="str">
        <f>VLOOKUP(A26,'Trial Balance - FPer'!$A$7:$B$1126,1,FALSE)</f>
        <v>0101/6538/0000</v>
      </c>
    </row>
    <row r="27" spans="1:5" ht="15" x14ac:dyDescent="0.25">
      <c r="A27" s="2644" t="s">
        <v>4876</v>
      </c>
      <c r="B27" s="2644" t="s">
        <v>6028</v>
      </c>
      <c r="C27" s="2645">
        <v>0</v>
      </c>
      <c r="E27" s="2100" t="str">
        <f>VLOOKUP(A27,'Trial Balance - FPer'!$A$7:$B$1126,1,FALSE)</f>
        <v>0101/6539/0000</v>
      </c>
    </row>
    <row r="28" spans="1:5" ht="15" x14ac:dyDescent="0.25">
      <c r="A28" s="2644" t="s">
        <v>4878</v>
      </c>
      <c r="B28" s="2644" t="s">
        <v>6029</v>
      </c>
      <c r="C28" s="2645">
        <v>200000</v>
      </c>
      <c r="E28" s="2100" t="str">
        <f>VLOOKUP(A28,'Trial Balance - FPer'!$A$7:$B$1126,1,FALSE)</f>
        <v>0101/6541/0000</v>
      </c>
    </row>
    <row r="29" spans="1:5" ht="15" x14ac:dyDescent="0.25">
      <c r="A29" s="2644" t="s">
        <v>4880</v>
      </c>
      <c r="B29" s="2644" t="s">
        <v>6030</v>
      </c>
      <c r="C29" s="2645">
        <v>29188.43</v>
      </c>
      <c r="E29" s="2100" t="str">
        <f>VLOOKUP(A29,'Trial Balance - FPer'!$A$7:$B$1126,1,FALSE)</f>
        <v>0101/6544/0000</v>
      </c>
    </row>
    <row r="30" spans="1:5" ht="15" x14ac:dyDescent="0.25">
      <c r="A30" s="2644" t="s">
        <v>4886</v>
      </c>
      <c r="B30" s="2644" t="s">
        <v>6031</v>
      </c>
      <c r="C30" s="2645">
        <v>1017.96</v>
      </c>
      <c r="E30" s="2100" t="str">
        <f>VLOOKUP(A30,'Trial Balance - FPer'!$A$7:$B$1126,1,FALSE)</f>
        <v>0101/6550/0000</v>
      </c>
    </row>
    <row r="31" spans="1:5" ht="15" x14ac:dyDescent="0.25">
      <c r="A31" s="2644" t="s">
        <v>4888</v>
      </c>
      <c r="B31" s="2644" t="s">
        <v>6032</v>
      </c>
      <c r="C31" s="2645">
        <v>2018.91</v>
      </c>
      <c r="E31" s="2100" t="str">
        <f>VLOOKUP(A31,'Trial Balance - FPer'!$A$7:$B$1126,1,FALSE)</f>
        <v>0101/6552/0000</v>
      </c>
    </row>
    <row r="32" spans="1:5" ht="15" x14ac:dyDescent="0.25">
      <c r="A32" s="2644" t="s">
        <v>4890</v>
      </c>
      <c r="B32" s="2644" t="s">
        <v>6033</v>
      </c>
      <c r="C32" s="2645">
        <v>1639.88</v>
      </c>
      <c r="E32" s="2100" t="str">
        <f>VLOOKUP(A32,'Trial Balance - FPer'!$A$7:$B$1126,1,FALSE)</f>
        <v>0101/6554/0000</v>
      </c>
    </row>
    <row r="33" spans="1:5" ht="15" x14ac:dyDescent="0.25">
      <c r="A33" s="2644" t="s">
        <v>4892</v>
      </c>
      <c r="B33" s="2644" t="s">
        <v>4893</v>
      </c>
      <c r="C33" s="2645">
        <v>1688.6</v>
      </c>
      <c r="E33" s="2100" t="str">
        <f>VLOOKUP(A33,'Trial Balance - FPer'!$A$7:$B$1126,1,FALSE)</f>
        <v>0101/6803/0000</v>
      </c>
    </row>
    <row r="34" spans="1:5" ht="15" x14ac:dyDescent="0.25">
      <c r="A34" s="2644" t="s">
        <v>4894</v>
      </c>
      <c r="B34" s="2644" t="s">
        <v>6034</v>
      </c>
      <c r="C34" s="2645">
        <v>552.86</v>
      </c>
      <c r="E34" s="2100" t="str">
        <f>VLOOKUP(A34,'Trial Balance - FPer'!$A$7:$B$1126,1,FALSE)</f>
        <v>0101/6808/0000</v>
      </c>
    </row>
    <row r="35" spans="1:5" ht="15" x14ac:dyDescent="0.25">
      <c r="A35" s="2644" t="s">
        <v>4896</v>
      </c>
      <c r="B35" s="2644" t="s">
        <v>6035</v>
      </c>
      <c r="C35" s="2645">
        <v>36928.29</v>
      </c>
      <c r="E35" s="2100" t="str">
        <f>VLOOKUP(A35,'Trial Balance - FPer'!$A$7:$B$1126,1,FALSE)</f>
        <v>0101/7501/0000</v>
      </c>
    </row>
    <row r="36" spans="1:5" ht="15" x14ac:dyDescent="0.25">
      <c r="A36" s="2644" t="s">
        <v>4898</v>
      </c>
      <c r="B36" s="2644" t="s">
        <v>6036</v>
      </c>
      <c r="C36" s="2645">
        <v>2687.09</v>
      </c>
      <c r="E36" s="2100" t="str">
        <f>VLOOKUP(A36,'Trial Balance - FPer'!$A$7:$B$1126,1,FALSE)</f>
        <v>0101/7502/0000</v>
      </c>
    </row>
    <row r="37" spans="1:5" ht="15" x14ac:dyDescent="0.25">
      <c r="A37" s="2644" t="s">
        <v>4900</v>
      </c>
      <c r="B37" s="2644" t="s">
        <v>6037</v>
      </c>
      <c r="C37" s="2645">
        <v>-3533243.37</v>
      </c>
      <c r="E37" s="2100" t="str">
        <f>VLOOKUP(A37,'Trial Balance - FPer'!$A$7:$B$1126,1,FALSE)</f>
        <v>0101/8401/0000</v>
      </c>
    </row>
    <row r="38" spans="1:5" ht="15" x14ac:dyDescent="0.25">
      <c r="A38" s="2644" t="s">
        <v>4902</v>
      </c>
      <c r="B38" s="2644" t="s">
        <v>6038</v>
      </c>
      <c r="C38" s="2645">
        <v>-774000</v>
      </c>
      <c r="E38" s="2100" t="str">
        <f>VLOOKUP(A38,'Trial Balance - FPer'!$A$7:$B$1126,1,FALSE)</f>
        <v>0101/8403/0000</v>
      </c>
    </row>
    <row r="39" spans="1:5" ht="15" x14ac:dyDescent="0.25">
      <c r="A39" s="2644" t="s">
        <v>4904</v>
      </c>
      <c r="B39" s="2644" t="s">
        <v>6003</v>
      </c>
      <c r="C39" s="2645">
        <v>594855.52</v>
      </c>
      <c r="E39" s="2100" t="str">
        <f>VLOOKUP(A39,'Trial Balance - FPer'!$A$7:$B$1126,1,FALSE)</f>
        <v>0102/1000/0000</v>
      </c>
    </row>
    <row r="40" spans="1:5" ht="15" x14ac:dyDescent="0.25">
      <c r="A40" s="2644" t="s">
        <v>4905</v>
      </c>
      <c r="B40" s="2644" t="s">
        <v>6039</v>
      </c>
      <c r="C40" s="2645">
        <v>13157.41</v>
      </c>
      <c r="E40" s="2100" t="str">
        <f>VLOOKUP(A40,'Trial Balance - FPer'!$A$7:$B$1126,1,FALSE)</f>
        <v>0102/1001/0000</v>
      </c>
    </row>
    <row r="41" spans="1:5" ht="15" x14ac:dyDescent="0.25">
      <c r="A41" s="2644" t="s">
        <v>4906</v>
      </c>
      <c r="B41" s="2644" t="s">
        <v>6004</v>
      </c>
      <c r="C41" s="2645">
        <v>17464.78</v>
      </c>
      <c r="E41" s="2100" t="str">
        <f>VLOOKUP(A41,'Trial Balance - FPer'!$A$7:$B$1126,1,FALSE)</f>
        <v>0102/1002/0000</v>
      </c>
    </row>
    <row r="42" spans="1:5" ht="15" x14ac:dyDescent="0.25">
      <c r="A42" s="2644" t="s">
        <v>4907</v>
      </c>
      <c r="B42" s="2644" t="s">
        <v>6005</v>
      </c>
      <c r="C42" s="2645">
        <v>23787.38</v>
      </c>
      <c r="E42" s="2100" t="str">
        <f>VLOOKUP(A42,'Trial Balance - FPer'!$A$7:$B$1126,1,FALSE)</f>
        <v>0102/1003/0000</v>
      </c>
    </row>
    <row r="43" spans="1:5" ht="15" x14ac:dyDescent="0.25">
      <c r="A43" s="2644" t="s">
        <v>4908</v>
      </c>
      <c r="B43" s="2644" t="s">
        <v>6006</v>
      </c>
      <c r="C43" s="2645">
        <v>30051.86</v>
      </c>
      <c r="E43" s="2100" t="str">
        <f>VLOOKUP(A43,'Trial Balance - FPer'!$A$7:$B$1126,1,FALSE)</f>
        <v>0102/1005/0000</v>
      </c>
    </row>
    <row r="44" spans="1:5" ht="15" x14ac:dyDescent="0.25">
      <c r="A44" s="2644" t="s">
        <v>4910</v>
      </c>
      <c r="B44" s="2644" t="s">
        <v>6009</v>
      </c>
      <c r="C44" s="2645">
        <v>93066.43</v>
      </c>
      <c r="E44" s="2100" t="str">
        <f>VLOOKUP(A44,'Trial Balance - FPer'!$A$7:$B$1126,1,FALSE)</f>
        <v>0102/1009/0000</v>
      </c>
    </row>
    <row r="45" spans="1:5" ht="15" x14ac:dyDescent="0.25">
      <c r="A45" s="2644" t="s">
        <v>4911</v>
      </c>
      <c r="B45" s="2644" t="s">
        <v>6010</v>
      </c>
      <c r="C45" s="2645">
        <v>4388.08</v>
      </c>
      <c r="E45" s="2100" t="str">
        <f>VLOOKUP(A45,'Trial Balance - FPer'!$A$7:$B$1126,1,FALSE)</f>
        <v>0102/1010/0000</v>
      </c>
    </row>
    <row r="46" spans="1:5" ht="15" x14ac:dyDescent="0.25">
      <c r="A46" s="2644" t="s">
        <v>4912</v>
      </c>
      <c r="B46" s="2644" t="s">
        <v>6011</v>
      </c>
      <c r="C46" s="2645">
        <v>8337.18</v>
      </c>
      <c r="E46" s="2100" t="str">
        <f>VLOOKUP(A46,'Trial Balance - FPer'!$A$7:$B$1126,1,FALSE)</f>
        <v>0102/1011/0000</v>
      </c>
    </row>
    <row r="47" spans="1:5" ht="15" x14ac:dyDescent="0.25">
      <c r="A47" s="2644" t="s">
        <v>4913</v>
      </c>
      <c r="B47" s="2644" t="s">
        <v>7710</v>
      </c>
      <c r="C47" s="2645">
        <v>4325.03</v>
      </c>
      <c r="E47" s="2100" t="str">
        <f>VLOOKUP(A47,'Trial Balance - FPer'!$A$7:$B$1126,1,FALSE)</f>
        <v>0102/1012/0000</v>
      </c>
    </row>
    <row r="48" spans="1:5" ht="15" x14ac:dyDescent="0.25">
      <c r="A48" s="2644" t="s">
        <v>4914</v>
      </c>
      <c r="B48" s="2644" t="s">
        <v>6012</v>
      </c>
      <c r="C48" s="2645">
        <v>0</v>
      </c>
      <c r="E48" s="2100" t="str">
        <f>VLOOKUP(A48,'Trial Balance - FPer'!$A$7:$B$1126,1,FALSE)</f>
        <v>0102/1050/0000</v>
      </c>
    </row>
    <row r="49" spans="1:5" ht="15" x14ac:dyDescent="0.25">
      <c r="A49" s="2644" t="s">
        <v>4915</v>
      </c>
      <c r="B49" s="2644" t="s">
        <v>6013</v>
      </c>
      <c r="C49" s="2645">
        <v>146871.49</v>
      </c>
      <c r="E49" s="2100" t="str">
        <f>VLOOKUP(A49,'Trial Balance - FPer'!$A$7:$B$1126,1,FALSE)</f>
        <v>0102/1051/0000</v>
      </c>
    </row>
    <row r="50" spans="1:5" ht="15" x14ac:dyDescent="0.25">
      <c r="A50" s="2644" t="s">
        <v>4916</v>
      </c>
      <c r="B50" s="2644" t="s">
        <v>6014</v>
      </c>
      <c r="C50" s="2645">
        <v>2872.36</v>
      </c>
      <c r="E50" s="2100" t="str">
        <f>VLOOKUP(A50,'Trial Balance - FPer'!$A$7:$B$1126,1,FALSE)</f>
        <v>0102/1052/0000</v>
      </c>
    </row>
    <row r="51" spans="1:5" ht="15" x14ac:dyDescent="0.25">
      <c r="A51" s="2644" t="s">
        <v>4919</v>
      </c>
      <c r="B51" s="2644" t="s">
        <v>6021</v>
      </c>
      <c r="C51" s="2645">
        <v>204.06</v>
      </c>
      <c r="E51" s="2100" t="str">
        <f>VLOOKUP(A51,'Trial Balance - FPer'!$A$7:$B$1126,1,FALSE)</f>
        <v>0102/6514/0000</v>
      </c>
    </row>
    <row r="52" spans="1:5" ht="15" x14ac:dyDescent="0.25">
      <c r="A52" s="2644" t="s">
        <v>4923</v>
      </c>
      <c r="B52" s="2644" t="s">
        <v>6026</v>
      </c>
      <c r="C52" s="2645">
        <v>1898.78</v>
      </c>
      <c r="E52" s="2100" t="str">
        <f>VLOOKUP(A52,'Trial Balance - FPer'!$A$7:$B$1126,1,FALSE)</f>
        <v>0102/6534/0000</v>
      </c>
    </row>
    <row r="53" spans="1:5" ht="15" x14ac:dyDescent="0.25">
      <c r="A53" s="2644" t="s">
        <v>4925</v>
      </c>
      <c r="B53" s="2644" t="s">
        <v>6027</v>
      </c>
      <c r="C53" s="2645">
        <v>3088.08</v>
      </c>
      <c r="E53" s="2100" t="str">
        <f>VLOOKUP(A53,'Trial Balance - FPer'!$A$7:$B$1126,1,FALSE)</f>
        <v>0102/6538/0000</v>
      </c>
    </row>
    <row r="54" spans="1:5" ht="15" x14ac:dyDescent="0.25">
      <c r="A54" s="2644" t="s">
        <v>4927</v>
      </c>
      <c r="B54" s="2644" t="s">
        <v>6029</v>
      </c>
      <c r="C54" s="2645">
        <v>180000</v>
      </c>
      <c r="E54" s="2100" t="str">
        <f>VLOOKUP(A54,'Trial Balance - FPer'!$A$7:$B$1126,1,FALSE)</f>
        <v>0102/6541/0000</v>
      </c>
    </row>
    <row r="55" spans="1:5" ht="15" x14ac:dyDescent="0.25">
      <c r="A55" s="2644" t="s">
        <v>4930</v>
      </c>
      <c r="B55" s="2644" t="s">
        <v>6041</v>
      </c>
      <c r="C55" s="2645">
        <v>0</v>
      </c>
      <c r="E55" s="2100" t="str">
        <f>VLOOKUP(A55,'Trial Balance - FPer'!$A$7:$B$1126,1,FALSE)</f>
        <v>0102/6565/0000</v>
      </c>
    </row>
    <row r="56" spans="1:5" ht="15" x14ac:dyDescent="0.25">
      <c r="A56" s="2644" t="s">
        <v>4932</v>
      </c>
      <c r="B56" s="2644" t="s">
        <v>6037</v>
      </c>
      <c r="C56" s="2645">
        <v>-185190.92</v>
      </c>
      <c r="E56" s="2100" t="str">
        <f>VLOOKUP(A56,'Trial Balance - FPer'!$A$7:$B$1126,1,FALSE)</f>
        <v>0102/8401/0000</v>
      </c>
    </row>
    <row r="57" spans="1:5" ht="15" x14ac:dyDescent="0.25">
      <c r="A57" s="2644" t="s">
        <v>4933</v>
      </c>
      <c r="B57" s="2644" t="s">
        <v>7711</v>
      </c>
      <c r="C57" s="2645">
        <v>-939177.49</v>
      </c>
      <c r="E57" s="2100" t="str">
        <f>VLOOKUP(A57,'Trial Balance - FPer'!$A$7:$B$1126,1,FALSE)</f>
        <v>0102/8405/0000</v>
      </c>
    </row>
    <row r="58" spans="1:5" ht="15" x14ac:dyDescent="0.25">
      <c r="A58" s="2644" t="s">
        <v>4935</v>
      </c>
      <c r="B58" s="2644" t="s">
        <v>6042</v>
      </c>
      <c r="C58" s="2645">
        <v>493324.69</v>
      </c>
      <c r="E58" s="2100" t="str">
        <f>VLOOKUP(A58,'Trial Balance - FPer'!$A$7:$B$1126,1,FALSE)</f>
        <v>0201/1000/0007</v>
      </c>
    </row>
    <row r="59" spans="1:5" ht="15" x14ac:dyDescent="0.25">
      <c r="A59" s="2644" t="s">
        <v>4936</v>
      </c>
      <c r="B59" s="2644" t="s">
        <v>6043</v>
      </c>
      <c r="C59" s="2645">
        <v>2604977.1800000002</v>
      </c>
      <c r="E59" s="2100" t="str">
        <f>VLOOKUP(A59,'Trial Balance - FPer'!$A$7:$B$1126,1,FALSE)</f>
        <v>0201/1000/0008</v>
      </c>
    </row>
    <row r="60" spans="1:5" ht="15" x14ac:dyDescent="0.25">
      <c r="A60" s="2644" t="s">
        <v>4937</v>
      </c>
      <c r="B60" s="2644" t="s">
        <v>7712</v>
      </c>
      <c r="C60" s="2645">
        <v>360118.11</v>
      </c>
      <c r="E60" s="2100" t="str">
        <f>VLOOKUP(A60,'Trial Balance - FPer'!$A$7:$B$1126,1,FALSE)</f>
        <v>0201/1000/0009</v>
      </c>
    </row>
    <row r="61" spans="1:5" ht="15" x14ac:dyDescent="0.25">
      <c r="A61" s="2644" t="s">
        <v>4940</v>
      </c>
      <c r="B61" s="2644" t="s">
        <v>6046</v>
      </c>
      <c r="C61" s="2645">
        <v>208942.92</v>
      </c>
      <c r="E61" s="2100" t="str">
        <f>VLOOKUP(A61,'Trial Balance - FPer'!$A$7:$B$1126,1,FALSE)</f>
        <v>0201/1002/0008</v>
      </c>
    </row>
    <row r="62" spans="1:5" ht="15" x14ac:dyDescent="0.25">
      <c r="A62" s="2644" t="s">
        <v>4941</v>
      </c>
      <c r="B62" s="2644" t="s">
        <v>7713</v>
      </c>
      <c r="C62" s="2645">
        <v>5001.9799999999996</v>
      </c>
      <c r="E62" s="2100" t="str">
        <f>VLOOKUP(A62,'Trial Balance - FPer'!$A$7:$B$1126,1,FALSE)</f>
        <v>0201/1002/0009</v>
      </c>
    </row>
    <row r="63" spans="1:5" ht="15" x14ac:dyDescent="0.25">
      <c r="A63" s="2644" t="s">
        <v>4942</v>
      </c>
      <c r="B63" s="2644" t="s">
        <v>6047</v>
      </c>
      <c r="C63" s="2645">
        <v>26540.83</v>
      </c>
      <c r="E63" s="2100" t="str">
        <f>VLOOKUP(A63,'Trial Balance - FPer'!$A$7:$B$1126,1,FALSE)</f>
        <v>0201/1003/0007</v>
      </c>
    </row>
    <row r="64" spans="1:5" ht="15" x14ac:dyDescent="0.25">
      <c r="A64" s="2644" t="s">
        <v>4943</v>
      </c>
      <c r="B64" s="2644" t="s">
        <v>6048</v>
      </c>
      <c r="C64" s="2645">
        <v>3028.2</v>
      </c>
      <c r="E64" s="2100" t="str">
        <f>VLOOKUP(A64,'Trial Balance - FPer'!$A$7:$B$1126,1,FALSE)</f>
        <v>0201/1003/0008</v>
      </c>
    </row>
    <row r="65" spans="1:5" ht="15" x14ac:dyDescent="0.25">
      <c r="A65" s="2644" t="s">
        <v>4945</v>
      </c>
      <c r="B65" s="2644" t="s">
        <v>7714</v>
      </c>
      <c r="C65" s="2645">
        <v>4590.2299999999996</v>
      </c>
      <c r="E65" s="2100" t="str">
        <f>VLOOKUP(A65,'Trial Balance - FPer'!$A$7:$B$1126,1,FALSE)</f>
        <v>0201/1005/0007</v>
      </c>
    </row>
    <row r="66" spans="1:5" ht="15" x14ac:dyDescent="0.25">
      <c r="A66" s="2644" t="s">
        <v>4946</v>
      </c>
      <c r="B66" s="2644" t="s">
        <v>6049</v>
      </c>
      <c r="C66" s="2645">
        <v>22802.35</v>
      </c>
      <c r="E66" s="2100" t="str">
        <f>VLOOKUP(A66,'Trial Balance - FPer'!$A$7:$B$1126,1,FALSE)</f>
        <v>0201/1005/0008</v>
      </c>
    </row>
    <row r="67" spans="1:5" ht="15" x14ac:dyDescent="0.25">
      <c r="A67" s="2644" t="s">
        <v>4947</v>
      </c>
      <c r="B67" s="2644" t="s">
        <v>7715</v>
      </c>
      <c r="C67" s="2645">
        <v>5429.13</v>
      </c>
      <c r="E67" s="2100" t="str">
        <f>VLOOKUP(A67,'Trial Balance - FPer'!$A$7:$B$1126,1,FALSE)</f>
        <v>0201/1005/0009</v>
      </c>
    </row>
    <row r="68" spans="1:5" ht="15" x14ac:dyDescent="0.25">
      <c r="A68" s="2644" t="s">
        <v>4948</v>
      </c>
      <c r="B68" s="2644" t="s">
        <v>6050</v>
      </c>
      <c r="C68" s="2645">
        <v>23463.99</v>
      </c>
      <c r="E68" s="2100" t="str">
        <f>VLOOKUP(A68,'Trial Balance - FPer'!$A$7:$B$1126,1,FALSE)</f>
        <v>0201/1006/0008</v>
      </c>
    </row>
    <row r="69" spans="1:5" ht="15" x14ac:dyDescent="0.25">
      <c r="A69" s="2644" t="s">
        <v>4949</v>
      </c>
      <c r="B69" s="2644" t="s">
        <v>7716</v>
      </c>
      <c r="C69" s="2645">
        <v>7863.61</v>
      </c>
      <c r="E69" s="2100" t="str">
        <f>VLOOKUP(A69,'Trial Balance - FPer'!$A$7:$B$1126,1,FALSE)</f>
        <v>0201/1006/0009</v>
      </c>
    </row>
    <row r="70" spans="1:5" ht="15" x14ac:dyDescent="0.25">
      <c r="A70" s="2644" t="s">
        <v>4951</v>
      </c>
      <c r="B70" s="2644" t="s">
        <v>7717</v>
      </c>
      <c r="C70" s="2645">
        <v>10846.02</v>
      </c>
      <c r="E70" s="2100" t="str">
        <f>VLOOKUP(A70,'Trial Balance - FPer'!$A$7:$B$1126,1,FALSE)</f>
        <v>0201/1007/0008</v>
      </c>
    </row>
    <row r="71" spans="1:5" ht="15" x14ac:dyDescent="0.25">
      <c r="A71" s="2644" t="s">
        <v>4953</v>
      </c>
      <c r="B71" s="2644" t="s">
        <v>6051</v>
      </c>
      <c r="C71" s="2645">
        <v>294187.38</v>
      </c>
      <c r="E71" s="2100" t="str">
        <f>VLOOKUP(A71,'Trial Balance - FPer'!$A$7:$B$1126,1,FALSE)</f>
        <v>0201/1008/0008</v>
      </c>
    </row>
    <row r="72" spans="1:5" ht="15" x14ac:dyDescent="0.25">
      <c r="A72" s="2644" t="s">
        <v>4955</v>
      </c>
      <c r="B72" s="2644" t="s">
        <v>6052</v>
      </c>
      <c r="C72" s="2645">
        <v>9134.98</v>
      </c>
      <c r="E72" s="2100" t="str">
        <f>VLOOKUP(A72,'Trial Balance - FPer'!$A$7:$B$1126,1,FALSE)</f>
        <v>0201/1009/0007</v>
      </c>
    </row>
    <row r="73" spans="1:5" ht="15" x14ac:dyDescent="0.25">
      <c r="A73" s="2644" t="s">
        <v>4956</v>
      </c>
      <c r="B73" s="2644" t="s">
        <v>6053</v>
      </c>
      <c r="C73" s="2645">
        <v>37852.5</v>
      </c>
      <c r="E73" s="2100" t="str">
        <f>VLOOKUP(A73,'Trial Balance - FPer'!$A$7:$B$1126,1,FALSE)</f>
        <v>0201/1009/0008</v>
      </c>
    </row>
    <row r="74" spans="1:5" ht="15" x14ac:dyDescent="0.25">
      <c r="A74" s="2644" t="s">
        <v>4957</v>
      </c>
      <c r="B74" s="2644" t="s">
        <v>7718</v>
      </c>
      <c r="C74" s="2645">
        <v>30282</v>
      </c>
      <c r="E74" s="2100" t="str">
        <f>VLOOKUP(A74,'Trial Balance - FPer'!$A$7:$B$1126,1,FALSE)</f>
        <v>0201/1009/0009</v>
      </c>
    </row>
    <row r="75" spans="1:5" ht="15" x14ac:dyDescent="0.25">
      <c r="A75" s="2644" t="s">
        <v>4958</v>
      </c>
      <c r="B75" s="2644" t="s">
        <v>6054</v>
      </c>
      <c r="C75" s="2645">
        <v>62.08</v>
      </c>
      <c r="E75" s="2100" t="str">
        <f>VLOOKUP(A75,'Trial Balance - FPer'!$A$7:$B$1126,1,FALSE)</f>
        <v>0201/1010/0007</v>
      </c>
    </row>
    <row r="76" spans="1:5" ht="15" x14ac:dyDescent="0.25">
      <c r="A76" s="2644" t="s">
        <v>4959</v>
      </c>
      <c r="B76" s="2644" t="s">
        <v>6055</v>
      </c>
      <c r="C76" s="2645">
        <v>1445.53</v>
      </c>
      <c r="E76" s="2100" t="str">
        <f>VLOOKUP(A76,'Trial Balance - FPer'!$A$7:$B$1126,1,FALSE)</f>
        <v>0201/1010/0008</v>
      </c>
    </row>
    <row r="77" spans="1:5" ht="15" x14ac:dyDescent="0.25">
      <c r="A77" s="2644" t="s">
        <v>4960</v>
      </c>
      <c r="B77" s="2644" t="s">
        <v>7719</v>
      </c>
      <c r="C77" s="2645">
        <v>221.71</v>
      </c>
      <c r="E77" s="2100" t="str">
        <f>VLOOKUP(A77,'Trial Balance - FPer'!$A$7:$B$1126,1,FALSE)</f>
        <v>0201/1010/0009</v>
      </c>
    </row>
    <row r="78" spans="1:5" ht="15" x14ac:dyDescent="0.25">
      <c r="A78" s="2644" t="s">
        <v>4961</v>
      </c>
      <c r="B78" s="2644" t="s">
        <v>6056</v>
      </c>
      <c r="C78" s="2645">
        <v>3408.26</v>
      </c>
      <c r="E78" s="2100" t="str">
        <f>VLOOKUP(A78,'Trial Balance - FPer'!$A$7:$B$1126,1,FALSE)</f>
        <v>0201/1011/0007</v>
      </c>
    </row>
    <row r="79" spans="1:5" ht="15" x14ac:dyDescent="0.25">
      <c r="A79" s="2644" t="s">
        <v>4962</v>
      </c>
      <c r="B79" s="2644" t="s">
        <v>6057</v>
      </c>
      <c r="C79" s="2645">
        <v>30071.89</v>
      </c>
      <c r="E79" s="2100" t="str">
        <f>VLOOKUP(A79,'Trial Balance - FPer'!$A$7:$B$1126,1,FALSE)</f>
        <v>0201/1011/0008</v>
      </c>
    </row>
    <row r="80" spans="1:5" ht="15" x14ac:dyDescent="0.25">
      <c r="A80" s="2644" t="s">
        <v>4963</v>
      </c>
      <c r="B80" s="2644" t="s">
        <v>7720</v>
      </c>
      <c r="C80" s="2645">
        <v>4461.1899999999996</v>
      </c>
      <c r="E80" s="2100" t="str">
        <f>VLOOKUP(A80,'Trial Balance - FPer'!$A$7:$B$1126,1,FALSE)</f>
        <v>0201/1011/0009</v>
      </c>
    </row>
    <row r="81" spans="1:5" ht="15" x14ac:dyDescent="0.25">
      <c r="A81" s="2644" t="s">
        <v>4964</v>
      </c>
      <c r="B81" s="2644" t="s">
        <v>7721</v>
      </c>
      <c r="C81" s="2645">
        <v>3505.57</v>
      </c>
      <c r="E81" s="2100" t="str">
        <f>VLOOKUP(A81,'Trial Balance - FPer'!$A$7:$B$1126,1,FALSE)</f>
        <v>0201/1012/0007</v>
      </c>
    </row>
    <row r="82" spans="1:5" ht="15" x14ac:dyDescent="0.25">
      <c r="A82" s="2644" t="s">
        <v>4965</v>
      </c>
      <c r="B82" s="2644" t="s">
        <v>7722</v>
      </c>
      <c r="C82" s="2645">
        <v>430197.35</v>
      </c>
      <c r="E82" s="2100" t="str">
        <f>VLOOKUP(A82,'Trial Balance - FPer'!$A$7:$B$1126,1,FALSE)</f>
        <v>0201/1012/0008</v>
      </c>
    </row>
    <row r="83" spans="1:5" ht="15" x14ac:dyDescent="0.25">
      <c r="A83" s="2644" t="s">
        <v>4967</v>
      </c>
      <c r="B83" s="2644" t="s">
        <v>6058</v>
      </c>
      <c r="C83" s="2645">
        <v>2121.75</v>
      </c>
      <c r="E83" s="2100" t="str">
        <f>VLOOKUP(A83,'Trial Balance - FPer'!$A$7:$B$1126,1,FALSE)</f>
        <v>0201/1050/0007</v>
      </c>
    </row>
    <row r="84" spans="1:5" ht="15" x14ac:dyDescent="0.25">
      <c r="A84" s="2644" t="s">
        <v>4968</v>
      </c>
      <c r="B84" s="2644" t="s">
        <v>6059</v>
      </c>
      <c r="C84" s="2645">
        <v>177867.38</v>
      </c>
      <c r="E84" s="2100" t="str">
        <f>VLOOKUP(A84,'Trial Balance - FPer'!$A$7:$B$1126,1,FALSE)</f>
        <v>0201/1050/0008</v>
      </c>
    </row>
    <row r="85" spans="1:5" ht="15" x14ac:dyDescent="0.25">
      <c r="A85" s="2644" t="s">
        <v>4969</v>
      </c>
      <c r="B85" s="2644" t="s">
        <v>7723</v>
      </c>
      <c r="C85" s="2645">
        <v>32360.639999999999</v>
      </c>
      <c r="E85" s="2100" t="str">
        <f>VLOOKUP(A85,'Trial Balance - FPer'!$A$7:$B$1126,1,FALSE)</f>
        <v>0201/1050/0009</v>
      </c>
    </row>
    <row r="86" spans="1:5" ht="15" x14ac:dyDescent="0.25">
      <c r="A86" s="2644" t="s">
        <v>4970</v>
      </c>
      <c r="B86" s="2644" t="s">
        <v>6060</v>
      </c>
      <c r="C86" s="2645">
        <v>18127.32</v>
      </c>
      <c r="E86" s="2100" t="str">
        <f>VLOOKUP(A86,'Trial Balance - FPer'!$A$7:$B$1126,1,FALSE)</f>
        <v>0201/1051/0007</v>
      </c>
    </row>
    <row r="87" spans="1:5" ht="15" x14ac:dyDescent="0.25">
      <c r="A87" s="2644" t="s">
        <v>4971</v>
      </c>
      <c r="B87" s="2644" t="s">
        <v>6061</v>
      </c>
      <c r="C87" s="2645">
        <v>1861446.18</v>
      </c>
      <c r="E87" s="2100" t="str">
        <f>VLOOKUP(A87,'Trial Balance - FPer'!$A$7:$B$1126,1,FALSE)</f>
        <v>0201/1051/0008</v>
      </c>
    </row>
    <row r="88" spans="1:5" ht="15" x14ac:dyDescent="0.25">
      <c r="A88" s="2644" t="s">
        <v>4972</v>
      </c>
      <c r="B88" s="2644" t="s">
        <v>7724</v>
      </c>
      <c r="C88" s="2645">
        <v>61810.65</v>
      </c>
      <c r="E88" s="2100" t="str">
        <f>VLOOKUP(A88,'Trial Balance - FPer'!$A$7:$B$1126,1,FALSE)</f>
        <v>0201/1051/0009</v>
      </c>
    </row>
    <row r="89" spans="1:5" ht="15" x14ac:dyDescent="0.25">
      <c r="A89" s="2644" t="s">
        <v>4973</v>
      </c>
      <c r="B89" s="2644" t="s">
        <v>6062</v>
      </c>
      <c r="C89" s="2645">
        <v>1219.3900000000001</v>
      </c>
      <c r="E89" s="2100" t="str">
        <f>VLOOKUP(A89,'Trial Balance - FPer'!$A$7:$B$1126,1,FALSE)</f>
        <v>0201/1052/0007</v>
      </c>
    </row>
    <row r="90" spans="1:5" ht="15" x14ac:dyDescent="0.25">
      <c r="A90" s="2644" t="s">
        <v>4974</v>
      </c>
      <c r="B90" s="2644" t="s">
        <v>6063</v>
      </c>
      <c r="C90" s="2645">
        <v>28824.81</v>
      </c>
      <c r="E90" s="2100" t="str">
        <f>VLOOKUP(A90,'Trial Balance - FPer'!$A$7:$B$1126,1,FALSE)</f>
        <v>0201/1052/0008</v>
      </c>
    </row>
    <row r="91" spans="1:5" ht="15" x14ac:dyDescent="0.25">
      <c r="A91" s="2644" t="s">
        <v>4975</v>
      </c>
      <c r="B91" s="2644" t="s">
        <v>7725</v>
      </c>
      <c r="C91" s="2645">
        <v>4500.01</v>
      </c>
      <c r="E91" s="2100" t="str">
        <f>VLOOKUP(A91,'Trial Balance - FPer'!$A$7:$B$1126,1,FALSE)</f>
        <v>0201/1052/0009</v>
      </c>
    </row>
    <row r="92" spans="1:5" ht="15" x14ac:dyDescent="0.25">
      <c r="A92" s="2644" t="s">
        <v>4976</v>
      </c>
      <c r="B92" s="2644" t="s">
        <v>6064</v>
      </c>
      <c r="C92" s="2645">
        <v>371153.55</v>
      </c>
      <c r="E92" s="2100" t="str">
        <f>VLOOKUP(A92,'Trial Balance - FPer'!$A$7:$B$1126,1,FALSE)</f>
        <v>0201/2000/0009</v>
      </c>
    </row>
    <row r="93" spans="1:5" ht="15" x14ac:dyDescent="0.25">
      <c r="A93" s="2644" t="s">
        <v>4981</v>
      </c>
      <c r="B93" s="2644" t="s">
        <v>4982</v>
      </c>
      <c r="C93" s="2645">
        <v>0</v>
      </c>
      <c r="E93" s="2100" t="str">
        <f>VLOOKUP(A93,'Trial Balance - FPer'!$A$7:$B$1126,1,FALSE)</f>
        <v>0201/6109/0008</v>
      </c>
    </row>
    <row r="94" spans="1:5" ht="15" x14ac:dyDescent="0.25">
      <c r="A94" s="2644" t="s">
        <v>4994</v>
      </c>
      <c r="B94" s="2644" t="s">
        <v>7726</v>
      </c>
      <c r="C94" s="2645">
        <v>1500000</v>
      </c>
      <c r="E94" s="2100" t="str">
        <f>VLOOKUP(A94,'Trial Balance - FPer'!$A$7:$B$1126,1,FALSE)</f>
        <v>0201/6503/0008</v>
      </c>
    </row>
    <row r="95" spans="1:5" ht="15" x14ac:dyDescent="0.25">
      <c r="A95" s="2644" t="s">
        <v>4995</v>
      </c>
      <c r="B95" s="2644" t="s">
        <v>6066</v>
      </c>
      <c r="C95" s="2645">
        <v>185996.24</v>
      </c>
      <c r="E95" s="2100" t="str">
        <f>VLOOKUP(A95,'Trial Balance - FPer'!$A$7:$B$1126,1,FALSE)</f>
        <v>0201/6512/0008</v>
      </c>
    </row>
    <row r="96" spans="1:5" ht="15" x14ac:dyDescent="0.25">
      <c r="A96" s="2644" t="s">
        <v>4997</v>
      </c>
      <c r="B96" s="2644" t="s">
        <v>6067</v>
      </c>
      <c r="C96" s="2645">
        <v>3753.64</v>
      </c>
      <c r="E96" s="2100" t="str">
        <f>VLOOKUP(A96,'Trial Balance - FPer'!$A$7:$B$1126,1,FALSE)</f>
        <v>0201/6513/0008</v>
      </c>
    </row>
    <row r="97" spans="1:5" ht="15" x14ac:dyDescent="0.25">
      <c r="A97" s="2644" t="s">
        <v>4999</v>
      </c>
      <c r="B97" s="2644" t="s">
        <v>6068</v>
      </c>
      <c r="C97" s="2645">
        <v>926.33</v>
      </c>
      <c r="E97" s="2100" t="str">
        <f>VLOOKUP(A97,'Trial Balance - FPer'!$A$7:$B$1126,1,FALSE)</f>
        <v>0201/6514/0007</v>
      </c>
    </row>
    <row r="98" spans="1:5" ht="15" x14ac:dyDescent="0.25">
      <c r="A98" s="2644" t="s">
        <v>5000</v>
      </c>
      <c r="B98" s="2644" t="s">
        <v>6069</v>
      </c>
      <c r="C98" s="2645">
        <v>81721.3</v>
      </c>
      <c r="E98" s="2100" t="str">
        <f>VLOOKUP(A98,'Trial Balance - FPer'!$A$7:$B$1126,1,FALSE)</f>
        <v>0201/6514/0008</v>
      </c>
    </row>
    <row r="99" spans="1:5" ht="15" x14ac:dyDescent="0.25">
      <c r="A99" s="2644" t="s">
        <v>5002</v>
      </c>
      <c r="B99" s="2644" t="s">
        <v>6070</v>
      </c>
      <c r="C99" s="2645">
        <v>42288.05</v>
      </c>
      <c r="E99" s="2100" t="str">
        <f>VLOOKUP(A99,'Trial Balance - FPer'!$A$7:$B$1126,1,FALSE)</f>
        <v>0201/6515/0009</v>
      </c>
    </row>
    <row r="100" spans="1:5" ht="15" x14ac:dyDescent="0.25">
      <c r="A100" s="2644" t="s">
        <v>5004</v>
      </c>
      <c r="B100" s="2644" t="s">
        <v>6071</v>
      </c>
      <c r="C100" s="2645">
        <v>3813504.31</v>
      </c>
      <c r="E100" s="2100" t="str">
        <f>VLOOKUP(A100,'Trial Balance - FPer'!$A$7:$B$1126,1,FALSE)</f>
        <v>0201/6517/0008</v>
      </c>
    </row>
    <row r="101" spans="1:5" ht="15" x14ac:dyDescent="0.25">
      <c r="A101" s="2644" t="s">
        <v>5006</v>
      </c>
      <c r="B101" s="2644" t="s">
        <v>6072</v>
      </c>
      <c r="C101" s="2645">
        <v>18997.21</v>
      </c>
      <c r="E101" s="2100" t="str">
        <f>VLOOKUP(A101,'Trial Balance - FPer'!$A$7:$B$1126,1,FALSE)</f>
        <v>0201/6522/0007</v>
      </c>
    </row>
    <row r="102" spans="1:5" ht="15" x14ac:dyDescent="0.25">
      <c r="A102" s="2644" t="s">
        <v>5009</v>
      </c>
      <c r="B102" s="2644" t="s">
        <v>6074</v>
      </c>
      <c r="C102" s="2645">
        <v>272573.51</v>
      </c>
      <c r="E102" s="2100" t="str">
        <f>VLOOKUP(A102,'Trial Balance - FPer'!$A$7:$B$1126,1,FALSE)</f>
        <v>0201/6525/0008</v>
      </c>
    </row>
    <row r="103" spans="1:5" ht="15" x14ac:dyDescent="0.25">
      <c r="A103" s="2644" t="s">
        <v>5013</v>
      </c>
      <c r="B103" s="2644" t="s">
        <v>6075</v>
      </c>
      <c r="C103" s="2645">
        <v>1540</v>
      </c>
      <c r="E103" s="2100" t="str">
        <f>VLOOKUP(A103,'Trial Balance - FPer'!$A$7:$B$1126,1,FALSE)</f>
        <v>0201/6528/0008</v>
      </c>
    </row>
    <row r="104" spans="1:5" ht="15" x14ac:dyDescent="0.25">
      <c r="A104" s="2644" t="s">
        <v>5017</v>
      </c>
      <c r="B104" s="2644" t="s">
        <v>6077</v>
      </c>
      <c r="C104" s="2645">
        <v>2689.5</v>
      </c>
      <c r="E104" s="2100" t="str">
        <f>VLOOKUP(A104,'Trial Balance - FPer'!$A$7:$B$1126,1,FALSE)</f>
        <v>0201/6532/0009</v>
      </c>
    </row>
    <row r="105" spans="1:5" ht="15" x14ac:dyDescent="0.25">
      <c r="A105" s="2644" t="s">
        <v>5018</v>
      </c>
      <c r="B105" s="2644" t="s">
        <v>6078</v>
      </c>
      <c r="C105" s="2645">
        <v>6625.43</v>
      </c>
      <c r="E105" s="2100" t="str">
        <f>VLOOKUP(A105,'Trial Balance - FPer'!$A$7:$B$1126,1,FALSE)</f>
        <v>0201/6533/0008</v>
      </c>
    </row>
    <row r="106" spans="1:5" ht="15" x14ac:dyDescent="0.25">
      <c r="A106" s="2644" t="s">
        <v>5019</v>
      </c>
      <c r="B106" s="2644" t="s">
        <v>6079</v>
      </c>
      <c r="C106" s="2645">
        <v>194794.16</v>
      </c>
      <c r="E106" s="2100" t="str">
        <f>VLOOKUP(A106,'Trial Balance - FPer'!$A$7:$B$1126,1,FALSE)</f>
        <v>0201/6533/0009</v>
      </c>
    </row>
    <row r="107" spans="1:5" ht="15" x14ac:dyDescent="0.25">
      <c r="A107" s="2644" t="s">
        <v>5020</v>
      </c>
      <c r="B107" s="2644" t="s">
        <v>6080</v>
      </c>
      <c r="C107" s="2645">
        <v>2067.98</v>
      </c>
      <c r="E107" s="2100" t="str">
        <f>VLOOKUP(A107,'Trial Balance - FPer'!$A$7:$B$1126,1,FALSE)</f>
        <v>0201/6534/0007</v>
      </c>
    </row>
    <row r="108" spans="1:5" ht="15" x14ac:dyDescent="0.25">
      <c r="A108" s="2644" t="s">
        <v>5021</v>
      </c>
      <c r="B108" s="2644" t="s">
        <v>6081</v>
      </c>
      <c r="C108" s="2645">
        <v>21300.39</v>
      </c>
      <c r="E108" s="2100" t="str">
        <f>VLOOKUP(A108,'Trial Balance - FPer'!$A$7:$B$1126,1,FALSE)</f>
        <v>0201/6534/0008</v>
      </c>
    </row>
    <row r="109" spans="1:5" ht="15" x14ac:dyDescent="0.25">
      <c r="A109" s="2644" t="s">
        <v>5022</v>
      </c>
      <c r="B109" s="2644" t="s">
        <v>4873</v>
      </c>
      <c r="C109" s="2645">
        <v>78253.67</v>
      </c>
      <c r="E109" s="2100" t="str">
        <f>VLOOKUP(A109,'Trial Balance - FPer'!$A$7:$B$1126,1,FALSE)</f>
        <v>0201/6535/0008</v>
      </c>
    </row>
    <row r="110" spans="1:5" ht="15" x14ac:dyDescent="0.25">
      <c r="A110" s="2644" t="s">
        <v>5023</v>
      </c>
      <c r="B110" s="2644" t="s">
        <v>4873</v>
      </c>
      <c r="C110" s="2645">
        <v>49.41</v>
      </c>
      <c r="E110" s="2100" t="str">
        <f>VLOOKUP(A110,'Trial Balance - FPer'!$A$7:$B$1126,1,FALSE)</f>
        <v>0201/6535/0009</v>
      </c>
    </row>
    <row r="111" spans="1:5" ht="15" x14ac:dyDescent="0.25">
      <c r="A111" s="2644" t="s">
        <v>5026</v>
      </c>
      <c r="B111" s="2644" t="s">
        <v>6082</v>
      </c>
      <c r="C111" s="2645">
        <v>191.53</v>
      </c>
      <c r="E111" s="2100" t="str">
        <f>VLOOKUP(A111,'Trial Balance - FPer'!$A$7:$B$1126,1,FALSE)</f>
        <v>0201/6538/0007</v>
      </c>
    </row>
    <row r="112" spans="1:5" ht="15" x14ac:dyDescent="0.25">
      <c r="A112" s="2644" t="s">
        <v>5027</v>
      </c>
      <c r="B112" s="2644" t="s">
        <v>6083</v>
      </c>
      <c r="C112" s="2645">
        <v>8798.9</v>
      </c>
      <c r="E112" s="2100" t="str">
        <f>VLOOKUP(A112,'Trial Balance - FPer'!$A$7:$B$1126,1,FALSE)</f>
        <v>0201/6539/0008</v>
      </c>
    </row>
    <row r="113" spans="1:5" ht="15" x14ac:dyDescent="0.25">
      <c r="A113" s="2644" t="s">
        <v>5029</v>
      </c>
      <c r="B113" s="2644" t="s">
        <v>6084</v>
      </c>
      <c r="C113" s="2645">
        <v>100000</v>
      </c>
      <c r="E113" s="2100" t="str">
        <f>VLOOKUP(A113,'Trial Balance - FPer'!$A$7:$B$1126,1,FALSE)</f>
        <v>0201/6541/0007</v>
      </c>
    </row>
    <row r="114" spans="1:5" ht="15" x14ac:dyDescent="0.25">
      <c r="A114" s="2644" t="s">
        <v>5030</v>
      </c>
      <c r="B114" s="2644" t="s">
        <v>6085</v>
      </c>
      <c r="C114" s="2645">
        <v>102467.02</v>
      </c>
      <c r="E114" s="2100" t="str">
        <f>VLOOKUP(A114,'Trial Balance - FPer'!$A$7:$B$1126,1,FALSE)</f>
        <v>0201/6541/0008</v>
      </c>
    </row>
    <row r="115" spans="1:5" ht="15" x14ac:dyDescent="0.25">
      <c r="A115" s="2644" t="s">
        <v>5031</v>
      </c>
      <c r="B115" s="2644" t="s">
        <v>7727</v>
      </c>
      <c r="C115" s="2645">
        <v>48922.39</v>
      </c>
      <c r="E115" s="2100" t="str">
        <f>VLOOKUP(A115,'Trial Balance - FPer'!$A$7:$B$1126,1,FALSE)</f>
        <v>0201/6541/0009</v>
      </c>
    </row>
    <row r="116" spans="1:5" ht="15" x14ac:dyDescent="0.25">
      <c r="A116" s="2644" t="s">
        <v>5034</v>
      </c>
      <c r="B116" s="2644" t="s">
        <v>6086</v>
      </c>
      <c r="C116" s="2645">
        <v>238889.16</v>
      </c>
      <c r="E116" s="2100" t="str">
        <f>VLOOKUP(A116,'Trial Balance - FPer'!$A$7:$B$1126,1,FALSE)</f>
        <v>0201/6542/0009</v>
      </c>
    </row>
    <row r="117" spans="1:5" ht="15" x14ac:dyDescent="0.25">
      <c r="A117" s="2644" t="s">
        <v>5035</v>
      </c>
      <c r="B117" s="2644" t="s">
        <v>6087</v>
      </c>
      <c r="C117" s="2645">
        <v>189544.54</v>
      </c>
      <c r="E117" s="2100" t="str">
        <f>VLOOKUP(A117,'Trial Balance - FPer'!$A$7:$B$1126,1,FALSE)</f>
        <v>0201/6544/0008</v>
      </c>
    </row>
    <row r="118" spans="1:5" ht="15" x14ac:dyDescent="0.25">
      <c r="A118" s="2644" t="s">
        <v>5036</v>
      </c>
      <c r="B118" s="2644" t="s">
        <v>7728</v>
      </c>
      <c r="C118" s="2645">
        <v>2369.4</v>
      </c>
      <c r="E118" s="2100" t="str">
        <f>VLOOKUP(A118,'Trial Balance - FPer'!$A$7:$B$1126,1,FALSE)</f>
        <v>0201/6544/0009</v>
      </c>
    </row>
    <row r="119" spans="1:5" ht="15" x14ac:dyDescent="0.25">
      <c r="A119" s="2644" t="s">
        <v>5037</v>
      </c>
      <c r="B119" s="2644" t="s">
        <v>4885</v>
      </c>
      <c r="C119" s="2645">
        <v>57552.2</v>
      </c>
      <c r="E119" s="2100" t="str">
        <f>VLOOKUP(A119,'Trial Balance - FPer'!$A$7:$B$1126,1,FALSE)</f>
        <v>0201/6549/0008</v>
      </c>
    </row>
    <row r="120" spans="1:5" ht="15" x14ac:dyDescent="0.25">
      <c r="A120" s="2644" t="s">
        <v>5038</v>
      </c>
      <c r="B120" s="2644" t="s">
        <v>6088</v>
      </c>
      <c r="C120" s="2645">
        <v>800000</v>
      </c>
      <c r="E120" s="2100" t="str">
        <f>VLOOKUP(A120,'Trial Balance - FPer'!$A$7:$B$1126,1,FALSE)</f>
        <v>0201/6552/0009</v>
      </c>
    </row>
    <row r="121" spans="1:5" ht="15" x14ac:dyDescent="0.25">
      <c r="A121" s="2644" t="s">
        <v>5039</v>
      </c>
      <c r="B121" s="2644" t="s">
        <v>6089</v>
      </c>
      <c r="C121" s="2645">
        <v>179.71</v>
      </c>
      <c r="E121" s="2100" t="str">
        <f>VLOOKUP(A121,'Trial Balance - FPer'!$A$7:$B$1126,1,FALSE)</f>
        <v>0201/6554/0008</v>
      </c>
    </row>
    <row r="122" spans="1:5" ht="15" x14ac:dyDescent="0.25">
      <c r="A122" s="2644" t="s">
        <v>5040</v>
      </c>
      <c r="B122" s="2644" t="s">
        <v>6090</v>
      </c>
      <c r="C122" s="2645">
        <v>72.75</v>
      </c>
      <c r="E122" s="2100" t="str">
        <f>VLOOKUP(A122,'Trial Balance - FPer'!$A$7:$B$1126,1,FALSE)</f>
        <v>0201/6554/0009</v>
      </c>
    </row>
    <row r="123" spans="1:5" ht="15" x14ac:dyDescent="0.25">
      <c r="A123" s="2644" t="s">
        <v>5041</v>
      </c>
      <c r="B123" s="2644" t="s">
        <v>6091</v>
      </c>
      <c r="C123" s="2645">
        <v>400000</v>
      </c>
      <c r="E123" s="2100" t="str">
        <f>VLOOKUP(A123,'Trial Balance - FPer'!$A$7:$B$1126,1,FALSE)</f>
        <v>0201/6555/0009</v>
      </c>
    </row>
    <row r="124" spans="1:5" ht="15" x14ac:dyDescent="0.25">
      <c r="A124" s="2644" t="s">
        <v>5044</v>
      </c>
      <c r="B124" s="2644" t="s">
        <v>6093</v>
      </c>
      <c r="C124" s="2645">
        <v>1928510</v>
      </c>
      <c r="E124" s="2100" t="str">
        <f>VLOOKUP(A124,'Trial Balance - FPer'!$A$7:$B$1126,1,FALSE)</f>
        <v>0201/6565/0008</v>
      </c>
    </row>
    <row r="125" spans="1:5" ht="15" x14ac:dyDescent="0.25">
      <c r="A125" s="2644" t="s">
        <v>5045</v>
      </c>
      <c r="B125" s="2644" t="s">
        <v>5046</v>
      </c>
      <c r="C125" s="2645">
        <v>4008.93</v>
      </c>
      <c r="E125" s="2100" t="str">
        <f>VLOOKUP(A125,'Trial Balance - FPer'!$A$7:$B$1126,1,FALSE)</f>
        <v>0201/6567/0008</v>
      </c>
    </row>
    <row r="126" spans="1:5" ht="15" x14ac:dyDescent="0.25">
      <c r="A126" s="2644" t="s">
        <v>5049</v>
      </c>
      <c r="B126" s="2644" t="s">
        <v>4893</v>
      </c>
      <c r="C126" s="2645">
        <v>25635.02</v>
      </c>
      <c r="E126" s="2100" t="str">
        <f>VLOOKUP(A126,'Trial Balance - FPer'!$A$7:$B$1126,1,FALSE)</f>
        <v>0201/6803/0008</v>
      </c>
    </row>
    <row r="127" spans="1:5" ht="15" x14ac:dyDescent="0.25">
      <c r="A127" s="2644" t="s">
        <v>5052</v>
      </c>
      <c r="B127" s="2644" t="s">
        <v>6094</v>
      </c>
      <c r="C127" s="2645">
        <v>14173.85</v>
      </c>
      <c r="E127" s="2100" t="str">
        <f>VLOOKUP(A127,'Trial Balance - FPer'!$A$7:$B$1126,1,FALSE)</f>
        <v>0201/6808/0009</v>
      </c>
    </row>
    <row r="128" spans="1:5" ht="15" x14ac:dyDescent="0.25">
      <c r="A128" s="2644" t="s">
        <v>5055</v>
      </c>
      <c r="B128" s="2644" t="s">
        <v>6095</v>
      </c>
      <c r="C128" s="2645">
        <v>86834.26</v>
      </c>
      <c r="E128" s="2100" t="str">
        <f>VLOOKUP(A128,'Trial Balance - FPer'!$A$7:$B$1126,1,FALSE)</f>
        <v>0201/7501/0008</v>
      </c>
    </row>
    <row r="129" spans="1:5" ht="15" x14ac:dyDescent="0.25">
      <c r="A129" s="2644" t="s">
        <v>5057</v>
      </c>
      <c r="B129" s="2644" t="s">
        <v>6036</v>
      </c>
      <c r="C129" s="2645">
        <v>37060.6</v>
      </c>
      <c r="E129" s="2100" t="str">
        <f>VLOOKUP(A129,'Trial Balance - FPer'!$A$7:$B$1126,1,FALSE)</f>
        <v>0201/7502/0007</v>
      </c>
    </row>
    <row r="130" spans="1:5" ht="15" x14ac:dyDescent="0.25">
      <c r="A130" s="2644" t="s">
        <v>5058</v>
      </c>
      <c r="B130" s="2644" t="s">
        <v>6036</v>
      </c>
      <c r="C130" s="2645">
        <v>29893.57</v>
      </c>
      <c r="E130" s="2100" t="str">
        <f>VLOOKUP(A130,'Trial Balance - FPer'!$A$7:$B$1126,1,FALSE)</f>
        <v>0201/7502/0008</v>
      </c>
    </row>
    <row r="131" spans="1:5" ht="15" x14ac:dyDescent="0.25">
      <c r="A131" s="2644" t="s">
        <v>5060</v>
      </c>
      <c r="B131" s="2644" t="s">
        <v>7729</v>
      </c>
      <c r="C131" s="2645">
        <v>259.91000000000003</v>
      </c>
      <c r="E131" s="2100" t="str">
        <f>VLOOKUP(A131,'Trial Balance - FPer'!$A$7:$B$1126,1,FALSE)</f>
        <v>0201/7504/0007</v>
      </c>
    </row>
    <row r="132" spans="1:5" ht="15" x14ac:dyDescent="0.25">
      <c r="A132" s="2644" t="s">
        <v>5061</v>
      </c>
      <c r="B132" s="2644" t="s">
        <v>5062</v>
      </c>
      <c r="C132" s="2645">
        <v>-5968220.9400000004</v>
      </c>
      <c r="E132" s="2100" t="str">
        <f>VLOOKUP(A132,'Trial Balance - FPer'!$A$7:$B$1126,1,FALSE)</f>
        <v>0201/8000/0009</v>
      </c>
    </row>
    <row r="133" spans="1:5" ht="15" x14ac:dyDescent="0.25">
      <c r="A133" s="2644" t="s">
        <v>5063</v>
      </c>
      <c r="B133" s="2644" t="s">
        <v>5064</v>
      </c>
      <c r="C133" s="2645">
        <v>-6035446.3600000003</v>
      </c>
      <c r="E133" s="2100" t="str">
        <f>VLOOKUP(A133,'Trial Balance - FPer'!$A$7:$B$1126,1,FALSE)</f>
        <v>0201/8001/0009</v>
      </c>
    </row>
    <row r="134" spans="1:5" ht="15" x14ac:dyDescent="0.25">
      <c r="A134" s="2644" t="s">
        <v>5065</v>
      </c>
      <c r="B134" s="2644" t="s">
        <v>5066</v>
      </c>
      <c r="C134" s="2645">
        <v>6646089.25</v>
      </c>
      <c r="E134" s="2100" t="str">
        <f>VLOOKUP(A134,'Trial Balance - FPer'!$A$7:$B$1126,1,FALSE)</f>
        <v>0201/8002/0009</v>
      </c>
    </row>
    <row r="135" spans="1:5" ht="15" x14ac:dyDescent="0.25">
      <c r="A135" s="2644" t="s">
        <v>5067</v>
      </c>
      <c r="B135" s="2644" t="s">
        <v>5068</v>
      </c>
      <c r="C135" s="2645">
        <v>-620319.69999999995</v>
      </c>
      <c r="E135" s="2100" t="str">
        <f>VLOOKUP(A135,'Trial Balance - FPer'!$A$7:$B$1126,1,FALSE)</f>
        <v>0201/8003/0009</v>
      </c>
    </row>
    <row r="136" spans="1:5" ht="15" x14ac:dyDescent="0.25">
      <c r="A136" s="2644" t="s">
        <v>5069</v>
      </c>
      <c r="B136" s="2644" t="s">
        <v>5070</v>
      </c>
      <c r="C136" s="2645">
        <v>-868246.17</v>
      </c>
      <c r="E136" s="2100" t="str">
        <f>VLOOKUP(A136,'Trial Balance - FPer'!$A$7:$B$1126,1,FALSE)</f>
        <v>0201/8004/0009</v>
      </c>
    </row>
    <row r="137" spans="1:5" ht="15" x14ac:dyDescent="0.25">
      <c r="A137" s="2644" t="s">
        <v>5075</v>
      </c>
      <c r="B137" s="2644" t="s">
        <v>5076</v>
      </c>
      <c r="C137" s="2645">
        <v>-477.95</v>
      </c>
      <c r="E137" s="2100" t="str">
        <f>VLOOKUP(A137,'Trial Balance - FPer'!$A$7:$B$1126,1,FALSE)</f>
        <v>0201/8151/0008</v>
      </c>
    </row>
    <row r="138" spans="1:5" ht="15" x14ac:dyDescent="0.25">
      <c r="A138" s="2644" t="s">
        <v>5077</v>
      </c>
      <c r="B138" s="2644" t="s">
        <v>5078</v>
      </c>
      <c r="C138" s="2645">
        <v>-242201.05</v>
      </c>
      <c r="E138" s="2100" t="str">
        <f>VLOOKUP(A138,'Trial Balance - FPer'!$A$7:$B$1126,1,FALSE)</f>
        <v>0201/8200/0009</v>
      </c>
    </row>
    <row r="139" spans="1:5" ht="15" x14ac:dyDescent="0.25">
      <c r="A139" s="2644" t="s">
        <v>5079</v>
      </c>
      <c r="B139" s="2644" t="s">
        <v>6096</v>
      </c>
      <c r="C139" s="2645">
        <v>-7625.82</v>
      </c>
      <c r="E139" s="2100" t="str">
        <f>VLOOKUP(A139,'Trial Balance - FPer'!$A$7:$B$1126,1,FALSE)</f>
        <v>0201/8250/0008</v>
      </c>
    </row>
    <row r="140" spans="1:5" ht="15" x14ac:dyDescent="0.25">
      <c r="A140" s="2644" t="s">
        <v>5081</v>
      </c>
      <c r="B140" s="2644" t="s">
        <v>6097</v>
      </c>
      <c r="C140" s="2645">
        <v>0</v>
      </c>
      <c r="E140" s="2100" t="str">
        <f>VLOOKUP(A140,'Trial Balance - FPer'!$A$7:$B$1126,1,FALSE)</f>
        <v>0201/8251/0008</v>
      </c>
    </row>
    <row r="141" spans="1:5" ht="15" x14ac:dyDescent="0.25">
      <c r="A141" s="2644" t="s">
        <v>5083</v>
      </c>
      <c r="B141" s="2644" t="s">
        <v>6098</v>
      </c>
      <c r="C141" s="2645">
        <v>-159503.56</v>
      </c>
      <c r="E141" s="2100" t="str">
        <f>VLOOKUP(A141,'Trial Balance - FPer'!$A$7:$B$1126,1,FALSE)</f>
        <v>0201/8401/0007</v>
      </c>
    </row>
    <row r="142" spans="1:5" ht="15" x14ac:dyDescent="0.25">
      <c r="A142" s="2644" t="s">
        <v>5084</v>
      </c>
      <c r="B142" s="2644" t="s">
        <v>6099</v>
      </c>
      <c r="C142" s="2645">
        <v>-5735953.6699999999</v>
      </c>
      <c r="E142" s="2100" t="str">
        <f>VLOOKUP(A142,'Trial Balance - FPer'!$A$7:$B$1126,1,FALSE)</f>
        <v>0201/8401/0008</v>
      </c>
    </row>
    <row r="143" spans="1:5" ht="15" x14ac:dyDescent="0.25">
      <c r="A143" s="2644" t="s">
        <v>5085</v>
      </c>
      <c r="B143" s="2644" t="s">
        <v>6100</v>
      </c>
      <c r="C143" s="2645">
        <v>-1500000</v>
      </c>
      <c r="E143" s="2100" t="str">
        <f>VLOOKUP(A143,'Trial Balance - FPer'!$A$7:$B$1126,1,FALSE)</f>
        <v>0201/8402/0008</v>
      </c>
    </row>
    <row r="144" spans="1:5" ht="15" x14ac:dyDescent="0.25">
      <c r="A144" s="2644" t="s">
        <v>5086</v>
      </c>
      <c r="B144" s="2644" t="s">
        <v>7711</v>
      </c>
      <c r="C144" s="2645">
        <v>-562035.11</v>
      </c>
      <c r="E144" s="2100" t="str">
        <f>VLOOKUP(A144,'Trial Balance - FPer'!$A$7:$B$1126,1,FALSE)</f>
        <v>0201/8405/0007</v>
      </c>
    </row>
    <row r="145" spans="1:5" ht="15" x14ac:dyDescent="0.25">
      <c r="A145" s="2644" t="s">
        <v>5087</v>
      </c>
      <c r="B145" s="2644" t="s">
        <v>6101</v>
      </c>
      <c r="C145" s="2645">
        <v>-37405.769999999997</v>
      </c>
      <c r="E145" s="2100" t="str">
        <f>VLOOKUP(A145,'Trial Balance - FPer'!$A$7:$B$1126,1,FALSE)</f>
        <v>0201/8500/0008</v>
      </c>
    </row>
    <row r="146" spans="1:5" ht="15" x14ac:dyDescent="0.25">
      <c r="A146" s="2644" t="s">
        <v>5092</v>
      </c>
      <c r="B146" s="2644" t="s">
        <v>6102</v>
      </c>
      <c r="C146" s="2645">
        <v>-83301.58</v>
      </c>
      <c r="E146" s="2100" t="str">
        <f>VLOOKUP(A146,'Trial Balance - FPer'!$A$7:$B$1126,1,FALSE)</f>
        <v>0201/8508/0008</v>
      </c>
    </row>
    <row r="147" spans="1:5" ht="15" x14ac:dyDescent="0.25">
      <c r="A147" s="2644" t="s">
        <v>5094</v>
      </c>
      <c r="B147" s="2644" t="s">
        <v>7730</v>
      </c>
      <c r="C147" s="2645">
        <v>-3000</v>
      </c>
      <c r="E147" s="2100" t="str">
        <f>VLOOKUP(A147,'Trial Balance - FPer'!$A$7:$B$1126,1,FALSE)</f>
        <v>0201/8517/0008</v>
      </c>
    </row>
    <row r="148" spans="1:5" ht="15" x14ac:dyDescent="0.25">
      <c r="A148" s="2644" t="s">
        <v>5096</v>
      </c>
      <c r="B148" s="2644" t="s">
        <v>6103</v>
      </c>
      <c r="C148" s="2645">
        <v>-500</v>
      </c>
      <c r="E148" s="2100" t="str">
        <f>VLOOKUP(A148,'Trial Balance - FPer'!$A$7:$B$1126,1,FALSE)</f>
        <v>0201/8518/0008</v>
      </c>
    </row>
    <row r="149" spans="1:5" ht="15" x14ac:dyDescent="0.25">
      <c r="A149" s="2644" t="s">
        <v>5099</v>
      </c>
      <c r="B149" s="2644" t="s">
        <v>6003</v>
      </c>
      <c r="C149" s="2645">
        <v>876483.62</v>
      </c>
      <c r="E149" s="2100" t="str">
        <f>VLOOKUP(A149,'Trial Balance - FPer'!$A$7:$B$1126,1,FALSE)</f>
        <v>0202/1000/0000</v>
      </c>
    </row>
    <row r="150" spans="1:5" ht="15" x14ac:dyDescent="0.25">
      <c r="A150" s="2644" t="s">
        <v>5100</v>
      </c>
      <c r="B150" s="2644" t="s">
        <v>6004</v>
      </c>
      <c r="C150" s="2645">
        <v>67186.11</v>
      </c>
      <c r="E150" s="2100" t="str">
        <f>VLOOKUP(A150,'Trial Balance - FPer'!$A$7:$B$1126,1,FALSE)</f>
        <v>0202/1002/0000</v>
      </c>
    </row>
    <row r="151" spans="1:5" ht="15" x14ac:dyDescent="0.25">
      <c r="A151" s="2644" t="s">
        <v>5101</v>
      </c>
      <c r="B151" s="2644" t="s">
        <v>6005</v>
      </c>
      <c r="C151" s="2645">
        <v>7570.5</v>
      </c>
      <c r="E151" s="2100" t="str">
        <f>VLOOKUP(A151,'Trial Balance - FPer'!$A$7:$B$1126,1,FALSE)</f>
        <v>0202/1003/0000</v>
      </c>
    </row>
    <row r="152" spans="1:5" ht="15" x14ac:dyDescent="0.25">
      <c r="A152" s="2644" t="s">
        <v>5103</v>
      </c>
      <c r="B152" s="2644" t="s">
        <v>6009</v>
      </c>
      <c r="C152" s="2645">
        <v>37852.5</v>
      </c>
      <c r="E152" s="2100" t="str">
        <f>VLOOKUP(A152,'Trial Balance - FPer'!$A$7:$B$1126,1,FALSE)</f>
        <v>0202/1009/0000</v>
      </c>
    </row>
    <row r="153" spans="1:5" ht="15" x14ac:dyDescent="0.25">
      <c r="A153" s="2644" t="s">
        <v>5104</v>
      </c>
      <c r="B153" s="2644" t="s">
        <v>6010</v>
      </c>
      <c r="C153" s="2645">
        <v>310.39</v>
      </c>
      <c r="E153" s="2100" t="str">
        <f>VLOOKUP(A153,'Trial Balance - FPer'!$A$7:$B$1126,1,FALSE)</f>
        <v>0202/1010/0000</v>
      </c>
    </row>
    <row r="154" spans="1:5" ht="15" x14ac:dyDescent="0.25">
      <c r="A154" s="2644" t="s">
        <v>5105</v>
      </c>
      <c r="B154" s="2644" t="s">
        <v>6011</v>
      </c>
      <c r="C154" s="2645">
        <v>7610.17</v>
      </c>
      <c r="E154" s="2100" t="str">
        <f>VLOOKUP(A154,'Trial Balance - FPer'!$A$7:$B$1126,1,FALSE)</f>
        <v>0202/1011/0000</v>
      </c>
    </row>
    <row r="155" spans="1:5" ht="15" x14ac:dyDescent="0.25">
      <c r="A155" s="2644" t="s">
        <v>5106</v>
      </c>
      <c r="B155" s="2644" t="s">
        <v>7710</v>
      </c>
      <c r="C155" s="2645">
        <v>3709.33</v>
      </c>
      <c r="E155" s="2100" t="str">
        <f>VLOOKUP(A155,'Trial Balance - FPer'!$A$7:$B$1126,1,FALSE)</f>
        <v>0202/1012/0000</v>
      </c>
    </row>
    <row r="156" spans="1:5" ht="15" x14ac:dyDescent="0.25">
      <c r="A156" s="2644" t="s">
        <v>5107</v>
      </c>
      <c r="B156" s="2644" t="s">
        <v>6012</v>
      </c>
      <c r="C156" s="2645">
        <v>49971.79</v>
      </c>
      <c r="E156" s="2100" t="str">
        <f>VLOOKUP(A156,'Trial Balance - FPer'!$A$7:$B$1126,1,FALSE)</f>
        <v>0202/1050/0000</v>
      </c>
    </row>
    <row r="157" spans="1:5" ht="15" x14ac:dyDescent="0.25">
      <c r="A157" s="2644" t="s">
        <v>5108</v>
      </c>
      <c r="B157" s="2644" t="s">
        <v>6013</v>
      </c>
      <c r="C157" s="2645">
        <v>116672.91</v>
      </c>
      <c r="E157" s="2100" t="str">
        <f>VLOOKUP(A157,'Trial Balance - FPer'!$A$7:$B$1126,1,FALSE)</f>
        <v>0202/1051/0000</v>
      </c>
    </row>
    <row r="158" spans="1:5" ht="15" x14ac:dyDescent="0.25">
      <c r="A158" s="2644" t="s">
        <v>5109</v>
      </c>
      <c r="B158" s="2644" t="s">
        <v>6014</v>
      </c>
      <c r="C158" s="2645">
        <v>6538.58</v>
      </c>
      <c r="E158" s="2100" t="str">
        <f>VLOOKUP(A158,'Trial Balance - FPer'!$A$7:$B$1126,1,FALSE)</f>
        <v>0202/1052/0000</v>
      </c>
    </row>
    <row r="159" spans="1:5" ht="15" x14ac:dyDescent="0.25">
      <c r="A159" s="2644" t="s">
        <v>5112</v>
      </c>
      <c r="B159" s="2644" t="s">
        <v>6104</v>
      </c>
      <c r="C159" s="2645">
        <v>4316.25</v>
      </c>
      <c r="E159" s="2100" t="str">
        <f>VLOOKUP(A159,'Trial Balance - FPer'!$A$7:$B$1126,1,FALSE)</f>
        <v>0202/6511/0000</v>
      </c>
    </row>
    <row r="160" spans="1:5" ht="15" x14ac:dyDescent="0.25">
      <c r="A160" s="2644" t="s">
        <v>5114</v>
      </c>
      <c r="B160" s="2644" t="s">
        <v>6021</v>
      </c>
      <c r="C160" s="2645">
        <v>2067.98</v>
      </c>
      <c r="E160" s="2100" t="str">
        <f>VLOOKUP(A160,'Trial Balance - FPer'!$A$7:$B$1126,1,FALSE)</f>
        <v>0202/6514/0000</v>
      </c>
    </row>
    <row r="161" spans="1:5" ht="15" x14ac:dyDescent="0.25">
      <c r="A161" s="2644" t="s">
        <v>5115</v>
      </c>
      <c r="B161" s="2644" t="s">
        <v>6105</v>
      </c>
      <c r="C161" s="2645">
        <v>66.73</v>
      </c>
      <c r="E161" s="2100" t="str">
        <f>VLOOKUP(A161,'Trial Balance - FPer'!$A$7:$B$1126,1,FALSE)</f>
        <v>0202/6525/0000</v>
      </c>
    </row>
    <row r="162" spans="1:5" ht="15" x14ac:dyDescent="0.25">
      <c r="A162" s="2644" t="s">
        <v>5116</v>
      </c>
      <c r="B162" s="2644" t="s">
        <v>4873</v>
      </c>
      <c r="C162" s="2645">
        <v>412.57</v>
      </c>
      <c r="E162" s="2100" t="str">
        <f>VLOOKUP(A162,'Trial Balance - FPer'!$A$7:$B$1126,1,FALSE)</f>
        <v>0202/6535/0000</v>
      </c>
    </row>
    <row r="163" spans="1:5" ht="15" x14ac:dyDescent="0.25">
      <c r="A163" s="2644" t="s">
        <v>5118</v>
      </c>
      <c r="B163" s="2644" t="s">
        <v>6029</v>
      </c>
      <c r="C163" s="2645">
        <v>37390.11</v>
      </c>
      <c r="E163" s="2100" t="str">
        <f>VLOOKUP(A163,'Trial Balance - FPer'!$A$7:$B$1126,1,FALSE)</f>
        <v>0202/6541/0000</v>
      </c>
    </row>
    <row r="164" spans="1:5" ht="15" x14ac:dyDescent="0.25">
      <c r="A164" s="2644" t="s">
        <v>5119</v>
      </c>
      <c r="B164" s="2644" t="s">
        <v>6030</v>
      </c>
      <c r="C164" s="2645">
        <v>1176.75</v>
      </c>
      <c r="E164" s="2100" t="str">
        <f>VLOOKUP(A164,'Trial Balance - FPer'!$A$7:$B$1126,1,FALSE)</f>
        <v>0202/6544/0000</v>
      </c>
    </row>
    <row r="165" spans="1:5" ht="15" x14ac:dyDescent="0.25">
      <c r="A165" s="2644" t="s">
        <v>5120</v>
      </c>
      <c r="B165" s="2644" t="s">
        <v>6033</v>
      </c>
      <c r="C165" s="2645">
        <v>412.57</v>
      </c>
      <c r="E165" s="2100" t="str">
        <f>VLOOKUP(A165,'Trial Balance - FPer'!$A$7:$B$1126,1,FALSE)</f>
        <v>0202/6554/0000</v>
      </c>
    </row>
    <row r="166" spans="1:5" ht="15" x14ac:dyDescent="0.25">
      <c r="A166" s="2644" t="s">
        <v>5121</v>
      </c>
      <c r="B166" s="2644" t="s">
        <v>4893</v>
      </c>
      <c r="C166" s="2645">
        <v>412.57</v>
      </c>
      <c r="E166" s="2100" t="str">
        <f>VLOOKUP(A166,'Trial Balance - FPer'!$A$7:$B$1126,1,FALSE)</f>
        <v>0202/6803/0000</v>
      </c>
    </row>
    <row r="167" spans="1:5" ht="15" x14ac:dyDescent="0.25">
      <c r="A167" s="2644" t="s">
        <v>5122</v>
      </c>
      <c r="B167" s="2644" t="s">
        <v>6035</v>
      </c>
      <c r="C167" s="2645">
        <v>3920.66</v>
      </c>
      <c r="E167" s="2100" t="str">
        <f>VLOOKUP(A167,'Trial Balance - FPer'!$A$7:$B$1126,1,FALSE)</f>
        <v>0202/7501/0000</v>
      </c>
    </row>
    <row r="168" spans="1:5" ht="15" x14ac:dyDescent="0.25">
      <c r="A168" s="2644" t="s">
        <v>5123</v>
      </c>
      <c r="B168" s="2644" t="s">
        <v>6036</v>
      </c>
      <c r="C168" s="2645">
        <v>5248.58</v>
      </c>
      <c r="E168" s="2100" t="str">
        <f>VLOOKUP(A168,'Trial Balance - FPer'!$A$7:$B$1126,1,FALSE)</f>
        <v>0202/7502/0000</v>
      </c>
    </row>
    <row r="169" spans="1:5" ht="15" x14ac:dyDescent="0.25">
      <c r="A169" s="2644" t="s">
        <v>5124</v>
      </c>
      <c r="B169" s="2644" t="s">
        <v>6037</v>
      </c>
      <c r="C169" s="2645">
        <v>-1229330.6599999999</v>
      </c>
      <c r="E169" s="2100" t="str">
        <f>VLOOKUP(A169,'Trial Balance - FPer'!$A$7:$B$1126,1,FALSE)</f>
        <v>0202/8401/0000</v>
      </c>
    </row>
    <row r="170" spans="1:5" ht="15" x14ac:dyDescent="0.25">
      <c r="A170" s="2644" t="s">
        <v>5125</v>
      </c>
      <c r="B170" s="2644" t="s">
        <v>6003</v>
      </c>
      <c r="C170" s="2645">
        <v>144031.70000000001</v>
      </c>
      <c r="E170" s="2100" t="str">
        <f>VLOOKUP(A170,'Trial Balance - FPer'!$A$7:$B$1126,1,FALSE)</f>
        <v>0203/1000/0000</v>
      </c>
    </row>
    <row r="171" spans="1:5" ht="15" x14ac:dyDescent="0.25">
      <c r="A171" s="2644" t="s">
        <v>5126</v>
      </c>
      <c r="B171" s="2644" t="s">
        <v>6004</v>
      </c>
      <c r="C171" s="2645">
        <v>5744.95</v>
      </c>
      <c r="E171" s="2100" t="str">
        <f>VLOOKUP(A171,'Trial Balance - FPer'!$A$7:$B$1126,1,FALSE)</f>
        <v>0203/1002/0000</v>
      </c>
    </row>
    <row r="172" spans="1:5" ht="15" x14ac:dyDescent="0.25">
      <c r="A172" s="2644" t="s">
        <v>5127</v>
      </c>
      <c r="B172" s="2644" t="s">
        <v>6005</v>
      </c>
      <c r="C172" s="2645">
        <v>0</v>
      </c>
      <c r="E172" s="2100" t="str">
        <f>VLOOKUP(A172,'Trial Balance - FPer'!$A$7:$B$1126,1,FALSE)</f>
        <v>0203/1003/0000</v>
      </c>
    </row>
    <row r="173" spans="1:5" ht="15" x14ac:dyDescent="0.25">
      <c r="A173" s="2644" t="s">
        <v>5128</v>
      </c>
      <c r="B173" s="2644" t="s">
        <v>6006</v>
      </c>
      <c r="C173" s="2645">
        <v>2171.65</v>
      </c>
      <c r="E173" s="2100" t="str">
        <f>VLOOKUP(A173,'Trial Balance - FPer'!$A$7:$B$1126,1,FALSE)</f>
        <v>0203/1005/0000</v>
      </c>
    </row>
    <row r="174" spans="1:5" ht="15" x14ac:dyDescent="0.25">
      <c r="A174" s="2644" t="s">
        <v>5129</v>
      </c>
      <c r="B174" s="2644" t="s">
        <v>6007</v>
      </c>
      <c r="C174" s="2645">
        <v>4307.59</v>
      </c>
      <c r="E174" s="2100" t="str">
        <f>VLOOKUP(A174,'Trial Balance - FPer'!$A$7:$B$1126,1,FALSE)</f>
        <v>0203/1006/0000</v>
      </c>
    </row>
    <row r="175" spans="1:5" ht="15" x14ac:dyDescent="0.25">
      <c r="A175" s="2644" t="s">
        <v>5131</v>
      </c>
      <c r="B175" s="2644" t="s">
        <v>6009</v>
      </c>
      <c r="C175" s="2645">
        <v>12112.8</v>
      </c>
      <c r="E175" s="2100" t="str">
        <f>VLOOKUP(A175,'Trial Balance - FPer'!$A$7:$B$1126,1,FALSE)</f>
        <v>0203/1009/0000</v>
      </c>
    </row>
    <row r="176" spans="1:5" ht="15" x14ac:dyDescent="0.25">
      <c r="A176" s="2644" t="s">
        <v>5132</v>
      </c>
      <c r="B176" s="2644" t="s">
        <v>6010</v>
      </c>
      <c r="C176" s="2645">
        <v>88.68</v>
      </c>
      <c r="E176" s="2100" t="str">
        <f>VLOOKUP(A176,'Trial Balance - FPer'!$A$7:$B$1126,1,FALSE)</f>
        <v>0203/1010/0000</v>
      </c>
    </row>
    <row r="177" spans="1:5" ht="15" x14ac:dyDescent="0.25">
      <c r="A177" s="2644" t="s">
        <v>5133</v>
      </c>
      <c r="B177" s="2644" t="s">
        <v>6011</v>
      </c>
      <c r="C177" s="2645">
        <v>1818.15</v>
      </c>
      <c r="E177" s="2100" t="str">
        <f>VLOOKUP(A177,'Trial Balance - FPer'!$A$7:$B$1126,1,FALSE)</f>
        <v>0203/1011/0000</v>
      </c>
    </row>
    <row r="178" spans="1:5" ht="15" x14ac:dyDescent="0.25">
      <c r="A178" s="2644" t="s">
        <v>5134</v>
      </c>
      <c r="B178" s="2644" t="s">
        <v>7710</v>
      </c>
      <c r="C178" s="2645">
        <v>1866.02</v>
      </c>
      <c r="E178" s="2100" t="str">
        <f>VLOOKUP(A178,'Trial Balance - FPer'!$A$7:$B$1126,1,FALSE)</f>
        <v>0203/1012/0000</v>
      </c>
    </row>
    <row r="179" spans="1:5" ht="15" x14ac:dyDescent="0.25">
      <c r="A179" s="2644" t="s">
        <v>5135</v>
      </c>
      <c r="B179" s="2644" t="s">
        <v>6012</v>
      </c>
      <c r="C179" s="2645">
        <v>12944.26</v>
      </c>
      <c r="E179" s="2100" t="str">
        <f>VLOOKUP(A179,'Trial Balance - FPer'!$A$7:$B$1126,1,FALSE)</f>
        <v>0203/1050/0000</v>
      </c>
    </row>
    <row r="180" spans="1:5" ht="15" x14ac:dyDescent="0.25">
      <c r="A180" s="2644" t="s">
        <v>5136</v>
      </c>
      <c r="B180" s="2644" t="s">
        <v>6013</v>
      </c>
      <c r="C180" s="2645">
        <v>24724.26</v>
      </c>
      <c r="E180" s="2100" t="str">
        <f>VLOOKUP(A180,'Trial Balance - FPer'!$A$7:$B$1126,1,FALSE)</f>
        <v>0203/1051/0000</v>
      </c>
    </row>
    <row r="181" spans="1:5" ht="15" x14ac:dyDescent="0.25">
      <c r="A181" s="2644" t="s">
        <v>5137</v>
      </c>
      <c r="B181" s="2644" t="s">
        <v>6014</v>
      </c>
      <c r="C181" s="2645">
        <v>1872.55</v>
      </c>
      <c r="E181" s="2100" t="str">
        <f>VLOOKUP(A181,'Trial Balance - FPer'!$A$7:$B$1126,1,FALSE)</f>
        <v>0203/1052/0000</v>
      </c>
    </row>
    <row r="182" spans="1:5" ht="15" x14ac:dyDescent="0.25">
      <c r="A182" s="2644" t="s">
        <v>5138</v>
      </c>
      <c r="B182" s="2644" t="s">
        <v>6106</v>
      </c>
      <c r="C182" s="2645">
        <v>2565369.4</v>
      </c>
      <c r="E182" s="2100" t="str">
        <f>VLOOKUP(A182,'Trial Balance - FPer'!$A$7:$B$1126,1,FALSE)</f>
        <v>0203/6502/0000</v>
      </c>
    </row>
    <row r="183" spans="1:5" ht="15" x14ac:dyDescent="0.25">
      <c r="A183" s="2644" t="s">
        <v>5139</v>
      </c>
      <c r="B183" s="2644" t="s">
        <v>6021</v>
      </c>
      <c r="C183" s="2645">
        <v>412.57</v>
      </c>
      <c r="E183" s="2100" t="str">
        <f>VLOOKUP(A183,'Trial Balance - FPer'!$A$7:$B$1126,1,FALSE)</f>
        <v>0203/6514/0000</v>
      </c>
    </row>
    <row r="184" spans="1:5" ht="15" x14ac:dyDescent="0.25">
      <c r="A184" s="2644" t="s">
        <v>5140</v>
      </c>
      <c r="B184" s="2644" t="s">
        <v>6107</v>
      </c>
      <c r="C184" s="2645">
        <v>29559.89</v>
      </c>
      <c r="E184" s="2100" t="str">
        <f>VLOOKUP(A184,'Trial Balance - FPer'!$A$7:$B$1126,1,FALSE)</f>
        <v>0203/6515/0000</v>
      </c>
    </row>
    <row r="185" spans="1:5" ht="15" x14ac:dyDescent="0.25">
      <c r="A185" s="2644" t="s">
        <v>5142</v>
      </c>
      <c r="B185" s="2644" t="s">
        <v>6105</v>
      </c>
      <c r="C185" s="2645">
        <v>205.96</v>
      </c>
      <c r="E185" s="2100" t="str">
        <f>VLOOKUP(A185,'Trial Balance - FPer'!$A$7:$B$1126,1,FALSE)</f>
        <v>0203/6525/0000</v>
      </c>
    </row>
    <row r="186" spans="1:5" ht="15" x14ac:dyDescent="0.25">
      <c r="A186" s="2644" t="s">
        <v>5143</v>
      </c>
      <c r="B186" s="2644" t="s">
        <v>6108</v>
      </c>
      <c r="C186" s="2645">
        <v>652.54</v>
      </c>
      <c r="E186" s="2100" t="str">
        <f>VLOOKUP(A186,'Trial Balance - FPer'!$A$7:$B$1126,1,FALSE)</f>
        <v>0203/6532/0000</v>
      </c>
    </row>
    <row r="187" spans="1:5" ht="15" x14ac:dyDescent="0.25">
      <c r="A187" s="2644" t="s">
        <v>5144</v>
      </c>
      <c r="B187" s="2644" t="s">
        <v>6109</v>
      </c>
      <c r="C187" s="2645">
        <v>1971.97</v>
      </c>
      <c r="E187" s="2100" t="str">
        <f>VLOOKUP(A187,'Trial Balance - FPer'!$A$7:$B$1126,1,FALSE)</f>
        <v>0203/6533/0000</v>
      </c>
    </row>
    <row r="188" spans="1:5" ht="15" x14ac:dyDescent="0.25">
      <c r="A188" s="2644" t="s">
        <v>5145</v>
      </c>
      <c r="B188" s="2644" t="s">
        <v>4873</v>
      </c>
      <c r="C188" s="2645">
        <v>412.57</v>
      </c>
      <c r="E188" s="2100" t="str">
        <f>VLOOKUP(A188,'Trial Balance - FPer'!$A$7:$B$1126,1,FALSE)</f>
        <v>0203/6535/0000</v>
      </c>
    </row>
    <row r="189" spans="1:5" ht="15" x14ac:dyDescent="0.25">
      <c r="A189" s="2644" t="s">
        <v>5146</v>
      </c>
      <c r="B189" s="2644" t="s">
        <v>6029</v>
      </c>
      <c r="C189" s="2645">
        <v>13720.89</v>
      </c>
      <c r="E189" s="2100" t="str">
        <f>VLOOKUP(A189,'Trial Balance - FPer'!$A$7:$B$1126,1,FALSE)</f>
        <v>0203/6541/0000</v>
      </c>
    </row>
    <row r="190" spans="1:5" ht="15" x14ac:dyDescent="0.25">
      <c r="A190" s="2644" t="s">
        <v>5147</v>
      </c>
      <c r="B190" s="2644" t="s">
        <v>6110</v>
      </c>
      <c r="C190" s="2645">
        <v>100000</v>
      </c>
      <c r="E190" s="2100" t="str">
        <f>VLOOKUP(A190,'Trial Balance - FPer'!$A$7:$B$1126,1,FALSE)</f>
        <v>0203/6542/0000</v>
      </c>
    </row>
    <row r="191" spans="1:5" ht="15" x14ac:dyDescent="0.25">
      <c r="A191" s="2644" t="s">
        <v>5148</v>
      </c>
      <c r="B191" s="2644" t="s">
        <v>6030</v>
      </c>
      <c r="C191" s="2645">
        <v>412.57</v>
      </c>
      <c r="E191" s="2100" t="str">
        <f>VLOOKUP(A191,'Trial Balance - FPer'!$A$7:$B$1126,1,FALSE)</f>
        <v>0203/6544/0000</v>
      </c>
    </row>
    <row r="192" spans="1:5" ht="15" x14ac:dyDescent="0.25">
      <c r="A192" s="2644" t="s">
        <v>5149</v>
      </c>
      <c r="B192" s="2644" t="s">
        <v>6032</v>
      </c>
      <c r="C192" s="2645">
        <v>10463.700000000001</v>
      </c>
      <c r="E192" s="2100" t="str">
        <f>VLOOKUP(A192,'Trial Balance - FPer'!$A$7:$B$1126,1,FALSE)</f>
        <v>0203/6552/0000</v>
      </c>
    </row>
    <row r="193" spans="1:5" ht="15" x14ac:dyDescent="0.25">
      <c r="A193" s="2644" t="s">
        <v>5150</v>
      </c>
      <c r="B193" s="2644" t="s">
        <v>6033</v>
      </c>
      <c r="C193" s="2645">
        <v>412.57</v>
      </c>
      <c r="E193" s="2100" t="str">
        <f>VLOOKUP(A193,'Trial Balance - FPer'!$A$7:$B$1126,1,FALSE)</f>
        <v>0203/6554/0000</v>
      </c>
    </row>
    <row r="194" spans="1:5" ht="15" x14ac:dyDescent="0.25">
      <c r="A194" s="2644" t="s">
        <v>5151</v>
      </c>
      <c r="B194" s="2644" t="s">
        <v>4893</v>
      </c>
      <c r="C194" s="2645">
        <v>13935.49</v>
      </c>
      <c r="E194" s="2100" t="str">
        <f>VLOOKUP(A194,'Trial Balance - FPer'!$A$7:$B$1126,1,FALSE)</f>
        <v>0203/6803/0000</v>
      </c>
    </row>
    <row r="195" spans="1:5" ht="15" x14ac:dyDescent="0.25">
      <c r="A195" s="2644" t="s">
        <v>5152</v>
      </c>
      <c r="B195" s="2644" t="s">
        <v>6034</v>
      </c>
      <c r="C195" s="2645">
        <v>22801.9</v>
      </c>
      <c r="E195" s="2100" t="str">
        <f>VLOOKUP(A195,'Trial Balance - FPer'!$A$7:$B$1126,1,FALSE)</f>
        <v>0203/6808/0000</v>
      </c>
    </row>
    <row r="196" spans="1:5" ht="15" x14ac:dyDescent="0.25">
      <c r="A196" s="2644" t="s">
        <v>5153</v>
      </c>
      <c r="B196" s="2644" t="s">
        <v>6035</v>
      </c>
      <c r="C196" s="2645">
        <v>4726.88</v>
      </c>
      <c r="E196" s="2100" t="str">
        <f>VLOOKUP(A196,'Trial Balance - FPer'!$A$7:$B$1126,1,FALSE)</f>
        <v>0203/7501/0000</v>
      </c>
    </row>
    <row r="197" spans="1:5" ht="15" x14ac:dyDescent="0.25">
      <c r="A197" s="2644" t="s">
        <v>5154</v>
      </c>
      <c r="B197" s="2644" t="s">
        <v>6036</v>
      </c>
      <c r="C197" s="2645">
        <v>4754</v>
      </c>
      <c r="E197" s="2100" t="str">
        <f>VLOOKUP(A197,'Trial Balance - FPer'!$A$7:$B$1126,1,FALSE)</f>
        <v>0203/7502/0000</v>
      </c>
    </row>
    <row r="198" spans="1:5" ht="15" x14ac:dyDescent="0.25">
      <c r="A198" s="2644" t="s">
        <v>5155</v>
      </c>
      <c r="B198" s="2644" t="s">
        <v>6037</v>
      </c>
      <c r="C198" s="2645">
        <v>-2981495.52</v>
      </c>
      <c r="E198" s="2100" t="str">
        <f>VLOOKUP(A198,'Trial Balance - FPer'!$A$7:$B$1126,1,FALSE)</f>
        <v>0203/8401/0000</v>
      </c>
    </row>
    <row r="199" spans="1:5" ht="15" x14ac:dyDescent="0.25">
      <c r="A199" s="2644" t="s">
        <v>5161</v>
      </c>
      <c r="B199" s="2644" t="s">
        <v>4863</v>
      </c>
      <c r="C199" s="2645">
        <v>30284.560000000001</v>
      </c>
      <c r="E199" s="2100" t="str">
        <f>VLOOKUP(A199,'Trial Balance - FPer'!$A$7:$B$1126,1,FALSE)</f>
        <v>0204/6523/0013</v>
      </c>
    </row>
    <row r="200" spans="1:5" ht="15" x14ac:dyDescent="0.25">
      <c r="A200" s="2644" t="s">
        <v>5163</v>
      </c>
      <c r="B200" s="2644" t="s">
        <v>7731</v>
      </c>
      <c r="C200" s="2645">
        <v>200000</v>
      </c>
      <c r="E200" s="2100" t="str">
        <f>VLOOKUP(A200,'Trial Balance - FPer'!$A$7:$B$1126,1,FALSE)</f>
        <v>0204/6549/0013</v>
      </c>
    </row>
    <row r="201" spans="1:5" ht="15" x14ac:dyDescent="0.25">
      <c r="A201" s="2644" t="s">
        <v>5164</v>
      </c>
      <c r="B201" s="2644" t="s">
        <v>6111</v>
      </c>
      <c r="C201" s="2645">
        <v>209154.58</v>
      </c>
      <c r="E201" s="2100" t="str">
        <f>VLOOKUP(A201,'Trial Balance - FPer'!$A$7:$B$1126,1,FALSE)</f>
        <v>0204/6801/0013</v>
      </c>
    </row>
    <row r="202" spans="1:5" ht="15" x14ac:dyDescent="0.25">
      <c r="A202" s="2644" t="s">
        <v>5190</v>
      </c>
      <c r="B202" s="2644" t="s">
        <v>5191</v>
      </c>
      <c r="C202" s="2645">
        <v>-23512.85</v>
      </c>
      <c r="E202" s="2100" t="str">
        <f>VLOOKUP(A202,'Trial Balance - FPer'!$A$7:$B$1126,1,FALSE)</f>
        <v>0204/8100/0013</v>
      </c>
    </row>
    <row r="203" spans="1:5" ht="15" x14ac:dyDescent="0.25">
      <c r="A203" s="2644" t="s">
        <v>5192</v>
      </c>
      <c r="B203" s="2644" t="s">
        <v>6112</v>
      </c>
      <c r="C203" s="2645">
        <v>-643.5</v>
      </c>
      <c r="E203" s="2100" t="str">
        <f>VLOOKUP(A203,'Trial Balance - FPer'!$A$7:$B$1126,1,FALSE)</f>
        <v>0204/8101/0013</v>
      </c>
    </row>
    <row r="204" spans="1:5" ht="15" x14ac:dyDescent="0.25">
      <c r="A204" s="2644" t="s">
        <v>5196</v>
      </c>
      <c r="B204" s="2644" t="s">
        <v>5073</v>
      </c>
      <c r="C204" s="2645">
        <v>-201382.5</v>
      </c>
      <c r="E204" s="2100" t="str">
        <f>VLOOKUP(A204,'Trial Balance - FPer'!$A$7:$B$1126,1,FALSE)</f>
        <v>0204/8108/0013</v>
      </c>
    </row>
    <row r="205" spans="1:5" ht="15" x14ac:dyDescent="0.25">
      <c r="A205" s="2644" t="s">
        <v>5197</v>
      </c>
      <c r="B205" s="2644" t="s">
        <v>6098</v>
      </c>
      <c r="C205" s="2645">
        <v>-213900.29</v>
      </c>
      <c r="E205" s="2100" t="str">
        <f>VLOOKUP(A205,'Trial Balance - FPer'!$A$7:$B$1126,1,FALSE)</f>
        <v>0204/8401/0013</v>
      </c>
    </row>
    <row r="206" spans="1:5" ht="15" x14ac:dyDescent="0.25">
      <c r="A206" s="2644" t="s">
        <v>5198</v>
      </c>
      <c r="B206" s="2644" t="s">
        <v>6113</v>
      </c>
      <c r="C206" s="2645">
        <v>493324.69</v>
      </c>
      <c r="E206" s="2100" t="str">
        <f>VLOOKUP(A206,'Trial Balance - FPer'!$A$7:$B$1126,1,FALSE)</f>
        <v>0205/1000/0003</v>
      </c>
    </row>
    <row r="207" spans="1:5" ht="15" x14ac:dyDescent="0.25">
      <c r="A207" s="2644" t="s">
        <v>5199</v>
      </c>
      <c r="B207" s="2644" t="s">
        <v>6114</v>
      </c>
      <c r="C207" s="2645">
        <v>493324.69</v>
      </c>
      <c r="E207" s="2100" t="str">
        <f>VLOOKUP(A207,'Trial Balance - FPer'!$A$7:$B$1126,1,FALSE)</f>
        <v>0205/1000/0004</v>
      </c>
    </row>
    <row r="208" spans="1:5" ht="15" x14ac:dyDescent="0.25">
      <c r="A208" s="2644" t="s">
        <v>5200</v>
      </c>
      <c r="B208" s="2644" t="s">
        <v>6115</v>
      </c>
      <c r="C208" s="2645">
        <v>266774.40999999997</v>
      </c>
      <c r="E208" s="2100" t="str">
        <f>VLOOKUP(A208,'Trial Balance - FPer'!$A$7:$B$1126,1,FALSE)</f>
        <v>0205/1000/0005</v>
      </c>
    </row>
    <row r="209" spans="1:5" ht="15" x14ac:dyDescent="0.25">
      <c r="A209" s="2644" t="s">
        <v>5201</v>
      </c>
      <c r="B209" s="2644" t="s">
        <v>6116</v>
      </c>
      <c r="C209" s="2645">
        <v>1948455.04</v>
      </c>
      <c r="E209" s="2100" t="str">
        <f>VLOOKUP(A209,'Trial Balance - FPer'!$A$7:$B$1126,1,FALSE)</f>
        <v>0205/1000/0006</v>
      </c>
    </row>
    <row r="210" spans="1:5" ht="15" x14ac:dyDescent="0.25">
      <c r="A210" s="2644" t="s">
        <v>5206</v>
      </c>
      <c r="B210" s="2644" t="s">
        <v>7732</v>
      </c>
      <c r="C210" s="2645">
        <v>5141.97</v>
      </c>
      <c r="E210" s="2100" t="str">
        <f>VLOOKUP(A210,'Trial Balance - FPer'!$A$7:$B$1126,1,FALSE)</f>
        <v>0205/1002/0005</v>
      </c>
    </row>
    <row r="211" spans="1:5" ht="15" x14ac:dyDescent="0.25">
      <c r="A211" s="2644" t="s">
        <v>5207</v>
      </c>
      <c r="B211" s="2644" t="s">
        <v>6119</v>
      </c>
      <c r="C211" s="2645">
        <v>25148.49</v>
      </c>
      <c r="E211" s="2100" t="str">
        <f>VLOOKUP(A211,'Trial Balance - FPer'!$A$7:$B$1126,1,FALSE)</f>
        <v>0205/1002/0006</v>
      </c>
    </row>
    <row r="212" spans="1:5" ht="15" x14ac:dyDescent="0.25">
      <c r="A212" s="2644" t="s">
        <v>5208</v>
      </c>
      <c r="B212" s="2644" t="s">
        <v>6183</v>
      </c>
      <c r="C212" s="2645">
        <v>26540.83</v>
      </c>
      <c r="E212" s="2100" t="str">
        <f>VLOOKUP(A212,'Trial Balance - FPer'!$A$7:$B$1126,1,FALSE)</f>
        <v>0205/1003/0003</v>
      </c>
    </row>
    <row r="213" spans="1:5" ht="15" x14ac:dyDescent="0.25">
      <c r="A213" s="2644" t="s">
        <v>5209</v>
      </c>
      <c r="B213" s="2644" t="s">
        <v>6183</v>
      </c>
      <c r="C213" s="2645">
        <v>26540.83</v>
      </c>
      <c r="E213" s="2100" t="str">
        <f>VLOOKUP(A213,'Trial Balance - FPer'!$A$7:$B$1126,1,FALSE)</f>
        <v>0205/1003/0004</v>
      </c>
    </row>
    <row r="214" spans="1:5" ht="15" x14ac:dyDescent="0.25">
      <c r="A214" s="2644" t="s">
        <v>5210</v>
      </c>
      <c r="B214" s="2644" t="s">
        <v>6120</v>
      </c>
      <c r="C214" s="2645">
        <v>7570.5</v>
      </c>
      <c r="E214" s="2100" t="str">
        <f>VLOOKUP(A214,'Trial Balance - FPer'!$A$7:$B$1126,1,FALSE)</f>
        <v>0205/1003/0006</v>
      </c>
    </row>
    <row r="215" spans="1:5" ht="15" x14ac:dyDescent="0.25">
      <c r="A215" s="2644" t="s">
        <v>5211</v>
      </c>
      <c r="B215" s="2644" t="s">
        <v>7733</v>
      </c>
      <c r="C215" s="2645">
        <v>4590.2299999999996</v>
      </c>
      <c r="E215" s="2100" t="str">
        <f>VLOOKUP(A215,'Trial Balance - FPer'!$A$7:$B$1126,1,FALSE)</f>
        <v>0205/1005/0003</v>
      </c>
    </row>
    <row r="216" spans="1:5" ht="15" x14ac:dyDescent="0.25">
      <c r="A216" s="2644" t="s">
        <v>5212</v>
      </c>
      <c r="B216" s="2644" t="s">
        <v>7734</v>
      </c>
      <c r="C216" s="2645">
        <v>4590.2299999999996</v>
      </c>
      <c r="E216" s="2100" t="str">
        <f>VLOOKUP(A216,'Trial Balance - FPer'!$A$7:$B$1126,1,FALSE)</f>
        <v>0205/1005/0004</v>
      </c>
    </row>
    <row r="217" spans="1:5" ht="15" x14ac:dyDescent="0.25">
      <c r="A217" s="2644" t="s">
        <v>5213</v>
      </c>
      <c r="B217" s="2644" t="s">
        <v>6121</v>
      </c>
      <c r="C217" s="2645">
        <v>5429.13</v>
      </c>
      <c r="E217" s="2100" t="str">
        <f>VLOOKUP(A217,'Trial Balance - FPer'!$A$7:$B$1126,1,FALSE)</f>
        <v>0205/1005/0005</v>
      </c>
    </row>
    <row r="218" spans="1:5" ht="15" x14ac:dyDescent="0.25">
      <c r="A218" s="2644" t="s">
        <v>5214</v>
      </c>
      <c r="B218" s="2644" t="s">
        <v>6122</v>
      </c>
      <c r="C218" s="2645">
        <v>1796.33</v>
      </c>
      <c r="E218" s="2100" t="str">
        <f>VLOOKUP(A218,'Trial Balance - FPer'!$A$7:$B$1126,1,FALSE)</f>
        <v>0205/1005/0006</v>
      </c>
    </row>
    <row r="219" spans="1:5" ht="15" x14ac:dyDescent="0.25">
      <c r="A219" s="2644" t="s">
        <v>5219</v>
      </c>
      <c r="B219" s="2644" t="s">
        <v>6123</v>
      </c>
      <c r="C219" s="2645">
        <v>9134.98</v>
      </c>
      <c r="E219" s="2100" t="str">
        <f>VLOOKUP(A219,'Trial Balance - FPer'!$A$7:$B$1126,1,FALSE)</f>
        <v>0205/1009/0003</v>
      </c>
    </row>
    <row r="220" spans="1:5" ht="15" x14ac:dyDescent="0.25">
      <c r="A220" s="2644" t="s">
        <v>5220</v>
      </c>
      <c r="B220" s="2644" t="s">
        <v>6123</v>
      </c>
      <c r="C220" s="2645">
        <v>9134.98</v>
      </c>
      <c r="E220" s="2100" t="str">
        <f>VLOOKUP(A220,'Trial Balance - FPer'!$A$7:$B$1126,1,FALSE)</f>
        <v>0205/1009/0004</v>
      </c>
    </row>
    <row r="221" spans="1:5" ht="15" x14ac:dyDescent="0.25">
      <c r="A221" s="2644" t="s">
        <v>5221</v>
      </c>
      <c r="B221" s="2644" t="s">
        <v>6124</v>
      </c>
      <c r="C221" s="2645">
        <v>37852.5</v>
      </c>
      <c r="E221" s="2100" t="str">
        <f>VLOOKUP(A221,'Trial Balance - FPer'!$A$7:$B$1126,1,FALSE)</f>
        <v>0205/1009/0005</v>
      </c>
    </row>
    <row r="222" spans="1:5" ht="15" x14ac:dyDescent="0.25">
      <c r="A222" s="2644" t="s">
        <v>5222</v>
      </c>
      <c r="B222" s="2644" t="s">
        <v>6125</v>
      </c>
      <c r="C222" s="2645">
        <v>43269.34</v>
      </c>
      <c r="E222" s="2100" t="str">
        <f>VLOOKUP(A222,'Trial Balance - FPer'!$A$7:$B$1126,1,FALSE)</f>
        <v>0205/1009/0006</v>
      </c>
    </row>
    <row r="223" spans="1:5" ht="15" x14ac:dyDescent="0.25">
      <c r="A223" s="2644" t="s">
        <v>5223</v>
      </c>
      <c r="B223" s="2644" t="s">
        <v>6126</v>
      </c>
      <c r="C223" s="2645">
        <v>62.08</v>
      </c>
      <c r="E223" s="2100" t="str">
        <f>VLOOKUP(A223,'Trial Balance - FPer'!$A$7:$B$1126,1,FALSE)</f>
        <v>0205/1010/0003</v>
      </c>
    </row>
    <row r="224" spans="1:5" ht="15" x14ac:dyDescent="0.25">
      <c r="A224" s="2644" t="s">
        <v>5224</v>
      </c>
      <c r="B224" s="2644" t="s">
        <v>6126</v>
      </c>
      <c r="C224" s="2645">
        <v>62.08</v>
      </c>
      <c r="E224" s="2100" t="str">
        <f>VLOOKUP(A224,'Trial Balance - FPer'!$A$7:$B$1126,1,FALSE)</f>
        <v>0205/1010/0004</v>
      </c>
    </row>
    <row r="225" spans="1:5" ht="15" x14ac:dyDescent="0.25">
      <c r="A225" s="2644" t="s">
        <v>5225</v>
      </c>
      <c r="B225" s="2644" t="s">
        <v>6127</v>
      </c>
      <c r="C225" s="2645">
        <v>53.21</v>
      </c>
      <c r="E225" s="2100" t="str">
        <f>VLOOKUP(A225,'Trial Balance - FPer'!$A$7:$B$1126,1,FALSE)</f>
        <v>0205/1010/0005</v>
      </c>
    </row>
    <row r="226" spans="1:5" ht="15" x14ac:dyDescent="0.25">
      <c r="A226" s="2644" t="s">
        <v>5226</v>
      </c>
      <c r="B226" s="2644" t="s">
        <v>6128</v>
      </c>
      <c r="C226" s="2645">
        <v>620.78</v>
      </c>
      <c r="E226" s="2100" t="str">
        <f>VLOOKUP(A226,'Trial Balance - FPer'!$A$7:$B$1126,1,FALSE)</f>
        <v>0205/1010/0006</v>
      </c>
    </row>
    <row r="227" spans="1:5" ht="15" x14ac:dyDescent="0.25">
      <c r="A227" s="2644" t="s">
        <v>5227</v>
      </c>
      <c r="B227" s="2644" t="s">
        <v>6129</v>
      </c>
      <c r="C227" s="2645">
        <v>3408.26</v>
      </c>
      <c r="E227" s="2100" t="str">
        <f>VLOOKUP(A227,'Trial Balance - FPer'!$A$7:$B$1126,1,FALSE)</f>
        <v>0205/1011/0003</v>
      </c>
    </row>
    <row r="228" spans="1:5" ht="15" x14ac:dyDescent="0.25">
      <c r="A228" s="2644" t="s">
        <v>5228</v>
      </c>
      <c r="B228" s="2644" t="s">
        <v>6129</v>
      </c>
      <c r="C228" s="2645">
        <v>3408.26</v>
      </c>
      <c r="E228" s="2100" t="str">
        <f>VLOOKUP(A228,'Trial Balance - FPer'!$A$7:$B$1126,1,FALSE)</f>
        <v>0205/1011/0004</v>
      </c>
    </row>
    <row r="229" spans="1:5" ht="15" x14ac:dyDescent="0.25">
      <c r="A229" s="2644" t="s">
        <v>5229</v>
      </c>
      <c r="B229" s="2644" t="s">
        <v>6130</v>
      </c>
      <c r="C229" s="2645">
        <v>2875.8</v>
      </c>
      <c r="E229" s="2100" t="str">
        <f>VLOOKUP(A229,'Trial Balance - FPer'!$A$7:$B$1126,1,FALSE)</f>
        <v>0205/1011/0005</v>
      </c>
    </row>
    <row r="230" spans="1:5" ht="15" x14ac:dyDescent="0.25">
      <c r="A230" s="2644" t="s">
        <v>5230</v>
      </c>
      <c r="B230" s="2644" t="s">
        <v>6131</v>
      </c>
      <c r="C230" s="2645">
        <v>14610.22</v>
      </c>
      <c r="E230" s="2100" t="str">
        <f>VLOOKUP(A230,'Trial Balance - FPer'!$A$7:$B$1126,1,FALSE)</f>
        <v>0205/1011/0006</v>
      </c>
    </row>
    <row r="231" spans="1:5" ht="15" x14ac:dyDescent="0.25">
      <c r="A231" s="2644" t="s">
        <v>5231</v>
      </c>
      <c r="B231" s="2644" t="s">
        <v>7735</v>
      </c>
      <c r="C231" s="2645">
        <v>3505.57</v>
      </c>
      <c r="E231" s="2100" t="str">
        <f>VLOOKUP(A231,'Trial Balance - FPer'!$A$7:$B$1126,1,FALSE)</f>
        <v>0205/1012/0003</v>
      </c>
    </row>
    <row r="232" spans="1:5" ht="15" x14ac:dyDescent="0.25">
      <c r="A232" s="2644" t="s">
        <v>5232</v>
      </c>
      <c r="B232" s="2644" t="s">
        <v>7735</v>
      </c>
      <c r="C232" s="2645">
        <v>3505.57</v>
      </c>
      <c r="E232" s="2100" t="str">
        <f>VLOOKUP(A232,'Trial Balance - FPer'!$A$7:$B$1126,1,FALSE)</f>
        <v>0205/1012/0004</v>
      </c>
    </row>
    <row r="233" spans="1:5" ht="15" x14ac:dyDescent="0.25">
      <c r="A233" s="2644" t="s">
        <v>5233</v>
      </c>
      <c r="B233" s="2644" t="s">
        <v>7736</v>
      </c>
      <c r="C233" s="2645">
        <v>1148.76</v>
      </c>
      <c r="E233" s="2100" t="str">
        <f>VLOOKUP(A233,'Trial Balance - FPer'!$A$7:$B$1126,1,FALSE)</f>
        <v>0205/1012/0005</v>
      </c>
    </row>
    <row r="234" spans="1:5" ht="15" x14ac:dyDescent="0.25">
      <c r="A234" s="2644" t="s">
        <v>5234</v>
      </c>
      <c r="B234" s="2644" t="s">
        <v>7737</v>
      </c>
      <c r="C234" s="2645">
        <v>5573.47</v>
      </c>
      <c r="E234" s="2100" t="str">
        <f>VLOOKUP(A234,'Trial Balance - FPer'!$A$7:$B$1126,1,FALSE)</f>
        <v>0205/1012/0006</v>
      </c>
    </row>
    <row r="235" spans="1:5" ht="15" x14ac:dyDescent="0.25">
      <c r="A235" s="2644" t="s">
        <v>5235</v>
      </c>
      <c r="B235" s="2644" t="s">
        <v>6132</v>
      </c>
      <c r="C235" s="2645">
        <v>2121.75</v>
      </c>
      <c r="E235" s="2100" t="str">
        <f>VLOOKUP(A235,'Trial Balance - FPer'!$A$7:$B$1126,1,FALSE)</f>
        <v>0205/1050/0003</v>
      </c>
    </row>
    <row r="236" spans="1:5" ht="15" x14ac:dyDescent="0.25">
      <c r="A236" s="2644" t="s">
        <v>5236</v>
      </c>
      <c r="B236" s="2644" t="s">
        <v>7738</v>
      </c>
      <c r="C236" s="2645">
        <v>2121.75</v>
      </c>
      <c r="E236" s="2100" t="str">
        <f>VLOOKUP(A236,'Trial Balance - FPer'!$A$7:$B$1126,1,FALSE)</f>
        <v>0205/1050/0004</v>
      </c>
    </row>
    <row r="237" spans="1:5" ht="15" x14ac:dyDescent="0.25">
      <c r="A237" s="2644" t="s">
        <v>5237</v>
      </c>
      <c r="B237" s="2644" t="s">
        <v>6133</v>
      </c>
      <c r="C237" s="2645">
        <v>37646.58</v>
      </c>
      <c r="E237" s="2100" t="str">
        <f>VLOOKUP(A237,'Trial Balance - FPer'!$A$7:$B$1126,1,FALSE)</f>
        <v>0205/1050/0005</v>
      </c>
    </row>
    <row r="238" spans="1:5" ht="15" x14ac:dyDescent="0.25">
      <c r="A238" s="2644" t="s">
        <v>5238</v>
      </c>
      <c r="B238" s="2644" t="s">
        <v>6134</v>
      </c>
      <c r="C238" s="2645">
        <v>169946.04</v>
      </c>
      <c r="E238" s="2100" t="str">
        <f>VLOOKUP(A238,'Trial Balance - FPer'!$A$7:$B$1126,1,FALSE)</f>
        <v>0205/1050/0006</v>
      </c>
    </row>
    <row r="239" spans="1:5" ht="15" x14ac:dyDescent="0.25">
      <c r="A239" s="2644" t="s">
        <v>5239</v>
      </c>
      <c r="B239" s="2644" t="s">
        <v>6135</v>
      </c>
      <c r="C239" s="2645">
        <v>18127.32</v>
      </c>
      <c r="E239" s="2100" t="str">
        <f>VLOOKUP(A239,'Trial Balance - FPer'!$A$7:$B$1126,1,FALSE)</f>
        <v>0205/1051/0003</v>
      </c>
    </row>
    <row r="240" spans="1:5" ht="15" x14ac:dyDescent="0.25">
      <c r="A240" s="2644" t="s">
        <v>5240</v>
      </c>
      <c r="B240" s="2644" t="s">
        <v>6136</v>
      </c>
      <c r="C240" s="2645">
        <v>18127.32</v>
      </c>
      <c r="E240" s="2100" t="str">
        <f>VLOOKUP(A240,'Trial Balance - FPer'!$A$7:$B$1126,1,FALSE)</f>
        <v>0205/1051/0004</v>
      </c>
    </row>
    <row r="241" spans="1:5" ht="15" x14ac:dyDescent="0.25">
      <c r="A241" s="2644" t="s">
        <v>5241</v>
      </c>
      <c r="B241" s="2644" t="s">
        <v>6137</v>
      </c>
      <c r="C241" s="2645">
        <v>54984.39</v>
      </c>
      <c r="E241" s="2100" t="str">
        <f>VLOOKUP(A241,'Trial Balance - FPer'!$A$7:$B$1126,1,FALSE)</f>
        <v>0205/1051/0005</v>
      </c>
    </row>
    <row r="242" spans="1:5" ht="15" x14ac:dyDescent="0.25">
      <c r="A242" s="2644" t="s">
        <v>5242</v>
      </c>
      <c r="B242" s="2644" t="s">
        <v>6138</v>
      </c>
      <c r="C242" s="2645">
        <v>244959.04</v>
      </c>
      <c r="E242" s="2100" t="str">
        <f>VLOOKUP(A242,'Trial Balance - FPer'!$A$7:$B$1126,1,FALSE)</f>
        <v>0205/1051/0006</v>
      </c>
    </row>
    <row r="243" spans="1:5" ht="15" x14ac:dyDescent="0.25">
      <c r="A243" s="2644" t="s">
        <v>5243</v>
      </c>
      <c r="B243" s="2644" t="s">
        <v>6139</v>
      </c>
      <c r="C243" s="2645">
        <v>1219.3900000000001</v>
      </c>
      <c r="E243" s="2100" t="str">
        <f>VLOOKUP(A243,'Trial Balance - FPer'!$A$7:$B$1126,1,FALSE)</f>
        <v>0205/1052/0003</v>
      </c>
    </row>
    <row r="244" spans="1:5" ht="15" x14ac:dyDescent="0.25">
      <c r="A244" s="2644" t="s">
        <v>5244</v>
      </c>
      <c r="B244" s="2644" t="s">
        <v>6140</v>
      </c>
      <c r="C244" s="2645">
        <v>1219.3900000000001</v>
      </c>
      <c r="E244" s="2100" t="str">
        <f>VLOOKUP(A244,'Trial Balance - FPer'!$A$7:$B$1126,1,FALSE)</f>
        <v>0205/1052/0004</v>
      </c>
    </row>
    <row r="245" spans="1:5" ht="15" x14ac:dyDescent="0.25">
      <c r="A245" s="2644" t="s">
        <v>5245</v>
      </c>
      <c r="B245" s="2644" t="s">
        <v>6141</v>
      </c>
      <c r="C245" s="2645">
        <v>1889.29</v>
      </c>
      <c r="E245" s="2100" t="str">
        <f>VLOOKUP(A245,'Trial Balance - FPer'!$A$7:$B$1126,1,FALSE)</f>
        <v>0205/1052/0005</v>
      </c>
    </row>
    <row r="246" spans="1:5" ht="15" x14ac:dyDescent="0.25">
      <c r="A246" s="2644" t="s">
        <v>5246</v>
      </c>
      <c r="B246" s="2644" t="s">
        <v>6142</v>
      </c>
      <c r="C246" s="2645">
        <v>12587.43</v>
      </c>
      <c r="E246" s="2100" t="str">
        <f>VLOOKUP(A246,'Trial Balance - FPer'!$A$7:$B$1126,1,FALSE)</f>
        <v>0205/1052/0006</v>
      </c>
    </row>
    <row r="247" spans="1:5" ht="15" x14ac:dyDescent="0.25">
      <c r="A247" s="2644" t="s">
        <v>5247</v>
      </c>
      <c r="B247" s="2644" t="s">
        <v>7739</v>
      </c>
      <c r="C247" s="2645">
        <v>9640.48</v>
      </c>
      <c r="E247" s="2100" t="str">
        <f>VLOOKUP(A247,'Trial Balance - FPer'!$A$7:$B$1126,1,FALSE)</f>
        <v>0205/1055/0006</v>
      </c>
    </row>
    <row r="248" spans="1:5" ht="15" x14ac:dyDescent="0.25">
      <c r="A248" s="2644" t="s">
        <v>5253</v>
      </c>
      <c r="B248" s="2644" t="s">
        <v>5113</v>
      </c>
      <c r="C248" s="2645">
        <v>220895.52</v>
      </c>
      <c r="E248" s="2100" t="str">
        <f>VLOOKUP(A248,'Trial Balance - FPer'!$A$7:$B$1126,1,FALSE)</f>
        <v>0205/6511/0006</v>
      </c>
    </row>
    <row r="249" spans="1:5" ht="15" x14ac:dyDescent="0.25">
      <c r="A249" s="2644" t="s">
        <v>5254</v>
      </c>
      <c r="B249" s="2644" t="s">
        <v>6143</v>
      </c>
      <c r="C249" s="2645">
        <v>2050.79</v>
      </c>
      <c r="E249" s="2100" t="str">
        <f>VLOOKUP(A249,'Trial Balance - FPer'!$A$7:$B$1126,1,FALSE)</f>
        <v>0205/6514/0003</v>
      </c>
    </row>
    <row r="250" spans="1:5" ht="15" x14ac:dyDescent="0.25">
      <c r="A250" s="2644" t="s">
        <v>5255</v>
      </c>
      <c r="B250" s="2644" t="s">
        <v>6143</v>
      </c>
      <c r="C250" s="2645">
        <v>21292.15</v>
      </c>
      <c r="E250" s="2100" t="str">
        <f>VLOOKUP(A250,'Trial Balance - FPer'!$A$7:$B$1126,1,FALSE)</f>
        <v>0205/6514/0004</v>
      </c>
    </row>
    <row r="251" spans="1:5" ht="15" x14ac:dyDescent="0.25">
      <c r="A251" s="2644" t="s">
        <v>5257</v>
      </c>
      <c r="B251" s="2644" t="s">
        <v>6144</v>
      </c>
      <c r="C251" s="2645">
        <v>13410.58</v>
      </c>
      <c r="E251" s="2100" t="str">
        <f>VLOOKUP(A251,'Trial Balance - FPer'!$A$7:$B$1126,1,FALSE)</f>
        <v>0205/6514/0006</v>
      </c>
    </row>
    <row r="252" spans="1:5" ht="15" x14ac:dyDescent="0.25">
      <c r="A252" s="2644" t="s">
        <v>5258</v>
      </c>
      <c r="B252" s="2644" t="s">
        <v>5259</v>
      </c>
      <c r="C252" s="2645">
        <v>206085</v>
      </c>
      <c r="E252" s="2100" t="str">
        <f>VLOOKUP(A252,'Trial Balance - FPer'!$A$7:$B$1126,1,FALSE)</f>
        <v>0205/6518/0005</v>
      </c>
    </row>
    <row r="253" spans="1:5" ht="15" x14ac:dyDescent="0.25">
      <c r="A253" s="2644" t="s">
        <v>5260</v>
      </c>
      <c r="B253" s="2644" t="s">
        <v>4857</v>
      </c>
      <c r="C253" s="2645">
        <v>0</v>
      </c>
      <c r="E253" s="2100" t="str">
        <f>VLOOKUP(A253,'Trial Balance - FPer'!$A$7:$B$1126,1,FALSE)</f>
        <v>0205/6519/0006</v>
      </c>
    </row>
    <row r="254" spans="1:5" ht="15" x14ac:dyDescent="0.25">
      <c r="A254" s="2644" t="s">
        <v>5264</v>
      </c>
      <c r="B254" s="2644" t="s">
        <v>6145</v>
      </c>
      <c r="C254" s="2645">
        <v>24984.1</v>
      </c>
      <c r="E254" s="2100" t="str">
        <f>VLOOKUP(A254,'Trial Balance - FPer'!$A$7:$B$1126,1,FALSE)</f>
        <v>0205/6522/0006</v>
      </c>
    </row>
    <row r="255" spans="1:5" ht="15" x14ac:dyDescent="0.25">
      <c r="A255" s="2644" t="s">
        <v>5265</v>
      </c>
      <c r="B255" s="2644" t="s">
        <v>7740</v>
      </c>
      <c r="C255" s="2645">
        <v>186.08</v>
      </c>
      <c r="E255" s="2100" t="str">
        <f>VLOOKUP(A255,'Trial Balance - FPer'!$A$7:$B$1126,1,FALSE)</f>
        <v>0205/6525/0005</v>
      </c>
    </row>
    <row r="256" spans="1:5" ht="15" x14ac:dyDescent="0.25">
      <c r="A256" s="2644" t="s">
        <v>5266</v>
      </c>
      <c r="B256" s="2644" t="s">
        <v>6146</v>
      </c>
      <c r="C256" s="2645">
        <v>3038.53</v>
      </c>
      <c r="E256" s="2100" t="str">
        <f>VLOOKUP(A256,'Trial Balance - FPer'!$A$7:$B$1126,1,FALSE)</f>
        <v>0205/6525/0006</v>
      </c>
    </row>
    <row r="257" spans="1:5" ht="15" x14ac:dyDescent="0.25">
      <c r="A257" s="2644" t="s">
        <v>5267</v>
      </c>
      <c r="B257" s="2644" t="s">
        <v>6147</v>
      </c>
      <c r="C257" s="2645">
        <v>197461.19</v>
      </c>
      <c r="E257" s="2100" t="str">
        <f>VLOOKUP(A257,'Trial Balance - FPer'!$A$7:$B$1126,1,FALSE)</f>
        <v>0205/6528/0006</v>
      </c>
    </row>
    <row r="258" spans="1:5" ht="15" x14ac:dyDescent="0.25">
      <c r="A258" s="2644" t="s">
        <v>5268</v>
      </c>
      <c r="B258" s="2644" t="s">
        <v>5269</v>
      </c>
      <c r="C258" s="2645">
        <v>2010707.82</v>
      </c>
      <c r="E258" s="2100" t="str">
        <f>VLOOKUP(A258,'Trial Balance - FPer'!$A$7:$B$1126,1,FALSE)</f>
        <v>0205/6529/0006</v>
      </c>
    </row>
    <row r="259" spans="1:5" ht="15" x14ac:dyDescent="0.25">
      <c r="A259" s="2644" t="s">
        <v>5270</v>
      </c>
      <c r="B259" s="2644" t="s">
        <v>6148</v>
      </c>
      <c r="C259" s="2645">
        <v>2067.98</v>
      </c>
      <c r="E259" s="2100" t="str">
        <f>VLOOKUP(A259,'Trial Balance - FPer'!$A$7:$B$1126,1,FALSE)</f>
        <v>0205/6534/0003</v>
      </c>
    </row>
    <row r="260" spans="1:5" ht="15" x14ac:dyDescent="0.25">
      <c r="A260" s="2644" t="s">
        <v>5272</v>
      </c>
      <c r="B260" s="2644" t="s">
        <v>7741</v>
      </c>
      <c r="C260" s="2645">
        <v>3664.74</v>
      </c>
      <c r="E260" s="2100" t="str">
        <f>VLOOKUP(A260,'Trial Balance - FPer'!$A$7:$B$1126,1,FALSE)</f>
        <v>0205/6534/0005</v>
      </c>
    </row>
    <row r="261" spans="1:5" ht="15" x14ac:dyDescent="0.25">
      <c r="A261" s="2644" t="s">
        <v>5274</v>
      </c>
      <c r="B261" s="2644" t="s">
        <v>4873</v>
      </c>
      <c r="C261" s="2645">
        <v>515.54999999999995</v>
      </c>
      <c r="E261" s="2100" t="str">
        <f>VLOOKUP(A261,'Trial Balance - FPer'!$A$7:$B$1126,1,FALSE)</f>
        <v>0205/6535/0006</v>
      </c>
    </row>
    <row r="262" spans="1:5" ht="15" x14ac:dyDescent="0.25">
      <c r="A262" s="2644" t="s">
        <v>5275</v>
      </c>
      <c r="B262" s="2644" t="s">
        <v>6150</v>
      </c>
      <c r="C262" s="2645">
        <v>2067.98</v>
      </c>
      <c r="E262" s="2100" t="str">
        <f>VLOOKUP(A262,'Trial Balance - FPer'!$A$7:$B$1126,1,FALSE)</f>
        <v>0205/6538/0003</v>
      </c>
    </row>
    <row r="263" spans="1:5" ht="15" x14ac:dyDescent="0.25">
      <c r="A263" s="2644" t="s">
        <v>5278</v>
      </c>
      <c r="B263" s="2644" t="s">
        <v>6152</v>
      </c>
      <c r="C263" s="2645">
        <v>49178.8</v>
      </c>
      <c r="E263" s="2100" t="str">
        <f>VLOOKUP(A263,'Trial Balance - FPer'!$A$7:$B$1126,1,FALSE)</f>
        <v>0205/6539/0006</v>
      </c>
    </row>
    <row r="264" spans="1:5" ht="15" x14ac:dyDescent="0.25">
      <c r="A264" s="2644" t="s">
        <v>5279</v>
      </c>
      <c r="B264" s="2644" t="s">
        <v>6153</v>
      </c>
      <c r="C264" s="2645">
        <v>7289.44</v>
      </c>
      <c r="E264" s="2100" t="str">
        <f>VLOOKUP(A264,'Trial Balance - FPer'!$A$7:$B$1126,1,FALSE)</f>
        <v>0205/6541/0003</v>
      </c>
    </row>
    <row r="265" spans="1:5" ht="15" x14ac:dyDescent="0.25">
      <c r="A265" s="2644" t="s">
        <v>5280</v>
      </c>
      <c r="B265" s="2644" t="s">
        <v>6153</v>
      </c>
      <c r="C265" s="2645">
        <v>70555.8</v>
      </c>
      <c r="E265" s="2100" t="str">
        <f>VLOOKUP(A265,'Trial Balance - FPer'!$A$7:$B$1126,1,FALSE)</f>
        <v>0205/6541/0004</v>
      </c>
    </row>
    <row r="266" spans="1:5" ht="15" x14ac:dyDescent="0.25">
      <c r="A266" s="2644" t="s">
        <v>5281</v>
      </c>
      <c r="B266" s="2644" t="s">
        <v>6154</v>
      </c>
      <c r="C266" s="2645">
        <v>10780</v>
      </c>
      <c r="E266" s="2100" t="str">
        <f>VLOOKUP(A266,'Trial Balance - FPer'!$A$7:$B$1126,1,FALSE)</f>
        <v>0205/6541/0005</v>
      </c>
    </row>
    <row r="267" spans="1:5" ht="15" x14ac:dyDescent="0.25">
      <c r="A267" s="2644" t="s">
        <v>5282</v>
      </c>
      <c r="B267" s="2644" t="s">
        <v>6155</v>
      </c>
      <c r="C267" s="2645">
        <v>48076.42</v>
      </c>
      <c r="E267" s="2100" t="str">
        <f>VLOOKUP(A267,'Trial Balance - FPer'!$A$7:$B$1126,1,FALSE)</f>
        <v>0205/6541/0006</v>
      </c>
    </row>
    <row r="268" spans="1:5" ht="15" x14ac:dyDescent="0.25">
      <c r="A268" s="2644" t="s">
        <v>5284</v>
      </c>
      <c r="B268" s="2644" t="s">
        <v>6156</v>
      </c>
      <c r="C268" s="2645">
        <v>0</v>
      </c>
      <c r="E268" s="2100" t="str">
        <f>VLOOKUP(A268,'Trial Balance - FPer'!$A$7:$B$1126,1,FALSE)</f>
        <v>0205/6543/0006</v>
      </c>
    </row>
    <row r="269" spans="1:5" ht="15" x14ac:dyDescent="0.25">
      <c r="A269" s="2644" t="s">
        <v>5286</v>
      </c>
      <c r="B269" s="2644" t="s">
        <v>6157</v>
      </c>
      <c r="C269" s="2645">
        <v>0</v>
      </c>
      <c r="E269" s="2100" t="str">
        <f>VLOOKUP(A269,'Trial Balance - FPer'!$A$7:$B$1126,1,FALSE)</f>
        <v>0205/6544/0005</v>
      </c>
    </row>
    <row r="270" spans="1:5" ht="15" x14ac:dyDescent="0.25">
      <c r="A270" s="2644" t="s">
        <v>5287</v>
      </c>
      <c r="B270" s="2644" t="s">
        <v>6158</v>
      </c>
      <c r="C270" s="2645">
        <v>686070</v>
      </c>
      <c r="E270" s="2100" t="str">
        <f>VLOOKUP(A270,'Trial Balance - FPer'!$A$7:$B$1126,1,FALSE)</f>
        <v>0205/6544/0006</v>
      </c>
    </row>
    <row r="271" spans="1:5" ht="15" x14ac:dyDescent="0.25">
      <c r="A271" s="2644" t="s">
        <v>5291</v>
      </c>
      <c r="B271" s="2644" t="s">
        <v>6159</v>
      </c>
      <c r="C271" s="2645">
        <v>1694.18</v>
      </c>
      <c r="E271" s="2100" t="str">
        <f>VLOOKUP(A271,'Trial Balance - FPer'!$A$7:$B$1126,1,FALSE)</f>
        <v>0205/6554/0006</v>
      </c>
    </row>
    <row r="272" spans="1:5" ht="15" x14ac:dyDescent="0.25">
      <c r="A272" s="2644" t="s">
        <v>5292</v>
      </c>
      <c r="B272" s="2644" t="s">
        <v>7742</v>
      </c>
      <c r="C272" s="2645">
        <v>790000</v>
      </c>
      <c r="E272" s="2100" t="str">
        <f>VLOOKUP(A272,'Trial Balance - FPer'!$A$7:$B$1126,1,FALSE)</f>
        <v>0205/6556/0006</v>
      </c>
    </row>
    <row r="273" spans="1:5" ht="15" x14ac:dyDescent="0.25">
      <c r="A273" s="2644" t="s">
        <v>5293</v>
      </c>
      <c r="B273" s="2644" t="s">
        <v>4929</v>
      </c>
      <c r="C273" s="2645">
        <v>0</v>
      </c>
      <c r="E273" s="2100" t="e">
        <f>VLOOKUP(A273,'Trial Balance - FPer'!$A$7:$B$1126,1,FALSE)</f>
        <v>#N/A</v>
      </c>
    </row>
    <row r="274" spans="1:5" ht="15" x14ac:dyDescent="0.25">
      <c r="A274" s="2644" t="s">
        <v>5294</v>
      </c>
      <c r="B274" s="2644" t="s">
        <v>6160</v>
      </c>
      <c r="C274" s="2645">
        <v>800000</v>
      </c>
      <c r="E274" s="2100" t="str">
        <f>VLOOKUP(A274,'Trial Balance - FPer'!$A$7:$B$1126,1,FALSE)</f>
        <v>0205/6565/0006</v>
      </c>
    </row>
    <row r="275" spans="1:5" ht="15" x14ac:dyDescent="0.25">
      <c r="A275" s="2644" t="s">
        <v>5298</v>
      </c>
      <c r="B275" s="2644" t="s">
        <v>4893</v>
      </c>
      <c r="C275" s="2645">
        <v>412.57</v>
      </c>
      <c r="E275" s="2100" t="str">
        <f>VLOOKUP(A275,'Trial Balance - FPer'!$A$7:$B$1126,1,FALSE)</f>
        <v>0205/6803/0005</v>
      </c>
    </row>
    <row r="276" spans="1:5" ht="15" x14ac:dyDescent="0.25">
      <c r="A276" s="2644" t="s">
        <v>5299</v>
      </c>
      <c r="B276" s="2644" t="s">
        <v>4893</v>
      </c>
      <c r="C276" s="2645">
        <v>2067.98</v>
      </c>
      <c r="E276" s="2100" t="str">
        <f>VLOOKUP(A276,'Trial Balance - FPer'!$A$7:$B$1126,1,FALSE)</f>
        <v>0205/6803/0006</v>
      </c>
    </row>
    <row r="277" spans="1:5" ht="15" x14ac:dyDescent="0.25">
      <c r="A277" s="2644" t="s">
        <v>5301</v>
      </c>
      <c r="B277" s="2644" t="s">
        <v>6162</v>
      </c>
      <c r="C277" s="2645">
        <v>8599.26</v>
      </c>
      <c r="E277" s="2100" t="str">
        <f>VLOOKUP(A277,'Trial Balance - FPer'!$A$7:$B$1126,1,FALSE)</f>
        <v>0205/7501/0005</v>
      </c>
    </row>
    <row r="278" spans="1:5" ht="15" x14ac:dyDescent="0.25">
      <c r="A278" s="2644" t="s">
        <v>5302</v>
      </c>
      <c r="B278" s="2644" t="s">
        <v>6163</v>
      </c>
      <c r="C278" s="2645">
        <v>13818.53</v>
      </c>
      <c r="E278" s="2100" t="str">
        <f>VLOOKUP(A278,'Trial Balance - FPer'!$A$7:$B$1126,1,FALSE)</f>
        <v>0205/7501/0006</v>
      </c>
    </row>
    <row r="279" spans="1:5" ht="15" x14ac:dyDescent="0.25">
      <c r="A279" s="2644" t="s">
        <v>5304</v>
      </c>
      <c r="B279" s="2644" t="s">
        <v>6036</v>
      </c>
      <c r="C279" s="2645">
        <v>15212.05</v>
      </c>
      <c r="E279" s="2100" t="str">
        <f>VLOOKUP(A279,'Trial Balance - FPer'!$A$7:$B$1126,1,FALSE)</f>
        <v>0205/7502/0006</v>
      </c>
    </row>
    <row r="280" spans="1:5" ht="15" x14ac:dyDescent="0.25">
      <c r="A280" s="2644" t="s">
        <v>5305</v>
      </c>
      <c r="B280" s="2644" t="s">
        <v>6164</v>
      </c>
      <c r="C280" s="2645">
        <v>-13476.18</v>
      </c>
      <c r="E280" s="2100" t="str">
        <f>VLOOKUP(A280,'Trial Balance - FPer'!$A$7:$B$1126,1,FALSE)</f>
        <v>0205/8401/0003</v>
      </c>
    </row>
    <row r="281" spans="1:5" ht="15" x14ac:dyDescent="0.25">
      <c r="A281" s="2644" t="s">
        <v>5306</v>
      </c>
      <c r="B281" s="2644" t="s">
        <v>6164</v>
      </c>
      <c r="C281" s="2645">
        <v>-91847.95</v>
      </c>
      <c r="E281" s="2100" t="str">
        <f>VLOOKUP(A281,'Trial Balance - FPer'!$A$7:$B$1126,1,FALSE)</f>
        <v>0205/8401/0004</v>
      </c>
    </row>
    <row r="282" spans="1:5" ht="15" x14ac:dyDescent="0.25">
      <c r="A282" s="2644" t="s">
        <v>5307</v>
      </c>
      <c r="B282" s="2644" t="s">
        <v>6165</v>
      </c>
      <c r="C282" s="2645">
        <v>-353519.83</v>
      </c>
      <c r="E282" s="2100" t="str">
        <f>VLOOKUP(A282,'Trial Balance - FPer'!$A$7:$B$1126,1,FALSE)</f>
        <v>0205/8401/0005</v>
      </c>
    </row>
    <row r="283" spans="1:5" ht="15" x14ac:dyDescent="0.25">
      <c r="A283" s="2644" t="s">
        <v>5308</v>
      </c>
      <c r="B283" s="2644" t="s">
        <v>6166</v>
      </c>
      <c r="C283" s="2645">
        <v>-3971308.84</v>
      </c>
      <c r="E283" s="2100" t="str">
        <f>VLOOKUP(A283,'Trial Balance - FPer'!$A$7:$B$1126,1,FALSE)</f>
        <v>0205/8401/0006</v>
      </c>
    </row>
    <row r="284" spans="1:5" ht="15" x14ac:dyDescent="0.25">
      <c r="A284" s="2644" t="s">
        <v>5309</v>
      </c>
      <c r="B284" s="2644" t="s">
        <v>4934</v>
      </c>
      <c r="C284" s="2645">
        <v>-790000</v>
      </c>
      <c r="E284" s="2100" t="str">
        <f>VLOOKUP(A284,'Trial Balance - FPer'!$A$7:$B$1126,1,FALSE)</f>
        <v>0205/8404/0006</v>
      </c>
    </row>
    <row r="285" spans="1:5" ht="15" x14ac:dyDescent="0.25">
      <c r="A285" s="2644" t="s">
        <v>5310</v>
      </c>
      <c r="B285" s="2644" t="s">
        <v>7711</v>
      </c>
      <c r="C285" s="2645">
        <v>-272231.26</v>
      </c>
      <c r="E285" s="2100" t="str">
        <f>VLOOKUP(A285,'Trial Balance - FPer'!$A$7:$B$1126,1,FALSE)</f>
        <v>0205/8405/0003</v>
      </c>
    </row>
    <row r="286" spans="1:5" ht="15" x14ac:dyDescent="0.25">
      <c r="A286" s="2644" t="s">
        <v>5311</v>
      </c>
      <c r="B286" s="2644" t="s">
        <v>7711</v>
      </c>
      <c r="C286" s="2645">
        <v>-356194.07</v>
      </c>
      <c r="E286" s="2100" t="str">
        <f>VLOOKUP(A286,'Trial Balance - FPer'!$A$7:$B$1126,1,FALSE)</f>
        <v>0205/8405/0004</v>
      </c>
    </row>
    <row r="287" spans="1:5" ht="15" x14ac:dyDescent="0.25">
      <c r="A287" s="2644" t="s">
        <v>5317</v>
      </c>
      <c r="B287" s="2644" t="s">
        <v>6003</v>
      </c>
      <c r="C287" s="2645">
        <v>370964.33</v>
      </c>
      <c r="E287" s="2100" t="str">
        <f>VLOOKUP(A287,'Trial Balance - FPer'!$A$7:$B$1126,1,FALSE)</f>
        <v>0301/1000/0000</v>
      </c>
    </row>
    <row r="288" spans="1:5" ht="15" x14ac:dyDescent="0.25">
      <c r="A288" s="2644" t="s">
        <v>5318</v>
      </c>
      <c r="B288" s="2644" t="s">
        <v>6004</v>
      </c>
      <c r="C288" s="2645">
        <v>22923.43</v>
      </c>
      <c r="E288" s="2100" t="str">
        <f>VLOOKUP(A288,'Trial Balance - FPer'!$A$7:$B$1126,1,FALSE)</f>
        <v>0301/1002/0000</v>
      </c>
    </row>
    <row r="289" spans="1:5" ht="15" x14ac:dyDescent="0.25">
      <c r="A289" s="2644" t="s">
        <v>5319</v>
      </c>
      <c r="B289" s="2644" t="s">
        <v>6005</v>
      </c>
      <c r="C289" s="2645">
        <v>9811.3700000000008</v>
      </c>
      <c r="E289" s="2100" t="str">
        <f>VLOOKUP(A289,'Trial Balance - FPer'!$A$7:$B$1126,1,FALSE)</f>
        <v>0301/1003/0000</v>
      </c>
    </row>
    <row r="290" spans="1:5" ht="15" x14ac:dyDescent="0.25">
      <c r="A290" s="2644" t="s">
        <v>5320</v>
      </c>
      <c r="B290" s="2644" t="s">
        <v>6006</v>
      </c>
      <c r="C290" s="2645">
        <v>2363.7600000000002</v>
      </c>
      <c r="E290" s="2100" t="str">
        <f>VLOOKUP(A290,'Trial Balance - FPer'!$A$7:$B$1126,1,FALSE)</f>
        <v>0301/1005/0000</v>
      </c>
    </row>
    <row r="291" spans="1:5" ht="15" x14ac:dyDescent="0.25">
      <c r="A291" s="2644" t="s">
        <v>5322</v>
      </c>
      <c r="B291" s="2644" t="s">
        <v>6008</v>
      </c>
      <c r="C291" s="2645">
        <v>13624.23</v>
      </c>
      <c r="E291" s="2100" t="str">
        <f>VLOOKUP(A291,'Trial Balance - FPer'!$A$7:$B$1126,1,FALSE)</f>
        <v>0301/1007/0000</v>
      </c>
    </row>
    <row r="292" spans="1:5" ht="15" x14ac:dyDescent="0.25">
      <c r="A292" s="2644" t="s">
        <v>5323</v>
      </c>
      <c r="B292" s="2644" t="s">
        <v>6009</v>
      </c>
      <c r="C292" s="2645">
        <v>40123.65</v>
      </c>
      <c r="E292" s="2100" t="str">
        <f>VLOOKUP(A292,'Trial Balance - FPer'!$A$7:$B$1126,1,FALSE)</f>
        <v>0301/1009/0000</v>
      </c>
    </row>
    <row r="293" spans="1:5" ht="15" x14ac:dyDescent="0.25">
      <c r="A293" s="2644" t="s">
        <v>5324</v>
      </c>
      <c r="B293" s="2644" t="s">
        <v>6010</v>
      </c>
      <c r="C293" s="2645">
        <v>62.08</v>
      </c>
      <c r="E293" s="2100" t="str">
        <f>VLOOKUP(A293,'Trial Balance - FPer'!$A$7:$B$1126,1,FALSE)</f>
        <v>0301/1010/0000</v>
      </c>
    </row>
    <row r="294" spans="1:5" ht="15" x14ac:dyDescent="0.25">
      <c r="A294" s="2644" t="s">
        <v>5325</v>
      </c>
      <c r="B294" s="2644" t="s">
        <v>6011</v>
      </c>
      <c r="C294" s="2645">
        <v>1939.91</v>
      </c>
      <c r="E294" s="2100" t="str">
        <f>VLOOKUP(A294,'Trial Balance - FPer'!$A$7:$B$1126,1,FALSE)</f>
        <v>0301/1011/0000</v>
      </c>
    </row>
    <row r="295" spans="1:5" ht="15" x14ac:dyDescent="0.25">
      <c r="A295" s="2644" t="s">
        <v>5326</v>
      </c>
      <c r="B295" s="2644" t="s">
        <v>7710</v>
      </c>
      <c r="C295" s="2645">
        <v>5586.7</v>
      </c>
      <c r="E295" s="2100" t="str">
        <f>VLOOKUP(A295,'Trial Balance - FPer'!$A$7:$B$1126,1,FALSE)</f>
        <v>0301/1012/0000</v>
      </c>
    </row>
    <row r="296" spans="1:5" ht="15" x14ac:dyDescent="0.25">
      <c r="A296" s="2644" t="s">
        <v>5327</v>
      </c>
      <c r="B296" s="2644" t="s">
        <v>6012</v>
      </c>
      <c r="C296" s="2645">
        <v>16772.77</v>
      </c>
      <c r="E296" s="2100" t="str">
        <f>VLOOKUP(A296,'Trial Balance - FPer'!$A$7:$B$1126,1,FALSE)</f>
        <v>0301/1050/0000</v>
      </c>
    </row>
    <row r="297" spans="1:5" ht="15" x14ac:dyDescent="0.25">
      <c r="A297" s="2644" t="s">
        <v>5328</v>
      </c>
      <c r="B297" s="2644" t="s">
        <v>6013</v>
      </c>
      <c r="C297" s="2645">
        <v>38020.480000000003</v>
      </c>
      <c r="E297" s="2100" t="str">
        <f>VLOOKUP(A297,'Trial Balance - FPer'!$A$7:$B$1126,1,FALSE)</f>
        <v>0301/1051/0000</v>
      </c>
    </row>
    <row r="298" spans="1:5" ht="15" x14ac:dyDescent="0.25">
      <c r="A298" s="2644" t="s">
        <v>5329</v>
      </c>
      <c r="B298" s="2644" t="s">
        <v>6014</v>
      </c>
      <c r="C298" s="2645">
        <v>1619.39</v>
      </c>
      <c r="E298" s="2100" t="str">
        <f>VLOOKUP(A298,'Trial Balance - FPer'!$A$7:$B$1126,1,FALSE)</f>
        <v>0301/1052/0000</v>
      </c>
    </row>
    <row r="299" spans="1:5" ht="15" x14ac:dyDescent="0.25">
      <c r="A299" s="2644" t="s">
        <v>5330</v>
      </c>
      <c r="B299" s="2644" t="s">
        <v>7743</v>
      </c>
      <c r="C299" s="2645">
        <v>2310</v>
      </c>
      <c r="E299" s="2100" t="str">
        <f>VLOOKUP(A299,'Trial Balance - FPer'!$A$7:$B$1126,1,FALSE)</f>
        <v>0301/6500/0000</v>
      </c>
    </row>
    <row r="300" spans="1:5" ht="15" x14ac:dyDescent="0.25">
      <c r="A300" s="2644" t="s">
        <v>5334</v>
      </c>
      <c r="B300" s="2644" t="s">
        <v>6167</v>
      </c>
      <c r="C300" s="2645">
        <v>3575</v>
      </c>
      <c r="E300" s="2100" t="str">
        <f>VLOOKUP(A300,'Trial Balance - FPer'!$A$7:$B$1126,1,FALSE)</f>
        <v>0301/6505/0000</v>
      </c>
    </row>
    <row r="301" spans="1:5" ht="15" x14ac:dyDescent="0.25">
      <c r="A301" s="2644" t="s">
        <v>5337</v>
      </c>
      <c r="B301" s="2644" t="s">
        <v>6168</v>
      </c>
      <c r="C301" s="2645">
        <v>49658.95</v>
      </c>
      <c r="E301" s="2100" t="str">
        <f>VLOOKUP(A301,'Trial Balance - FPer'!$A$7:$B$1126,1,FALSE)</f>
        <v>0301/6509/0000</v>
      </c>
    </row>
    <row r="302" spans="1:5" ht="15" x14ac:dyDescent="0.25">
      <c r="A302" s="2644" t="s">
        <v>5338</v>
      </c>
      <c r="B302" s="2644" t="s">
        <v>6104</v>
      </c>
      <c r="C302" s="2645">
        <v>12415.54</v>
      </c>
      <c r="E302" s="2100" t="str">
        <f>VLOOKUP(A302,'Trial Balance - FPer'!$A$7:$B$1126,1,FALSE)</f>
        <v>0301/6511/0000</v>
      </c>
    </row>
    <row r="303" spans="1:5" ht="15" x14ac:dyDescent="0.25">
      <c r="A303" s="2644" t="s">
        <v>5339</v>
      </c>
      <c r="B303" s="2644" t="s">
        <v>6021</v>
      </c>
      <c r="C303" s="2645">
        <v>110</v>
      </c>
      <c r="E303" s="2100" t="str">
        <f>VLOOKUP(A303,'Trial Balance - FPer'!$A$7:$B$1126,1,FALSE)</f>
        <v>0301/6514/0000</v>
      </c>
    </row>
    <row r="304" spans="1:5" ht="15" x14ac:dyDescent="0.25">
      <c r="A304" s="2644" t="s">
        <v>5340</v>
      </c>
      <c r="B304" s="2644" t="s">
        <v>6105</v>
      </c>
      <c r="C304" s="2645">
        <v>412.57</v>
      </c>
      <c r="E304" s="2100" t="str">
        <f>VLOOKUP(A304,'Trial Balance - FPer'!$A$7:$B$1126,1,FALSE)</f>
        <v>0301/6525/0000</v>
      </c>
    </row>
    <row r="305" spans="1:5" ht="15" x14ac:dyDescent="0.25">
      <c r="A305" s="2644" t="s">
        <v>5341</v>
      </c>
      <c r="B305" s="2644" t="s">
        <v>4873</v>
      </c>
      <c r="C305" s="2645">
        <v>412.57</v>
      </c>
      <c r="E305" s="2100" t="str">
        <f>VLOOKUP(A305,'Trial Balance - FPer'!$A$7:$B$1126,1,FALSE)</f>
        <v>0301/6535/0000</v>
      </c>
    </row>
    <row r="306" spans="1:5" ht="15" x14ac:dyDescent="0.25">
      <c r="A306" s="2644" t="s">
        <v>5344</v>
      </c>
      <c r="B306" s="2644" t="s">
        <v>6029</v>
      </c>
      <c r="C306" s="2645">
        <v>150150</v>
      </c>
      <c r="E306" s="2100" t="str">
        <f>VLOOKUP(A306,'Trial Balance - FPer'!$A$7:$B$1126,1,FALSE)</f>
        <v>0301/6541/0000</v>
      </c>
    </row>
    <row r="307" spans="1:5" ht="15" x14ac:dyDescent="0.25">
      <c r="A307" s="2644" t="s">
        <v>5346</v>
      </c>
      <c r="B307" s="2644" t="s">
        <v>6030</v>
      </c>
      <c r="C307" s="2645">
        <v>64951.88</v>
      </c>
      <c r="E307" s="2100" t="str">
        <f>VLOOKUP(A307,'Trial Balance - FPer'!$A$7:$B$1126,1,FALSE)</f>
        <v>0301/6544/0000</v>
      </c>
    </row>
    <row r="308" spans="1:5" ht="15" x14ac:dyDescent="0.25">
      <c r="A308" s="2644" t="s">
        <v>5347</v>
      </c>
      <c r="B308" s="2644" t="s">
        <v>6744</v>
      </c>
      <c r="C308" s="2645">
        <v>10345.01</v>
      </c>
      <c r="E308" s="2100" t="str">
        <f>VLOOKUP(A308,'Trial Balance - FPer'!$A$7:$B$1126,1,FALSE)</f>
        <v>0301/6545/0000</v>
      </c>
    </row>
    <row r="309" spans="1:5" ht="15" x14ac:dyDescent="0.25">
      <c r="A309" s="2644" t="s">
        <v>5351</v>
      </c>
      <c r="B309" s="2644" t="s">
        <v>6033</v>
      </c>
      <c r="C309" s="2645">
        <v>412.57</v>
      </c>
      <c r="E309" s="2100" t="str">
        <f>VLOOKUP(A309,'Trial Balance - FPer'!$A$7:$B$1126,1,FALSE)</f>
        <v>0301/6554/0000</v>
      </c>
    </row>
    <row r="310" spans="1:5" ht="15" x14ac:dyDescent="0.25">
      <c r="A310" s="2644" t="s">
        <v>5353</v>
      </c>
      <c r="B310" s="2644" t="s">
        <v>6041</v>
      </c>
      <c r="C310" s="2645">
        <v>11822.03</v>
      </c>
      <c r="E310" s="2100" t="str">
        <f>VLOOKUP(A310,'Trial Balance - FPer'!$A$7:$B$1126,1,FALSE)</f>
        <v>0301/6565/0000</v>
      </c>
    </row>
    <row r="311" spans="1:5" ht="15" x14ac:dyDescent="0.25">
      <c r="A311" s="2644" t="s">
        <v>5355</v>
      </c>
      <c r="B311" s="2644" t="s">
        <v>4893</v>
      </c>
      <c r="C311" s="2645">
        <v>412.57</v>
      </c>
      <c r="E311" s="2100" t="str">
        <f>VLOOKUP(A311,'Trial Balance - FPer'!$A$7:$B$1126,1,FALSE)</f>
        <v>0301/6803/0000</v>
      </c>
    </row>
    <row r="312" spans="1:5" ht="15" x14ac:dyDescent="0.25">
      <c r="A312" s="2644" t="s">
        <v>5356</v>
      </c>
      <c r="B312" s="2644" t="s">
        <v>6035</v>
      </c>
      <c r="C312" s="2645">
        <v>5085.1899999999996</v>
      </c>
      <c r="E312" s="2100" t="str">
        <f>VLOOKUP(A312,'Trial Balance - FPer'!$A$7:$B$1126,1,FALSE)</f>
        <v>0301/7501/0000</v>
      </c>
    </row>
    <row r="313" spans="1:5" ht="15" x14ac:dyDescent="0.25">
      <c r="A313" s="2644" t="s">
        <v>5357</v>
      </c>
      <c r="B313" s="2644" t="s">
        <v>6036</v>
      </c>
      <c r="C313" s="2645">
        <v>5199.38</v>
      </c>
      <c r="E313" s="2100" t="str">
        <f>VLOOKUP(A313,'Trial Balance - FPer'!$A$7:$B$1126,1,FALSE)</f>
        <v>0301/7502/0000</v>
      </c>
    </row>
    <row r="314" spans="1:5" ht="15" x14ac:dyDescent="0.25">
      <c r="A314" s="2644" t="s">
        <v>5358</v>
      </c>
      <c r="B314" s="2644" t="s">
        <v>6037</v>
      </c>
      <c r="C314" s="2645">
        <v>-841085.33</v>
      </c>
      <c r="E314" s="2100" t="str">
        <f>VLOOKUP(A314,'Trial Balance - FPer'!$A$7:$B$1126,1,FALSE)</f>
        <v>0301/8401/0000</v>
      </c>
    </row>
    <row r="315" spans="1:5" ht="15" x14ac:dyDescent="0.25">
      <c r="A315" s="2644" t="s">
        <v>5360</v>
      </c>
      <c r="B315" s="2644" t="s">
        <v>6003</v>
      </c>
      <c r="C315" s="2645">
        <v>828673.45</v>
      </c>
      <c r="E315" s="2100" t="str">
        <f>VLOOKUP(A315,'Trial Balance - FPer'!$A$7:$B$1126,1,FALSE)</f>
        <v>0501/1000/0000</v>
      </c>
    </row>
    <row r="316" spans="1:5" ht="15" x14ac:dyDescent="0.25">
      <c r="A316" s="2644" t="s">
        <v>5361</v>
      </c>
      <c r="B316" s="2644" t="s">
        <v>6004</v>
      </c>
      <c r="C316" s="2645">
        <v>123329.85</v>
      </c>
      <c r="E316" s="2100" t="str">
        <f>VLOOKUP(A316,'Trial Balance - FPer'!$A$7:$B$1126,1,FALSE)</f>
        <v>0501/1002/0000</v>
      </c>
    </row>
    <row r="317" spans="1:5" ht="15" x14ac:dyDescent="0.25">
      <c r="A317" s="2644" t="s">
        <v>5362</v>
      </c>
      <c r="B317" s="2644" t="s">
        <v>6008</v>
      </c>
      <c r="C317" s="2645">
        <v>6463.57</v>
      </c>
      <c r="E317" s="2100" t="str">
        <f>VLOOKUP(A317,'Trial Balance - FPer'!$A$7:$B$1126,1,FALSE)</f>
        <v>0501/1007/0000</v>
      </c>
    </row>
    <row r="318" spans="1:5" ht="15" x14ac:dyDescent="0.25">
      <c r="A318" s="2644" t="s">
        <v>5363</v>
      </c>
      <c r="B318" s="2644" t="s">
        <v>6010</v>
      </c>
      <c r="C318" s="2645">
        <v>434.55</v>
      </c>
      <c r="E318" s="2100" t="str">
        <f>VLOOKUP(A318,'Trial Balance - FPer'!$A$7:$B$1126,1,FALSE)</f>
        <v>0501/1010/0000</v>
      </c>
    </row>
    <row r="319" spans="1:5" ht="15" x14ac:dyDescent="0.25">
      <c r="A319" s="2644" t="s">
        <v>5364</v>
      </c>
      <c r="B319" s="2644" t="s">
        <v>6011</v>
      </c>
      <c r="C319" s="2645">
        <v>8975.67</v>
      </c>
      <c r="E319" s="2100" t="str">
        <f>VLOOKUP(A319,'Trial Balance - FPer'!$A$7:$B$1126,1,FALSE)</f>
        <v>0501/1011/0000</v>
      </c>
    </row>
    <row r="320" spans="1:5" ht="15" x14ac:dyDescent="0.25">
      <c r="A320" s="2644" t="s">
        <v>5365</v>
      </c>
      <c r="B320" s="2644" t="s">
        <v>7710</v>
      </c>
      <c r="C320" s="2645">
        <v>5373.49</v>
      </c>
      <c r="E320" s="2100" t="str">
        <f>VLOOKUP(A320,'Trial Balance - FPer'!$A$7:$B$1126,1,FALSE)</f>
        <v>0501/1012/0000</v>
      </c>
    </row>
    <row r="321" spans="1:5" ht="15" x14ac:dyDescent="0.25">
      <c r="A321" s="2644" t="s">
        <v>5366</v>
      </c>
      <c r="B321" s="2644" t="s">
        <v>6012</v>
      </c>
      <c r="C321" s="2645">
        <v>52481.73</v>
      </c>
      <c r="E321" s="2100" t="str">
        <f>VLOOKUP(A321,'Trial Balance - FPer'!$A$7:$B$1126,1,FALSE)</f>
        <v>0501/1050/0000</v>
      </c>
    </row>
    <row r="322" spans="1:5" ht="15" x14ac:dyDescent="0.25">
      <c r="A322" s="2644" t="s">
        <v>5367</v>
      </c>
      <c r="B322" s="2644" t="s">
        <v>6013</v>
      </c>
      <c r="C322" s="2645">
        <v>157330.13</v>
      </c>
      <c r="E322" s="2100" t="str">
        <f>VLOOKUP(A322,'Trial Balance - FPer'!$A$7:$B$1126,1,FALSE)</f>
        <v>0501/1051/0000</v>
      </c>
    </row>
    <row r="323" spans="1:5" ht="15" x14ac:dyDescent="0.25">
      <c r="A323" s="2644" t="s">
        <v>5368</v>
      </c>
      <c r="B323" s="2644" t="s">
        <v>6014</v>
      </c>
      <c r="C323" s="2645">
        <v>8594.68</v>
      </c>
      <c r="E323" s="2100" t="str">
        <f>VLOOKUP(A323,'Trial Balance - FPer'!$A$7:$B$1126,1,FALSE)</f>
        <v>0501/1052/0000</v>
      </c>
    </row>
    <row r="324" spans="1:5" ht="15" x14ac:dyDescent="0.25">
      <c r="A324" s="2644" t="s">
        <v>5369</v>
      </c>
      <c r="B324" s="2644" t="s">
        <v>6021</v>
      </c>
      <c r="C324" s="2645">
        <v>4551.09</v>
      </c>
      <c r="E324" s="2100" t="str">
        <f>VLOOKUP(A324,'Trial Balance - FPer'!$A$7:$B$1126,1,FALSE)</f>
        <v>0501/6514/0000</v>
      </c>
    </row>
    <row r="325" spans="1:5" ht="15" x14ac:dyDescent="0.25">
      <c r="A325" s="2644" t="s">
        <v>5371</v>
      </c>
      <c r="B325" s="2644" t="s">
        <v>6105</v>
      </c>
      <c r="C325" s="2645">
        <v>205.96</v>
      </c>
      <c r="E325" s="2100" t="str">
        <f>VLOOKUP(A325,'Trial Balance - FPer'!$A$7:$B$1126,1,FALSE)</f>
        <v>0501/6525/0000</v>
      </c>
    </row>
    <row r="326" spans="1:5" ht="15" x14ac:dyDescent="0.25">
      <c r="A326" s="2644" t="s">
        <v>5373</v>
      </c>
      <c r="B326" s="2644" t="s">
        <v>6029</v>
      </c>
      <c r="C326" s="2645">
        <v>827.71</v>
      </c>
      <c r="E326" s="2100" t="str">
        <f>VLOOKUP(A326,'Trial Balance - FPer'!$A$7:$B$1126,1,FALSE)</f>
        <v>0501/6541/0000</v>
      </c>
    </row>
    <row r="327" spans="1:5" ht="15" x14ac:dyDescent="0.25">
      <c r="A327" s="2644" t="s">
        <v>5374</v>
      </c>
      <c r="B327" s="2644" t="s">
        <v>6030</v>
      </c>
      <c r="C327" s="2645">
        <v>13364.23</v>
      </c>
      <c r="E327" s="2100" t="str">
        <f>VLOOKUP(A327,'Trial Balance - FPer'!$A$7:$B$1126,1,FALSE)</f>
        <v>0501/6544/0000</v>
      </c>
    </row>
    <row r="328" spans="1:5" ht="15" x14ac:dyDescent="0.25">
      <c r="A328" s="2644" t="s">
        <v>5375</v>
      </c>
      <c r="B328" s="2644" t="s">
        <v>7744</v>
      </c>
      <c r="C328" s="2645">
        <v>2067.98</v>
      </c>
      <c r="E328" s="2100" t="str">
        <f>VLOOKUP(A328,'Trial Balance - FPer'!$A$7:$B$1126,1,FALSE)</f>
        <v>0501/6548/0000</v>
      </c>
    </row>
    <row r="329" spans="1:5" ht="15" x14ac:dyDescent="0.25">
      <c r="A329" s="2644" t="s">
        <v>5377</v>
      </c>
      <c r="B329" s="2644" t="s">
        <v>6033</v>
      </c>
      <c r="C329" s="2645">
        <v>264</v>
      </c>
      <c r="E329" s="2100" t="str">
        <f>VLOOKUP(A329,'Trial Balance - FPer'!$A$7:$B$1126,1,FALSE)</f>
        <v>0501/6554/0000</v>
      </c>
    </row>
    <row r="330" spans="1:5" ht="15" x14ac:dyDescent="0.25">
      <c r="A330" s="2644" t="s">
        <v>5378</v>
      </c>
      <c r="B330" s="2644" t="s">
        <v>4893</v>
      </c>
      <c r="C330" s="2645">
        <v>12415.54</v>
      </c>
      <c r="E330" s="2100" t="str">
        <f>VLOOKUP(A330,'Trial Balance - FPer'!$A$7:$B$1126,1,FALSE)</f>
        <v>0501/6803/0000</v>
      </c>
    </row>
    <row r="331" spans="1:5" ht="15" x14ac:dyDescent="0.25">
      <c r="A331" s="2644" t="s">
        <v>5379</v>
      </c>
      <c r="B331" s="2644" t="s">
        <v>6035</v>
      </c>
      <c r="C331" s="2645">
        <v>10095.32</v>
      </c>
      <c r="E331" s="2100" t="str">
        <f>VLOOKUP(A331,'Trial Balance - FPer'!$A$7:$B$1126,1,FALSE)</f>
        <v>0501/7501/0000</v>
      </c>
    </row>
    <row r="332" spans="1:5" ht="15" x14ac:dyDescent="0.25">
      <c r="A332" s="2644" t="s">
        <v>5380</v>
      </c>
      <c r="B332" s="2644" t="s">
        <v>6036</v>
      </c>
      <c r="C332" s="2645">
        <v>9011.5300000000007</v>
      </c>
      <c r="E332" s="2100" t="str">
        <f>VLOOKUP(A332,'Trial Balance - FPer'!$A$7:$B$1126,1,FALSE)</f>
        <v>0501/7502/0000</v>
      </c>
    </row>
    <row r="333" spans="1:5" ht="15" x14ac:dyDescent="0.25">
      <c r="A333" s="2644" t="s">
        <v>5383</v>
      </c>
      <c r="B333" s="2644" t="s">
        <v>6037</v>
      </c>
      <c r="C333" s="2645">
        <v>-1232016.3400000001</v>
      </c>
      <c r="E333" s="2100" t="str">
        <f>VLOOKUP(A333,'Trial Balance - FPer'!$A$7:$B$1126,1,FALSE)</f>
        <v>0501/8401/0000</v>
      </c>
    </row>
    <row r="334" spans="1:5" ht="15" x14ac:dyDescent="0.25">
      <c r="A334" s="2644" t="s">
        <v>5384</v>
      </c>
      <c r="B334" s="2644" t="s">
        <v>6169</v>
      </c>
      <c r="C334" s="2645">
        <v>-28.6</v>
      </c>
      <c r="E334" s="2100" t="str">
        <f>VLOOKUP(A334,'Trial Balance - FPer'!$A$7:$B$1126,1,FALSE)</f>
        <v>0501/8503/0000</v>
      </c>
    </row>
    <row r="335" spans="1:5" ht="15" x14ac:dyDescent="0.25">
      <c r="A335" s="2644" t="s">
        <v>5387</v>
      </c>
      <c r="B335" s="2644" t="s">
        <v>6003</v>
      </c>
      <c r="C335" s="2645">
        <v>209603.01</v>
      </c>
      <c r="E335" s="2100" t="str">
        <f>VLOOKUP(A335,'Trial Balance - FPer'!$A$7:$B$1126,1,FALSE)</f>
        <v>0503/1000/0000</v>
      </c>
    </row>
    <row r="336" spans="1:5" ht="15" x14ac:dyDescent="0.25">
      <c r="A336" s="2644" t="s">
        <v>5388</v>
      </c>
      <c r="B336" s="2644" t="s">
        <v>6004</v>
      </c>
      <c r="C336" s="2645">
        <v>20007.919999999998</v>
      </c>
      <c r="E336" s="2100" t="str">
        <f>VLOOKUP(A336,'Trial Balance - FPer'!$A$7:$B$1126,1,FALSE)</f>
        <v>0503/1002/0000</v>
      </c>
    </row>
    <row r="337" spans="1:5" ht="15" x14ac:dyDescent="0.25">
      <c r="A337" s="2644" t="s">
        <v>5390</v>
      </c>
      <c r="B337" s="2644" t="s">
        <v>6008</v>
      </c>
      <c r="C337" s="2645">
        <v>2686.11</v>
      </c>
      <c r="E337" s="2100" t="str">
        <f>VLOOKUP(A337,'Trial Balance - FPer'!$A$7:$B$1126,1,FALSE)</f>
        <v>0503/1007/0000</v>
      </c>
    </row>
    <row r="338" spans="1:5" ht="15" x14ac:dyDescent="0.25">
      <c r="A338" s="2644" t="s">
        <v>5391</v>
      </c>
      <c r="B338" s="2644" t="s">
        <v>6010</v>
      </c>
      <c r="C338" s="2645">
        <v>186.23</v>
      </c>
      <c r="E338" s="2100" t="str">
        <f>VLOOKUP(A338,'Trial Balance - FPer'!$A$7:$B$1126,1,FALSE)</f>
        <v>0503/1010/0000</v>
      </c>
    </row>
    <row r="339" spans="1:5" ht="15" x14ac:dyDescent="0.25">
      <c r="A339" s="2644" t="s">
        <v>5392</v>
      </c>
      <c r="B339" s="2644" t="s">
        <v>6011</v>
      </c>
      <c r="C339" s="2645">
        <v>2146.04</v>
      </c>
      <c r="E339" s="2100" t="str">
        <f>VLOOKUP(A339,'Trial Balance - FPer'!$A$7:$B$1126,1,FALSE)</f>
        <v>0503/1011/0000</v>
      </c>
    </row>
    <row r="340" spans="1:5" ht="15" x14ac:dyDescent="0.25">
      <c r="A340" s="2644" t="s">
        <v>5393</v>
      </c>
      <c r="B340" s="2644" t="s">
        <v>7710</v>
      </c>
      <c r="C340" s="2645">
        <v>2234.4299999999998</v>
      </c>
      <c r="E340" s="2100" t="str">
        <f>VLOOKUP(A340,'Trial Balance - FPer'!$A$7:$B$1126,1,FALSE)</f>
        <v>0503/1012/0000</v>
      </c>
    </row>
    <row r="341" spans="1:5" ht="15" x14ac:dyDescent="0.25">
      <c r="A341" s="2644" t="s">
        <v>5394</v>
      </c>
      <c r="B341" s="2644" t="s">
        <v>6012</v>
      </c>
      <c r="C341" s="2645">
        <v>11510.19</v>
      </c>
      <c r="E341" s="2100" t="str">
        <f>VLOOKUP(A341,'Trial Balance - FPer'!$A$7:$B$1126,1,FALSE)</f>
        <v>0503/1050/0000</v>
      </c>
    </row>
    <row r="342" spans="1:5" ht="15" x14ac:dyDescent="0.25">
      <c r="A342" s="2644" t="s">
        <v>5395</v>
      </c>
      <c r="B342" s="2644" t="s">
        <v>6013</v>
      </c>
      <c r="C342" s="2645">
        <v>37961.82</v>
      </c>
      <c r="E342" s="2100" t="str">
        <f>VLOOKUP(A342,'Trial Balance - FPer'!$A$7:$B$1126,1,FALSE)</f>
        <v>0503/1051/0000</v>
      </c>
    </row>
    <row r="343" spans="1:5" ht="15" x14ac:dyDescent="0.25">
      <c r="A343" s="2644" t="s">
        <v>5396</v>
      </c>
      <c r="B343" s="2644" t="s">
        <v>6014</v>
      </c>
      <c r="C343" s="2645">
        <v>2411.16</v>
      </c>
      <c r="E343" s="2100" t="str">
        <f>VLOOKUP(A343,'Trial Balance - FPer'!$A$7:$B$1126,1,FALSE)</f>
        <v>0503/1052/0000</v>
      </c>
    </row>
    <row r="344" spans="1:5" ht="15" x14ac:dyDescent="0.25">
      <c r="A344" s="2644" t="s">
        <v>5401</v>
      </c>
      <c r="B344" s="2644" t="s">
        <v>7745</v>
      </c>
      <c r="C344" s="2645">
        <v>5343.71</v>
      </c>
      <c r="E344" s="2100" t="str">
        <f>VLOOKUP(A344,'Trial Balance - FPer'!$A$7:$B$1126,1,FALSE)</f>
        <v>0503/6531/0000</v>
      </c>
    </row>
    <row r="345" spans="1:5" ht="15" x14ac:dyDescent="0.25">
      <c r="A345" s="2644" t="s">
        <v>5402</v>
      </c>
      <c r="B345" s="2644" t="s">
        <v>4873</v>
      </c>
      <c r="C345" s="2645">
        <v>212.94</v>
      </c>
      <c r="E345" s="2100" t="str">
        <f>VLOOKUP(A345,'Trial Balance - FPer'!$A$7:$B$1126,1,FALSE)</f>
        <v>0503/6535/0000</v>
      </c>
    </row>
    <row r="346" spans="1:5" ht="15" x14ac:dyDescent="0.25">
      <c r="A346" s="2644" t="s">
        <v>5403</v>
      </c>
      <c r="B346" s="2644" t="s">
        <v>6171</v>
      </c>
      <c r="C346" s="2645">
        <v>80850</v>
      </c>
      <c r="E346" s="2100" t="str">
        <f>VLOOKUP(A346,'Trial Balance - FPer'!$A$7:$B$1126,1,FALSE)</f>
        <v>0503/6543/0000</v>
      </c>
    </row>
    <row r="347" spans="1:5" ht="15" x14ac:dyDescent="0.25">
      <c r="A347" s="2644" t="s">
        <v>5404</v>
      </c>
      <c r="B347" s="2644" t="s">
        <v>4883</v>
      </c>
      <c r="C347" s="2645">
        <v>194.3</v>
      </c>
      <c r="E347" s="2100" t="str">
        <f>VLOOKUP(A347,'Trial Balance - FPer'!$A$7:$B$1126,1,FALSE)</f>
        <v>0503/6546/0000</v>
      </c>
    </row>
    <row r="348" spans="1:5" ht="15" x14ac:dyDescent="0.25">
      <c r="A348" s="2644" t="s">
        <v>5407</v>
      </c>
      <c r="B348" s="2644" t="s">
        <v>6033</v>
      </c>
      <c r="C348" s="2645">
        <v>6421.18</v>
      </c>
      <c r="E348" s="2100" t="str">
        <f>VLOOKUP(A348,'Trial Balance - FPer'!$A$7:$B$1126,1,FALSE)</f>
        <v>0503/6554/0000</v>
      </c>
    </row>
    <row r="349" spans="1:5" ht="15" x14ac:dyDescent="0.25">
      <c r="A349" s="2644" t="s">
        <v>5408</v>
      </c>
      <c r="B349" s="2644" t="s">
        <v>6172</v>
      </c>
      <c r="C349" s="2645">
        <v>13493.39</v>
      </c>
      <c r="E349" s="2100" t="str">
        <f>VLOOKUP(A349,'Trial Balance - FPer'!$A$7:$B$1126,1,FALSE)</f>
        <v>0503/6558/0000</v>
      </c>
    </row>
    <row r="350" spans="1:5" ht="15" x14ac:dyDescent="0.25">
      <c r="A350" s="2644" t="s">
        <v>5415</v>
      </c>
      <c r="B350" s="2644" t="s">
        <v>6173</v>
      </c>
      <c r="C350" s="2645">
        <v>12816.87</v>
      </c>
      <c r="E350" s="2100" t="str">
        <f>VLOOKUP(A350,'Trial Balance - FPer'!$A$7:$B$1126,1,FALSE)</f>
        <v>0503/6801/0000</v>
      </c>
    </row>
    <row r="351" spans="1:5" ht="15" x14ac:dyDescent="0.25">
      <c r="A351" s="2644" t="s">
        <v>5416</v>
      </c>
      <c r="B351" s="2644" t="s">
        <v>6205</v>
      </c>
      <c r="C351" s="2645">
        <v>2067.98</v>
      </c>
      <c r="E351" s="2100" t="str">
        <f>VLOOKUP(A351,'Trial Balance - FPer'!$A$7:$B$1126,1,FALSE)</f>
        <v>0503/6802/0000</v>
      </c>
    </row>
    <row r="352" spans="1:5" ht="15" x14ac:dyDescent="0.25">
      <c r="A352" s="2644" t="s">
        <v>5418</v>
      </c>
      <c r="B352" s="2644" t="s">
        <v>6174</v>
      </c>
      <c r="C352" s="2645">
        <v>1144</v>
      </c>
      <c r="E352" s="2100" t="str">
        <f>VLOOKUP(A352,'Trial Balance - FPer'!$A$7:$B$1126,1,FALSE)</f>
        <v>0503/6813/0000</v>
      </c>
    </row>
    <row r="353" spans="1:5" ht="15" x14ac:dyDescent="0.25">
      <c r="A353" s="2644" t="s">
        <v>5419</v>
      </c>
      <c r="B353" s="2644" t="s">
        <v>6035</v>
      </c>
      <c r="C353" s="2645">
        <v>2751.71</v>
      </c>
      <c r="E353" s="2100" t="str">
        <f>VLOOKUP(A353,'Trial Balance - FPer'!$A$7:$B$1126,1,FALSE)</f>
        <v>0503/7501/0000</v>
      </c>
    </row>
    <row r="354" spans="1:5" ht="15" x14ac:dyDescent="0.25">
      <c r="A354" s="2644" t="s">
        <v>5420</v>
      </c>
      <c r="B354" s="2644" t="s">
        <v>6036</v>
      </c>
      <c r="C354" s="2645">
        <v>2320.86</v>
      </c>
      <c r="E354" s="2100" t="str">
        <f>VLOOKUP(A354,'Trial Balance - FPer'!$A$7:$B$1126,1,FALSE)</f>
        <v>0503/7502/0000</v>
      </c>
    </row>
    <row r="355" spans="1:5" ht="15" x14ac:dyDescent="0.25">
      <c r="A355" s="2644" t="s">
        <v>5421</v>
      </c>
      <c r="B355" s="2644" t="s">
        <v>6175</v>
      </c>
      <c r="C355" s="2645">
        <v>-11788.7</v>
      </c>
      <c r="E355" s="2100" t="str">
        <f>VLOOKUP(A355,'Trial Balance - FPer'!$A$7:$B$1126,1,FALSE)</f>
        <v>0503/8101/0000</v>
      </c>
    </row>
    <row r="356" spans="1:5" ht="15" x14ac:dyDescent="0.25">
      <c r="A356" s="2644" t="s">
        <v>5422</v>
      </c>
      <c r="B356" s="2644" t="s">
        <v>6176</v>
      </c>
      <c r="C356" s="2645">
        <v>-750.2</v>
      </c>
      <c r="E356" s="2100" t="str">
        <f>VLOOKUP(A356,'Trial Balance - FPer'!$A$7:$B$1126,1,FALSE)</f>
        <v>0503/8107/0000</v>
      </c>
    </row>
    <row r="357" spans="1:5" ht="15" x14ac:dyDescent="0.25">
      <c r="A357" s="2644" t="s">
        <v>5424</v>
      </c>
      <c r="B357" s="2644" t="s">
        <v>6037</v>
      </c>
      <c r="C357" s="2645">
        <v>-403824.96</v>
      </c>
      <c r="E357" s="2100" t="str">
        <f>VLOOKUP(A357,'Trial Balance - FPer'!$A$7:$B$1126,1,FALSE)</f>
        <v>0503/8401/0000</v>
      </c>
    </row>
    <row r="358" spans="1:5" ht="15" x14ac:dyDescent="0.25">
      <c r="A358" s="2644" t="s">
        <v>5426</v>
      </c>
      <c r="B358" s="2644" t="s">
        <v>6025</v>
      </c>
      <c r="C358" s="2645">
        <v>16681.509999999998</v>
      </c>
      <c r="E358" s="2100" t="str">
        <f>VLOOKUP(A358,'Trial Balance - FPer'!$A$7:$B$1126,1,FALSE)</f>
        <v>0504/6521/0000</v>
      </c>
    </row>
    <row r="359" spans="1:5" ht="15" x14ac:dyDescent="0.25">
      <c r="A359" s="2644" t="s">
        <v>5428</v>
      </c>
      <c r="B359" s="2644" t="s">
        <v>6177</v>
      </c>
      <c r="C359" s="2645">
        <v>78824.25</v>
      </c>
      <c r="E359" s="2100" t="str">
        <f>VLOOKUP(A359,'Trial Balance - FPer'!$A$7:$B$1126,1,FALSE)</f>
        <v>0504/6804/0000</v>
      </c>
    </row>
    <row r="360" spans="1:5" ht="15" x14ac:dyDescent="0.25">
      <c r="A360" s="2644" t="s">
        <v>5429</v>
      </c>
      <c r="B360" s="2644" t="s">
        <v>6178</v>
      </c>
      <c r="C360" s="2645">
        <v>20000</v>
      </c>
      <c r="E360" s="2100" t="str">
        <f>VLOOKUP(A360,'Trial Balance - FPer'!$A$7:$B$1126,1,FALSE)</f>
        <v>0504/6818/0000</v>
      </c>
    </row>
    <row r="361" spans="1:5" ht="15" x14ac:dyDescent="0.25">
      <c r="A361" s="2644" t="s">
        <v>5430</v>
      </c>
      <c r="B361" s="2644" t="s">
        <v>6037</v>
      </c>
      <c r="C361" s="2645">
        <v>-64992.18</v>
      </c>
      <c r="E361" s="2100" t="str">
        <f>VLOOKUP(A361,'Trial Balance - FPer'!$A$7:$B$1126,1,FALSE)</f>
        <v>0504/8401/0000</v>
      </c>
    </row>
    <row r="362" spans="1:5" ht="15" x14ac:dyDescent="0.25">
      <c r="A362" s="2644" t="s">
        <v>5431</v>
      </c>
      <c r="B362" s="2644" t="s">
        <v>6179</v>
      </c>
      <c r="C362" s="2645">
        <v>-50513.58</v>
      </c>
      <c r="E362" s="2100" t="str">
        <f>VLOOKUP(A362,'Trial Balance - FPer'!$A$7:$B$1126,1,FALSE)</f>
        <v>0504/8506/0000</v>
      </c>
    </row>
    <row r="363" spans="1:5" ht="15" x14ac:dyDescent="0.25">
      <c r="A363" s="2644" t="s">
        <v>5433</v>
      </c>
      <c r="B363" s="2644" t="s">
        <v>6180</v>
      </c>
      <c r="C363" s="2645">
        <v>493324.69</v>
      </c>
      <c r="E363" s="2100" t="str">
        <f>VLOOKUP(A363,'Trial Balance - FPer'!$A$7:$B$1126,1,FALSE)</f>
        <v>0507/1000/0010</v>
      </c>
    </row>
    <row r="364" spans="1:5" ht="15" x14ac:dyDescent="0.25">
      <c r="A364" s="2644" t="s">
        <v>5434</v>
      </c>
      <c r="B364" s="2644" t="s">
        <v>6181</v>
      </c>
      <c r="C364" s="2645">
        <v>738270.49</v>
      </c>
      <c r="E364" s="2100" t="str">
        <f>VLOOKUP(A364,'Trial Balance - FPer'!$A$7:$B$1126,1,FALSE)</f>
        <v>0507/1000/0011</v>
      </c>
    </row>
    <row r="365" spans="1:5" ht="15" x14ac:dyDescent="0.25">
      <c r="A365" s="2644" t="s">
        <v>5437</v>
      </c>
      <c r="B365" s="2644" t="s">
        <v>6182</v>
      </c>
      <c r="C365" s="2645">
        <v>87048.62</v>
      </c>
      <c r="E365" s="2100" t="str">
        <f>VLOOKUP(A365,'Trial Balance - FPer'!$A$7:$B$1126,1,FALSE)</f>
        <v>0507/1002/0011</v>
      </c>
    </row>
    <row r="366" spans="1:5" ht="15" x14ac:dyDescent="0.25">
      <c r="A366" s="2644" t="s">
        <v>5439</v>
      </c>
      <c r="B366" s="2644" t="s">
        <v>6183</v>
      </c>
      <c r="C366" s="2645">
        <v>26540.83</v>
      </c>
      <c r="E366" s="2100" t="str">
        <f>VLOOKUP(A366,'Trial Balance - FPer'!$A$7:$B$1126,1,FALSE)</f>
        <v>0507/1003/0010</v>
      </c>
    </row>
    <row r="367" spans="1:5" ht="15" x14ac:dyDescent="0.25">
      <c r="A367" s="2644" t="s">
        <v>5440</v>
      </c>
      <c r="B367" s="2644" t="s">
        <v>6184</v>
      </c>
      <c r="C367" s="2645">
        <v>7570.5</v>
      </c>
      <c r="E367" s="2100" t="str">
        <f>VLOOKUP(A367,'Trial Balance - FPer'!$A$7:$B$1126,1,FALSE)</f>
        <v>0507/1003/0011</v>
      </c>
    </row>
    <row r="368" spans="1:5" ht="15" x14ac:dyDescent="0.25">
      <c r="A368" s="2644" t="s">
        <v>5442</v>
      </c>
      <c r="B368" s="2644" t="s">
        <v>7746</v>
      </c>
      <c r="C368" s="2645">
        <v>4590.2299999999996</v>
      </c>
      <c r="E368" s="2100" t="str">
        <f>VLOOKUP(A368,'Trial Balance - FPer'!$A$7:$B$1126,1,FALSE)</f>
        <v>0507/1005/0010</v>
      </c>
    </row>
    <row r="369" spans="1:5" ht="15" x14ac:dyDescent="0.25">
      <c r="A369" s="2644" t="s">
        <v>5443</v>
      </c>
      <c r="B369" s="2644" t="s">
        <v>6185</v>
      </c>
      <c r="C369" s="2645">
        <v>0</v>
      </c>
      <c r="E369" s="2100" t="str">
        <f>VLOOKUP(A369,'Trial Balance - FPer'!$A$7:$B$1126,1,FALSE)</f>
        <v>0507/1006/0012</v>
      </c>
    </row>
    <row r="370" spans="1:5" ht="15" x14ac:dyDescent="0.25">
      <c r="A370" s="2644" t="s">
        <v>5445</v>
      </c>
      <c r="B370" s="2644" t="s">
        <v>6186</v>
      </c>
      <c r="C370" s="2645">
        <v>570.27</v>
      </c>
      <c r="E370" s="2100" t="str">
        <f>VLOOKUP(A370,'Trial Balance - FPer'!$A$7:$B$1126,1,FALSE)</f>
        <v>0507/1007/0011</v>
      </c>
    </row>
    <row r="371" spans="1:5" ht="15" x14ac:dyDescent="0.25">
      <c r="A371" s="2644" t="s">
        <v>5447</v>
      </c>
      <c r="B371" s="2644" t="s">
        <v>6123</v>
      </c>
      <c r="C371" s="2645">
        <v>9134.98</v>
      </c>
      <c r="E371" s="2100" t="str">
        <f>VLOOKUP(A371,'Trial Balance - FPer'!$A$7:$B$1126,1,FALSE)</f>
        <v>0507/1009/0010</v>
      </c>
    </row>
    <row r="372" spans="1:5" ht="15" x14ac:dyDescent="0.25">
      <c r="A372" s="2644" t="s">
        <v>5448</v>
      </c>
      <c r="B372" s="2644" t="s">
        <v>6187</v>
      </c>
      <c r="C372" s="2645">
        <v>37852.5</v>
      </c>
      <c r="E372" s="2100" t="str">
        <f>VLOOKUP(A372,'Trial Balance - FPer'!$A$7:$B$1126,1,FALSE)</f>
        <v>0507/1009/0011</v>
      </c>
    </row>
    <row r="373" spans="1:5" ht="15" x14ac:dyDescent="0.25">
      <c r="A373" s="2644" t="s">
        <v>5449</v>
      </c>
      <c r="B373" s="2644" t="s">
        <v>6126</v>
      </c>
      <c r="C373" s="2645">
        <v>62.08</v>
      </c>
      <c r="E373" s="2100" t="str">
        <f>VLOOKUP(A373,'Trial Balance - FPer'!$A$7:$B$1126,1,FALSE)</f>
        <v>0507/1010/0010</v>
      </c>
    </row>
    <row r="374" spans="1:5" ht="15" x14ac:dyDescent="0.25">
      <c r="A374" s="2644" t="s">
        <v>5450</v>
      </c>
      <c r="B374" s="2644" t="s">
        <v>6188</v>
      </c>
      <c r="C374" s="2645">
        <v>266.05</v>
      </c>
      <c r="E374" s="2100" t="str">
        <f>VLOOKUP(A374,'Trial Balance - FPer'!$A$7:$B$1126,1,FALSE)</f>
        <v>0507/1010/0011</v>
      </c>
    </row>
    <row r="375" spans="1:5" ht="15" x14ac:dyDescent="0.25">
      <c r="A375" s="2644" t="s">
        <v>5452</v>
      </c>
      <c r="B375" s="2644" t="s">
        <v>6129</v>
      </c>
      <c r="C375" s="2645">
        <v>3408.26</v>
      </c>
      <c r="E375" s="2100" t="str">
        <f>VLOOKUP(A375,'Trial Balance - FPer'!$A$7:$B$1126,1,FALSE)</f>
        <v>0507/1011/0010</v>
      </c>
    </row>
    <row r="376" spans="1:5" ht="15" x14ac:dyDescent="0.25">
      <c r="A376" s="2644" t="s">
        <v>5453</v>
      </c>
      <c r="B376" s="2644" t="s">
        <v>6189</v>
      </c>
      <c r="C376" s="2645">
        <v>10629.7</v>
      </c>
      <c r="E376" s="2100" t="str">
        <f>VLOOKUP(A376,'Trial Balance - FPer'!$A$7:$B$1126,1,FALSE)</f>
        <v>0507/1011/0011</v>
      </c>
    </row>
    <row r="377" spans="1:5" ht="15" x14ac:dyDescent="0.25">
      <c r="A377" s="2644" t="s">
        <v>5454</v>
      </c>
      <c r="B377" s="2644" t="s">
        <v>7735</v>
      </c>
      <c r="C377" s="2645">
        <v>3505.57</v>
      </c>
      <c r="E377" s="2100" t="str">
        <f>VLOOKUP(A377,'Trial Balance - FPer'!$A$7:$B$1126,1,FALSE)</f>
        <v>0507/1012/0010</v>
      </c>
    </row>
    <row r="378" spans="1:5" ht="15" x14ac:dyDescent="0.25">
      <c r="A378" s="2644" t="s">
        <v>5455</v>
      </c>
      <c r="B378" s="2644" t="s">
        <v>7747</v>
      </c>
      <c r="C378" s="2645">
        <v>475.02</v>
      </c>
      <c r="E378" s="2100" t="str">
        <f>VLOOKUP(A378,'Trial Balance - FPer'!$A$7:$B$1126,1,FALSE)</f>
        <v>0507/1012/0011</v>
      </c>
    </row>
    <row r="379" spans="1:5" ht="15" x14ac:dyDescent="0.25">
      <c r="A379" s="2644" t="s">
        <v>5456</v>
      </c>
      <c r="B379" s="2644" t="s">
        <v>6190</v>
      </c>
      <c r="C379" s="2645">
        <v>2121.75</v>
      </c>
      <c r="E379" s="2100" t="str">
        <f>VLOOKUP(A379,'Trial Balance - FPer'!$A$7:$B$1126,1,FALSE)</f>
        <v>0507/1050/0010</v>
      </c>
    </row>
    <row r="380" spans="1:5" ht="15" x14ac:dyDescent="0.25">
      <c r="A380" s="2644" t="s">
        <v>5457</v>
      </c>
      <c r="B380" s="2644" t="s">
        <v>6191</v>
      </c>
      <c r="C380" s="2645">
        <v>70619.03</v>
      </c>
      <c r="E380" s="2100" t="str">
        <f>VLOOKUP(A380,'Trial Balance - FPer'!$A$7:$B$1126,1,FALSE)</f>
        <v>0507/1050/0011</v>
      </c>
    </row>
    <row r="381" spans="1:5" ht="15" x14ac:dyDescent="0.25">
      <c r="A381" s="2644" t="s">
        <v>5459</v>
      </c>
      <c r="B381" s="2644" t="s">
        <v>6192</v>
      </c>
      <c r="C381" s="2645">
        <v>18127.32</v>
      </c>
      <c r="E381" s="2100" t="str">
        <f>VLOOKUP(A381,'Trial Balance - FPer'!$A$7:$B$1126,1,FALSE)</f>
        <v>0507/1051/0010</v>
      </c>
    </row>
    <row r="382" spans="1:5" ht="15" x14ac:dyDescent="0.25">
      <c r="A382" s="2644" t="s">
        <v>5460</v>
      </c>
      <c r="B382" s="2644" t="s">
        <v>6193</v>
      </c>
      <c r="C382" s="2645">
        <v>130452.22</v>
      </c>
      <c r="E382" s="2100" t="str">
        <f>VLOOKUP(A382,'Trial Balance - FPer'!$A$7:$B$1126,1,FALSE)</f>
        <v>0507/1051/0011</v>
      </c>
    </row>
    <row r="383" spans="1:5" ht="15" x14ac:dyDescent="0.25">
      <c r="A383" s="2644" t="s">
        <v>5462</v>
      </c>
      <c r="B383" s="2644" t="s">
        <v>6194</v>
      </c>
      <c r="C383" s="2645">
        <v>1219.3900000000001</v>
      </c>
      <c r="E383" s="2100" t="str">
        <f>VLOOKUP(A383,'Trial Balance - FPer'!$A$7:$B$1126,1,FALSE)</f>
        <v>0507/1052/0010</v>
      </c>
    </row>
    <row r="384" spans="1:5" ht="15" x14ac:dyDescent="0.25">
      <c r="A384" s="2644" t="s">
        <v>5463</v>
      </c>
      <c r="B384" s="2644" t="s">
        <v>6195</v>
      </c>
      <c r="C384" s="2645">
        <v>6807.18</v>
      </c>
      <c r="E384" s="2100" t="str">
        <f>VLOOKUP(A384,'Trial Balance - FPer'!$A$7:$B$1126,1,FALSE)</f>
        <v>0507/1052/0011</v>
      </c>
    </row>
    <row r="385" spans="1:5" ht="15" x14ac:dyDescent="0.25">
      <c r="A385" s="2644" t="s">
        <v>5465</v>
      </c>
      <c r="B385" s="2644" t="s">
        <v>6143</v>
      </c>
      <c r="C385" s="2645">
        <v>24415.38</v>
      </c>
      <c r="E385" s="2100" t="str">
        <f>VLOOKUP(A385,'Trial Balance - FPer'!$A$7:$B$1126,1,FALSE)</f>
        <v>0507/6514/0010</v>
      </c>
    </row>
    <row r="386" spans="1:5" ht="15" x14ac:dyDescent="0.25">
      <c r="A386" s="2644" t="s">
        <v>5466</v>
      </c>
      <c r="B386" s="2644" t="s">
        <v>7748</v>
      </c>
      <c r="C386" s="2645">
        <v>2067.98</v>
      </c>
      <c r="E386" s="2100" t="str">
        <f>VLOOKUP(A386,'Trial Balance - FPer'!$A$7:$B$1126,1,FALSE)</f>
        <v>0507/6514/0011</v>
      </c>
    </row>
    <row r="387" spans="1:5" ht="15" x14ac:dyDescent="0.25">
      <c r="A387" s="2644" t="s">
        <v>5469</v>
      </c>
      <c r="B387" s="2644" t="s">
        <v>7749</v>
      </c>
      <c r="C387" s="2645">
        <v>456.13</v>
      </c>
      <c r="E387" s="2100" t="str">
        <f>VLOOKUP(A387,'Trial Balance - FPer'!$A$7:$B$1126,1,FALSE)</f>
        <v>0507/6525/0011</v>
      </c>
    </row>
    <row r="388" spans="1:5" ht="15" x14ac:dyDescent="0.25">
      <c r="A388" s="2644" t="s">
        <v>5470</v>
      </c>
      <c r="B388" s="2644" t="s">
        <v>4871</v>
      </c>
      <c r="C388" s="2645">
        <v>2067.98</v>
      </c>
      <c r="E388" s="2100" t="str">
        <f>VLOOKUP(A388,'Trial Balance - FPer'!$A$7:$B$1126,1,FALSE)</f>
        <v>0507/6534/0010</v>
      </c>
    </row>
    <row r="389" spans="1:5" ht="15" x14ac:dyDescent="0.25">
      <c r="A389" s="2644" t="s">
        <v>5471</v>
      </c>
      <c r="B389" s="2644" t="s">
        <v>4873</v>
      </c>
      <c r="C389" s="2645">
        <v>412.57</v>
      </c>
      <c r="E389" s="2100" t="str">
        <f>VLOOKUP(A389,'Trial Balance - FPer'!$A$7:$B$1126,1,FALSE)</f>
        <v>0507/6535/0011</v>
      </c>
    </row>
    <row r="390" spans="1:5" ht="15" x14ac:dyDescent="0.25">
      <c r="A390" s="2644" t="s">
        <v>5472</v>
      </c>
      <c r="B390" s="2644" t="s">
        <v>4875</v>
      </c>
      <c r="C390" s="2645">
        <v>8105.26</v>
      </c>
      <c r="E390" s="2100" t="str">
        <f>VLOOKUP(A390,'Trial Balance - FPer'!$A$7:$B$1126,1,FALSE)</f>
        <v>0507/6538/0010</v>
      </c>
    </row>
    <row r="391" spans="1:5" ht="15" x14ac:dyDescent="0.25">
      <c r="A391" s="2644" t="s">
        <v>5474</v>
      </c>
      <c r="B391" s="2644" t="s">
        <v>6153</v>
      </c>
      <c r="C391" s="2645">
        <v>51157.66</v>
      </c>
      <c r="E391" s="2100" t="str">
        <f>VLOOKUP(A391,'Trial Balance - FPer'!$A$7:$B$1126,1,FALSE)</f>
        <v>0507/6541/0010</v>
      </c>
    </row>
    <row r="392" spans="1:5" ht="15" x14ac:dyDescent="0.25">
      <c r="A392" s="2644" t="s">
        <v>5475</v>
      </c>
      <c r="B392" s="2644" t="s">
        <v>6197</v>
      </c>
      <c r="C392" s="2645">
        <v>27838.69</v>
      </c>
      <c r="E392" s="2100" t="str">
        <f>VLOOKUP(A392,'Trial Balance - FPer'!$A$7:$B$1126,1,FALSE)</f>
        <v>0507/6541/0011</v>
      </c>
    </row>
    <row r="393" spans="1:5" ht="15" x14ac:dyDescent="0.25">
      <c r="A393" s="2644" t="s">
        <v>5476</v>
      </c>
      <c r="B393" s="2644" t="s">
        <v>6198</v>
      </c>
      <c r="C393" s="2645">
        <v>827.71</v>
      </c>
      <c r="E393" s="2100" t="str">
        <f>VLOOKUP(A393,'Trial Balance - FPer'!$A$7:$B$1126,1,FALSE)</f>
        <v>0507/6544/0011</v>
      </c>
    </row>
    <row r="394" spans="1:5" ht="15" x14ac:dyDescent="0.25">
      <c r="A394" s="2644" t="s">
        <v>5477</v>
      </c>
      <c r="B394" s="2644" t="s">
        <v>6199</v>
      </c>
      <c r="C394" s="2645">
        <v>7827.61</v>
      </c>
      <c r="E394" s="2100" t="str">
        <f>VLOOKUP(A394,'Trial Balance - FPer'!$A$7:$B$1126,1,FALSE)</f>
        <v>0507/6553/0012</v>
      </c>
    </row>
    <row r="395" spans="1:5" ht="15" x14ac:dyDescent="0.25">
      <c r="A395" s="2644" t="s">
        <v>5479</v>
      </c>
      <c r="B395" s="2644" t="s">
        <v>6200</v>
      </c>
      <c r="C395" s="2645">
        <v>556.07000000000005</v>
      </c>
      <c r="E395" s="2100" t="str">
        <f>VLOOKUP(A395,'Trial Balance - FPer'!$A$7:$B$1126,1,FALSE)</f>
        <v>0507/6554/0011</v>
      </c>
    </row>
    <row r="396" spans="1:5" ht="15" x14ac:dyDescent="0.25">
      <c r="A396" s="2644" t="s">
        <v>5481</v>
      </c>
      <c r="B396" s="2644" t="s">
        <v>4893</v>
      </c>
      <c r="C396" s="2645">
        <v>127.56</v>
      </c>
      <c r="E396" s="2100" t="str">
        <f>VLOOKUP(A396,'Trial Balance - FPer'!$A$7:$B$1126,1,FALSE)</f>
        <v>0507/6803/0011</v>
      </c>
    </row>
    <row r="397" spans="1:5" ht="15" x14ac:dyDescent="0.25">
      <c r="A397" s="2644" t="s">
        <v>5482</v>
      </c>
      <c r="B397" s="2644" t="s">
        <v>6201</v>
      </c>
      <c r="C397" s="2645">
        <v>131306.51</v>
      </c>
      <c r="E397" s="2100" t="str">
        <f>VLOOKUP(A397,'Trial Balance - FPer'!$A$7:$B$1126,1,FALSE)</f>
        <v>0507/6804/0012</v>
      </c>
    </row>
    <row r="398" spans="1:5" ht="15" x14ac:dyDescent="0.25">
      <c r="A398" s="2644" t="s">
        <v>5483</v>
      </c>
      <c r="B398" s="2644" t="s">
        <v>6202</v>
      </c>
      <c r="C398" s="2645">
        <v>20000</v>
      </c>
      <c r="E398" s="2100" t="str">
        <f>VLOOKUP(A398,'Trial Balance - FPer'!$A$7:$B$1126,1,FALSE)</f>
        <v>0507/7501/0011</v>
      </c>
    </row>
    <row r="399" spans="1:5" ht="15" x14ac:dyDescent="0.25">
      <c r="A399" s="2644" t="s">
        <v>5484</v>
      </c>
      <c r="B399" s="2644" t="s">
        <v>6036</v>
      </c>
      <c r="C399" s="2645">
        <v>28310.21</v>
      </c>
      <c r="E399" s="2100" t="str">
        <f>VLOOKUP(A399,'Trial Balance - FPer'!$A$7:$B$1126,1,FALSE)</f>
        <v>0507/7502/0011</v>
      </c>
    </row>
    <row r="400" spans="1:5" ht="15" x14ac:dyDescent="0.25">
      <c r="A400" s="2644" t="s">
        <v>5485</v>
      </c>
      <c r="B400" s="2644" t="s">
        <v>6164</v>
      </c>
      <c r="C400" s="2645">
        <v>-85746.28</v>
      </c>
      <c r="E400" s="2100" t="str">
        <f>VLOOKUP(A400,'Trial Balance - FPer'!$A$7:$B$1126,1,FALSE)</f>
        <v>0507/8401/0010</v>
      </c>
    </row>
    <row r="401" spans="1:5" ht="15" x14ac:dyDescent="0.25">
      <c r="A401" s="2644" t="s">
        <v>5486</v>
      </c>
      <c r="B401" s="2644" t="s">
        <v>6098</v>
      </c>
      <c r="C401" s="2645">
        <v>-1171158.47</v>
      </c>
      <c r="E401" s="2100" t="str">
        <f>VLOOKUP(A401,'Trial Balance - FPer'!$A$7:$B$1126,1,FALSE)</f>
        <v>0507/8401/0011</v>
      </c>
    </row>
    <row r="402" spans="1:5" ht="15" x14ac:dyDescent="0.25">
      <c r="A402" s="2644" t="s">
        <v>5487</v>
      </c>
      <c r="B402" s="2644" t="s">
        <v>7711</v>
      </c>
      <c r="C402" s="2645">
        <v>-265710.98</v>
      </c>
      <c r="E402" s="2100" t="str">
        <f>VLOOKUP(A402,'Trial Balance - FPer'!$A$7:$B$1126,1,FALSE)</f>
        <v>0507/8405/0010</v>
      </c>
    </row>
    <row r="403" spans="1:5" ht="15" x14ac:dyDescent="0.25">
      <c r="A403" s="2644" t="s">
        <v>5488</v>
      </c>
      <c r="B403" s="2644" t="s">
        <v>5489</v>
      </c>
      <c r="C403" s="2645">
        <v>-104578.7</v>
      </c>
      <c r="E403" s="2100" t="str">
        <f>VLOOKUP(A403,'Trial Balance - FPer'!$A$7:$B$1126,1,FALSE)</f>
        <v>0507/8514/0012</v>
      </c>
    </row>
    <row r="404" spans="1:5" ht="15" x14ac:dyDescent="0.25">
      <c r="A404" s="2644" t="s">
        <v>5490</v>
      </c>
      <c r="B404" s="2644" t="s">
        <v>6003</v>
      </c>
      <c r="C404" s="2645">
        <v>487354.04</v>
      </c>
      <c r="E404" s="2100" t="str">
        <f>VLOOKUP(A404,'Trial Balance - FPer'!$A$7:$B$1126,1,FALSE)</f>
        <v>0601/1000/0000</v>
      </c>
    </row>
    <row r="405" spans="1:5" ht="15" x14ac:dyDescent="0.25">
      <c r="A405" s="2644" t="s">
        <v>5491</v>
      </c>
      <c r="B405" s="2644" t="s">
        <v>6004</v>
      </c>
      <c r="C405" s="2645">
        <v>43782.75</v>
      </c>
      <c r="E405" s="2100" t="str">
        <f>VLOOKUP(A405,'Trial Balance - FPer'!$A$7:$B$1126,1,FALSE)</f>
        <v>0601/1002/0000</v>
      </c>
    </row>
    <row r="406" spans="1:5" ht="15" x14ac:dyDescent="0.25">
      <c r="A406" s="2644" t="s">
        <v>5492</v>
      </c>
      <c r="B406" s="2644" t="s">
        <v>6008</v>
      </c>
      <c r="C406" s="2645">
        <v>51277.120000000003</v>
      </c>
      <c r="E406" s="2100" t="str">
        <f>VLOOKUP(A406,'Trial Balance - FPer'!$A$7:$B$1126,1,FALSE)</f>
        <v>0601/1007/0000</v>
      </c>
    </row>
    <row r="407" spans="1:5" ht="15" x14ac:dyDescent="0.25">
      <c r="A407" s="2644" t="s">
        <v>5493</v>
      </c>
      <c r="B407" s="2644" t="s">
        <v>6009</v>
      </c>
      <c r="C407" s="2645">
        <v>37852.5</v>
      </c>
      <c r="E407" s="2100" t="str">
        <f>VLOOKUP(A407,'Trial Balance - FPer'!$A$7:$B$1126,1,FALSE)</f>
        <v>0601/1009/0000</v>
      </c>
    </row>
    <row r="408" spans="1:5" ht="15" x14ac:dyDescent="0.25">
      <c r="A408" s="2644" t="s">
        <v>5494</v>
      </c>
      <c r="B408" s="2644" t="s">
        <v>6010</v>
      </c>
      <c r="C408" s="2645">
        <v>248.31</v>
      </c>
      <c r="E408" s="2100" t="str">
        <f>VLOOKUP(A408,'Trial Balance - FPer'!$A$7:$B$1126,1,FALSE)</f>
        <v>0601/1010/0000</v>
      </c>
    </row>
    <row r="409" spans="1:5" ht="15" x14ac:dyDescent="0.25">
      <c r="A409" s="2644" t="s">
        <v>5495</v>
      </c>
      <c r="B409" s="2644" t="s">
        <v>6011</v>
      </c>
      <c r="C409" s="2645">
        <v>6313.58</v>
      </c>
      <c r="E409" s="2100" t="str">
        <f>VLOOKUP(A409,'Trial Balance - FPer'!$A$7:$B$1126,1,FALSE)</f>
        <v>0601/1011/0000</v>
      </c>
    </row>
    <row r="410" spans="1:5" ht="15" x14ac:dyDescent="0.25">
      <c r="A410" s="2644" t="s">
        <v>5496</v>
      </c>
      <c r="B410" s="2644" t="s">
        <v>7710</v>
      </c>
      <c r="C410" s="2645">
        <v>3538.38</v>
      </c>
      <c r="E410" s="2100" t="str">
        <f>VLOOKUP(A410,'Trial Balance - FPer'!$A$7:$B$1126,1,FALSE)</f>
        <v>0601/1012/0000</v>
      </c>
    </row>
    <row r="411" spans="1:5" ht="15" x14ac:dyDescent="0.25">
      <c r="A411" s="2644" t="s">
        <v>5497</v>
      </c>
      <c r="B411" s="2644" t="s">
        <v>6012</v>
      </c>
      <c r="C411" s="2645">
        <v>34367.040000000001</v>
      </c>
      <c r="E411" s="2100" t="str">
        <f>VLOOKUP(A411,'Trial Balance - FPer'!$A$7:$B$1126,1,FALSE)</f>
        <v>0601/1050/0000</v>
      </c>
    </row>
    <row r="412" spans="1:5" ht="15" x14ac:dyDescent="0.25">
      <c r="A412" s="2644" t="s">
        <v>5498</v>
      </c>
      <c r="B412" s="2644" t="s">
        <v>6013</v>
      </c>
      <c r="C412" s="2645">
        <v>69721.69</v>
      </c>
      <c r="E412" s="2100" t="str">
        <f>VLOOKUP(A412,'Trial Balance - FPer'!$A$7:$B$1126,1,FALSE)</f>
        <v>0601/1051/0000</v>
      </c>
    </row>
    <row r="413" spans="1:5" ht="15" x14ac:dyDescent="0.25">
      <c r="A413" s="2644" t="s">
        <v>5499</v>
      </c>
      <c r="B413" s="2644" t="s">
        <v>6014</v>
      </c>
      <c r="C413" s="2645">
        <v>5008.21</v>
      </c>
      <c r="E413" s="2100" t="str">
        <f>VLOOKUP(A413,'Trial Balance - FPer'!$A$7:$B$1126,1,FALSE)</f>
        <v>0601/1052/0000</v>
      </c>
    </row>
    <row r="414" spans="1:5" ht="15" x14ac:dyDescent="0.25">
      <c r="A414" s="2644" t="s">
        <v>5500</v>
      </c>
      <c r="B414" s="2644" t="s">
        <v>6021</v>
      </c>
      <c r="C414" s="2645">
        <v>337.72</v>
      </c>
      <c r="E414" s="2100" t="str">
        <f>VLOOKUP(A414,'Trial Balance - FPer'!$A$7:$B$1126,1,FALSE)</f>
        <v>0601/6514/0000</v>
      </c>
    </row>
    <row r="415" spans="1:5" ht="15" x14ac:dyDescent="0.25">
      <c r="A415" s="2644" t="s">
        <v>5502</v>
      </c>
      <c r="B415" s="2644" t="s">
        <v>4873</v>
      </c>
      <c r="C415" s="2645">
        <v>205.96</v>
      </c>
      <c r="E415" s="2100" t="str">
        <f>VLOOKUP(A415,'Trial Balance - FPer'!$A$7:$B$1126,1,FALSE)</f>
        <v>0601/6535/0000</v>
      </c>
    </row>
    <row r="416" spans="1:5" ht="15" x14ac:dyDescent="0.25">
      <c r="A416" s="2644" t="s">
        <v>5504</v>
      </c>
      <c r="B416" s="2644" t="s">
        <v>6029</v>
      </c>
      <c r="C416" s="2645">
        <v>528</v>
      </c>
      <c r="E416" s="2100" t="str">
        <f>VLOOKUP(A416,'Trial Balance - FPer'!$A$7:$B$1126,1,FALSE)</f>
        <v>0601/6541/0000</v>
      </c>
    </row>
    <row r="417" spans="1:5" ht="15" x14ac:dyDescent="0.25">
      <c r="A417" s="2644" t="s">
        <v>5505</v>
      </c>
      <c r="B417" s="2644" t="s">
        <v>6030</v>
      </c>
      <c r="C417" s="2645">
        <v>12260.6</v>
      </c>
      <c r="E417" s="2100" t="str">
        <f>VLOOKUP(A417,'Trial Balance - FPer'!$A$7:$B$1126,1,FALSE)</f>
        <v>0601/6544/0000</v>
      </c>
    </row>
    <row r="418" spans="1:5" ht="15" x14ac:dyDescent="0.25">
      <c r="A418" s="2644" t="s">
        <v>5506</v>
      </c>
      <c r="B418" s="2644" t="s">
        <v>6033</v>
      </c>
      <c r="C418" s="2645">
        <v>412.57</v>
      </c>
      <c r="E418" s="2100" t="str">
        <f>VLOOKUP(A418,'Trial Balance - FPer'!$A$7:$B$1126,1,FALSE)</f>
        <v>0601/6554/0000</v>
      </c>
    </row>
    <row r="419" spans="1:5" ht="15" x14ac:dyDescent="0.25">
      <c r="A419" s="2644" t="s">
        <v>5507</v>
      </c>
      <c r="B419" s="2644" t="s">
        <v>4893</v>
      </c>
      <c r="C419" s="2645">
        <v>412.57</v>
      </c>
      <c r="E419" s="2100" t="str">
        <f>VLOOKUP(A419,'Trial Balance - FPer'!$A$7:$B$1126,1,FALSE)</f>
        <v>0601/6803/0000</v>
      </c>
    </row>
    <row r="420" spans="1:5" ht="15" x14ac:dyDescent="0.25">
      <c r="A420" s="2644" t="s">
        <v>5508</v>
      </c>
      <c r="B420" s="2644" t="s">
        <v>6035</v>
      </c>
      <c r="C420" s="2645">
        <v>2993.96</v>
      </c>
      <c r="E420" s="2100" t="str">
        <f>VLOOKUP(A420,'Trial Balance - FPer'!$A$7:$B$1126,1,FALSE)</f>
        <v>0601/7501/0000</v>
      </c>
    </row>
    <row r="421" spans="1:5" ht="15" x14ac:dyDescent="0.25">
      <c r="A421" s="2644" t="s">
        <v>5509</v>
      </c>
      <c r="B421" s="2644" t="s">
        <v>6036</v>
      </c>
      <c r="C421" s="2645">
        <v>1565.74</v>
      </c>
      <c r="E421" s="2100" t="str">
        <f>VLOOKUP(A421,'Trial Balance - FPer'!$A$7:$B$1126,1,FALSE)</f>
        <v>0601/7502/0000</v>
      </c>
    </row>
    <row r="422" spans="1:5" ht="15" x14ac:dyDescent="0.25">
      <c r="A422" s="2644" t="s">
        <v>5510</v>
      </c>
      <c r="B422" s="2644" t="s">
        <v>6203</v>
      </c>
      <c r="C422" s="2645">
        <v>-275185.94</v>
      </c>
      <c r="E422" s="2100" t="str">
        <f>VLOOKUP(A422,'Trial Balance - FPer'!$A$7:$B$1126,1,FALSE)</f>
        <v>0601/8106/0000</v>
      </c>
    </row>
    <row r="423" spans="1:5" ht="15" x14ac:dyDescent="0.25">
      <c r="A423" s="2644" t="s">
        <v>5512</v>
      </c>
      <c r="B423" s="2644" t="s">
        <v>6204</v>
      </c>
      <c r="C423" s="2645">
        <v>-110</v>
      </c>
      <c r="E423" s="2100" t="str">
        <f>VLOOKUP(A423,'Trial Balance - FPer'!$A$7:$B$1126,1,FALSE)</f>
        <v>0601/8351/0000</v>
      </c>
    </row>
    <row r="424" spans="1:5" ht="15" x14ac:dyDescent="0.25">
      <c r="A424" s="2644" t="s">
        <v>5514</v>
      </c>
      <c r="B424" s="2644" t="s">
        <v>6037</v>
      </c>
      <c r="C424" s="2645">
        <v>-479141.02</v>
      </c>
      <c r="E424" s="2100" t="str">
        <f>VLOOKUP(A424,'Trial Balance - FPer'!$A$7:$B$1126,1,FALSE)</f>
        <v>0601/8401/0000</v>
      </c>
    </row>
    <row r="425" spans="1:5" ht="15" x14ac:dyDescent="0.25">
      <c r="A425" s="2644" t="s">
        <v>5515</v>
      </c>
      <c r="B425" s="2644" t="s">
        <v>5516</v>
      </c>
      <c r="C425" s="2645">
        <v>-3743.77</v>
      </c>
      <c r="E425" s="2100" t="str">
        <f>VLOOKUP(A425,'Trial Balance - FPer'!$A$7:$B$1126,1,FALSE)</f>
        <v>0601/8507/0000</v>
      </c>
    </row>
    <row r="426" spans="1:5" ht="15" x14ac:dyDescent="0.25">
      <c r="A426" s="2644" t="s">
        <v>5517</v>
      </c>
      <c r="B426" s="2644" t="s">
        <v>6003</v>
      </c>
      <c r="C426" s="2645">
        <v>533057.55000000005</v>
      </c>
      <c r="E426" s="2100" t="str">
        <f>VLOOKUP(A426,'Trial Balance - FPer'!$A$7:$B$1126,1,FALSE)</f>
        <v>0701/1000/0000</v>
      </c>
    </row>
    <row r="427" spans="1:5" ht="15" x14ac:dyDescent="0.25">
      <c r="A427" s="2644" t="s">
        <v>5518</v>
      </c>
      <c r="B427" s="2644" t="s">
        <v>6004</v>
      </c>
      <c r="C427" s="2645">
        <v>75021.919999999998</v>
      </c>
      <c r="E427" s="2100" t="str">
        <f>VLOOKUP(A427,'Trial Balance - FPer'!$A$7:$B$1126,1,FALSE)</f>
        <v>0701/1002/0000</v>
      </c>
    </row>
    <row r="428" spans="1:5" ht="15" x14ac:dyDescent="0.25">
      <c r="A428" s="2644" t="s">
        <v>5519</v>
      </c>
      <c r="B428" s="2644" t="s">
        <v>6005</v>
      </c>
      <c r="C428" s="2645">
        <v>0</v>
      </c>
      <c r="E428" s="2100" t="str">
        <f>VLOOKUP(A428,'Trial Balance - FPer'!$A$7:$B$1126,1,FALSE)</f>
        <v>0701/1003/0000</v>
      </c>
    </row>
    <row r="429" spans="1:5" ht="15" x14ac:dyDescent="0.25">
      <c r="A429" s="2644" t="s">
        <v>5520</v>
      </c>
      <c r="B429" s="2644" t="s">
        <v>6006</v>
      </c>
      <c r="C429" s="2645">
        <v>6416.11</v>
      </c>
      <c r="E429" s="2100" t="str">
        <f>VLOOKUP(A429,'Trial Balance - FPer'!$A$7:$B$1126,1,FALSE)</f>
        <v>0701/1005/0000</v>
      </c>
    </row>
    <row r="430" spans="1:5" ht="15" x14ac:dyDescent="0.25">
      <c r="A430" s="2644" t="s">
        <v>5521</v>
      </c>
      <c r="B430" s="2644" t="s">
        <v>6007</v>
      </c>
      <c r="C430" s="2645">
        <v>60136.61</v>
      </c>
      <c r="E430" s="2100" t="str">
        <f>VLOOKUP(A430,'Trial Balance - FPer'!$A$7:$B$1126,1,FALSE)</f>
        <v>0701/1006/0000</v>
      </c>
    </row>
    <row r="431" spans="1:5" ht="15" x14ac:dyDescent="0.25">
      <c r="A431" s="2644" t="s">
        <v>5522</v>
      </c>
      <c r="B431" s="2644" t="s">
        <v>6008</v>
      </c>
      <c r="C431" s="2645">
        <v>1423.81</v>
      </c>
      <c r="E431" s="2100" t="str">
        <f>VLOOKUP(A431,'Trial Balance - FPer'!$A$7:$B$1126,1,FALSE)</f>
        <v>0701/1007/0000</v>
      </c>
    </row>
    <row r="432" spans="1:5" ht="15" x14ac:dyDescent="0.25">
      <c r="A432" s="2644" t="s">
        <v>5523</v>
      </c>
      <c r="B432" s="2644" t="s">
        <v>6009</v>
      </c>
      <c r="C432" s="2645">
        <v>42394.8</v>
      </c>
      <c r="E432" s="2100" t="str">
        <f>VLOOKUP(A432,'Trial Balance - FPer'!$A$7:$B$1126,1,FALSE)</f>
        <v>0701/1009/0000</v>
      </c>
    </row>
    <row r="433" spans="1:5" ht="15" x14ac:dyDescent="0.25">
      <c r="A433" s="2644" t="s">
        <v>5524</v>
      </c>
      <c r="B433" s="2644" t="s">
        <v>6010</v>
      </c>
      <c r="C433" s="2645">
        <v>310.39</v>
      </c>
      <c r="E433" s="2100" t="str">
        <f>VLOOKUP(A433,'Trial Balance - FPer'!$A$7:$B$1126,1,FALSE)</f>
        <v>0701/1010/0000</v>
      </c>
    </row>
    <row r="434" spans="1:5" ht="15" x14ac:dyDescent="0.25">
      <c r="A434" s="2644" t="s">
        <v>5525</v>
      </c>
      <c r="B434" s="2644" t="s">
        <v>6011</v>
      </c>
      <c r="C434" s="2645">
        <v>6253.64</v>
      </c>
      <c r="E434" s="2100" t="str">
        <f>VLOOKUP(A434,'Trial Balance - FPer'!$A$7:$B$1126,1,FALSE)</f>
        <v>0701/1011/0000</v>
      </c>
    </row>
    <row r="435" spans="1:5" ht="15" x14ac:dyDescent="0.25">
      <c r="A435" s="2644" t="s">
        <v>5526</v>
      </c>
      <c r="B435" s="2644" t="s">
        <v>7710</v>
      </c>
      <c r="C435" s="2645">
        <v>2721.44</v>
      </c>
      <c r="E435" s="2100" t="str">
        <f>VLOOKUP(A435,'Trial Balance - FPer'!$A$7:$B$1126,1,FALSE)</f>
        <v>0701/1012/0000</v>
      </c>
    </row>
    <row r="436" spans="1:5" ht="15" x14ac:dyDescent="0.25">
      <c r="A436" s="2644" t="s">
        <v>5527</v>
      </c>
      <c r="B436" s="2644" t="s">
        <v>6012</v>
      </c>
      <c r="C436" s="2645">
        <v>69856.570000000007</v>
      </c>
      <c r="E436" s="2100" t="str">
        <f>VLOOKUP(A436,'Trial Balance - FPer'!$A$7:$B$1126,1,FALSE)</f>
        <v>0701/1050/0000</v>
      </c>
    </row>
    <row r="437" spans="1:5" ht="15" x14ac:dyDescent="0.25">
      <c r="A437" s="2644" t="s">
        <v>5528</v>
      </c>
      <c r="B437" s="2644" t="s">
        <v>6013</v>
      </c>
      <c r="C437" s="2645">
        <v>108516.46</v>
      </c>
      <c r="E437" s="2100" t="str">
        <f>VLOOKUP(A437,'Trial Balance - FPer'!$A$7:$B$1126,1,FALSE)</f>
        <v>0701/1051/0000</v>
      </c>
    </row>
    <row r="438" spans="1:5" ht="15" x14ac:dyDescent="0.25">
      <c r="A438" s="2644" t="s">
        <v>5529</v>
      </c>
      <c r="B438" s="2644" t="s">
        <v>6014</v>
      </c>
      <c r="C438" s="2645">
        <v>6558.41</v>
      </c>
      <c r="E438" s="2100" t="str">
        <f>VLOOKUP(A438,'Trial Balance - FPer'!$A$7:$B$1126,1,FALSE)</f>
        <v>0701/1052/0000</v>
      </c>
    </row>
    <row r="439" spans="1:5" ht="15" x14ac:dyDescent="0.25">
      <c r="A439" s="2644" t="s">
        <v>5530</v>
      </c>
      <c r="B439" s="2644" t="s">
        <v>6021</v>
      </c>
      <c r="C439" s="2645">
        <v>6672.55</v>
      </c>
      <c r="E439" s="2100" t="str">
        <f>VLOOKUP(A439,'Trial Balance - FPer'!$A$7:$B$1126,1,FALSE)</f>
        <v>0701/6514/0000</v>
      </c>
    </row>
    <row r="440" spans="1:5" ht="15" x14ac:dyDescent="0.25">
      <c r="A440" s="2644" t="s">
        <v>5537</v>
      </c>
      <c r="B440" s="2644" t="s">
        <v>6028</v>
      </c>
      <c r="C440" s="2645">
        <v>4950</v>
      </c>
      <c r="E440" s="2100" t="str">
        <f>VLOOKUP(A440,'Trial Balance - FPer'!$A$7:$B$1126,1,FALSE)</f>
        <v>0701/6539/0000</v>
      </c>
    </row>
    <row r="441" spans="1:5" ht="15" x14ac:dyDescent="0.25">
      <c r="A441" s="2644" t="s">
        <v>5538</v>
      </c>
      <c r="B441" s="2644" t="s">
        <v>6029</v>
      </c>
      <c r="C441" s="2645">
        <v>8656.23</v>
      </c>
      <c r="E441" s="2100" t="str">
        <f>VLOOKUP(A441,'Trial Balance - FPer'!$A$7:$B$1126,1,FALSE)</f>
        <v>0701/6541/0000</v>
      </c>
    </row>
    <row r="442" spans="1:5" ht="15" x14ac:dyDescent="0.25">
      <c r="A442" s="2644" t="s">
        <v>5540</v>
      </c>
      <c r="B442" s="2644" t="s">
        <v>6030</v>
      </c>
      <c r="C442" s="2645">
        <v>-66.59</v>
      </c>
      <c r="E442" s="2100" t="str">
        <f>VLOOKUP(A442,'Trial Balance - FPer'!$A$7:$B$1126,1,FALSE)</f>
        <v>0701/6544/0000</v>
      </c>
    </row>
    <row r="443" spans="1:5" ht="15" x14ac:dyDescent="0.25">
      <c r="A443" s="2644" t="s">
        <v>5541</v>
      </c>
      <c r="B443" s="2644" t="s">
        <v>4883</v>
      </c>
      <c r="C443" s="2645">
        <v>9849.75</v>
      </c>
      <c r="E443" s="2100" t="str">
        <f>VLOOKUP(A443,'Trial Balance - FPer'!$A$7:$B$1126,1,FALSE)</f>
        <v>0701/6546/0000</v>
      </c>
    </row>
    <row r="444" spans="1:5" ht="15" x14ac:dyDescent="0.25">
      <c r="A444" s="2644" t="s">
        <v>5544</v>
      </c>
      <c r="B444" s="2644" t="s">
        <v>6041</v>
      </c>
      <c r="C444" s="2645">
        <v>1101926.8700000001</v>
      </c>
      <c r="E444" s="2100" t="str">
        <f>VLOOKUP(A444,'Trial Balance - FPer'!$A$7:$B$1126,1,FALSE)</f>
        <v>0701/6565/0000</v>
      </c>
    </row>
    <row r="445" spans="1:5" ht="15" x14ac:dyDescent="0.25">
      <c r="A445" s="2644" t="s">
        <v>5545</v>
      </c>
      <c r="B445" s="2644" t="s">
        <v>6205</v>
      </c>
      <c r="C445" s="2645">
        <v>12415.54</v>
      </c>
      <c r="E445" s="2100" t="str">
        <f>VLOOKUP(A445,'Trial Balance - FPer'!$A$7:$B$1126,1,FALSE)</f>
        <v>0701/6802/0000</v>
      </c>
    </row>
    <row r="446" spans="1:5" ht="15" x14ac:dyDescent="0.25">
      <c r="A446" s="2644" t="s">
        <v>5546</v>
      </c>
      <c r="B446" s="2644" t="s">
        <v>6206</v>
      </c>
      <c r="C446" s="2645">
        <v>59116.59</v>
      </c>
      <c r="E446" s="2100" t="str">
        <f>VLOOKUP(A446,'Trial Balance - FPer'!$A$7:$B$1126,1,FALSE)</f>
        <v>0701/6811/0000</v>
      </c>
    </row>
    <row r="447" spans="1:5" ht="15" x14ac:dyDescent="0.25">
      <c r="A447" s="2644" t="s">
        <v>5547</v>
      </c>
      <c r="B447" s="2644" t="s">
        <v>6035</v>
      </c>
      <c r="C447" s="2645">
        <v>4885.22</v>
      </c>
      <c r="E447" s="2100" t="str">
        <f>VLOOKUP(A447,'Trial Balance - FPer'!$A$7:$B$1126,1,FALSE)</f>
        <v>0701/7501/0000</v>
      </c>
    </row>
    <row r="448" spans="1:5" ht="15" x14ac:dyDescent="0.25">
      <c r="A448" s="2644" t="s">
        <v>5548</v>
      </c>
      <c r="B448" s="2644" t="s">
        <v>6036</v>
      </c>
      <c r="C448" s="2645">
        <v>4671.37</v>
      </c>
      <c r="E448" s="2100" t="str">
        <f>VLOOKUP(A448,'Trial Balance - FPer'!$A$7:$B$1126,1,FALSE)</f>
        <v>0701/7502/0000</v>
      </c>
    </row>
    <row r="449" spans="1:5" ht="15" x14ac:dyDescent="0.25">
      <c r="A449" s="2644" t="s">
        <v>5549</v>
      </c>
      <c r="B449" s="2644" t="s">
        <v>6207</v>
      </c>
      <c r="C449" s="2645">
        <v>-1210000</v>
      </c>
      <c r="E449" s="2100" t="str">
        <f>VLOOKUP(A449,'Trial Balance - FPer'!$A$7:$B$1126,1,FALSE)</f>
        <v>0701/8300/0000</v>
      </c>
    </row>
    <row r="450" spans="1:5" ht="15" x14ac:dyDescent="0.25">
      <c r="A450" s="2644" t="s">
        <v>5550</v>
      </c>
      <c r="B450" s="2644" t="s">
        <v>6037</v>
      </c>
      <c r="C450" s="2645">
        <v>-915745.23</v>
      </c>
      <c r="E450" s="2100" t="str">
        <f>VLOOKUP(A450,'Trial Balance - FPer'!$A$7:$B$1126,1,FALSE)</f>
        <v>0701/8401/0000</v>
      </c>
    </row>
    <row r="451" spans="1:5" ht="15" x14ac:dyDescent="0.25">
      <c r="A451" s="2644" t="s">
        <v>5552</v>
      </c>
      <c r="B451" s="2644" t="s">
        <v>6003</v>
      </c>
      <c r="C451" s="2645">
        <v>25065.200000000001</v>
      </c>
      <c r="E451" s="2100" t="str">
        <f>VLOOKUP(A451,'Trial Balance - FPer'!$A$7:$B$1126,1,FALSE)</f>
        <v>0702/1000/0000</v>
      </c>
    </row>
    <row r="452" spans="1:5" ht="15" x14ac:dyDescent="0.25">
      <c r="A452" s="2644" t="s">
        <v>5559</v>
      </c>
      <c r="B452" s="2644" t="s">
        <v>4873</v>
      </c>
      <c r="C452" s="2645">
        <v>4138.5200000000004</v>
      </c>
      <c r="E452" s="2100" t="str">
        <f>VLOOKUP(A452,'Trial Balance - FPer'!$A$7:$B$1126,1,FALSE)</f>
        <v>0702/6535/0000</v>
      </c>
    </row>
    <row r="453" spans="1:5" ht="15" x14ac:dyDescent="0.25">
      <c r="A453" s="2644" t="s">
        <v>5560</v>
      </c>
      <c r="B453" s="2644" t="s">
        <v>4883</v>
      </c>
      <c r="C453" s="2645">
        <v>9066.23</v>
      </c>
      <c r="E453" s="2100" t="str">
        <f>VLOOKUP(A453,'Trial Balance - FPer'!$A$7:$B$1126,1,FALSE)</f>
        <v>0702/6546/0000</v>
      </c>
    </row>
    <row r="454" spans="1:5" ht="15" x14ac:dyDescent="0.25">
      <c r="A454" s="2644" t="s">
        <v>5561</v>
      </c>
      <c r="B454" s="2644" t="s">
        <v>6205</v>
      </c>
      <c r="C454" s="2645">
        <v>39412.120000000003</v>
      </c>
      <c r="E454" s="2100" t="str">
        <f>VLOOKUP(A454,'Trial Balance - FPer'!$A$7:$B$1126,1,FALSE)</f>
        <v>0702/6802/0000</v>
      </c>
    </row>
    <row r="455" spans="1:5" ht="15" x14ac:dyDescent="0.25">
      <c r="A455" s="2644" t="s">
        <v>5563</v>
      </c>
      <c r="B455" s="2644" t="s">
        <v>6034</v>
      </c>
      <c r="C455" s="2645">
        <v>1738</v>
      </c>
      <c r="E455" s="2100" t="str">
        <f>VLOOKUP(A455,'Trial Balance - FPer'!$A$7:$B$1126,1,FALSE)</f>
        <v>0702/6808/0000</v>
      </c>
    </row>
    <row r="456" spans="1:5" ht="15" x14ac:dyDescent="0.25">
      <c r="A456" s="2644" t="s">
        <v>5564</v>
      </c>
      <c r="B456" s="2644" t="s">
        <v>6037</v>
      </c>
      <c r="C456" s="2645">
        <v>-79420.070000000007</v>
      </c>
      <c r="E456" s="2100" t="str">
        <f>VLOOKUP(A456,'Trial Balance - FPer'!$A$7:$B$1126,1,FALSE)</f>
        <v>0702/8401/0000</v>
      </c>
    </row>
    <row r="457" spans="1:5" ht="15" x14ac:dyDescent="0.25">
      <c r="A457" s="2644" t="s">
        <v>5565</v>
      </c>
      <c r="B457" s="2644" t="s">
        <v>6003</v>
      </c>
      <c r="C457" s="2645">
        <v>137205.01999999999</v>
      </c>
      <c r="E457" s="2100" t="str">
        <f>VLOOKUP(A457,'Trial Balance - FPer'!$A$7:$B$1126,1,FALSE)</f>
        <v>0704/1000/0000</v>
      </c>
    </row>
    <row r="458" spans="1:5" ht="15" x14ac:dyDescent="0.25">
      <c r="A458" s="2644" t="s">
        <v>5566</v>
      </c>
      <c r="B458" s="2644" t="s">
        <v>6004</v>
      </c>
      <c r="C458" s="2645">
        <v>9596.76</v>
      </c>
      <c r="E458" s="2100" t="str">
        <f>VLOOKUP(A458,'Trial Balance - FPer'!$A$7:$B$1126,1,FALSE)</f>
        <v>0704/1002/0000</v>
      </c>
    </row>
    <row r="459" spans="1:5" ht="15" x14ac:dyDescent="0.25">
      <c r="A459" s="2644" t="s">
        <v>5567</v>
      </c>
      <c r="B459" s="2644" t="s">
        <v>6007</v>
      </c>
      <c r="C459" s="2645">
        <v>205.18</v>
      </c>
      <c r="E459" s="2100" t="str">
        <f>VLOOKUP(A459,'Trial Balance - FPer'!$A$7:$B$1126,1,FALSE)</f>
        <v>0704/1006/0000</v>
      </c>
    </row>
    <row r="460" spans="1:5" ht="15" x14ac:dyDescent="0.25">
      <c r="A460" s="2644" t="s">
        <v>5568</v>
      </c>
      <c r="B460" s="2644" t="s">
        <v>6008</v>
      </c>
      <c r="C460" s="2645">
        <v>1311.51</v>
      </c>
      <c r="E460" s="2100" t="str">
        <f>VLOOKUP(A460,'Trial Balance - FPer'!$A$7:$B$1126,1,FALSE)</f>
        <v>0704/1007/0000</v>
      </c>
    </row>
    <row r="461" spans="1:5" ht="15" x14ac:dyDescent="0.25">
      <c r="A461" s="2644" t="s">
        <v>5569</v>
      </c>
      <c r="B461" s="2644" t="s">
        <v>6010</v>
      </c>
      <c r="C461" s="2645">
        <v>124.16</v>
      </c>
      <c r="E461" s="2100" t="str">
        <f>VLOOKUP(A461,'Trial Balance - FPer'!$A$7:$B$1126,1,FALSE)</f>
        <v>0704/1010/0000</v>
      </c>
    </row>
    <row r="462" spans="1:5" ht="15" x14ac:dyDescent="0.25">
      <c r="A462" s="2644" t="s">
        <v>5570</v>
      </c>
      <c r="B462" s="2644" t="s">
        <v>6011</v>
      </c>
      <c r="C462" s="2645">
        <v>1417.54</v>
      </c>
      <c r="E462" s="2100" t="str">
        <f>VLOOKUP(A462,'Trial Balance - FPer'!$A$7:$B$1126,1,FALSE)</f>
        <v>0704/1011/0000</v>
      </c>
    </row>
    <row r="463" spans="1:5" ht="15" x14ac:dyDescent="0.25">
      <c r="A463" s="2644" t="s">
        <v>5571</v>
      </c>
      <c r="B463" s="2644" t="s">
        <v>7710</v>
      </c>
      <c r="C463" s="2645">
        <v>1118.48</v>
      </c>
      <c r="E463" s="2100" t="str">
        <f>VLOOKUP(A463,'Trial Balance - FPer'!$A$7:$B$1126,1,FALSE)</f>
        <v>0704/1012/0000</v>
      </c>
    </row>
    <row r="464" spans="1:5" ht="15" x14ac:dyDescent="0.25">
      <c r="A464" s="2644" t="s">
        <v>5573</v>
      </c>
      <c r="B464" s="2644" t="s">
        <v>6013</v>
      </c>
      <c r="C464" s="2645">
        <v>26690.71</v>
      </c>
      <c r="E464" s="2100" t="str">
        <f>VLOOKUP(A464,'Trial Balance - FPer'!$A$7:$B$1126,1,FALSE)</f>
        <v>0704/1051/0000</v>
      </c>
    </row>
    <row r="465" spans="1:5" ht="15" x14ac:dyDescent="0.25">
      <c r="A465" s="2644" t="s">
        <v>5574</v>
      </c>
      <c r="B465" s="2644" t="s">
        <v>6014</v>
      </c>
      <c r="C465" s="2645">
        <v>1470.1</v>
      </c>
      <c r="E465" s="2100" t="str">
        <f>VLOOKUP(A465,'Trial Balance - FPer'!$A$7:$B$1126,1,FALSE)</f>
        <v>0704/1052/0000</v>
      </c>
    </row>
    <row r="466" spans="1:5" ht="15" x14ac:dyDescent="0.25">
      <c r="A466" s="2644" t="s">
        <v>5576</v>
      </c>
      <c r="B466" s="2644" t="s">
        <v>6241</v>
      </c>
      <c r="C466" s="2645">
        <v>412.57</v>
      </c>
      <c r="E466" s="2100" t="str">
        <f>VLOOKUP(A466,'Trial Balance - FPer'!$A$7:$B$1126,1,FALSE)</f>
        <v>0704/6527/0000</v>
      </c>
    </row>
    <row r="467" spans="1:5" ht="15" x14ac:dyDescent="0.25">
      <c r="A467" s="2644" t="s">
        <v>5579</v>
      </c>
      <c r="B467" s="2644" t="s">
        <v>6778</v>
      </c>
      <c r="C467" s="2645">
        <v>12415.54</v>
      </c>
      <c r="E467" s="2100" t="str">
        <f>VLOOKUP(A467,'Trial Balance - FPer'!$A$7:$B$1126,1,FALSE)</f>
        <v>0704/6553/0000</v>
      </c>
    </row>
    <row r="468" spans="1:5" ht="15" x14ac:dyDescent="0.25">
      <c r="A468" s="2644" t="s">
        <v>5580</v>
      </c>
      <c r="B468" s="2644" t="s">
        <v>6033</v>
      </c>
      <c r="C468" s="2645">
        <v>2067.98</v>
      </c>
      <c r="E468" s="2100" t="str">
        <f>VLOOKUP(A468,'Trial Balance - FPer'!$A$7:$B$1126,1,FALSE)</f>
        <v>0704/6554/0000</v>
      </c>
    </row>
    <row r="469" spans="1:5" ht="15" x14ac:dyDescent="0.25">
      <c r="A469" s="2644" t="s">
        <v>5581</v>
      </c>
      <c r="B469" s="2644" t="s">
        <v>6177</v>
      </c>
      <c r="C469" s="2645">
        <v>31529.7</v>
      </c>
      <c r="E469" s="2100" t="str">
        <f>VLOOKUP(A469,'Trial Balance - FPer'!$A$7:$B$1126,1,FALSE)</f>
        <v>0704/6804/0000</v>
      </c>
    </row>
    <row r="470" spans="1:5" ht="15" x14ac:dyDescent="0.25">
      <c r="A470" s="2644" t="s">
        <v>5582</v>
      </c>
      <c r="B470" s="2644" t="s">
        <v>6035</v>
      </c>
      <c r="C470" s="2645">
        <v>1300.1600000000001</v>
      </c>
      <c r="E470" s="2100" t="str">
        <f>VLOOKUP(A470,'Trial Balance - FPer'!$A$7:$B$1126,1,FALSE)</f>
        <v>0704/7501/0000</v>
      </c>
    </row>
    <row r="471" spans="1:5" ht="15" x14ac:dyDescent="0.25">
      <c r="A471" s="2644" t="s">
        <v>5583</v>
      </c>
      <c r="B471" s="2644" t="s">
        <v>6036</v>
      </c>
      <c r="C471" s="2645">
        <v>2059.6799999999998</v>
      </c>
      <c r="E471" s="2100" t="str">
        <f>VLOOKUP(A471,'Trial Balance - FPer'!$A$7:$B$1126,1,FALSE)</f>
        <v>0704/7502/0000</v>
      </c>
    </row>
    <row r="472" spans="1:5" ht="15" x14ac:dyDescent="0.25">
      <c r="A472" s="2644" t="s">
        <v>5584</v>
      </c>
      <c r="B472" s="2644" t="s">
        <v>6037</v>
      </c>
      <c r="C472" s="2645">
        <v>-221327.92</v>
      </c>
      <c r="E472" s="2100" t="str">
        <f>VLOOKUP(A472,'Trial Balance - FPer'!$A$7:$B$1126,1,FALSE)</f>
        <v>0704/8401/0000</v>
      </c>
    </row>
    <row r="473" spans="1:5" ht="15" x14ac:dyDescent="0.25">
      <c r="A473" s="2644" t="s">
        <v>5586</v>
      </c>
      <c r="B473" s="2644" t="s">
        <v>6208</v>
      </c>
      <c r="C473" s="2645">
        <v>-7597.15</v>
      </c>
      <c r="E473" s="2100" t="str">
        <f>VLOOKUP(A473,'Trial Balance - FPer'!$A$7:$B$1126,1,FALSE)</f>
        <v>0704/8511/0000</v>
      </c>
    </row>
    <row r="474" spans="1:5" ht="15" x14ac:dyDescent="0.25">
      <c r="A474" s="2644" t="s">
        <v>5587</v>
      </c>
      <c r="B474" s="2644" t="s">
        <v>6209</v>
      </c>
      <c r="C474" s="2645">
        <v>969320.34</v>
      </c>
      <c r="E474" s="2100" t="str">
        <f>VLOOKUP(A474,'Trial Balance - FPer'!$A$7:$B$1126,1,FALSE)</f>
        <v>0801/1000/0015</v>
      </c>
    </row>
    <row r="475" spans="1:5" ht="15" x14ac:dyDescent="0.25">
      <c r="A475" s="2644" t="s">
        <v>5588</v>
      </c>
      <c r="B475" s="2644" t="s">
        <v>6210</v>
      </c>
      <c r="C475" s="2645">
        <v>398717.9</v>
      </c>
      <c r="E475" s="2100" t="str">
        <f>VLOOKUP(A475,'Trial Balance - FPer'!$A$7:$B$1126,1,FALSE)</f>
        <v>0801/1000/0016</v>
      </c>
    </row>
    <row r="476" spans="1:5" ht="15" x14ac:dyDescent="0.25">
      <c r="A476" s="2644" t="s">
        <v>5589</v>
      </c>
      <c r="B476" s="2644" t="s">
        <v>6211</v>
      </c>
      <c r="C476" s="2645">
        <v>51889.07</v>
      </c>
      <c r="E476" s="2100" t="str">
        <f>VLOOKUP(A476,'Trial Balance - FPer'!$A$7:$B$1126,1,FALSE)</f>
        <v>0801/1002/0015</v>
      </c>
    </row>
    <row r="477" spans="1:5" ht="15" x14ac:dyDescent="0.25">
      <c r="A477" s="2644" t="s">
        <v>5590</v>
      </c>
      <c r="B477" s="2644" t="s">
        <v>6212</v>
      </c>
      <c r="C477" s="2645">
        <v>60023.77</v>
      </c>
      <c r="E477" s="2100" t="str">
        <f>VLOOKUP(A477,'Trial Balance - FPer'!$A$7:$B$1126,1,FALSE)</f>
        <v>0801/1002/0016</v>
      </c>
    </row>
    <row r="478" spans="1:5" ht="15" x14ac:dyDescent="0.25">
      <c r="A478" s="2644" t="s">
        <v>5592</v>
      </c>
      <c r="B478" s="2644" t="s">
        <v>6213</v>
      </c>
      <c r="C478" s="2645">
        <v>7599.87</v>
      </c>
      <c r="E478" s="2100" t="str">
        <f>VLOOKUP(A478,'Trial Balance - FPer'!$A$7:$B$1126,1,FALSE)</f>
        <v>0801/1005/0015</v>
      </c>
    </row>
    <row r="479" spans="1:5" ht="15" x14ac:dyDescent="0.25">
      <c r="A479" s="2644" t="s">
        <v>5593</v>
      </c>
      <c r="B479" s="2644" t="s">
        <v>7750</v>
      </c>
      <c r="C479" s="2645">
        <v>1957.49</v>
      </c>
      <c r="E479" s="2100" t="str">
        <f>VLOOKUP(A479,'Trial Balance - FPer'!$A$7:$B$1126,1,FALSE)</f>
        <v>0801/1005/0016</v>
      </c>
    </row>
    <row r="480" spans="1:5" ht="15" x14ac:dyDescent="0.25">
      <c r="A480" s="2644" t="s">
        <v>5594</v>
      </c>
      <c r="B480" s="2644" t="s">
        <v>6214</v>
      </c>
      <c r="C480" s="2645">
        <v>100080.04</v>
      </c>
      <c r="E480" s="2100" t="str">
        <f>VLOOKUP(A480,'Trial Balance - FPer'!$A$7:$B$1126,1,FALSE)</f>
        <v>0801/1006/0015</v>
      </c>
    </row>
    <row r="481" spans="1:5" ht="15" x14ac:dyDescent="0.25">
      <c r="A481" s="2644" t="s">
        <v>5595</v>
      </c>
      <c r="B481" s="2644" t="s">
        <v>6215</v>
      </c>
      <c r="C481" s="2645">
        <v>3841.53</v>
      </c>
      <c r="E481" s="2100" t="str">
        <f>VLOOKUP(A481,'Trial Balance - FPer'!$A$7:$B$1126,1,FALSE)</f>
        <v>0801/1006/0016</v>
      </c>
    </row>
    <row r="482" spans="1:5" ht="15" x14ac:dyDescent="0.25">
      <c r="A482" s="2644" t="s">
        <v>5596</v>
      </c>
      <c r="B482" s="2644" t="s">
        <v>6216</v>
      </c>
      <c r="C482" s="2645">
        <v>20685.84</v>
      </c>
      <c r="E482" s="2100" t="str">
        <f>VLOOKUP(A482,'Trial Balance - FPer'!$A$7:$B$1126,1,FALSE)</f>
        <v>0801/1007/0015</v>
      </c>
    </row>
    <row r="483" spans="1:5" ht="15" x14ac:dyDescent="0.25">
      <c r="A483" s="2644" t="s">
        <v>5597</v>
      </c>
      <c r="B483" s="2644" t="s">
        <v>7751</v>
      </c>
      <c r="C483" s="2645">
        <v>3135.9</v>
      </c>
      <c r="E483" s="2100" t="str">
        <f>VLOOKUP(A483,'Trial Balance - FPer'!$A$7:$B$1126,1,FALSE)</f>
        <v>0801/1007/0016</v>
      </c>
    </row>
    <row r="484" spans="1:5" ht="15" x14ac:dyDescent="0.25">
      <c r="A484" s="2644" t="s">
        <v>5599</v>
      </c>
      <c r="B484" s="2644" t="s">
        <v>6217</v>
      </c>
      <c r="C484" s="2645">
        <v>700.6</v>
      </c>
      <c r="E484" s="2100" t="str">
        <f>VLOOKUP(A484,'Trial Balance - FPer'!$A$7:$B$1126,1,FALSE)</f>
        <v>0801/1010/0015</v>
      </c>
    </row>
    <row r="485" spans="1:5" ht="15" x14ac:dyDescent="0.25">
      <c r="A485" s="2644" t="s">
        <v>5600</v>
      </c>
      <c r="B485" s="2644" t="s">
        <v>6218</v>
      </c>
      <c r="C485" s="2645">
        <v>337</v>
      </c>
      <c r="E485" s="2100" t="str">
        <f>VLOOKUP(A485,'Trial Balance - FPer'!$A$7:$B$1126,1,FALSE)</f>
        <v>0801/1010/0016</v>
      </c>
    </row>
    <row r="486" spans="1:5" ht="15" x14ac:dyDescent="0.25">
      <c r="A486" s="2644" t="s">
        <v>5601</v>
      </c>
      <c r="B486" s="2644" t="s">
        <v>6219</v>
      </c>
      <c r="C486" s="2645">
        <v>10663.63</v>
      </c>
      <c r="E486" s="2100" t="str">
        <f>VLOOKUP(A486,'Trial Balance - FPer'!$A$7:$B$1126,1,FALSE)</f>
        <v>0801/1011/0015</v>
      </c>
    </row>
    <row r="487" spans="1:5" ht="15" x14ac:dyDescent="0.25">
      <c r="A487" s="2644" t="s">
        <v>5602</v>
      </c>
      <c r="B487" s="2644" t="s">
        <v>6220</v>
      </c>
      <c r="C487" s="2645">
        <v>4953.75</v>
      </c>
      <c r="E487" s="2100" t="str">
        <f>VLOOKUP(A487,'Trial Balance - FPer'!$A$7:$B$1126,1,FALSE)</f>
        <v>0801/1011/0016</v>
      </c>
    </row>
    <row r="488" spans="1:5" ht="15" x14ac:dyDescent="0.25">
      <c r="A488" s="2644" t="s">
        <v>5603</v>
      </c>
      <c r="B488" s="2644" t="s">
        <v>7752</v>
      </c>
      <c r="C488" s="2645">
        <v>10769.69</v>
      </c>
      <c r="E488" s="2100" t="str">
        <f>VLOOKUP(A488,'Trial Balance - FPer'!$A$7:$B$1126,1,FALSE)</f>
        <v>0801/1012/0015</v>
      </c>
    </row>
    <row r="489" spans="1:5" ht="15" x14ac:dyDescent="0.25">
      <c r="A489" s="2644" t="s">
        <v>5604</v>
      </c>
      <c r="B489" s="2644" t="s">
        <v>7753</v>
      </c>
      <c r="C489" s="2645">
        <v>2640.06</v>
      </c>
      <c r="E489" s="2100" t="str">
        <f>VLOOKUP(A489,'Trial Balance - FPer'!$A$7:$B$1126,1,FALSE)</f>
        <v>0801/1012/0016</v>
      </c>
    </row>
    <row r="490" spans="1:5" ht="15" x14ac:dyDescent="0.25">
      <c r="A490" s="2644" t="s">
        <v>5605</v>
      </c>
      <c r="B490" s="2644" t="s">
        <v>6221</v>
      </c>
      <c r="C490" s="2645">
        <v>70191.08</v>
      </c>
      <c r="E490" s="2100" t="str">
        <f>VLOOKUP(A490,'Trial Balance - FPer'!$A$7:$B$1126,1,FALSE)</f>
        <v>0801/1050/0015</v>
      </c>
    </row>
    <row r="491" spans="1:5" ht="15" x14ac:dyDescent="0.25">
      <c r="A491" s="2644" t="s">
        <v>5606</v>
      </c>
      <c r="B491" s="2644" t="s">
        <v>6222</v>
      </c>
      <c r="C491" s="2645">
        <v>12519.88</v>
      </c>
      <c r="E491" s="2100" t="str">
        <f>VLOOKUP(A491,'Trial Balance - FPer'!$A$7:$B$1126,1,FALSE)</f>
        <v>0801/1050/0016</v>
      </c>
    </row>
    <row r="492" spans="1:5" ht="15" x14ac:dyDescent="0.25">
      <c r="A492" s="2644" t="s">
        <v>5607</v>
      </c>
      <c r="B492" s="2644" t="s">
        <v>6223</v>
      </c>
      <c r="C492" s="2645">
        <v>157675.78</v>
      </c>
      <c r="E492" s="2100" t="str">
        <f>VLOOKUP(A492,'Trial Balance - FPer'!$A$7:$B$1126,1,FALSE)</f>
        <v>0801/1051/0015</v>
      </c>
    </row>
    <row r="493" spans="1:5" ht="15" x14ac:dyDescent="0.25">
      <c r="A493" s="2644" t="s">
        <v>5608</v>
      </c>
      <c r="B493" s="2644" t="s">
        <v>6224</v>
      </c>
      <c r="C493" s="2645">
        <v>74386.13</v>
      </c>
      <c r="E493" s="2100" t="str">
        <f>VLOOKUP(A493,'Trial Balance - FPer'!$A$7:$B$1126,1,FALSE)</f>
        <v>0801/1051/0016</v>
      </c>
    </row>
    <row r="494" spans="1:5" ht="15" x14ac:dyDescent="0.25">
      <c r="A494" s="2644" t="s">
        <v>5609</v>
      </c>
      <c r="B494" s="2644" t="s">
        <v>6225</v>
      </c>
      <c r="C494" s="2645">
        <v>10700.56</v>
      </c>
      <c r="E494" s="2100" t="str">
        <f>VLOOKUP(A494,'Trial Balance - FPer'!$A$7:$B$1126,1,FALSE)</f>
        <v>0801/1052/0015</v>
      </c>
    </row>
    <row r="495" spans="1:5" ht="15" x14ac:dyDescent="0.25">
      <c r="A495" s="2644" t="s">
        <v>5610</v>
      </c>
      <c r="B495" s="2644" t="s">
        <v>6226</v>
      </c>
      <c r="C495" s="2645">
        <v>5090.82</v>
      </c>
      <c r="E495" s="2100" t="str">
        <f>VLOOKUP(A495,'Trial Balance - FPer'!$A$7:$B$1126,1,FALSE)</f>
        <v>0801/1052/0016</v>
      </c>
    </row>
    <row r="496" spans="1:5" ht="15" x14ac:dyDescent="0.25">
      <c r="A496" s="2644" t="s">
        <v>5617</v>
      </c>
      <c r="B496" s="2644" t="s">
        <v>6227</v>
      </c>
      <c r="C496" s="2645">
        <v>412.57</v>
      </c>
      <c r="E496" s="2100" t="str">
        <f>VLOOKUP(A496,'Trial Balance - FPer'!$A$7:$B$1126,1,FALSE)</f>
        <v>0801/6541/0015</v>
      </c>
    </row>
    <row r="497" spans="1:5" ht="15" x14ac:dyDescent="0.25">
      <c r="A497" s="2644" t="s">
        <v>5619</v>
      </c>
      <c r="B497" s="2644" t="s">
        <v>7754</v>
      </c>
      <c r="C497" s="2645">
        <v>2266.88</v>
      </c>
      <c r="E497" s="2100" t="str">
        <f>VLOOKUP(A497,'Trial Balance - FPer'!$A$7:$B$1126,1,FALSE)</f>
        <v>0801/6549/0015</v>
      </c>
    </row>
    <row r="498" spans="1:5" ht="15" x14ac:dyDescent="0.25">
      <c r="A498" s="2644" t="s">
        <v>5620</v>
      </c>
      <c r="B498" s="2644" t="s">
        <v>7755</v>
      </c>
      <c r="C498" s="2645">
        <v>7912.59</v>
      </c>
      <c r="E498" s="2100" t="str">
        <f>VLOOKUP(A498,'Trial Balance - FPer'!$A$7:$B$1126,1,FALSE)</f>
        <v>0801/6552/0015</v>
      </c>
    </row>
    <row r="499" spans="1:5" ht="15" x14ac:dyDescent="0.25">
      <c r="A499" s="2644" t="s">
        <v>5621</v>
      </c>
      <c r="B499" s="2644" t="s">
        <v>7756</v>
      </c>
      <c r="C499" s="2645">
        <v>27.02</v>
      </c>
      <c r="E499" s="2100" t="str">
        <f>VLOOKUP(A499,'Trial Balance - FPer'!$A$7:$B$1126,1,FALSE)</f>
        <v>0801/6554/0015</v>
      </c>
    </row>
    <row r="500" spans="1:5" ht="15" x14ac:dyDescent="0.25">
      <c r="A500" s="2644" t="s">
        <v>5622</v>
      </c>
      <c r="B500" s="2644" t="s">
        <v>7757</v>
      </c>
      <c r="C500" s="2645">
        <v>23585.67</v>
      </c>
      <c r="E500" s="2100" t="str">
        <f>VLOOKUP(A500,'Trial Balance - FPer'!$A$7:$B$1126,1,FALSE)</f>
        <v>0801/6558/0015</v>
      </c>
    </row>
    <row r="501" spans="1:5" ht="15" x14ac:dyDescent="0.25">
      <c r="A501" s="2644" t="s">
        <v>5625</v>
      </c>
      <c r="B501" s="2644" t="s">
        <v>7758</v>
      </c>
      <c r="C501" s="2645">
        <v>4138.5200000000004</v>
      </c>
      <c r="E501" s="2100" t="str">
        <f>VLOOKUP(A501,'Trial Balance - FPer'!$A$7:$B$1126,1,FALSE)</f>
        <v>0801/6801/0015</v>
      </c>
    </row>
    <row r="502" spans="1:5" ht="15" x14ac:dyDescent="0.25">
      <c r="A502" s="2644" t="s">
        <v>5626</v>
      </c>
      <c r="B502" s="2644" t="s">
        <v>6228</v>
      </c>
      <c r="C502" s="2645">
        <v>8689.59</v>
      </c>
      <c r="E502" s="2100" t="str">
        <f>VLOOKUP(A502,'Trial Balance - FPer'!$A$7:$B$1126,1,FALSE)</f>
        <v>0801/6801/0016</v>
      </c>
    </row>
    <row r="503" spans="1:5" ht="15" x14ac:dyDescent="0.25">
      <c r="A503" s="2644" t="s">
        <v>5627</v>
      </c>
      <c r="B503" s="2644" t="s">
        <v>6229</v>
      </c>
      <c r="C503" s="2645">
        <v>14875.65</v>
      </c>
      <c r="E503" s="2100" t="str">
        <f>VLOOKUP(A503,'Trial Balance - FPer'!$A$7:$B$1126,1,FALSE)</f>
        <v>0801/6802/0015</v>
      </c>
    </row>
    <row r="504" spans="1:5" ht="15" x14ac:dyDescent="0.25">
      <c r="A504" s="2644" t="s">
        <v>5628</v>
      </c>
      <c r="B504" s="2644" t="s">
        <v>7759</v>
      </c>
      <c r="C504" s="2645">
        <v>13.51</v>
      </c>
      <c r="E504" s="2100" t="str">
        <f>VLOOKUP(A504,'Trial Balance - FPer'!$A$7:$B$1126,1,FALSE)</f>
        <v>0801/6802/0016</v>
      </c>
    </row>
    <row r="505" spans="1:5" ht="15" x14ac:dyDescent="0.25">
      <c r="A505" s="2644" t="s">
        <v>5629</v>
      </c>
      <c r="B505" s="2644" t="s">
        <v>6230</v>
      </c>
      <c r="C505" s="2645">
        <v>132</v>
      </c>
      <c r="E505" s="2100" t="str">
        <f>VLOOKUP(A505,'Trial Balance - FPer'!$A$7:$B$1126,1,FALSE)</f>
        <v>0801/6804/0015</v>
      </c>
    </row>
    <row r="506" spans="1:5" ht="15" x14ac:dyDescent="0.25">
      <c r="A506" s="2644" t="s">
        <v>5630</v>
      </c>
      <c r="B506" s="2644" t="s">
        <v>5171</v>
      </c>
      <c r="C506" s="2645">
        <v>2067.98</v>
      </c>
      <c r="E506" s="2100" t="str">
        <f>VLOOKUP(A506,'Trial Balance - FPer'!$A$7:$B$1126,1,FALSE)</f>
        <v>0801/6805/0016</v>
      </c>
    </row>
    <row r="507" spans="1:5" ht="15" x14ac:dyDescent="0.25">
      <c r="A507" s="2644" t="s">
        <v>5631</v>
      </c>
      <c r="B507" s="2644" t="s">
        <v>6094</v>
      </c>
      <c r="C507" s="2645">
        <v>4004</v>
      </c>
      <c r="E507" s="2100" t="str">
        <f>VLOOKUP(A507,'Trial Balance - FPer'!$A$7:$B$1126,1,FALSE)</f>
        <v>0801/6808/0015</v>
      </c>
    </row>
    <row r="508" spans="1:5" ht="15" x14ac:dyDescent="0.25">
      <c r="A508" s="2644" t="s">
        <v>5633</v>
      </c>
      <c r="B508" s="2644" t="s">
        <v>6231</v>
      </c>
      <c r="C508" s="2645">
        <v>45841.58</v>
      </c>
      <c r="E508" s="2100" t="str">
        <f>VLOOKUP(A508,'Trial Balance - FPer'!$A$7:$B$1126,1,FALSE)</f>
        <v>0801/7501/0015</v>
      </c>
    </row>
    <row r="509" spans="1:5" ht="15" x14ac:dyDescent="0.25">
      <c r="A509" s="2644" t="s">
        <v>5634</v>
      </c>
      <c r="B509" s="2644" t="s">
        <v>6232</v>
      </c>
      <c r="C509" s="2645">
        <v>12162.55</v>
      </c>
      <c r="E509" s="2100" t="str">
        <f>VLOOKUP(A509,'Trial Balance - FPer'!$A$7:$B$1126,1,FALSE)</f>
        <v>0801/7501/0016</v>
      </c>
    </row>
    <row r="510" spans="1:5" ht="15" x14ac:dyDescent="0.25">
      <c r="A510" s="2644" t="s">
        <v>5635</v>
      </c>
      <c r="B510" s="2644" t="s">
        <v>6036</v>
      </c>
      <c r="C510" s="2645">
        <v>6756.92</v>
      </c>
      <c r="E510" s="2100" t="str">
        <f>VLOOKUP(A510,'Trial Balance - FPer'!$A$7:$B$1126,1,FALSE)</f>
        <v>0801/7502/0015</v>
      </c>
    </row>
    <row r="511" spans="1:5" ht="15" x14ac:dyDescent="0.25">
      <c r="A511" s="2644" t="s">
        <v>5636</v>
      </c>
      <c r="B511" s="2644" t="s">
        <v>6036</v>
      </c>
      <c r="C511" s="2645">
        <v>4901.62</v>
      </c>
      <c r="E511" s="2100" t="str">
        <f>VLOOKUP(A511,'Trial Balance - FPer'!$A$7:$B$1126,1,FALSE)</f>
        <v>0801/7502/0016</v>
      </c>
    </row>
    <row r="512" spans="1:5" ht="15" x14ac:dyDescent="0.25">
      <c r="A512" s="2644" t="s">
        <v>5638</v>
      </c>
      <c r="B512" s="2644" t="s">
        <v>6233</v>
      </c>
      <c r="C512" s="2645">
        <v>0</v>
      </c>
      <c r="E512" s="2100" t="str">
        <f>VLOOKUP(A512,'Trial Balance - FPer'!$A$7:$B$1126,1,FALSE)</f>
        <v>0801/8103/0015</v>
      </c>
    </row>
    <row r="513" spans="1:5" ht="15" x14ac:dyDescent="0.25">
      <c r="A513" s="2644" t="s">
        <v>5640</v>
      </c>
      <c r="B513" s="2644" t="s">
        <v>5639</v>
      </c>
      <c r="C513" s="2645">
        <v>-4855.08</v>
      </c>
      <c r="E513" s="2100" t="str">
        <f>VLOOKUP(A513,'Trial Balance - FPer'!$A$7:$B$1126,1,FALSE)</f>
        <v>0801/8103/0016</v>
      </c>
    </row>
    <row r="514" spans="1:5" ht="15" x14ac:dyDescent="0.25">
      <c r="A514" s="2644" t="s">
        <v>5641</v>
      </c>
      <c r="B514" s="2644" t="s">
        <v>6234</v>
      </c>
      <c r="C514" s="2645">
        <v>-1509096.74</v>
      </c>
      <c r="E514" s="2100" t="str">
        <f>VLOOKUP(A514,'Trial Balance - FPer'!$A$7:$B$1126,1,FALSE)</f>
        <v>0801/8401/0015</v>
      </c>
    </row>
    <row r="515" spans="1:5" ht="15" x14ac:dyDescent="0.25">
      <c r="A515" s="2644" t="s">
        <v>5642</v>
      </c>
      <c r="B515" s="2644" t="s">
        <v>6235</v>
      </c>
      <c r="C515" s="2645">
        <v>-590584.38</v>
      </c>
      <c r="E515" s="2100" t="str">
        <f>VLOOKUP(A515,'Trial Balance - FPer'!$A$7:$B$1126,1,FALSE)</f>
        <v>0801/8401/0016</v>
      </c>
    </row>
    <row r="516" spans="1:5" ht="15" x14ac:dyDescent="0.25">
      <c r="A516" s="2644" t="s">
        <v>5643</v>
      </c>
      <c r="B516" s="2644" t="s">
        <v>7760</v>
      </c>
      <c r="C516" s="2645">
        <v>-11133.16</v>
      </c>
      <c r="E516" s="2100" t="str">
        <f>VLOOKUP(A516,'Trial Balance - FPer'!$A$7:$B$1126,1,FALSE)</f>
        <v>0801/8508/0015</v>
      </c>
    </row>
    <row r="517" spans="1:5" ht="15" x14ac:dyDescent="0.25">
      <c r="A517" s="2644" t="s">
        <v>5662</v>
      </c>
      <c r="B517" s="2644" t="s">
        <v>6003</v>
      </c>
      <c r="C517" s="2645">
        <v>4712758.28</v>
      </c>
      <c r="E517" s="2100" t="str">
        <f>VLOOKUP(A517,'Trial Balance - FPer'!$A$7:$B$1126,1,FALSE)</f>
        <v>1001/1000/0000</v>
      </c>
    </row>
    <row r="518" spans="1:5" ht="15" x14ac:dyDescent="0.25">
      <c r="A518" s="2644" t="s">
        <v>5663</v>
      </c>
      <c r="B518" s="2644" t="s">
        <v>6004</v>
      </c>
      <c r="C518" s="2645">
        <v>258689.26</v>
      </c>
      <c r="E518" s="2100" t="str">
        <f>VLOOKUP(A518,'Trial Balance - FPer'!$A$7:$B$1126,1,FALSE)</f>
        <v>1001/1002/0000</v>
      </c>
    </row>
    <row r="519" spans="1:5" ht="15" x14ac:dyDescent="0.25">
      <c r="A519" s="2644" t="s">
        <v>5664</v>
      </c>
      <c r="B519" s="2644" t="s">
        <v>6005</v>
      </c>
      <c r="C519" s="2645">
        <v>3028.2</v>
      </c>
      <c r="E519" s="2100" t="str">
        <f>VLOOKUP(A519,'Trial Balance - FPer'!$A$7:$B$1126,1,FALSE)</f>
        <v>1001/1003/0000</v>
      </c>
    </row>
    <row r="520" spans="1:5" ht="15" x14ac:dyDescent="0.25">
      <c r="A520" s="2644" t="s">
        <v>5665</v>
      </c>
      <c r="B520" s="2644" t="s">
        <v>6236</v>
      </c>
      <c r="C520" s="2645">
        <v>0</v>
      </c>
      <c r="E520" s="2100" t="str">
        <f>VLOOKUP(A520,'Trial Balance - FPer'!$A$7:$B$1126,1,FALSE)</f>
        <v>1001/1004/0000</v>
      </c>
    </row>
    <row r="521" spans="1:5" ht="15" x14ac:dyDescent="0.25">
      <c r="A521" s="2644" t="s">
        <v>5667</v>
      </c>
      <c r="B521" s="2644" t="s">
        <v>6007</v>
      </c>
      <c r="C521" s="2645">
        <v>633942.36</v>
      </c>
      <c r="E521" s="2100" t="str">
        <f>VLOOKUP(A521,'Trial Balance - FPer'!$A$7:$B$1126,1,FALSE)</f>
        <v>1001/1006/0000</v>
      </c>
    </row>
    <row r="522" spans="1:5" ht="15" x14ac:dyDescent="0.25">
      <c r="A522" s="2644" t="s">
        <v>5668</v>
      </c>
      <c r="B522" s="2644" t="s">
        <v>6008</v>
      </c>
      <c r="C522" s="2645">
        <v>5156.42</v>
      </c>
      <c r="E522" s="2100" t="str">
        <f>VLOOKUP(A522,'Trial Balance - FPer'!$A$7:$B$1126,1,FALSE)</f>
        <v>1001/1007/0000</v>
      </c>
    </row>
    <row r="523" spans="1:5" ht="15" x14ac:dyDescent="0.25">
      <c r="A523" s="2644" t="s">
        <v>5670</v>
      </c>
      <c r="B523" s="2644" t="s">
        <v>6010</v>
      </c>
      <c r="C523" s="2645">
        <v>3139.38</v>
      </c>
      <c r="E523" s="2100" t="str">
        <f>VLOOKUP(A523,'Trial Balance - FPer'!$A$7:$B$1126,1,FALSE)</f>
        <v>1001/1010/0000</v>
      </c>
    </row>
    <row r="524" spans="1:5" ht="15" x14ac:dyDescent="0.25">
      <c r="A524" s="2644" t="s">
        <v>5671</v>
      </c>
      <c r="B524" s="2644" t="s">
        <v>6011</v>
      </c>
      <c r="C524" s="2645">
        <v>54094.7</v>
      </c>
      <c r="E524" s="2100" t="str">
        <f>VLOOKUP(A524,'Trial Balance - FPer'!$A$7:$B$1126,1,FALSE)</f>
        <v>1001/1011/0000</v>
      </c>
    </row>
    <row r="525" spans="1:5" ht="15" x14ac:dyDescent="0.25">
      <c r="A525" s="2644" t="s">
        <v>5672</v>
      </c>
      <c r="B525" s="2644" t="s">
        <v>7710</v>
      </c>
      <c r="C525" s="2645">
        <v>16065.57</v>
      </c>
      <c r="E525" s="2100" t="str">
        <f>VLOOKUP(A525,'Trial Balance - FPer'!$A$7:$B$1126,1,FALSE)</f>
        <v>1001/1012/0000</v>
      </c>
    </row>
    <row r="526" spans="1:5" ht="15" x14ac:dyDescent="0.25">
      <c r="A526" s="2644" t="s">
        <v>5673</v>
      </c>
      <c r="B526" s="2644" t="s">
        <v>6012</v>
      </c>
      <c r="C526" s="2645">
        <v>199003.35</v>
      </c>
      <c r="E526" s="2100" t="str">
        <f>VLOOKUP(A526,'Trial Balance - FPer'!$A$7:$B$1126,1,FALSE)</f>
        <v>1001/1050/0000</v>
      </c>
    </row>
    <row r="527" spans="1:5" ht="15" x14ac:dyDescent="0.25">
      <c r="A527" s="2644" t="s">
        <v>5674</v>
      </c>
      <c r="B527" s="2644" t="s">
        <v>6013</v>
      </c>
      <c r="C527" s="2645">
        <v>802015.37</v>
      </c>
      <c r="E527" s="2100" t="str">
        <f>VLOOKUP(A527,'Trial Balance - FPer'!$A$7:$B$1126,1,FALSE)</f>
        <v>1001/1051/0000</v>
      </c>
    </row>
    <row r="528" spans="1:5" ht="15" x14ac:dyDescent="0.25">
      <c r="A528" s="2644" t="s">
        <v>5675</v>
      </c>
      <c r="B528" s="2644" t="s">
        <v>6014</v>
      </c>
      <c r="C528" s="2645">
        <v>54331.92</v>
      </c>
      <c r="E528" s="2100" t="str">
        <f>VLOOKUP(A528,'Trial Balance - FPer'!$A$7:$B$1126,1,FALSE)</f>
        <v>1001/1052/0000</v>
      </c>
    </row>
    <row r="529" spans="1:5" ht="15" x14ac:dyDescent="0.25">
      <c r="A529" s="2644" t="s">
        <v>5676</v>
      </c>
      <c r="B529" s="2644" t="s">
        <v>6237</v>
      </c>
      <c r="C529" s="2645">
        <v>400000</v>
      </c>
      <c r="E529" s="2100" t="str">
        <f>VLOOKUP(A529,'Trial Balance - FPer'!$A$7:$B$1126,1,FALSE)</f>
        <v>1001/2000/0000</v>
      </c>
    </row>
    <row r="530" spans="1:5" ht="15" x14ac:dyDescent="0.25">
      <c r="A530" s="2644" t="s">
        <v>5678</v>
      </c>
      <c r="B530" s="2644" t="s">
        <v>6238</v>
      </c>
      <c r="C530" s="2645">
        <v>73956.2</v>
      </c>
      <c r="E530" s="2100" t="str">
        <f>VLOOKUP(A530,'Trial Balance - FPer'!$A$7:$B$1126,1,FALSE)</f>
        <v>1001/5002/0000</v>
      </c>
    </row>
    <row r="531" spans="1:5" ht="15" x14ac:dyDescent="0.25">
      <c r="A531" s="2644" t="s">
        <v>5682</v>
      </c>
      <c r="B531" s="2644" t="s">
        <v>6240</v>
      </c>
      <c r="C531" s="2645">
        <v>12453006.85</v>
      </c>
      <c r="E531" s="2100" t="str">
        <f>VLOOKUP(A531,'Trial Balance - FPer'!$A$7:$B$1126,1,FALSE)</f>
        <v>1001/6210/0000</v>
      </c>
    </row>
    <row r="532" spans="1:5" ht="15" x14ac:dyDescent="0.25">
      <c r="A532" s="2644" t="s">
        <v>5686</v>
      </c>
      <c r="B532" s="2644" t="s">
        <v>6021</v>
      </c>
      <c r="C532" s="2645">
        <v>4138.5200000000004</v>
      </c>
      <c r="E532" s="2100" t="str">
        <f>VLOOKUP(A532,'Trial Balance - FPer'!$A$7:$B$1126,1,FALSE)</f>
        <v>1001/6514/0000</v>
      </c>
    </row>
    <row r="533" spans="1:5" ht="15" x14ac:dyDescent="0.25">
      <c r="A533" s="2644" t="s">
        <v>5687</v>
      </c>
      <c r="B533" s="2644" t="s">
        <v>6105</v>
      </c>
      <c r="C533" s="2645">
        <v>827.71</v>
      </c>
      <c r="E533" s="2100" t="str">
        <f>VLOOKUP(A533,'Trial Balance - FPer'!$A$7:$B$1126,1,FALSE)</f>
        <v>1001/6525/0000</v>
      </c>
    </row>
    <row r="534" spans="1:5" ht="15" x14ac:dyDescent="0.25">
      <c r="A534" s="2644" t="s">
        <v>5688</v>
      </c>
      <c r="B534" s="2644" t="s">
        <v>6241</v>
      </c>
      <c r="C534" s="2645">
        <v>19872.599999999999</v>
      </c>
      <c r="E534" s="2100" t="str">
        <f>VLOOKUP(A534,'Trial Balance - FPer'!$A$7:$B$1126,1,FALSE)</f>
        <v>1001/6527/0000</v>
      </c>
    </row>
    <row r="535" spans="1:5" ht="15" x14ac:dyDescent="0.25">
      <c r="A535" s="2644" t="s">
        <v>5690</v>
      </c>
      <c r="B535" s="2644" t="s">
        <v>6108</v>
      </c>
      <c r="C535" s="2645">
        <v>652.54</v>
      </c>
      <c r="E535" s="2100" t="str">
        <f>VLOOKUP(A535,'Trial Balance - FPer'!$A$7:$B$1126,1,FALSE)</f>
        <v>1001/6532/0000</v>
      </c>
    </row>
    <row r="536" spans="1:5" ht="15" x14ac:dyDescent="0.25">
      <c r="A536" s="2644" t="s">
        <v>5692</v>
      </c>
      <c r="B536" s="2644" t="s">
        <v>4873</v>
      </c>
      <c r="C536" s="2645">
        <v>6604.27</v>
      </c>
      <c r="E536" s="2100" t="str">
        <f>VLOOKUP(A536,'Trial Balance - FPer'!$A$7:$B$1126,1,FALSE)</f>
        <v>1001/6535/0000</v>
      </c>
    </row>
    <row r="537" spans="1:5" ht="15" x14ac:dyDescent="0.25">
      <c r="A537" s="2644" t="s">
        <v>5694</v>
      </c>
      <c r="B537" s="2644" t="s">
        <v>6029</v>
      </c>
      <c r="C537" s="2645">
        <v>12127.5</v>
      </c>
      <c r="E537" s="2100" t="str">
        <f>VLOOKUP(A537,'Trial Balance - FPer'!$A$7:$B$1126,1,FALSE)</f>
        <v>1001/6541/0000</v>
      </c>
    </row>
    <row r="538" spans="1:5" ht="15" x14ac:dyDescent="0.25">
      <c r="A538" s="2644" t="s">
        <v>5695</v>
      </c>
      <c r="B538" s="2644" t="s">
        <v>6171</v>
      </c>
      <c r="C538" s="2645">
        <v>454.28</v>
      </c>
      <c r="E538" s="2100" t="str">
        <f>VLOOKUP(A538,'Trial Balance - FPer'!$A$7:$B$1126,1,FALSE)</f>
        <v>1001/6543/0000</v>
      </c>
    </row>
    <row r="539" spans="1:5" ht="15" x14ac:dyDescent="0.25">
      <c r="A539" s="2644" t="s">
        <v>5696</v>
      </c>
      <c r="B539" s="2644" t="s">
        <v>6030</v>
      </c>
      <c r="C539" s="2645">
        <v>15162.49</v>
      </c>
      <c r="E539" s="2100" t="str">
        <f>VLOOKUP(A539,'Trial Balance - FPer'!$A$7:$B$1126,1,FALSE)</f>
        <v>1001/6544/0000</v>
      </c>
    </row>
    <row r="540" spans="1:5" ht="15" x14ac:dyDescent="0.25">
      <c r="A540" s="2644" t="s">
        <v>5697</v>
      </c>
      <c r="B540" s="2644" t="s">
        <v>4883</v>
      </c>
      <c r="C540" s="2645">
        <v>6615.18</v>
      </c>
      <c r="E540" s="2100" t="str">
        <f>VLOOKUP(A540,'Trial Balance - FPer'!$A$7:$B$1126,1,FALSE)</f>
        <v>1001/6546/0000</v>
      </c>
    </row>
    <row r="541" spans="1:5" ht="15" x14ac:dyDescent="0.25">
      <c r="A541" s="2644" t="s">
        <v>5698</v>
      </c>
      <c r="B541" s="2644" t="s">
        <v>7761</v>
      </c>
      <c r="C541" s="2645">
        <v>9517.2999999999993</v>
      </c>
      <c r="E541" s="2100" t="str">
        <f>VLOOKUP(A541,'Trial Balance - FPer'!$A$7:$B$1126,1,FALSE)</f>
        <v>1001/6549/0000</v>
      </c>
    </row>
    <row r="542" spans="1:5" ht="15" x14ac:dyDescent="0.25">
      <c r="A542" s="2644" t="s">
        <v>5699</v>
      </c>
      <c r="B542" s="2644" t="s">
        <v>6032</v>
      </c>
      <c r="C542" s="2645">
        <v>484714.8</v>
      </c>
      <c r="E542" s="2100" t="str">
        <f>VLOOKUP(A542,'Trial Balance - FPer'!$A$7:$B$1126,1,FALSE)</f>
        <v>1001/6552/0000</v>
      </c>
    </row>
    <row r="543" spans="1:5" ht="15" x14ac:dyDescent="0.25">
      <c r="A543" s="2644" t="s">
        <v>5700</v>
      </c>
      <c r="B543" s="2644" t="s">
        <v>6033</v>
      </c>
      <c r="C543" s="2645">
        <v>62.57</v>
      </c>
      <c r="E543" s="2100" t="str">
        <f>VLOOKUP(A543,'Trial Balance - FPer'!$A$7:$B$1126,1,FALSE)</f>
        <v>1001/6554/0000</v>
      </c>
    </row>
    <row r="544" spans="1:5" ht="15" x14ac:dyDescent="0.25">
      <c r="A544" s="2644" t="s">
        <v>5701</v>
      </c>
      <c r="B544" s="2644" t="s">
        <v>6172</v>
      </c>
      <c r="C544" s="2645">
        <v>316854.44</v>
      </c>
      <c r="E544" s="2100" t="str">
        <f>VLOOKUP(A544,'Trial Balance - FPer'!$A$7:$B$1126,1,FALSE)</f>
        <v>1001/6558/0000</v>
      </c>
    </row>
    <row r="545" spans="1:5" ht="15" x14ac:dyDescent="0.25">
      <c r="A545" s="2644" t="s">
        <v>5706</v>
      </c>
      <c r="B545" s="2644" t="s">
        <v>6173</v>
      </c>
      <c r="C545" s="2645">
        <v>8277.0300000000007</v>
      </c>
      <c r="E545" s="2100" t="str">
        <f>VLOOKUP(A545,'Trial Balance - FPer'!$A$7:$B$1126,1,FALSE)</f>
        <v>1001/6801/0000</v>
      </c>
    </row>
    <row r="546" spans="1:5" ht="15" x14ac:dyDescent="0.25">
      <c r="A546" s="2644" t="s">
        <v>5707</v>
      </c>
      <c r="B546" s="2644" t="s">
        <v>6205</v>
      </c>
      <c r="C546" s="2645">
        <v>9517.2999999999993</v>
      </c>
      <c r="E546" s="2100" t="str">
        <f>VLOOKUP(A546,'Trial Balance - FPer'!$A$7:$B$1126,1,FALSE)</f>
        <v>1001/6802/0000</v>
      </c>
    </row>
    <row r="547" spans="1:5" ht="15" x14ac:dyDescent="0.25">
      <c r="A547" s="2644" t="s">
        <v>5708</v>
      </c>
      <c r="B547" s="2644" t="s">
        <v>6034</v>
      </c>
      <c r="C547" s="2645">
        <v>0</v>
      </c>
      <c r="E547" s="2100" t="str">
        <f>VLOOKUP(A547,'Trial Balance - FPer'!$A$7:$B$1126,1,FALSE)</f>
        <v>1001/6808/0000</v>
      </c>
    </row>
    <row r="548" spans="1:5" ht="15" x14ac:dyDescent="0.25">
      <c r="A548" s="2644" t="s">
        <v>5710</v>
      </c>
      <c r="B548" s="2644" t="s">
        <v>6242</v>
      </c>
      <c r="C548" s="2645">
        <v>29640.09</v>
      </c>
      <c r="E548" s="2100" t="str">
        <f>VLOOKUP(A548,'Trial Balance - FPer'!$A$7:$B$1126,1,FALSE)</f>
        <v>1001/6815/0000</v>
      </c>
    </row>
    <row r="549" spans="1:5" ht="15" x14ac:dyDescent="0.25">
      <c r="A549" s="2644" t="s">
        <v>5711</v>
      </c>
      <c r="B549" s="2644" t="s">
        <v>6178</v>
      </c>
      <c r="C549" s="2645">
        <v>17532.59</v>
      </c>
      <c r="E549" s="2100" t="str">
        <f>VLOOKUP(A549,'Trial Balance - FPer'!$A$7:$B$1126,1,FALSE)</f>
        <v>1001/6818/0000</v>
      </c>
    </row>
    <row r="550" spans="1:5" ht="15" x14ac:dyDescent="0.25">
      <c r="A550" s="2644" t="s">
        <v>5713</v>
      </c>
      <c r="B550" s="2644" t="s">
        <v>6035</v>
      </c>
      <c r="C550" s="2645">
        <v>44121.35</v>
      </c>
      <c r="E550" s="2100" t="str">
        <f>VLOOKUP(A550,'Trial Balance - FPer'!$A$7:$B$1126,1,FALSE)</f>
        <v>1001/7501/0000</v>
      </c>
    </row>
    <row r="551" spans="1:5" ht="15" x14ac:dyDescent="0.25">
      <c r="A551" s="2644" t="s">
        <v>5714</v>
      </c>
      <c r="B551" s="2644" t="s">
        <v>6036</v>
      </c>
      <c r="C551" s="2645">
        <v>21087.45</v>
      </c>
      <c r="E551" s="2100" t="str">
        <f>VLOOKUP(A551,'Trial Balance - FPer'!$A$7:$B$1126,1,FALSE)</f>
        <v>1001/7502/0000</v>
      </c>
    </row>
    <row r="552" spans="1:5" ht="15" x14ac:dyDescent="0.25">
      <c r="A552" s="2644" t="s">
        <v>5715</v>
      </c>
      <c r="B552" s="2644" t="s">
        <v>6243</v>
      </c>
      <c r="C552" s="2645">
        <v>-1832984.08</v>
      </c>
      <c r="E552" s="2100" t="str">
        <f>VLOOKUP(A552,'Trial Balance - FPer'!$A$7:$B$1126,1,FALSE)</f>
        <v>1001/8055/0000</v>
      </c>
    </row>
    <row r="553" spans="1:5" ht="15" x14ac:dyDescent="0.25">
      <c r="A553" s="2644" t="s">
        <v>5717</v>
      </c>
      <c r="B553" s="2644" t="s">
        <v>6037</v>
      </c>
      <c r="C553" s="2645">
        <v>-6785739.3300000001</v>
      </c>
      <c r="E553" s="2100" t="str">
        <f>VLOOKUP(A553,'Trial Balance - FPer'!$A$7:$B$1126,1,FALSE)</f>
        <v>1001/8401/0000</v>
      </c>
    </row>
    <row r="554" spans="1:5" ht="15" x14ac:dyDescent="0.25">
      <c r="A554" s="2644" t="s">
        <v>5718</v>
      </c>
      <c r="B554" s="2644" t="s">
        <v>6244</v>
      </c>
      <c r="C554" s="2645">
        <v>-971006.85</v>
      </c>
      <c r="E554" s="2100" t="str">
        <f>VLOOKUP(A554,'Trial Balance - FPer'!$A$7:$B$1126,1,FALSE)</f>
        <v>1001/8450/0000</v>
      </c>
    </row>
    <row r="555" spans="1:5" ht="15" x14ac:dyDescent="0.25">
      <c r="A555" s="2644" t="s">
        <v>5721</v>
      </c>
      <c r="B555" s="2644" t="s">
        <v>6246</v>
      </c>
      <c r="C555" s="2645">
        <v>-2180.6999999999998</v>
      </c>
      <c r="E555" s="2100" t="str">
        <f>VLOOKUP(A555,'Trial Balance - FPer'!$A$7:$B$1126,1,FALSE)</f>
        <v>1001/8505/0000</v>
      </c>
    </row>
    <row r="556" spans="1:5" ht="15" x14ac:dyDescent="0.25">
      <c r="A556" s="2644" t="s">
        <v>5723</v>
      </c>
      <c r="B556" s="2644" t="s">
        <v>6247</v>
      </c>
      <c r="C556" s="2645">
        <v>-6672.72</v>
      </c>
      <c r="E556" s="2100" t="str">
        <f>VLOOKUP(A556,'Trial Balance - FPer'!$A$7:$B$1126,1,FALSE)</f>
        <v>1001/8510/0000</v>
      </c>
    </row>
    <row r="557" spans="1:5" ht="15" x14ac:dyDescent="0.25">
      <c r="A557" s="2644" t="s">
        <v>5725</v>
      </c>
      <c r="B557" s="2644" t="s">
        <v>6039</v>
      </c>
      <c r="C557" s="2645">
        <v>0</v>
      </c>
      <c r="E557" s="2100" t="str">
        <f>VLOOKUP(A557,'Trial Balance - FPer'!$A$7:$B$1126,1,FALSE)</f>
        <v>1010/1001/0000</v>
      </c>
    </row>
    <row r="558" spans="1:5" ht="15" x14ac:dyDescent="0.25">
      <c r="A558" s="2644" t="s">
        <v>5726</v>
      </c>
      <c r="B558" s="2644" t="s">
        <v>6003</v>
      </c>
      <c r="C558" s="2645">
        <v>2580260</v>
      </c>
      <c r="E558" s="2100" t="str">
        <f>VLOOKUP(A558,'Trial Balance - FPer'!$A$7:$B$1126,1,FALSE)</f>
        <v>1011/1000/0000</v>
      </c>
    </row>
    <row r="559" spans="1:5" ht="15" x14ac:dyDescent="0.25">
      <c r="A559" s="2644" t="s">
        <v>5727</v>
      </c>
      <c r="B559" s="2644" t="s">
        <v>6004</v>
      </c>
      <c r="C559" s="2645">
        <v>147624.57999999999</v>
      </c>
      <c r="E559" s="2100" t="str">
        <f>VLOOKUP(A559,'Trial Balance - FPer'!$A$7:$B$1126,1,FALSE)</f>
        <v>1011/1002/0000</v>
      </c>
    </row>
    <row r="560" spans="1:5" ht="15" x14ac:dyDescent="0.25">
      <c r="A560" s="2644" t="s">
        <v>5729</v>
      </c>
      <c r="B560" s="2644" t="s">
        <v>6236</v>
      </c>
      <c r="C560" s="2645">
        <v>0</v>
      </c>
      <c r="E560" s="2100" t="str">
        <f>VLOOKUP(A560,'Trial Balance - FPer'!$A$7:$B$1126,1,FALSE)</f>
        <v>1011/1004/0000</v>
      </c>
    </row>
    <row r="561" spans="1:5" ht="15" x14ac:dyDescent="0.25">
      <c r="A561" s="2644" t="s">
        <v>5730</v>
      </c>
      <c r="B561" s="2644" t="s">
        <v>6006</v>
      </c>
      <c r="C561" s="2645">
        <v>3109.05</v>
      </c>
      <c r="E561" s="2100" t="str">
        <f>VLOOKUP(A561,'Trial Balance - FPer'!$A$7:$B$1126,1,FALSE)</f>
        <v>1011/1005/0000</v>
      </c>
    </row>
    <row r="562" spans="1:5" ht="15" x14ac:dyDescent="0.25">
      <c r="A562" s="2644" t="s">
        <v>5731</v>
      </c>
      <c r="B562" s="2644" t="s">
        <v>6007</v>
      </c>
      <c r="C562" s="2645">
        <v>165277.17000000001</v>
      </c>
      <c r="E562" s="2100" t="str">
        <f>VLOOKUP(A562,'Trial Balance - FPer'!$A$7:$B$1126,1,FALSE)</f>
        <v>1011/1006/0000</v>
      </c>
    </row>
    <row r="563" spans="1:5" ht="15" x14ac:dyDescent="0.25">
      <c r="A563" s="2644" t="s">
        <v>5732</v>
      </c>
      <c r="B563" s="2644" t="s">
        <v>6008</v>
      </c>
      <c r="C563" s="2645">
        <v>18409.77</v>
      </c>
      <c r="E563" s="2100" t="str">
        <f>VLOOKUP(A563,'Trial Balance - FPer'!$A$7:$B$1126,1,FALSE)</f>
        <v>1011/1007/0000</v>
      </c>
    </row>
    <row r="564" spans="1:5" ht="15" x14ac:dyDescent="0.25">
      <c r="A564" s="2644" t="s">
        <v>5734</v>
      </c>
      <c r="B564" s="2644" t="s">
        <v>6010</v>
      </c>
      <c r="C564" s="2645">
        <v>2128.39</v>
      </c>
      <c r="E564" s="2100" t="str">
        <f>VLOOKUP(A564,'Trial Balance - FPer'!$A$7:$B$1126,1,FALSE)</f>
        <v>1011/1010/0000</v>
      </c>
    </row>
    <row r="565" spans="1:5" ht="15" x14ac:dyDescent="0.25">
      <c r="A565" s="2644" t="s">
        <v>5735</v>
      </c>
      <c r="B565" s="2644" t="s">
        <v>6011</v>
      </c>
      <c r="C565" s="2645">
        <v>27883.34</v>
      </c>
      <c r="E565" s="2100" t="str">
        <f>VLOOKUP(A565,'Trial Balance - FPer'!$A$7:$B$1126,1,FALSE)</f>
        <v>1011/1011/0000</v>
      </c>
    </row>
    <row r="566" spans="1:5" ht="15" x14ac:dyDescent="0.25">
      <c r="A566" s="2644" t="s">
        <v>5736</v>
      </c>
      <c r="B566" s="2644" t="s">
        <v>7710</v>
      </c>
      <c r="C566" s="2645">
        <v>21912.82</v>
      </c>
      <c r="E566" s="2100" t="str">
        <f>VLOOKUP(A566,'Trial Balance - FPer'!$A$7:$B$1126,1,FALSE)</f>
        <v>1011/1012/0000</v>
      </c>
    </row>
    <row r="567" spans="1:5" ht="15" x14ac:dyDescent="0.25">
      <c r="A567" s="2644" t="s">
        <v>5737</v>
      </c>
      <c r="B567" s="2644" t="s">
        <v>6012</v>
      </c>
      <c r="C567" s="2645">
        <v>114650.25</v>
      </c>
      <c r="E567" s="2100" t="str">
        <f>VLOOKUP(A567,'Trial Balance - FPer'!$A$7:$B$1126,1,FALSE)</f>
        <v>1011/1050/0000</v>
      </c>
    </row>
    <row r="568" spans="1:5" ht="15" x14ac:dyDescent="0.25">
      <c r="A568" s="2644" t="s">
        <v>5738</v>
      </c>
      <c r="B568" s="2644" t="s">
        <v>6013</v>
      </c>
      <c r="C568" s="2645">
        <v>344443.02</v>
      </c>
      <c r="E568" s="2100" t="str">
        <f>VLOOKUP(A568,'Trial Balance - FPer'!$A$7:$B$1126,1,FALSE)</f>
        <v>1011/1051/0000</v>
      </c>
    </row>
    <row r="569" spans="1:5" ht="15" x14ac:dyDescent="0.25">
      <c r="A569" s="2644" t="s">
        <v>5739</v>
      </c>
      <c r="B569" s="2644" t="s">
        <v>6014</v>
      </c>
      <c r="C569" s="2645">
        <v>29289.96</v>
      </c>
      <c r="E569" s="2100" t="str">
        <f>VLOOKUP(A569,'Trial Balance - FPer'!$A$7:$B$1126,1,FALSE)</f>
        <v>1011/1052/0000</v>
      </c>
    </row>
    <row r="570" spans="1:5" ht="15" x14ac:dyDescent="0.25">
      <c r="A570" s="2644" t="s">
        <v>5740</v>
      </c>
      <c r="B570" s="2644" t="s">
        <v>6237</v>
      </c>
      <c r="C570" s="2645">
        <v>389410.38</v>
      </c>
      <c r="E570" s="2100" t="str">
        <f>VLOOKUP(A570,'Trial Balance - FPer'!$A$7:$B$1126,1,FALSE)</f>
        <v>1011/2000/0000</v>
      </c>
    </row>
    <row r="571" spans="1:5" ht="15" x14ac:dyDescent="0.25">
      <c r="A571" s="2644" t="s">
        <v>5748</v>
      </c>
      <c r="B571" s="2644" t="s">
        <v>6108</v>
      </c>
      <c r="C571" s="2645">
        <v>3529.57</v>
      </c>
      <c r="E571" s="2100" t="str">
        <f>VLOOKUP(A571,'Trial Balance - FPer'!$A$7:$B$1126,1,FALSE)</f>
        <v>1011/6532/0000</v>
      </c>
    </row>
    <row r="572" spans="1:5" ht="15" x14ac:dyDescent="0.25">
      <c r="A572" s="2644" t="s">
        <v>5750</v>
      </c>
      <c r="B572" s="2644" t="s">
        <v>4873</v>
      </c>
      <c r="C572" s="2645">
        <v>31695.25</v>
      </c>
      <c r="E572" s="2100" t="str">
        <f>VLOOKUP(A572,'Trial Balance - FPer'!$A$7:$B$1126,1,FALSE)</f>
        <v>1011/6535/0000</v>
      </c>
    </row>
    <row r="573" spans="1:5" ht="15" x14ac:dyDescent="0.25">
      <c r="A573" s="2644" t="s">
        <v>5752</v>
      </c>
      <c r="B573" s="2644" t="s">
        <v>6029</v>
      </c>
      <c r="C573" s="2645">
        <v>176</v>
      </c>
      <c r="E573" s="2100" t="str">
        <f>VLOOKUP(A573,'Trial Balance - FPer'!$A$7:$B$1126,1,FALSE)</f>
        <v>1011/6541/0000</v>
      </c>
    </row>
    <row r="574" spans="1:5" ht="15" x14ac:dyDescent="0.25">
      <c r="A574" s="2644" t="s">
        <v>5753</v>
      </c>
      <c r="B574" s="2644" t="s">
        <v>6171</v>
      </c>
      <c r="C574" s="2645">
        <v>2074.8200000000002</v>
      </c>
      <c r="E574" s="2100" t="str">
        <f>VLOOKUP(A574,'Trial Balance - FPer'!$A$7:$B$1126,1,FALSE)</f>
        <v>1011/6543/0000</v>
      </c>
    </row>
    <row r="575" spans="1:5" ht="15" x14ac:dyDescent="0.25">
      <c r="A575" s="2644" t="s">
        <v>5755</v>
      </c>
      <c r="B575" s="2644" t="s">
        <v>4883</v>
      </c>
      <c r="C575" s="2645">
        <v>63267.23</v>
      </c>
      <c r="E575" s="2100" t="str">
        <f>VLOOKUP(A575,'Trial Balance - FPer'!$A$7:$B$1126,1,FALSE)</f>
        <v>1011/6546/0000</v>
      </c>
    </row>
    <row r="576" spans="1:5" ht="15" x14ac:dyDescent="0.25">
      <c r="A576" s="2644" t="s">
        <v>5757</v>
      </c>
      <c r="B576" s="2644" t="s">
        <v>6032</v>
      </c>
      <c r="C576" s="2645">
        <v>17477.830000000002</v>
      </c>
      <c r="E576" s="2100" t="str">
        <f>VLOOKUP(A576,'Trial Balance - FPer'!$A$7:$B$1126,1,FALSE)</f>
        <v>1011/6552/0000</v>
      </c>
    </row>
    <row r="577" spans="1:5" ht="15" x14ac:dyDescent="0.25">
      <c r="A577" s="2644" t="s">
        <v>5760</v>
      </c>
      <c r="B577" s="2644" t="s">
        <v>6205</v>
      </c>
      <c r="C577" s="2645">
        <v>461.78</v>
      </c>
      <c r="E577" s="2100" t="str">
        <f>VLOOKUP(A577,'Trial Balance - FPer'!$A$7:$B$1126,1,FALSE)</f>
        <v>1011/6802/0000</v>
      </c>
    </row>
    <row r="578" spans="1:5" ht="15" x14ac:dyDescent="0.25">
      <c r="A578" s="2644" t="s">
        <v>5761</v>
      </c>
      <c r="B578" s="2644" t="s">
        <v>6177</v>
      </c>
      <c r="C578" s="2645">
        <v>121275</v>
      </c>
      <c r="E578" s="2100" t="str">
        <f>VLOOKUP(A578,'Trial Balance - FPer'!$A$7:$B$1126,1,FALSE)</f>
        <v>1011/6804/0000</v>
      </c>
    </row>
    <row r="579" spans="1:5" ht="15" x14ac:dyDescent="0.25">
      <c r="A579" s="2644" t="s">
        <v>5762</v>
      </c>
      <c r="B579" s="2644" t="s">
        <v>6034</v>
      </c>
      <c r="C579" s="2645">
        <v>92612.63</v>
      </c>
      <c r="E579" s="2100" t="str">
        <f>VLOOKUP(A579,'Trial Balance - FPer'!$A$7:$B$1126,1,FALSE)</f>
        <v>1011/6808/0000</v>
      </c>
    </row>
    <row r="580" spans="1:5" ht="15" x14ac:dyDescent="0.25">
      <c r="A580" s="2644" t="s">
        <v>5763</v>
      </c>
      <c r="B580" s="2644" t="s">
        <v>7762</v>
      </c>
      <c r="C580" s="2645">
        <v>19704.45</v>
      </c>
      <c r="E580" s="2100" t="str">
        <f>VLOOKUP(A580,'Trial Balance - FPer'!$A$7:$B$1126,1,FALSE)</f>
        <v>1011/6810/0000</v>
      </c>
    </row>
    <row r="581" spans="1:5" ht="15" x14ac:dyDescent="0.25">
      <c r="A581" s="2644" t="s">
        <v>5764</v>
      </c>
      <c r="B581" s="2644" t="s">
        <v>6242</v>
      </c>
      <c r="C581" s="2645">
        <v>24831.08</v>
      </c>
      <c r="E581" s="2100" t="str">
        <f>VLOOKUP(A581,'Trial Balance - FPer'!$A$7:$B$1126,1,FALSE)</f>
        <v>1011/6815/0000</v>
      </c>
    </row>
    <row r="582" spans="1:5" ht="15" x14ac:dyDescent="0.25">
      <c r="A582" s="2644" t="s">
        <v>5766</v>
      </c>
      <c r="B582" s="2644" t="s">
        <v>6035</v>
      </c>
      <c r="C582" s="2645">
        <v>76930.649999999994</v>
      </c>
      <c r="E582" s="2100" t="str">
        <f>VLOOKUP(A582,'Trial Balance - FPer'!$A$7:$B$1126,1,FALSE)</f>
        <v>1011/7501/0000</v>
      </c>
    </row>
    <row r="583" spans="1:5" ht="15" x14ac:dyDescent="0.25">
      <c r="A583" s="2644" t="s">
        <v>5767</v>
      </c>
      <c r="B583" s="2644" t="s">
        <v>6036</v>
      </c>
      <c r="C583" s="2645">
        <v>21981.14</v>
      </c>
      <c r="E583" s="2100" t="str">
        <f>VLOOKUP(A583,'Trial Balance - FPer'!$A$7:$B$1126,1,FALSE)</f>
        <v>1011/7502/0000</v>
      </c>
    </row>
    <row r="584" spans="1:5" ht="15" x14ac:dyDescent="0.25">
      <c r="A584" s="2644" t="s">
        <v>5768</v>
      </c>
      <c r="B584" s="2644" t="s">
        <v>6248</v>
      </c>
      <c r="C584" s="2645">
        <v>-694560.48</v>
      </c>
      <c r="E584" s="2100" t="str">
        <f>VLOOKUP(A584,'Trial Balance - FPer'!$A$7:$B$1126,1,FALSE)</f>
        <v>1011/8051/0000</v>
      </c>
    </row>
    <row r="585" spans="1:5" ht="15" x14ac:dyDescent="0.25">
      <c r="A585" s="2644" t="s">
        <v>5770</v>
      </c>
      <c r="B585" s="2644" t="s">
        <v>6037</v>
      </c>
      <c r="C585" s="2645">
        <v>-3236445.3</v>
      </c>
      <c r="E585" s="2100" t="str">
        <f>VLOOKUP(A585,'Trial Balance - FPer'!$A$7:$B$1126,1,FALSE)</f>
        <v>1011/8401/0000</v>
      </c>
    </row>
    <row r="586" spans="1:5" ht="15" x14ac:dyDescent="0.25">
      <c r="A586" s="2644" t="s">
        <v>5771</v>
      </c>
      <c r="B586" s="2644" t="s">
        <v>6003</v>
      </c>
      <c r="C586" s="2645">
        <v>1958643.38</v>
      </c>
      <c r="E586" s="2100" t="str">
        <f>VLOOKUP(A586,'Trial Balance - FPer'!$A$7:$B$1126,1,FALSE)</f>
        <v>1101/1000/0000</v>
      </c>
    </row>
    <row r="587" spans="1:5" ht="15" x14ac:dyDescent="0.25">
      <c r="A587" s="2644" t="s">
        <v>5772</v>
      </c>
      <c r="B587" s="2644" t="s">
        <v>6004</v>
      </c>
      <c r="C587" s="2645">
        <v>56812.19</v>
      </c>
      <c r="E587" s="2100" t="str">
        <f>VLOOKUP(A587,'Trial Balance - FPer'!$A$7:$B$1126,1,FALSE)</f>
        <v>1101/1002/0000</v>
      </c>
    </row>
    <row r="588" spans="1:5" ht="15" x14ac:dyDescent="0.25">
      <c r="A588" s="2644" t="s">
        <v>5774</v>
      </c>
      <c r="B588" s="2644" t="s">
        <v>6236</v>
      </c>
      <c r="C588" s="2645">
        <v>0</v>
      </c>
      <c r="E588" s="2100" t="str">
        <f>VLOOKUP(A588,'Trial Balance - FPer'!$A$7:$B$1126,1,FALSE)</f>
        <v>1101/1004/0000</v>
      </c>
    </row>
    <row r="589" spans="1:5" ht="15" x14ac:dyDescent="0.25">
      <c r="A589" s="2644" t="s">
        <v>5775</v>
      </c>
      <c r="B589" s="2644" t="s">
        <v>6006</v>
      </c>
      <c r="C589" s="2645">
        <v>7600.78</v>
      </c>
      <c r="E589" s="2100" t="str">
        <f>VLOOKUP(A589,'Trial Balance - FPer'!$A$7:$B$1126,1,FALSE)</f>
        <v>1101/1005/0000</v>
      </c>
    </row>
    <row r="590" spans="1:5" ht="15" x14ac:dyDescent="0.25">
      <c r="A590" s="2644" t="s">
        <v>5776</v>
      </c>
      <c r="B590" s="2644" t="s">
        <v>6007</v>
      </c>
      <c r="C590" s="2645">
        <v>61844.45</v>
      </c>
      <c r="E590" s="2100" t="str">
        <f>VLOOKUP(A590,'Trial Balance - FPer'!$A$7:$B$1126,1,FALSE)</f>
        <v>1101/1006/0000</v>
      </c>
    </row>
    <row r="591" spans="1:5" ht="15" x14ac:dyDescent="0.25">
      <c r="A591" s="2644" t="s">
        <v>5777</v>
      </c>
      <c r="B591" s="2644" t="s">
        <v>6008</v>
      </c>
      <c r="C591" s="2645">
        <v>22683.88</v>
      </c>
      <c r="E591" s="2100" t="str">
        <f>VLOOKUP(A591,'Trial Balance - FPer'!$A$7:$B$1126,1,FALSE)</f>
        <v>1101/1007/0000</v>
      </c>
    </row>
    <row r="592" spans="1:5" ht="15" x14ac:dyDescent="0.25">
      <c r="A592" s="2644" t="s">
        <v>5778</v>
      </c>
      <c r="B592" s="2644" t="s">
        <v>6009</v>
      </c>
      <c r="C592" s="2645">
        <v>0</v>
      </c>
      <c r="E592" s="2100" t="str">
        <f>VLOOKUP(A592,'Trial Balance - FPer'!$A$7:$B$1126,1,FALSE)</f>
        <v>1101/1009/0000</v>
      </c>
    </row>
    <row r="593" spans="1:5" ht="15" x14ac:dyDescent="0.25">
      <c r="A593" s="2644" t="s">
        <v>5779</v>
      </c>
      <c r="B593" s="2644" t="s">
        <v>6010</v>
      </c>
      <c r="C593" s="2645">
        <v>1347.98</v>
      </c>
      <c r="E593" s="2100" t="str">
        <f>VLOOKUP(A593,'Trial Balance - FPer'!$A$7:$B$1126,1,FALSE)</f>
        <v>1101/1010/0000</v>
      </c>
    </row>
    <row r="594" spans="1:5" ht="15" x14ac:dyDescent="0.25">
      <c r="A594" s="2644" t="s">
        <v>5780</v>
      </c>
      <c r="B594" s="2644" t="s">
        <v>6011</v>
      </c>
      <c r="C594" s="2645">
        <v>19030.849999999999</v>
      </c>
      <c r="E594" s="2100" t="str">
        <f>VLOOKUP(A594,'Trial Balance - FPer'!$A$7:$B$1126,1,FALSE)</f>
        <v>1101/1011/0000</v>
      </c>
    </row>
    <row r="595" spans="1:5" ht="15" x14ac:dyDescent="0.25">
      <c r="A595" s="2644" t="s">
        <v>5781</v>
      </c>
      <c r="B595" s="2644" t="s">
        <v>7710</v>
      </c>
      <c r="C595" s="2645">
        <v>6778.37</v>
      </c>
      <c r="E595" s="2100" t="str">
        <f>VLOOKUP(A595,'Trial Balance - FPer'!$A$7:$B$1126,1,FALSE)</f>
        <v>1101/1012/0000</v>
      </c>
    </row>
    <row r="596" spans="1:5" ht="15" x14ac:dyDescent="0.25">
      <c r="A596" s="2644" t="s">
        <v>5782</v>
      </c>
      <c r="B596" s="2644" t="s">
        <v>6012</v>
      </c>
      <c r="C596" s="2645">
        <v>134724.19</v>
      </c>
      <c r="E596" s="2100" t="str">
        <f>VLOOKUP(A596,'Trial Balance - FPer'!$A$7:$B$1126,1,FALSE)</f>
        <v>1101/1050/0000</v>
      </c>
    </row>
    <row r="597" spans="1:5" ht="15" x14ac:dyDescent="0.25">
      <c r="A597" s="2644" t="s">
        <v>5783</v>
      </c>
      <c r="B597" s="2644" t="s">
        <v>6013</v>
      </c>
      <c r="C597" s="2645">
        <v>279261.71000000002</v>
      </c>
      <c r="E597" s="2100" t="str">
        <f>VLOOKUP(A597,'Trial Balance - FPer'!$A$7:$B$1126,1,FALSE)</f>
        <v>1101/1051/0000</v>
      </c>
    </row>
    <row r="598" spans="1:5" ht="15" x14ac:dyDescent="0.25">
      <c r="A598" s="2644" t="s">
        <v>5784</v>
      </c>
      <c r="B598" s="2644" t="s">
        <v>6014</v>
      </c>
      <c r="C598" s="2645">
        <v>20206.080000000002</v>
      </c>
      <c r="E598" s="2100" t="str">
        <f>VLOOKUP(A598,'Trial Balance - FPer'!$A$7:$B$1126,1,FALSE)</f>
        <v>1101/1052/0000</v>
      </c>
    </row>
    <row r="599" spans="1:5" ht="15" x14ac:dyDescent="0.25">
      <c r="A599" s="2644" t="s">
        <v>5786</v>
      </c>
      <c r="B599" s="2644" t="s">
        <v>6832</v>
      </c>
      <c r="C599" s="2645">
        <v>1800000</v>
      </c>
      <c r="E599" s="2100" t="str">
        <f>VLOOKUP(A599,'Trial Balance - FPer'!$A$7:$B$1126,1,FALSE)</f>
        <v>1101/5000/0000</v>
      </c>
    </row>
    <row r="600" spans="1:5" ht="15" x14ac:dyDescent="0.25">
      <c r="A600" s="2644" t="s">
        <v>5788</v>
      </c>
      <c r="B600" s="2644" t="s">
        <v>6240</v>
      </c>
      <c r="C600" s="2645">
        <v>4239709.75</v>
      </c>
      <c r="E600" s="2100" t="str">
        <f>VLOOKUP(A600,'Trial Balance - FPer'!$A$7:$B$1126,1,FALSE)</f>
        <v>1101/6210/0000</v>
      </c>
    </row>
    <row r="601" spans="1:5" ht="15" x14ac:dyDescent="0.25">
      <c r="A601" s="2644" t="s">
        <v>5789</v>
      </c>
      <c r="B601" s="2644" t="s">
        <v>6249</v>
      </c>
      <c r="C601" s="2645">
        <v>536000</v>
      </c>
      <c r="E601" s="2100" t="str">
        <f>VLOOKUP(A601,'Trial Balance - FPer'!$A$7:$B$1126,1,FALSE)</f>
        <v>1101/6211/0000</v>
      </c>
    </row>
    <row r="602" spans="1:5" ht="15" x14ac:dyDescent="0.25">
      <c r="A602" s="2644" t="s">
        <v>5793</v>
      </c>
      <c r="B602" s="2644" t="s">
        <v>6104</v>
      </c>
      <c r="C602" s="2645">
        <v>2168.71</v>
      </c>
      <c r="E602" s="2100" t="str">
        <f>VLOOKUP(A602,'Trial Balance - FPer'!$A$7:$B$1126,1,FALSE)</f>
        <v>1101/6511/0000</v>
      </c>
    </row>
    <row r="603" spans="1:5" ht="15" x14ac:dyDescent="0.25">
      <c r="A603" s="2644" t="s">
        <v>5794</v>
      </c>
      <c r="B603" s="2644" t="s">
        <v>6021</v>
      </c>
      <c r="C603" s="2645">
        <v>487.28</v>
      </c>
      <c r="E603" s="2100" t="str">
        <f>VLOOKUP(A603,'Trial Balance - FPer'!$A$7:$B$1126,1,FALSE)</f>
        <v>1101/6514/0000</v>
      </c>
    </row>
    <row r="604" spans="1:5" ht="15" x14ac:dyDescent="0.25">
      <c r="A604" s="2644" t="s">
        <v>5798</v>
      </c>
      <c r="B604" s="2644" t="s">
        <v>7763</v>
      </c>
      <c r="C604" s="2645">
        <v>1003.2</v>
      </c>
      <c r="E604" s="2100" t="str">
        <f>VLOOKUP(A604,'Trial Balance - FPer'!$A$7:$B$1126,1,FALSE)</f>
        <v>1101/6530/0000</v>
      </c>
    </row>
    <row r="605" spans="1:5" ht="15" x14ac:dyDescent="0.25">
      <c r="A605" s="2644" t="s">
        <v>5799</v>
      </c>
      <c r="B605" s="2644" t="s">
        <v>6108</v>
      </c>
      <c r="C605" s="2645">
        <v>4752</v>
      </c>
      <c r="E605" s="2100" t="str">
        <f>VLOOKUP(A605,'Trial Balance - FPer'!$A$7:$B$1126,1,FALSE)</f>
        <v>1101/6532/0000</v>
      </c>
    </row>
    <row r="606" spans="1:5" ht="15" x14ac:dyDescent="0.25">
      <c r="A606" s="2644" t="s">
        <v>5801</v>
      </c>
      <c r="B606" s="2644" t="s">
        <v>4873</v>
      </c>
      <c r="C606" s="2645">
        <v>18205.09</v>
      </c>
      <c r="E606" s="2100" t="str">
        <f>VLOOKUP(A606,'Trial Balance - FPer'!$A$7:$B$1126,1,FALSE)</f>
        <v>1101/6535/0000</v>
      </c>
    </row>
    <row r="607" spans="1:5" ht="15" x14ac:dyDescent="0.25">
      <c r="A607" s="2644" t="s">
        <v>5803</v>
      </c>
      <c r="B607" s="2644" t="s">
        <v>6029</v>
      </c>
      <c r="C607" s="2645">
        <v>19277.72</v>
      </c>
      <c r="E607" s="2100" t="str">
        <f>VLOOKUP(A607,'Trial Balance - FPer'!$A$7:$B$1126,1,FALSE)</f>
        <v>1101/6541/0000</v>
      </c>
    </row>
    <row r="608" spans="1:5" ht="15" x14ac:dyDescent="0.25">
      <c r="A608" s="2644" t="s">
        <v>5805</v>
      </c>
      <c r="B608" s="2644" t="s">
        <v>6030</v>
      </c>
      <c r="C608" s="2645">
        <v>86793.52</v>
      </c>
      <c r="E608" s="2100" t="str">
        <f>VLOOKUP(A608,'Trial Balance - FPer'!$A$7:$B$1126,1,FALSE)</f>
        <v>1101/6544/0000</v>
      </c>
    </row>
    <row r="609" spans="1:5" ht="15" x14ac:dyDescent="0.25">
      <c r="A609" s="2644" t="s">
        <v>5806</v>
      </c>
      <c r="B609" s="2644" t="s">
        <v>4883</v>
      </c>
      <c r="C609" s="2645">
        <v>3325.96</v>
      </c>
      <c r="E609" s="2100" t="str">
        <f>VLOOKUP(A609,'Trial Balance - FPer'!$A$7:$B$1126,1,FALSE)</f>
        <v>1101/6546/0000</v>
      </c>
    </row>
    <row r="610" spans="1:5" ht="15" x14ac:dyDescent="0.25">
      <c r="A610" s="2644" t="s">
        <v>5808</v>
      </c>
      <c r="B610" s="2644" t="s">
        <v>6032</v>
      </c>
      <c r="C610" s="2645">
        <v>39874.160000000003</v>
      </c>
      <c r="E610" s="2100" t="str">
        <f>VLOOKUP(A610,'Trial Balance - FPer'!$A$7:$B$1126,1,FALSE)</f>
        <v>1101/6552/0000</v>
      </c>
    </row>
    <row r="611" spans="1:5" ht="15" x14ac:dyDescent="0.25">
      <c r="A611" s="2644" t="s">
        <v>5809</v>
      </c>
      <c r="B611" s="2644" t="s">
        <v>6033</v>
      </c>
      <c r="C611" s="2645">
        <v>154.4</v>
      </c>
      <c r="E611" s="2100" t="str">
        <f>VLOOKUP(A611,'Trial Balance - FPer'!$A$7:$B$1126,1,FALSE)</f>
        <v>1101/6554/0000</v>
      </c>
    </row>
    <row r="612" spans="1:5" ht="15" x14ac:dyDescent="0.25">
      <c r="A612" s="2644" t="s">
        <v>5811</v>
      </c>
      <c r="B612" s="2644" t="s">
        <v>4929</v>
      </c>
      <c r="C612" s="2645">
        <v>0</v>
      </c>
      <c r="E612" s="2100" t="e">
        <f>VLOOKUP(A612,'Trial Balance - FPer'!$A$7:$B$1126,1,FALSE)</f>
        <v>#N/A</v>
      </c>
    </row>
    <row r="613" spans="1:5" ht="15" x14ac:dyDescent="0.25">
      <c r="A613" s="2644" t="s">
        <v>5814</v>
      </c>
      <c r="B613" s="2644" t="s">
        <v>6251</v>
      </c>
      <c r="C613" s="2645">
        <v>35497.9</v>
      </c>
      <c r="E613" s="2100" t="str">
        <f>VLOOKUP(A613,'Trial Balance - FPer'!$A$7:$B$1126,1,FALSE)</f>
        <v>1101/6807/0000</v>
      </c>
    </row>
    <row r="614" spans="1:5" ht="15" x14ac:dyDescent="0.25">
      <c r="A614" s="2644" t="s">
        <v>5815</v>
      </c>
      <c r="B614" s="2644" t="s">
        <v>6034</v>
      </c>
      <c r="C614" s="2645">
        <v>2109.87</v>
      </c>
      <c r="E614" s="2100" t="str">
        <f>VLOOKUP(A614,'Trial Balance - FPer'!$A$7:$B$1126,1,FALSE)</f>
        <v>1101/6808/0000</v>
      </c>
    </row>
    <row r="615" spans="1:5" ht="15" x14ac:dyDescent="0.25">
      <c r="A615" s="2644" t="s">
        <v>5817</v>
      </c>
      <c r="B615" s="2644" t="s">
        <v>6035</v>
      </c>
      <c r="C615" s="2645">
        <v>11901.41</v>
      </c>
      <c r="E615" s="2100" t="str">
        <f>VLOOKUP(A615,'Trial Balance - FPer'!$A$7:$B$1126,1,FALSE)</f>
        <v>1101/7501/0000</v>
      </c>
    </row>
    <row r="616" spans="1:5" ht="15" x14ac:dyDescent="0.25">
      <c r="A616" s="2644" t="s">
        <v>5818</v>
      </c>
      <c r="B616" s="2644" t="s">
        <v>6036</v>
      </c>
      <c r="C616" s="2645">
        <v>14378.08</v>
      </c>
      <c r="E616" s="2100" t="str">
        <f>VLOOKUP(A616,'Trial Balance - FPer'!$A$7:$B$1126,1,FALSE)</f>
        <v>1101/7502/0000</v>
      </c>
    </row>
    <row r="617" spans="1:5" ht="15" x14ac:dyDescent="0.25">
      <c r="A617" s="2644" t="s">
        <v>5819</v>
      </c>
      <c r="B617" s="2644" t="s">
        <v>6252</v>
      </c>
      <c r="C617" s="2645">
        <v>-6488.53</v>
      </c>
      <c r="E617" s="2100" t="str">
        <f>VLOOKUP(A617,'Trial Balance - FPer'!$A$7:$B$1126,1,FALSE)</f>
        <v>1101/8104/0000</v>
      </c>
    </row>
    <row r="618" spans="1:5" ht="15" x14ac:dyDescent="0.25">
      <c r="A618" s="2644" t="s">
        <v>5820</v>
      </c>
      <c r="B618" s="2644" t="s">
        <v>6037</v>
      </c>
      <c r="C618" s="2645">
        <v>-2545770.7400000002</v>
      </c>
      <c r="E618" s="2100" t="str">
        <f>VLOOKUP(A618,'Trial Balance - FPer'!$A$7:$B$1126,1,FALSE)</f>
        <v>1101/8401/0000</v>
      </c>
    </row>
    <row r="619" spans="1:5" ht="15" x14ac:dyDescent="0.25">
      <c r="A619" s="2644" t="s">
        <v>5821</v>
      </c>
      <c r="B619" s="2644" t="s">
        <v>6244</v>
      </c>
      <c r="C619" s="2645">
        <v>-4239709.75</v>
      </c>
      <c r="E619" s="2100" t="str">
        <f>VLOOKUP(A619,'Trial Balance - FPer'!$A$7:$B$1126,1,FALSE)</f>
        <v>1101/8450/0000</v>
      </c>
    </row>
    <row r="620" spans="1:5" ht="15" x14ac:dyDescent="0.25">
      <c r="A620" s="2644" t="s">
        <v>5822</v>
      </c>
      <c r="B620" s="2644" t="s">
        <v>6253</v>
      </c>
      <c r="C620" s="2645">
        <v>-536000</v>
      </c>
      <c r="E620" s="2100" t="str">
        <f>VLOOKUP(A620,'Trial Balance - FPer'!$A$7:$B$1126,1,FALSE)</f>
        <v>1101/8453/0000</v>
      </c>
    </row>
    <row r="621" spans="1:5" ht="15" x14ac:dyDescent="0.25">
      <c r="A621" s="2644" t="s">
        <v>5826</v>
      </c>
      <c r="B621" s="2644" t="s">
        <v>6255</v>
      </c>
      <c r="C621" s="2645">
        <v>-1980.04</v>
      </c>
      <c r="E621" s="2100" t="str">
        <f>VLOOKUP(A621,'Trial Balance - FPer'!$A$7:$B$1126,1,FALSE)</f>
        <v>1101/8509/0000</v>
      </c>
    </row>
    <row r="622" spans="1:5" ht="15" x14ac:dyDescent="0.25">
      <c r="A622" s="2644" t="s">
        <v>5828</v>
      </c>
      <c r="B622" s="2644" t="s">
        <v>6003</v>
      </c>
      <c r="C622" s="2645">
        <v>2984395.39</v>
      </c>
      <c r="E622" s="2100" t="str">
        <f>VLOOKUP(A622,'Trial Balance - FPer'!$A$7:$B$1126,1,FALSE)</f>
        <v>1201/1000/0000</v>
      </c>
    </row>
    <row r="623" spans="1:5" ht="15" x14ac:dyDescent="0.25">
      <c r="A623" s="2644" t="s">
        <v>5829</v>
      </c>
      <c r="B623" s="2644" t="s">
        <v>6004</v>
      </c>
      <c r="C623" s="2645">
        <v>200967.38</v>
      </c>
      <c r="E623" s="2100" t="str">
        <f>VLOOKUP(A623,'Trial Balance - FPer'!$A$7:$B$1126,1,FALSE)</f>
        <v>1201/1002/0000</v>
      </c>
    </row>
    <row r="624" spans="1:5" ht="15" x14ac:dyDescent="0.25">
      <c r="A624" s="2644" t="s">
        <v>5831</v>
      </c>
      <c r="B624" s="2644" t="s">
        <v>6236</v>
      </c>
      <c r="C624" s="2645">
        <v>0</v>
      </c>
      <c r="E624" s="2100" t="str">
        <f>VLOOKUP(A624,'Trial Balance - FPer'!$A$7:$B$1126,1,FALSE)</f>
        <v>1201/1004/0000</v>
      </c>
    </row>
    <row r="625" spans="1:5" ht="15" x14ac:dyDescent="0.25">
      <c r="A625" s="2644" t="s">
        <v>5833</v>
      </c>
      <c r="B625" s="2644" t="s">
        <v>6007</v>
      </c>
      <c r="C625" s="2645">
        <v>655922.56999999995</v>
      </c>
      <c r="E625" s="2100" t="str">
        <f>VLOOKUP(A625,'Trial Balance - FPer'!$A$7:$B$1126,1,FALSE)</f>
        <v>1201/1006/0000</v>
      </c>
    </row>
    <row r="626" spans="1:5" ht="15" x14ac:dyDescent="0.25">
      <c r="A626" s="2644" t="s">
        <v>5834</v>
      </c>
      <c r="B626" s="2644" t="s">
        <v>6008</v>
      </c>
      <c r="C626" s="2645">
        <v>2230.92</v>
      </c>
      <c r="E626" s="2100" t="str">
        <f>VLOOKUP(A626,'Trial Balance - FPer'!$A$7:$B$1126,1,FALSE)</f>
        <v>1201/1007/0000</v>
      </c>
    </row>
    <row r="627" spans="1:5" ht="15" x14ac:dyDescent="0.25">
      <c r="A627" s="2644" t="s">
        <v>5835</v>
      </c>
      <c r="B627" s="2644" t="s">
        <v>6010</v>
      </c>
      <c r="C627" s="2645">
        <v>2039.71</v>
      </c>
      <c r="E627" s="2100" t="str">
        <f>VLOOKUP(A627,'Trial Balance - FPer'!$A$7:$B$1126,1,FALSE)</f>
        <v>1201/1010/0000</v>
      </c>
    </row>
    <row r="628" spans="1:5" ht="15" x14ac:dyDescent="0.25">
      <c r="A628" s="2644" t="s">
        <v>5836</v>
      </c>
      <c r="B628" s="2644" t="s">
        <v>6011</v>
      </c>
      <c r="C628" s="2645">
        <v>35714.42</v>
      </c>
      <c r="E628" s="2100" t="str">
        <f>VLOOKUP(A628,'Trial Balance - FPer'!$A$7:$B$1126,1,FALSE)</f>
        <v>1201/1011/0000</v>
      </c>
    </row>
    <row r="629" spans="1:5" ht="15" x14ac:dyDescent="0.25">
      <c r="A629" s="2644" t="s">
        <v>5837</v>
      </c>
      <c r="B629" s="2644" t="s">
        <v>7710</v>
      </c>
      <c r="C629" s="2645">
        <v>20415.21</v>
      </c>
      <c r="E629" s="2100" t="str">
        <f>VLOOKUP(A629,'Trial Balance - FPer'!$A$7:$B$1126,1,FALSE)</f>
        <v>1201/1012/0000</v>
      </c>
    </row>
    <row r="630" spans="1:5" ht="15" x14ac:dyDescent="0.25">
      <c r="A630" s="2644" t="s">
        <v>5838</v>
      </c>
      <c r="B630" s="2644" t="s">
        <v>6012</v>
      </c>
      <c r="C630" s="2645">
        <v>132985.57</v>
      </c>
      <c r="E630" s="2100" t="str">
        <f>VLOOKUP(A630,'Trial Balance - FPer'!$A$7:$B$1126,1,FALSE)</f>
        <v>1201/1050/0000</v>
      </c>
    </row>
    <row r="631" spans="1:5" ht="15" x14ac:dyDescent="0.25">
      <c r="A631" s="2644" t="s">
        <v>5839</v>
      </c>
      <c r="B631" s="2644" t="s">
        <v>6013</v>
      </c>
      <c r="C631" s="2645">
        <v>486212.66</v>
      </c>
      <c r="E631" s="2100" t="str">
        <f>VLOOKUP(A631,'Trial Balance - FPer'!$A$7:$B$1126,1,FALSE)</f>
        <v>1201/1051/0000</v>
      </c>
    </row>
    <row r="632" spans="1:5" ht="15" x14ac:dyDescent="0.25">
      <c r="A632" s="2644" t="s">
        <v>5840</v>
      </c>
      <c r="B632" s="2644" t="s">
        <v>6014</v>
      </c>
      <c r="C632" s="2645">
        <v>36827.89</v>
      </c>
      <c r="E632" s="2100" t="str">
        <f>VLOOKUP(A632,'Trial Balance - FPer'!$A$7:$B$1126,1,FALSE)</f>
        <v>1201/1052/0000</v>
      </c>
    </row>
    <row r="633" spans="1:5" ht="15" x14ac:dyDescent="0.25">
      <c r="A633" s="2644" t="s">
        <v>5841</v>
      </c>
      <c r="B633" s="2644" t="s">
        <v>6237</v>
      </c>
      <c r="C633" s="2645">
        <v>434745.59999999998</v>
      </c>
      <c r="E633" s="2100" t="str">
        <f>VLOOKUP(A633,'Trial Balance - FPer'!$A$7:$B$1126,1,FALSE)</f>
        <v>1201/2000/0000</v>
      </c>
    </row>
    <row r="634" spans="1:5" ht="15" x14ac:dyDescent="0.25">
      <c r="A634" s="2644" t="s">
        <v>5848</v>
      </c>
      <c r="B634" s="2644" t="s">
        <v>6240</v>
      </c>
      <c r="C634" s="2645">
        <v>9543730.4000000004</v>
      </c>
      <c r="E634" s="2100" t="str">
        <f>VLOOKUP(A634,'Trial Balance - FPer'!$A$7:$B$1126,1,FALSE)</f>
        <v>1201/6210/0000</v>
      </c>
    </row>
    <row r="635" spans="1:5" ht="15" x14ac:dyDescent="0.25">
      <c r="A635" s="2644" t="s">
        <v>5850</v>
      </c>
      <c r="B635" s="2644" t="s">
        <v>6021</v>
      </c>
      <c r="C635" s="2645">
        <v>2067.98</v>
      </c>
      <c r="E635" s="2100" t="str">
        <f>VLOOKUP(A635,'Trial Balance - FPer'!$A$7:$B$1126,1,FALSE)</f>
        <v>1201/6514/0000</v>
      </c>
    </row>
    <row r="636" spans="1:5" ht="15" x14ac:dyDescent="0.25">
      <c r="A636" s="2644" t="s">
        <v>5853</v>
      </c>
      <c r="B636" s="2644" t="s">
        <v>6241</v>
      </c>
      <c r="C636" s="2645">
        <v>33000</v>
      </c>
      <c r="E636" s="2100" t="str">
        <f>VLOOKUP(A636,'Trial Balance - FPer'!$A$7:$B$1126,1,FALSE)</f>
        <v>1201/6527/0000</v>
      </c>
    </row>
    <row r="637" spans="1:5" ht="15" x14ac:dyDescent="0.25">
      <c r="A637" s="2644" t="s">
        <v>5856</v>
      </c>
      <c r="B637" s="2644" t="s">
        <v>4873</v>
      </c>
      <c r="C637" s="2645">
        <v>18690.21</v>
      </c>
      <c r="E637" s="2100" t="str">
        <f>VLOOKUP(A637,'Trial Balance - FPer'!$A$7:$B$1126,1,FALSE)</f>
        <v>1201/6535/0000</v>
      </c>
    </row>
    <row r="638" spans="1:5" ht="15" x14ac:dyDescent="0.25">
      <c r="A638" s="2644" t="s">
        <v>5859</v>
      </c>
      <c r="B638" s="2644" t="s">
        <v>6258</v>
      </c>
      <c r="C638" s="2645">
        <v>1112949.21</v>
      </c>
      <c r="E638" s="2100" t="str">
        <f>VLOOKUP(A638,'Trial Balance - FPer'!$A$7:$B$1126,1,FALSE)</f>
        <v>1201/6540/0000</v>
      </c>
    </row>
    <row r="639" spans="1:5" ht="15" x14ac:dyDescent="0.25">
      <c r="A639" s="2644" t="s">
        <v>5861</v>
      </c>
      <c r="B639" s="2644" t="s">
        <v>6029</v>
      </c>
      <c r="C639" s="2645">
        <v>8251.65</v>
      </c>
      <c r="E639" s="2100" t="str">
        <f>VLOOKUP(A639,'Trial Balance - FPer'!$A$7:$B$1126,1,FALSE)</f>
        <v>1201/6541/0000</v>
      </c>
    </row>
    <row r="640" spans="1:5" ht="15" x14ac:dyDescent="0.25">
      <c r="A640" s="2644" t="s">
        <v>5863</v>
      </c>
      <c r="B640" s="2644" t="s">
        <v>6030</v>
      </c>
      <c r="C640" s="2645">
        <v>6206.49</v>
      </c>
      <c r="E640" s="2100" t="str">
        <f>VLOOKUP(A640,'Trial Balance - FPer'!$A$7:$B$1126,1,FALSE)</f>
        <v>1201/6544/0000</v>
      </c>
    </row>
    <row r="641" spans="1:5" ht="15" x14ac:dyDescent="0.25">
      <c r="A641" s="2644" t="s">
        <v>5864</v>
      </c>
      <c r="B641" s="2644" t="s">
        <v>4883</v>
      </c>
      <c r="C641" s="2645">
        <v>541.54999999999995</v>
      </c>
      <c r="E641" s="2100" t="str">
        <f>VLOOKUP(A641,'Trial Balance - FPer'!$A$7:$B$1126,1,FALSE)</f>
        <v>1201/6546/0000</v>
      </c>
    </row>
    <row r="642" spans="1:5" ht="15" x14ac:dyDescent="0.25">
      <c r="A642" s="2644" t="s">
        <v>5866</v>
      </c>
      <c r="B642" s="2644" t="s">
        <v>6259</v>
      </c>
      <c r="C642" s="2645">
        <v>5225.97</v>
      </c>
      <c r="E642" s="2100" t="str">
        <f>VLOOKUP(A642,'Trial Balance - FPer'!$A$7:$B$1126,1,FALSE)</f>
        <v>1201/6551/0000</v>
      </c>
    </row>
    <row r="643" spans="1:5" ht="15" x14ac:dyDescent="0.25">
      <c r="A643" s="2644" t="s">
        <v>5868</v>
      </c>
      <c r="B643" s="2644" t="s">
        <v>6032</v>
      </c>
      <c r="C643" s="2645">
        <v>51396.23</v>
      </c>
      <c r="E643" s="2100" t="str">
        <f>VLOOKUP(A643,'Trial Balance - FPer'!$A$7:$B$1126,1,FALSE)</f>
        <v>1201/6552/0000</v>
      </c>
    </row>
    <row r="644" spans="1:5" ht="15" x14ac:dyDescent="0.25">
      <c r="A644" s="2644" t="s">
        <v>5869</v>
      </c>
      <c r="B644" s="2644" t="s">
        <v>6033</v>
      </c>
      <c r="C644" s="2645">
        <v>12872.49</v>
      </c>
      <c r="E644" s="2100" t="str">
        <f>VLOOKUP(A644,'Trial Balance - FPer'!$A$7:$B$1126,1,FALSE)</f>
        <v>1201/6554/0000</v>
      </c>
    </row>
    <row r="645" spans="1:5" ht="15" x14ac:dyDescent="0.25">
      <c r="A645" s="2644" t="s">
        <v>5870</v>
      </c>
      <c r="B645" s="2644" t="s">
        <v>6172</v>
      </c>
      <c r="C645" s="2645">
        <v>139163.75</v>
      </c>
      <c r="E645" s="2100" t="str">
        <f>VLOOKUP(A645,'Trial Balance - FPer'!$A$7:$B$1126,1,FALSE)</f>
        <v>1201/6558/0000</v>
      </c>
    </row>
    <row r="646" spans="1:5" ht="15" x14ac:dyDescent="0.25">
      <c r="A646" s="2644" t="s">
        <v>5873</v>
      </c>
      <c r="B646" s="2644" t="s">
        <v>6041</v>
      </c>
      <c r="C646" s="2645">
        <v>33104.9</v>
      </c>
      <c r="E646" s="2100" t="str">
        <f>VLOOKUP(A646,'Trial Balance - FPer'!$A$7:$B$1126,1,FALSE)</f>
        <v>1201/6565/0000</v>
      </c>
    </row>
    <row r="647" spans="1:5" ht="15" x14ac:dyDescent="0.25">
      <c r="A647" s="2644" t="s">
        <v>5877</v>
      </c>
      <c r="B647" s="2644" t="s">
        <v>6034</v>
      </c>
      <c r="C647" s="2645">
        <v>17561.72</v>
      </c>
      <c r="E647" s="2100" t="str">
        <f>VLOOKUP(A647,'Trial Balance - FPer'!$A$7:$B$1126,1,FALSE)</f>
        <v>1201/6808/0000</v>
      </c>
    </row>
    <row r="648" spans="1:5" ht="15" x14ac:dyDescent="0.25">
      <c r="A648" s="2644" t="s">
        <v>5879</v>
      </c>
      <c r="B648" s="2644" t="s">
        <v>6242</v>
      </c>
      <c r="C648" s="2645">
        <v>0</v>
      </c>
      <c r="E648" s="2100" t="str">
        <f>VLOOKUP(A648,'Trial Balance - FPer'!$A$7:$B$1126,1,FALSE)</f>
        <v>1201/6815/0000</v>
      </c>
    </row>
    <row r="649" spans="1:5" ht="15" x14ac:dyDescent="0.25">
      <c r="A649" s="2644" t="s">
        <v>5881</v>
      </c>
      <c r="B649" s="2644" t="s">
        <v>6035</v>
      </c>
      <c r="C649" s="2645">
        <v>652.45000000000005</v>
      </c>
      <c r="E649" s="2100" t="str">
        <f>VLOOKUP(A649,'Trial Balance - FPer'!$A$7:$B$1126,1,FALSE)</f>
        <v>1201/7501/0000</v>
      </c>
    </row>
    <row r="650" spans="1:5" ht="15" x14ac:dyDescent="0.25">
      <c r="A650" s="2644" t="s">
        <v>5882</v>
      </c>
      <c r="B650" s="2644" t="s">
        <v>6036</v>
      </c>
      <c r="C650" s="2645">
        <v>18492.419999999998</v>
      </c>
      <c r="E650" s="2100" t="str">
        <f>VLOOKUP(A650,'Trial Balance - FPer'!$A$7:$B$1126,1,FALSE)</f>
        <v>1201/7502/0000</v>
      </c>
    </row>
    <row r="651" spans="1:5" ht="15" x14ac:dyDescent="0.25">
      <c r="A651" s="2644" t="s">
        <v>5884</v>
      </c>
      <c r="B651" s="2644" t="s">
        <v>6261</v>
      </c>
      <c r="C651" s="2645">
        <v>-2175371.4900000002</v>
      </c>
      <c r="E651" s="2100" t="str">
        <f>VLOOKUP(A651,'Trial Balance - FPer'!$A$7:$B$1126,1,FALSE)</f>
        <v>1201/8052/0000</v>
      </c>
    </row>
    <row r="652" spans="1:5" ht="15" x14ac:dyDescent="0.25">
      <c r="A652" s="2644" t="s">
        <v>5886</v>
      </c>
      <c r="B652" s="2644" t="s">
        <v>6037</v>
      </c>
      <c r="C652" s="2645">
        <v>-3831786.03</v>
      </c>
      <c r="E652" s="2100" t="str">
        <f>VLOOKUP(A652,'Trial Balance - FPer'!$A$7:$B$1126,1,FALSE)</f>
        <v>1201/8401/0000</v>
      </c>
    </row>
    <row r="653" spans="1:5" ht="15" x14ac:dyDescent="0.25">
      <c r="A653" s="2644" t="s">
        <v>5887</v>
      </c>
      <c r="B653" s="2644" t="s">
        <v>6244</v>
      </c>
      <c r="C653" s="2645">
        <v>-9543730.4000000004</v>
      </c>
      <c r="E653" s="2100" t="str">
        <f>VLOOKUP(A653,'Trial Balance - FPer'!$A$7:$B$1126,1,FALSE)</f>
        <v>1201/8450/0000</v>
      </c>
    </row>
    <row r="654" spans="1:5" ht="15" x14ac:dyDescent="0.25">
      <c r="A654" s="2644" t="s">
        <v>5888</v>
      </c>
      <c r="B654" s="2644" t="s">
        <v>6246</v>
      </c>
      <c r="C654" s="2645">
        <v>-164.32</v>
      </c>
      <c r="E654" s="2100" t="str">
        <f>VLOOKUP(A654,'Trial Balance - FPer'!$A$7:$B$1126,1,FALSE)</f>
        <v>1201/8505/0000</v>
      </c>
    </row>
    <row r="655" spans="1:5" ht="15" x14ac:dyDescent="0.25">
      <c r="A655" s="2644" t="s">
        <v>5890</v>
      </c>
      <c r="B655" s="2644" t="s">
        <v>6835</v>
      </c>
      <c r="C655" s="2645">
        <v>-550</v>
      </c>
      <c r="E655" s="2100" t="str">
        <f>VLOOKUP(A655,'Trial Balance - FPer'!$A$7:$B$1126,1,FALSE)</f>
        <v>1201/8513/0000</v>
      </c>
    </row>
    <row r="656" spans="1:5" ht="15" x14ac:dyDescent="0.25">
      <c r="A656" s="2644" t="s">
        <v>5891</v>
      </c>
      <c r="B656" s="2644" t="s">
        <v>6262</v>
      </c>
      <c r="C656" s="2645">
        <v>1055237.54</v>
      </c>
      <c r="E656" s="2100" t="str">
        <f>VLOOKUP(A656,'Trial Balance - FPer'!$A$7:$B$1126,1,FALSE)</f>
        <v>1201/8516/0000</v>
      </c>
    </row>
    <row r="657" spans="1:5" ht="15" x14ac:dyDescent="0.25">
      <c r="A657" s="2644" t="s">
        <v>5892</v>
      </c>
      <c r="B657" s="2644" t="s">
        <v>6003</v>
      </c>
      <c r="C657" s="2645">
        <v>526444.03</v>
      </c>
      <c r="E657" s="2100" t="str">
        <f>VLOOKUP(A657,'Trial Balance - FPer'!$A$7:$B$1126,1,FALSE)</f>
        <v>1301/1000/0000</v>
      </c>
    </row>
    <row r="658" spans="1:5" ht="15" x14ac:dyDescent="0.25">
      <c r="A658" s="2644" t="s">
        <v>5893</v>
      </c>
      <c r="B658" s="2644" t="s">
        <v>6004</v>
      </c>
      <c r="C658" s="2645">
        <v>14109.81</v>
      </c>
      <c r="E658" s="2100" t="str">
        <f>VLOOKUP(A658,'Trial Balance - FPer'!$A$7:$B$1126,1,FALSE)</f>
        <v>1301/1002/0000</v>
      </c>
    </row>
    <row r="659" spans="1:5" ht="15" x14ac:dyDescent="0.25">
      <c r="A659" s="2644" t="s">
        <v>5894</v>
      </c>
      <c r="B659" s="2644" t="s">
        <v>6005</v>
      </c>
      <c r="C659" s="2645">
        <v>8435.7000000000007</v>
      </c>
      <c r="E659" s="2100" t="str">
        <f>VLOOKUP(A659,'Trial Balance - FPer'!$A$7:$B$1126,1,FALSE)</f>
        <v>1301/1003/0000</v>
      </c>
    </row>
    <row r="660" spans="1:5" ht="15" x14ac:dyDescent="0.25">
      <c r="A660" s="2644" t="s">
        <v>5895</v>
      </c>
      <c r="B660" s="2644" t="s">
        <v>6007</v>
      </c>
      <c r="C660" s="2645">
        <v>0</v>
      </c>
      <c r="E660" s="2100" t="str">
        <f>VLOOKUP(A660,'Trial Balance - FPer'!$A$7:$B$1126,1,FALSE)</f>
        <v>1301/1006/0000</v>
      </c>
    </row>
    <row r="661" spans="1:5" ht="15" x14ac:dyDescent="0.25">
      <c r="A661" s="2644" t="s">
        <v>5896</v>
      </c>
      <c r="B661" s="2644" t="s">
        <v>6010</v>
      </c>
      <c r="C661" s="2645">
        <v>159.63</v>
      </c>
      <c r="E661" s="2100" t="str">
        <f>VLOOKUP(A661,'Trial Balance - FPer'!$A$7:$B$1126,1,FALSE)</f>
        <v>1301/1010/0000</v>
      </c>
    </row>
    <row r="662" spans="1:5" ht="15" x14ac:dyDescent="0.25">
      <c r="A662" s="2644" t="s">
        <v>5897</v>
      </c>
      <c r="B662" s="2644" t="s">
        <v>6011</v>
      </c>
      <c r="C662" s="2645">
        <v>5079.13</v>
      </c>
      <c r="E662" s="2100" t="str">
        <f>VLOOKUP(A662,'Trial Balance - FPer'!$A$7:$B$1126,1,FALSE)</f>
        <v>1301/1011/0000</v>
      </c>
    </row>
    <row r="663" spans="1:5" ht="15" x14ac:dyDescent="0.25">
      <c r="A663" s="2644" t="s">
        <v>5898</v>
      </c>
      <c r="B663" s="2644" t="s">
        <v>7710</v>
      </c>
      <c r="C663" s="2645">
        <v>4384.96</v>
      </c>
      <c r="E663" s="2100" t="str">
        <f>VLOOKUP(A663,'Trial Balance - FPer'!$A$7:$B$1126,1,FALSE)</f>
        <v>1301/1012/0000</v>
      </c>
    </row>
    <row r="664" spans="1:5" ht="15" x14ac:dyDescent="0.25">
      <c r="A664" s="2644" t="s">
        <v>5899</v>
      </c>
      <c r="B664" s="2644" t="s">
        <v>6012</v>
      </c>
      <c r="C664" s="2645">
        <v>32268.5</v>
      </c>
      <c r="E664" s="2100" t="str">
        <f>VLOOKUP(A664,'Trial Balance - FPer'!$A$7:$B$1126,1,FALSE)</f>
        <v>1301/1050/0000</v>
      </c>
    </row>
    <row r="665" spans="1:5" ht="15" x14ac:dyDescent="0.25">
      <c r="A665" s="2644" t="s">
        <v>5900</v>
      </c>
      <c r="B665" s="2644" t="s">
        <v>6013</v>
      </c>
      <c r="C665" s="2645">
        <v>85023.72</v>
      </c>
      <c r="E665" s="2100" t="str">
        <f>VLOOKUP(A665,'Trial Balance - FPer'!$A$7:$B$1126,1,FALSE)</f>
        <v>1301/1051/0000</v>
      </c>
    </row>
    <row r="666" spans="1:5" ht="15" x14ac:dyDescent="0.25">
      <c r="A666" s="2644" t="s">
        <v>5901</v>
      </c>
      <c r="B666" s="2644" t="s">
        <v>6014</v>
      </c>
      <c r="C666" s="2645">
        <v>3995.45</v>
      </c>
      <c r="E666" s="2100" t="str">
        <f>VLOOKUP(A666,'Trial Balance - FPer'!$A$7:$B$1126,1,FALSE)</f>
        <v>1301/1052/0000</v>
      </c>
    </row>
    <row r="667" spans="1:5" ht="15" x14ac:dyDescent="0.25">
      <c r="A667" s="2644" t="s">
        <v>5904</v>
      </c>
      <c r="B667" s="2644" t="s">
        <v>7764</v>
      </c>
      <c r="C667" s="2645">
        <v>154609.4</v>
      </c>
      <c r="E667" s="2100" t="str">
        <f>VLOOKUP(A667,'Trial Balance - FPer'!$A$7:$B$1126,1,FALSE)</f>
        <v>1301/5051/0000</v>
      </c>
    </row>
    <row r="668" spans="1:5" ht="15" x14ac:dyDescent="0.25">
      <c r="A668" s="2644" t="s">
        <v>5905</v>
      </c>
      <c r="B668" s="2644" t="s">
        <v>6263</v>
      </c>
      <c r="C668" s="2645">
        <v>0</v>
      </c>
      <c r="E668" s="2100" t="str">
        <f>VLOOKUP(A668,'Trial Balance - FPer'!$A$7:$B$1126,1,FALSE)</f>
        <v>1301/6000/0000</v>
      </c>
    </row>
    <row r="669" spans="1:5" ht="15" x14ac:dyDescent="0.25">
      <c r="A669" s="2644" t="s">
        <v>5908</v>
      </c>
      <c r="B669" s="2644" t="s">
        <v>6264</v>
      </c>
      <c r="C669" s="2645">
        <v>627000</v>
      </c>
      <c r="E669" s="2100" t="str">
        <f>VLOOKUP(A669,'Trial Balance - FPer'!$A$7:$B$1126,1,FALSE)</f>
        <v>1301/6212/0000</v>
      </c>
    </row>
    <row r="670" spans="1:5" ht="15" x14ac:dyDescent="0.25">
      <c r="A670" s="2644" t="s">
        <v>5910</v>
      </c>
      <c r="B670" s="2644" t="s">
        <v>6021</v>
      </c>
      <c r="C670" s="2645">
        <v>12700.6</v>
      </c>
      <c r="E670" s="2100" t="str">
        <f>VLOOKUP(A670,'Trial Balance - FPer'!$A$7:$B$1126,1,FALSE)</f>
        <v>1301/6514/0000</v>
      </c>
    </row>
    <row r="671" spans="1:5" ht="15" x14ac:dyDescent="0.25">
      <c r="A671" s="2644" t="s">
        <v>5911</v>
      </c>
      <c r="B671" s="2644" t="s">
        <v>6107</v>
      </c>
      <c r="C671" s="2645">
        <v>6392.1</v>
      </c>
      <c r="E671" s="2100" t="str">
        <f>VLOOKUP(A671,'Trial Balance - FPer'!$A$7:$B$1126,1,FALSE)</f>
        <v>1301/6515/0000</v>
      </c>
    </row>
    <row r="672" spans="1:5" ht="15" x14ac:dyDescent="0.25">
      <c r="A672" s="2644" t="s">
        <v>5912</v>
      </c>
      <c r="B672" s="2644" t="s">
        <v>6108</v>
      </c>
      <c r="C672" s="2645">
        <v>6934.4</v>
      </c>
      <c r="E672" s="2100" t="str">
        <f>VLOOKUP(A672,'Trial Balance - FPer'!$A$7:$B$1126,1,FALSE)</f>
        <v>1301/6532/0000</v>
      </c>
    </row>
    <row r="673" spans="1:5" ht="15" x14ac:dyDescent="0.25">
      <c r="A673" s="2644" t="s">
        <v>5913</v>
      </c>
      <c r="B673" s="2644" t="s">
        <v>4873</v>
      </c>
      <c r="C673" s="2645">
        <v>16956.5</v>
      </c>
      <c r="E673" s="2100" t="str">
        <f>VLOOKUP(A673,'Trial Balance - FPer'!$A$7:$B$1126,1,FALSE)</f>
        <v>1301/6535/0000</v>
      </c>
    </row>
    <row r="674" spans="1:5" ht="15" x14ac:dyDescent="0.25">
      <c r="A674" s="2644" t="s">
        <v>5914</v>
      </c>
      <c r="B674" s="2644" t="s">
        <v>6029</v>
      </c>
      <c r="C674" s="2645">
        <v>10384.64</v>
      </c>
      <c r="E674" s="2100" t="str">
        <f>VLOOKUP(A674,'Trial Balance - FPer'!$A$7:$B$1126,1,FALSE)</f>
        <v>1301/6541/0000</v>
      </c>
    </row>
    <row r="675" spans="1:5" ht="15" x14ac:dyDescent="0.25">
      <c r="A675" s="2644" t="s">
        <v>5915</v>
      </c>
      <c r="B675" s="2644" t="s">
        <v>4883</v>
      </c>
      <c r="C675" s="2645">
        <v>6790.3</v>
      </c>
      <c r="E675" s="2100" t="str">
        <f>VLOOKUP(A675,'Trial Balance - FPer'!$A$7:$B$1126,1,FALSE)</f>
        <v>1301/6546/0000</v>
      </c>
    </row>
    <row r="676" spans="1:5" ht="15" x14ac:dyDescent="0.25">
      <c r="A676" s="2644" t="s">
        <v>5916</v>
      </c>
      <c r="B676" s="2644" t="s">
        <v>7761</v>
      </c>
      <c r="C676" s="2645">
        <v>49965.3</v>
      </c>
      <c r="E676" s="2100" t="str">
        <f>VLOOKUP(A676,'Trial Balance - FPer'!$A$7:$B$1126,1,FALSE)</f>
        <v>1301/6549/0000</v>
      </c>
    </row>
    <row r="677" spans="1:5" ht="15" x14ac:dyDescent="0.25">
      <c r="A677" s="2644" t="s">
        <v>5917</v>
      </c>
      <c r="B677" s="2644" t="s">
        <v>6032</v>
      </c>
      <c r="C677" s="2645">
        <v>30817.53</v>
      </c>
      <c r="E677" s="2100" t="str">
        <f>VLOOKUP(A677,'Trial Balance - FPer'!$A$7:$B$1126,1,FALSE)</f>
        <v>1301/6552/0000</v>
      </c>
    </row>
    <row r="678" spans="1:5" ht="15" x14ac:dyDescent="0.25">
      <c r="A678" s="2644" t="s">
        <v>5918</v>
      </c>
      <c r="B678" s="2644" t="s">
        <v>6033</v>
      </c>
      <c r="C678" s="2645">
        <v>1629.1</v>
      </c>
      <c r="E678" s="2100" t="str">
        <f>VLOOKUP(A678,'Trial Balance - FPer'!$A$7:$B$1126,1,FALSE)</f>
        <v>1301/6554/0000</v>
      </c>
    </row>
    <row r="679" spans="1:5" ht="15" x14ac:dyDescent="0.25">
      <c r="A679" s="2644" t="s">
        <v>5919</v>
      </c>
      <c r="B679" s="2644" t="s">
        <v>7765</v>
      </c>
      <c r="C679" s="2645">
        <v>55296.32</v>
      </c>
      <c r="E679" s="2100" t="str">
        <f>VLOOKUP(A679,'Trial Balance - FPer'!$A$7:$B$1126,1,FALSE)</f>
        <v>1301/6557/0000</v>
      </c>
    </row>
    <row r="680" spans="1:5" ht="15" x14ac:dyDescent="0.25">
      <c r="A680" s="2644" t="s">
        <v>5920</v>
      </c>
      <c r="B680" s="2644" t="s">
        <v>7766</v>
      </c>
      <c r="C680" s="2645">
        <v>18181.23</v>
      </c>
      <c r="E680" s="2100" t="str">
        <f>VLOOKUP(A680,'Trial Balance - FPer'!$A$7:$B$1126,1,FALSE)</f>
        <v>1301/6814/0000</v>
      </c>
    </row>
    <row r="681" spans="1:5" ht="15" x14ac:dyDescent="0.25">
      <c r="A681" s="2644" t="s">
        <v>5921</v>
      </c>
      <c r="B681" s="2644" t="s">
        <v>6242</v>
      </c>
      <c r="C681" s="2645">
        <v>564.63</v>
      </c>
      <c r="E681" s="2100" t="str">
        <f>VLOOKUP(A681,'Trial Balance - FPer'!$A$7:$B$1126,1,FALSE)</f>
        <v>1301/6815/0000</v>
      </c>
    </row>
    <row r="682" spans="1:5" ht="15" x14ac:dyDescent="0.25">
      <c r="A682" s="2644" t="s">
        <v>5922</v>
      </c>
      <c r="B682" s="2644" t="s">
        <v>6265</v>
      </c>
      <c r="C682" s="2645">
        <v>89821.79</v>
      </c>
      <c r="E682" s="2100" t="str">
        <f>VLOOKUP(A682,'Trial Balance - FPer'!$A$7:$B$1126,1,FALSE)</f>
        <v>1301/6816/0000</v>
      </c>
    </row>
    <row r="683" spans="1:5" ht="15" x14ac:dyDescent="0.25">
      <c r="A683" s="2644" t="s">
        <v>5923</v>
      </c>
      <c r="B683" s="2644" t="s">
        <v>6856</v>
      </c>
      <c r="C683" s="2645">
        <v>25173.71</v>
      </c>
      <c r="E683" s="2100" t="str">
        <f>VLOOKUP(A683,'Trial Balance - FPer'!$A$7:$B$1126,1,FALSE)</f>
        <v>1301/6817/0000</v>
      </c>
    </row>
    <row r="684" spans="1:5" ht="15" x14ac:dyDescent="0.25">
      <c r="A684" s="2644" t="s">
        <v>5927</v>
      </c>
      <c r="B684" s="2644" t="s">
        <v>6266</v>
      </c>
      <c r="C684" s="2645">
        <v>-627000</v>
      </c>
      <c r="E684" s="2100" t="str">
        <f>VLOOKUP(A684,'Trial Balance - FPer'!$A$7:$B$1126,1,FALSE)</f>
        <v>1301/8454/0000</v>
      </c>
    </row>
    <row r="685" spans="1:5" ht="15" x14ac:dyDescent="0.25">
      <c r="A685" s="2644" t="s">
        <v>5931</v>
      </c>
      <c r="B685" s="2644" t="s">
        <v>6267</v>
      </c>
      <c r="C685" s="2645">
        <v>362172.06</v>
      </c>
      <c r="E685" s="2100" t="str">
        <f>VLOOKUP(A685,'Trial Balance - FPer'!$A$7:$B$1126,1,FALSE)</f>
        <v>1301/8515/0000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71"/>
  <sheetViews>
    <sheetView workbookViewId="0">
      <selection activeCell="J2" sqref="J2"/>
    </sheetView>
  </sheetViews>
  <sheetFormatPr defaultRowHeight="12.75" x14ac:dyDescent="0.2"/>
  <cols>
    <col min="1" max="1" width="15.85546875" bestFit="1" customWidth="1"/>
    <col min="2" max="2" width="30.5703125" bestFit="1" customWidth="1"/>
    <col min="3" max="3" width="13.5703125" style="2022" bestFit="1" customWidth="1"/>
    <col min="4" max="4" width="15.5703125" style="2022" bestFit="1" customWidth="1"/>
    <col min="5" max="5" width="15" style="2022" bestFit="1" customWidth="1"/>
    <col min="6" max="7" width="15.5703125" style="2022" bestFit="1" customWidth="1"/>
    <col min="9" max="9" width="15.5703125" style="2022" bestFit="1" customWidth="1"/>
    <col min="11" max="11" width="15.5703125" bestFit="1" customWidth="1"/>
    <col min="12" max="12" width="9.140625" style="2024"/>
    <col min="13" max="13" width="14" style="2024" bestFit="1" customWidth="1"/>
    <col min="14" max="14" width="9.140625" style="2024"/>
    <col min="15" max="15" width="14.5703125" style="2024" bestFit="1" customWidth="1"/>
    <col min="16" max="73" width="9.140625" style="2024"/>
  </cols>
  <sheetData>
    <row r="1" spans="1:73" x14ac:dyDescent="0.2">
      <c r="A1" t="s">
        <v>7817</v>
      </c>
      <c r="B1" t="s">
        <v>7</v>
      </c>
      <c r="C1" s="2022" t="s">
        <v>243</v>
      </c>
      <c r="D1" s="2022" t="s">
        <v>5998</v>
      </c>
      <c r="E1" s="2022" t="s">
        <v>5999</v>
      </c>
      <c r="F1" s="2022" t="s">
        <v>6000</v>
      </c>
      <c r="G1" s="2022" t="s">
        <v>234</v>
      </c>
    </row>
    <row r="2" spans="1:73" s="2215" customFormat="1" x14ac:dyDescent="0.2">
      <c r="A2" s="2215" t="s">
        <v>4807</v>
      </c>
      <c r="B2" s="2215" t="s">
        <v>4808</v>
      </c>
      <c r="C2" s="2230">
        <v>1143565.23</v>
      </c>
      <c r="D2" s="2230">
        <v>0</v>
      </c>
      <c r="E2" s="2230">
        <v>1733750.97</v>
      </c>
      <c r="F2" s="2230">
        <v>-332367.58</v>
      </c>
      <c r="G2" s="2230">
        <f t="shared" ref="G2:G65" si="0">SUM(D2:F2)</f>
        <v>1401383.39</v>
      </c>
      <c r="I2" s="2230">
        <f>VLOOKUP(A2,'2012 - TB'!$A$3:$I$733,9,FALSE)</f>
        <v>1286872.74</v>
      </c>
      <c r="K2" s="2634">
        <f t="shared" ref="K2:K65" si="1">G2-I2</f>
        <v>114510.64999999991</v>
      </c>
      <c r="L2" s="2024"/>
      <c r="M2" s="2024"/>
      <c r="N2" s="2024"/>
      <c r="O2" s="2025"/>
      <c r="P2" s="2024"/>
      <c r="Q2" s="2024"/>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2024"/>
      <c r="AZ2" s="2024"/>
      <c r="BA2" s="2024"/>
      <c r="BB2" s="2024"/>
      <c r="BC2" s="2024"/>
      <c r="BD2" s="2024"/>
      <c r="BE2" s="2024"/>
      <c r="BF2" s="2024"/>
      <c r="BG2" s="2024"/>
      <c r="BH2" s="2024"/>
      <c r="BI2" s="2024"/>
      <c r="BJ2" s="2024"/>
      <c r="BK2" s="2024"/>
      <c r="BL2" s="2024"/>
      <c r="BM2" s="2024"/>
      <c r="BN2" s="2024"/>
      <c r="BO2" s="2024"/>
      <c r="BP2" s="2024"/>
      <c r="BQ2" s="2024"/>
      <c r="BR2" s="2024"/>
      <c r="BS2" s="2024"/>
      <c r="BT2" s="2024"/>
      <c r="BU2" s="2024"/>
    </row>
    <row r="3" spans="1:73" x14ac:dyDescent="0.2">
      <c r="A3" s="2100" t="s">
        <v>4809</v>
      </c>
      <c r="B3" s="2100" t="s">
        <v>4810</v>
      </c>
      <c r="C3" s="2022">
        <v>0</v>
      </c>
      <c r="D3" s="2022">
        <v>0</v>
      </c>
      <c r="E3" s="2022">
        <v>0</v>
      </c>
      <c r="F3" s="2022">
        <v>0</v>
      </c>
      <c r="G3" s="2022">
        <f t="shared" si="0"/>
        <v>0</v>
      </c>
      <c r="H3" s="2100"/>
      <c r="J3" s="2100"/>
      <c r="K3" s="2011">
        <f t="shared" si="1"/>
        <v>0</v>
      </c>
    </row>
    <row r="4" spans="1:73" s="2215" customFormat="1" x14ac:dyDescent="0.2">
      <c r="A4" s="2215" t="s">
        <v>4811</v>
      </c>
      <c r="B4" s="2215" t="s">
        <v>4812</v>
      </c>
      <c r="C4" s="2230">
        <v>116860.07</v>
      </c>
      <c r="D4" s="2230">
        <v>0</v>
      </c>
      <c r="E4" s="2230">
        <v>226174.85</v>
      </c>
      <c r="F4" s="2230">
        <v>0</v>
      </c>
      <c r="G4" s="2230">
        <f t="shared" si="0"/>
        <v>226174.85</v>
      </c>
      <c r="I4" s="2230">
        <f>VLOOKUP(A4,'2012 - TB'!$A$3:$I$733,9,FALSE)</f>
        <v>231161.61</v>
      </c>
      <c r="K4" s="2634">
        <f t="shared" si="1"/>
        <v>-4986.7599999999802</v>
      </c>
      <c r="L4" s="2024"/>
      <c r="M4" s="2024"/>
      <c r="N4" s="2024"/>
      <c r="O4" s="2024"/>
      <c r="P4" s="2024"/>
      <c r="Q4" s="2024"/>
      <c r="R4" s="2024"/>
      <c r="S4" s="2024"/>
      <c r="T4" s="2024"/>
      <c r="U4" s="2024"/>
      <c r="V4" s="2024"/>
      <c r="W4" s="2024"/>
      <c r="X4" s="2024"/>
      <c r="Y4" s="2024"/>
      <c r="Z4" s="2024"/>
      <c r="AA4" s="2024"/>
      <c r="AB4" s="2024"/>
      <c r="AC4" s="2024"/>
      <c r="AD4" s="2024"/>
      <c r="AE4" s="2024"/>
      <c r="AF4" s="2024"/>
      <c r="AG4" s="2024"/>
      <c r="AH4" s="2024"/>
      <c r="AI4" s="2024"/>
      <c r="AJ4" s="2024"/>
      <c r="AK4" s="2024"/>
      <c r="AL4" s="2024"/>
      <c r="AM4" s="2024"/>
      <c r="AN4" s="2024"/>
      <c r="AO4" s="2024"/>
      <c r="AP4" s="2024"/>
      <c r="AQ4" s="2024"/>
      <c r="AR4" s="2024"/>
      <c r="AS4" s="2024"/>
      <c r="AT4" s="2024"/>
      <c r="AU4" s="2024"/>
      <c r="AV4" s="2024"/>
      <c r="AW4" s="2024"/>
      <c r="AX4" s="2024"/>
      <c r="AY4" s="2024"/>
      <c r="AZ4" s="2024"/>
      <c r="BA4" s="2024"/>
      <c r="BB4" s="2024"/>
      <c r="BC4" s="2024"/>
      <c r="BD4" s="2024"/>
      <c r="BE4" s="2024"/>
      <c r="BF4" s="2024"/>
      <c r="BG4" s="2024"/>
      <c r="BH4" s="2024"/>
      <c r="BI4" s="2024"/>
      <c r="BJ4" s="2024"/>
      <c r="BK4" s="2024"/>
      <c r="BL4" s="2024"/>
      <c r="BM4" s="2024"/>
      <c r="BN4" s="2024"/>
      <c r="BO4" s="2024"/>
      <c r="BP4" s="2024"/>
      <c r="BQ4" s="2024"/>
      <c r="BR4" s="2024"/>
      <c r="BS4" s="2024"/>
      <c r="BT4" s="2024"/>
      <c r="BU4" s="2024"/>
    </row>
    <row r="5" spans="1:73" x14ac:dyDescent="0.2">
      <c r="A5" s="2100" t="s">
        <v>4813</v>
      </c>
      <c r="B5" s="2100" t="s">
        <v>4814</v>
      </c>
      <c r="C5" s="2022">
        <v>6100</v>
      </c>
      <c r="D5" s="2022">
        <v>0</v>
      </c>
      <c r="E5" s="2022">
        <v>6100</v>
      </c>
      <c r="F5" s="2022">
        <v>0</v>
      </c>
      <c r="G5" s="2022">
        <f t="shared" si="0"/>
        <v>6100</v>
      </c>
      <c r="H5" s="2100"/>
      <c r="I5" s="2022">
        <f>VLOOKUP(A5,'2012 - TB'!$A$3:$I$733,9,FALSE)</f>
        <v>6100</v>
      </c>
      <c r="J5" s="2100"/>
      <c r="K5" s="2011">
        <f t="shared" si="1"/>
        <v>0</v>
      </c>
    </row>
    <row r="6" spans="1:73" x14ac:dyDescent="0.2">
      <c r="A6" s="2100" t="s">
        <v>4815</v>
      </c>
      <c r="B6" s="2100" t="s">
        <v>4816</v>
      </c>
      <c r="C6" s="2022">
        <v>0</v>
      </c>
      <c r="D6" s="2022">
        <v>0</v>
      </c>
      <c r="E6" s="2022">
        <v>2048</v>
      </c>
      <c r="F6" s="2022">
        <v>0</v>
      </c>
      <c r="G6" s="2022">
        <f t="shared" si="0"/>
        <v>2048</v>
      </c>
      <c r="H6" s="2100"/>
      <c r="I6" s="2022">
        <f>VLOOKUP(A6,'2012 - TB'!$A$3:$I$733,9,FALSE)</f>
        <v>2048</v>
      </c>
      <c r="J6" s="2100"/>
      <c r="K6" s="2011">
        <f t="shared" si="1"/>
        <v>0</v>
      </c>
      <c r="O6" s="2025"/>
    </row>
    <row r="7" spans="1:73" x14ac:dyDescent="0.2">
      <c r="A7" s="2100" t="s">
        <v>4817</v>
      </c>
      <c r="B7" s="2100" t="s">
        <v>4818</v>
      </c>
      <c r="C7" s="2022">
        <v>0</v>
      </c>
      <c r="D7" s="2022">
        <v>0</v>
      </c>
      <c r="E7" s="2022">
        <v>19586.66</v>
      </c>
      <c r="F7" s="2022">
        <v>-1246.5899999999999</v>
      </c>
      <c r="G7" s="2022">
        <f t="shared" si="0"/>
        <v>18340.07</v>
      </c>
      <c r="H7" s="2100"/>
      <c r="I7" s="2022">
        <f>VLOOKUP(A7,'2012 - TB'!$A$3:$I$733,9,FALSE)</f>
        <v>18340.07</v>
      </c>
      <c r="J7" s="2100"/>
      <c r="K7" s="2011">
        <f t="shared" si="1"/>
        <v>0</v>
      </c>
    </row>
    <row r="8" spans="1:73" x14ac:dyDescent="0.2">
      <c r="A8" s="2100" t="s">
        <v>4819</v>
      </c>
      <c r="B8" s="2100" t="s">
        <v>4820</v>
      </c>
      <c r="C8" s="2022">
        <v>4832</v>
      </c>
      <c r="D8" s="2022">
        <v>0</v>
      </c>
      <c r="E8" s="2022">
        <v>3584</v>
      </c>
      <c r="F8" s="2022">
        <v>-800</v>
      </c>
      <c r="G8" s="2022">
        <f t="shared" si="0"/>
        <v>2784</v>
      </c>
      <c r="H8" s="2100"/>
      <c r="I8" s="2022">
        <f>VLOOKUP(A8,'2012 - TB'!$A$3:$I$733,9,FALSE)</f>
        <v>2784</v>
      </c>
      <c r="J8" s="2100"/>
      <c r="K8" s="2011">
        <f t="shared" si="1"/>
        <v>0</v>
      </c>
    </row>
    <row r="9" spans="1:73" x14ac:dyDescent="0.2">
      <c r="A9" s="2100" t="s">
        <v>4821</v>
      </c>
      <c r="B9" s="2100" t="s">
        <v>4822</v>
      </c>
      <c r="C9" s="2022">
        <v>200907.34</v>
      </c>
      <c r="D9" s="2022">
        <v>0</v>
      </c>
      <c r="E9" s="2022">
        <v>186542.41</v>
      </c>
      <c r="F9" s="2022">
        <v>-3135.07</v>
      </c>
      <c r="G9" s="2022">
        <f t="shared" si="0"/>
        <v>183407.34</v>
      </c>
      <c r="H9" s="2100"/>
      <c r="I9" s="2022">
        <f>VLOOKUP(A9,'2012 - TB'!$A$3:$I$733,9,FALSE)</f>
        <v>183407.34</v>
      </c>
      <c r="J9" s="2100"/>
      <c r="K9" s="2011">
        <f t="shared" si="1"/>
        <v>0</v>
      </c>
    </row>
    <row r="10" spans="1:73" s="2215" customFormat="1" x14ac:dyDescent="0.2">
      <c r="A10" s="2215" t="s">
        <v>4823</v>
      </c>
      <c r="B10" s="2215" t="s">
        <v>4824</v>
      </c>
      <c r="C10" s="2230">
        <v>516.6</v>
      </c>
      <c r="D10" s="2230">
        <v>0</v>
      </c>
      <c r="E10" s="2230">
        <v>795.4</v>
      </c>
      <c r="F10" s="2230">
        <v>0</v>
      </c>
      <c r="G10" s="2230">
        <f t="shared" si="0"/>
        <v>795.4</v>
      </c>
      <c r="I10" s="2230">
        <f>VLOOKUP(A10,'2012 - TB'!$A$3:$I$733,9,FALSE)</f>
        <v>840.50000000000011</v>
      </c>
      <c r="K10" s="2634">
        <f t="shared" si="1"/>
        <v>-45.100000000000136</v>
      </c>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024"/>
      <c r="AJ10" s="2024"/>
      <c r="AK10" s="2024"/>
      <c r="AL10" s="2024"/>
      <c r="AM10" s="2024"/>
      <c r="AN10" s="2024"/>
      <c r="AO10" s="2024"/>
      <c r="AP10" s="2024"/>
      <c r="AQ10" s="2024"/>
      <c r="AR10" s="2024"/>
      <c r="AS10" s="2024"/>
      <c r="AT10" s="2024"/>
      <c r="AU10" s="2024"/>
      <c r="AV10" s="2024"/>
      <c r="AW10" s="2024"/>
      <c r="AX10" s="2024"/>
      <c r="AY10" s="2024"/>
      <c r="AZ10" s="2024"/>
      <c r="BA10" s="2024"/>
      <c r="BB10" s="2024"/>
      <c r="BC10" s="2024"/>
      <c r="BD10" s="2024"/>
      <c r="BE10" s="2024"/>
      <c r="BF10" s="2024"/>
      <c r="BG10" s="2024"/>
      <c r="BH10" s="2024"/>
      <c r="BI10" s="2024"/>
      <c r="BJ10" s="2024"/>
      <c r="BK10" s="2024"/>
      <c r="BL10" s="2024"/>
      <c r="BM10" s="2024"/>
      <c r="BN10" s="2024"/>
      <c r="BO10" s="2024"/>
      <c r="BP10" s="2024"/>
      <c r="BQ10" s="2024"/>
      <c r="BR10" s="2024"/>
      <c r="BS10" s="2024"/>
      <c r="BT10" s="2024"/>
      <c r="BU10" s="2024"/>
    </row>
    <row r="11" spans="1:73" s="2215" customFormat="1" x14ac:dyDescent="0.2">
      <c r="A11" s="2215" t="s">
        <v>4825</v>
      </c>
      <c r="B11" s="2215" t="s">
        <v>4826</v>
      </c>
      <c r="C11" s="2230">
        <v>13137.49</v>
      </c>
      <c r="D11" s="2230">
        <v>0</v>
      </c>
      <c r="E11" s="2230">
        <v>17894.349999999999</v>
      </c>
      <c r="F11" s="2230">
        <v>0</v>
      </c>
      <c r="G11" s="2230">
        <f t="shared" si="0"/>
        <v>17894.349999999999</v>
      </c>
      <c r="I11" s="2230">
        <f>VLOOKUP(A11,'2012 - TB'!$A$3:$I$733,9,FALSE)</f>
        <v>18722.09</v>
      </c>
      <c r="K11" s="2634">
        <f t="shared" si="1"/>
        <v>-827.7400000000016</v>
      </c>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c r="AM11" s="2024"/>
      <c r="AN11" s="2024"/>
      <c r="AO11" s="2024"/>
      <c r="AP11" s="2024"/>
      <c r="AQ11" s="2024"/>
      <c r="AR11" s="2024"/>
      <c r="AS11" s="2024"/>
      <c r="AT11" s="2024"/>
      <c r="AU11" s="2024"/>
      <c r="AV11" s="2024"/>
      <c r="AW11" s="2024"/>
      <c r="AX11" s="2024"/>
      <c r="AY11" s="2024"/>
      <c r="AZ11" s="2024"/>
      <c r="BA11" s="2024"/>
      <c r="BB11" s="2024"/>
      <c r="BC11" s="2024"/>
      <c r="BD11" s="2024"/>
      <c r="BE11" s="2024"/>
      <c r="BF11" s="2024"/>
      <c r="BG11" s="2024"/>
      <c r="BH11" s="2024"/>
      <c r="BI11" s="2024"/>
      <c r="BJ11" s="2024"/>
      <c r="BK11" s="2024"/>
      <c r="BL11" s="2024"/>
      <c r="BM11" s="2024"/>
      <c r="BN11" s="2024"/>
      <c r="BO11" s="2024"/>
      <c r="BP11" s="2024"/>
      <c r="BQ11" s="2024"/>
      <c r="BR11" s="2024"/>
      <c r="BS11" s="2024"/>
      <c r="BT11" s="2024"/>
      <c r="BU11" s="2024"/>
    </row>
    <row r="12" spans="1:73" x14ac:dyDescent="0.2">
      <c r="A12" s="2100" t="s">
        <v>4827</v>
      </c>
      <c r="B12" s="2100" t="s">
        <v>7818</v>
      </c>
      <c r="C12" s="2022">
        <v>0</v>
      </c>
      <c r="D12" s="2022">
        <v>0</v>
      </c>
      <c r="E12" s="2022">
        <v>0</v>
      </c>
      <c r="F12" s="2022">
        <v>0</v>
      </c>
      <c r="G12" s="2022">
        <f t="shared" si="0"/>
        <v>0</v>
      </c>
      <c r="H12" s="2100"/>
      <c r="J12" s="2100"/>
      <c r="K12" s="2011">
        <f t="shared" si="1"/>
        <v>0</v>
      </c>
    </row>
    <row r="13" spans="1:73" x14ac:dyDescent="0.2">
      <c r="A13" s="2100" t="s">
        <v>4828</v>
      </c>
      <c r="B13" s="2100" t="s">
        <v>4829</v>
      </c>
      <c r="C13" s="2022">
        <v>44543.3</v>
      </c>
      <c r="D13" s="2022">
        <v>0</v>
      </c>
      <c r="E13" s="2022">
        <v>51328.1</v>
      </c>
      <c r="F13" s="2022">
        <v>0</v>
      </c>
      <c r="G13" s="2022">
        <f t="shared" si="0"/>
        <v>51328.1</v>
      </c>
      <c r="H13" s="2100"/>
      <c r="I13" s="2022">
        <f>VLOOKUP(A13,'2012 - TB'!$A$3:$I$733,9,FALSE)</f>
        <v>51328.1</v>
      </c>
      <c r="J13" s="2100"/>
      <c r="K13" s="2011">
        <f t="shared" si="1"/>
        <v>0</v>
      </c>
    </row>
    <row r="14" spans="1:73" x14ac:dyDescent="0.2">
      <c r="A14" s="2100" t="s">
        <v>4830</v>
      </c>
      <c r="B14" s="2100" t="s">
        <v>4831</v>
      </c>
      <c r="C14" s="2022">
        <v>153431.67999999999</v>
      </c>
      <c r="D14" s="2022">
        <v>0</v>
      </c>
      <c r="E14" s="2022">
        <v>153431.67999999999</v>
      </c>
      <c r="F14" s="2022">
        <v>0</v>
      </c>
      <c r="G14" s="2022">
        <f t="shared" si="0"/>
        <v>153431.67999999999</v>
      </c>
      <c r="H14" s="2100"/>
      <c r="I14" s="2022">
        <f>VLOOKUP(A14,'2012 - TB'!$A$3:$I$733,9,FALSE)</f>
        <v>153431.67999999999</v>
      </c>
      <c r="J14" s="2100"/>
      <c r="K14" s="2011">
        <f t="shared" si="1"/>
        <v>0</v>
      </c>
    </row>
    <row r="15" spans="1:73" s="2215" customFormat="1" x14ac:dyDescent="0.2">
      <c r="A15" s="2215" t="s">
        <v>4832</v>
      </c>
      <c r="B15" s="2215" t="s">
        <v>4833</v>
      </c>
      <c r="C15" s="2230">
        <v>27437.11</v>
      </c>
      <c r="D15" s="2230">
        <v>0</v>
      </c>
      <c r="E15" s="2230">
        <v>26446.6</v>
      </c>
      <c r="F15" s="2230">
        <v>0</v>
      </c>
      <c r="G15" s="2230">
        <f t="shared" si="0"/>
        <v>26446.6</v>
      </c>
      <c r="I15" s="2230">
        <f>VLOOKUP(A15,'2012 - TB'!$A$3:$I$733,9,FALSE)</f>
        <v>27188.050000000003</v>
      </c>
      <c r="K15" s="2634">
        <f t="shared" si="1"/>
        <v>-741.45000000000437</v>
      </c>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c r="AL15" s="2024"/>
      <c r="AM15" s="2024"/>
      <c r="AN15" s="2024"/>
      <c r="AO15" s="2024"/>
      <c r="AP15" s="2024"/>
      <c r="AQ15" s="2024"/>
      <c r="AR15" s="2024"/>
      <c r="AS15" s="2024"/>
      <c r="AT15" s="2024"/>
      <c r="AU15" s="2024"/>
      <c r="AV15" s="2024"/>
      <c r="AW15" s="2024"/>
      <c r="AX15" s="2024"/>
      <c r="AY15" s="2024"/>
      <c r="AZ15" s="2024"/>
      <c r="BA15" s="2024"/>
      <c r="BB15" s="2024"/>
      <c r="BC15" s="2024"/>
      <c r="BD15" s="2024"/>
      <c r="BE15" s="2024"/>
      <c r="BF15" s="2024"/>
      <c r="BG15" s="2024"/>
      <c r="BH15" s="2024"/>
      <c r="BI15" s="2024"/>
      <c r="BJ15" s="2024"/>
      <c r="BK15" s="2024"/>
      <c r="BL15" s="2024"/>
      <c r="BM15" s="2024"/>
      <c r="BN15" s="2024"/>
      <c r="BO15" s="2024"/>
      <c r="BP15" s="2024"/>
      <c r="BQ15" s="2024"/>
      <c r="BR15" s="2024"/>
      <c r="BS15" s="2024"/>
      <c r="BT15" s="2024"/>
      <c r="BU15" s="2024"/>
    </row>
    <row r="16" spans="1:73" x14ac:dyDescent="0.2">
      <c r="A16" s="2100" t="s">
        <v>4834</v>
      </c>
      <c r="B16" s="2100" t="s">
        <v>4835</v>
      </c>
      <c r="C16" s="2022">
        <v>1718838.6</v>
      </c>
      <c r="D16" s="2022">
        <v>0</v>
      </c>
      <c r="E16" s="2022">
        <v>1731227.52</v>
      </c>
      <c r="F16" s="2022">
        <v>0</v>
      </c>
      <c r="G16" s="2022">
        <f t="shared" si="0"/>
        <v>1731227.52</v>
      </c>
      <c r="H16" s="2100"/>
      <c r="I16" s="2022">
        <f>VLOOKUP(A16,'2012 - TB'!$A$3:$I$733,9,FALSE)</f>
        <v>1731227.52</v>
      </c>
      <c r="J16" s="2100"/>
      <c r="K16" s="2011">
        <f t="shared" si="1"/>
        <v>0</v>
      </c>
    </row>
    <row r="17" spans="1:73" x14ac:dyDescent="0.2">
      <c r="A17" s="2100" t="s">
        <v>4836</v>
      </c>
      <c r="B17" s="2100" t="s">
        <v>4837</v>
      </c>
      <c r="C17" s="2022">
        <v>174768</v>
      </c>
      <c r="D17" s="2022">
        <v>0</v>
      </c>
      <c r="E17" s="2022">
        <v>136320</v>
      </c>
      <c r="F17" s="2022">
        <v>0</v>
      </c>
      <c r="G17" s="2022">
        <f t="shared" si="0"/>
        <v>136320</v>
      </c>
      <c r="H17" s="2100"/>
      <c r="I17" s="2022">
        <f>VLOOKUP(A17,'2012 - TB'!$A$3:$I$733,9,FALSE)</f>
        <v>136320</v>
      </c>
      <c r="J17" s="2100"/>
      <c r="K17" s="2011">
        <f t="shared" si="1"/>
        <v>0</v>
      </c>
    </row>
    <row r="18" spans="1:73" x14ac:dyDescent="0.2">
      <c r="A18" s="2100" t="s">
        <v>4838</v>
      </c>
      <c r="B18" s="2100" t="s">
        <v>4839</v>
      </c>
      <c r="C18" s="2022">
        <v>572949.6</v>
      </c>
      <c r="D18" s="2022">
        <v>0</v>
      </c>
      <c r="E18" s="2022">
        <v>530161.11</v>
      </c>
      <c r="F18" s="2022">
        <v>0</v>
      </c>
      <c r="G18" s="2022">
        <f t="shared" si="0"/>
        <v>530161.11</v>
      </c>
      <c r="H18" s="2100"/>
      <c r="I18" s="2022">
        <f>VLOOKUP(A18,'2012 - TB'!$A$3:$I$733,9,FALSE)</f>
        <v>530161.11</v>
      </c>
      <c r="J18" s="2100"/>
      <c r="K18" s="2011">
        <f t="shared" si="1"/>
        <v>0</v>
      </c>
    </row>
    <row r="19" spans="1:73" x14ac:dyDescent="0.2">
      <c r="A19" s="2100" t="s">
        <v>4840</v>
      </c>
      <c r="B19" s="2100" t="s">
        <v>4841</v>
      </c>
      <c r="C19" s="2022">
        <v>24665.56</v>
      </c>
      <c r="D19" s="2022">
        <v>0</v>
      </c>
      <c r="E19" s="2022">
        <v>22477.58</v>
      </c>
      <c r="F19" s="2022">
        <v>0</v>
      </c>
      <c r="G19" s="2022">
        <f t="shared" si="0"/>
        <v>22477.58</v>
      </c>
      <c r="H19" s="2100"/>
      <c r="I19" s="2022">
        <f>VLOOKUP(A19,'2012 - TB'!$A$3:$I$733,9,FALSE)</f>
        <v>22477.58</v>
      </c>
      <c r="J19" s="2100"/>
      <c r="K19" s="2011">
        <f t="shared" si="1"/>
        <v>0</v>
      </c>
    </row>
    <row r="20" spans="1:73" x14ac:dyDescent="0.2">
      <c r="A20" s="2100" t="s">
        <v>4842</v>
      </c>
      <c r="B20" s="2100" t="s">
        <v>4843</v>
      </c>
      <c r="C20" s="2022">
        <v>34370.6</v>
      </c>
      <c r="D20" s="2022">
        <v>0</v>
      </c>
      <c r="E20" s="2022">
        <v>49965.279999999999</v>
      </c>
      <c r="F20" s="2022">
        <v>0</v>
      </c>
      <c r="G20" s="2022">
        <f t="shared" si="0"/>
        <v>49965.279999999999</v>
      </c>
      <c r="H20" s="2100"/>
      <c r="I20" s="2022">
        <f>VLOOKUP(A20,'2012 - TB'!$A$3:$I$733,9,FALSE)</f>
        <v>49965.279999999999</v>
      </c>
      <c r="J20" s="2100"/>
      <c r="K20" s="2011">
        <f t="shared" si="1"/>
        <v>0</v>
      </c>
    </row>
    <row r="21" spans="1:73" x14ac:dyDescent="0.2">
      <c r="A21" s="2100" t="s">
        <v>4844</v>
      </c>
      <c r="B21" s="2100" t="s">
        <v>4845</v>
      </c>
      <c r="C21" s="2022">
        <v>75796.19</v>
      </c>
      <c r="D21" s="2022">
        <v>0</v>
      </c>
      <c r="E21" s="2022">
        <v>129577.82</v>
      </c>
      <c r="F21" s="2022">
        <v>0</v>
      </c>
      <c r="G21" s="2022">
        <f t="shared" si="0"/>
        <v>129577.82</v>
      </c>
      <c r="H21" s="2100"/>
      <c r="I21" s="2022">
        <f>VLOOKUP(A21,'2012 - TB'!$A$3:$I$733,9,FALSE)</f>
        <v>129577.82</v>
      </c>
      <c r="J21" s="2100"/>
      <c r="K21" s="2011">
        <f t="shared" si="1"/>
        <v>0</v>
      </c>
    </row>
    <row r="22" spans="1:73" x14ac:dyDescent="0.2">
      <c r="A22" s="2100" t="s">
        <v>4846</v>
      </c>
      <c r="B22" s="2100" t="s">
        <v>4847</v>
      </c>
      <c r="C22" s="2022">
        <v>28716.87</v>
      </c>
      <c r="D22" s="2022">
        <v>0</v>
      </c>
      <c r="E22" s="2022">
        <v>497682.21</v>
      </c>
      <c r="F22" s="2022">
        <v>0</v>
      </c>
      <c r="G22" s="2022">
        <f t="shared" si="0"/>
        <v>497682.21</v>
      </c>
      <c r="H22" s="2100"/>
      <c r="I22" s="2022">
        <f>VLOOKUP(A22,'2012 - TB'!$A$3:$I$733,9,FALSE)</f>
        <v>497682.20999999996</v>
      </c>
      <c r="J22" s="2100"/>
      <c r="K22" s="2011">
        <f t="shared" si="1"/>
        <v>0</v>
      </c>
    </row>
    <row r="23" spans="1:73" x14ac:dyDescent="0.2">
      <c r="A23" t="s">
        <v>4848</v>
      </c>
      <c r="B23" t="s">
        <v>4849</v>
      </c>
      <c r="C23" s="2022">
        <v>28051.51</v>
      </c>
      <c r="D23" s="2022">
        <v>0</v>
      </c>
      <c r="E23" s="2022">
        <v>0</v>
      </c>
      <c r="F23" s="2022">
        <v>0</v>
      </c>
      <c r="G23" s="2022">
        <f t="shared" si="0"/>
        <v>0</v>
      </c>
      <c r="I23" s="2022">
        <f>VLOOKUP(A23,'2012 - TB'!$A$3:$I$733,9,FALSE)</f>
        <v>0</v>
      </c>
      <c r="K23" s="2011">
        <f t="shared" si="1"/>
        <v>0</v>
      </c>
    </row>
    <row r="24" spans="1:73" x14ac:dyDescent="0.2">
      <c r="A24" t="s">
        <v>4850</v>
      </c>
      <c r="B24" t="s">
        <v>7819</v>
      </c>
      <c r="C24" s="2022">
        <v>0</v>
      </c>
      <c r="D24" s="2022">
        <v>0</v>
      </c>
      <c r="E24" s="2022">
        <v>0</v>
      </c>
      <c r="F24" s="2022">
        <v>0</v>
      </c>
      <c r="G24" s="2022">
        <f t="shared" si="0"/>
        <v>0</v>
      </c>
      <c r="K24" s="2011">
        <f t="shared" si="1"/>
        <v>0</v>
      </c>
    </row>
    <row r="25" spans="1:73" x14ac:dyDescent="0.2">
      <c r="A25" t="s">
        <v>4852</v>
      </c>
      <c r="B25" t="s">
        <v>4853</v>
      </c>
      <c r="C25" s="2022">
        <v>631.6</v>
      </c>
      <c r="D25" s="2022">
        <v>0</v>
      </c>
      <c r="E25" s="2022">
        <v>534.69000000000005</v>
      </c>
      <c r="F25" s="2022">
        <v>0</v>
      </c>
      <c r="G25" s="2022">
        <f t="shared" si="0"/>
        <v>534.69000000000005</v>
      </c>
      <c r="I25" s="2022">
        <f>VLOOKUP(A25,'2012 - TB'!$A$3:$I$733,9,FALSE)</f>
        <v>534.69000000000005</v>
      </c>
      <c r="K25" s="2011">
        <f t="shared" si="1"/>
        <v>0</v>
      </c>
    </row>
    <row r="26" spans="1:73" x14ac:dyDescent="0.2">
      <c r="A26" t="s">
        <v>4854</v>
      </c>
      <c r="B26" t="s">
        <v>4855</v>
      </c>
      <c r="C26" s="2022">
        <v>7450.29</v>
      </c>
      <c r="D26" s="2022">
        <v>0</v>
      </c>
      <c r="E26" s="2022">
        <v>0</v>
      </c>
      <c r="F26" s="2022">
        <v>0</v>
      </c>
      <c r="G26" s="2022">
        <f t="shared" si="0"/>
        <v>0</v>
      </c>
      <c r="I26" s="2022">
        <f>VLOOKUP(A26,'2012 - TB'!$A$3:$I$733,9,FALSE)</f>
        <v>0</v>
      </c>
      <c r="K26" s="2011">
        <f t="shared" si="1"/>
        <v>0</v>
      </c>
    </row>
    <row r="27" spans="1:73" x14ac:dyDescent="0.2">
      <c r="A27" t="s">
        <v>4856</v>
      </c>
      <c r="B27" t="s">
        <v>7820</v>
      </c>
      <c r="C27" s="2022">
        <v>400000</v>
      </c>
      <c r="D27" s="2022">
        <v>0</v>
      </c>
      <c r="E27" s="2022">
        <v>284082.40000000002</v>
      </c>
      <c r="F27" s="2022">
        <v>-698</v>
      </c>
      <c r="G27" s="2022">
        <f t="shared" si="0"/>
        <v>283384.40000000002</v>
      </c>
      <c r="I27" s="2022">
        <f>VLOOKUP(A27,'2012 - TB'!$A$3:$I$733,9,FALSE)</f>
        <v>283384.40000000002</v>
      </c>
      <c r="K27" s="2011">
        <f t="shared" si="1"/>
        <v>0</v>
      </c>
    </row>
    <row r="28" spans="1:73" x14ac:dyDescent="0.2">
      <c r="A28" t="s">
        <v>4858</v>
      </c>
      <c r="B28" t="s">
        <v>4859</v>
      </c>
      <c r="C28" s="2022">
        <v>24230</v>
      </c>
      <c r="D28" s="2022">
        <v>0</v>
      </c>
      <c r="E28" s="2022">
        <v>21751.54</v>
      </c>
      <c r="F28" s="2022">
        <v>0</v>
      </c>
      <c r="G28" s="2022">
        <f t="shared" si="0"/>
        <v>21751.54</v>
      </c>
      <c r="I28" s="2022">
        <f>VLOOKUP(A28,'2012 - TB'!$A$3:$I$733,9,FALSE)</f>
        <v>21751.54</v>
      </c>
      <c r="K28" s="2011">
        <f t="shared" si="1"/>
        <v>0</v>
      </c>
    </row>
    <row r="29" spans="1:73" x14ac:dyDescent="0.2">
      <c r="A29" t="s">
        <v>4860</v>
      </c>
      <c r="B29" t="s">
        <v>4861</v>
      </c>
      <c r="C29" s="2022">
        <v>2120</v>
      </c>
      <c r="D29" s="2022">
        <v>0</v>
      </c>
      <c r="E29" s="2022">
        <v>2120</v>
      </c>
      <c r="F29" s="2022">
        <v>0</v>
      </c>
      <c r="G29" s="2022">
        <f t="shared" si="0"/>
        <v>2120</v>
      </c>
      <c r="I29" s="2022">
        <f>VLOOKUP(A29,'2012 - TB'!$A$3:$I$733,9,FALSE)</f>
        <v>2120</v>
      </c>
      <c r="K29" s="2011">
        <f t="shared" si="1"/>
        <v>0</v>
      </c>
    </row>
    <row r="30" spans="1:73" x14ac:dyDescent="0.2">
      <c r="A30" t="s">
        <v>4862</v>
      </c>
      <c r="B30" t="s">
        <v>7821</v>
      </c>
      <c r="C30" s="2022">
        <v>0</v>
      </c>
      <c r="D30" s="2022">
        <v>0</v>
      </c>
      <c r="E30" s="2022">
        <v>0</v>
      </c>
      <c r="F30" s="2022">
        <v>0</v>
      </c>
      <c r="G30" s="2022">
        <f t="shared" si="0"/>
        <v>0</v>
      </c>
      <c r="K30" s="2011">
        <f t="shared" si="1"/>
        <v>0</v>
      </c>
    </row>
    <row r="31" spans="1:73" x14ac:dyDescent="0.2">
      <c r="A31" t="s">
        <v>4864</v>
      </c>
      <c r="B31" t="s">
        <v>4865</v>
      </c>
      <c r="C31" s="2022">
        <v>0</v>
      </c>
      <c r="D31" s="2022">
        <v>0</v>
      </c>
      <c r="E31" s="2022">
        <v>0</v>
      </c>
      <c r="F31" s="2022">
        <v>0</v>
      </c>
      <c r="G31" s="2022">
        <f t="shared" si="0"/>
        <v>0</v>
      </c>
      <c r="K31" s="2011">
        <f t="shared" si="1"/>
        <v>0</v>
      </c>
    </row>
    <row r="32" spans="1:73" s="2215" customFormat="1" x14ac:dyDescent="0.2">
      <c r="A32" s="2215" t="s">
        <v>4866</v>
      </c>
      <c r="B32" s="2215" t="s">
        <v>4867</v>
      </c>
      <c r="C32" s="2230">
        <v>0</v>
      </c>
      <c r="D32" s="2230">
        <v>0</v>
      </c>
      <c r="E32" s="2230">
        <v>0</v>
      </c>
      <c r="F32" s="2230">
        <v>0</v>
      </c>
      <c r="G32" s="2230">
        <f t="shared" si="0"/>
        <v>0</v>
      </c>
      <c r="I32" s="2230">
        <f>VLOOKUP(A32,'2012 - TB'!$A$3:$I$733,9,FALSE)</f>
        <v>21369430.350000001</v>
      </c>
      <c r="K32" s="2019">
        <f t="shared" si="1"/>
        <v>-21369430.350000001</v>
      </c>
      <c r="L32" s="2024"/>
      <c r="M32" s="2024"/>
      <c r="N32" s="2024"/>
      <c r="O32" s="2024"/>
      <c r="P32" s="2024"/>
      <c r="Q32" s="2024"/>
      <c r="R32" s="2024"/>
      <c r="S32" s="2024"/>
      <c r="T32" s="2024"/>
      <c r="U32" s="2024"/>
      <c r="V32" s="2024"/>
      <c r="W32" s="2024"/>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4"/>
      <c r="AS32" s="2024"/>
      <c r="AT32" s="2024"/>
      <c r="AU32" s="2024"/>
      <c r="AV32" s="2024"/>
      <c r="AW32" s="2024"/>
      <c r="AX32" s="2024"/>
      <c r="AY32" s="2024"/>
      <c r="AZ32" s="2024"/>
      <c r="BA32" s="2024"/>
      <c r="BB32" s="2024"/>
      <c r="BC32" s="2024"/>
      <c r="BD32" s="2024"/>
      <c r="BE32" s="2024"/>
      <c r="BF32" s="2024"/>
      <c r="BG32" s="2024"/>
      <c r="BH32" s="2024"/>
      <c r="BI32" s="2024"/>
      <c r="BJ32" s="2024"/>
      <c r="BK32" s="2024"/>
      <c r="BL32" s="2024"/>
      <c r="BM32" s="2024"/>
      <c r="BN32" s="2024"/>
      <c r="BO32" s="2024"/>
      <c r="BP32" s="2024"/>
      <c r="BQ32" s="2024"/>
      <c r="BR32" s="2024"/>
      <c r="BS32" s="2024"/>
      <c r="BT32" s="2024"/>
      <c r="BU32" s="2024"/>
    </row>
    <row r="33" spans="1:73" x14ac:dyDescent="0.2">
      <c r="A33" t="s">
        <v>4868</v>
      </c>
      <c r="B33" t="s">
        <v>4869</v>
      </c>
      <c r="C33" s="2022">
        <v>0</v>
      </c>
      <c r="D33" s="2022">
        <v>0</v>
      </c>
      <c r="E33" s="2022">
        <v>0</v>
      </c>
      <c r="F33" s="2022">
        <v>0</v>
      </c>
      <c r="G33" s="2022">
        <f t="shared" si="0"/>
        <v>0</v>
      </c>
      <c r="K33" s="2011">
        <f t="shared" si="1"/>
        <v>0</v>
      </c>
    </row>
    <row r="34" spans="1:73" x14ac:dyDescent="0.2">
      <c r="A34" t="s">
        <v>4870</v>
      </c>
      <c r="B34" t="s">
        <v>7822</v>
      </c>
      <c r="C34" s="2022">
        <v>31800</v>
      </c>
      <c r="D34" s="2022">
        <v>0</v>
      </c>
      <c r="E34" s="2022">
        <v>91736.66</v>
      </c>
      <c r="F34" s="2022">
        <v>0</v>
      </c>
      <c r="G34" s="2022">
        <f t="shared" si="0"/>
        <v>91736.66</v>
      </c>
      <c r="I34" s="2022">
        <f>VLOOKUP(A34,'2012 - TB'!$A$3:$I$733,9,FALSE)</f>
        <v>91736.66</v>
      </c>
      <c r="K34" s="2011">
        <f t="shared" si="1"/>
        <v>0</v>
      </c>
    </row>
    <row r="35" spans="1:73" x14ac:dyDescent="0.2">
      <c r="A35" t="s">
        <v>4872</v>
      </c>
      <c r="B35" t="s">
        <v>4873</v>
      </c>
      <c r="C35" s="2022">
        <v>2663.7</v>
      </c>
      <c r="D35" s="2022">
        <v>0</v>
      </c>
      <c r="E35" s="2022">
        <v>1370.45</v>
      </c>
      <c r="F35" s="2022">
        <v>-1370.45</v>
      </c>
      <c r="G35" s="2022">
        <f t="shared" si="0"/>
        <v>0</v>
      </c>
      <c r="I35" s="2022">
        <f>VLOOKUP(A35,'2012 - TB'!$A$3:$I$733,9,FALSE)</f>
        <v>0</v>
      </c>
      <c r="K35" s="2011">
        <f t="shared" si="1"/>
        <v>0</v>
      </c>
    </row>
    <row r="36" spans="1:73" x14ac:dyDescent="0.2">
      <c r="A36" t="s">
        <v>4874</v>
      </c>
      <c r="B36" t="s">
        <v>7823</v>
      </c>
      <c r="C36" s="2022">
        <v>19902</v>
      </c>
      <c r="D36" s="2022">
        <v>0</v>
      </c>
      <c r="E36" s="2022">
        <v>72164.679999999993</v>
      </c>
      <c r="F36" s="2022">
        <v>-11096.1</v>
      </c>
      <c r="G36" s="2022">
        <f t="shared" si="0"/>
        <v>61068.579999999994</v>
      </c>
      <c r="I36" s="2022">
        <f>VLOOKUP(A36,'2012 - TB'!$A$3:$I$733,9,FALSE)</f>
        <v>61068.37</v>
      </c>
      <c r="K36" s="2011">
        <f t="shared" si="1"/>
        <v>0.20999999999185093</v>
      </c>
    </row>
    <row r="37" spans="1:73" x14ac:dyDescent="0.2">
      <c r="A37" t="s">
        <v>4876</v>
      </c>
      <c r="B37" t="s">
        <v>7824</v>
      </c>
      <c r="C37" s="2022">
        <v>9600</v>
      </c>
      <c r="D37" s="2022">
        <v>0</v>
      </c>
      <c r="E37" s="2022">
        <v>100560</v>
      </c>
      <c r="F37" s="2022">
        <v>0</v>
      </c>
      <c r="G37" s="2022">
        <f t="shared" si="0"/>
        <v>100560</v>
      </c>
      <c r="I37" s="2022">
        <f>VLOOKUP(A37,'2012 - TB'!$A$3:$I$733,9,FALSE)</f>
        <v>100560</v>
      </c>
      <c r="K37" s="2011">
        <f t="shared" si="1"/>
        <v>0</v>
      </c>
    </row>
    <row r="38" spans="1:73" s="2215" customFormat="1" x14ac:dyDescent="0.2">
      <c r="A38" s="2215" t="s">
        <v>4878</v>
      </c>
      <c r="B38" s="2215" t="s">
        <v>4879</v>
      </c>
      <c r="C38" s="2230">
        <v>400000</v>
      </c>
      <c r="D38" s="2230">
        <v>0</v>
      </c>
      <c r="E38" s="2230">
        <v>464865.34</v>
      </c>
      <c r="F38" s="2230">
        <v>-1873.4</v>
      </c>
      <c r="G38" s="2230">
        <f t="shared" si="0"/>
        <v>462991.94</v>
      </c>
      <c r="I38" s="2230">
        <f>VLOOKUP(A38,'2012 - TB'!$A$3:$I$733,9,FALSE)</f>
        <v>463631.94</v>
      </c>
      <c r="K38" s="2634">
        <f t="shared" si="1"/>
        <v>-640</v>
      </c>
      <c r="L38" s="2024"/>
      <c r="M38" s="2024"/>
      <c r="N38" s="2024"/>
      <c r="O38" s="2024"/>
      <c r="P38" s="2024"/>
      <c r="Q38" s="2024"/>
      <c r="R38" s="2024"/>
      <c r="S38" s="2024"/>
      <c r="T38" s="2024"/>
      <c r="U38" s="2024"/>
      <c r="V38" s="2024"/>
      <c r="W38" s="2024"/>
      <c r="X38" s="2024"/>
      <c r="Y38" s="2024"/>
      <c r="Z38" s="2024"/>
      <c r="AA38" s="2024"/>
      <c r="AB38" s="2024"/>
      <c r="AC38" s="2024"/>
      <c r="AD38" s="2024"/>
      <c r="AE38" s="2024"/>
      <c r="AF38" s="2024"/>
      <c r="AG38" s="2024"/>
      <c r="AH38" s="2024"/>
      <c r="AI38" s="2024"/>
      <c r="AJ38" s="2024"/>
      <c r="AK38" s="2024"/>
      <c r="AL38" s="2024"/>
      <c r="AM38" s="2024"/>
      <c r="AN38" s="2024"/>
      <c r="AO38" s="2024"/>
      <c r="AP38" s="2024"/>
      <c r="AQ38" s="2024"/>
      <c r="AR38" s="2024"/>
      <c r="AS38" s="2024"/>
      <c r="AT38" s="2024"/>
      <c r="AU38" s="2024"/>
      <c r="AV38" s="2024"/>
      <c r="AW38" s="2024"/>
      <c r="AX38" s="2024"/>
      <c r="AY38" s="2024"/>
      <c r="AZ38" s="2024"/>
      <c r="BA38" s="2024"/>
      <c r="BB38" s="2024"/>
      <c r="BC38" s="2024"/>
      <c r="BD38" s="2024"/>
      <c r="BE38" s="2024"/>
      <c r="BF38" s="2024"/>
      <c r="BG38" s="2024"/>
      <c r="BH38" s="2024"/>
      <c r="BI38" s="2024"/>
      <c r="BJ38" s="2024"/>
      <c r="BK38" s="2024"/>
      <c r="BL38" s="2024"/>
      <c r="BM38" s="2024"/>
      <c r="BN38" s="2024"/>
      <c r="BO38" s="2024"/>
      <c r="BP38" s="2024"/>
      <c r="BQ38" s="2024"/>
      <c r="BR38" s="2024"/>
      <c r="BS38" s="2024"/>
      <c r="BT38" s="2024"/>
      <c r="BU38" s="2024"/>
    </row>
    <row r="39" spans="1:73" x14ac:dyDescent="0.2">
      <c r="A39" t="s">
        <v>4880</v>
      </c>
      <c r="B39" t="s">
        <v>4881</v>
      </c>
      <c r="C39" s="2022">
        <v>10985.94</v>
      </c>
      <c r="D39" s="2022">
        <v>0</v>
      </c>
      <c r="E39" s="2022">
        <v>7941.83</v>
      </c>
      <c r="F39" s="2022">
        <v>0</v>
      </c>
      <c r="G39" s="2022">
        <f t="shared" si="0"/>
        <v>7941.83</v>
      </c>
      <c r="I39" s="2022">
        <f>VLOOKUP(A39,'2012 - TB'!$A$3:$I$733,9,FALSE)</f>
        <v>7941.83</v>
      </c>
      <c r="K39" s="2011">
        <f t="shared" si="1"/>
        <v>0</v>
      </c>
    </row>
    <row r="40" spans="1:73" x14ac:dyDescent="0.2">
      <c r="A40" t="s">
        <v>4882</v>
      </c>
      <c r="B40" t="s">
        <v>7825</v>
      </c>
      <c r="C40" s="2022">
        <v>0</v>
      </c>
      <c r="D40" s="2022">
        <v>0</v>
      </c>
      <c r="E40" s="2022">
        <v>0</v>
      </c>
      <c r="F40" s="2022">
        <v>0</v>
      </c>
      <c r="G40" s="2022">
        <f t="shared" si="0"/>
        <v>0</v>
      </c>
      <c r="K40" s="2011">
        <f t="shared" si="1"/>
        <v>0</v>
      </c>
    </row>
    <row r="41" spans="1:73" x14ac:dyDescent="0.2">
      <c r="A41" t="s">
        <v>4884</v>
      </c>
      <c r="B41" t="s">
        <v>7826</v>
      </c>
      <c r="C41" s="2022">
        <v>0</v>
      </c>
      <c r="D41" s="2022">
        <v>0</v>
      </c>
      <c r="E41" s="2022">
        <v>0</v>
      </c>
      <c r="F41" s="2022">
        <v>0</v>
      </c>
      <c r="G41" s="2022">
        <f t="shared" si="0"/>
        <v>0</v>
      </c>
      <c r="K41" s="2011">
        <f t="shared" si="1"/>
        <v>0</v>
      </c>
    </row>
    <row r="42" spans="1:73" x14ac:dyDescent="0.2">
      <c r="A42" t="s">
        <v>4886</v>
      </c>
      <c r="B42" t="s">
        <v>4887</v>
      </c>
      <c r="C42" s="2022">
        <v>1017.96</v>
      </c>
      <c r="D42" s="2022">
        <v>0</v>
      </c>
      <c r="E42" s="2022">
        <v>7528.25</v>
      </c>
      <c r="F42" s="2022">
        <v>0</v>
      </c>
      <c r="G42" s="2022">
        <f t="shared" si="0"/>
        <v>7528.25</v>
      </c>
      <c r="I42" s="2022">
        <f>VLOOKUP(A42,'2012 - TB'!$A$3:$I$733,9,FALSE)</f>
        <v>7528.25</v>
      </c>
      <c r="K42" s="2011">
        <f t="shared" si="1"/>
        <v>0</v>
      </c>
    </row>
    <row r="43" spans="1:73" x14ac:dyDescent="0.2">
      <c r="A43" t="s">
        <v>4888</v>
      </c>
      <c r="B43" t="s">
        <v>4889</v>
      </c>
      <c r="C43" s="2022">
        <v>2018.91</v>
      </c>
      <c r="D43" s="2022">
        <v>0</v>
      </c>
      <c r="E43" s="2022">
        <v>5000</v>
      </c>
      <c r="F43" s="2022">
        <v>0</v>
      </c>
      <c r="G43" s="2022">
        <f t="shared" si="0"/>
        <v>5000</v>
      </c>
      <c r="I43" s="2022">
        <f>VLOOKUP(A43,'2012 - TB'!$A$3:$I$733,9,FALSE)</f>
        <v>5000</v>
      </c>
      <c r="K43" s="2011">
        <f t="shared" si="1"/>
        <v>0</v>
      </c>
    </row>
    <row r="44" spans="1:73" x14ac:dyDescent="0.2">
      <c r="A44" t="s">
        <v>4890</v>
      </c>
      <c r="B44" t="s">
        <v>4891</v>
      </c>
      <c r="C44" s="2022">
        <v>1639.88</v>
      </c>
      <c r="D44" s="2022">
        <v>0</v>
      </c>
      <c r="E44" s="2022">
        <v>1914.47</v>
      </c>
      <c r="F44" s="2022">
        <v>-1914.47</v>
      </c>
      <c r="G44" s="2022">
        <f t="shared" si="0"/>
        <v>0</v>
      </c>
      <c r="I44" s="2022">
        <f>VLOOKUP(A44,'2012 - TB'!$A$3:$I$733,9,FALSE)</f>
        <v>0</v>
      </c>
      <c r="K44" s="2011">
        <f t="shared" si="1"/>
        <v>0</v>
      </c>
    </row>
    <row r="45" spans="1:73" x14ac:dyDescent="0.2">
      <c r="A45" t="s">
        <v>4892</v>
      </c>
      <c r="B45" t="s">
        <v>4893</v>
      </c>
      <c r="C45" s="2022">
        <v>1688.6</v>
      </c>
      <c r="D45" s="2022">
        <v>0</v>
      </c>
      <c r="E45" s="2022">
        <v>0</v>
      </c>
      <c r="F45" s="2022">
        <v>0</v>
      </c>
      <c r="G45" s="2022">
        <f t="shared" si="0"/>
        <v>0</v>
      </c>
      <c r="I45" s="2022">
        <f>VLOOKUP(A45,'2012 - TB'!$A$3:$I$733,9,FALSE)</f>
        <v>0</v>
      </c>
      <c r="K45" s="2011">
        <f t="shared" si="1"/>
        <v>0</v>
      </c>
    </row>
    <row r="46" spans="1:73" x14ac:dyDescent="0.2">
      <c r="A46" t="s">
        <v>4894</v>
      </c>
      <c r="B46" t="s">
        <v>4895</v>
      </c>
      <c r="C46" s="2022">
        <v>87259.74</v>
      </c>
      <c r="D46" s="2022">
        <v>0</v>
      </c>
      <c r="E46" s="2022">
        <v>46569.87</v>
      </c>
      <c r="F46" s="2022">
        <v>0</v>
      </c>
      <c r="G46" s="2022">
        <f t="shared" si="0"/>
        <v>46569.87</v>
      </c>
      <c r="I46" s="2022">
        <f>VLOOKUP(A46,'2012 - TB'!$A$3:$I$733,9,FALSE)</f>
        <v>46569.87</v>
      </c>
      <c r="K46" s="2011">
        <f t="shared" si="1"/>
        <v>0</v>
      </c>
    </row>
    <row r="47" spans="1:73" x14ac:dyDescent="0.2">
      <c r="A47" t="s">
        <v>4896</v>
      </c>
      <c r="B47" t="s">
        <v>4897</v>
      </c>
      <c r="C47" s="2022">
        <v>36928.29</v>
      </c>
      <c r="D47" s="2022">
        <v>0</v>
      </c>
      <c r="E47" s="2022">
        <v>0</v>
      </c>
      <c r="F47" s="2022">
        <v>0</v>
      </c>
      <c r="G47" s="2022">
        <f t="shared" si="0"/>
        <v>0</v>
      </c>
      <c r="I47" s="2022">
        <f>VLOOKUP(A47,'2012 - TB'!$A$3:$I$733,9,FALSE)</f>
        <v>0</v>
      </c>
      <c r="K47" s="2011">
        <f t="shared" si="1"/>
        <v>0</v>
      </c>
    </row>
    <row r="48" spans="1:73" x14ac:dyDescent="0.2">
      <c r="A48" t="s">
        <v>4898</v>
      </c>
      <c r="B48" t="s">
        <v>4899</v>
      </c>
      <c r="C48" s="2022">
        <v>2687.09</v>
      </c>
      <c r="D48" s="2022">
        <v>0</v>
      </c>
      <c r="E48" s="2022">
        <v>0</v>
      </c>
      <c r="F48" s="2022">
        <v>0</v>
      </c>
      <c r="G48" s="2022">
        <f t="shared" si="0"/>
        <v>0</v>
      </c>
      <c r="I48" s="2022">
        <f>VLOOKUP(A48,'2012 - TB'!$A$3:$I$733,9,FALSE)</f>
        <v>0</v>
      </c>
      <c r="K48" s="2011">
        <f t="shared" si="1"/>
        <v>0</v>
      </c>
    </row>
    <row r="49" spans="1:11" x14ac:dyDescent="0.2">
      <c r="A49" t="s">
        <v>4900</v>
      </c>
      <c r="B49" t="s">
        <v>4901</v>
      </c>
      <c r="C49" s="2022">
        <v>-2810723.2</v>
      </c>
      <c r="D49" s="2022">
        <v>0</v>
      </c>
      <c r="E49" s="2022">
        <v>0</v>
      </c>
      <c r="F49" s="2022">
        <v>0</v>
      </c>
      <c r="G49" s="2022">
        <f t="shared" si="0"/>
        <v>0</v>
      </c>
      <c r="I49" s="2022">
        <f>VLOOKUP(A49,'2012 - TB'!$A$3:$I$733,9,FALSE)</f>
        <v>0</v>
      </c>
      <c r="K49" s="2011">
        <f t="shared" si="1"/>
        <v>0</v>
      </c>
    </row>
    <row r="50" spans="1:11" x14ac:dyDescent="0.2">
      <c r="A50" t="s">
        <v>4902</v>
      </c>
      <c r="B50" t="s">
        <v>4903</v>
      </c>
      <c r="C50" s="2022">
        <v>-2601388.5499999998</v>
      </c>
      <c r="D50" s="2022">
        <v>0</v>
      </c>
      <c r="E50" s="2022">
        <v>0</v>
      </c>
      <c r="F50" s="2022">
        <v>0</v>
      </c>
      <c r="G50" s="2022">
        <f t="shared" si="0"/>
        <v>0</v>
      </c>
      <c r="I50" s="2022">
        <f>VLOOKUP(A50,'2012 - TB'!$A$3:$I$733,9,FALSE)</f>
        <v>0</v>
      </c>
      <c r="K50" s="2011">
        <f t="shared" si="1"/>
        <v>0</v>
      </c>
    </row>
    <row r="51" spans="1:11" x14ac:dyDescent="0.2">
      <c r="A51" t="s">
        <v>4904</v>
      </c>
      <c r="B51" t="s">
        <v>4808</v>
      </c>
      <c r="C51" s="2022">
        <v>632000.04</v>
      </c>
      <c r="D51" s="2022">
        <v>0</v>
      </c>
      <c r="E51" s="2022">
        <v>649031.04</v>
      </c>
      <c r="F51" s="2022">
        <v>0</v>
      </c>
      <c r="G51" s="2022">
        <f t="shared" si="0"/>
        <v>649031.04</v>
      </c>
      <c r="I51" s="2022">
        <f>VLOOKUP(A51,'2012 - TB'!$A$3:$I$733,9,FALSE)</f>
        <v>649031.04</v>
      </c>
      <c r="K51" s="2011">
        <f t="shared" si="1"/>
        <v>0</v>
      </c>
    </row>
    <row r="52" spans="1:11" x14ac:dyDescent="0.2">
      <c r="A52" t="s">
        <v>4905</v>
      </c>
      <c r="B52" t="s">
        <v>4810</v>
      </c>
      <c r="C52" s="2022">
        <v>89000</v>
      </c>
      <c r="D52" s="2022">
        <v>0</v>
      </c>
      <c r="E52" s="2022">
        <v>0</v>
      </c>
      <c r="F52" s="2022">
        <v>0</v>
      </c>
      <c r="G52" s="2022">
        <f t="shared" si="0"/>
        <v>0</v>
      </c>
      <c r="I52" s="2022">
        <f>VLOOKUP(A52,'2012 - TB'!$A$3:$I$733,9,FALSE)</f>
        <v>0</v>
      </c>
      <c r="K52" s="2011">
        <f t="shared" si="1"/>
        <v>0</v>
      </c>
    </row>
    <row r="53" spans="1:11" x14ac:dyDescent="0.2">
      <c r="A53" t="s">
        <v>4906</v>
      </c>
      <c r="B53" t="s">
        <v>4812</v>
      </c>
      <c r="C53" s="2022">
        <v>6902</v>
      </c>
      <c r="D53" s="2022">
        <v>0</v>
      </c>
      <c r="E53" s="2022">
        <v>8596.6200000000008</v>
      </c>
      <c r="F53" s="2022">
        <v>0</v>
      </c>
      <c r="G53" s="2022">
        <f t="shared" si="0"/>
        <v>8596.6200000000008</v>
      </c>
      <c r="I53" s="2022">
        <f>VLOOKUP(A53,'2012 - TB'!$A$3:$I$733,9,FALSE)</f>
        <v>8596.6200000000008</v>
      </c>
      <c r="K53" s="2011">
        <f t="shared" si="1"/>
        <v>0</v>
      </c>
    </row>
    <row r="54" spans="1:11" x14ac:dyDescent="0.2">
      <c r="A54" t="s">
        <v>4907</v>
      </c>
      <c r="B54" t="s">
        <v>4814</v>
      </c>
      <c r="C54" s="2022">
        <v>3656.4</v>
      </c>
      <c r="D54" s="2022">
        <v>0</v>
      </c>
      <c r="E54" s="2022">
        <v>3656.4</v>
      </c>
      <c r="F54" s="2022">
        <v>0</v>
      </c>
      <c r="G54" s="2022">
        <f t="shared" si="0"/>
        <v>3656.4</v>
      </c>
      <c r="I54" s="2022">
        <f>VLOOKUP(A54,'2012 - TB'!$A$3:$I$733,9,FALSE)</f>
        <v>3656.4</v>
      </c>
      <c r="K54" s="2011">
        <f t="shared" si="1"/>
        <v>0</v>
      </c>
    </row>
    <row r="55" spans="1:11" x14ac:dyDescent="0.2">
      <c r="A55" t="s">
        <v>4908</v>
      </c>
      <c r="B55" t="s">
        <v>4816</v>
      </c>
      <c r="C55" s="2022">
        <v>3969.6</v>
      </c>
      <c r="D55" s="2022">
        <v>0</v>
      </c>
      <c r="E55" s="2022">
        <v>3969.6</v>
      </c>
      <c r="F55" s="2022">
        <v>0</v>
      </c>
      <c r="G55" s="2022">
        <f t="shared" si="0"/>
        <v>3969.6</v>
      </c>
      <c r="I55" s="2022">
        <f>VLOOKUP(A55,'2012 - TB'!$A$3:$I$733,9,FALSE)</f>
        <v>3969.6</v>
      </c>
      <c r="K55" s="2011">
        <f t="shared" si="1"/>
        <v>0</v>
      </c>
    </row>
    <row r="56" spans="1:11" x14ac:dyDescent="0.2">
      <c r="A56" t="s">
        <v>4909</v>
      </c>
      <c r="B56" t="s">
        <v>4820</v>
      </c>
      <c r="C56" s="2022">
        <v>0</v>
      </c>
      <c r="D56" s="2022">
        <v>0</v>
      </c>
      <c r="E56" s="2022">
        <v>0</v>
      </c>
      <c r="F56" s="2022">
        <v>0</v>
      </c>
      <c r="G56" s="2022">
        <f t="shared" si="0"/>
        <v>0</v>
      </c>
      <c r="K56" s="2011">
        <f t="shared" si="1"/>
        <v>0</v>
      </c>
    </row>
    <row r="57" spans="1:11" x14ac:dyDescent="0.2">
      <c r="A57" t="s">
        <v>4910</v>
      </c>
      <c r="B57" t="s">
        <v>4822</v>
      </c>
      <c r="C57" s="2022">
        <v>267000</v>
      </c>
      <c r="D57" s="2022">
        <v>0</v>
      </c>
      <c r="E57" s="2022">
        <v>168043.3</v>
      </c>
      <c r="F57" s="2022">
        <v>0</v>
      </c>
      <c r="G57" s="2022">
        <f t="shared" si="0"/>
        <v>168043.3</v>
      </c>
      <c r="I57" s="2022">
        <f>VLOOKUP(A57,'2012 - TB'!$A$3:$I$733,9,FALSE)</f>
        <v>168043.3</v>
      </c>
      <c r="K57" s="2011">
        <f t="shared" si="1"/>
        <v>0</v>
      </c>
    </row>
    <row r="58" spans="1:11" x14ac:dyDescent="0.2">
      <c r="A58" t="s">
        <v>4911</v>
      </c>
      <c r="B58" t="s">
        <v>4824</v>
      </c>
      <c r="C58" s="2022">
        <v>22356.6</v>
      </c>
      <c r="D58" s="2022">
        <v>0</v>
      </c>
      <c r="E58" s="2022">
        <v>22340.2</v>
      </c>
      <c r="F58" s="2022">
        <v>0</v>
      </c>
      <c r="G58" s="2022">
        <f t="shared" si="0"/>
        <v>22340.2</v>
      </c>
      <c r="I58" s="2022">
        <f>VLOOKUP(A58,'2012 - TB'!$A$3:$I$733,9,FALSE)</f>
        <v>22340.2</v>
      </c>
      <c r="K58" s="2011">
        <f t="shared" si="1"/>
        <v>0</v>
      </c>
    </row>
    <row r="59" spans="1:11" x14ac:dyDescent="0.2">
      <c r="A59" t="s">
        <v>4912</v>
      </c>
      <c r="B59" t="s">
        <v>4826</v>
      </c>
      <c r="C59" s="2022">
        <v>8799.85</v>
      </c>
      <c r="D59" s="2022">
        <v>0</v>
      </c>
      <c r="E59" s="2022">
        <v>8263.9699999999993</v>
      </c>
      <c r="F59" s="2022">
        <v>0</v>
      </c>
      <c r="G59" s="2022">
        <f t="shared" si="0"/>
        <v>8263.9699999999993</v>
      </c>
      <c r="I59" s="2022">
        <f>VLOOKUP(A59,'2012 - TB'!$A$3:$I$733,9,FALSE)</f>
        <v>8263.9699999999993</v>
      </c>
      <c r="K59" s="2011">
        <f t="shared" si="1"/>
        <v>0</v>
      </c>
    </row>
    <row r="60" spans="1:11" x14ac:dyDescent="0.2">
      <c r="A60" t="s">
        <v>4913</v>
      </c>
      <c r="B60" t="s">
        <v>7818</v>
      </c>
      <c r="C60" s="2022">
        <v>0</v>
      </c>
      <c r="D60" s="2022">
        <v>0</v>
      </c>
      <c r="E60" s="2022">
        <v>0</v>
      </c>
      <c r="F60" s="2022">
        <v>0</v>
      </c>
      <c r="G60" s="2022">
        <f t="shared" si="0"/>
        <v>0</v>
      </c>
      <c r="K60" s="2011">
        <f t="shared" si="1"/>
        <v>0</v>
      </c>
    </row>
    <row r="61" spans="1:11" x14ac:dyDescent="0.2">
      <c r="A61" t="s">
        <v>4914</v>
      </c>
      <c r="B61" t="s">
        <v>4829</v>
      </c>
      <c r="C61" s="2022">
        <v>14147.04</v>
      </c>
      <c r="D61" s="2022">
        <v>0</v>
      </c>
      <c r="E61" s="2022">
        <v>10229.040000000001</v>
      </c>
      <c r="F61" s="2022">
        <v>0</v>
      </c>
      <c r="G61" s="2022">
        <f t="shared" si="0"/>
        <v>10229.040000000001</v>
      </c>
      <c r="I61" s="2022">
        <f>VLOOKUP(A61,'2012 - TB'!$A$3:$I$733,9,FALSE)</f>
        <v>10229.040000000001</v>
      </c>
      <c r="K61" s="2011">
        <f t="shared" si="1"/>
        <v>0</v>
      </c>
    </row>
    <row r="62" spans="1:11" x14ac:dyDescent="0.2">
      <c r="A62" t="s">
        <v>4915</v>
      </c>
      <c r="B62" t="s">
        <v>4831</v>
      </c>
      <c r="C62" s="2022">
        <v>43469.86</v>
      </c>
      <c r="D62" s="2022">
        <v>0</v>
      </c>
      <c r="E62" s="2022">
        <v>56053.42</v>
      </c>
      <c r="F62" s="2022">
        <v>0</v>
      </c>
      <c r="G62" s="2022">
        <f t="shared" si="0"/>
        <v>56053.42</v>
      </c>
      <c r="I62" s="2022">
        <f>VLOOKUP(A62,'2012 - TB'!$A$3:$I$733,9,FALSE)</f>
        <v>56053.42</v>
      </c>
      <c r="K62" s="2011">
        <f t="shared" si="1"/>
        <v>0</v>
      </c>
    </row>
    <row r="63" spans="1:11" x14ac:dyDescent="0.2">
      <c r="A63" t="s">
        <v>4916</v>
      </c>
      <c r="B63" t="s">
        <v>4833</v>
      </c>
      <c r="C63" s="2022">
        <v>3379.22</v>
      </c>
      <c r="D63" s="2022">
        <v>0</v>
      </c>
      <c r="E63" s="2022">
        <v>2939.03</v>
      </c>
      <c r="F63" s="2022">
        <v>0</v>
      </c>
      <c r="G63" s="2022">
        <f t="shared" si="0"/>
        <v>2939.03</v>
      </c>
      <c r="I63" s="2022">
        <f>VLOOKUP(A63,'2012 - TB'!$A$3:$I$733,9,FALSE)</f>
        <v>2939.03</v>
      </c>
      <c r="K63" s="2011">
        <f t="shared" si="1"/>
        <v>0</v>
      </c>
    </row>
    <row r="64" spans="1:11" x14ac:dyDescent="0.2">
      <c r="A64" t="s">
        <v>4917</v>
      </c>
      <c r="B64" t="s">
        <v>4918</v>
      </c>
      <c r="C64" s="2022">
        <v>0</v>
      </c>
      <c r="D64" s="2022">
        <v>0</v>
      </c>
      <c r="E64" s="2022">
        <v>1000</v>
      </c>
      <c r="F64" s="2022">
        <v>0</v>
      </c>
      <c r="G64" s="2022">
        <f t="shared" si="0"/>
        <v>1000</v>
      </c>
      <c r="I64" s="2022">
        <f>VLOOKUP(A64,'2012 - TB'!$A$3:$I$733,9,FALSE)</f>
        <v>1000</v>
      </c>
      <c r="K64" s="2011">
        <f t="shared" si="1"/>
        <v>0</v>
      </c>
    </row>
    <row r="65" spans="1:73" x14ac:dyDescent="0.2">
      <c r="A65" t="s">
        <v>4919</v>
      </c>
      <c r="B65" t="s">
        <v>4853</v>
      </c>
      <c r="C65" s="2022">
        <v>35.08</v>
      </c>
      <c r="D65" s="2022">
        <v>0</v>
      </c>
      <c r="E65" s="2022">
        <v>17.54</v>
      </c>
      <c r="F65" s="2022">
        <v>0</v>
      </c>
      <c r="G65" s="2022">
        <f t="shared" si="0"/>
        <v>17.54</v>
      </c>
      <c r="I65" s="2022">
        <f>VLOOKUP(A65,'2012 - TB'!$A$3:$I$733,9,FALSE)</f>
        <v>17.54</v>
      </c>
      <c r="K65" s="2011">
        <f t="shared" si="1"/>
        <v>0</v>
      </c>
    </row>
    <row r="66" spans="1:73" x14ac:dyDescent="0.2">
      <c r="A66" t="s">
        <v>4920</v>
      </c>
      <c r="B66" t="s">
        <v>7827</v>
      </c>
      <c r="C66" s="2022">
        <v>0</v>
      </c>
      <c r="D66" s="2022">
        <v>0</v>
      </c>
      <c r="E66" s="2022">
        <v>0</v>
      </c>
      <c r="F66" s="2022">
        <v>0</v>
      </c>
      <c r="G66" s="2022">
        <f t="shared" ref="G66:G129" si="2">SUM(D66:F66)</f>
        <v>0</v>
      </c>
      <c r="K66" s="2011">
        <f t="shared" ref="K66:K129" si="3">G66-I66</f>
        <v>0</v>
      </c>
    </row>
    <row r="67" spans="1:73" s="2215" customFormat="1" x14ac:dyDescent="0.2">
      <c r="A67" s="2215" t="s">
        <v>4922</v>
      </c>
      <c r="B67" s="2215" t="s">
        <v>4867</v>
      </c>
      <c r="C67" s="2230">
        <v>0</v>
      </c>
      <c r="D67" s="2230">
        <v>0</v>
      </c>
      <c r="E67" s="2230">
        <v>0</v>
      </c>
      <c r="F67" s="2230">
        <v>0</v>
      </c>
      <c r="G67" s="2230">
        <f t="shared" si="2"/>
        <v>0</v>
      </c>
      <c r="I67" s="2230">
        <f>VLOOKUP(A67,'2012 - TB'!$A$3:$I$733,9,FALSE)</f>
        <v>131102</v>
      </c>
      <c r="K67" s="2634">
        <f t="shared" si="3"/>
        <v>-131102</v>
      </c>
      <c r="L67" s="2024"/>
      <c r="M67" s="2024"/>
      <c r="N67" s="2024"/>
      <c r="O67" s="2024"/>
      <c r="P67" s="2024"/>
      <c r="Q67" s="2024"/>
      <c r="R67" s="2024"/>
      <c r="S67" s="2024"/>
      <c r="T67" s="2024"/>
      <c r="U67" s="2024"/>
      <c r="V67" s="2024"/>
      <c r="W67" s="2024"/>
      <c r="X67" s="2024"/>
      <c r="Y67" s="2024"/>
      <c r="Z67" s="2024"/>
      <c r="AA67" s="2024"/>
      <c r="AB67" s="2024"/>
      <c r="AC67" s="2024"/>
      <c r="AD67" s="2024"/>
      <c r="AE67" s="2024"/>
      <c r="AF67" s="2024"/>
      <c r="AG67" s="2024"/>
      <c r="AH67" s="2024"/>
      <c r="AI67" s="2024"/>
      <c r="AJ67" s="2024"/>
      <c r="AK67" s="2024"/>
      <c r="AL67" s="2024"/>
      <c r="AM67" s="2024"/>
      <c r="AN67" s="2024"/>
      <c r="AO67" s="2024"/>
      <c r="AP67" s="2024"/>
      <c r="AQ67" s="2024"/>
      <c r="AR67" s="2024"/>
      <c r="AS67" s="2024"/>
      <c r="AT67" s="2024"/>
      <c r="AU67" s="2024"/>
      <c r="AV67" s="2024"/>
      <c r="AW67" s="2024"/>
      <c r="AX67" s="2024"/>
      <c r="AY67" s="2024"/>
      <c r="AZ67" s="2024"/>
      <c r="BA67" s="2024"/>
      <c r="BB67" s="2024"/>
      <c r="BC67" s="2024"/>
      <c r="BD67" s="2024"/>
      <c r="BE67" s="2024"/>
      <c r="BF67" s="2024"/>
      <c r="BG67" s="2024"/>
      <c r="BH67" s="2024"/>
      <c r="BI67" s="2024"/>
      <c r="BJ67" s="2024"/>
      <c r="BK67" s="2024"/>
      <c r="BL67" s="2024"/>
      <c r="BM67" s="2024"/>
      <c r="BN67" s="2024"/>
      <c r="BO67" s="2024"/>
      <c r="BP67" s="2024"/>
      <c r="BQ67" s="2024"/>
      <c r="BR67" s="2024"/>
      <c r="BS67" s="2024"/>
      <c r="BT67" s="2024"/>
      <c r="BU67" s="2024"/>
    </row>
    <row r="68" spans="1:73" x14ac:dyDescent="0.2">
      <c r="A68" t="s">
        <v>4923</v>
      </c>
      <c r="B68" t="s">
        <v>7822</v>
      </c>
      <c r="C68" s="2022">
        <v>0</v>
      </c>
      <c r="D68" s="2022">
        <v>0</v>
      </c>
      <c r="E68" s="2022">
        <v>0</v>
      </c>
      <c r="F68" s="2022">
        <v>0</v>
      </c>
      <c r="G68" s="2022">
        <f t="shared" si="2"/>
        <v>0</v>
      </c>
      <c r="K68" s="2011">
        <f t="shared" si="3"/>
        <v>0</v>
      </c>
    </row>
    <row r="69" spans="1:73" x14ac:dyDescent="0.2">
      <c r="A69" t="s">
        <v>4924</v>
      </c>
      <c r="B69" t="s">
        <v>4873</v>
      </c>
      <c r="C69" s="2022">
        <v>0</v>
      </c>
      <c r="D69" s="2022">
        <v>0</v>
      </c>
      <c r="E69" s="2022">
        <v>0</v>
      </c>
      <c r="F69" s="2022">
        <v>0</v>
      </c>
      <c r="G69" s="2022">
        <f t="shared" si="2"/>
        <v>0</v>
      </c>
      <c r="K69" s="2011">
        <f t="shared" si="3"/>
        <v>0</v>
      </c>
    </row>
    <row r="70" spans="1:73" x14ac:dyDescent="0.2">
      <c r="A70" t="s">
        <v>4925</v>
      </c>
      <c r="B70" t="s">
        <v>7823</v>
      </c>
      <c r="C70" s="2022">
        <v>12346.38</v>
      </c>
      <c r="D70" s="2022">
        <v>0</v>
      </c>
      <c r="E70" s="2022">
        <v>87322.66</v>
      </c>
      <c r="F70" s="2022">
        <v>0</v>
      </c>
      <c r="G70" s="2022">
        <f t="shared" si="2"/>
        <v>87322.66</v>
      </c>
      <c r="I70" s="2022">
        <f>VLOOKUP(A70,'2012 - TB'!$A$3:$I$733,9,FALSE)</f>
        <v>87322.66</v>
      </c>
      <c r="K70" s="2011">
        <f t="shared" si="3"/>
        <v>0</v>
      </c>
    </row>
    <row r="71" spans="1:73" x14ac:dyDescent="0.2">
      <c r="A71" t="s">
        <v>4926</v>
      </c>
      <c r="B71" t="s">
        <v>7824</v>
      </c>
      <c r="C71" s="2022">
        <v>0</v>
      </c>
      <c r="D71" s="2022">
        <v>0</v>
      </c>
      <c r="E71" s="2022">
        <v>56400</v>
      </c>
      <c r="F71" s="2022">
        <v>0</v>
      </c>
      <c r="G71" s="2022">
        <f t="shared" si="2"/>
        <v>56400</v>
      </c>
      <c r="I71" s="2022">
        <f>VLOOKUP(A71,'2012 - TB'!$A$3:$I$733,9,FALSE)</f>
        <v>56400</v>
      </c>
      <c r="K71" s="2011">
        <f t="shared" si="3"/>
        <v>0</v>
      </c>
    </row>
    <row r="72" spans="1:73" x14ac:dyDescent="0.2">
      <c r="A72" t="s">
        <v>4927</v>
      </c>
      <c r="B72" t="s">
        <v>4879</v>
      </c>
      <c r="C72" s="2022">
        <v>180000</v>
      </c>
      <c r="D72" s="2022">
        <v>0</v>
      </c>
      <c r="E72" s="2022">
        <v>333981.89</v>
      </c>
      <c r="F72" s="2022">
        <v>-8357.34</v>
      </c>
      <c r="G72" s="2022">
        <f t="shared" si="2"/>
        <v>325624.55</v>
      </c>
      <c r="I72" s="2022">
        <f>VLOOKUP(A72,'2012 - TB'!$A$3:$I$733,9,FALSE)</f>
        <v>325624.55</v>
      </c>
      <c r="K72" s="2011">
        <f t="shared" si="3"/>
        <v>0</v>
      </c>
    </row>
    <row r="73" spans="1:73" x14ac:dyDescent="0.2">
      <c r="A73" t="s">
        <v>4928</v>
      </c>
      <c r="B73" t="s">
        <v>4929</v>
      </c>
      <c r="C73" s="2022">
        <v>0</v>
      </c>
      <c r="D73" s="2022">
        <v>0</v>
      </c>
      <c r="E73" s="2022">
        <v>2200409.85</v>
      </c>
      <c r="F73" s="2022">
        <v>-2200409.85</v>
      </c>
      <c r="G73" s="2022">
        <f t="shared" si="2"/>
        <v>0</v>
      </c>
      <c r="I73" s="2022">
        <f>VLOOKUP(A73,'2012 - TB'!$A$3:$I$733,9,FALSE)</f>
        <v>0</v>
      </c>
      <c r="K73" s="2011">
        <f t="shared" si="3"/>
        <v>0</v>
      </c>
    </row>
    <row r="74" spans="1:73" x14ac:dyDescent="0.2">
      <c r="A74" t="s">
        <v>4930</v>
      </c>
      <c r="B74" t="s">
        <v>4931</v>
      </c>
      <c r="C74" s="2022">
        <v>41890</v>
      </c>
      <c r="D74" s="2022">
        <v>0</v>
      </c>
      <c r="E74" s="2022">
        <v>2123636.35</v>
      </c>
      <c r="F74" s="2022">
        <v>-595999.78</v>
      </c>
      <c r="G74" s="2022">
        <f t="shared" si="2"/>
        <v>1527636.57</v>
      </c>
      <c r="I74" s="2022">
        <f>VLOOKUP(A74,'2012 - TB'!$A$3:$I$733,9,FALSE)</f>
        <v>1527636.57</v>
      </c>
      <c r="K74" s="2011">
        <f t="shared" si="3"/>
        <v>0</v>
      </c>
    </row>
    <row r="75" spans="1:73" x14ac:dyDescent="0.2">
      <c r="A75" t="s">
        <v>4932</v>
      </c>
      <c r="B75" t="s">
        <v>4901</v>
      </c>
      <c r="C75" s="2022">
        <v>-1328952.07</v>
      </c>
      <c r="D75" s="2022">
        <v>0</v>
      </c>
      <c r="E75" s="2022">
        <v>0</v>
      </c>
      <c r="F75" s="2022">
        <v>0</v>
      </c>
      <c r="G75" s="2022">
        <f t="shared" si="2"/>
        <v>0</v>
      </c>
      <c r="I75" s="2022">
        <f>VLOOKUP(A75,'2012 - TB'!$A$3:$I$733,9,FALSE)</f>
        <v>0</v>
      </c>
      <c r="K75" s="2011">
        <f t="shared" si="3"/>
        <v>0</v>
      </c>
    </row>
    <row r="76" spans="1:73" x14ac:dyDescent="0.2">
      <c r="A76" t="s">
        <v>4933</v>
      </c>
      <c r="B76" t="s">
        <v>7711</v>
      </c>
      <c r="C76" s="2022">
        <v>0</v>
      </c>
      <c r="D76" s="2022">
        <v>0</v>
      </c>
      <c r="E76" s="2022">
        <v>0</v>
      </c>
      <c r="F76" s="2022">
        <v>0</v>
      </c>
      <c r="G76" s="2022">
        <f t="shared" si="2"/>
        <v>0</v>
      </c>
      <c r="K76" s="2011">
        <f t="shared" si="3"/>
        <v>0</v>
      </c>
    </row>
    <row r="77" spans="1:73" x14ac:dyDescent="0.2">
      <c r="A77" t="s">
        <v>4935</v>
      </c>
      <c r="B77" t="s">
        <v>6042</v>
      </c>
      <c r="C77" s="2022">
        <v>489595.47</v>
      </c>
      <c r="D77" s="2022">
        <v>0</v>
      </c>
      <c r="E77" s="2022">
        <v>452138.23999999999</v>
      </c>
      <c r="F77" s="2022">
        <v>-3022.4</v>
      </c>
      <c r="G77" s="2022">
        <f t="shared" si="2"/>
        <v>449115.83999999997</v>
      </c>
      <c r="I77" s="2022">
        <f>VLOOKUP(A77,'2012 - TB'!$A$3:$I$733,9,FALSE)</f>
        <v>449115.83999999997</v>
      </c>
      <c r="K77" s="2011">
        <f t="shared" si="3"/>
        <v>0</v>
      </c>
    </row>
    <row r="78" spans="1:73" s="2215" customFormat="1" x14ac:dyDescent="0.2">
      <c r="A78" s="2215" t="s">
        <v>4936</v>
      </c>
      <c r="B78" s="2215" t="s">
        <v>7828</v>
      </c>
      <c r="C78" s="2230">
        <v>2786173.48</v>
      </c>
      <c r="D78" s="2230">
        <v>0</v>
      </c>
      <c r="E78" s="2230">
        <v>2810095.88</v>
      </c>
      <c r="F78" s="2230">
        <v>-24506.32</v>
      </c>
      <c r="G78" s="2230">
        <f t="shared" si="2"/>
        <v>2785589.56</v>
      </c>
      <c r="I78" s="2230">
        <f>VLOOKUP(A78,'2012 - TB'!$A$3:$I$733,9,FALSE)</f>
        <v>2702817.56</v>
      </c>
      <c r="K78" s="2728">
        <f t="shared" si="3"/>
        <v>82772</v>
      </c>
      <c r="L78" s="2024"/>
      <c r="M78" s="2024"/>
      <c r="N78" s="2024"/>
      <c r="O78" s="2024"/>
      <c r="P78" s="2024"/>
      <c r="Q78" s="2024"/>
      <c r="R78" s="2024"/>
      <c r="S78" s="2024"/>
      <c r="T78" s="2024"/>
      <c r="U78" s="2024"/>
      <c r="V78" s="2024"/>
      <c r="W78" s="2024"/>
      <c r="X78" s="2024"/>
      <c r="Y78" s="2024"/>
      <c r="Z78" s="2024"/>
      <c r="AA78" s="2024"/>
      <c r="AB78" s="2024"/>
      <c r="AC78" s="2024"/>
      <c r="AD78" s="2024"/>
      <c r="AE78" s="2024"/>
      <c r="AF78" s="2024"/>
      <c r="AG78" s="2024"/>
      <c r="AH78" s="2024"/>
      <c r="AI78" s="2024"/>
      <c r="AJ78" s="2024"/>
      <c r="AK78" s="2024"/>
      <c r="AL78" s="2024"/>
      <c r="AM78" s="2024"/>
      <c r="AN78" s="2024"/>
      <c r="AO78" s="2024"/>
      <c r="AP78" s="2024"/>
      <c r="AQ78" s="2024"/>
      <c r="AR78" s="2024"/>
      <c r="AS78" s="2024"/>
      <c r="AT78" s="2024"/>
      <c r="AU78" s="2024"/>
      <c r="AV78" s="2024"/>
      <c r="AW78" s="2024"/>
      <c r="AX78" s="2024"/>
      <c r="AY78" s="2024"/>
      <c r="AZ78" s="2024"/>
      <c r="BA78" s="2024"/>
      <c r="BB78" s="2024"/>
      <c r="BC78" s="2024"/>
      <c r="BD78" s="2024"/>
      <c r="BE78" s="2024"/>
      <c r="BF78" s="2024"/>
      <c r="BG78" s="2024"/>
      <c r="BH78" s="2024"/>
      <c r="BI78" s="2024"/>
      <c r="BJ78" s="2024"/>
      <c r="BK78" s="2024"/>
      <c r="BL78" s="2024"/>
      <c r="BM78" s="2024"/>
      <c r="BN78" s="2024"/>
      <c r="BO78" s="2024"/>
      <c r="BP78" s="2024"/>
      <c r="BQ78" s="2024"/>
      <c r="BR78" s="2024"/>
      <c r="BS78" s="2024"/>
      <c r="BT78" s="2024"/>
      <c r="BU78" s="2024"/>
    </row>
    <row r="79" spans="1:73" x14ac:dyDescent="0.2">
      <c r="A79" t="s">
        <v>4937</v>
      </c>
      <c r="B79" t="s">
        <v>7829</v>
      </c>
      <c r="C79" s="2022">
        <v>0</v>
      </c>
      <c r="D79" s="2022">
        <v>0</v>
      </c>
      <c r="E79" s="2022">
        <v>0</v>
      </c>
      <c r="F79" s="2022">
        <v>0</v>
      </c>
      <c r="G79" s="2022">
        <f t="shared" si="2"/>
        <v>0</v>
      </c>
      <c r="K79" s="2011">
        <f t="shared" si="3"/>
        <v>0</v>
      </c>
    </row>
    <row r="80" spans="1:73" x14ac:dyDescent="0.2">
      <c r="A80" t="s">
        <v>4938</v>
      </c>
      <c r="B80" t="s">
        <v>6044</v>
      </c>
      <c r="C80" s="2022">
        <v>66858.960000000006</v>
      </c>
      <c r="D80" s="2022">
        <v>0</v>
      </c>
      <c r="E80" s="2022">
        <v>0</v>
      </c>
      <c r="F80" s="2022">
        <v>0</v>
      </c>
      <c r="G80" s="2022">
        <f t="shared" si="2"/>
        <v>0</v>
      </c>
      <c r="I80" s="2022">
        <f>VLOOKUP(A80,'2012 - TB'!$A$3:$I$733,9,FALSE)</f>
        <v>0</v>
      </c>
      <c r="K80" s="2011">
        <f t="shared" si="3"/>
        <v>0</v>
      </c>
    </row>
    <row r="81" spans="1:73" x14ac:dyDescent="0.2">
      <c r="A81" t="s">
        <v>4939</v>
      </c>
      <c r="B81" t="s">
        <v>6045</v>
      </c>
      <c r="C81" s="2022">
        <v>9850</v>
      </c>
      <c r="D81" s="2022">
        <v>0</v>
      </c>
      <c r="E81" s="2022">
        <v>0</v>
      </c>
      <c r="F81" s="2022">
        <v>0</v>
      </c>
      <c r="G81" s="2022">
        <f t="shared" si="2"/>
        <v>0</v>
      </c>
      <c r="I81" s="2022">
        <f>VLOOKUP(A81,'2012 - TB'!$A$3:$I$733,9,FALSE)</f>
        <v>0</v>
      </c>
      <c r="K81" s="2011">
        <f t="shared" si="3"/>
        <v>0</v>
      </c>
    </row>
    <row r="82" spans="1:73" s="2215" customFormat="1" x14ac:dyDescent="0.2">
      <c r="A82" s="2215" t="s">
        <v>4940</v>
      </c>
      <c r="B82" s="2215" t="s">
        <v>7830</v>
      </c>
      <c r="C82" s="2230">
        <v>311303.28999999998</v>
      </c>
      <c r="D82" s="2230">
        <v>0</v>
      </c>
      <c r="E82" s="2230">
        <v>246176.97</v>
      </c>
      <c r="F82" s="2230">
        <v>0</v>
      </c>
      <c r="G82" s="2230">
        <f t="shared" si="2"/>
        <v>246176.97</v>
      </c>
      <c r="I82" s="2230">
        <f>VLOOKUP(A82,'2012 - TB'!$A$3:$I$733,9,FALSE)</f>
        <v>241190.21</v>
      </c>
      <c r="K82" s="2728">
        <f t="shared" si="3"/>
        <v>4986.7600000000093</v>
      </c>
      <c r="L82" s="2024"/>
      <c r="M82" s="2024"/>
      <c r="N82" s="2024"/>
      <c r="O82" s="2024"/>
      <c r="P82" s="2024"/>
      <c r="Q82" s="2024"/>
      <c r="R82" s="2024"/>
      <c r="S82" s="2024"/>
      <c r="T82" s="2024"/>
      <c r="U82" s="2024"/>
      <c r="V82" s="2024"/>
      <c r="W82" s="2024"/>
      <c r="X82" s="2024"/>
      <c r="Y82" s="2024"/>
      <c r="Z82" s="2024"/>
      <c r="AA82" s="2024"/>
      <c r="AB82" s="2024"/>
      <c r="AC82" s="2024"/>
      <c r="AD82" s="2024"/>
      <c r="AE82" s="2024"/>
      <c r="AF82" s="2024"/>
      <c r="AG82" s="2024"/>
      <c r="AH82" s="2024"/>
      <c r="AI82" s="2024"/>
      <c r="AJ82" s="2024"/>
      <c r="AK82" s="2024"/>
      <c r="AL82" s="2024"/>
      <c r="AM82" s="2024"/>
      <c r="AN82" s="2024"/>
      <c r="AO82" s="2024"/>
      <c r="AP82" s="2024"/>
      <c r="AQ82" s="2024"/>
      <c r="AR82" s="2024"/>
      <c r="AS82" s="2024"/>
      <c r="AT82" s="2024"/>
      <c r="AU82" s="2024"/>
      <c r="AV82" s="2024"/>
      <c r="AW82" s="2024"/>
      <c r="AX82" s="2024"/>
      <c r="AY82" s="2024"/>
      <c r="AZ82" s="2024"/>
      <c r="BA82" s="2024"/>
      <c r="BB82" s="2024"/>
      <c r="BC82" s="2024"/>
      <c r="BD82" s="2024"/>
      <c r="BE82" s="2024"/>
      <c r="BF82" s="2024"/>
      <c r="BG82" s="2024"/>
      <c r="BH82" s="2024"/>
      <c r="BI82" s="2024"/>
      <c r="BJ82" s="2024"/>
      <c r="BK82" s="2024"/>
      <c r="BL82" s="2024"/>
      <c r="BM82" s="2024"/>
      <c r="BN82" s="2024"/>
      <c r="BO82" s="2024"/>
      <c r="BP82" s="2024"/>
      <c r="BQ82" s="2024"/>
      <c r="BR82" s="2024"/>
      <c r="BS82" s="2024"/>
      <c r="BT82" s="2024"/>
      <c r="BU82" s="2024"/>
    </row>
    <row r="83" spans="1:73" x14ac:dyDescent="0.2">
      <c r="A83" t="s">
        <v>4941</v>
      </c>
      <c r="B83" t="s">
        <v>7713</v>
      </c>
      <c r="C83" s="2022">
        <v>0</v>
      </c>
      <c r="D83" s="2022">
        <v>0</v>
      </c>
      <c r="E83" s="2022">
        <v>0</v>
      </c>
      <c r="F83" s="2022">
        <v>0</v>
      </c>
      <c r="G83" s="2022">
        <f t="shared" si="2"/>
        <v>0</v>
      </c>
      <c r="K83" s="2011">
        <f t="shared" si="3"/>
        <v>0</v>
      </c>
    </row>
    <row r="84" spans="1:73" x14ac:dyDescent="0.2">
      <c r="A84" t="s">
        <v>4942</v>
      </c>
      <c r="B84" t="s">
        <v>7831</v>
      </c>
      <c r="C84" s="2022">
        <v>7017</v>
      </c>
      <c r="D84" s="2022">
        <v>0</v>
      </c>
      <c r="E84" s="2022">
        <v>5817</v>
      </c>
      <c r="F84" s="2022">
        <v>0</v>
      </c>
      <c r="G84" s="2022">
        <f t="shared" si="2"/>
        <v>5817</v>
      </c>
      <c r="I84" s="2022">
        <f>VLOOKUP(A84,'2012 - TB'!$A$3:$I$733,9,FALSE)</f>
        <v>5817</v>
      </c>
      <c r="K84" s="2011">
        <f t="shared" si="3"/>
        <v>0</v>
      </c>
    </row>
    <row r="85" spans="1:73" x14ac:dyDescent="0.2">
      <c r="A85" t="s">
        <v>4943</v>
      </c>
      <c r="B85" t="s">
        <v>6048</v>
      </c>
      <c r="C85" s="2022">
        <v>6200</v>
      </c>
      <c r="D85" s="2022">
        <v>0</v>
      </c>
      <c r="E85" s="2022">
        <v>7300</v>
      </c>
      <c r="F85" s="2022">
        <v>0</v>
      </c>
      <c r="G85" s="2022">
        <f t="shared" si="2"/>
        <v>7300</v>
      </c>
      <c r="I85" s="2022">
        <f>VLOOKUP(A85,'2012 - TB'!$A$3:$I$733,9,FALSE)</f>
        <v>7300</v>
      </c>
      <c r="K85" s="2011">
        <f t="shared" si="3"/>
        <v>0</v>
      </c>
    </row>
    <row r="86" spans="1:73" x14ac:dyDescent="0.2">
      <c r="A86" t="s">
        <v>4944</v>
      </c>
      <c r="B86" t="s">
        <v>7832</v>
      </c>
      <c r="C86" s="2022">
        <v>0</v>
      </c>
      <c r="D86" s="2022">
        <v>0</v>
      </c>
      <c r="E86" s="2022">
        <v>0</v>
      </c>
      <c r="F86" s="2022">
        <v>0</v>
      </c>
      <c r="G86" s="2022">
        <f t="shared" si="2"/>
        <v>0</v>
      </c>
      <c r="K86" s="2011">
        <f t="shared" si="3"/>
        <v>0</v>
      </c>
    </row>
    <row r="87" spans="1:73" x14ac:dyDescent="0.2">
      <c r="A87" t="s">
        <v>4945</v>
      </c>
      <c r="B87" t="s">
        <v>7714</v>
      </c>
      <c r="C87" s="2022">
        <v>0</v>
      </c>
      <c r="D87" s="2022">
        <v>0</v>
      </c>
      <c r="E87" s="2022">
        <v>0</v>
      </c>
      <c r="F87" s="2022">
        <v>0</v>
      </c>
      <c r="G87" s="2022">
        <f t="shared" si="2"/>
        <v>0</v>
      </c>
      <c r="K87" s="2011">
        <f t="shared" si="3"/>
        <v>0</v>
      </c>
    </row>
    <row r="88" spans="1:73" x14ac:dyDescent="0.2">
      <c r="A88" t="s">
        <v>4946</v>
      </c>
      <c r="B88" t="s">
        <v>7833</v>
      </c>
      <c r="C88" s="2022">
        <v>18792</v>
      </c>
      <c r="D88" s="2022">
        <v>0</v>
      </c>
      <c r="E88" s="2022">
        <v>14616</v>
      </c>
      <c r="F88" s="2022">
        <v>0</v>
      </c>
      <c r="G88" s="2022">
        <f t="shared" si="2"/>
        <v>14616</v>
      </c>
      <c r="I88" s="2022">
        <f>VLOOKUP(A88,'2012 - TB'!$A$3:$I$733,9,FALSE)</f>
        <v>14616</v>
      </c>
      <c r="K88" s="2011">
        <f t="shared" si="3"/>
        <v>0</v>
      </c>
    </row>
    <row r="89" spans="1:73" x14ac:dyDescent="0.2">
      <c r="A89" t="s">
        <v>4947</v>
      </c>
      <c r="B89" t="s">
        <v>7715</v>
      </c>
      <c r="C89" s="2022">
        <v>0</v>
      </c>
      <c r="D89" s="2022">
        <v>0</v>
      </c>
      <c r="E89" s="2022">
        <v>0</v>
      </c>
      <c r="F89" s="2022">
        <v>0</v>
      </c>
      <c r="G89" s="2022">
        <f t="shared" si="2"/>
        <v>0</v>
      </c>
      <c r="K89" s="2011">
        <f t="shared" si="3"/>
        <v>0</v>
      </c>
    </row>
    <row r="90" spans="1:73" x14ac:dyDescent="0.2">
      <c r="A90" t="s">
        <v>4948</v>
      </c>
      <c r="B90" t="s">
        <v>7834</v>
      </c>
      <c r="C90" s="2022">
        <v>17547.2</v>
      </c>
      <c r="D90" s="2022">
        <v>0</v>
      </c>
      <c r="E90" s="2022">
        <v>15089.25</v>
      </c>
      <c r="F90" s="2022">
        <v>0</v>
      </c>
      <c r="G90" s="2022">
        <f t="shared" si="2"/>
        <v>15089.25</v>
      </c>
      <c r="I90" s="2022">
        <f>VLOOKUP(A90,'2012 - TB'!$A$3:$I$733,9,FALSE)</f>
        <v>15089.25</v>
      </c>
      <c r="K90" s="2011">
        <f t="shared" si="3"/>
        <v>0</v>
      </c>
    </row>
    <row r="91" spans="1:73" x14ac:dyDescent="0.2">
      <c r="A91" t="s">
        <v>4949</v>
      </c>
      <c r="B91" t="s">
        <v>7835</v>
      </c>
      <c r="C91" s="2022">
        <v>0</v>
      </c>
      <c r="D91" s="2022">
        <v>0</v>
      </c>
      <c r="E91" s="2022">
        <v>0</v>
      </c>
      <c r="F91" s="2022">
        <v>0</v>
      </c>
      <c r="G91" s="2022">
        <f t="shared" si="2"/>
        <v>0</v>
      </c>
      <c r="K91" s="2011">
        <f t="shared" si="3"/>
        <v>0</v>
      </c>
    </row>
    <row r="92" spans="1:73" x14ac:dyDescent="0.2">
      <c r="A92" t="s">
        <v>4950</v>
      </c>
      <c r="B92" t="s">
        <v>7836</v>
      </c>
      <c r="C92" s="2022">
        <v>0</v>
      </c>
      <c r="D92" s="2022">
        <v>0</v>
      </c>
      <c r="E92" s="2022">
        <v>0</v>
      </c>
      <c r="F92" s="2022">
        <v>0</v>
      </c>
      <c r="G92" s="2022">
        <f t="shared" si="2"/>
        <v>0</v>
      </c>
      <c r="K92" s="2011">
        <f t="shared" si="3"/>
        <v>0</v>
      </c>
    </row>
    <row r="93" spans="1:73" x14ac:dyDescent="0.2">
      <c r="A93" t="s">
        <v>4951</v>
      </c>
      <c r="B93" t="s">
        <v>7837</v>
      </c>
      <c r="C93" s="2022">
        <v>0</v>
      </c>
      <c r="D93" s="2022">
        <v>0</v>
      </c>
      <c r="E93" s="2022">
        <v>0</v>
      </c>
      <c r="F93" s="2022">
        <v>0</v>
      </c>
      <c r="G93" s="2022">
        <f t="shared" si="2"/>
        <v>0</v>
      </c>
      <c r="K93" s="2011">
        <f t="shared" si="3"/>
        <v>0</v>
      </c>
    </row>
    <row r="94" spans="1:73" x14ac:dyDescent="0.2">
      <c r="A94" t="s">
        <v>4952</v>
      </c>
      <c r="B94" t="s">
        <v>7838</v>
      </c>
      <c r="C94" s="2022">
        <v>0</v>
      </c>
      <c r="D94" s="2022">
        <v>0</v>
      </c>
      <c r="E94" s="2022">
        <v>0</v>
      </c>
      <c r="F94" s="2022">
        <v>0</v>
      </c>
      <c r="G94" s="2022">
        <f t="shared" si="2"/>
        <v>0</v>
      </c>
      <c r="K94" s="2011">
        <f t="shared" si="3"/>
        <v>0</v>
      </c>
    </row>
    <row r="95" spans="1:73" x14ac:dyDescent="0.2">
      <c r="A95" t="s">
        <v>4953</v>
      </c>
      <c r="B95" t="s">
        <v>4954</v>
      </c>
      <c r="C95" s="2022">
        <v>90014.45</v>
      </c>
      <c r="D95" s="2022">
        <v>0</v>
      </c>
      <c r="E95" s="2022">
        <v>290483.88</v>
      </c>
      <c r="F95" s="2022">
        <v>-90973.05</v>
      </c>
      <c r="G95" s="2022">
        <f t="shared" si="2"/>
        <v>199510.83000000002</v>
      </c>
      <c r="I95" s="2022">
        <f>VLOOKUP(A95,'2012 - TB'!$A$3:$I$733,9,FALSE)</f>
        <v>199510.83000000002</v>
      </c>
      <c r="K95" s="2011">
        <f t="shared" si="3"/>
        <v>0</v>
      </c>
    </row>
    <row r="96" spans="1:73" x14ac:dyDescent="0.2">
      <c r="A96" t="s">
        <v>4955</v>
      </c>
      <c r="B96" t="s">
        <v>6052</v>
      </c>
      <c r="C96" s="2022">
        <v>145543.17000000001</v>
      </c>
      <c r="D96" s="2022">
        <v>0</v>
      </c>
      <c r="E96" s="2022">
        <v>145543.17000000001</v>
      </c>
      <c r="F96" s="2022">
        <v>0</v>
      </c>
      <c r="G96" s="2022">
        <f t="shared" si="2"/>
        <v>145543.17000000001</v>
      </c>
      <c r="I96" s="2022">
        <f>VLOOKUP(A96,'2012 - TB'!$A$3:$I$733,9,FALSE)</f>
        <v>145543.17000000001</v>
      </c>
      <c r="K96" s="2011">
        <f t="shared" si="3"/>
        <v>0</v>
      </c>
    </row>
    <row r="97" spans="1:73" x14ac:dyDescent="0.2">
      <c r="A97" t="s">
        <v>4956</v>
      </c>
      <c r="B97" t="s">
        <v>7839</v>
      </c>
      <c r="C97" s="2022">
        <v>152975.29999999999</v>
      </c>
      <c r="D97" s="2022">
        <v>0</v>
      </c>
      <c r="E97" s="2022">
        <v>138975.29999999999</v>
      </c>
      <c r="F97" s="2022">
        <v>0</v>
      </c>
      <c r="G97" s="2022">
        <f t="shared" si="2"/>
        <v>138975.29999999999</v>
      </c>
      <c r="I97" s="2022">
        <f>VLOOKUP(A97,'2012 - TB'!$A$3:$I$733,9,FALSE)</f>
        <v>138975.29999999999</v>
      </c>
      <c r="K97" s="2011">
        <f t="shared" si="3"/>
        <v>0</v>
      </c>
    </row>
    <row r="98" spans="1:73" x14ac:dyDescent="0.2">
      <c r="A98" t="s">
        <v>4957</v>
      </c>
      <c r="B98" t="s">
        <v>7718</v>
      </c>
      <c r="C98" s="2022">
        <v>0</v>
      </c>
      <c r="D98" s="2022">
        <v>0</v>
      </c>
      <c r="E98" s="2022">
        <v>0</v>
      </c>
      <c r="F98" s="2022">
        <v>0</v>
      </c>
      <c r="G98" s="2022">
        <f t="shared" si="2"/>
        <v>0</v>
      </c>
      <c r="K98" s="2011">
        <f t="shared" si="3"/>
        <v>0</v>
      </c>
    </row>
    <row r="99" spans="1:73" x14ac:dyDescent="0.2">
      <c r="A99" t="s">
        <v>4958</v>
      </c>
      <c r="B99" t="s">
        <v>6054</v>
      </c>
      <c r="C99" s="2022">
        <v>82</v>
      </c>
      <c r="D99" s="2022">
        <v>0</v>
      </c>
      <c r="E99" s="2022">
        <v>65.599999999999994</v>
      </c>
      <c r="F99" s="2022">
        <v>0</v>
      </c>
      <c r="G99" s="2022">
        <f t="shared" si="2"/>
        <v>65.599999999999994</v>
      </c>
      <c r="I99" s="2022">
        <f>VLOOKUP(A99,'2012 - TB'!$A$3:$I$733,9,FALSE)</f>
        <v>65.599999999999994</v>
      </c>
      <c r="K99" s="2011">
        <f t="shared" si="3"/>
        <v>0</v>
      </c>
    </row>
    <row r="100" spans="1:73" s="2215" customFormat="1" x14ac:dyDescent="0.2">
      <c r="A100" s="2215" t="s">
        <v>4959</v>
      </c>
      <c r="B100" s="2215" t="s">
        <v>6055</v>
      </c>
      <c r="C100" s="2230">
        <v>1230</v>
      </c>
      <c r="D100" s="2230">
        <v>0</v>
      </c>
      <c r="E100" s="2230">
        <v>1246.4000000000001</v>
      </c>
      <c r="F100" s="2230">
        <v>0</v>
      </c>
      <c r="G100" s="2230">
        <f t="shared" si="2"/>
        <v>1246.4000000000001</v>
      </c>
      <c r="I100" s="2230">
        <f>VLOOKUP(A100,'2012 - TB'!$A$3:$I$733,9,FALSE)</f>
        <v>1201.3</v>
      </c>
      <c r="K100" s="2728">
        <f t="shared" si="3"/>
        <v>45.100000000000136</v>
      </c>
      <c r="L100" s="2024"/>
      <c r="M100" s="2024"/>
      <c r="N100" s="2024"/>
      <c r="O100" s="2024"/>
      <c r="P100" s="2024"/>
      <c r="Q100" s="2024"/>
      <c r="R100" s="2024"/>
      <c r="S100" s="2024"/>
      <c r="T100" s="2024"/>
      <c r="U100" s="2024"/>
      <c r="V100" s="2024"/>
      <c r="W100" s="2024"/>
      <c r="X100" s="2024"/>
      <c r="Y100" s="2024"/>
      <c r="Z100" s="2024"/>
      <c r="AA100" s="2024"/>
      <c r="AB100" s="2024"/>
      <c r="AC100" s="2024"/>
      <c r="AD100" s="2024"/>
      <c r="AE100" s="2024"/>
      <c r="AF100" s="2024"/>
      <c r="AG100" s="2024"/>
      <c r="AH100" s="2024"/>
      <c r="AI100" s="2024"/>
      <c r="AJ100" s="2024"/>
      <c r="AK100" s="2024"/>
      <c r="AL100" s="2024"/>
      <c r="AM100" s="2024"/>
      <c r="AN100" s="2024"/>
      <c r="AO100" s="2024"/>
      <c r="AP100" s="2024"/>
      <c r="AQ100" s="2024"/>
      <c r="AR100" s="2024"/>
      <c r="AS100" s="2024"/>
      <c r="AT100" s="2024"/>
      <c r="AU100" s="2024"/>
      <c r="AV100" s="2024"/>
      <c r="AW100" s="2024"/>
      <c r="AX100" s="2024"/>
      <c r="AY100" s="2024"/>
      <c r="AZ100" s="2024"/>
      <c r="BA100" s="2024"/>
      <c r="BB100" s="2024"/>
      <c r="BC100" s="2024"/>
      <c r="BD100" s="2024"/>
      <c r="BE100" s="2024"/>
      <c r="BF100" s="2024"/>
      <c r="BG100" s="2024"/>
      <c r="BH100" s="2024"/>
      <c r="BI100" s="2024"/>
      <c r="BJ100" s="2024"/>
      <c r="BK100" s="2024"/>
      <c r="BL100" s="2024"/>
      <c r="BM100" s="2024"/>
      <c r="BN100" s="2024"/>
      <c r="BO100" s="2024"/>
      <c r="BP100" s="2024"/>
      <c r="BQ100" s="2024"/>
      <c r="BR100" s="2024"/>
      <c r="BS100" s="2024"/>
      <c r="BT100" s="2024"/>
      <c r="BU100" s="2024"/>
    </row>
    <row r="101" spans="1:73" x14ac:dyDescent="0.2">
      <c r="A101" t="s">
        <v>4960</v>
      </c>
      <c r="B101" t="s">
        <v>7719</v>
      </c>
      <c r="C101" s="2022">
        <v>0</v>
      </c>
      <c r="D101" s="2022">
        <v>0</v>
      </c>
      <c r="E101" s="2022">
        <v>0</v>
      </c>
      <c r="F101" s="2022">
        <v>0</v>
      </c>
      <c r="G101" s="2022">
        <f t="shared" si="2"/>
        <v>0</v>
      </c>
      <c r="K101" s="2011">
        <f t="shared" si="3"/>
        <v>0</v>
      </c>
    </row>
    <row r="102" spans="1:73" x14ac:dyDescent="0.2">
      <c r="A102" t="s">
        <v>4961</v>
      </c>
      <c r="B102" t="s">
        <v>6056</v>
      </c>
      <c r="C102" s="2022">
        <v>4988.3500000000004</v>
      </c>
      <c r="D102" s="2022">
        <v>0</v>
      </c>
      <c r="E102" s="2022">
        <v>4265.0600000000004</v>
      </c>
      <c r="F102" s="2022">
        <v>0</v>
      </c>
      <c r="G102" s="2022">
        <f t="shared" si="2"/>
        <v>4265.0600000000004</v>
      </c>
      <c r="I102" s="2022">
        <f>VLOOKUP(A102,'2012 - TB'!$A$3:$I$733,9,FALSE)</f>
        <v>4265.0600000000004</v>
      </c>
      <c r="K102" s="2011">
        <f t="shared" si="3"/>
        <v>0</v>
      </c>
    </row>
    <row r="103" spans="1:73" s="2215" customFormat="1" x14ac:dyDescent="0.2">
      <c r="A103" s="2215" t="s">
        <v>4962</v>
      </c>
      <c r="B103" s="2215" t="s">
        <v>6057</v>
      </c>
      <c r="C103" s="2230">
        <v>30731.8</v>
      </c>
      <c r="D103" s="2230">
        <v>0</v>
      </c>
      <c r="E103" s="2230">
        <v>31585</v>
      </c>
      <c r="F103" s="2230">
        <v>0</v>
      </c>
      <c r="G103" s="2230">
        <f t="shared" si="2"/>
        <v>31585</v>
      </c>
      <c r="I103" s="2230">
        <f>VLOOKUP(A103,'2012 - TB'!$A$3:$I$733,9,FALSE)</f>
        <v>30757.26</v>
      </c>
      <c r="K103" s="2728">
        <f t="shared" si="3"/>
        <v>827.7400000000016</v>
      </c>
      <c r="L103" s="2024"/>
      <c r="M103" s="2024"/>
      <c r="N103" s="2024"/>
      <c r="O103" s="2024"/>
      <c r="P103" s="2024"/>
      <c r="Q103" s="2024"/>
      <c r="R103" s="2024"/>
      <c r="S103" s="2024"/>
      <c r="T103" s="2024"/>
      <c r="U103" s="2024"/>
      <c r="V103" s="2024"/>
      <c r="W103" s="2024"/>
      <c r="X103" s="2024"/>
      <c r="Y103" s="2024"/>
      <c r="Z103" s="2024"/>
      <c r="AA103" s="2024"/>
      <c r="AB103" s="2024"/>
      <c r="AC103" s="2024"/>
      <c r="AD103" s="2024"/>
      <c r="AE103" s="2024"/>
      <c r="AF103" s="2024"/>
      <c r="AG103" s="2024"/>
      <c r="AH103" s="2024"/>
      <c r="AI103" s="2024"/>
      <c r="AJ103" s="2024"/>
      <c r="AK103" s="2024"/>
      <c r="AL103" s="2024"/>
      <c r="AM103" s="2024"/>
      <c r="AN103" s="2024"/>
      <c r="AO103" s="2024"/>
      <c r="AP103" s="2024"/>
      <c r="AQ103" s="2024"/>
      <c r="AR103" s="2024"/>
      <c r="AS103" s="2024"/>
      <c r="AT103" s="2024"/>
      <c r="AU103" s="2024"/>
      <c r="AV103" s="2024"/>
      <c r="AW103" s="2024"/>
      <c r="AX103" s="2024"/>
      <c r="AY103" s="2024"/>
      <c r="AZ103" s="2024"/>
      <c r="BA103" s="2024"/>
      <c r="BB103" s="2024"/>
      <c r="BC103" s="2024"/>
      <c r="BD103" s="2024"/>
      <c r="BE103" s="2024"/>
      <c r="BF103" s="2024"/>
      <c r="BG103" s="2024"/>
      <c r="BH103" s="2024"/>
      <c r="BI103" s="2024"/>
      <c r="BJ103" s="2024"/>
      <c r="BK103" s="2024"/>
      <c r="BL103" s="2024"/>
      <c r="BM103" s="2024"/>
      <c r="BN103" s="2024"/>
      <c r="BO103" s="2024"/>
      <c r="BP103" s="2024"/>
      <c r="BQ103" s="2024"/>
      <c r="BR103" s="2024"/>
      <c r="BS103" s="2024"/>
      <c r="BT103" s="2024"/>
      <c r="BU103" s="2024"/>
    </row>
    <row r="104" spans="1:73" x14ac:dyDescent="0.2">
      <c r="A104" t="s">
        <v>4963</v>
      </c>
      <c r="B104" t="s">
        <v>7720</v>
      </c>
      <c r="C104" s="2022">
        <v>0</v>
      </c>
      <c r="D104" s="2022">
        <v>0</v>
      </c>
      <c r="E104" s="2022">
        <v>0</v>
      </c>
      <c r="F104" s="2022">
        <v>0</v>
      </c>
      <c r="G104" s="2022">
        <f t="shared" si="2"/>
        <v>0</v>
      </c>
      <c r="K104" s="2011">
        <f t="shared" si="3"/>
        <v>0</v>
      </c>
    </row>
    <row r="105" spans="1:73" x14ac:dyDescent="0.2">
      <c r="A105" t="s">
        <v>4964</v>
      </c>
      <c r="B105" t="s">
        <v>7721</v>
      </c>
      <c r="C105" s="2022">
        <v>0</v>
      </c>
      <c r="D105" s="2022">
        <v>0</v>
      </c>
      <c r="E105" s="2022">
        <v>0</v>
      </c>
      <c r="F105" s="2022">
        <v>0</v>
      </c>
      <c r="G105" s="2022">
        <f t="shared" si="2"/>
        <v>0</v>
      </c>
      <c r="K105" s="2011">
        <f t="shared" si="3"/>
        <v>0</v>
      </c>
    </row>
    <row r="106" spans="1:73" x14ac:dyDescent="0.2">
      <c r="A106" t="s">
        <v>4965</v>
      </c>
      <c r="B106" t="s">
        <v>7722</v>
      </c>
      <c r="C106" s="2022">
        <v>0</v>
      </c>
      <c r="D106" s="2022">
        <v>0</v>
      </c>
      <c r="E106" s="2022">
        <v>0</v>
      </c>
      <c r="F106" s="2022">
        <v>0</v>
      </c>
      <c r="G106" s="2022">
        <f t="shared" si="2"/>
        <v>0</v>
      </c>
      <c r="K106" s="2011">
        <f t="shared" si="3"/>
        <v>0</v>
      </c>
    </row>
    <row r="107" spans="1:73" x14ac:dyDescent="0.2">
      <c r="A107" t="s">
        <v>4966</v>
      </c>
      <c r="B107" t="s">
        <v>7840</v>
      </c>
      <c r="C107" s="2022">
        <v>0</v>
      </c>
      <c r="D107" s="2022">
        <v>0</v>
      </c>
      <c r="E107" s="2022">
        <v>0</v>
      </c>
      <c r="F107" s="2022">
        <v>0</v>
      </c>
      <c r="G107" s="2022">
        <f t="shared" si="2"/>
        <v>0</v>
      </c>
      <c r="K107" s="2011">
        <f t="shared" si="3"/>
        <v>0</v>
      </c>
    </row>
    <row r="108" spans="1:73" x14ac:dyDescent="0.2">
      <c r="A108" t="s">
        <v>4967</v>
      </c>
      <c r="B108" t="s">
        <v>6058</v>
      </c>
      <c r="C108" s="2022">
        <v>25185</v>
      </c>
      <c r="D108" s="2022">
        <v>0</v>
      </c>
      <c r="E108" s="2022">
        <v>20745</v>
      </c>
      <c r="F108" s="2022">
        <v>0</v>
      </c>
      <c r="G108" s="2022">
        <f t="shared" si="2"/>
        <v>20745</v>
      </c>
      <c r="I108" s="2022">
        <f>VLOOKUP(A108,'2012 - TB'!$A$3:$I$733,9,FALSE)</f>
        <v>20745</v>
      </c>
      <c r="K108" s="2011">
        <f t="shared" si="3"/>
        <v>0</v>
      </c>
    </row>
    <row r="109" spans="1:73" x14ac:dyDescent="0.2">
      <c r="A109" t="s">
        <v>4968</v>
      </c>
      <c r="B109" t="s">
        <v>7841</v>
      </c>
      <c r="C109" s="2022">
        <v>158970</v>
      </c>
      <c r="D109" s="2022">
        <v>0</v>
      </c>
      <c r="E109" s="2022">
        <v>178702.8</v>
      </c>
      <c r="F109" s="2022">
        <v>0</v>
      </c>
      <c r="G109" s="2022">
        <f t="shared" si="2"/>
        <v>178702.8</v>
      </c>
      <c r="I109" s="2022">
        <f>VLOOKUP(A109,'2012 - TB'!$A$3:$I$733,9,FALSE)</f>
        <v>178702.8</v>
      </c>
      <c r="K109" s="2011">
        <f t="shared" si="3"/>
        <v>0</v>
      </c>
    </row>
    <row r="110" spans="1:73" x14ac:dyDescent="0.2">
      <c r="A110" t="s">
        <v>4969</v>
      </c>
      <c r="B110" t="s">
        <v>7723</v>
      </c>
      <c r="C110" s="2022">
        <v>0</v>
      </c>
      <c r="D110" s="2022">
        <v>0</v>
      </c>
      <c r="E110" s="2022">
        <v>0</v>
      </c>
      <c r="F110" s="2022">
        <v>0</v>
      </c>
      <c r="G110" s="2022">
        <f t="shared" si="2"/>
        <v>0</v>
      </c>
      <c r="K110" s="2011">
        <f t="shared" si="3"/>
        <v>0</v>
      </c>
    </row>
    <row r="111" spans="1:73" x14ac:dyDescent="0.2">
      <c r="A111" t="s">
        <v>4970</v>
      </c>
      <c r="B111" t="s">
        <v>6060</v>
      </c>
      <c r="C111" s="2022">
        <v>19626.580000000002</v>
      </c>
      <c r="D111" s="2022">
        <v>0</v>
      </c>
      <c r="E111" s="2022">
        <v>11439.26</v>
      </c>
      <c r="F111" s="2022">
        <v>0</v>
      </c>
      <c r="G111" s="2022">
        <f t="shared" si="2"/>
        <v>11439.26</v>
      </c>
      <c r="I111" s="2022">
        <f>VLOOKUP(A111,'2012 - TB'!$A$3:$I$733,9,FALSE)</f>
        <v>11439.26</v>
      </c>
      <c r="K111" s="2011">
        <f t="shared" si="3"/>
        <v>0</v>
      </c>
    </row>
    <row r="112" spans="1:73" x14ac:dyDescent="0.2">
      <c r="A112" t="s">
        <v>4971</v>
      </c>
      <c r="B112" t="s">
        <v>7842</v>
      </c>
      <c r="C112" s="2022">
        <v>539590.03</v>
      </c>
      <c r="D112" s="2022">
        <v>0</v>
      </c>
      <c r="E112" s="2022">
        <v>520630.68</v>
      </c>
      <c r="F112" s="2022">
        <v>0</v>
      </c>
      <c r="G112" s="2022">
        <f t="shared" si="2"/>
        <v>520630.68</v>
      </c>
      <c r="I112" s="2022">
        <f>VLOOKUP(A112,'2012 - TB'!$A$3:$I$733,9,FALSE)</f>
        <v>520630.68</v>
      </c>
      <c r="K112" s="2011">
        <f t="shared" si="3"/>
        <v>0</v>
      </c>
    </row>
    <row r="113" spans="1:73" x14ac:dyDescent="0.2">
      <c r="A113" t="s">
        <v>4972</v>
      </c>
      <c r="B113" t="s">
        <v>7724</v>
      </c>
      <c r="C113" s="2022">
        <v>0</v>
      </c>
      <c r="D113" s="2022">
        <v>0</v>
      </c>
      <c r="E113" s="2022">
        <v>0</v>
      </c>
      <c r="F113" s="2022">
        <v>0</v>
      </c>
      <c r="G113" s="2022">
        <f t="shared" si="2"/>
        <v>0</v>
      </c>
      <c r="K113" s="2011">
        <f t="shared" si="3"/>
        <v>0</v>
      </c>
    </row>
    <row r="114" spans="1:73" x14ac:dyDescent="0.2">
      <c r="A114" t="s">
        <v>4973</v>
      </c>
      <c r="B114" t="s">
        <v>7843</v>
      </c>
      <c r="C114" s="2022">
        <v>2228.0100000000002</v>
      </c>
      <c r="D114" s="2022">
        <v>0</v>
      </c>
      <c r="E114" s="2022">
        <v>1777.61</v>
      </c>
      <c r="F114" s="2022">
        <v>0</v>
      </c>
      <c r="G114" s="2022">
        <f t="shared" si="2"/>
        <v>1777.61</v>
      </c>
      <c r="I114" s="2022">
        <f>VLOOKUP(A114,'2012 - TB'!$A$3:$I$733,9,FALSE)</f>
        <v>1777.61</v>
      </c>
      <c r="K114" s="2011">
        <f t="shared" si="3"/>
        <v>0</v>
      </c>
    </row>
    <row r="115" spans="1:73" s="2215" customFormat="1" x14ac:dyDescent="0.2">
      <c r="A115" s="2215" t="s">
        <v>4974</v>
      </c>
      <c r="B115" s="2215" t="s">
        <v>7844</v>
      </c>
      <c r="C115" s="2230">
        <v>27485.97</v>
      </c>
      <c r="D115" s="2230">
        <v>0</v>
      </c>
      <c r="E115" s="2230">
        <v>27249.77</v>
      </c>
      <c r="F115" s="2230">
        <v>0</v>
      </c>
      <c r="G115" s="2230">
        <f t="shared" si="2"/>
        <v>27249.77</v>
      </c>
      <c r="I115" s="2230">
        <f>VLOOKUP(A115,'2012 - TB'!$A$3:$I$733,9,FALSE)</f>
        <v>26508.32</v>
      </c>
      <c r="K115" s="2728">
        <f t="shared" si="3"/>
        <v>741.45000000000073</v>
      </c>
      <c r="L115" s="2024"/>
      <c r="M115" s="2024"/>
      <c r="N115" s="2024"/>
      <c r="O115" s="2024"/>
      <c r="P115" s="2024"/>
      <c r="Q115" s="2024"/>
      <c r="R115" s="2024"/>
      <c r="S115" s="2024"/>
      <c r="T115" s="2024"/>
      <c r="U115" s="2024"/>
      <c r="V115" s="2024"/>
      <c r="W115" s="2024"/>
      <c r="X115" s="2024"/>
      <c r="Y115" s="2024"/>
      <c r="Z115" s="2024"/>
      <c r="AA115" s="2024"/>
      <c r="AB115" s="2024"/>
      <c r="AC115" s="2024"/>
      <c r="AD115" s="2024"/>
      <c r="AE115" s="2024"/>
      <c r="AF115" s="2024"/>
      <c r="AG115" s="2024"/>
      <c r="AH115" s="2024"/>
      <c r="AI115" s="2024"/>
      <c r="AJ115" s="2024"/>
      <c r="AK115" s="2024"/>
      <c r="AL115" s="2024"/>
      <c r="AM115" s="2024"/>
      <c r="AN115" s="2024"/>
      <c r="AO115" s="2024"/>
      <c r="AP115" s="2024"/>
      <c r="AQ115" s="2024"/>
      <c r="AR115" s="2024"/>
      <c r="AS115" s="2024"/>
      <c r="AT115" s="2024"/>
      <c r="AU115" s="2024"/>
      <c r="AV115" s="2024"/>
      <c r="AW115" s="2024"/>
      <c r="AX115" s="2024"/>
      <c r="AY115" s="2024"/>
      <c r="AZ115" s="2024"/>
      <c r="BA115" s="2024"/>
      <c r="BB115" s="2024"/>
      <c r="BC115" s="2024"/>
      <c r="BD115" s="2024"/>
      <c r="BE115" s="2024"/>
      <c r="BF115" s="2024"/>
      <c r="BG115" s="2024"/>
      <c r="BH115" s="2024"/>
      <c r="BI115" s="2024"/>
      <c r="BJ115" s="2024"/>
      <c r="BK115" s="2024"/>
      <c r="BL115" s="2024"/>
      <c r="BM115" s="2024"/>
      <c r="BN115" s="2024"/>
      <c r="BO115" s="2024"/>
      <c r="BP115" s="2024"/>
      <c r="BQ115" s="2024"/>
      <c r="BR115" s="2024"/>
      <c r="BS115" s="2024"/>
      <c r="BT115" s="2024"/>
      <c r="BU115" s="2024"/>
    </row>
    <row r="116" spans="1:73" x14ac:dyDescent="0.2">
      <c r="A116" t="s">
        <v>4975</v>
      </c>
      <c r="B116" t="s">
        <v>7845</v>
      </c>
      <c r="C116" s="2022">
        <v>0</v>
      </c>
      <c r="D116" s="2022">
        <v>0</v>
      </c>
      <c r="E116" s="2022">
        <v>0</v>
      </c>
      <c r="F116" s="2022">
        <v>0</v>
      </c>
      <c r="G116" s="2022">
        <f t="shared" si="2"/>
        <v>0</v>
      </c>
      <c r="K116" s="2011">
        <f t="shared" si="3"/>
        <v>0</v>
      </c>
    </row>
    <row r="117" spans="1:73" x14ac:dyDescent="0.2">
      <c r="A117" t="s">
        <v>4976</v>
      </c>
      <c r="B117" t="s">
        <v>7846</v>
      </c>
      <c r="C117" s="2022">
        <v>371153.55</v>
      </c>
      <c r="D117" s="2022">
        <v>0</v>
      </c>
      <c r="E117" s="2022">
        <v>0</v>
      </c>
      <c r="F117" s="2022">
        <v>0</v>
      </c>
      <c r="G117" s="2022">
        <f t="shared" si="2"/>
        <v>0</v>
      </c>
      <c r="I117" s="2022">
        <f>VLOOKUP(A117,'2012 - TB'!$A$3:$I$733,9,FALSE)</f>
        <v>0</v>
      </c>
      <c r="K117" s="2011">
        <f t="shared" si="3"/>
        <v>0</v>
      </c>
    </row>
    <row r="118" spans="1:73" s="2632" customFormat="1" x14ac:dyDescent="0.2">
      <c r="A118" s="2632" t="s">
        <v>4978</v>
      </c>
      <c r="B118" s="2632" t="s">
        <v>7847</v>
      </c>
      <c r="C118" s="2728">
        <v>0</v>
      </c>
      <c r="D118" s="2728">
        <v>0</v>
      </c>
      <c r="E118" s="2728">
        <v>21215435.370000001</v>
      </c>
      <c r="F118" s="2728">
        <v>0</v>
      </c>
      <c r="G118" s="2728">
        <f t="shared" si="2"/>
        <v>21215435.370000001</v>
      </c>
      <c r="I118" s="2728"/>
      <c r="K118" s="2229">
        <f t="shared" si="3"/>
        <v>21215435.370000001</v>
      </c>
      <c r="L118" s="2024"/>
      <c r="M118" s="2024"/>
      <c r="N118" s="2024"/>
      <c r="O118" s="2024"/>
      <c r="P118" s="2024"/>
      <c r="Q118" s="2024"/>
      <c r="R118" s="2024"/>
      <c r="S118" s="2024"/>
      <c r="T118" s="2024"/>
      <c r="U118" s="2024"/>
      <c r="V118" s="2024"/>
      <c r="W118" s="2024"/>
      <c r="X118" s="2024"/>
      <c r="Y118" s="2024"/>
      <c r="Z118" s="2024"/>
      <c r="AA118" s="2024"/>
      <c r="AB118" s="2024"/>
      <c r="AC118" s="2024"/>
      <c r="AD118" s="2024"/>
      <c r="AE118" s="2024"/>
      <c r="AF118" s="2024"/>
      <c r="AG118" s="2024"/>
      <c r="AH118" s="2024"/>
      <c r="AI118" s="2024"/>
      <c r="AJ118" s="2024"/>
      <c r="AK118" s="2024"/>
      <c r="AL118" s="2024"/>
      <c r="AM118" s="2024"/>
      <c r="AN118" s="2024"/>
      <c r="AO118" s="2024"/>
      <c r="AP118" s="2024"/>
      <c r="AQ118" s="2024"/>
      <c r="AR118" s="2024"/>
      <c r="AS118" s="2024"/>
      <c r="AT118" s="2024"/>
      <c r="AU118" s="2024"/>
      <c r="AV118" s="2024"/>
      <c r="AW118" s="2024"/>
      <c r="AX118" s="2024"/>
      <c r="AY118" s="2024"/>
      <c r="AZ118" s="2024"/>
      <c r="BA118" s="2024"/>
      <c r="BB118" s="2024"/>
      <c r="BC118" s="2024"/>
      <c r="BD118" s="2024"/>
      <c r="BE118" s="2024"/>
      <c r="BF118" s="2024"/>
      <c r="BG118" s="2024"/>
      <c r="BH118" s="2024"/>
      <c r="BI118" s="2024"/>
      <c r="BJ118" s="2024"/>
      <c r="BK118" s="2024"/>
      <c r="BL118" s="2024"/>
      <c r="BM118" s="2024"/>
      <c r="BN118" s="2024"/>
      <c r="BO118" s="2024"/>
      <c r="BP118" s="2024"/>
      <c r="BQ118" s="2024"/>
      <c r="BR118" s="2024"/>
      <c r="BS118" s="2024"/>
      <c r="BT118" s="2024"/>
      <c r="BU118" s="2024"/>
    </row>
    <row r="119" spans="1:73" x14ac:dyDescent="0.2">
      <c r="A119" t="s">
        <v>4979</v>
      </c>
      <c r="B119" t="s">
        <v>4980</v>
      </c>
      <c r="C119" s="2022">
        <v>0</v>
      </c>
      <c r="D119" s="2022">
        <v>0</v>
      </c>
      <c r="E119" s="2022">
        <v>42811.53</v>
      </c>
      <c r="F119" s="2022">
        <v>-42811.53</v>
      </c>
      <c r="G119" s="2022">
        <f t="shared" si="2"/>
        <v>0</v>
      </c>
      <c r="I119" s="2022">
        <f>VLOOKUP(A119,'2012 - TB'!$A$3:$I$733,9,FALSE)</f>
        <v>0</v>
      </c>
      <c r="K119" s="2011">
        <f t="shared" si="3"/>
        <v>0</v>
      </c>
    </row>
    <row r="120" spans="1:73" x14ac:dyDescent="0.2">
      <c r="A120" t="s">
        <v>4981</v>
      </c>
      <c r="B120" t="s">
        <v>4982</v>
      </c>
      <c r="C120" s="2022">
        <v>141655.92000000001</v>
      </c>
      <c r="D120" s="2022">
        <v>0</v>
      </c>
      <c r="E120" s="2022">
        <v>236093.2</v>
      </c>
      <c r="F120" s="2022">
        <v>-647852</v>
      </c>
      <c r="G120" s="2022">
        <f t="shared" si="2"/>
        <v>-411758.8</v>
      </c>
      <c r="I120" s="2022">
        <f>VLOOKUP(A120,'2012 - TB'!$A$3:$I$733,9,FALSE)</f>
        <v>-411758.8</v>
      </c>
      <c r="K120" s="2011">
        <f t="shared" si="3"/>
        <v>0</v>
      </c>
    </row>
    <row r="121" spans="1:73" x14ac:dyDescent="0.2">
      <c r="A121" t="s">
        <v>4983</v>
      </c>
      <c r="B121" t="s">
        <v>7848</v>
      </c>
      <c r="C121" s="2022">
        <v>0</v>
      </c>
      <c r="D121" s="2022">
        <v>0</v>
      </c>
      <c r="E121" s="2022">
        <v>0</v>
      </c>
      <c r="F121" s="2022">
        <v>0</v>
      </c>
      <c r="G121" s="2022">
        <f t="shared" si="2"/>
        <v>0</v>
      </c>
      <c r="K121" s="2011">
        <f t="shared" si="3"/>
        <v>0</v>
      </c>
    </row>
    <row r="122" spans="1:73" x14ac:dyDescent="0.2">
      <c r="A122" t="s">
        <v>4984</v>
      </c>
      <c r="B122" t="s">
        <v>7849</v>
      </c>
      <c r="C122" s="2022">
        <v>0</v>
      </c>
      <c r="D122" s="2022">
        <v>0</v>
      </c>
      <c r="E122" s="2022">
        <v>0</v>
      </c>
      <c r="F122" s="2022">
        <v>0</v>
      </c>
      <c r="G122" s="2022">
        <f t="shared" si="2"/>
        <v>0</v>
      </c>
      <c r="K122" s="2011">
        <f t="shared" si="3"/>
        <v>0</v>
      </c>
    </row>
    <row r="123" spans="1:73" x14ac:dyDescent="0.2">
      <c r="A123" t="s">
        <v>4985</v>
      </c>
      <c r="B123" t="s">
        <v>7850</v>
      </c>
      <c r="C123" s="2022">
        <v>0</v>
      </c>
      <c r="D123" s="2022">
        <v>0</v>
      </c>
      <c r="E123" s="2022">
        <v>0</v>
      </c>
      <c r="F123" s="2022">
        <v>0</v>
      </c>
      <c r="G123" s="2022">
        <f t="shared" si="2"/>
        <v>0</v>
      </c>
      <c r="K123" s="2011">
        <f t="shared" si="3"/>
        <v>0</v>
      </c>
    </row>
    <row r="124" spans="1:73" x14ac:dyDescent="0.2">
      <c r="A124" t="s">
        <v>4986</v>
      </c>
      <c r="B124" t="s">
        <v>7851</v>
      </c>
      <c r="C124" s="2022">
        <v>0</v>
      </c>
      <c r="D124" s="2022">
        <v>0</v>
      </c>
      <c r="E124" s="2022">
        <v>0</v>
      </c>
      <c r="F124" s="2022">
        <v>0</v>
      </c>
      <c r="G124" s="2022">
        <f t="shared" si="2"/>
        <v>0</v>
      </c>
      <c r="K124" s="2011">
        <f t="shared" si="3"/>
        <v>0</v>
      </c>
    </row>
    <row r="125" spans="1:73" x14ac:dyDescent="0.2">
      <c r="A125" t="s">
        <v>4987</v>
      </c>
      <c r="B125" t="s">
        <v>7852</v>
      </c>
      <c r="C125" s="2022">
        <v>0</v>
      </c>
      <c r="D125" s="2022">
        <v>0</v>
      </c>
      <c r="E125" s="2022">
        <v>0</v>
      </c>
      <c r="F125" s="2022">
        <v>0</v>
      </c>
      <c r="G125" s="2022">
        <f t="shared" si="2"/>
        <v>0</v>
      </c>
      <c r="K125" s="2011">
        <f t="shared" si="3"/>
        <v>0</v>
      </c>
    </row>
    <row r="126" spans="1:73" x14ac:dyDescent="0.2">
      <c r="A126" t="s">
        <v>4988</v>
      </c>
      <c r="B126" t="s">
        <v>7853</v>
      </c>
      <c r="C126" s="2022">
        <v>0</v>
      </c>
      <c r="D126" s="2022">
        <v>0</v>
      </c>
      <c r="E126" s="2022">
        <v>0</v>
      </c>
      <c r="F126" s="2022">
        <v>0</v>
      </c>
      <c r="G126" s="2022">
        <f t="shared" si="2"/>
        <v>0</v>
      </c>
      <c r="K126" s="2011">
        <f t="shared" si="3"/>
        <v>0</v>
      </c>
    </row>
    <row r="127" spans="1:73" x14ac:dyDescent="0.2">
      <c r="A127" t="s">
        <v>4989</v>
      </c>
      <c r="B127" t="s">
        <v>7854</v>
      </c>
      <c r="C127" s="2022">
        <v>0</v>
      </c>
      <c r="D127" s="2022">
        <v>0</v>
      </c>
      <c r="E127" s="2022">
        <v>0</v>
      </c>
      <c r="F127" s="2022">
        <v>0</v>
      </c>
      <c r="G127" s="2022">
        <f t="shared" si="2"/>
        <v>0</v>
      </c>
      <c r="K127" s="2011">
        <f t="shared" si="3"/>
        <v>0</v>
      </c>
    </row>
    <row r="128" spans="1:73" x14ac:dyDescent="0.2">
      <c r="A128" t="s">
        <v>4990</v>
      </c>
      <c r="B128" t="s">
        <v>4991</v>
      </c>
      <c r="C128" s="2022">
        <v>1500000</v>
      </c>
      <c r="D128" s="2022">
        <v>0</v>
      </c>
      <c r="E128" s="2022">
        <v>0</v>
      </c>
      <c r="F128" s="2022">
        <v>0</v>
      </c>
      <c r="G128" s="2022">
        <f t="shared" si="2"/>
        <v>0</v>
      </c>
      <c r="I128" s="2022">
        <f>VLOOKUP(A128,'2012 - TB'!$A$3:$I$733,9,FALSE)</f>
        <v>0</v>
      </c>
      <c r="K128" s="2011">
        <f t="shared" si="3"/>
        <v>0</v>
      </c>
    </row>
    <row r="129" spans="1:11" x14ac:dyDescent="0.2">
      <c r="A129" t="s">
        <v>4992</v>
      </c>
      <c r="B129" t="s">
        <v>7855</v>
      </c>
      <c r="C129" s="2022">
        <v>0</v>
      </c>
      <c r="D129" s="2022">
        <v>0</v>
      </c>
      <c r="E129" s="2022">
        <v>0</v>
      </c>
      <c r="F129" s="2022">
        <v>0</v>
      </c>
      <c r="G129" s="2022">
        <f t="shared" si="2"/>
        <v>0</v>
      </c>
      <c r="K129" s="2011">
        <f t="shared" si="3"/>
        <v>0</v>
      </c>
    </row>
    <row r="130" spans="1:11" x14ac:dyDescent="0.2">
      <c r="A130" t="s">
        <v>4994</v>
      </c>
      <c r="B130" t="s">
        <v>7856</v>
      </c>
      <c r="C130" s="2022">
        <v>0</v>
      </c>
      <c r="D130" s="2022">
        <v>0</v>
      </c>
      <c r="E130" s="2022">
        <v>0</v>
      </c>
      <c r="F130" s="2022">
        <v>0</v>
      </c>
      <c r="G130" s="2022">
        <f t="shared" ref="G130:G193" si="4">SUM(D130:F130)</f>
        <v>0</v>
      </c>
      <c r="K130" s="2011">
        <f t="shared" ref="K130:K193" si="5">G130-I130</f>
        <v>0</v>
      </c>
    </row>
    <row r="131" spans="1:11" x14ac:dyDescent="0.2">
      <c r="A131" t="s">
        <v>4995</v>
      </c>
      <c r="B131" t="s">
        <v>4996</v>
      </c>
      <c r="C131" s="2022">
        <v>83080.42</v>
      </c>
      <c r="D131" s="2022">
        <v>0</v>
      </c>
      <c r="E131" s="2022">
        <v>81964.539999999994</v>
      </c>
      <c r="F131" s="2022">
        <v>-4088.49</v>
      </c>
      <c r="G131" s="2022">
        <f t="shared" si="4"/>
        <v>77876.049999999988</v>
      </c>
      <c r="I131" s="2022">
        <f>VLOOKUP(A131,'2012 - TB'!$A$3:$I$733,9,FALSE)</f>
        <v>77876.05</v>
      </c>
      <c r="K131" s="2011">
        <f t="shared" si="5"/>
        <v>0</v>
      </c>
    </row>
    <row r="132" spans="1:11" x14ac:dyDescent="0.2">
      <c r="A132" t="s">
        <v>4997</v>
      </c>
      <c r="B132" t="s">
        <v>4998</v>
      </c>
      <c r="C132" s="2022">
        <v>331527.36</v>
      </c>
      <c r="D132" s="2022">
        <v>0</v>
      </c>
      <c r="E132" s="2022">
        <v>302312.88</v>
      </c>
      <c r="F132" s="2022">
        <v>-207504.93</v>
      </c>
      <c r="G132" s="2022">
        <f t="shared" si="4"/>
        <v>94807.950000000012</v>
      </c>
      <c r="I132" s="2022">
        <f>VLOOKUP(A132,'2012 - TB'!$A$3:$I$733,9,FALSE)</f>
        <v>94807.950000000012</v>
      </c>
      <c r="K132" s="2011">
        <f t="shared" si="5"/>
        <v>0</v>
      </c>
    </row>
    <row r="133" spans="1:11" x14ac:dyDescent="0.2">
      <c r="A133" t="s">
        <v>4999</v>
      </c>
      <c r="B133" t="s">
        <v>7857</v>
      </c>
      <c r="C133" s="2022">
        <v>687.96</v>
      </c>
      <c r="D133" s="2022">
        <v>0</v>
      </c>
      <c r="E133" s="2022">
        <v>56968.83</v>
      </c>
      <c r="F133" s="2022">
        <v>0</v>
      </c>
      <c r="G133" s="2022">
        <f t="shared" si="4"/>
        <v>56968.83</v>
      </c>
      <c r="I133" s="2022">
        <f>VLOOKUP(A133,'2012 - TB'!$A$3:$I$733,9,FALSE)</f>
        <v>56968.83</v>
      </c>
      <c r="K133" s="2011">
        <f t="shared" si="5"/>
        <v>0</v>
      </c>
    </row>
    <row r="134" spans="1:11" x14ac:dyDescent="0.2">
      <c r="A134" t="s">
        <v>5000</v>
      </c>
      <c r="B134" t="s">
        <v>6069</v>
      </c>
      <c r="C134" s="2022">
        <v>453944.19</v>
      </c>
      <c r="D134" s="2022">
        <v>0</v>
      </c>
      <c r="E134" s="2022">
        <v>399270.55</v>
      </c>
      <c r="F134" s="2022">
        <v>-36290.99</v>
      </c>
      <c r="G134" s="2022">
        <f t="shared" si="4"/>
        <v>362979.56</v>
      </c>
      <c r="I134" s="2022">
        <f>VLOOKUP(A134,'2012 - TB'!$A$3:$I$733,9,FALSE)</f>
        <v>362979.56</v>
      </c>
      <c r="K134" s="2011">
        <f t="shared" si="5"/>
        <v>0</v>
      </c>
    </row>
    <row r="135" spans="1:11" x14ac:dyDescent="0.2">
      <c r="A135" t="s">
        <v>5001</v>
      </c>
      <c r="B135" t="s">
        <v>7858</v>
      </c>
      <c r="C135" s="2022">
        <v>0</v>
      </c>
      <c r="D135" s="2022">
        <v>0</v>
      </c>
      <c r="E135" s="2022">
        <v>0</v>
      </c>
      <c r="F135" s="2022">
        <v>0</v>
      </c>
      <c r="G135" s="2022">
        <f t="shared" si="4"/>
        <v>0</v>
      </c>
      <c r="K135" s="2011">
        <f t="shared" si="5"/>
        <v>0</v>
      </c>
    </row>
    <row r="136" spans="1:11" x14ac:dyDescent="0.2">
      <c r="A136" t="s">
        <v>5002</v>
      </c>
      <c r="B136" t="s">
        <v>6070</v>
      </c>
      <c r="C136" s="2022">
        <v>79651.95</v>
      </c>
      <c r="D136" s="2022">
        <v>0</v>
      </c>
      <c r="E136" s="2022">
        <v>79255.8</v>
      </c>
      <c r="F136" s="2022">
        <v>0</v>
      </c>
      <c r="G136" s="2022">
        <f t="shared" si="4"/>
        <v>79255.8</v>
      </c>
      <c r="I136" s="2022">
        <f>VLOOKUP(A136,'2012 - TB'!$A$3:$I$733,9,FALSE)</f>
        <v>79255.8</v>
      </c>
      <c r="K136" s="2011">
        <f t="shared" si="5"/>
        <v>0</v>
      </c>
    </row>
    <row r="137" spans="1:11" x14ac:dyDescent="0.2">
      <c r="A137" t="s">
        <v>5004</v>
      </c>
      <c r="B137" t="s">
        <v>5005</v>
      </c>
      <c r="C137" s="2022">
        <v>2666692.73</v>
      </c>
      <c r="D137" s="2022">
        <v>0</v>
      </c>
      <c r="E137" s="2022">
        <v>3025921.17</v>
      </c>
      <c r="F137" s="2022">
        <v>-1416759.55</v>
      </c>
      <c r="G137" s="2022">
        <f t="shared" si="4"/>
        <v>1609161.6199999999</v>
      </c>
      <c r="I137" s="2022">
        <f>VLOOKUP(A137,'2012 - TB'!$A$3:$I$733,9,FALSE)</f>
        <v>1609161.6200000003</v>
      </c>
      <c r="K137" s="2011">
        <f t="shared" si="5"/>
        <v>0</v>
      </c>
    </row>
    <row r="138" spans="1:11" x14ac:dyDescent="0.2">
      <c r="A138" t="s">
        <v>5006</v>
      </c>
      <c r="B138" t="s">
        <v>6072</v>
      </c>
      <c r="C138" s="2022">
        <v>25986.87</v>
      </c>
      <c r="D138" s="2022">
        <v>0</v>
      </c>
      <c r="E138" s="2022">
        <v>36272.07</v>
      </c>
      <c r="F138" s="2022">
        <v>0</v>
      </c>
      <c r="G138" s="2022">
        <f t="shared" si="4"/>
        <v>36272.07</v>
      </c>
      <c r="I138" s="2022">
        <f>VLOOKUP(A138,'2012 - TB'!$A$3:$I$733,9,FALSE)</f>
        <v>36272.07</v>
      </c>
      <c r="K138" s="2011">
        <f t="shared" si="5"/>
        <v>0</v>
      </c>
    </row>
    <row r="139" spans="1:11" x14ac:dyDescent="0.2">
      <c r="A139" t="s">
        <v>5007</v>
      </c>
      <c r="B139" t="s">
        <v>6073</v>
      </c>
      <c r="C139" s="2022">
        <v>0</v>
      </c>
      <c r="D139" s="2022">
        <v>0</v>
      </c>
      <c r="E139" s="2022">
        <v>12577</v>
      </c>
      <c r="F139" s="2022">
        <v>0</v>
      </c>
      <c r="G139" s="2022">
        <f t="shared" si="4"/>
        <v>12577</v>
      </c>
      <c r="I139" s="2022">
        <f>VLOOKUP(A139,'2012 - TB'!$A$3:$I$733,9,FALSE)</f>
        <v>12577</v>
      </c>
      <c r="K139" s="2011">
        <f t="shared" si="5"/>
        <v>0</v>
      </c>
    </row>
    <row r="140" spans="1:11" x14ac:dyDescent="0.2">
      <c r="A140" t="s">
        <v>5008</v>
      </c>
      <c r="B140" t="s">
        <v>7859</v>
      </c>
      <c r="C140" s="2022">
        <v>0</v>
      </c>
      <c r="D140" s="2022">
        <v>0</v>
      </c>
      <c r="E140" s="2022">
        <v>0</v>
      </c>
      <c r="F140" s="2022">
        <v>0</v>
      </c>
      <c r="G140" s="2022">
        <f t="shared" si="4"/>
        <v>0</v>
      </c>
      <c r="K140" s="2011">
        <f t="shared" si="5"/>
        <v>0</v>
      </c>
    </row>
    <row r="141" spans="1:11" x14ac:dyDescent="0.2">
      <c r="A141" t="s">
        <v>5009</v>
      </c>
      <c r="B141" t="s">
        <v>7860</v>
      </c>
      <c r="C141" s="2022">
        <v>174508.68</v>
      </c>
      <c r="D141" s="2022">
        <v>0</v>
      </c>
      <c r="E141" s="2022">
        <v>602521.93000000005</v>
      </c>
      <c r="F141" s="2022">
        <v>0</v>
      </c>
      <c r="G141" s="2022">
        <f t="shared" si="4"/>
        <v>602521.93000000005</v>
      </c>
      <c r="I141" s="2022">
        <f>VLOOKUP(A141,'2012 - TB'!$A$3:$I$733,9,FALSE)</f>
        <v>602521.92999999993</v>
      </c>
      <c r="K141" s="2011">
        <f t="shared" si="5"/>
        <v>0</v>
      </c>
    </row>
    <row r="142" spans="1:11" x14ac:dyDescent="0.2">
      <c r="A142" t="s">
        <v>5010</v>
      </c>
      <c r="B142" t="s">
        <v>7861</v>
      </c>
      <c r="C142" s="2022">
        <v>0</v>
      </c>
      <c r="D142" s="2022">
        <v>0</v>
      </c>
      <c r="E142" s="2022">
        <v>0</v>
      </c>
      <c r="F142" s="2022">
        <v>0</v>
      </c>
      <c r="G142" s="2022">
        <f t="shared" si="4"/>
        <v>0</v>
      </c>
      <c r="K142" s="2011">
        <f t="shared" si="5"/>
        <v>0</v>
      </c>
    </row>
    <row r="143" spans="1:11" x14ac:dyDescent="0.2">
      <c r="A143" t="s">
        <v>5011</v>
      </c>
      <c r="B143" t="s">
        <v>7862</v>
      </c>
      <c r="C143" s="2022">
        <v>0</v>
      </c>
      <c r="D143" s="2022">
        <v>0</v>
      </c>
      <c r="E143" s="2022">
        <v>0</v>
      </c>
      <c r="F143" s="2022">
        <v>0</v>
      </c>
      <c r="G143" s="2022">
        <f t="shared" si="4"/>
        <v>0</v>
      </c>
      <c r="K143" s="2011">
        <f t="shared" si="5"/>
        <v>0</v>
      </c>
    </row>
    <row r="144" spans="1:11" x14ac:dyDescent="0.2">
      <c r="A144" t="s">
        <v>5013</v>
      </c>
      <c r="B144" t="s">
        <v>7863</v>
      </c>
      <c r="C144" s="2022">
        <v>66551.69</v>
      </c>
      <c r="D144" s="2022">
        <v>0</v>
      </c>
      <c r="E144" s="2022">
        <v>113162.8</v>
      </c>
      <c r="F144" s="2022">
        <v>0</v>
      </c>
      <c r="G144" s="2022">
        <f t="shared" si="4"/>
        <v>113162.8</v>
      </c>
      <c r="I144" s="2022">
        <f>VLOOKUP(A144,'2012 - TB'!$A$3:$I$733,9,FALSE)</f>
        <v>113162.8</v>
      </c>
      <c r="K144" s="2011">
        <f t="shared" si="5"/>
        <v>0</v>
      </c>
    </row>
    <row r="145" spans="1:73" x14ac:dyDescent="0.2">
      <c r="A145" t="s">
        <v>5015</v>
      </c>
      <c r="B145" t="s">
        <v>5016</v>
      </c>
      <c r="C145" s="2022">
        <v>0</v>
      </c>
      <c r="D145" s="2022">
        <v>0</v>
      </c>
      <c r="E145" s="2022">
        <v>0</v>
      </c>
      <c r="F145" s="2022">
        <v>-378.4</v>
      </c>
      <c r="G145" s="2022">
        <f t="shared" si="4"/>
        <v>-378.4</v>
      </c>
      <c r="I145" s="2022">
        <f>VLOOKUP(A145,'2012 - TB'!$A$3:$I$733,9,FALSE)</f>
        <v>-378.4</v>
      </c>
      <c r="K145" s="2011">
        <f t="shared" si="5"/>
        <v>0</v>
      </c>
    </row>
    <row r="146" spans="1:73" x14ac:dyDescent="0.2">
      <c r="A146" t="s">
        <v>5017</v>
      </c>
      <c r="B146" t="s">
        <v>6077</v>
      </c>
      <c r="C146" s="2022">
        <v>2689.5</v>
      </c>
      <c r="D146" s="2022">
        <v>0</v>
      </c>
      <c r="E146" s="2022">
        <v>1287.94</v>
      </c>
      <c r="F146" s="2022">
        <v>0</v>
      </c>
      <c r="G146" s="2022">
        <f t="shared" si="4"/>
        <v>1287.94</v>
      </c>
      <c r="I146" s="2022">
        <f>VLOOKUP(A146,'2012 - TB'!$A$3:$I$733,9,FALSE)</f>
        <v>1287.94</v>
      </c>
      <c r="K146" s="2011">
        <f t="shared" si="5"/>
        <v>0</v>
      </c>
    </row>
    <row r="147" spans="1:73" x14ac:dyDescent="0.2">
      <c r="A147" t="s">
        <v>5018</v>
      </c>
      <c r="B147" t="s">
        <v>6078</v>
      </c>
      <c r="C147" s="2022">
        <v>194794.16</v>
      </c>
      <c r="D147" s="2022">
        <v>0</v>
      </c>
      <c r="E147" s="2022">
        <v>91493.95</v>
      </c>
      <c r="F147" s="2022">
        <v>0</v>
      </c>
      <c r="G147" s="2022">
        <f t="shared" si="4"/>
        <v>91493.95</v>
      </c>
      <c r="I147" s="2022">
        <f>VLOOKUP(A147,'2012 - TB'!$A$3:$I$733,9,FALSE)</f>
        <v>91493.95</v>
      </c>
      <c r="K147" s="2011">
        <f t="shared" si="5"/>
        <v>0</v>
      </c>
    </row>
    <row r="148" spans="1:73" x14ac:dyDescent="0.2">
      <c r="A148" t="s">
        <v>5019</v>
      </c>
      <c r="B148" t="s">
        <v>6079</v>
      </c>
      <c r="C148" s="2022">
        <v>6625.43</v>
      </c>
      <c r="D148" s="2022">
        <v>0</v>
      </c>
      <c r="E148" s="2022">
        <v>2749.92</v>
      </c>
      <c r="F148" s="2022">
        <v>-781.29</v>
      </c>
      <c r="G148" s="2022">
        <f t="shared" si="4"/>
        <v>1968.63</v>
      </c>
      <c r="I148" s="2022">
        <f>VLOOKUP(A148,'2012 - TB'!$A$3:$I$733,9,FALSE)</f>
        <v>1968.63</v>
      </c>
      <c r="K148" s="2011">
        <f t="shared" si="5"/>
        <v>0</v>
      </c>
    </row>
    <row r="149" spans="1:73" x14ac:dyDescent="0.2">
      <c r="A149" t="s">
        <v>5020</v>
      </c>
      <c r="B149" t="s">
        <v>6080</v>
      </c>
      <c r="C149" s="2022">
        <v>15632.14</v>
      </c>
      <c r="D149" s="2022">
        <v>0</v>
      </c>
      <c r="E149" s="2022">
        <v>18000.560000000001</v>
      </c>
      <c r="F149" s="2022">
        <v>0</v>
      </c>
      <c r="G149" s="2022">
        <f t="shared" si="4"/>
        <v>18000.560000000001</v>
      </c>
      <c r="I149" s="2022">
        <f>VLOOKUP(A149,'2012 - TB'!$A$3:$I$733,9,FALSE)</f>
        <v>18000.560000000001</v>
      </c>
      <c r="K149" s="2011">
        <f t="shared" si="5"/>
        <v>0</v>
      </c>
    </row>
    <row r="150" spans="1:73" x14ac:dyDescent="0.2">
      <c r="A150" t="s">
        <v>5021</v>
      </c>
      <c r="B150" t="s">
        <v>7864</v>
      </c>
      <c r="C150" s="2022">
        <v>302445.98</v>
      </c>
      <c r="D150" s="2022">
        <v>0</v>
      </c>
      <c r="E150" s="2022">
        <v>302445.98</v>
      </c>
      <c r="F150" s="2022">
        <v>0</v>
      </c>
      <c r="G150" s="2022">
        <f t="shared" si="4"/>
        <v>302445.98</v>
      </c>
      <c r="I150" s="2022">
        <f>VLOOKUP(A150,'2012 - TB'!$A$3:$I$733,9,FALSE)</f>
        <v>302445.98</v>
      </c>
      <c r="K150" s="2011">
        <f t="shared" si="5"/>
        <v>0</v>
      </c>
    </row>
    <row r="151" spans="1:73" x14ac:dyDescent="0.2">
      <c r="A151" t="s">
        <v>5022</v>
      </c>
      <c r="B151" t="s">
        <v>4873</v>
      </c>
      <c r="C151" s="2022">
        <v>12855.15</v>
      </c>
      <c r="D151" s="2022">
        <v>0</v>
      </c>
      <c r="E151" s="2022">
        <v>8595.33</v>
      </c>
      <c r="F151" s="2022">
        <v>-8595.33</v>
      </c>
      <c r="G151" s="2022">
        <f t="shared" si="4"/>
        <v>0</v>
      </c>
      <c r="I151" s="2022">
        <f>VLOOKUP(A151,'2012 - TB'!$A$3:$I$733,9,FALSE)</f>
        <v>0</v>
      </c>
      <c r="K151" s="2011">
        <f t="shared" si="5"/>
        <v>0</v>
      </c>
    </row>
    <row r="152" spans="1:73" x14ac:dyDescent="0.2">
      <c r="A152" t="s">
        <v>5023</v>
      </c>
      <c r="B152" t="s">
        <v>4873</v>
      </c>
      <c r="C152" s="2022">
        <v>0</v>
      </c>
      <c r="D152" s="2022">
        <v>0</v>
      </c>
      <c r="E152" s="2022">
        <v>0</v>
      </c>
      <c r="F152" s="2022">
        <v>0</v>
      </c>
      <c r="G152" s="2022">
        <f t="shared" si="4"/>
        <v>0</v>
      </c>
      <c r="K152" s="2011">
        <f t="shared" si="5"/>
        <v>0</v>
      </c>
    </row>
    <row r="153" spans="1:73" x14ac:dyDescent="0.2">
      <c r="A153" t="s">
        <v>5024</v>
      </c>
      <c r="B153" t="s">
        <v>5025</v>
      </c>
      <c r="C153" s="2022">
        <v>0</v>
      </c>
      <c r="D153" s="2022">
        <v>0</v>
      </c>
      <c r="E153" s="2022">
        <v>570</v>
      </c>
      <c r="F153" s="2022">
        <v>0</v>
      </c>
      <c r="G153" s="2022">
        <f t="shared" si="4"/>
        <v>570</v>
      </c>
      <c r="I153" s="2022">
        <f>VLOOKUP(A153,'2012 - TB'!$A$3:$I$733,9,FALSE)</f>
        <v>570</v>
      </c>
      <c r="K153" s="2011">
        <f t="shared" si="5"/>
        <v>0</v>
      </c>
    </row>
    <row r="154" spans="1:73" x14ac:dyDescent="0.2">
      <c r="A154" t="s">
        <v>5026</v>
      </c>
      <c r="B154" t="s">
        <v>6082</v>
      </c>
      <c r="C154" s="2022">
        <v>3915</v>
      </c>
      <c r="D154" s="2022">
        <v>0</v>
      </c>
      <c r="E154" s="2022">
        <v>2521.34</v>
      </c>
      <c r="F154" s="2022">
        <v>0</v>
      </c>
      <c r="G154" s="2022">
        <f t="shared" si="4"/>
        <v>2521.34</v>
      </c>
      <c r="I154" s="2022">
        <f>VLOOKUP(A154,'2012 - TB'!$A$3:$I$733,9,FALSE)</f>
        <v>2521.34</v>
      </c>
      <c r="K154" s="2011">
        <f t="shared" si="5"/>
        <v>0</v>
      </c>
    </row>
    <row r="155" spans="1:73" x14ac:dyDescent="0.2">
      <c r="A155" t="s">
        <v>5027</v>
      </c>
      <c r="B155" t="s">
        <v>7865</v>
      </c>
      <c r="C155" s="2022">
        <v>0</v>
      </c>
      <c r="D155" s="2022">
        <v>0</v>
      </c>
      <c r="E155" s="2022">
        <v>73668.92</v>
      </c>
      <c r="F155" s="2022">
        <v>0</v>
      </c>
      <c r="G155" s="2022">
        <f t="shared" si="4"/>
        <v>73668.92</v>
      </c>
      <c r="I155" s="2022">
        <f>VLOOKUP(A155,'2012 - TB'!$A$3:$I$733,9,FALSE)</f>
        <v>73668.92</v>
      </c>
      <c r="K155" s="2011">
        <f t="shared" si="5"/>
        <v>0</v>
      </c>
    </row>
    <row r="156" spans="1:73" x14ac:dyDescent="0.2">
      <c r="A156" t="s">
        <v>5028</v>
      </c>
      <c r="B156" t="s">
        <v>7866</v>
      </c>
      <c r="C156" s="2022">
        <v>0</v>
      </c>
      <c r="D156" s="2022">
        <v>0</v>
      </c>
      <c r="E156" s="2022">
        <v>0</v>
      </c>
      <c r="F156" s="2022">
        <v>0</v>
      </c>
      <c r="G156" s="2022">
        <f t="shared" si="4"/>
        <v>0</v>
      </c>
      <c r="K156" s="2011">
        <f t="shared" si="5"/>
        <v>0</v>
      </c>
    </row>
    <row r="157" spans="1:73" x14ac:dyDescent="0.2">
      <c r="A157" t="s">
        <v>5029</v>
      </c>
      <c r="B157" t="s">
        <v>6084</v>
      </c>
      <c r="C157" s="2022">
        <v>190000</v>
      </c>
      <c r="D157" s="2022">
        <v>0</v>
      </c>
      <c r="E157" s="2022">
        <v>208057.54</v>
      </c>
      <c r="F157" s="2022">
        <v>-321</v>
      </c>
      <c r="G157" s="2022">
        <f t="shared" si="4"/>
        <v>207736.54</v>
      </c>
      <c r="I157" s="2022">
        <f>VLOOKUP(A157,'2012 - TB'!$A$3:$I$733,9,FALSE)</f>
        <v>207736.54</v>
      </c>
      <c r="K157" s="2011">
        <f t="shared" si="5"/>
        <v>0</v>
      </c>
    </row>
    <row r="158" spans="1:73" s="2215" customFormat="1" x14ac:dyDescent="0.2">
      <c r="A158" s="2215" t="s">
        <v>5030</v>
      </c>
      <c r="B158" s="2215" t="s">
        <v>6085</v>
      </c>
      <c r="C158" s="2230">
        <v>190000</v>
      </c>
      <c r="D158" s="2230">
        <v>0</v>
      </c>
      <c r="E158" s="2230">
        <v>292009.21000000002</v>
      </c>
      <c r="F158" s="2230">
        <v>-1363.98</v>
      </c>
      <c r="G158" s="2230">
        <f t="shared" si="4"/>
        <v>290645.23000000004</v>
      </c>
      <c r="I158" s="2230">
        <f>VLOOKUP(A158,'2012 - TB'!$A$3:$I$733,9,FALSE)</f>
        <v>290005.23</v>
      </c>
      <c r="K158" s="2728">
        <f t="shared" si="5"/>
        <v>640.00000000005821</v>
      </c>
      <c r="L158" s="2024"/>
      <c r="M158" s="2024"/>
      <c r="N158" s="2024"/>
      <c r="O158" s="2024"/>
      <c r="P158" s="2024"/>
      <c r="Q158" s="2024"/>
      <c r="R158" s="2024"/>
      <c r="S158" s="2024"/>
      <c r="T158" s="2024"/>
      <c r="U158" s="2024"/>
      <c r="V158" s="2024"/>
      <c r="W158" s="2024"/>
      <c r="X158" s="2024"/>
      <c r="Y158" s="2024"/>
      <c r="Z158" s="2024"/>
      <c r="AA158" s="2024"/>
      <c r="AB158" s="2024"/>
      <c r="AC158" s="2024"/>
      <c r="AD158" s="2024"/>
      <c r="AE158" s="2024"/>
      <c r="AF158" s="2024"/>
      <c r="AG158" s="2024"/>
      <c r="AH158" s="2024"/>
      <c r="AI158" s="2024"/>
      <c r="AJ158" s="2024"/>
      <c r="AK158" s="2024"/>
      <c r="AL158" s="2024"/>
      <c r="AM158" s="2024"/>
      <c r="AN158" s="2024"/>
      <c r="AO158" s="2024"/>
      <c r="AP158" s="2024"/>
      <c r="AQ158" s="2024"/>
      <c r="AR158" s="2024"/>
      <c r="AS158" s="2024"/>
      <c r="AT158" s="2024"/>
      <c r="AU158" s="2024"/>
      <c r="AV158" s="2024"/>
      <c r="AW158" s="2024"/>
      <c r="AX158" s="2024"/>
      <c r="AY158" s="2024"/>
      <c r="AZ158" s="2024"/>
      <c r="BA158" s="2024"/>
      <c r="BB158" s="2024"/>
      <c r="BC158" s="2024"/>
      <c r="BD158" s="2024"/>
      <c r="BE158" s="2024"/>
      <c r="BF158" s="2024"/>
      <c r="BG158" s="2024"/>
      <c r="BH158" s="2024"/>
      <c r="BI158" s="2024"/>
      <c r="BJ158" s="2024"/>
      <c r="BK158" s="2024"/>
      <c r="BL158" s="2024"/>
      <c r="BM158" s="2024"/>
      <c r="BN158" s="2024"/>
      <c r="BO158" s="2024"/>
      <c r="BP158" s="2024"/>
      <c r="BQ158" s="2024"/>
      <c r="BR158" s="2024"/>
      <c r="BS158" s="2024"/>
      <c r="BT158" s="2024"/>
      <c r="BU158" s="2024"/>
    </row>
    <row r="159" spans="1:73" x14ac:dyDescent="0.2">
      <c r="A159" t="s">
        <v>5031</v>
      </c>
      <c r="B159" t="s">
        <v>7727</v>
      </c>
      <c r="C159" s="2022">
        <v>0</v>
      </c>
      <c r="D159" s="2022">
        <v>0</v>
      </c>
      <c r="E159" s="2022">
        <v>0</v>
      </c>
      <c r="F159" s="2022">
        <v>0</v>
      </c>
      <c r="G159" s="2022">
        <f t="shared" si="4"/>
        <v>0</v>
      </c>
      <c r="K159" s="2011">
        <f t="shared" si="5"/>
        <v>0</v>
      </c>
    </row>
    <row r="160" spans="1:73" x14ac:dyDescent="0.2">
      <c r="A160" t="s">
        <v>5032</v>
      </c>
      <c r="B160" t="s">
        <v>7867</v>
      </c>
      <c r="C160" s="2022">
        <v>0</v>
      </c>
      <c r="D160" s="2022">
        <v>0</v>
      </c>
      <c r="E160" s="2022">
        <v>0</v>
      </c>
      <c r="F160" s="2022">
        <v>0</v>
      </c>
      <c r="G160" s="2022">
        <f t="shared" si="4"/>
        <v>0</v>
      </c>
      <c r="K160" s="2011">
        <f t="shared" si="5"/>
        <v>0</v>
      </c>
    </row>
    <row r="161" spans="1:73" x14ac:dyDescent="0.2">
      <c r="A161" t="s">
        <v>5034</v>
      </c>
      <c r="B161" t="s">
        <v>6086</v>
      </c>
      <c r="C161" s="2022">
        <v>90000</v>
      </c>
      <c r="D161" s="2022">
        <v>0</v>
      </c>
      <c r="E161" s="2022">
        <v>32201</v>
      </c>
      <c r="F161" s="2022">
        <v>0</v>
      </c>
      <c r="G161" s="2022">
        <f t="shared" si="4"/>
        <v>32201</v>
      </c>
      <c r="I161" s="2022">
        <f>VLOOKUP(A161,'2012 - TB'!$A$3:$I$733,9,FALSE)</f>
        <v>32201</v>
      </c>
      <c r="K161" s="2011">
        <f t="shared" si="5"/>
        <v>0</v>
      </c>
    </row>
    <row r="162" spans="1:73" x14ac:dyDescent="0.2">
      <c r="A162" t="s">
        <v>5035</v>
      </c>
      <c r="B162" t="s">
        <v>7868</v>
      </c>
      <c r="C162" s="2022">
        <v>567596.88</v>
      </c>
      <c r="D162" s="2022">
        <v>0</v>
      </c>
      <c r="E162" s="2022">
        <v>751960.18</v>
      </c>
      <c r="F162" s="2022">
        <v>-99.7</v>
      </c>
      <c r="G162" s="2022">
        <f t="shared" si="4"/>
        <v>751860.4800000001</v>
      </c>
      <c r="I162" s="2022">
        <f>VLOOKUP(A162,'2012 - TB'!$A$3:$I$733,9,FALSE)</f>
        <v>751860.4800000001</v>
      </c>
      <c r="K162" s="2011">
        <f t="shared" si="5"/>
        <v>0</v>
      </c>
    </row>
    <row r="163" spans="1:73" x14ac:dyDescent="0.2">
      <c r="A163" t="s">
        <v>5036</v>
      </c>
      <c r="B163" t="s">
        <v>7728</v>
      </c>
      <c r="C163" s="2022">
        <v>0</v>
      </c>
      <c r="D163" s="2022">
        <v>0</v>
      </c>
      <c r="E163" s="2022">
        <v>0</v>
      </c>
      <c r="F163" s="2022">
        <v>0</v>
      </c>
      <c r="G163" s="2022">
        <f t="shared" si="4"/>
        <v>0</v>
      </c>
      <c r="K163" s="2011">
        <f t="shared" si="5"/>
        <v>0</v>
      </c>
    </row>
    <row r="164" spans="1:73" x14ac:dyDescent="0.2">
      <c r="A164" t="s">
        <v>5037</v>
      </c>
      <c r="B164" t="s">
        <v>4885</v>
      </c>
      <c r="C164" s="2022">
        <v>500000</v>
      </c>
      <c r="D164" s="2022">
        <v>0</v>
      </c>
      <c r="E164" s="2022">
        <v>521441.35</v>
      </c>
      <c r="F164" s="2022">
        <v>-89127.7</v>
      </c>
      <c r="G164" s="2022">
        <f t="shared" si="4"/>
        <v>432313.64999999997</v>
      </c>
      <c r="I164" s="2022">
        <f>VLOOKUP(A164,'2012 - TB'!$A$3:$I$733,9,FALSE)</f>
        <v>432313.64999999997</v>
      </c>
      <c r="K164" s="2011">
        <f t="shared" si="5"/>
        <v>0</v>
      </c>
    </row>
    <row r="165" spans="1:73" x14ac:dyDescent="0.2">
      <c r="A165" t="s">
        <v>5038</v>
      </c>
      <c r="B165" t="s">
        <v>6088</v>
      </c>
      <c r="C165" s="2022">
        <v>1200000</v>
      </c>
      <c r="D165" s="2022">
        <v>0</v>
      </c>
      <c r="E165" s="2022">
        <v>1322034.3400000001</v>
      </c>
      <c r="F165" s="2022">
        <v>-16453.12</v>
      </c>
      <c r="G165" s="2022">
        <f t="shared" si="4"/>
        <v>1305581.22</v>
      </c>
      <c r="I165" s="2022">
        <f>VLOOKUP(A165,'2012 - TB'!$A$3:$I$733,9,FALSE)</f>
        <v>1305581.22</v>
      </c>
      <c r="K165" s="2011">
        <f t="shared" si="5"/>
        <v>0</v>
      </c>
    </row>
    <row r="166" spans="1:73" x14ac:dyDescent="0.2">
      <c r="A166" t="s">
        <v>5039</v>
      </c>
      <c r="B166" t="s">
        <v>7869</v>
      </c>
      <c r="C166" s="2022">
        <v>179.71</v>
      </c>
      <c r="D166" s="2022">
        <v>0</v>
      </c>
      <c r="E166" s="2022">
        <v>1508.41</v>
      </c>
      <c r="F166" s="2022">
        <v>-1508.41</v>
      </c>
      <c r="G166" s="2022">
        <f t="shared" si="4"/>
        <v>0</v>
      </c>
      <c r="I166" s="2022">
        <f>VLOOKUP(A166,'2012 - TB'!$A$3:$I$733,9,FALSE)</f>
        <v>0</v>
      </c>
      <c r="K166" s="2011">
        <f t="shared" si="5"/>
        <v>0</v>
      </c>
    </row>
    <row r="167" spans="1:73" x14ac:dyDescent="0.2">
      <c r="A167" t="s">
        <v>5040</v>
      </c>
      <c r="B167" t="s">
        <v>6090</v>
      </c>
      <c r="C167" s="2022">
        <v>72.75</v>
      </c>
      <c r="D167" s="2022">
        <v>0</v>
      </c>
      <c r="E167" s="2022">
        <v>1941.15</v>
      </c>
      <c r="F167" s="2022">
        <v>-1941.15</v>
      </c>
      <c r="G167" s="2022">
        <f t="shared" si="4"/>
        <v>0</v>
      </c>
      <c r="I167" s="2022">
        <f>VLOOKUP(A167,'2012 - TB'!$A$3:$I$733,9,FALSE)</f>
        <v>0</v>
      </c>
      <c r="K167" s="2011">
        <f t="shared" si="5"/>
        <v>0</v>
      </c>
    </row>
    <row r="168" spans="1:73" x14ac:dyDescent="0.2">
      <c r="A168" t="s">
        <v>5041</v>
      </c>
      <c r="B168" t="s">
        <v>5042</v>
      </c>
      <c r="C168" s="2022">
        <v>200000</v>
      </c>
      <c r="D168" s="2022">
        <v>0</v>
      </c>
      <c r="E168" s="2022">
        <v>230438.59</v>
      </c>
      <c r="F168" s="2022">
        <v>-170900</v>
      </c>
      <c r="G168" s="2022">
        <f t="shared" si="4"/>
        <v>59538.59</v>
      </c>
      <c r="I168" s="2022">
        <f>VLOOKUP(A168,'2012 - TB'!$A$3:$I$733,9,FALSE)</f>
        <v>59538.59</v>
      </c>
      <c r="K168" s="2011">
        <f t="shared" si="5"/>
        <v>0</v>
      </c>
    </row>
    <row r="169" spans="1:73" x14ac:dyDescent="0.2">
      <c r="A169" t="s">
        <v>5043</v>
      </c>
      <c r="B169" t="s">
        <v>6092</v>
      </c>
      <c r="C169" s="2022">
        <v>0</v>
      </c>
      <c r="D169" s="2022">
        <v>0</v>
      </c>
      <c r="E169" s="2022">
        <v>404000</v>
      </c>
      <c r="F169" s="2022">
        <v>-404000</v>
      </c>
      <c r="G169" s="2022">
        <f t="shared" si="4"/>
        <v>0</v>
      </c>
      <c r="I169" s="2022">
        <f>VLOOKUP(A169,'2012 - TB'!$A$3:$I$733,9,FALSE)</f>
        <v>0</v>
      </c>
      <c r="K169" s="2011">
        <f t="shared" si="5"/>
        <v>0</v>
      </c>
    </row>
    <row r="170" spans="1:73" x14ac:dyDescent="0.2">
      <c r="A170" t="s">
        <v>5044</v>
      </c>
      <c r="B170" t="s">
        <v>6093</v>
      </c>
      <c r="C170" s="2022">
        <v>4000000</v>
      </c>
      <c r="D170" s="2022">
        <v>0</v>
      </c>
      <c r="E170" s="2022">
        <v>3284950.91</v>
      </c>
      <c r="F170" s="2022">
        <v>-1564030.95</v>
      </c>
      <c r="G170" s="2022">
        <f t="shared" si="4"/>
        <v>1720919.9600000002</v>
      </c>
      <c r="I170" s="2022">
        <f>VLOOKUP(A170,'2012 - TB'!$A$3:$I$733,9,FALSE)</f>
        <v>1720919.9599999997</v>
      </c>
      <c r="K170" s="2011">
        <f t="shared" si="5"/>
        <v>0</v>
      </c>
    </row>
    <row r="171" spans="1:73" x14ac:dyDescent="0.2">
      <c r="A171" t="s">
        <v>5045</v>
      </c>
      <c r="B171" t="s">
        <v>5046</v>
      </c>
      <c r="C171" s="2022">
        <v>4008.93</v>
      </c>
      <c r="D171" s="2022">
        <v>0</v>
      </c>
      <c r="E171" s="2022">
        <v>0</v>
      </c>
      <c r="F171" s="2022">
        <v>0</v>
      </c>
      <c r="G171" s="2022">
        <f t="shared" si="4"/>
        <v>0</v>
      </c>
      <c r="I171" s="2022">
        <f>VLOOKUP(A171,'2012 - TB'!$A$3:$I$733,9,FALSE)</f>
        <v>0</v>
      </c>
      <c r="K171" s="2011">
        <f t="shared" si="5"/>
        <v>0</v>
      </c>
    </row>
    <row r="172" spans="1:73" s="2215" customFormat="1" x14ac:dyDescent="0.2">
      <c r="A172" s="2215" t="s">
        <v>5047</v>
      </c>
      <c r="B172" s="2215" t="s">
        <v>7870</v>
      </c>
      <c r="C172" s="2230">
        <v>0</v>
      </c>
      <c r="D172" s="2230">
        <v>0</v>
      </c>
      <c r="E172" s="2230">
        <v>0</v>
      </c>
      <c r="F172" s="2230">
        <v>0</v>
      </c>
      <c r="G172" s="2230">
        <f t="shared" si="4"/>
        <v>0</v>
      </c>
      <c r="I172" s="2230">
        <f>VLOOKUP(A172,'2012 - TB'!$A$3:$I$733,9,FALSE)</f>
        <v>1661644.33</v>
      </c>
      <c r="K172" s="2634">
        <f t="shared" si="5"/>
        <v>-1661644.33</v>
      </c>
      <c r="L172" s="2024"/>
      <c r="M172" s="2024"/>
      <c r="N172" s="2024"/>
      <c r="O172" s="2024"/>
      <c r="P172" s="2024"/>
      <c r="Q172" s="2024"/>
      <c r="R172" s="2024"/>
      <c r="S172" s="2024"/>
      <c r="T172" s="2024"/>
      <c r="U172" s="2024"/>
      <c r="V172" s="2024"/>
      <c r="W172" s="2024"/>
      <c r="X172" s="2024"/>
      <c r="Y172" s="2024"/>
      <c r="Z172" s="2024"/>
      <c r="AA172" s="2024"/>
      <c r="AB172" s="2024"/>
      <c r="AC172" s="2024"/>
      <c r="AD172" s="2024"/>
      <c r="AE172" s="2024"/>
      <c r="AF172" s="2024"/>
      <c r="AG172" s="2024"/>
      <c r="AH172" s="2024"/>
      <c r="AI172" s="2024"/>
      <c r="AJ172" s="2024"/>
      <c r="AK172" s="2024"/>
      <c r="AL172" s="2024"/>
      <c r="AM172" s="2024"/>
      <c r="AN172" s="2024"/>
      <c r="AO172" s="2024"/>
      <c r="AP172" s="2024"/>
      <c r="AQ172" s="2024"/>
      <c r="AR172" s="2024"/>
      <c r="AS172" s="2024"/>
      <c r="AT172" s="2024"/>
      <c r="AU172" s="2024"/>
      <c r="AV172" s="2024"/>
      <c r="AW172" s="2024"/>
      <c r="AX172" s="2024"/>
      <c r="AY172" s="2024"/>
      <c r="AZ172" s="2024"/>
      <c r="BA172" s="2024"/>
      <c r="BB172" s="2024"/>
      <c r="BC172" s="2024"/>
      <c r="BD172" s="2024"/>
      <c r="BE172" s="2024"/>
      <c r="BF172" s="2024"/>
      <c r="BG172" s="2024"/>
      <c r="BH172" s="2024"/>
      <c r="BI172" s="2024"/>
      <c r="BJ172" s="2024"/>
      <c r="BK172" s="2024"/>
      <c r="BL172" s="2024"/>
      <c r="BM172" s="2024"/>
      <c r="BN172" s="2024"/>
      <c r="BO172" s="2024"/>
      <c r="BP172" s="2024"/>
      <c r="BQ172" s="2024"/>
      <c r="BR172" s="2024"/>
      <c r="BS172" s="2024"/>
      <c r="BT172" s="2024"/>
      <c r="BU172" s="2024"/>
    </row>
    <row r="173" spans="1:73" x14ac:dyDescent="0.2">
      <c r="A173" t="s">
        <v>5049</v>
      </c>
      <c r="B173" t="s">
        <v>4893</v>
      </c>
      <c r="C173" s="2022">
        <v>2535.02</v>
      </c>
      <c r="D173" s="2022">
        <v>0</v>
      </c>
      <c r="E173" s="2022">
        <v>2460.62</v>
      </c>
      <c r="F173" s="2022">
        <v>0</v>
      </c>
      <c r="G173" s="2022">
        <f t="shared" si="4"/>
        <v>2460.62</v>
      </c>
      <c r="I173" s="2022">
        <f>VLOOKUP(A173,'2012 - TB'!$A$3:$I$733,9,FALSE)</f>
        <v>2460.62</v>
      </c>
      <c r="K173" s="2011">
        <f t="shared" si="5"/>
        <v>0</v>
      </c>
    </row>
    <row r="174" spans="1:73" x14ac:dyDescent="0.2">
      <c r="A174" t="s">
        <v>5050</v>
      </c>
      <c r="B174" t="s">
        <v>4893</v>
      </c>
      <c r="C174" s="2022">
        <v>0</v>
      </c>
      <c r="D174" s="2022">
        <v>0</v>
      </c>
      <c r="E174" s="2022">
        <v>0</v>
      </c>
      <c r="F174" s="2022">
        <v>0</v>
      </c>
      <c r="G174" s="2022">
        <f t="shared" si="4"/>
        <v>0</v>
      </c>
      <c r="K174" s="2011">
        <f t="shared" si="5"/>
        <v>0</v>
      </c>
    </row>
    <row r="175" spans="1:73" x14ac:dyDescent="0.2">
      <c r="A175" t="s">
        <v>5051</v>
      </c>
      <c r="B175" t="s">
        <v>7871</v>
      </c>
      <c r="C175" s="2022">
        <v>0</v>
      </c>
      <c r="D175" s="2022">
        <v>0</v>
      </c>
      <c r="E175" s="2022">
        <v>0</v>
      </c>
      <c r="F175" s="2022">
        <v>0</v>
      </c>
      <c r="G175" s="2022">
        <f t="shared" si="4"/>
        <v>0</v>
      </c>
      <c r="K175" s="2011">
        <f t="shared" si="5"/>
        <v>0</v>
      </c>
    </row>
    <row r="176" spans="1:73" x14ac:dyDescent="0.2">
      <c r="A176" t="s">
        <v>5052</v>
      </c>
      <c r="B176" t="s">
        <v>6094</v>
      </c>
      <c r="C176" s="2022">
        <v>14173.85</v>
      </c>
      <c r="D176" s="2022">
        <v>0</v>
      </c>
      <c r="E176" s="2022">
        <v>0</v>
      </c>
      <c r="F176" s="2022">
        <v>0</v>
      </c>
      <c r="G176" s="2022">
        <f t="shared" si="4"/>
        <v>0</v>
      </c>
      <c r="I176" s="2022">
        <f>VLOOKUP(A176,'2012 - TB'!$A$3:$I$733,9,FALSE)</f>
        <v>0</v>
      </c>
      <c r="K176" s="2011">
        <f t="shared" si="5"/>
        <v>0</v>
      </c>
    </row>
    <row r="177" spans="1:11" x14ac:dyDescent="0.2">
      <c r="A177" t="s">
        <v>5053</v>
      </c>
      <c r="B177" t="s">
        <v>7872</v>
      </c>
      <c r="C177" s="2022">
        <v>0</v>
      </c>
      <c r="D177" s="2022">
        <v>0</v>
      </c>
      <c r="E177" s="2022">
        <v>0</v>
      </c>
      <c r="F177" s="2022">
        <v>0</v>
      </c>
      <c r="G177" s="2022">
        <f t="shared" si="4"/>
        <v>0</v>
      </c>
      <c r="K177" s="2011">
        <f t="shared" si="5"/>
        <v>0</v>
      </c>
    </row>
    <row r="178" spans="1:11" x14ac:dyDescent="0.2">
      <c r="A178" t="s">
        <v>5055</v>
      </c>
      <c r="B178" t="s">
        <v>6095</v>
      </c>
      <c r="C178" s="2022">
        <v>86834.26</v>
      </c>
      <c r="D178" s="2022">
        <v>0</v>
      </c>
      <c r="E178" s="2022">
        <v>65087.72</v>
      </c>
      <c r="F178" s="2022">
        <v>0</v>
      </c>
      <c r="G178" s="2022">
        <f t="shared" si="4"/>
        <v>65087.72</v>
      </c>
      <c r="I178" s="2022">
        <f>VLOOKUP(A178,'2012 - TB'!$A$3:$I$733,9,FALSE)</f>
        <v>65087.72</v>
      </c>
      <c r="K178" s="2011">
        <f t="shared" si="5"/>
        <v>0</v>
      </c>
    </row>
    <row r="179" spans="1:11" x14ac:dyDescent="0.2">
      <c r="A179" t="s">
        <v>5056</v>
      </c>
      <c r="B179" t="s">
        <v>7873</v>
      </c>
      <c r="C179" s="2022">
        <v>0</v>
      </c>
      <c r="D179" s="2022">
        <v>0</v>
      </c>
      <c r="E179" s="2022">
        <v>0</v>
      </c>
      <c r="F179" s="2022">
        <v>0</v>
      </c>
      <c r="G179" s="2022">
        <f t="shared" si="4"/>
        <v>0</v>
      </c>
      <c r="K179" s="2011">
        <f t="shared" si="5"/>
        <v>0</v>
      </c>
    </row>
    <row r="180" spans="1:11" x14ac:dyDescent="0.2">
      <c r="A180" t="s">
        <v>5057</v>
      </c>
      <c r="B180" t="s">
        <v>4899</v>
      </c>
      <c r="C180" s="2022">
        <v>37060.6</v>
      </c>
      <c r="D180" s="2022">
        <v>0</v>
      </c>
      <c r="E180" s="2022">
        <v>0</v>
      </c>
      <c r="F180" s="2022">
        <v>0</v>
      </c>
      <c r="G180" s="2022">
        <f t="shared" si="4"/>
        <v>0</v>
      </c>
      <c r="I180" s="2022">
        <f>VLOOKUP(A180,'2012 - TB'!$A$3:$I$733,9,FALSE)</f>
        <v>0</v>
      </c>
      <c r="K180" s="2011">
        <f t="shared" si="5"/>
        <v>0</v>
      </c>
    </row>
    <row r="181" spans="1:11" x14ac:dyDescent="0.2">
      <c r="A181" t="s">
        <v>5058</v>
      </c>
      <c r="B181" t="s">
        <v>4899</v>
      </c>
      <c r="C181" s="2022">
        <v>29893.57</v>
      </c>
      <c r="D181" s="2022">
        <v>0</v>
      </c>
      <c r="E181" s="2022">
        <v>9955.9</v>
      </c>
      <c r="F181" s="2022">
        <v>0</v>
      </c>
      <c r="G181" s="2022">
        <f t="shared" si="4"/>
        <v>9955.9</v>
      </c>
      <c r="I181" s="2022">
        <f>VLOOKUP(A181,'2012 - TB'!$A$3:$I$733,9,FALSE)</f>
        <v>9955.9</v>
      </c>
      <c r="K181" s="2011">
        <f t="shared" si="5"/>
        <v>0</v>
      </c>
    </row>
    <row r="182" spans="1:11" x14ac:dyDescent="0.2">
      <c r="A182" t="s">
        <v>5059</v>
      </c>
      <c r="B182" t="s">
        <v>4899</v>
      </c>
      <c r="C182" s="2022">
        <v>0</v>
      </c>
      <c r="D182" s="2022">
        <v>0</v>
      </c>
      <c r="E182" s="2022">
        <v>0</v>
      </c>
      <c r="F182" s="2022">
        <v>0</v>
      </c>
      <c r="G182" s="2022">
        <f t="shared" si="4"/>
        <v>0</v>
      </c>
      <c r="K182" s="2011">
        <f t="shared" si="5"/>
        <v>0</v>
      </c>
    </row>
    <row r="183" spans="1:11" x14ac:dyDescent="0.2">
      <c r="A183" t="s">
        <v>5060</v>
      </c>
      <c r="B183" t="s">
        <v>7874</v>
      </c>
      <c r="C183" s="2022">
        <v>0</v>
      </c>
      <c r="D183" s="2022">
        <v>0</v>
      </c>
      <c r="E183" s="2022">
        <v>0</v>
      </c>
      <c r="F183" s="2022">
        <v>0</v>
      </c>
      <c r="G183" s="2022">
        <f t="shared" si="4"/>
        <v>0</v>
      </c>
      <c r="K183" s="2011">
        <f t="shared" si="5"/>
        <v>0</v>
      </c>
    </row>
    <row r="184" spans="1:11" x14ac:dyDescent="0.2">
      <c r="A184" t="s">
        <v>5061</v>
      </c>
      <c r="B184" t="s">
        <v>5062</v>
      </c>
      <c r="C184" s="2022">
        <v>-5968220.9400000004</v>
      </c>
      <c r="D184" s="2022">
        <v>0</v>
      </c>
      <c r="E184" s="2022">
        <v>753.05</v>
      </c>
      <c r="F184" s="2022">
        <v>-2979713.85</v>
      </c>
      <c r="G184" s="2022">
        <f t="shared" si="4"/>
        <v>-2978960.8000000003</v>
      </c>
      <c r="I184" s="2022">
        <f>VLOOKUP(A184,'2012 - TB'!$A$3:$I$733,9,FALSE)</f>
        <v>-2978960.8000000003</v>
      </c>
      <c r="K184" s="2011">
        <f t="shared" si="5"/>
        <v>0</v>
      </c>
    </row>
    <row r="185" spans="1:11" x14ac:dyDescent="0.2">
      <c r="A185" t="s">
        <v>5063</v>
      </c>
      <c r="B185" t="s">
        <v>5064</v>
      </c>
      <c r="C185" s="2022">
        <v>-6035446.3600000003</v>
      </c>
      <c r="D185" s="2022">
        <v>0</v>
      </c>
      <c r="E185" s="2022">
        <v>0</v>
      </c>
      <c r="F185" s="2022">
        <v>-411281.35</v>
      </c>
      <c r="G185" s="2022">
        <f t="shared" si="4"/>
        <v>-411281.35</v>
      </c>
      <c r="I185" s="2022">
        <f>VLOOKUP(A185,'2012 - TB'!$A$3:$I$733,9,FALSE)</f>
        <v>-411281.35</v>
      </c>
      <c r="K185" s="2011">
        <f t="shared" si="5"/>
        <v>0</v>
      </c>
    </row>
    <row r="186" spans="1:11" x14ac:dyDescent="0.2">
      <c r="A186" t="s">
        <v>5065</v>
      </c>
      <c r="B186" t="s">
        <v>5066</v>
      </c>
      <c r="C186" s="2022">
        <v>6646089.25</v>
      </c>
      <c r="D186" s="2022">
        <v>0</v>
      </c>
      <c r="E186" s="2022">
        <v>1818375.95</v>
      </c>
      <c r="F186" s="2022">
        <v>0</v>
      </c>
      <c r="G186" s="2022">
        <f t="shared" si="4"/>
        <v>1818375.95</v>
      </c>
      <c r="I186" s="2022">
        <f>VLOOKUP(A186,'2012 - TB'!$A$3:$I$733,9,FALSE)</f>
        <v>1818375.95</v>
      </c>
      <c r="K186" s="2011">
        <f t="shared" si="5"/>
        <v>0</v>
      </c>
    </row>
    <row r="187" spans="1:11" x14ac:dyDescent="0.2">
      <c r="A187" t="s">
        <v>5067</v>
      </c>
      <c r="B187" t="s">
        <v>5068</v>
      </c>
      <c r="C187" s="2022">
        <v>-620319.69999999995</v>
      </c>
      <c r="D187" s="2022">
        <v>0</v>
      </c>
      <c r="E187" s="2022">
        <v>0</v>
      </c>
      <c r="F187" s="2022">
        <v>-74352.350000000006</v>
      </c>
      <c r="G187" s="2022">
        <f t="shared" si="4"/>
        <v>-74352.350000000006</v>
      </c>
      <c r="I187" s="2022">
        <f>VLOOKUP(A187,'2012 - TB'!$A$3:$I$733,9,FALSE)</f>
        <v>-74352.350000000006</v>
      </c>
      <c r="K187" s="2011">
        <f t="shared" si="5"/>
        <v>0</v>
      </c>
    </row>
    <row r="188" spans="1:11" x14ac:dyDescent="0.2">
      <c r="A188" t="s">
        <v>5069</v>
      </c>
      <c r="B188" t="s">
        <v>5070</v>
      </c>
      <c r="C188" s="2022">
        <v>-868246.17</v>
      </c>
      <c r="D188" s="2022">
        <v>0</v>
      </c>
      <c r="E188" s="2022">
        <v>38011.949999999997</v>
      </c>
      <c r="F188" s="2022">
        <v>-3804632.49</v>
      </c>
      <c r="G188" s="2022">
        <f t="shared" si="4"/>
        <v>-3766620.54</v>
      </c>
      <c r="I188" s="2022">
        <f>VLOOKUP(A188,'2012 - TB'!$A$3:$I$733,9,FALSE)</f>
        <v>-3766620.54</v>
      </c>
      <c r="K188" s="2011">
        <f t="shared" si="5"/>
        <v>0</v>
      </c>
    </row>
    <row r="189" spans="1:11" x14ac:dyDescent="0.2">
      <c r="A189" t="s">
        <v>5071</v>
      </c>
      <c r="B189" t="s">
        <v>7875</v>
      </c>
      <c r="C189" s="2022">
        <v>0</v>
      </c>
      <c r="D189" s="2022">
        <v>0</v>
      </c>
      <c r="E189" s="2022">
        <v>0</v>
      </c>
      <c r="F189" s="2022">
        <v>0</v>
      </c>
      <c r="G189" s="2022">
        <f t="shared" si="4"/>
        <v>0</v>
      </c>
      <c r="K189" s="2011">
        <f t="shared" si="5"/>
        <v>0</v>
      </c>
    </row>
    <row r="190" spans="1:11" x14ac:dyDescent="0.2">
      <c r="A190" t="s">
        <v>5072</v>
      </c>
      <c r="B190" t="s">
        <v>7876</v>
      </c>
      <c r="C190" s="2022">
        <v>0</v>
      </c>
      <c r="D190" s="2022">
        <v>0</v>
      </c>
      <c r="E190" s="2022">
        <v>0</v>
      </c>
      <c r="F190" s="2022">
        <v>0</v>
      </c>
      <c r="G190" s="2022">
        <f t="shared" si="4"/>
        <v>0</v>
      </c>
      <c r="K190" s="2011">
        <f t="shared" si="5"/>
        <v>0</v>
      </c>
    </row>
    <row r="191" spans="1:11" x14ac:dyDescent="0.2">
      <c r="A191" t="s">
        <v>5074</v>
      </c>
      <c r="B191" t="s">
        <v>7877</v>
      </c>
      <c r="C191" s="2022">
        <v>0</v>
      </c>
      <c r="D191" s="2022">
        <v>0</v>
      </c>
      <c r="E191" s="2022">
        <v>0</v>
      </c>
      <c r="F191" s="2022">
        <v>0</v>
      </c>
      <c r="G191" s="2022">
        <f t="shared" si="4"/>
        <v>0</v>
      </c>
      <c r="K191" s="2011">
        <f t="shared" si="5"/>
        <v>0</v>
      </c>
    </row>
    <row r="192" spans="1:11" x14ac:dyDescent="0.2">
      <c r="A192" t="s">
        <v>5075</v>
      </c>
      <c r="B192" t="s">
        <v>5076</v>
      </c>
      <c r="C192" s="2022">
        <v>-15000</v>
      </c>
      <c r="D192" s="2022">
        <v>0</v>
      </c>
      <c r="E192" s="2022">
        <v>0.01</v>
      </c>
      <c r="F192" s="2022">
        <v>-952.83</v>
      </c>
      <c r="G192" s="2022">
        <f t="shared" si="4"/>
        <v>-952.82</v>
      </c>
      <c r="I192" s="2022">
        <f>VLOOKUP(A192,'2012 - TB'!$A$3:$I$733,9,FALSE)</f>
        <v>-75633.490000000005</v>
      </c>
      <c r="K192" s="2011">
        <f t="shared" si="5"/>
        <v>74680.67</v>
      </c>
    </row>
    <row r="193" spans="1:11" x14ac:dyDescent="0.2">
      <c r="A193" t="s">
        <v>5077</v>
      </c>
      <c r="B193" t="s">
        <v>5078</v>
      </c>
      <c r="C193" s="2022">
        <v>-242201.05</v>
      </c>
      <c r="D193" s="2022">
        <v>0</v>
      </c>
      <c r="E193" s="2022">
        <v>112449.95</v>
      </c>
      <c r="F193" s="2022">
        <v>-385659.2</v>
      </c>
      <c r="G193" s="2022">
        <f t="shared" si="4"/>
        <v>-273209.25</v>
      </c>
      <c r="I193" s="2022">
        <f>VLOOKUP(A193,'2012 - TB'!$A$3:$I$733,9,FALSE)</f>
        <v>-273209.25</v>
      </c>
      <c r="K193" s="2011">
        <f t="shared" si="5"/>
        <v>0</v>
      </c>
    </row>
    <row r="194" spans="1:11" x14ac:dyDescent="0.2">
      <c r="A194" t="s">
        <v>5079</v>
      </c>
      <c r="B194" t="s">
        <v>5080</v>
      </c>
      <c r="C194" s="2022">
        <v>-7625.82</v>
      </c>
      <c r="D194" s="2022">
        <v>0</v>
      </c>
      <c r="E194" s="2022">
        <v>0</v>
      </c>
      <c r="F194" s="2022">
        <v>0</v>
      </c>
      <c r="G194" s="2022">
        <f t="shared" ref="G194:G257" si="6">SUM(D194:F194)</f>
        <v>0</v>
      </c>
      <c r="I194" s="2022">
        <f>VLOOKUP(A194,'2012 - TB'!$A$3:$I$733,9,FALSE)</f>
        <v>0</v>
      </c>
      <c r="K194" s="2011">
        <f t="shared" ref="K194:K257" si="7">G194-I194</f>
        <v>0</v>
      </c>
    </row>
    <row r="195" spans="1:11" x14ac:dyDescent="0.2">
      <c r="A195" t="s">
        <v>5081</v>
      </c>
      <c r="B195" t="s">
        <v>5082</v>
      </c>
      <c r="C195" s="2022">
        <v>0</v>
      </c>
      <c r="D195" s="2022">
        <v>0</v>
      </c>
      <c r="E195" s="2022">
        <v>0</v>
      </c>
      <c r="F195" s="2022">
        <v>-2961.77</v>
      </c>
      <c r="G195" s="2022">
        <f t="shared" si="6"/>
        <v>-2961.77</v>
      </c>
      <c r="I195" s="2022">
        <f>VLOOKUP(A195,'2012 - TB'!$A$3:$I$733,9,FALSE)</f>
        <v>-2961.77</v>
      </c>
      <c r="K195" s="2011">
        <f t="shared" si="7"/>
        <v>0</v>
      </c>
    </row>
    <row r="196" spans="1:11" x14ac:dyDescent="0.2">
      <c r="A196" t="s">
        <v>5083</v>
      </c>
      <c r="B196" t="s">
        <v>6098</v>
      </c>
      <c r="C196" s="2022">
        <v>-997346.51</v>
      </c>
      <c r="D196" s="2022">
        <v>0</v>
      </c>
      <c r="E196" s="2022">
        <v>0</v>
      </c>
      <c r="F196" s="2022">
        <v>-33396000</v>
      </c>
      <c r="G196" s="2022">
        <f t="shared" si="6"/>
        <v>-33396000</v>
      </c>
      <c r="I196" s="2022">
        <f>VLOOKUP(A196,'2012 - TB'!$A$3:$I$733,9,FALSE)</f>
        <v>-33396000</v>
      </c>
      <c r="K196" s="2011">
        <f t="shared" si="7"/>
        <v>0</v>
      </c>
    </row>
    <row r="197" spans="1:11" x14ac:dyDescent="0.2">
      <c r="A197" t="s">
        <v>5084</v>
      </c>
      <c r="B197" t="s">
        <v>6099</v>
      </c>
      <c r="C197" s="2022">
        <v>-3126185.31</v>
      </c>
      <c r="D197" s="2022">
        <v>0</v>
      </c>
      <c r="E197" s="2022">
        <v>706992.27</v>
      </c>
      <c r="F197" s="2022">
        <v>-12942992.27</v>
      </c>
      <c r="G197" s="2022">
        <f t="shared" si="6"/>
        <v>-12236000</v>
      </c>
      <c r="I197" s="2022">
        <f>VLOOKUP(A197,'2012 - TB'!$A$3:$I$733,9,FALSE)</f>
        <v>-12236000</v>
      </c>
      <c r="K197" s="2011">
        <f t="shared" si="7"/>
        <v>0</v>
      </c>
    </row>
    <row r="198" spans="1:11" x14ac:dyDescent="0.2">
      <c r="A198" t="s">
        <v>5085</v>
      </c>
      <c r="B198" t="s">
        <v>7878</v>
      </c>
      <c r="C198" s="2022">
        <v>-1500000</v>
      </c>
      <c r="D198" s="2022">
        <v>0</v>
      </c>
      <c r="E198" s="2022">
        <v>0</v>
      </c>
      <c r="F198" s="2022">
        <v>-1500000</v>
      </c>
      <c r="G198" s="2022">
        <f t="shared" si="6"/>
        <v>-1500000</v>
      </c>
      <c r="I198" s="2022">
        <f>VLOOKUP(A198,'2012 - TB'!$A$3:$I$733,9,FALSE)</f>
        <v>-1500000</v>
      </c>
      <c r="K198" s="2011">
        <f t="shared" si="7"/>
        <v>0</v>
      </c>
    </row>
    <row r="199" spans="1:11" x14ac:dyDescent="0.2">
      <c r="A199" t="s">
        <v>5086</v>
      </c>
      <c r="B199" t="s">
        <v>7711</v>
      </c>
      <c r="C199" s="2022">
        <v>0</v>
      </c>
      <c r="D199" s="2022">
        <v>0</v>
      </c>
      <c r="E199" s="2022">
        <v>0</v>
      </c>
      <c r="F199" s="2022">
        <v>0</v>
      </c>
      <c r="G199" s="2022">
        <f t="shared" si="6"/>
        <v>0</v>
      </c>
      <c r="K199" s="2011">
        <f t="shared" si="7"/>
        <v>0</v>
      </c>
    </row>
    <row r="200" spans="1:11" x14ac:dyDescent="0.2">
      <c r="A200" t="s">
        <v>5087</v>
      </c>
      <c r="B200" t="s">
        <v>5088</v>
      </c>
      <c r="C200" s="2022">
        <v>-15000</v>
      </c>
      <c r="D200" s="2022">
        <v>0</v>
      </c>
      <c r="E200" s="2022">
        <v>1579.26</v>
      </c>
      <c r="F200" s="2022">
        <v>-12523.2</v>
      </c>
      <c r="G200" s="2022">
        <f t="shared" si="6"/>
        <v>-10943.94</v>
      </c>
      <c r="I200" s="2022">
        <f>VLOOKUP(A200,'2012 - TB'!$A$3:$I$733,9,FALSE)</f>
        <v>-10943.94</v>
      </c>
      <c r="K200" s="2011">
        <f t="shared" si="7"/>
        <v>0</v>
      </c>
    </row>
    <row r="201" spans="1:11" x14ac:dyDescent="0.2">
      <c r="A201" t="s">
        <v>5089</v>
      </c>
      <c r="B201" t="s">
        <v>7879</v>
      </c>
      <c r="C201" s="2022">
        <v>0</v>
      </c>
      <c r="D201" s="2022">
        <v>0</v>
      </c>
      <c r="E201" s="2022">
        <v>0</v>
      </c>
      <c r="F201" s="2022">
        <v>0</v>
      </c>
      <c r="G201" s="2022">
        <f t="shared" si="6"/>
        <v>0</v>
      </c>
      <c r="K201" s="2011">
        <f t="shared" si="7"/>
        <v>0</v>
      </c>
    </row>
    <row r="202" spans="1:11" x14ac:dyDescent="0.2">
      <c r="A202" t="s">
        <v>5090</v>
      </c>
      <c r="B202" t="s">
        <v>7880</v>
      </c>
      <c r="C202" s="2022">
        <v>0</v>
      </c>
      <c r="D202" s="2022">
        <v>0</v>
      </c>
      <c r="E202" s="2022">
        <v>0</v>
      </c>
      <c r="F202" s="2022">
        <v>0</v>
      </c>
      <c r="G202" s="2022">
        <f t="shared" si="6"/>
        <v>0</v>
      </c>
      <c r="K202" s="2011">
        <f t="shared" si="7"/>
        <v>0</v>
      </c>
    </row>
    <row r="203" spans="1:11" x14ac:dyDescent="0.2">
      <c r="A203" t="s">
        <v>5092</v>
      </c>
      <c r="B203" t="s">
        <v>5093</v>
      </c>
      <c r="C203" s="2022">
        <v>-600000</v>
      </c>
      <c r="D203" s="2022">
        <v>0</v>
      </c>
      <c r="E203" s="2022">
        <v>812365.8</v>
      </c>
      <c r="F203" s="2022">
        <v>-4061624.19</v>
      </c>
      <c r="G203" s="2022">
        <f t="shared" si="6"/>
        <v>-3249258.3899999997</v>
      </c>
      <c r="I203" s="2022">
        <f>VLOOKUP(A203,'2012 - TB'!$A$3:$I$733,9,FALSE)</f>
        <v>-295364.11000000034</v>
      </c>
      <c r="K203" s="2011">
        <f t="shared" si="7"/>
        <v>-2953894.2799999993</v>
      </c>
    </row>
    <row r="204" spans="1:11" x14ac:dyDescent="0.2">
      <c r="A204" t="s">
        <v>5094</v>
      </c>
      <c r="B204" t="s">
        <v>7881</v>
      </c>
      <c r="C204" s="2022">
        <v>0</v>
      </c>
      <c r="D204" s="2022">
        <v>0</v>
      </c>
      <c r="E204" s="2022">
        <v>0</v>
      </c>
      <c r="F204" s="2022">
        <v>0</v>
      </c>
      <c r="G204" s="2022">
        <f t="shared" si="6"/>
        <v>0</v>
      </c>
      <c r="K204" s="2011">
        <f t="shared" si="7"/>
        <v>0</v>
      </c>
    </row>
    <row r="205" spans="1:11" x14ac:dyDescent="0.2">
      <c r="A205" t="s">
        <v>5096</v>
      </c>
      <c r="B205" t="s">
        <v>4782</v>
      </c>
      <c r="C205" s="2022">
        <v>0</v>
      </c>
      <c r="D205" s="2022">
        <v>0</v>
      </c>
      <c r="E205" s="2022">
        <v>42401.38</v>
      </c>
      <c r="F205" s="2022">
        <v>0</v>
      </c>
      <c r="G205" s="2022">
        <f t="shared" si="6"/>
        <v>42401.38</v>
      </c>
      <c r="I205" s="2022">
        <f>VLOOKUP(A205,'2012 - TB'!$A$3:$I$733,9,FALSE)</f>
        <v>42401.38</v>
      </c>
      <c r="K205" s="2011">
        <f t="shared" si="7"/>
        <v>0</v>
      </c>
    </row>
    <row r="206" spans="1:11" x14ac:dyDescent="0.2">
      <c r="A206" t="s">
        <v>5097</v>
      </c>
      <c r="B206" t="s">
        <v>7882</v>
      </c>
      <c r="C206" s="2022">
        <v>0</v>
      </c>
      <c r="D206" s="2022">
        <v>0</v>
      </c>
      <c r="E206" s="2022">
        <v>0</v>
      </c>
      <c r="F206" s="2022">
        <v>0</v>
      </c>
      <c r="G206" s="2022">
        <f t="shared" si="6"/>
        <v>0</v>
      </c>
      <c r="K206" s="2011">
        <f t="shared" si="7"/>
        <v>0</v>
      </c>
    </row>
    <row r="207" spans="1:11" x14ac:dyDescent="0.2">
      <c r="A207" t="s">
        <v>5098</v>
      </c>
      <c r="B207" t="s">
        <v>7883</v>
      </c>
      <c r="C207" s="2022">
        <v>0</v>
      </c>
      <c r="D207" s="2022">
        <v>0</v>
      </c>
      <c r="E207" s="2022">
        <v>0</v>
      </c>
      <c r="F207" s="2022">
        <v>0</v>
      </c>
      <c r="G207" s="2022">
        <f t="shared" si="6"/>
        <v>0</v>
      </c>
      <c r="K207" s="2011">
        <f t="shared" si="7"/>
        <v>0</v>
      </c>
    </row>
    <row r="208" spans="1:11" x14ac:dyDescent="0.2">
      <c r="A208" t="s">
        <v>5099</v>
      </c>
      <c r="B208" t="s">
        <v>4808</v>
      </c>
      <c r="C208" s="2022">
        <v>888615.66</v>
      </c>
      <c r="D208" s="2022">
        <v>0</v>
      </c>
      <c r="E208" s="2022">
        <v>914002.88</v>
      </c>
      <c r="F208" s="2022">
        <v>-4473.83</v>
      </c>
      <c r="G208" s="2022">
        <f t="shared" si="6"/>
        <v>909529.05</v>
      </c>
      <c r="I208" s="2022">
        <f>VLOOKUP(A208,'2012 - TB'!$A$3:$I$733,9,FALSE)</f>
        <v>909529.05</v>
      </c>
      <c r="K208" s="2011">
        <f t="shared" si="7"/>
        <v>0</v>
      </c>
    </row>
    <row r="209" spans="1:11" x14ac:dyDescent="0.2">
      <c r="A209" t="s">
        <v>5100</v>
      </c>
      <c r="B209" t="s">
        <v>4812</v>
      </c>
      <c r="C209" s="2022">
        <v>67186.11</v>
      </c>
      <c r="D209" s="2022">
        <v>0</v>
      </c>
      <c r="E209" s="2022">
        <v>48305.19</v>
      </c>
      <c r="F209" s="2022">
        <v>0</v>
      </c>
      <c r="G209" s="2022">
        <f t="shared" si="6"/>
        <v>48305.19</v>
      </c>
      <c r="I209" s="2022">
        <f>VLOOKUP(A209,'2012 - TB'!$A$3:$I$733,9,FALSE)</f>
        <v>48305.19</v>
      </c>
      <c r="K209" s="2011">
        <f t="shared" si="7"/>
        <v>0</v>
      </c>
    </row>
    <row r="210" spans="1:11" x14ac:dyDescent="0.2">
      <c r="A210" t="s">
        <v>5101</v>
      </c>
      <c r="B210" t="s">
        <v>4814</v>
      </c>
      <c r="C210" s="2022">
        <v>1300</v>
      </c>
      <c r="D210" s="2022">
        <v>0</v>
      </c>
      <c r="E210" s="2022">
        <v>1300</v>
      </c>
      <c r="F210" s="2022">
        <v>0</v>
      </c>
      <c r="G210" s="2022">
        <f t="shared" si="6"/>
        <v>1300</v>
      </c>
      <c r="I210" s="2022">
        <f>VLOOKUP(A210,'2012 - TB'!$A$3:$I$733,9,FALSE)</f>
        <v>1300</v>
      </c>
      <c r="K210" s="2011">
        <f t="shared" si="7"/>
        <v>0</v>
      </c>
    </row>
    <row r="211" spans="1:11" x14ac:dyDescent="0.2">
      <c r="A211" t="s">
        <v>5102</v>
      </c>
      <c r="B211" t="s">
        <v>4820</v>
      </c>
      <c r="C211" s="2022">
        <v>0</v>
      </c>
      <c r="D211" s="2022">
        <v>0</v>
      </c>
      <c r="E211" s="2022">
        <v>0</v>
      </c>
      <c r="F211" s="2022">
        <v>0</v>
      </c>
      <c r="G211" s="2022">
        <f t="shared" si="6"/>
        <v>0</v>
      </c>
      <c r="K211" s="2011">
        <f t="shared" si="7"/>
        <v>0</v>
      </c>
    </row>
    <row r="212" spans="1:11" x14ac:dyDescent="0.2">
      <c r="A212" t="s">
        <v>5103</v>
      </c>
      <c r="B212" t="s">
        <v>4822</v>
      </c>
      <c r="C212" s="2022">
        <v>130434.04</v>
      </c>
      <c r="D212" s="2022">
        <v>0</v>
      </c>
      <c r="E212" s="2022">
        <v>130434.04</v>
      </c>
      <c r="F212" s="2022">
        <v>0</v>
      </c>
      <c r="G212" s="2022">
        <f t="shared" si="6"/>
        <v>130434.04</v>
      </c>
      <c r="I212" s="2022">
        <f>VLOOKUP(A212,'2012 - TB'!$A$3:$I$733,9,FALSE)</f>
        <v>130434.04</v>
      </c>
      <c r="K212" s="2011">
        <f t="shared" si="7"/>
        <v>0</v>
      </c>
    </row>
    <row r="213" spans="1:11" x14ac:dyDescent="0.2">
      <c r="A213" t="s">
        <v>5104</v>
      </c>
      <c r="B213" t="s">
        <v>4824</v>
      </c>
      <c r="C213" s="2022">
        <v>290.75</v>
      </c>
      <c r="D213" s="2022">
        <v>0</v>
      </c>
      <c r="E213" s="2022">
        <v>290.75</v>
      </c>
      <c r="F213" s="2022">
        <v>0</v>
      </c>
      <c r="G213" s="2022">
        <f t="shared" si="6"/>
        <v>290.75</v>
      </c>
      <c r="I213" s="2022">
        <f>VLOOKUP(A213,'2012 - TB'!$A$3:$I$733,9,FALSE)</f>
        <v>290.75</v>
      </c>
      <c r="K213" s="2011">
        <f t="shared" si="7"/>
        <v>0</v>
      </c>
    </row>
    <row r="214" spans="1:11" x14ac:dyDescent="0.2">
      <c r="A214" t="s">
        <v>5105</v>
      </c>
      <c r="B214" t="s">
        <v>4826</v>
      </c>
      <c r="C214" s="2022">
        <v>10797.87</v>
      </c>
      <c r="D214" s="2022">
        <v>0</v>
      </c>
      <c r="E214" s="2022">
        <v>10329.280000000001</v>
      </c>
      <c r="F214" s="2022">
        <v>0</v>
      </c>
      <c r="G214" s="2022">
        <f t="shared" si="6"/>
        <v>10329.280000000001</v>
      </c>
      <c r="I214" s="2022">
        <f>VLOOKUP(A214,'2012 - TB'!$A$3:$I$733,9,FALSE)</f>
        <v>10329.280000000001</v>
      </c>
      <c r="K214" s="2011">
        <f t="shared" si="7"/>
        <v>0</v>
      </c>
    </row>
    <row r="215" spans="1:11" x14ac:dyDescent="0.2">
      <c r="A215" t="s">
        <v>5106</v>
      </c>
      <c r="B215" t="s">
        <v>7818</v>
      </c>
      <c r="C215" s="2022">
        <v>0</v>
      </c>
      <c r="D215" s="2022">
        <v>0</v>
      </c>
      <c r="E215" s="2022">
        <v>0</v>
      </c>
      <c r="F215" s="2022">
        <v>0</v>
      </c>
      <c r="G215" s="2022">
        <f t="shared" si="6"/>
        <v>0</v>
      </c>
      <c r="K215" s="2011">
        <f t="shared" si="7"/>
        <v>0</v>
      </c>
    </row>
    <row r="216" spans="1:11" x14ac:dyDescent="0.2">
      <c r="A216" t="s">
        <v>5107</v>
      </c>
      <c r="B216" t="s">
        <v>4829</v>
      </c>
      <c r="C216" s="2022">
        <v>23368.2</v>
      </c>
      <c r="D216" s="2022">
        <v>0</v>
      </c>
      <c r="E216" s="2022">
        <v>31633.200000000001</v>
      </c>
      <c r="F216" s="2022">
        <v>0</v>
      </c>
      <c r="G216" s="2022">
        <f t="shared" si="6"/>
        <v>31633.200000000001</v>
      </c>
      <c r="I216" s="2022">
        <f>VLOOKUP(A216,'2012 - TB'!$A$3:$I$733,9,FALSE)</f>
        <v>31633.200000000001</v>
      </c>
      <c r="K216" s="2011">
        <f t="shared" si="7"/>
        <v>0</v>
      </c>
    </row>
    <row r="217" spans="1:11" x14ac:dyDescent="0.2">
      <c r="A217" t="s">
        <v>5108</v>
      </c>
      <c r="B217" t="s">
        <v>4831</v>
      </c>
      <c r="C217" s="2022">
        <v>166697.04999999999</v>
      </c>
      <c r="D217" s="2022">
        <v>0</v>
      </c>
      <c r="E217" s="2022">
        <v>216697.05</v>
      </c>
      <c r="F217" s="2022">
        <v>0</v>
      </c>
      <c r="G217" s="2022">
        <f t="shared" si="6"/>
        <v>216697.05</v>
      </c>
      <c r="I217" s="2022">
        <f>VLOOKUP(A217,'2012 - TB'!$A$3:$I$733,9,FALSE)</f>
        <v>216697.05</v>
      </c>
      <c r="K217" s="2011">
        <f t="shared" si="7"/>
        <v>0</v>
      </c>
    </row>
    <row r="218" spans="1:11" x14ac:dyDescent="0.2">
      <c r="A218" t="s">
        <v>5109</v>
      </c>
      <c r="B218" t="s">
        <v>4833</v>
      </c>
      <c r="C218" s="2022">
        <v>7395.71</v>
      </c>
      <c r="D218" s="2022">
        <v>0</v>
      </c>
      <c r="E218" s="2022">
        <v>7524.15</v>
      </c>
      <c r="F218" s="2022">
        <v>0</v>
      </c>
      <c r="G218" s="2022">
        <f t="shared" si="6"/>
        <v>7524.15</v>
      </c>
      <c r="I218" s="2022">
        <f>VLOOKUP(A218,'2012 - TB'!$A$3:$I$733,9,FALSE)</f>
        <v>7524.15</v>
      </c>
      <c r="K218" s="2011">
        <f t="shared" si="7"/>
        <v>0</v>
      </c>
    </row>
    <row r="219" spans="1:11" x14ac:dyDescent="0.2">
      <c r="A219" t="s">
        <v>5110</v>
      </c>
      <c r="B219" t="s">
        <v>7884</v>
      </c>
      <c r="C219" s="2022">
        <v>0</v>
      </c>
      <c r="D219" s="2022">
        <v>0</v>
      </c>
      <c r="E219" s="2022">
        <v>0</v>
      </c>
      <c r="F219" s="2022">
        <v>0</v>
      </c>
      <c r="G219" s="2022">
        <f t="shared" si="6"/>
        <v>0</v>
      </c>
      <c r="K219" s="2011">
        <f t="shared" si="7"/>
        <v>0</v>
      </c>
    </row>
    <row r="220" spans="1:11" x14ac:dyDescent="0.2">
      <c r="A220" t="s">
        <v>5112</v>
      </c>
      <c r="B220" t="s">
        <v>7885</v>
      </c>
      <c r="C220" s="2022">
        <v>0</v>
      </c>
      <c r="D220" s="2022">
        <v>0</v>
      </c>
      <c r="E220" s="2022">
        <v>25884.21</v>
      </c>
      <c r="F220" s="2022">
        <v>0</v>
      </c>
      <c r="G220" s="2022">
        <f t="shared" si="6"/>
        <v>25884.21</v>
      </c>
      <c r="I220" s="2022">
        <f>VLOOKUP(A220,'2012 - TB'!$A$3:$I$733,9,FALSE)</f>
        <v>25884.21</v>
      </c>
      <c r="K220" s="2011">
        <f t="shared" si="7"/>
        <v>0</v>
      </c>
    </row>
    <row r="221" spans="1:11" x14ac:dyDescent="0.2">
      <c r="A221" t="s">
        <v>5114</v>
      </c>
      <c r="B221" t="s">
        <v>4853</v>
      </c>
      <c r="C221" s="2022">
        <v>1581.58</v>
      </c>
      <c r="D221" s="2022">
        <v>0</v>
      </c>
      <c r="E221" s="2022">
        <v>3849.21</v>
      </c>
      <c r="F221" s="2022">
        <v>0</v>
      </c>
      <c r="G221" s="2022">
        <f t="shared" si="6"/>
        <v>3849.21</v>
      </c>
      <c r="I221" s="2022">
        <f>VLOOKUP(A221,'2012 - TB'!$A$3:$I$733,9,FALSE)</f>
        <v>3849.21</v>
      </c>
      <c r="K221" s="2011">
        <f t="shared" si="7"/>
        <v>0</v>
      </c>
    </row>
    <row r="222" spans="1:11" x14ac:dyDescent="0.2">
      <c r="A222" t="s">
        <v>5115</v>
      </c>
      <c r="B222" t="s">
        <v>4865</v>
      </c>
      <c r="C222" s="2022">
        <v>56.45</v>
      </c>
      <c r="D222" s="2022">
        <v>0</v>
      </c>
      <c r="E222" s="2022">
        <v>206.98</v>
      </c>
      <c r="F222" s="2022">
        <v>0</v>
      </c>
      <c r="G222" s="2022">
        <f t="shared" si="6"/>
        <v>206.98</v>
      </c>
      <c r="I222" s="2022">
        <f>VLOOKUP(A222,'2012 - TB'!$A$3:$I$733,9,FALSE)</f>
        <v>206.98</v>
      </c>
      <c r="K222" s="2011">
        <f t="shared" si="7"/>
        <v>0</v>
      </c>
    </row>
    <row r="223" spans="1:11" x14ac:dyDescent="0.2">
      <c r="A223" t="s">
        <v>5116</v>
      </c>
      <c r="B223" t="s">
        <v>4873</v>
      </c>
      <c r="C223" s="2022">
        <v>0</v>
      </c>
      <c r="D223" s="2022">
        <v>0</v>
      </c>
      <c r="E223" s="2022">
        <v>0</v>
      </c>
      <c r="F223" s="2022">
        <v>0</v>
      </c>
      <c r="G223" s="2022">
        <f t="shared" si="6"/>
        <v>0</v>
      </c>
      <c r="K223" s="2011">
        <f t="shared" si="7"/>
        <v>0</v>
      </c>
    </row>
    <row r="224" spans="1:11" x14ac:dyDescent="0.2">
      <c r="A224" t="s">
        <v>5117</v>
      </c>
      <c r="B224" t="s">
        <v>7824</v>
      </c>
      <c r="C224" s="2022">
        <v>0</v>
      </c>
      <c r="D224" s="2022">
        <v>0</v>
      </c>
      <c r="E224" s="2022">
        <v>0</v>
      </c>
      <c r="F224" s="2022">
        <v>0</v>
      </c>
      <c r="G224" s="2022">
        <f t="shared" si="6"/>
        <v>0</v>
      </c>
      <c r="K224" s="2011">
        <f t="shared" si="7"/>
        <v>0</v>
      </c>
    </row>
    <row r="225" spans="1:11" x14ac:dyDescent="0.2">
      <c r="A225" t="s">
        <v>5118</v>
      </c>
      <c r="B225" t="s">
        <v>4879</v>
      </c>
      <c r="C225" s="2022">
        <v>100000</v>
      </c>
      <c r="D225" s="2022">
        <v>0</v>
      </c>
      <c r="E225" s="2022">
        <v>208831.37</v>
      </c>
      <c r="F225" s="2022">
        <v>-20230</v>
      </c>
      <c r="G225" s="2022">
        <f t="shared" si="6"/>
        <v>188601.37</v>
      </c>
      <c r="I225" s="2022">
        <f>VLOOKUP(A225,'2012 - TB'!$A$3:$I$733,9,FALSE)</f>
        <v>188601.37</v>
      </c>
      <c r="K225" s="2011">
        <f t="shared" si="7"/>
        <v>0</v>
      </c>
    </row>
    <row r="226" spans="1:11" x14ac:dyDescent="0.2">
      <c r="A226" t="s">
        <v>5119</v>
      </c>
      <c r="B226" t="s">
        <v>4881</v>
      </c>
      <c r="C226" s="2022">
        <v>2061.39</v>
      </c>
      <c r="D226" s="2022">
        <v>0</v>
      </c>
      <c r="E226" s="2022">
        <v>2550.89</v>
      </c>
      <c r="F226" s="2022">
        <v>0</v>
      </c>
      <c r="G226" s="2022">
        <f t="shared" si="6"/>
        <v>2550.89</v>
      </c>
      <c r="I226" s="2022">
        <f>VLOOKUP(A226,'2012 - TB'!$A$3:$I$733,9,FALSE)</f>
        <v>2550.89</v>
      </c>
      <c r="K226" s="2011">
        <f t="shared" si="7"/>
        <v>0</v>
      </c>
    </row>
    <row r="227" spans="1:11" x14ac:dyDescent="0.2">
      <c r="A227" t="s">
        <v>5120</v>
      </c>
      <c r="B227" t="s">
        <v>4891</v>
      </c>
      <c r="C227" s="2022">
        <v>633.19000000000005</v>
      </c>
      <c r="D227" s="2022">
        <v>0</v>
      </c>
      <c r="E227" s="2022">
        <v>633.19000000000005</v>
      </c>
      <c r="F227" s="2022">
        <v>-633.19000000000005</v>
      </c>
      <c r="G227" s="2022">
        <f t="shared" si="6"/>
        <v>0</v>
      </c>
      <c r="I227" s="2022">
        <f>VLOOKUP(A227,'2012 - TB'!$A$3:$I$733,9,FALSE)</f>
        <v>0</v>
      </c>
      <c r="K227" s="2011">
        <f t="shared" si="7"/>
        <v>0</v>
      </c>
    </row>
    <row r="228" spans="1:11" x14ac:dyDescent="0.2">
      <c r="A228" t="s">
        <v>5121</v>
      </c>
      <c r="B228" t="s">
        <v>4893</v>
      </c>
      <c r="C228" s="2022">
        <v>0</v>
      </c>
      <c r="D228" s="2022">
        <v>0</v>
      </c>
      <c r="E228" s="2022">
        <v>0</v>
      </c>
      <c r="F228" s="2022">
        <v>0</v>
      </c>
      <c r="G228" s="2022">
        <f t="shared" si="6"/>
        <v>0</v>
      </c>
      <c r="K228" s="2011">
        <f t="shared" si="7"/>
        <v>0</v>
      </c>
    </row>
    <row r="229" spans="1:11" x14ac:dyDescent="0.2">
      <c r="A229" t="s">
        <v>5122</v>
      </c>
      <c r="B229" t="s">
        <v>4897</v>
      </c>
      <c r="C229" s="2022">
        <v>20215.11</v>
      </c>
      <c r="D229" s="2022">
        <v>0</v>
      </c>
      <c r="E229" s="2022">
        <v>20215.11</v>
      </c>
      <c r="F229" s="2022">
        <v>0</v>
      </c>
      <c r="G229" s="2022">
        <f t="shared" si="6"/>
        <v>20215.11</v>
      </c>
      <c r="I229" s="2022">
        <f>VLOOKUP(A229,'2012 - TB'!$A$3:$I$733,9,FALSE)</f>
        <v>20215.11</v>
      </c>
      <c r="K229" s="2011">
        <f t="shared" si="7"/>
        <v>0</v>
      </c>
    </row>
    <row r="230" spans="1:11" x14ac:dyDescent="0.2">
      <c r="A230" t="s">
        <v>5123</v>
      </c>
      <c r="B230" t="s">
        <v>4899</v>
      </c>
      <c r="C230" s="2022">
        <v>0</v>
      </c>
      <c r="D230" s="2022">
        <v>0</v>
      </c>
      <c r="E230" s="2022">
        <v>0</v>
      </c>
      <c r="F230" s="2022">
        <v>0</v>
      </c>
      <c r="G230" s="2022">
        <f t="shared" si="6"/>
        <v>0</v>
      </c>
      <c r="K230" s="2011">
        <f t="shared" si="7"/>
        <v>0</v>
      </c>
    </row>
    <row r="231" spans="1:11" x14ac:dyDescent="0.2">
      <c r="A231" t="s">
        <v>5124</v>
      </c>
      <c r="B231" t="s">
        <v>4901</v>
      </c>
      <c r="C231" s="2022">
        <v>-1420633.11</v>
      </c>
      <c r="D231" s="2022">
        <v>0</v>
      </c>
      <c r="E231" s="2022">
        <v>0</v>
      </c>
      <c r="F231" s="2022">
        <v>0</v>
      </c>
      <c r="G231" s="2022">
        <f t="shared" si="6"/>
        <v>0</v>
      </c>
      <c r="I231" s="2022">
        <f>VLOOKUP(A231,'2012 - TB'!$A$3:$I$733,9,FALSE)</f>
        <v>0</v>
      </c>
      <c r="K231" s="2011">
        <f t="shared" si="7"/>
        <v>0</v>
      </c>
    </row>
    <row r="232" spans="1:11" x14ac:dyDescent="0.2">
      <c r="A232" t="s">
        <v>5125</v>
      </c>
      <c r="B232" t="s">
        <v>4808</v>
      </c>
      <c r="C232" s="2022">
        <v>335532.62</v>
      </c>
      <c r="D232" s="2022">
        <v>0</v>
      </c>
      <c r="E232" s="2022">
        <v>312424.53999999998</v>
      </c>
      <c r="F232" s="2022">
        <v>-4721.74</v>
      </c>
      <c r="G232" s="2022">
        <f t="shared" si="6"/>
        <v>307702.8</v>
      </c>
      <c r="I232" s="2022">
        <f>VLOOKUP(A232,'2012 - TB'!$A$3:$I$733,9,FALSE)</f>
        <v>307702.8</v>
      </c>
      <c r="K232" s="2011">
        <f t="shared" si="7"/>
        <v>0</v>
      </c>
    </row>
    <row r="233" spans="1:11" x14ac:dyDescent="0.2">
      <c r="A233" t="s">
        <v>5126</v>
      </c>
      <c r="B233" t="s">
        <v>4812</v>
      </c>
      <c r="C233" s="2022">
        <v>24514.6</v>
      </c>
      <c r="D233" s="2022">
        <v>0</v>
      </c>
      <c r="E233" s="2022">
        <v>30808.959999999999</v>
      </c>
      <c r="F233" s="2022">
        <v>0</v>
      </c>
      <c r="G233" s="2022">
        <f t="shared" si="6"/>
        <v>30808.959999999999</v>
      </c>
      <c r="I233" s="2022">
        <f>VLOOKUP(A233,'2012 - TB'!$A$3:$I$733,9,FALSE)</f>
        <v>30808.959999999999</v>
      </c>
      <c r="K233" s="2011">
        <f t="shared" si="7"/>
        <v>0</v>
      </c>
    </row>
    <row r="234" spans="1:11" x14ac:dyDescent="0.2">
      <c r="A234" t="s">
        <v>5127</v>
      </c>
      <c r="B234" t="s">
        <v>4814</v>
      </c>
      <c r="C234" s="2022">
        <v>2200</v>
      </c>
      <c r="D234" s="2022">
        <v>0</v>
      </c>
      <c r="E234" s="2022">
        <v>1000</v>
      </c>
      <c r="F234" s="2022">
        <v>0</v>
      </c>
      <c r="G234" s="2022">
        <f t="shared" si="6"/>
        <v>1000</v>
      </c>
      <c r="I234" s="2022">
        <f>VLOOKUP(A234,'2012 - TB'!$A$3:$I$733,9,FALSE)</f>
        <v>1000</v>
      </c>
      <c r="K234" s="2011">
        <f t="shared" si="7"/>
        <v>0</v>
      </c>
    </row>
    <row r="235" spans="1:11" x14ac:dyDescent="0.2">
      <c r="A235" t="s">
        <v>5128</v>
      </c>
      <c r="B235" t="s">
        <v>4816</v>
      </c>
      <c r="C235" s="2022">
        <v>6264</v>
      </c>
      <c r="D235" s="2022">
        <v>0</v>
      </c>
      <c r="E235" s="2022">
        <v>4576.8999999999996</v>
      </c>
      <c r="F235" s="2022">
        <v>0</v>
      </c>
      <c r="G235" s="2022">
        <f t="shared" si="6"/>
        <v>4576.8999999999996</v>
      </c>
      <c r="I235" s="2022">
        <f>VLOOKUP(A235,'2012 - TB'!$A$3:$I$733,9,FALSE)</f>
        <v>4576.8999999999996</v>
      </c>
      <c r="K235" s="2011">
        <f t="shared" si="7"/>
        <v>0</v>
      </c>
    </row>
    <row r="236" spans="1:11" x14ac:dyDescent="0.2">
      <c r="A236" t="s">
        <v>5129</v>
      </c>
      <c r="B236" t="s">
        <v>4818</v>
      </c>
      <c r="C236" s="2022">
        <v>10218.89</v>
      </c>
      <c r="D236" s="2022">
        <v>0</v>
      </c>
      <c r="E236" s="2022">
        <v>16112.83</v>
      </c>
      <c r="F236" s="2022">
        <v>0</v>
      </c>
      <c r="G236" s="2022">
        <f t="shared" si="6"/>
        <v>16112.83</v>
      </c>
      <c r="I236" s="2022">
        <f>VLOOKUP(A236,'2012 - TB'!$A$3:$I$733,9,FALSE)</f>
        <v>16112.83</v>
      </c>
      <c r="K236" s="2011">
        <f t="shared" si="7"/>
        <v>0</v>
      </c>
    </row>
    <row r="237" spans="1:11" x14ac:dyDescent="0.2">
      <c r="A237" t="s">
        <v>5130</v>
      </c>
      <c r="B237" t="s">
        <v>4820</v>
      </c>
      <c r="C237" s="2022">
        <v>0</v>
      </c>
      <c r="D237" s="2022">
        <v>0</v>
      </c>
      <c r="E237" s="2022">
        <v>0</v>
      </c>
      <c r="F237" s="2022">
        <v>0</v>
      </c>
      <c r="G237" s="2022">
        <f t="shared" si="6"/>
        <v>0</v>
      </c>
      <c r="K237" s="2011">
        <f t="shared" si="7"/>
        <v>0</v>
      </c>
    </row>
    <row r="238" spans="1:11" x14ac:dyDescent="0.2">
      <c r="A238" t="s">
        <v>5131</v>
      </c>
      <c r="B238" t="s">
        <v>4822</v>
      </c>
      <c r="C238" s="2022">
        <v>49162.78</v>
      </c>
      <c r="D238" s="2022">
        <v>0</v>
      </c>
      <c r="E238" s="2022">
        <v>37850.78</v>
      </c>
      <c r="F238" s="2022">
        <v>0</v>
      </c>
      <c r="G238" s="2022">
        <f t="shared" si="6"/>
        <v>37850.78</v>
      </c>
      <c r="I238" s="2022">
        <f>VLOOKUP(A238,'2012 - TB'!$A$3:$I$733,9,FALSE)</f>
        <v>37850.78</v>
      </c>
      <c r="K238" s="2011">
        <f t="shared" si="7"/>
        <v>0</v>
      </c>
    </row>
    <row r="239" spans="1:11" x14ac:dyDescent="0.2">
      <c r="A239" t="s">
        <v>5132</v>
      </c>
      <c r="B239" t="s">
        <v>4824</v>
      </c>
      <c r="C239" s="2022">
        <v>168.1</v>
      </c>
      <c r="D239" s="2022">
        <v>0</v>
      </c>
      <c r="E239" s="2022">
        <v>155.80000000000001</v>
      </c>
      <c r="F239" s="2022">
        <v>0</v>
      </c>
      <c r="G239" s="2022">
        <f t="shared" si="6"/>
        <v>155.80000000000001</v>
      </c>
      <c r="I239" s="2022">
        <f>VLOOKUP(A239,'2012 - TB'!$A$3:$I$733,9,FALSE)</f>
        <v>155.80000000000001</v>
      </c>
      <c r="K239" s="2011">
        <f t="shared" si="7"/>
        <v>0</v>
      </c>
    </row>
    <row r="240" spans="1:11" x14ac:dyDescent="0.2">
      <c r="A240" t="s">
        <v>5133</v>
      </c>
      <c r="B240" t="s">
        <v>4826</v>
      </c>
      <c r="C240" s="2022">
        <v>3998.02</v>
      </c>
      <c r="D240" s="2022">
        <v>0</v>
      </c>
      <c r="E240" s="2022">
        <v>3966.83</v>
      </c>
      <c r="F240" s="2022">
        <v>0</v>
      </c>
      <c r="G240" s="2022">
        <f t="shared" si="6"/>
        <v>3966.83</v>
      </c>
      <c r="I240" s="2022">
        <f>VLOOKUP(A240,'2012 - TB'!$A$3:$I$733,9,FALSE)</f>
        <v>3966.83</v>
      </c>
      <c r="K240" s="2011">
        <f t="shared" si="7"/>
        <v>0</v>
      </c>
    </row>
    <row r="241" spans="1:11" x14ac:dyDescent="0.2">
      <c r="A241" t="s">
        <v>5134</v>
      </c>
      <c r="B241" t="s">
        <v>7818</v>
      </c>
      <c r="C241" s="2022">
        <v>0</v>
      </c>
      <c r="D241" s="2022">
        <v>0</v>
      </c>
      <c r="E241" s="2022">
        <v>0</v>
      </c>
      <c r="F241" s="2022">
        <v>0</v>
      </c>
      <c r="G241" s="2022">
        <f t="shared" si="6"/>
        <v>0</v>
      </c>
      <c r="K241" s="2011">
        <f t="shared" si="7"/>
        <v>0</v>
      </c>
    </row>
    <row r="242" spans="1:11" x14ac:dyDescent="0.2">
      <c r="A242" t="s">
        <v>5135</v>
      </c>
      <c r="B242" t="s">
        <v>4829</v>
      </c>
      <c r="C242" s="2022">
        <v>44594</v>
      </c>
      <c r="D242" s="2022">
        <v>0</v>
      </c>
      <c r="E242" s="2022">
        <v>36080</v>
      </c>
      <c r="F242" s="2022">
        <v>0</v>
      </c>
      <c r="G242" s="2022">
        <f t="shared" si="6"/>
        <v>36080</v>
      </c>
      <c r="I242" s="2022">
        <f>VLOOKUP(A242,'2012 - TB'!$A$3:$I$733,9,FALSE)</f>
        <v>36080</v>
      </c>
      <c r="K242" s="2011">
        <f t="shared" si="7"/>
        <v>0</v>
      </c>
    </row>
    <row r="243" spans="1:11" x14ac:dyDescent="0.2">
      <c r="A243" t="s">
        <v>5136</v>
      </c>
      <c r="B243" t="s">
        <v>4831</v>
      </c>
      <c r="C243" s="2022">
        <v>69018.17</v>
      </c>
      <c r="D243" s="2022">
        <v>0</v>
      </c>
      <c r="E243" s="2022">
        <v>61117.15</v>
      </c>
      <c r="F243" s="2022">
        <v>0</v>
      </c>
      <c r="G243" s="2022">
        <f t="shared" si="6"/>
        <v>61117.15</v>
      </c>
      <c r="I243" s="2022">
        <f>VLOOKUP(A243,'2012 - TB'!$A$3:$I$733,9,FALSE)</f>
        <v>61117.15</v>
      </c>
      <c r="K243" s="2011">
        <f t="shared" si="7"/>
        <v>0</v>
      </c>
    </row>
    <row r="244" spans="1:11" x14ac:dyDescent="0.2">
      <c r="A244" t="s">
        <v>5137</v>
      </c>
      <c r="B244" t="s">
        <v>4833</v>
      </c>
      <c r="C244" s="2022">
        <v>3893.16</v>
      </c>
      <c r="D244" s="2022">
        <v>0</v>
      </c>
      <c r="E244" s="2022">
        <v>3454.77</v>
      </c>
      <c r="F244" s="2022">
        <v>0</v>
      </c>
      <c r="G244" s="2022">
        <f t="shared" si="6"/>
        <v>3454.77</v>
      </c>
      <c r="I244" s="2022">
        <f>VLOOKUP(A244,'2012 - TB'!$A$3:$I$733,9,FALSE)</f>
        <v>3454.77</v>
      </c>
      <c r="K244" s="2011">
        <f t="shared" si="7"/>
        <v>0</v>
      </c>
    </row>
    <row r="245" spans="1:11" x14ac:dyDescent="0.2">
      <c r="A245" t="s">
        <v>5138</v>
      </c>
      <c r="B245" t="s">
        <v>4993</v>
      </c>
      <c r="C245" s="2022">
        <v>315.79000000000002</v>
      </c>
      <c r="D245" s="2022">
        <v>0</v>
      </c>
      <c r="E245" s="2022">
        <v>315.79000000000002</v>
      </c>
      <c r="F245" s="2022">
        <v>0</v>
      </c>
      <c r="G245" s="2022">
        <f t="shared" si="6"/>
        <v>315.79000000000002</v>
      </c>
      <c r="I245" s="2022">
        <f>VLOOKUP(A245,'2012 - TB'!$A$3:$I$733,9,FALSE)</f>
        <v>315.79000000000002</v>
      </c>
      <c r="K245" s="2011">
        <f t="shared" si="7"/>
        <v>0</v>
      </c>
    </row>
    <row r="246" spans="1:11" x14ac:dyDescent="0.2">
      <c r="A246" t="s">
        <v>5139</v>
      </c>
      <c r="B246" t="s">
        <v>4853</v>
      </c>
      <c r="C246" s="2022">
        <v>412.57</v>
      </c>
      <c r="D246" s="2022">
        <v>0</v>
      </c>
      <c r="E246" s="2022">
        <v>0</v>
      </c>
      <c r="F246" s="2022">
        <v>0</v>
      </c>
      <c r="G246" s="2022">
        <f t="shared" si="6"/>
        <v>0</v>
      </c>
      <c r="I246" s="2022">
        <f>VLOOKUP(A246,'2012 - TB'!$A$3:$I$733,9,FALSE)</f>
        <v>0</v>
      </c>
      <c r="K246" s="2011">
        <f t="shared" si="7"/>
        <v>0</v>
      </c>
    </row>
    <row r="247" spans="1:11" x14ac:dyDescent="0.2">
      <c r="A247" t="s">
        <v>5140</v>
      </c>
      <c r="B247" t="s">
        <v>5003</v>
      </c>
      <c r="C247" s="2022">
        <v>0</v>
      </c>
      <c r="D247" s="2022">
        <v>0</v>
      </c>
      <c r="E247" s="2022">
        <v>1666.68</v>
      </c>
      <c r="F247" s="2022">
        <v>0</v>
      </c>
      <c r="G247" s="2022">
        <f t="shared" si="6"/>
        <v>1666.68</v>
      </c>
      <c r="I247" s="2022">
        <f>VLOOKUP(A247,'2012 - TB'!$A$3:$I$733,9,FALSE)</f>
        <v>1666.68</v>
      </c>
      <c r="K247" s="2011">
        <f t="shared" si="7"/>
        <v>0</v>
      </c>
    </row>
    <row r="248" spans="1:11" x14ac:dyDescent="0.2">
      <c r="A248" t="s">
        <v>5141</v>
      </c>
      <c r="B248" t="s">
        <v>7827</v>
      </c>
      <c r="C248" s="2022">
        <v>0</v>
      </c>
      <c r="D248" s="2022">
        <v>0</v>
      </c>
      <c r="E248" s="2022">
        <v>0</v>
      </c>
      <c r="F248" s="2022">
        <v>0</v>
      </c>
      <c r="G248" s="2022">
        <f t="shared" si="6"/>
        <v>0</v>
      </c>
      <c r="K248" s="2011">
        <f t="shared" si="7"/>
        <v>0</v>
      </c>
    </row>
    <row r="249" spans="1:11" x14ac:dyDescent="0.2">
      <c r="A249" t="s">
        <v>5142</v>
      </c>
      <c r="B249" t="s">
        <v>4865</v>
      </c>
      <c r="C249" s="2022">
        <v>205.96</v>
      </c>
      <c r="D249" s="2022">
        <v>0</v>
      </c>
      <c r="E249" s="2022">
        <v>0</v>
      </c>
      <c r="F249" s="2022">
        <v>0</v>
      </c>
      <c r="G249" s="2022">
        <f t="shared" si="6"/>
        <v>0</v>
      </c>
      <c r="I249" s="2022">
        <f>VLOOKUP(A249,'2012 - TB'!$A$3:$I$733,9,FALSE)</f>
        <v>0</v>
      </c>
      <c r="K249" s="2011">
        <f t="shared" si="7"/>
        <v>0</v>
      </c>
    </row>
    <row r="250" spans="1:11" x14ac:dyDescent="0.2">
      <c r="A250" t="s">
        <v>5143</v>
      </c>
      <c r="B250" t="s">
        <v>4867</v>
      </c>
      <c r="C250" s="2022">
        <v>265</v>
      </c>
      <c r="D250" s="2022">
        <v>0</v>
      </c>
      <c r="E250" s="2022">
        <v>66</v>
      </c>
      <c r="F250" s="2022">
        <v>0</v>
      </c>
      <c r="G250" s="2022">
        <f t="shared" si="6"/>
        <v>66</v>
      </c>
      <c r="I250" s="2022">
        <f>VLOOKUP(A250,'2012 - TB'!$A$3:$I$733,9,FALSE)</f>
        <v>66</v>
      </c>
      <c r="K250" s="2011">
        <f t="shared" si="7"/>
        <v>0</v>
      </c>
    </row>
    <row r="251" spans="1:11" x14ac:dyDescent="0.2">
      <c r="A251" t="s">
        <v>5144</v>
      </c>
      <c r="B251" t="s">
        <v>4869</v>
      </c>
      <c r="C251" s="2022">
        <v>23000</v>
      </c>
      <c r="D251" s="2022">
        <v>0</v>
      </c>
      <c r="E251" s="2022">
        <v>16887.93</v>
      </c>
      <c r="F251" s="2022">
        <v>0</v>
      </c>
      <c r="G251" s="2022">
        <f t="shared" si="6"/>
        <v>16887.93</v>
      </c>
      <c r="I251" s="2022">
        <f>VLOOKUP(A251,'2012 - TB'!$A$3:$I$733,9,FALSE)</f>
        <v>16887.93</v>
      </c>
      <c r="K251" s="2011">
        <f t="shared" si="7"/>
        <v>0</v>
      </c>
    </row>
    <row r="252" spans="1:11" x14ac:dyDescent="0.2">
      <c r="A252" t="s">
        <v>5145</v>
      </c>
      <c r="B252" t="s">
        <v>4873</v>
      </c>
      <c r="C252" s="2022">
        <v>0</v>
      </c>
      <c r="D252" s="2022">
        <v>0</v>
      </c>
      <c r="E252" s="2022">
        <v>9990</v>
      </c>
      <c r="F252" s="2022">
        <v>-9990</v>
      </c>
      <c r="G252" s="2022">
        <f t="shared" si="6"/>
        <v>0</v>
      </c>
      <c r="I252" s="2022">
        <f>VLOOKUP(A252,'2012 - TB'!$A$3:$I$733,9,FALSE)</f>
        <v>0</v>
      </c>
      <c r="K252" s="2011">
        <f t="shared" si="7"/>
        <v>0</v>
      </c>
    </row>
    <row r="253" spans="1:11" x14ac:dyDescent="0.2">
      <c r="A253" t="s">
        <v>5146</v>
      </c>
      <c r="B253" t="s">
        <v>4879</v>
      </c>
      <c r="C253" s="2022">
        <v>13720.89</v>
      </c>
      <c r="D253" s="2022">
        <v>0</v>
      </c>
      <c r="E253" s="2022">
        <v>9337.73</v>
      </c>
      <c r="F253" s="2022">
        <v>0</v>
      </c>
      <c r="G253" s="2022">
        <f t="shared" si="6"/>
        <v>9337.73</v>
      </c>
      <c r="I253" s="2022">
        <f>VLOOKUP(A253,'2012 - TB'!$A$3:$I$733,9,FALSE)</f>
        <v>9337.73</v>
      </c>
      <c r="K253" s="2011">
        <f t="shared" si="7"/>
        <v>0</v>
      </c>
    </row>
    <row r="254" spans="1:11" x14ac:dyDescent="0.2">
      <c r="A254" t="s">
        <v>5147</v>
      </c>
      <c r="B254" t="s">
        <v>5033</v>
      </c>
      <c r="C254" s="2022">
        <v>200000</v>
      </c>
      <c r="D254" s="2022">
        <v>0</v>
      </c>
      <c r="E254" s="2022">
        <v>156972.99</v>
      </c>
      <c r="F254" s="2022">
        <v>0</v>
      </c>
      <c r="G254" s="2022">
        <f t="shared" si="6"/>
        <v>156972.99</v>
      </c>
      <c r="I254" s="2022">
        <f>VLOOKUP(A254,'2012 - TB'!$A$3:$I$733,9,FALSE)</f>
        <v>156972.99</v>
      </c>
      <c r="K254" s="2011">
        <f t="shared" si="7"/>
        <v>0</v>
      </c>
    </row>
    <row r="255" spans="1:11" x14ac:dyDescent="0.2">
      <c r="A255" t="s">
        <v>5148</v>
      </c>
      <c r="B255" t="s">
        <v>4881</v>
      </c>
      <c r="C255" s="2022">
        <v>692</v>
      </c>
      <c r="D255" s="2022">
        <v>0</v>
      </c>
      <c r="E255" s="2022">
        <v>23600.38</v>
      </c>
      <c r="F255" s="2022">
        <v>0</v>
      </c>
      <c r="G255" s="2022">
        <f t="shared" si="6"/>
        <v>23600.38</v>
      </c>
      <c r="I255" s="2022">
        <f>VLOOKUP(A255,'2012 - TB'!$A$3:$I$733,9,FALSE)</f>
        <v>23600.38</v>
      </c>
      <c r="K255" s="2011">
        <f t="shared" si="7"/>
        <v>0</v>
      </c>
    </row>
    <row r="256" spans="1:11" x14ac:dyDescent="0.2">
      <c r="A256" t="s">
        <v>5149</v>
      </c>
      <c r="B256" t="s">
        <v>4889</v>
      </c>
      <c r="C256" s="2022">
        <v>0</v>
      </c>
      <c r="D256" s="2022">
        <v>0</v>
      </c>
      <c r="E256" s="2022">
        <v>0</v>
      </c>
      <c r="F256" s="2022">
        <v>0</v>
      </c>
      <c r="G256" s="2022">
        <f t="shared" si="6"/>
        <v>0</v>
      </c>
      <c r="K256" s="2011">
        <f t="shared" si="7"/>
        <v>0</v>
      </c>
    </row>
    <row r="257" spans="1:11" x14ac:dyDescent="0.2">
      <c r="A257" t="s">
        <v>5150</v>
      </c>
      <c r="B257" t="s">
        <v>4891</v>
      </c>
      <c r="C257" s="2022">
        <v>412.57</v>
      </c>
      <c r="D257" s="2022">
        <v>0</v>
      </c>
      <c r="E257" s="2022">
        <v>171.6</v>
      </c>
      <c r="F257" s="2022">
        <v>-171.6</v>
      </c>
      <c r="G257" s="2022">
        <f t="shared" si="6"/>
        <v>0</v>
      </c>
      <c r="I257" s="2022">
        <f>VLOOKUP(A257,'2012 - TB'!$A$3:$I$733,9,FALSE)</f>
        <v>0</v>
      </c>
      <c r="K257" s="2011">
        <f t="shared" si="7"/>
        <v>0</v>
      </c>
    </row>
    <row r="258" spans="1:11" x14ac:dyDescent="0.2">
      <c r="A258" t="s">
        <v>5151</v>
      </c>
      <c r="B258" t="s">
        <v>4893</v>
      </c>
      <c r="C258" s="2022">
        <v>20000</v>
      </c>
      <c r="D258" s="2022">
        <v>0</v>
      </c>
      <c r="E258" s="2022">
        <v>13632.28</v>
      </c>
      <c r="F258" s="2022">
        <v>0</v>
      </c>
      <c r="G258" s="2022">
        <f t="shared" ref="G258:G321" si="8">SUM(D258:F258)</f>
        <v>13632.28</v>
      </c>
      <c r="I258" s="2022">
        <f>VLOOKUP(A258,'2012 - TB'!$A$3:$I$733,9,FALSE)</f>
        <v>13632.28</v>
      </c>
      <c r="K258" s="2011">
        <f t="shared" ref="K258:K321" si="9">G258-I258</f>
        <v>0</v>
      </c>
    </row>
    <row r="259" spans="1:11" x14ac:dyDescent="0.2">
      <c r="A259" t="s">
        <v>5152</v>
      </c>
      <c r="B259" t="s">
        <v>4895</v>
      </c>
      <c r="C259" s="2022">
        <v>22801.9</v>
      </c>
      <c r="D259" s="2022">
        <v>0</v>
      </c>
      <c r="E259" s="2022">
        <v>7712.4</v>
      </c>
      <c r="F259" s="2022">
        <v>-90</v>
      </c>
      <c r="G259" s="2022">
        <f t="shared" si="8"/>
        <v>7622.4</v>
      </c>
      <c r="I259" s="2022">
        <f>VLOOKUP(A259,'2012 - TB'!$A$3:$I$733,9,FALSE)</f>
        <v>7622.4</v>
      </c>
      <c r="K259" s="2011">
        <f t="shared" si="9"/>
        <v>0</v>
      </c>
    </row>
    <row r="260" spans="1:11" x14ac:dyDescent="0.2">
      <c r="A260" t="s">
        <v>5153</v>
      </c>
      <c r="B260" t="s">
        <v>4897</v>
      </c>
      <c r="C260" s="2022">
        <v>9095.24</v>
      </c>
      <c r="D260" s="2022">
        <v>0</v>
      </c>
      <c r="E260" s="2022">
        <v>38515.71</v>
      </c>
      <c r="F260" s="2022">
        <v>0</v>
      </c>
      <c r="G260" s="2022">
        <f t="shared" si="8"/>
        <v>38515.71</v>
      </c>
      <c r="I260" s="2022">
        <f>VLOOKUP(A260,'2012 - TB'!$A$3:$I$733,9,FALSE)</f>
        <v>38515.71</v>
      </c>
      <c r="K260" s="2011">
        <f t="shared" si="9"/>
        <v>0</v>
      </c>
    </row>
    <row r="261" spans="1:11" x14ac:dyDescent="0.2">
      <c r="A261" t="s">
        <v>5154</v>
      </c>
      <c r="B261" t="s">
        <v>4899</v>
      </c>
      <c r="C261" s="2022">
        <v>0</v>
      </c>
      <c r="D261" s="2022">
        <v>0</v>
      </c>
      <c r="E261" s="2022">
        <v>10681.96</v>
      </c>
      <c r="F261" s="2022">
        <v>0</v>
      </c>
      <c r="G261" s="2022">
        <f t="shared" si="8"/>
        <v>10681.96</v>
      </c>
      <c r="I261" s="2022">
        <f>VLOOKUP(A261,'2012 - TB'!$A$3:$I$733,9,FALSE)</f>
        <v>10681.96</v>
      </c>
      <c r="K261" s="2011">
        <f t="shared" si="9"/>
        <v>0</v>
      </c>
    </row>
    <row r="262" spans="1:11" x14ac:dyDescent="0.2">
      <c r="A262" t="s">
        <v>5155</v>
      </c>
      <c r="B262" t="s">
        <v>4901</v>
      </c>
      <c r="C262" s="2022">
        <v>-840486.26</v>
      </c>
      <c r="D262" s="2022">
        <v>0</v>
      </c>
      <c r="E262" s="2022">
        <v>0</v>
      </c>
      <c r="F262" s="2022">
        <v>0</v>
      </c>
      <c r="G262" s="2022">
        <f t="shared" si="8"/>
        <v>0</v>
      </c>
      <c r="I262" s="2022">
        <f>VLOOKUP(A262,'2012 - TB'!$A$3:$I$733,9,FALSE)</f>
        <v>0</v>
      </c>
      <c r="K262" s="2011">
        <f t="shared" si="9"/>
        <v>0</v>
      </c>
    </row>
    <row r="263" spans="1:11" x14ac:dyDescent="0.2">
      <c r="A263" t="s">
        <v>5156</v>
      </c>
      <c r="B263" t="s">
        <v>7886</v>
      </c>
      <c r="C263" s="2022">
        <v>0</v>
      </c>
      <c r="D263" s="2022">
        <v>0</v>
      </c>
      <c r="E263" s="2022">
        <v>0</v>
      </c>
      <c r="F263" s="2022">
        <v>0</v>
      </c>
      <c r="G263" s="2022">
        <f t="shared" si="8"/>
        <v>0</v>
      </c>
      <c r="K263" s="2011">
        <f t="shared" si="9"/>
        <v>0</v>
      </c>
    </row>
    <row r="264" spans="1:11" x14ac:dyDescent="0.2">
      <c r="A264" t="s">
        <v>5157</v>
      </c>
      <c r="B264" t="s">
        <v>7887</v>
      </c>
      <c r="C264" s="2022">
        <v>0</v>
      </c>
      <c r="D264" s="2022">
        <v>0</v>
      </c>
      <c r="E264" s="2022">
        <v>0</v>
      </c>
      <c r="F264" s="2022">
        <v>0</v>
      </c>
      <c r="G264" s="2022">
        <f t="shared" si="8"/>
        <v>0</v>
      </c>
      <c r="K264" s="2011">
        <f t="shared" si="9"/>
        <v>0</v>
      </c>
    </row>
    <row r="265" spans="1:11" x14ac:dyDescent="0.2">
      <c r="A265" t="s">
        <v>5158</v>
      </c>
      <c r="B265" t="s">
        <v>7888</v>
      </c>
      <c r="C265" s="2022">
        <v>0</v>
      </c>
      <c r="D265" s="2022">
        <v>0</v>
      </c>
      <c r="E265" s="2022">
        <v>0</v>
      </c>
      <c r="F265" s="2022">
        <v>0</v>
      </c>
      <c r="G265" s="2022">
        <f t="shared" si="8"/>
        <v>0</v>
      </c>
      <c r="K265" s="2011">
        <f t="shared" si="9"/>
        <v>0</v>
      </c>
    </row>
    <row r="266" spans="1:11" x14ac:dyDescent="0.2">
      <c r="A266" t="s">
        <v>5159</v>
      </c>
      <c r="B266" t="s">
        <v>7889</v>
      </c>
      <c r="C266" s="2022">
        <v>0</v>
      </c>
      <c r="D266" s="2022">
        <v>0</v>
      </c>
      <c r="E266" s="2022">
        <v>0</v>
      </c>
      <c r="F266" s="2022">
        <v>0</v>
      </c>
      <c r="G266" s="2022">
        <f t="shared" si="8"/>
        <v>0</v>
      </c>
      <c r="K266" s="2011">
        <f t="shared" si="9"/>
        <v>0</v>
      </c>
    </row>
    <row r="267" spans="1:11" x14ac:dyDescent="0.2">
      <c r="A267" t="s">
        <v>5160</v>
      </c>
      <c r="B267" t="s">
        <v>7890</v>
      </c>
      <c r="C267" s="2022">
        <v>0</v>
      </c>
      <c r="D267" s="2022">
        <v>0</v>
      </c>
      <c r="E267" s="2022">
        <v>0</v>
      </c>
      <c r="F267" s="2022">
        <v>0</v>
      </c>
      <c r="G267" s="2022">
        <f t="shared" si="8"/>
        <v>0</v>
      </c>
      <c r="K267" s="2011">
        <f t="shared" si="9"/>
        <v>0</v>
      </c>
    </row>
    <row r="268" spans="1:11" x14ac:dyDescent="0.2">
      <c r="A268" t="s">
        <v>5161</v>
      </c>
      <c r="B268" t="s">
        <v>4863</v>
      </c>
      <c r="C268" s="2022">
        <v>50000</v>
      </c>
      <c r="D268" s="2022">
        <v>0</v>
      </c>
      <c r="E268" s="2022">
        <v>131019.39</v>
      </c>
      <c r="F268" s="2022">
        <v>-6156</v>
      </c>
      <c r="G268" s="2022">
        <f t="shared" si="8"/>
        <v>124863.39</v>
      </c>
      <c r="I268" s="2022">
        <f>VLOOKUP(A268,'2012 - TB'!$A$3:$I$733,9,FALSE)</f>
        <v>124863.39</v>
      </c>
      <c r="K268" s="2011">
        <f t="shared" si="9"/>
        <v>0</v>
      </c>
    </row>
    <row r="269" spans="1:11" x14ac:dyDescent="0.2">
      <c r="A269" t="s">
        <v>5162</v>
      </c>
      <c r="B269" t="s">
        <v>7891</v>
      </c>
      <c r="C269" s="2022">
        <v>0</v>
      </c>
      <c r="D269" s="2022">
        <v>0</v>
      </c>
      <c r="E269" s="2022">
        <v>0</v>
      </c>
      <c r="F269" s="2022">
        <v>0</v>
      </c>
      <c r="G269" s="2022">
        <f t="shared" si="8"/>
        <v>0</v>
      </c>
      <c r="K269" s="2011">
        <f t="shared" si="9"/>
        <v>0</v>
      </c>
    </row>
    <row r="270" spans="1:11" x14ac:dyDescent="0.2">
      <c r="A270" t="s">
        <v>5163</v>
      </c>
      <c r="B270" t="s">
        <v>7731</v>
      </c>
      <c r="C270" s="2022">
        <v>0</v>
      </c>
      <c r="D270" s="2022">
        <v>0</v>
      </c>
      <c r="E270" s="2022">
        <v>0</v>
      </c>
      <c r="F270" s="2022">
        <v>0</v>
      </c>
      <c r="G270" s="2022">
        <f t="shared" si="8"/>
        <v>0</v>
      </c>
      <c r="K270" s="2011">
        <f t="shared" si="9"/>
        <v>0</v>
      </c>
    </row>
    <row r="271" spans="1:11" x14ac:dyDescent="0.2">
      <c r="A271" t="s">
        <v>5164</v>
      </c>
      <c r="B271" t="s">
        <v>6111</v>
      </c>
      <c r="C271" s="2022">
        <v>1500000</v>
      </c>
      <c r="D271" s="2022">
        <v>0</v>
      </c>
      <c r="E271" s="2022">
        <v>828487.29</v>
      </c>
      <c r="F271" s="2022">
        <v>-141551.1</v>
      </c>
      <c r="G271" s="2022">
        <f t="shared" si="8"/>
        <v>686936.19000000006</v>
      </c>
      <c r="I271" s="2022">
        <f>VLOOKUP(A271,'2012 - TB'!$A$3:$I$733,9,FALSE)</f>
        <v>686936.19000000006</v>
      </c>
      <c r="K271" s="2011">
        <f t="shared" si="9"/>
        <v>0</v>
      </c>
    </row>
    <row r="272" spans="1:11" x14ac:dyDescent="0.2">
      <c r="A272" t="s">
        <v>5166</v>
      </c>
      <c r="B272" t="s">
        <v>7892</v>
      </c>
      <c r="C272" s="2022">
        <v>0</v>
      </c>
      <c r="D272" s="2022">
        <v>0</v>
      </c>
      <c r="E272" s="2022">
        <v>0</v>
      </c>
      <c r="F272" s="2022">
        <v>0</v>
      </c>
      <c r="G272" s="2022">
        <f t="shared" si="8"/>
        <v>0</v>
      </c>
      <c r="K272" s="2011">
        <f t="shared" si="9"/>
        <v>0</v>
      </c>
    </row>
    <row r="273" spans="1:73" x14ac:dyDescent="0.2">
      <c r="A273" t="s">
        <v>5167</v>
      </c>
      <c r="B273" t="s">
        <v>4893</v>
      </c>
      <c r="C273" s="2022">
        <v>0</v>
      </c>
      <c r="D273" s="2022">
        <v>0</v>
      </c>
      <c r="E273" s="2022">
        <v>0</v>
      </c>
      <c r="F273" s="2022">
        <v>0</v>
      </c>
      <c r="G273" s="2022">
        <f t="shared" si="8"/>
        <v>0</v>
      </c>
      <c r="K273" s="2011">
        <f t="shared" si="9"/>
        <v>0</v>
      </c>
    </row>
    <row r="274" spans="1:73" x14ac:dyDescent="0.2">
      <c r="A274" t="s">
        <v>5168</v>
      </c>
      <c r="B274" t="s">
        <v>7893</v>
      </c>
      <c r="C274" s="2022">
        <v>0</v>
      </c>
      <c r="D274" s="2022">
        <v>0</v>
      </c>
      <c r="E274" s="2022">
        <v>0</v>
      </c>
      <c r="F274" s="2022">
        <v>0</v>
      </c>
      <c r="G274" s="2022">
        <f t="shared" si="8"/>
        <v>0</v>
      </c>
      <c r="K274" s="2011">
        <f t="shared" si="9"/>
        <v>0</v>
      </c>
    </row>
    <row r="275" spans="1:73" x14ac:dyDescent="0.2">
      <c r="A275" t="s">
        <v>5170</v>
      </c>
      <c r="B275" t="s">
        <v>7894</v>
      </c>
      <c r="C275" s="2022">
        <v>0</v>
      </c>
      <c r="D275" s="2022">
        <v>0</v>
      </c>
      <c r="E275" s="2022">
        <v>0</v>
      </c>
      <c r="F275" s="2022">
        <v>0</v>
      </c>
      <c r="G275" s="2022">
        <f t="shared" si="8"/>
        <v>0</v>
      </c>
      <c r="K275" s="2011">
        <f t="shared" si="9"/>
        <v>0</v>
      </c>
    </row>
    <row r="276" spans="1:73" x14ac:dyDescent="0.2">
      <c r="A276" t="s">
        <v>5172</v>
      </c>
      <c r="B276" t="s">
        <v>7895</v>
      </c>
      <c r="C276" s="2022">
        <v>0</v>
      </c>
      <c r="D276" s="2022">
        <v>0</v>
      </c>
      <c r="E276" s="2022">
        <v>0</v>
      </c>
      <c r="F276" s="2022">
        <v>0</v>
      </c>
      <c r="G276" s="2022">
        <f t="shared" si="8"/>
        <v>0</v>
      </c>
      <c r="K276" s="2011">
        <f t="shared" si="9"/>
        <v>0</v>
      </c>
    </row>
    <row r="277" spans="1:73" x14ac:dyDescent="0.2">
      <c r="A277" t="s">
        <v>5173</v>
      </c>
      <c r="B277" t="s">
        <v>7896</v>
      </c>
      <c r="C277" s="2022">
        <v>0</v>
      </c>
      <c r="D277" s="2022">
        <v>0</v>
      </c>
      <c r="E277" s="2022">
        <v>0</v>
      </c>
      <c r="F277" s="2022">
        <v>0</v>
      </c>
      <c r="G277" s="2022">
        <f t="shared" si="8"/>
        <v>0</v>
      </c>
      <c r="K277" s="2011">
        <f t="shared" si="9"/>
        <v>0</v>
      </c>
    </row>
    <row r="278" spans="1:73" x14ac:dyDescent="0.2">
      <c r="A278" t="s">
        <v>5175</v>
      </c>
      <c r="B278" t="s">
        <v>7897</v>
      </c>
      <c r="C278" s="2022">
        <v>0</v>
      </c>
      <c r="D278" s="2022">
        <v>0</v>
      </c>
      <c r="E278" s="2022">
        <v>0</v>
      </c>
      <c r="F278" s="2022">
        <v>0</v>
      </c>
      <c r="G278" s="2022">
        <f t="shared" si="8"/>
        <v>0</v>
      </c>
      <c r="K278" s="2011">
        <f t="shared" si="9"/>
        <v>0</v>
      </c>
    </row>
    <row r="279" spans="1:73" x14ac:dyDescent="0.2">
      <c r="A279" t="s">
        <v>5176</v>
      </c>
      <c r="B279" t="s">
        <v>7898</v>
      </c>
      <c r="C279" s="2022">
        <v>0</v>
      </c>
      <c r="D279" s="2022">
        <v>0</v>
      </c>
      <c r="E279" s="2022">
        <v>0</v>
      </c>
      <c r="F279" s="2022">
        <v>0</v>
      </c>
      <c r="G279" s="2022">
        <f t="shared" si="8"/>
        <v>0</v>
      </c>
      <c r="K279" s="2011">
        <f t="shared" si="9"/>
        <v>0</v>
      </c>
    </row>
    <row r="280" spans="1:73" x14ac:dyDescent="0.2">
      <c r="A280" t="s">
        <v>5178</v>
      </c>
      <c r="B280" t="s">
        <v>7899</v>
      </c>
      <c r="C280" s="2022">
        <v>0</v>
      </c>
      <c r="D280" s="2022">
        <v>0</v>
      </c>
      <c r="E280" s="2022">
        <v>0</v>
      </c>
      <c r="F280" s="2022">
        <v>0</v>
      </c>
      <c r="G280" s="2022">
        <f t="shared" si="8"/>
        <v>0</v>
      </c>
      <c r="K280" s="2011">
        <f t="shared" si="9"/>
        <v>0</v>
      </c>
    </row>
    <row r="281" spans="1:73" x14ac:dyDescent="0.2">
      <c r="A281" t="s">
        <v>5179</v>
      </c>
      <c r="B281" t="s">
        <v>7900</v>
      </c>
      <c r="C281" s="2022">
        <v>0</v>
      </c>
      <c r="D281" s="2022">
        <v>0</v>
      </c>
      <c r="E281" s="2022">
        <v>0</v>
      </c>
      <c r="F281" s="2022">
        <v>0</v>
      </c>
      <c r="G281" s="2022">
        <f t="shared" si="8"/>
        <v>0</v>
      </c>
      <c r="K281" s="2011">
        <f t="shared" si="9"/>
        <v>0</v>
      </c>
    </row>
    <row r="282" spans="1:73" s="2215" customFormat="1" x14ac:dyDescent="0.2">
      <c r="A282" s="2215" t="s">
        <v>5181</v>
      </c>
      <c r="B282" s="2215" t="s">
        <v>7901</v>
      </c>
      <c r="C282" s="2230">
        <v>0</v>
      </c>
      <c r="D282" s="2230">
        <v>0</v>
      </c>
      <c r="E282" s="2230">
        <v>0</v>
      </c>
      <c r="F282" s="2230">
        <v>0</v>
      </c>
      <c r="G282" s="2230">
        <f t="shared" si="8"/>
        <v>0</v>
      </c>
      <c r="I282" s="2230">
        <f>VLOOKUP(A282,'2012 - TB'!$A$3:$I$733,9,FALSE)</f>
        <v>338742.47</v>
      </c>
      <c r="K282" s="2634">
        <f t="shared" si="9"/>
        <v>-338742.47</v>
      </c>
      <c r="L282" s="2024"/>
      <c r="M282" s="2024"/>
      <c r="N282" s="2024"/>
      <c r="O282" s="2024"/>
      <c r="P282" s="2024"/>
      <c r="Q282" s="2024"/>
      <c r="R282" s="2024"/>
      <c r="S282" s="2024"/>
      <c r="T282" s="2024"/>
      <c r="U282" s="2024"/>
      <c r="V282" s="2024"/>
      <c r="W282" s="2024"/>
      <c r="X282" s="2024"/>
      <c r="Y282" s="2024"/>
      <c r="Z282" s="2024"/>
      <c r="AA282" s="2024"/>
      <c r="AB282" s="2024"/>
      <c r="AC282" s="2024"/>
      <c r="AD282" s="2024"/>
      <c r="AE282" s="2024"/>
      <c r="AF282" s="2024"/>
      <c r="AG282" s="2024"/>
      <c r="AH282" s="2024"/>
      <c r="AI282" s="2024"/>
      <c r="AJ282" s="2024"/>
      <c r="AK282" s="2024"/>
      <c r="AL282" s="2024"/>
      <c r="AM282" s="2024"/>
      <c r="AN282" s="2024"/>
      <c r="AO282" s="2024"/>
      <c r="AP282" s="2024"/>
      <c r="AQ282" s="2024"/>
      <c r="AR282" s="2024"/>
      <c r="AS282" s="2024"/>
      <c r="AT282" s="2024"/>
      <c r="AU282" s="2024"/>
      <c r="AV282" s="2024"/>
      <c r="AW282" s="2024"/>
      <c r="AX282" s="2024"/>
      <c r="AY282" s="2024"/>
      <c r="AZ282" s="2024"/>
      <c r="BA282" s="2024"/>
      <c r="BB282" s="2024"/>
      <c r="BC282" s="2024"/>
      <c r="BD282" s="2024"/>
      <c r="BE282" s="2024"/>
      <c r="BF282" s="2024"/>
      <c r="BG282" s="2024"/>
      <c r="BH282" s="2024"/>
      <c r="BI282" s="2024"/>
      <c r="BJ282" s="2024"/>
      <c r="BK282" s="2024"/>
      <c r="BL282" s="2024"/>
      <c r="BM282" s="2024"/>
      <c r="BN282" s="2024"/>
      <c r="BO282" s="2024"/>
      <c r="BP282" s="2024"/>
      <c r="BQ282" s="2024"/>
      <c r="BR282" s="2024"/>
      <c r="BS282" s="2024"/>
      <c r="BT282" s="2024"/>
      <c r="BU282" s="2024"/>
    </row>
    <row r="283" spans="1:73" x14ac:dyDescent="0.2">
      <c r="A283" t="s">
        <v>5183</v>
      </c>
      <c r="B283" t="s">
        <v>7902</v>
      </c>
      <c r="C283" s="2022">
        <v>0</v>
      </c>
      <c r="D283" s="2022">
        <v>0</v>
      </c>
      <c r="E283" s="2022">
        <v>0</v>
      </c>
      <c r="F283" s="2022">
        <v>0</v>
      </c>
      <c r="G283" s="2022">
        <f t="shared" si="8"/>
        <v>0</v>
      </c>
      <c r="K283" s="2011">
        <f t="shared" si="9"/>
        <v>0</v>
      </c>
    </row>
    <row r="284" spans="1:73" x14ac:dyDescent="0.2">
      <c r="A284" t="s">
        <v>5184</v>
      </c>
      <c r="B284" t="s">
        <v>7903</v>
      </c>
      <c r="C284" s="2022">
        <v>0</v>
      </c>
      <c r="D284" s="2022">
        <v>0</v>
      </c>
      <c r="E284" s="2022">
        <v>0</v>
      </c>
      <c r="F284" s="2022">
        <v>0</v>
      </c>
      <c r="G284" s="2022">
        <f t="shared" si="8"/>
        <v>0</v>
      </c>
      <c r="K284" s="2011">
        <f t="shared" si="9"/>
        <v>0</v>
      </c>
    </row>
    <row r="285" spans="1:73" x14ac:dyDescent="0.2">
      <c r="A285" t="s">
        <v>5186</v>
      </c>
      <c r="B285" t="s">
        <v>7904</v>
      </c>
      <c r="C285" s="2022">
        <v>0</v>
      </c>
      <c r="D285" s="2022">
        <v>0</v>
      </c>
      <c r="E285" s="2022">
        <v>0</v>
      </c>
      <c r="F285" s="2022">
        <v>0</v>
      </c>
      <c r="G285" s="2022">
        <f t="shared" si="8"/>
        <v>0</v>
      </c>
      <c r="K285" s="2011">
        <f t="shared" si="9"/>
        <v>0</v>
      </c>
    </row>
    <row r="286" spans="1:73" x14ac:dyDescent="0.2">
      <c r="A286" t="s">
        <v>5188</v>
      </c>
      <c r="B286" t="s">
        <v>7905</v>
      </c>
      <c r="C286" s="2022">
        <v>0</v>
      </c>
      <c r="D286" s="2022">
        <v>0</v>
      </c>
      <c r="E286" s="2022">
        <v>0</v>
      </c>
      <c r="F286" s="2022">
        <v>0</v>
      </c>
      <c r="G286" s="2022">
        <f t="shared" si="8"/>
        <v>0</v>
      </c>
      <c r="K286" s="2011">
        <f t="shared" si="9"/>
        <v>0</v>
      </c>
    </row>
    <row r="287" spans="1:73" x14ac:dyDescent="0.2">
      <c r="A287" t="s">
        <v>5189</v>
      </c>
      <c r="B287" t="s">
        <v>7906</v>
      </c>
      <c r="C287" s="2022">
        <v>0</v>
      </c>
      <c r="D287" s="2022">
        <v>0</v>
      </c>
      <c r="E287" s="2022">
        <v>0</v>
      </c>
      <c r="F287" s="2022">
        <v>0</v>
      </c>
      <c r="G287" s="2022">
        <f t="shared" si="8"/>
        <v>0</v>
      </c>
      <c r="K287" s="2011">
        <f t="shared" si="9"/>
        <v>0</v>
      </c>
    </row>
    <row r="288" spans="1:73" x14ac:dyDescent="0.2">
      <c r="A288" t="s">
        <v>5190</v>
      </c>
      <c r="B288" t="s">
        <v>5191</v>
      </c>
      <c r="C288" s="2022">
        <v>-23512.85</v>
      </c>
      <c r="D288" s="2022">
        <v>0</v>
      </c>
      <c r="E288" s="2022">
        <v>454.12</v>
      </c>
      <c r="F288" s="2022">
        <v>-25931.82</v>
      </c>
      <c r="G288" s="2022">
        <f t="shared" si="8"/>
        <v>-25477.7</v>
      </c>
      <c r="I288" s="2022">
        <f>VLOOKUP(A288,'2012 - TB'!$A$3:$I$733,9,FALSE)</f>
        <v>-25477.7</v>
      </c>
      <c r="K288" s="2011">
        <f t="shared" si="9"/>
        <v>0</v>
      </c>
    </row>
    <row r="289" spans="1:11" x14ac:dyDescent="0.2">
      <c r="A289" t="s">
        <v>5192</v>
      </c>
      <c r="B289" t="s">
        <v>6112</v>
      </c>
      <c r="C289" s="2022">
        <v>-2500</v>
      </c>
      <c r="D289" s="2022">
        <v>0</v>
      </c>
      <c r="E289" s="2022">
        <v>1011.58</v>
      </c>
      <c r="F289" s="2022">
        <v>-3364.3</v>
      </c>
      <c r="G289" s="2022">
        <f t="shared" si="8"/>
        <v>-2352.7200000000003</v>
      </c>
      <c r="I289" s="2022">
        <f>VLOOKUP(A289,'2012 - TB'!$A$3:$I$733,9,FALSE)</f>
        <v>-2352.7200000000003</v>
      </c>
      <c r="K289" s="2011">
        <f t="shared" si="9"/>
        <v>0</v>
      </c>
    </row>
    <row r="290" spans="1:11" x14ac:dyDescent="0.2">
      <c r="A290" t="s">
        <v>5194</v>
      </c>
      <c r="B290" t="s">
        <v>7907</v>
      </c>
      <c r="C290" s="2022">
        <v>0</v>
      </c>
      <c r="D290" s="2022">
        <v>0</v>
      </c>
      <c r="E290" s="2022">
        <v>0</v>
      </c>
      <c r="F290" s="2022">
        <v>0</v>
      </c>
      <c r="G290" s="2022">
        <f t="shared" si="8"/>
        <v>0</v>
      </c>
      <c r="K290" s="2011">
        <f t="shared" si="9"/>
        <v>0</v>
      </c>
    </row>
    <row r="291" spans="1:11" x14ac:dyDescent="0.2">
      <c r="A291" t="s">
        <v>5196</v>
      </c>
      <c r="B291" t="s">
        <v>5073</v>
      </c>
      <c r="C291" s="2022">
        <v>-199526</v>
      </c>
      <c r="D291" s="2022">
        <v>0</v>
      </c>
      <c r="E291" s="2022">
        <v>32338.77</v>
      </c>
      <c r="F291" s="2022">
        <v>-299881.65999999997</v>
      </c>
      <c r="G291" s="2022">
        <f t="shared" si="8"/>
        <v>-267542.88999999996</v>
      </c>
      <c r="I291" s="2022">
        <f>VLOOKUP(A291,'2012 - TB'!$A$3:$I$733,9,FALSE)</f>
        <v>-267542.89</v>
      </c>
      <c r="K291" s="2011">
        <f t="shared" si="9"/>
        <v>0</v>
      </c>
    </row>
    <row r="292" spans="1:11" x14ac:dyDescent="0.2">
      <c r="A292" t="s">
        <v>5197</v>
      </c>
      <c r="B292" t="s">
        <v>6098</v>
      </c>
      <c r="C292" s="2022">
        <v>-1324461.1499999999</v>
      </c>
      <c r="D292" s="2022">
        <v>0</v>
      </c>
      <c r="E292" s="2022">
        <v>0</v>
      </c>
      <c r="F292" s="2022">
        <v>0</v>
      </c>
      <c r="G292" s="2022">
        <f t="shared" si="8"/>
        <v>0</v>
      </c>
      <c r="I292" s="2022">
        <f>VLOOKUP(A292,'2012 - TB'!$A$3:$I$733,9,FALSE)</f>
        <v>0</v>
      </c>
      <c r="K292" s="2011">
        <f t="shared" si="9"/>
        <v>0</v>
      </c>
    </row>
    <row r="293" spans="1:11" x14ac:dyDescent="0.2">
      <c r="A293" t="s">
        <v>5198</v>
      </c>
      <c r="B293" t="s">
        <v>6113</v>
      </c>
      <c r="C293" s="2022">
        <v>282101.34000000003</v>
      </c>
      <c r="D293" s="2022">
        <v>0</v>
      </c>
      <c r="E293" s="2022">
        <v>282701.34000000003</v>
      </c>
      <c r="F293" s="2022">
        <v>-600</v>
      </c>
      <c r="G293" s="2022">
        <f t="shared" si="8"/>
        <v>282101.34000000003</v>
      </c>
      <c r="I293" s="2022">
        <f>VLOOKUP(A293,'2012 - TB'!$A$3:$I$733,9,FALSE)</f>
        <v>282101.34000000003</v>
      </c>
      <c r="K293" s="2011">
        <f t="shared" si="9"/>
        <v>0</v>
      </c>
    </row>
    <row r="294" spans="1:11" x14ac:dyDescent="0.2">
      <c r="A294" t="s">
        <v>5199</v>
      </c>
      <c r="B294" t="s">
        <v>6114</v>
      </c>
      <c r="C294" s="2022">
        <v>430511.91</v>
      </c>
      <c r="D294" s="2022">
        <v>0</v>
      </c>
      <c r="E294" s="2022">
        <v>430511.91</v>
      </c>
      <c r="F294" s="2022">
        <v>0</v>
      </c>
      <c r="G294" s="2022">
        <f t="shared" si="8"/>
        <v>430511.91</v>
      </c>
      <c r="I294" s="2022">
        <f>VLOOKUP(A294,'2012 - TB'!$A$3:$I$733,9,FALSE)</f>
        <v>430511.91</v>
      </c>
      <c r="K294" s="2011">
        <f t="shared" si="9"/>
        <v>0</v>
      </c>
    </row>
    <row r="295" spans="1:11" x14ac:dyDescent="0.2">
      <c r="A295" t="s">
        <v>5200</v>
      </c>
      <c r="B295" t="s">
        <v>7908</v>
      </c>
      <c r="C295" s="2022">
        <v>331670.44</v>
      </c>
      <c r="D295" s="2022">
        <v>0</v>
      </c>
      <c r="E295" s="2022">
        <v>367683.32</v>
      </c>
      <c r="F295" s="2022">
        <v>-1976.08</v>
      </c>
      <c r="G295" s="2022">
        <f t="shared" si="8"/>
        <v>365707.24</v>
      </c>
      <c r="I295" s="2022">
        <f>VLOOKUP(A295,'2012 - TB'!$A$3:$I$733,9,FALSE)</f>
        <v>365707.24</v>
      </c>
      <c r="K295" s="2011">
        <f t="shared" si="9"/>
        <v>0</v>
      </c>
    </row>
    <row r="296" spans="1:11" x14ac:dyDescent="0.2">
      <c r="A296" t="s">
        <v>5201</v>
      </c>
      <c r="B296" t="s">
        <v>7909</v>
      </c>
      <c r="C296" s="2022">
        <v>1072148.3400000001</v>
      </c>
      <c r="D296" s="2022">
        <v>0</v>
      </c>
      <c r="E296" s="2022">
        <v>1028965.14</v>
      </c>
      <c r="F296" s="2022">
        <v>-1264.25</v>
      </c>
      <c r="G296" s="2022">
        <f t="shared" si="8"/>
        <v>1027700.89</v>
      </c>
      <c r="I296" s="2022">
        <f>VLOOKUP(A296,'2012 - TB'!$A$3:$I$733,9,FALSE)</f>
        <v>1027700.89</v>
      </c>
      <c r="K296" s="2011">
        <f t="shared" si="9"/>
        <v>0</v>
      </c>
    </row>
    <row r="297" spans="1:11" x14ac:dyDescent="0.2">
      <c r="A297" t="s">
        <v>5202</v>
      </c>
      <c r="B297" t="s">
        <v>7910</v>
      </c>
      <c r="C297" s="2022">
        <v>0</v>
      </c>
      <c r="D297" s="2022">
        <v>0</v>
      </c>
      <c r="E297" s="2022">
        <v>0</v>
      </c>
      <c r="F297" s="2022">
        <v>0</v>
      </c>
      <c r="G297" s="2022">
        <f t="shared" si="8"/>
        <v>0</v>
      </c>
      <c r="K297" s="2011">
        <f t="shared" si="9"/>
        <v>0</v>
      </c>
    </row>
    <row r="298" spans="1:11" x14ac:dyDescent="0.2">
      <c r="A298" t="s">
        <v>5203</v>
      </c>
      <c r="B298" t="s">
        <v>7911</v>
      </c>
      <c r="C298" s="2022">
        <v>0</v>
      </c>
      <c r="D298" s="2022">
        <v>0</v>
      </c>
      <c r="E298" s="2022">
        <v>0</v>
      </c>
      <c r="F298" s="2022">
        <v>0</v>
      </c>
      <c r="G298" s="2022">
        <f t="shared" si="8"/>
        <v>0</v>
      </c>
      <c r="K298" s="2011">
        <f t="shared" si="9"/>
        <v>0</v>
      </c>
    </row>
    <row r="299" spans="1:11" x14ac:dyDescent="0.2">
      <c r="A299" t="s">
        <v>5204</v>
      </c>
      <c r="B299" t="s">
        <v>6117</v>
      </c>
      <c r="C299" s="2022">
        <v>51665.34</v>
      </c>
      <c r="D299" s="2022">
        <v>0</v>
      </c>
      <c r="E299" s="2022">
        <v>0</v>
      </c>
      <c r="F299" s="2022">
        <v>0</v>
      </c>
      <c r="G299" s="2022">
        <f t="shared" si="8"/>
        <v>0</v>
      </c>
      <c r="I299" s="2022">
        <f>VLOOKUP(A299,'2012 - TB'!$A$3:$I$733,9,FALSE)</f>
        <v>0</v>
      </c>
      <c r="K299" s="2011">
        <f t="shared" si="9"/>
        <v>0</v>
      </c>
    </row>
    <row r="300" spans="1:11" x14ac:dyDescent="0.2">
      <c r="A300" t="s">
        <v>5205</v>
      </c>
      <c r="B300" t="s">
        <v>6118</v>
      </c>
      <c r="C300" s="2022">
        <v>51144</v>
      </c>
      <c r="D300" s="2022">
        <v>0</v>
      </c>
      <c r="E300" s="2022">
        <v>0</v>
      </c>
      <c r="F300" s="2022">
        <v>0</v>
      </c>
      <c r="G300" s="2022">
        <f t="shared" si="8"/>
        <v>0</v>
      </c>
      <c r="I300" s="2022">
        <f>VLOOKUP(A300,'2012 - TB'!$A$3:$I$733,9,FALSE)</f>
        <v>0</v>
      </c>
      <c r="K300" s="2011">
        <f t="shared" si="9"/>
        <v>0</v>
      </c>
    </row>
    <row r="301" spans="1:11" x14ac:dyDescent="0.2">
      <c r="A301" t="s">
        <v>5206</v>
      </c>
      <c r="B301" t="s">
        <v>7732</v>
      </c>
      <c r="C301" s="2022">
        <v>0</v>
      </c>
      <c r="D301" s="2022">
        <v>0</v>
      </c>
      <c r="E301" s="2022">
        <v>0</v>
      </c>
      <c r="F301" s="2022">
        <v>0</v>
      </c>
      <c r="G301" s="2022">
        <f t="shared" si="8"/>
        <v>0</v>
      </c>
      <c r="K301" s="2011">
        <f t="shared" si="9"/>
        <v>0</v>
      </c>
    </row>
    <row r="302" spans="1:11" x14ac:dyDescent="0.2">
      <c r="A302" t="s">
        <v>5207</v>
      </c>
      <c r="B302" t="s">
        <v>7912</v>
      </c>
      <c r="C302" s="2022">
        <v>97040.67</v>
      </c>
      <c r="D302" s="2022">
        <v>0</v>
      </c>
      <c r="E302" s="2022">
        <v>75263.399999999994</v>
      </c>
      <c r="F302" s="2022">
        <v>0</v>
      </c>
      <c r="G302" s="2022">
        <f t="shared" si="8"/>
        <v>75263.399999999994</v>
      </c>
      <c r="I302" s="2022">
        <f>VLOOKUP(A302,'2012 - TB'!$A$3:$I$733,9,FALSE)</f>
        <v>75263.399999999994</v>
      </c>
      <c r="K302" s="2011">
        <f t="shared" si="9"/>
        <v>0</v>
      </c>
    </row>
    <row r="303" spans="1:11" x14ac:dyDescent="0.2">
      <c r="A303" t="s">
        <v>5208</v>
      </c>
      <c r="B303" t="s">
        <v>6183</v>
      </c>
      <c r="C303" s="2022">
        <v>0</v>
      </c>
      <c r="D303" s="2022">
        <v>0</v>
      </c>
      <c r="E303" s="2022">
        <v>0</v>
      </c>
      <c r="F303" s="2022">
        <v>0</v>
      </c>
      <c r="G303" s="2022">
        <f t="shared" si="8"/>
        <v>0</v>
      </c>
      <c r="K303" s="2011">
        <f t="shared" si="9"/>
        <v>0</v>
      </c>
    </row>
    <row r="304" spans="1:11" x14ac:dyDescent="0.2">
      <c r="A304" t="s">
        <v>5209</v>
      </c>
      <c r="B304" t="s">
        <v>6183</v>
      </c>
      <c r="C304" s="2022">
        <v>0</v>
      </c>
      <c r="D304" s="2022">
        <v>0</v>
      </c>
      <c r="E304" s="2022">
        <v>0</v>
      </c>
      <c r="F304" s="2022">
        <v>0</v>
      </c>
      <c r="G304" s="2022">
        <f t="shared" si="8"/>
        <v>0</v>
      </c>
      <c r="K304" s="2011">
        <f t="shared" si="9"/>
        <v>0</v>
      </c>
    </row>
    <row r="305" spans="1:11" x14ac:dyDescent="0.2">
      <c r="A305" t="s">
        <v>5210</v>
      </c>
      <c r="B305" t="s">
        <v>6120</v>
      </c>
      <c r="C305" s="2022">
        <v>5001</v>
      </c>
      <c r="D305" s="2022">
        <v>0</v>
      </c>
      <c r="E305" s="2022">
        <v>5885</v>
      </c>
      <c r="F305" s="2022">
        <v>0</v>
      </c>
      <c r="G305" s="2022">
        <f t="shared" si="8"/>
        <v>5885</v>
      </c>
      <c r="I305" s="2022">
        <f>VLOOKUP(A305,'2012 - TB'!$A$3:$I$733,9,FALSE)</f>
        <v>5885</v>
      </c>
      <c r="K305" s="2011">
        <f t="shared" si="9"/>
        <v>0</v>
      </c>
    </row>
    <row r="306" spans="1:11" x14ac:dyDescent="0.2">
      <c r="A306" t="s">
        <v>5211</v>
      </c>
      <c r="B306" t="s">
        <v>7733</v>
      </c>
      <c r="C306" s="2022">
        <v>0</v>
      </c>
      <c r="D306" s="2022">
        <v>0</v>
      </c>
      <c r="E306" s="2022">
        <v>0</v>
      </c>
      <c r="F306" s="2022">
        <v>0</v>
      </c>
      <c r="G306" s="2022">
        <f t="shared" si="8"/>
        <v>0</v>
      </c>
      <c r="K306" s="2011">
        <f t="shared" si="9"/>
        <v>0</v>
      </c>
    </row>
    <row r="307" spans="1:11" x14ac:dyDescent="0.2">
      <c r="A307" t="s">
        <v>5212</v>
      </c>
      <c r="B307" t="s">
        <v>7734</v>
      </c>
      <c r="C307" s="2022">
        <v>0</v>
      </c>
      <c r="D307" s="2022">
        <v>0</v>
      </c>
      <c r="E307" s="2022">
        <v>0</v>
      </c>
      <c r="F307" s="2022">
        <v>0</v>
      </c>
      <c r="G307" s="2022">
        <f t="shared" si="8"/>
        <v>0</v>
      </c>
      <c r="K307" s="2011">
        <f t="shared" si="9"/>
        <v>0</v>
      </c>
    </row>
    <row r="308" spans="1:11" x14ac:dyDescent="0.2">
      <c r="A308" t="s">
        <v>5213</v>
      </c>
      <c r="B308" t="s">
        <v>6121</v>
      </c>
      <c r="C308" s="2022">
        <v>3654</v>
      </c>
      <c r="D308" s="2022">
        <v>0</v>
      </c>
      <c r="E308" s="2022">
        <v>3654</v>
      </c>
      <c r="F308" s="2022">
        <v>0</v>
      </c>
      <c r="G308" s="2022">
        <f t="shared" si="8"/>
        <v>3654</v>
      </c>
      <c r="I308" s="2022">
        <f>VLOOKUP(A308,'2012 - TB'!$A$3:$I$733,9,FALSE)</f>
        <v>3654</v>
      </c>
      <c r="K308" s="2011">
        <f t="shared" si="9"/>
        <v>0</v>
      </c>
    </row>
    <row r="309" spans="1:11" x14ac:dyDescent="0.2">
      <c r="A309" t="s">
        <v>5214</v>
      </c>
      <c r="B309" t="s">
        <v>6122</v>
      </c>
      <c r="C309" s="2022">
        <v>1111</v>
      </c>
      <c r="D309" s="2022">
        <v>0</v>
      </c>
      <c r="E309" s="2022">
        <v>1111</v>
      </c>
      <c r="F309" s="2022">
        <v>0</v>
      </c>
      <c r="G309" s="2022">
        <f t="shared" si="8"/>
        <v>1111</v>
      </c>
      <c r="I309" s="2022">
        <f>VLOOKUP(A309,'2012 - TB'!$A$3:$I$733,9,FALSE)</f>
        <v>1111</v>
      </c>
      <c r="K309" s="2011">
        <f t="shared" si="9"/>
        <v>0</v>
      </c>
    </row>
    <row r="310" spans="1:11" x14ac:dyDescent="0.2">
      <c r="A310" t="s">
        <v>5215</v>
      </c>
      <c r="B310" t="s">
        <v>7913</v>
      </c>
      <c r="C310" s="2022">
        <v>0</v>
      </c>
      <c r="D310" s="2022">
        <v>0</v>
      </c>
      <c r="E310" s="2022">
        <v>0</v>
      </c>
      <c r="F310" s="2022">
        <v>0</v>
      </c>
      <c r="G310" s="2022">
        <f t="shared" si="8"/>
        <v>0</v>
      </c>
      <c r="K310" s="2011">
        <f t="shared" si="9"/>
        <v>0</v>
      </c>
    </row>
    <row r="311" spans="1:11" x14ac:dyDescent="0.2">
      <c r="A311" t="s">
        <v>5216</v>
      </c>
      <c r="B311" t="s">
        <v>7914</v>
      </c>
      <c r="C311" s="2022">
        <v>0</v>
      </c>
      <c r="D311" s="2022">
        <v>0</v>
      </c>
      <c r="E311" s="2022">
        <v>0</v>
      </c>
      <c r="F311" s="2022">
        <v>0</v>
      </c>
      <c r="G311" s="2022">
        <f t="shared" si="8"/>
        <v>0</v>
      </c>
      <c r="K311" s="2011">
        <f t="shared" si="9"/>
        <v>0</v>
      </c>
    </row>
    <row r="312" spans="1:11" x14ac:dyDescent="0.2">
      <c r="A312" t="s">
        <v>5217</v>
      </c>
      <c r="B312" t="s">
        <v>7915</v>
      </c>
      <c r="C312" s="2022">
        <v>0</v>
      </c>
      <c r="D312" s="2022">
        <v>0</v>
      </c>
      <c r="E312" s="2022">
        <v>0</v>
      </c>
      <c r="F312" s="2022">
        <v>0</v>
      </c>
      <c r="G312" s="2022">
        <f t="shared" si="8"/>
        <v>0</v>
      </c>
      <c r="K312" s="2011">
        <f t="shared" si="9"/>
        <v>0</v>
      </c>
    </row>
    <row r="313" spans="1:11" x14ac:dyDescent="0.2">
      <c r="A313" t="s">
        <v>5218</v>
      </c>
      <c r="B313" t="s">
        <v>7916</v>
      </c>
      <c r="C313" s="2022">
        <v>0</v>
      </c>
      <c r="D313" s="2022">
        <v>0</v>
      </c>
      <c r="E313" s="2022">
        <v>0</v>
      </c>
      <c r="F313" s="2022">
        <v>0</v>
      </c>
      <c r="G313" s="2022">
        <f t="shared" si="8"/>
        <v>0</v>
      </c>
      <c r="K313" s="2011">
        <f t="shared" si="9"/>
        <v>0</v>
      </c>
    </row>
    <row r="314" spans="1:11" x14ac:dyDescent="0.2">
      <c r="A314" t="s">
        <v>5219</v>
      </c>
      <c r="B314" t="s">
        <v>7917</v>
      </c>
      <c r="C314" s="2022">
        <v>128938.69</v>
      </c>
      <c r="D314" s="2022">
        <v>0</v>
      </c>
      <c r="E314" s="2022">
        <v>128938.69</v>
      </c>
      <c r="F314" s="2022">
        <v>0</v>
      </c>
      <c r="G314" s="2022">
        <f t="shared" si="8"/>
        <v>128938.69</v>
      </c>
      <c r="I314" s="2022">
        <f>VLOOKUP(A314,'2012 - TB'!$A$3:$I$733,9,FALSE)</f>
        <v>128938.69</v>
      </c>
      <c r="K314" s="2011">
        <f t="shared" si="9"/>
        <v>0</v>
      </c>
    </row>
    <row r="315" spans="1:11" x14ac:dyDescent="0.2">
      <c r="A315" t="s">
        <v>5220</v>
      </c>
      <c r="B315" t="s">
        <v>7917</v>
      </c>
      <c r="C315" s="2022">
        <v>37516.32</v>
      </c>
      <c r="D315" s="2022">
        <v>0</v>
      </c>
      <c r="E315" s="2022">
        <v>37516.32</v>
      </c>
      <c r="F315" s="2022">
        <v>0</v>
      </c>
      <c r="G315" s="2022">
        <f t="shared" si="8"/>
        <v>37516.32</v>
      </c>
      <c r="I315" s="2022">
        <f>VLOOKUP(A315,'2012 - TB'!$A$3:$I$733,9,FALSE)</f>
        <v>37516.32</v>
      </c>
      <c r="K315" s="2011">
        <f t="shared" si="9"/>
        <v>0</v>
      </c>
    </row>
    <row r="316" spans="1:11" x14ac:dyDescent="0.2">
      <c r="A316" t="s">
        <v>5221</v>
      </c>
      <c r="B316" t="s">
        <v>6124</v>
      </c>
      <c r="C316" s="2022">
        <v>0</v>
      </c>
      <c r="D316" s="2022">
        <v>0</v>
      </c>
      <c r="E316" s="2022">
        <v>0</v>
      </c>
      <c r="F316" s="2022">
        <v>-1500</v>
      </c>
      <c r="G316" s="2022">
        <f t="shared" si="8"/>
        <v>-1500</v>
      </c>
      <c r="I316" s="2022">
        <f>VLOOKUP(A316,'2012 - TB'!$A$3:$I$733,9,FALSE)</f>
        <v>-1500</v>
      </c>
      <c r="K316" s="2011">
        <f t="shared" si="9"/>
        <v>0</v>
      </c>
    </row>
    <row r="317" spans="1:11" x14ac:dyDescent="0.2">
      <c r="A317" t="s">
        <v>5222</v>
      </c>
      <c r="B317" t="s">
        <v>6125</v>
      </c>
      <c r="C317" s="2022">
        <v>75449.86</v>
      </c>
      <c r="D317" s="2022">
        <v>0</v>
      </c>
      <c r="E317" s="2022">
        <v>71489.86</v>
      </c>
      <c r="F317" s="2022">
        <v>-1200</v>
      </c>
      <c r="G317" s="2022">
        <f t="shared" si="8"/>
        <v>70289.86</v>
      </c>
      <c r="I317" s="2022">
        <f>VLOOKUP(A317,'2012 - TB'!$A$3:$I$733,9,FALSE)</f>
        <v>70289.86</v>
      </c>
      <c r="K317" s="2011">
        <f t="shared" si="9"/>
        <v>0</v>
      </c>
    </row>
    <row r="318" spans="1:11" x14ac:dyDescent="0.2">
      <c r="A318" t="s">
        <v>5223</v>
      </c>
      <c r="B318" t="s">
        <v>6126</v>
      </c>
      <c r="C318" s="2022">
        <v>36.9</v>
      </c>
      <c r="D318" s="2022">
        <v>0</v>
      </c>
      <c r="E318" s="2022">
        <v>36.9</v>
      </c>
      <c r="F318" s="2022">
        <v>0</v>
      </c>
      <c r="G318" s="2022">
        <f t="shared" si="8"/>
        <v>36.9</v>
      </c>
      <c r="I318" s="2022">
        <f>VLOOKUP(A318,'2012 - TB'!$A$3:$I$733,9,FALSE)</f>
        <v>36.9</v>
      </c>
      <c r="K318" s="2011">
        <f t="shared" si="9"/>
        <v>0</v>
      </c>
    </row>
    <row r="319" spans="1:11" x14ac:dyDescent="0.2">
      <c r="A319" t="s">
        <v>5224</v>
      </c>
      <c r="B319" t="s">
        <v>6126</v>
      </c>
      <c r="C319" s="2022">
        <v>36.9</v>
      </c>
      <c r="D319" s="2022">
        <v>0</v>
      </c>
      <c r="E319" s="2022">
        <v>36.9</v>
      </c>
      <c r="F319" s="2022">
        <v>0</v>
      </c>
      <c r="G319" s="2022">
        <f t="shared" si="8"/>
        <v>36.9</v>
      </c>
      <c r="I319" s="2022">
        <f>VLOOKUP(A319,'2012 - TB'!$A$3:$I$733,9,FALSE)</f>
        <v>36.9</v>
      </c>
      <c r="K319" s="2011">
        <f t="shared" si="9"/>
        <v>0</v>
      </c>
    </row>
    <row r="320" spans="1:11" x14ac:dyDescent="0.2">
      <c r="A320" t="s">
        <v>5225</v>
      </c>
      <c r="B320" t="s">
        <v>6127</v>
      </c>
      <c r="C320" s="2022">
        <v>28.7</v>
      </c>
      <c r="D320" s="2022">
        <v>0</v>
      </c>
      <c r="E320" s="2022">
        <v>28.7</v>
      </c>
      <c r="F320" s="2022">
        <v>0</v>
      </c>
      <c r="G320" s="2022">
        <f t="shared" si="8"/>
        <v>28.7</v>
      </c>
      <c r="I320" s="2022">
        <f>VLOOKUP(A320,'2012 - TB'!$A$3:$I$733,9,FALSE)</f>
        <v>28.7</v>
      </c>
      <c r="K320" s="2011">
        <f t="shared" si="9"/>
        <v>0</v>
      </c>
    </row>
    <row r="321" spans="1:11" x14ac:dyDescent="0.2">
      <c r="A321" t="s">
        <v>5226</v>
      </c>
      <c r="B321" t="s">
        <v>6128</v>
      </c>
      <c r="C321" s="2022">
        <v>508.4</v>
      </c>
      <c r="D321" s="2022">
        <v>0</v>
      </c>
      <c r="E321" s="2022">
        <v>467.4</v>
      </c>
      <c r="F321" s="2022">
        <v>0</v>
      </c>
      <c r="G321" s="2022">
        <f t="shared" si="8"/>
        <v>467.4</v>
      </c>
      <c r="I321" s="2022">
        <f>VLOOKUP(A321,'2012 - TB'!$A$3:$I$733,9,FALSE)</f>
        <v>467.4</v>
      </c>
      <c r="K321" s="2011">
        <f t="shared" si="9"/>
        <v>0</v>
      </c>
    </row>
    <row r="322" spans="1:11" x14ac:dyDescent="0.2">
      <c r="A322" t="s">
        <v>5227</v>
      </c>
      <c r="B322" t="s">
        <v>6129</v>
      </c>
      <c r="C322" s="2022">
        <v>3463.44</v>
      </c>
      <c r="D322" s="2022">
        <v>0</v>
      </c>
      <c r="E322" s="2022">
        <v>3521.02</v>
      </c>
      <c r="F322" s="2022">
        <v>0</v>
      </c>
      <c r="G322" s="2022">
        <f t="shared" ref="G322:G385" si="10">SUM(D322:F322)</f>
        <v>3521.02</v>
      </c>
      <c r="I322" s="2022">
        <f>VLOOKUP(A322,'2012 - TB'!$A$3:$I$733,9,FALSE)</f>
        <v>3521.02</v>
      </c>
      <c r="K322" s="2011">
        <f t="shared" ref="K322:K385" si="11">G322-I322</f>
        <v>0</v>
      </c>
    </row>
    <row r="323" spans="1:11" x14ac:dyDescent="0.2">
      <c r="A323" t="s">
        <v>5228</v>
      </c>
      <c r="B323" t="s">
        <v>6129</v>
      </c>
      <c r="C323" s="2022">
        <v>3278.63</v>
      </c>
      <c r="D323" s="2022">
        <v>0</v>
      </c>
      <c r="E323" s="2022">
        <v>3278.66</v>
      </c>
      <c r="F323" s="2022">
        <v>0</v>
      </c>
      <c r="G323" s="2022">
        <f t="shared" si="10"/>
        <v>3278.66</v>
      </c>
      <c r="I323" s="2022">
        <f>VLOOKUP(A323,'2012 - TB'!$A$3:$I$733,9,FALSE)</f>
        <v>3278.66</v>
      </c>
      <c r="K323" s="2011">
        <f t="shared" si="11"/>
        <v>0</v>
      </c>
    </row>
    <row r="324" spans="1:11" x14ac:dyDescent="0.2">
      <c r="A324" t="s">
        <v>5229</v>
      </c>
      <c r="B324" t="s">
        <v>6130</v>
      </c>
      <c r="C324" s="2022">
        <v>1356.7</v>
      </c>
      <c r="D324" s="2022">
        <v>0</v>
      </c>
      <c r="E324" s="2022">
        <v>1356.7</v>
      </c>
      <c r="F324" s="2022">
        <v>0</v>
      </c>
      <c r="G324" s="2022">
        <f t="shared" si="10"/>
        <v>1356.7</v>
      </c>
      <c r="I324" s="2022">
        <f>VLOOKUP(A324,'2012 - TB'!$A$3:$I$733,9,FALSE)</f>
        <v>1356.7</v>
      </c>
      <c r="K324" s="2011">
        <f t="shared" si="11"/>
        <v>0</v>
      </c>
    </row>
    <row r="325" spans="1:11" x14ac:dyDescent="0.2">
      <c r="A325" t="s">
        <v>5230</v>
      </c>
      <c r="B325" t="s">
        <v>6131</v>
      </c>
      <c r="C325" s="2022">
        <v>11778.52</v>
      </c>
      <c r="D325" s="2022">
        <v>0</v>
      </c>
      <c r="E325" s="2022">
        <v>11806.17</v>
      </c>
      <c r="F325" s="2022">
        <v>0</v>
      </c>
      <c r="G325" s="2022">
        <f t="shared" si="10"/>
        <v>11806.17</v>
      </c>
      <c r="I325" s="2022">
        <f>VLOOKUP(A325,'2012 - TB'!$A$3:$I$733,9,FALSE)</f>
        <v>11806.17</v>
      </c>
      <c r="K325" s="2011">
        <f t="shared" si="11"/>
        <v>0</v>
      </c>
    </row>
    <row r="326" spans="1:11" x14ac:dyDescent="0.2">
      <c r="A326" t="s">
        <v>5231</v>
      </c>
      <c r="B326" t="s">
        <v>7735</v>
      </c>
      <c r="C326" s="2022">
        <v>0</v>
      </c>
      <c r="D326" s="2022">
        <v>0</v>
      </c>
      <c r="E326" s="2022">
        <v>0</v>
      </c>
      <c r="F326" s="2022">
        <v>0</v>
      </c>
      <c r="G326" s="2022">
        <f t="shared" si="10"/>
        <v>0</v>
      </c>
      <c r="K326" s="2011">
        <f t="shared" si="11"/>
        <v>0</v>
      </c>
    </row>
    <row r="327" spans="1:11" x14ac:dyDescent="0.2">
      <c r="A327" t="s">
        <v>5232</v>
      </c>
      <c r="B327" t="s">
        <v>7735</v>
      </c>
      <c r="C327" s="2022">
        <v>0</v>
      </c>
      <c r="D327" s="2022">
        <v>0</v>
      </c>
      <c r="E327" s="2022">
        <v>0</v>
      </c>
      <c r="F327" s="2022">
        <v>0</v>
      </c>
      <c r="G327" s="2022">
        <f t="shared" si="10"/>
        <v>0</v>
      </c>
      <c r="K327" s="2011">
        <f t="shared" si="11"/>
        <v>0</v>
      </c>
    </row>
    <row r="328" spans="1:11" x14ac:dyDescent="0.2">
      <c r="A328" t="s">
        <v>5233</v>
      </c>
      <c r="B328" t="s">
        <v>7736</v>
      </c>
      <c r="C328" s="2022">
        <v>0</v>
      </c>
      <c r="D328" s="2022">
        <v>0</v>
      </c>
      <c r="E328" s="2022">
        <v>0</v>
      </c>
      <c r="F328" s="2022">
        <v>0</v>
      </c>
      <c r="G328" s="2022">
        <f t="shared" si="10"/>
        <v>0</v>
      </c>
      <c r="K328" s="2011">
        <f t="shared" si="11"/>
        <v>0</v>
      </c>
    </row>
    <row r="329" spans="1:11" x14ac:dyDescent="0.2">
      <c r="A329" t="s">
        <v>5234</v>
      </c>
      <c r="B329" t="s">
        <v>7737</v>
      </c>
      <c r="C329" s="2022">
        <v>0</v>
      </c>
      <c r="D329" s="2022">
        <v>0</v>
      </c>
      <c r="E329" s="2022">
        <v>0</v>
      </c>
      <c r="F329" s="2022">
        <v>0</v>
      </c>
      <c r="G329" s="2022">
        <f t="shared" si="10"/>
        <v>0</v>
      </c>
      <c r="K329" s="2011">
        <f t="shared" si="11"/>
        <v>0</v>
      </c>
    </row>
    <row r="330" spans="1:11" x14ac:dyDescent="0.2">
      <c r="A330" t="s">
        <v>5235</v>
      </c>
      <c r="B330" t="s">
        <v>6132</v>
      </c>
      <c r="C330" s="2022">
        <v>16084.8</v>
      </c>
      <c r="D330" s="2022">
        <v>0</v>
      </c>
      <c r="E330" s="2022">
        <v>16084.8</v>
      </c>
      <c r="F330" s="2022">
        <v>0</v>
      </c>
      <c r="G330" s="2022">
        <f t="shared" si="10"/>
        <v>16084.8</v>
      </c>
      <c r="I330" s="2022">
        <f>VLOOKUP(A330,'2012 - TB'!$A$3:$I$733,9,FALSE)</f>
        <v>16084.8</v>
      </c>
      <c r="K330" s="2011">
        <f t="shared" si="11"/>
        <v>0</v>
      </c>
    </row>
    <row r="331" spans="1:11" x14ac:dyDescent="0.2">
      <c r="A331" t="s">
        <v>5236</v>
      </c>
      <c r="B331" t="s">
        <v>7738</v>
      </c>
      <c r="C331" s="2022">
        <v>0</v>
      </c>
      <c r="D331" s="2022">
        <v>0</v>
      </c>
      <c r="E331" s="2022">
        <v>0</v>
      </c>
      <c r="F331" s="2022">
        <v>0</v>
      </c>
      <c r="G331" s="2022">
        <f t="shared" si="10"/>
        <v>0</v>
      </c>
      <c r="K331" s="2011">
        <f t="shared" si="11"/>
        <v>0</v>
      </c>
    </row>
    <row r="332" spans="1:11" x14ac:dyDescent="0.2">
      <c r="A332" t="s">
        <v>5237</v>
      </c>
      <c r="B332" t="s">
        <v>6133</v>
      </c>
      <c r="C332" s="2022">
        <v>20364.599999999999</v>
      </c>
      <c r="D332" s="2022">
        <v>0</v>
      </c>
      <c r="E332" s="2022">
        <v>20364.599999999999</v>
      </c>
      <c r="F332" s="2022">
        <v>0</v>
      </c>
      <c r="G332" s="2022">
        <f t="shared" si="10"/>
        <v>20364.599999999999</v>
      </c>
      <c r="I332" s="2022">
        <f>VLOOKUP(A332,'2012 - TB'!$A$3:$I$733,9,FALSE)</f>
        <v>20364.599999999999</v>
      </c>
      <c r="K332" s="2011">
        <f t="shared" si="11"/>
        <v>0</v>
      </c>
    </row>
    <row r="333" spans="1:11" x14ac:dyDescent="0.2">
      <c r="A333" t="s">
        <v>5238</v>
      </c>
      <c r="B333" t="s">
        <v>6134</v>
      </c>
      <c r="C333" s="2022">
        <v>122794.8</v>
      </c>
      <c r="D333" s="2022">
        <v>0</v>
      </c>
      <c r="E333" s="2022">
        <v>117959.2</v>
      </c>
      <c r="F333" s="2022">
        <v>0</v>
      </c>
      <c r="G333" s="2022">
        <f t="shared" si="10"/>
        <v>117959.2</v>
      </c>
      <c r="I333" s="2022">
        <f>VLOOKUP(A333,'2012 - TB'!$A$3:$I$733,9,FALSE)</f>
        <v>117959.2</v>
      </c>
      <c r="K333" s="2011">
        <f t="shared" si="11"/>
        <v>0</v>
      </c>
    </row>
    <row r="334" spans="1:11" x14ac:dyDescent="0.2">
      <c r="A334" t="s">
        <v>5239</v>
      </c>
      <c r="B334" t="s">
        <v>6135</v>
      </c>
      <c r="C334" s="2022">
        <v>49315.58</v>
      </c>
      <c r="D334" s="2022">
        <v>0</v>
      </c>
      <c r="E334" s="2022">
        <v>49315.38</v>
      </c>
      <c r="F334" s="2022">
        <v>0</v>
      </c>
      <c r="G334" s="2022">
        <f t="shared" si="10"/>
        <v>49315.38</v>
      </c>
      <c r="I334" s="2022">
        <f>VLOOKUP(A334,'2012 - TB'!$A$3:$I$733,9,FALSE)</f>
        <v>49315.38</v>
      </c>
      <c r="K334" s="2011">
        <f t="shared" si="11"/>
        <v>0</v>
      </c>
    </row>
    <row r="335" spans="1:11" x14ac:dyDescent="0.2">
      <c r="A335" t="s">
        <v>5240</v>
      </c>
      <c r="B335" t="s">
        <v>6136</v>
      </c>
      <c r="C335" s="2022">
        <v>69044.399999999994</v>
      </c>
      <c r="D335" s="2022">
        <v>0</v>
      </c>
      <c r="E335" s="2022">
        <v>69044.399999999994</v>
      </c>
      <c r="F335" s="2022">
        <v>0</v>
      </c>
      <c r="G335" s="2022">
        <f t="shared" si="10"/>
        <v>69044.399999999994</v>
      </c>
      <c r="I335" s="2022">
        <f>VLOOKUP(A335,'2012 - TB'!$A$3:$I$733,9,FALSE)</f>
        <v>69044.399999999994</v>
      </c>
      <c r="K335" s="2011">
        <f t="shared" si="11"/>
        <v>0</v>
      </c>
    </row>
    <row r="336" spans="1:11" x14ac:dyDescent="0.2">
      <c r="A336" t="s">
        <v>5241</v>
      </c>
      <c r="B336" t="s">
        <v>6137</v>
      </c>
      <c r="C336" s="2022">
        <v>26841.65</v>
      </c>
      <c r="D336" s="2022">
        <v>0</v>
      </c>
      <c r="E336" s="2022">
        <v>26841.65</v>
      </c>
      <c r="F336" s="2022">
        <v>0</v>
      </c>
      <c r="G336" s="2022">
        <f t="shared" si="10"/>
        <v>26841.65</v>
      </c>
      <c r="I336" s="2022">
        <f>VLOOKUP(A336,'2012 - TB'!$A$3:$I$733,9,FALSE)</f>
        <v>26841.65</v>
      </c>
      <c r="K336" s="2011">
        <f t="shared" si="11"/>
        <v>0</v>
      </c>
    </row>
    <row r="337" spans="1:11" x14ac:dyDescent="0.2">
      <c r="A337" t="s">
        <v>5242</v>
      </c>
      <c r="B337" t="s">
        <v>6138</v>
      </c>
      <c r="C337" s="2022">
        <v>205975.49</v>
      </c>
      <c r="D337" s="2022">
        <v>0</v>
      </c>
      <c r="E337" s="2022">
        <v>189992.89</v>
      </c>
      <c r="F337" s="2022">
        <v>0</v>
      </c>
      <c r="G337" s="2022">
        <f t="shared" si="10"/>
        <v>189992.89</v>
      </c>
      <c r="I337" s="2022">
        <f>VLOOKUP(A337,'2012 - TB'!$A$3:$I$733,9,FALSE)</f>
        <v>189992.89</v>
      </c>
      <c r="K337" s="2011">
        <f t="shared" si="11"/>
        <v>0</v>
      </c>
    </row>
    <row r="338" spans="1:11" x14ac:dyDescent="0.2">
      <c r="A338" t="s">
        <v>5243</v>
      </c>
      <c r="B338" t="s">
        <v>7918</v>
      </c>
      <c r="C338" s="2022">
        <v>1497.36</v>
      </c>
      <c r="D338" s="2022">
        <v>0</v>
      </c>
      <c r="E338" s="2022">
        <v>1123.02</v>
      </c>
      <c r="F338" s="2022">
        <v>0</v>
      </c>
      <c r="G338" s="2022">
        <f t="shared" si="10"/>
        <v>1123.02</v>
      </c>
      <c r="I338" s="2022">
        <f>VLOOKUP(A338,'2012 - TB'!$A$3:$I$733,9,FALSE)</f>
        <v>1123.02</v>
      </c>
      <c r="K338" s="2011">
        <f t="shared" si="11"/>
        <v>0</v>
      </c>
    </row>
    <row r="339" spans="1:11" x14ac:dyDescent="0.2">
      <c r="A339" t="s">
        <v>5244</v>
      </c>
      <c r="B339" t="s">
        <v>6140</v>
      </c>
      <c r="C339" s="2022">
        <v>1497.36</v>
      </c>
      <c r="D339" s="2022">
        <v>0</v>
      </c>
      <c r="E339" s="2022">
        <v>1123.02</v>
      </c>
      <c r="F339" s="2022">
        <v>0</v>
      </c>
      <c r="G339" s="2022">
        <f t="shared" si="10"/>
        <v>1123.02</v>
      </c>
      <c r="I339" s="2022">
        <f>VLOOKUP(A339,'2012 - TB'!$A$3:$I$733,9,FALSE)</f>
        <v>1123.02</v>
      </c>
      <c r="K339" s="2011">
        <f t="shared" si="11"/>
        <v>0</v>
      </c>
    </row>
    <row r="340" spans="1:11" x14ac:dyDescent="0.2">
      <c r="A340" t="s">
        <v>5245</v>
      </c>
      <c r="B340" t="s">
        <v>7919</v>
      </c>
      <c r="C340" s="2022">
        <v>873.47</v>
      </c>
      <c r="D340" s="2022">
        <v>0</v>
      </c>
      <c r="E340" s="2022">
        <v>873.46</v>
      </c>
      <c r="F340" s="2022">
        <v>0</v>
      </c>
      <c r="G340" s="2022">
        <f t="shared" si="10"/>
        <v>873.46</v>
      </c>
      <c r="I340" s="2022">
        <f>VLOOKUP(A340,'2012 - TB'!$A$3:$I$733,9,FALSE)</f>
        <v>873.46</v>
      </c>
      <c r="K340" s="2011">
        <f t="shared" si="11"/>
        <v>0</v>
      </c>
    </row>
    <row r="341" spans="1:11" x14ac:dyDescent="0.2">
      <c r="A341" t="s">
        <v>5246</v>
      </c>
      <c r="B341" t="s">
        <v>7920</v>
      </c>
      <c r="C341" s="2022">
        <v>9655.3799999999992</v>
      </c>
      <c r="D341" s="2022">
        <v>0</v>
      </c>
      <c r="E341" s="2022">
        <v>9061.19</v>
      </c>
      <c r="F341" s="2022">
        <v>0</v>
      </c>
      <c r="G341" s="2022">
        <f t="shared" si="10"/>
        <v>9061.19</v>
      </c>
      <c r="I341" s="2022">
        <f>VLOOKUP(A341,'2012 - TB'!$A$3:$I$733,9,FALSE)</f>
        <v>9061.19</v>
      </c>
      <c r="K341" s="2011">
        <f t="shared" si="11"/>
        <v>0</v>
      </c>
    </row>
    <row r="342" spans="1:11" x14ac:dyDescent="0.2">
      <c r="A342" t="s">
        <v>5247</v>
      </c>
      <c r="B342" t="s">
        <v>7739</v>
      </c>
      <c r="C342" s="2022">
        <v>0</v>
      </c>
      <c r="D342" s="2022">
        <v>0</v>
      </c>
      <c r="E342" s="2022">
        <v>0</v>
      </c>
      <c r="F342" s="2022">
        <v>0</v>
      </c>
      <c r="G342" s="2022">
        <f t="shared" si="10"/>
        <v>0</v>
      </c>
      <c r="K342" s="2011">
        <f t="shared" si="11"/>
        <v>0</v>
      </c>
    </row>
    <row r="343" spans="1:11" x14ac:dyDescent="0.2">
      <c r="A343" t="s">
        <v>5248</v>
      </c>
      <c r="B343" t="s">
        <v>7921</v>
      </c>
      <c r="C343" s="2022">
        <v>0</v>
      </c>
      <c r="D343" s="2022">
        <v>0</v>
      </c>
      <c r="E343" s="2022">
        <v>0</v>
      </c>
      <c r="F343" s="2022">
        <v>0</v>
      </c>
      <c r="G343" s="2022">
        <f t="shared" si="10"/>
        <v>0</v>
      </c>
      <c r="K343" s="2011">
        <f t="shared" si="11"/>
        <v>0</v>
      </c>
    </row>
    <row r="344" spans="1:11" x14ac:dyDescent="0.2">
      <c r="A344" t="s">
        <v>5249</v>
      </c>
      <c r="B344" t="s">
        <v>7922</v>
      </c>
      <c r="C344" s="2022">
        <v>0</v>
      </c>
      <c r="D344" s="2022">
        <v>0</v>
      </c>
      <c r="E344" s="2022">
        <v>0</v>
      </c>
      <c r="F344" s="2022">
        <v>0</v>
      </c>
      <c r="G344" s="2022">
        <f t="shared" si="10"/>
        <v>0</v>
      </c>
      <c r="K344" s="2011">
        <f t="shared" si="11"/>
        <v>0</v>
      </c>
    </row>
    <row r="345" spans="1:11" x14ac:dyDescent="0.2">
      <c r="A345" t="s">
        <v>5250</v>
      </c>
      <c r="B345" t="s">
        <v>5251</v>
      </c>
      <c r="C345" s="2022">
        <v>790000</v>
      </c>
      <c r="D345" s="2022">
        <v>0</v>
      </c>
      <c r="E345" s="2022">
        <v>0</v>
      </c>
      <c r="F345" s="2022">
        <v>0</v>
      </c>
      <c r="G345" s="2022">
        <f t="shared" si="10"/>
        <v>0</v>
      </c>
      <c r="I345" s="2022">
        <f>VLOOKUP(A345,'2012 - TB'!$A$3:$I$733,9,FALSE)</f>
        <v>0</v>
      </c>
      <c r="K345" s="2011">
        <f t="shared" si="11"/>
        <v>0</v>
      </c>
    </row>
    <row r="346" spans="1:11" x14ac:dyDescent="0.2">
      <c r="A346" t="s">
        <v>5252</v>
      </c>
      <c r="B346" t="s">
        <v>7923</v>
      </c>
      <c r="C346" s="2022">
        <v>0</v>
      </c>
      <c r="D346" s="2022">
        <v>0</v>
      </c>
      <c r="E346" s="2022">
        <v>0</v>
      </c>
      <c r="F346" s="2022">
        <v>0</v>
      </c>
      <c r="G346" s="2022">
        <f t="shared" si="10"/>
        <v>0</v>
      </c>
      <c r="K346" s="2011">
        <f t="shared" si="11"/>
        <v>0</v>
      </c>
    </row>
    <row r="347" spans="1:11" x14ac:dyDescent="0.2">
      <c r="A347" t="s">
        <v>5253</v>
      </c>
      <c r="B347" t="s">
        <v>5113</v>
      </c>
      <c r="C347" s="2022">
        <v>220895.52</v>
      </c>
      <c r="D347" s="2022">
        <v>0</v>
      </c>
      <c r="E347" s="2022">
        <v>209255.36</v>
      </c>
      <c r="F347" s="2022">
        <v>-77247.990000000005</v>
      </c>
      <c r="G347" s="2022">
        <f t="shared" si="10"/>
        <v>132007.37</v>
      </c>
      <c r="I347" s="2022">
        <f>VLOOKUP(A347,'2012 - TB'!$A$3:$I$733,9,FALSE)</f>
        <v>132007.37</v>
      </c>
      <c r="K347" s="2011">
        <f t="shared" si="11"/>
        <v>0</v>
      </c>
    </row>
    <row r="348" spans="1:11" x14ac:dyDescent="0.2">
      <c r="A348" t="s">
        <v>5254</v>
      </c>
      <c r="B348" t="s">
        <v>6143</v>
      </c>
      <c r="C348" s="2022">
        <v>2050.79</v>
      </c>
      <c r="D348" s="2022">
        <v>0</v>
      </c>
      <c r="E348" s="2022">
        <v>1533.51</v>
      </c>
      <c r="F348" s="2022">
        <v>-504.79</v>
      </c>
      <c r="G348" s="2022">
        <f t="shared" si="10"/>
        <v>1028.72</v>
      </c>
      <c r="I348" s="2022">
        <f>VLOOKUP(A348,'2012 - TB'!$A$3:$I$733,9,FALSE)</f>
        <v>1028.72</v>
      </c>
      <c r="K348" s="2011">
        <f t="shared" si="11"/>
        <v>0</v>
      </c>
    </row>
    <row r="349" spans="1:11" x14ac:dyDescent="0.2">
      <c r="A349" t="s">
        <v>5255</v>
      </c>
      <c r="B349" t="s">
        <v>6143</v>
      </c>
      <c r="C349" s="2022">
        <v>6362.49</v>
      </c>
      <c r="D349" s="2022">
        <v>0</v>
      </c>
      <c r="E349" s="2022">
        <v>3635.62</v>
      </c>
      <c r="F349" s="2022">
        <v>0</v>
      </c>
      <c r="G349" s="2022">
        <f t="shared" si="10"/>
        <v>3635.62</v>
      </c>
      <c r="I349" s="2022">
        <f>VLOOKUP(A349,'2012 - TB'!$A$3:$I$733,9,FALSE)</f>
        <v>3635.62</v>
      </c>
      <c r="K349" s="2011">
        <f t="shared" si="11"/>
        <v>0</v>
      </c>
    </row>
    <row r="350" spans="1:11" x14ac:dyDescent="0.2">
      <c r="A350" t="s">
        <v>5256</v>
      </c>
      <c r="B350" t="s">
        <v>7924</v>
      </c>
      <c r="C350" s="2022">
        <v>0</v>
      </c>
      <c r="D350" s="2022">
        <v>0</v>
      </c>
      <c r="E350" s="2022">
        <v>0</v>
      </c>
      <c r="F350" s="2022">
        <v>0</v>
      </c>
      <c r="G350" s="2022">
        <f t="shared" si="10"/>
        <v>0</v>
      </c>
      <c r="K350" s="2011">
        <f t="shared" si="11"/>
        <v>0</v>
      </c>
    </row>
    <row r="351" spans="1:11" x14ac:dyDescent="0.2">
      <c r="A351" t="s">
        <v>5257</v>
      </c>
      <c r="B351" t="s">
        <v>6144</v>
      </c>
      <c r="C351" s="2022">
        <v>62979.16</v>
      </c>
      <c r="D351" s="2022">
        <v>0</v>
      </c>
      <c r="E351" s="2022">
        <v>74050.149999999994</v>
      </c>
      <c r="F351" s="2022">
        <v>-263.16000000000003</v>
      </c>
      <c r="G351" s="2022">
        <f t="shared" si="10"/>
        <v>73786.989999999991</v>
      </c>
      <c r="I351" s="2022">
        <f>VLOOKUP(A351,'2012 - TB'!$A$3:$I$733,9,FALSE)</f>
        <v>73786.989999999991</v>
      </c>
      <c r="K351" s="2011">
        <f t="shared" si="11"/>
        <v>0</v>
      </c>
    </row>
    <row r="352" spans="1:11" x14ac:dyDescent="0.2">
      <c r="A352" t="s">
        <v>5258</v>
      </c>
      <c r="B352" t="s">
        <v>5259</v>
      </c>
      <c r="C352" s="2022">
        <v>200000</v>
      </c>
      <c r="D352" s="2022">
        <v>0</v>
      </c>
      <c r="E352" s="2022">
        <v>260.75</v>
      </c>
      <c r="F352" s="2022">
        <v>-11965.56</v>
      </c>
      <c r="G352" s="2022">
        <f t="shared" si="10"/>
        <v>-11704.81</v>
      </c>
      <c r="I352" s="2022">
        <f>VLOOKUP(A352,'2012 - TB'!$A$3:$I$733,9,FALSE)</f>
        <v>-11704.81</v>
      </c>
      <c r="K352" s="2011">
        <f t="shared" si="11"/>
        <v>0</v>
      </c>
    </row>
    <row r="353" spans="1:11" x14ac:dyDescent="0.2">
      <c r="A353" t="s">
        <v>5260</v>
      </c>
      <c r="B353" t="s">
        <v>4857</v>
      </c>
      <c r="C353" s="2022">
        <v>8342</v>
      </c>
      <c r="D353" s="2022">
        <v>0</v>
      </c>
      <c r="E353" s="2022">
        <v>8342</v>
      </c>
      <c r="F353" s="2022">
        <v>0</v>
      </c>
      <c r="G353" s="2022">
        <f t="shared" si="10"/>
        <v>8342</v>
      </c>
      <c r="I353" s="2022">
        <f>VLOOKUP(A353,'2012 - TB'!$A$3:$I$733,9,FALSE)</f>
        <v>8342</v>
      </c>
      <c r="K353" s="2011">
        <f t="shared" si="11"/>
        <v>0</v>
      </c>
    </row>
    <row r="354" spans="1:11" x14ac:dyDescent="0.2">
      <c r="A354" t="s">
        <v>5261</v>
      </c>
      <c r="B354" t="s">
        <v>7925</v>
      </c>
      <c r="C354" s="2022">
        <v>0</v>
      </c>
      <c r="D354" s="2022">
        <v>0</v>
      </c>
      <c r="E354" s="2022">
        <v>0</v>
      </c>
      <c r="F354" s="2022">
        <v>0</v>
      </c>
      <c r="G354" s="2022">
        <f t="shared" si="10"/>
        <v>0</v>
      </c>
      <c r="K354" s="2011">
        <f t="shared" si="11"/>
        <v>0</v>
      </c>
    </row>
    <row r="355" spans="1:11" x14ac:dyDescent="0.2">
      <c r="A355" t="s">
        <v>5262</v>
      </c>
      <c r="B355" t="s">
        <v>7926</v>
      </c>
      <c r="C355" s="2022">
        <v>0</v>
      </c>
      <c r="D355" s="2022">
        <v>0</v>
      </c>
      <c r="E355" s="2022">
        <v>0</v>
      </c>
      <c r="F355" s="2022">
        <v>0</v>
      </c>
      <c r="G355" s="2022">
        <f t="shared" si="10"/>
        <v>0</v>
      </c>
      <c r="K355" s="2011">
        <f t="shared" si="11"/>
        <v>0</v>
      </c>
    </row>
    <row r="356" spans="1:11" x14ac:dyDescent="0.2">
      <c r="A356" t="s">
        <v>5263</v>
      </c>
      <c r="B356" t="s">
        <v>7927</v>
      </c>
      <c r="C356" s="2022">
        <v>0</v>
      </c>
      <c r="D356" s="2022">
        <v>0</v>
      </c>
      <c r="E356" s="2022">
        <v>0</v>
      </c>
      <c r="F356" s="2022">
        <v>0</v>
      </c>
      <c r="G356" s="2022">
        <f t="shared" si="10"/>
        <v>0</v>
      </c>
      <c r="K356" s="2011">
        <f t="shared" si="11"/>
        <v>0</v>
      </c>
    </row>
    <row r="357" spans="1:11" x14ac:dyDescent="0.2">
      <c r="A357" t="s">
        <v>5264</v>
      </c>
      <c r="B357" t="s">
        <v>4921</v>
      </c>
      <c r="C357" s="2022">
        <v>24984.1</v>
      </c>
      <c r="D357" s="2022">
        <v>0</v>
      </c>
      <c r="E357" s="2022">
        <v>1908.01</v>
      </c>
      <c r="F357" s="2022">
        <v>0</v>
      </c>
      <c r="G357" s="2022">
        <f t="shared" si="10"/>
        <v>1908.01</v>
      </c>
      <c r="I357" s="2022">
        <f>VLOOKUP(A357,'2012 - TB'!$A$3:$I$733,9,FALSE)</f>
        <v>1908.01</v>
      </c>
      <c r="K357" s="2011">
        <f t="shared" si="11"/>
        <v>0</v>
      </c>
    </row>
    <row r="358" spans="1:11" x14ac:dyDescent="0.2">
      <c r="A358" t="s">
        <v>5265</v>
      </c>
      <c r="B358" t="s">
        <v>7928</v>
      </c>
      <c r="C358" s="2022">
        <v>0</v>
      </c>
      <c r="D358" s="2022">
        <v>0</v>
      </c>
      <c r="E358" s="2022">
        <v>0</v>
      </c>
      <c r="F358" s="2022">
        <v>0</v>
      </c>
      <c r="G358" s="2022">
        <f t="shared" si="10"/>
        <v>0</v>
      </c>
      <c r="K358" s="2011">
        <f t="shared" si="11"/>
        <v>0</v>
      </c>
    </row>
    <row r="359" spans="1:11" x14ac:dyDescent="0.2">
      <c r="A359" t="s">
        <v>5266</v>
      </c>
      <c r="B359" t="s">
        <v>7929</v>
      </c>
      <c r="C359" s="2022">
        <v>3038.53</v>
      </c>
      <c r="D359" s="2022">
        <v>0</v>
      </c>
      <c r="E359" s="2022">
        <v>1747.61</v>
      </c>
      <c r="F359" s="2022">
        <v>0</v>
      </c>
      <c r="G359" s="2022">
        <f t="shared" si="10"/>
        <v>1747.61</v>
      </c>
      <c r="I359" s="2022">
        <f>VLOOKUP(A359,'2012 - TB'!$A$3:$I$733,9,FALSE)</f>
        <v>1747.61</v>
      </c>
      <c r="K359" s="2011">
        <f t="shared" si="11"/>
        <v>0</v>
      </c>
    </row>
    <row r="360" spans="1:11" x14ac:dyDescent="0.2">
      <c r="A360" t="s">
        <v>5267</v>
      </c>
      <c r="B360" t="s">
        <v>5014</v>
      </c>
      <c r="C360" s="2022">
        <v>197461.19</v>
      </c>
      <c r="D360" s="2022">
        <v>0</v>
      </c>
      <c r="E360" s="2022">
        <v>200292.22</v>
      </c>
      <c r="F360" s="2022">
        <v>-2218.44</v>
      </c>
      <c r="G360" s="2022">
        <f t="shared" si="10"/>
        <v>198073.78</v>
      </c>
      <c r="I360" s="2022">
        <f>VLOOKUP(A360,'2012 - TB'!$A$3:$I$733,9,FALSE)</f>
        <v>198073.78</v>
      </c>
      <c r="K360" s="2011">
        <f t="shared" si="11"/>
        <v>0</v>
      </c>
    </row>
    <row r="361" spans="1:11" x14ac:dyDescent="0.2">
      <c r="A361" t="s">
        <v>5268</v>
      </c>
      <c r="B361" t="s">
        <v>5269</v>
      </c>
      <c r="C361" s="2022">
        <v>1083911.8999999999</v>
      </c>
      <c r="D361" s="2022">
        <v>0</v>
      </c>
      <c r="E361" s="2022">
        <v>1210970.23</v>
      </c>
      <c r="F361" s="2022">
        <v>-528386.36</v>
      </c>
      <c r="G361" s="2022">
        <f t="shared" si="10"/>
        <v>682583.87</v>
      </c>
      <c r="I361" s="2022">
        <f>VLOOKUP(A361,'2012 - TB'!$A$3:$I$733,9,FALSE)</f>
        <v>682583.88</v>
      </c>
      <c r="K361" s="2011">
        <f t="shared" si="11"/>
        <v>-1.0000000009313226E-2</v>
      </c>
    </row>
    <row r="362" spans="1:11" x14ac:dyDescent="0.2">
      <c r="A362" t="s">
        <v>5270</v>
      </c>
      <c r="B362" t="s">
        <v>6148</v>
      </c>
      <c r="C362" s="2022">
        <v>2067.98</v>
      </c>
      <c r="D362" s="2022">
        <v>0</v>
      </c>
      <c r="E362" s="2022">
        <v>2112</v>
      </c>
      <c r="F362" s="2022">
        <v>-1056</v>
      </c>
      <c r="G362" s="2022">
        <f t="shared" si="10"/>
        <v>1056</v>
      </c>
      <c r="I362" s="2022">
        <f>VLOOKUP(A362,'2012 - TB'!$A$3:$I$733,9,FALSE)</f>
        <v>1056</v>
      </c>
      <c r="K362" s="2011">
        <f t="shared" si="11"/>
        <v>0</v>
      </c>
    </row>
    <row r="363" spans="1:11" x14ac:dyDescent="0.2">
      <c r="A363" t="s">
        <v>5271</v>
      </c>
      <c r="B363" t="s">
        <v>6149</v>
      </c>
      <c r="C363" s="2022">
        <v>0</v>
      </c>
      <c r="D363" s="2022">
        <v>0</v>
      </c>
      <c r="E363" s="2022">
        <v>1227.44</v>
      </c>
      <c r="F363" s="2022">
        <v>0</v>
      </c>
      <c r="G363" s="2022">
        <f t="shared" si="10"/>
        <v>1227.44</v>
      </c>
      <c r="I363" s="2022">
        <f>VLOOKUP(A363,'2012 - TB'!$A$3:$I$733,9,FALSE)</f>
        <v>1227.44</v>
      </c>
      <c r="K363" s="2011">
        <f t="shared" si="11"/>
        <v>0</v>
      </c>
    </row>
    <row r="364" spans="1:11" x14ac:dyDescent="0.2">
      <c r="A364" t="s">
        <v>5272</v>
      </c>
      <c r="B364" t="s">
        <v>7741</v>
      </c>
      <c r="C364" s="2022">
        <v>0</v>
      </c>
      <c r="D364" s="2022">
        <v>0</v>
      </c>
      <c r="E364" s="2022">
        <v>0</v>
      </c>
      <c r="F364" s="2022">
        <v>0</v>
      </c>
      <c r="G364" s="2022">
        <f t="shared" si="10"/>
        <v>0</v>
      </c>
      <c r="K364" s="2011">
        <f t="shared" si="11"/>
        <v>0</v>
      </c>
    </row>
    <row r="365" spans="1:11" x14ac:dyDescent="0.2">
      <c r="A365" t="s">
        <v>5273</v>
      </c>
      <c r="B365" t="s">
        <v>4873</v>
      </c>
      <c r="C365" s="2022">
        <v>0</v>
      </c>
      <c r="D365" s="2022">
        <v>0</v>
      </c>
      <c r="E365" s="2022">
        <v>403288.75</v>
      </c>
      <c r="F365" s="2022">
        <v>-390.75</v>
      </c>
      <c r="G365" s="2022">
        <f t="shared" si="10"/>
        <v>402898</v>
      </c>
      <c r="I365" s="2022">
        <f>VLOOKUP(A365,'2012 - TB'!$A$3:$I$733,9,FALSE)</f>
        <v>405213.79</v>
      </c>
      <c r="K365" s="2011">
        <f t="shared" si="11"/>
        <v>-2315.789999999979</v>
      </c>
    </row>
    <row r="366" spans="1:11" x14ac:dyDescent="0.2">
      <c r="A366" t="s">
        <v>5274</v>
      </c>
      <c r="B366" t="s">
        <v>4873</v>
      </c>
      <c r="C366" s="2022">
        <v>2015.99</v>
      </c>
      <c r="D366" s="2022">
        <v>0</v>
      </c>
      <c r="E366" s="2022">
        <v>3007.78</v>
      </c>
      <c r="F366" s="2022">
        <v>-3007.78</v>
      </c>
      <c r="G366" s="2022">
        <f t="shared" si="10"/>
        <v>0</v>
      </c>
      <c r="I366" s="2022">
        <f>VLOOKUP(A366,'2012 - TB'!$A$3:$I$733,9,FALSE)</f>
        <v>0</v>
      </c>
      <c r="K366" s="2011">
        <f t="shared" si="11"/>
        <v>0</v>
      </c>
    </row>
    <row r="367" spans="1:11" x14ac:dyDescent="0.2">
      <c r="A367" t="s">
        <v>5275</v>
      </c>
      <c r="B367" t="s">
        <v>6150</v>
      </c>
      <c r="C367" s="2022">
        <v>2067.98</v>
      </c>
      <c r="D367" s="2022">
        <v>0</v>
      </c>
      <c r="E367" s="2022">
        <v>1203.0899999999999</v>
      </c>
      <c r="F367" s="2022">
        <v>0</v>
      </c>
      <c r="G367" s="2022">
        <f t="shared" si="10"/>
        <v>1203.0899999999999</v>
      </c>
      <c r="I367" s="2022">
        <f>VLOOKUP(A367,'2012 - TB'!$A$3:$I$733,9,FALSE)</f>
        <v>1203.0899999999999</v>
      </c>
      <c r="K367" s="2011">
        <f t="shared" si="11"/>
        <v>0</v>
      </c>
    </row>
    <row r="368" spans="1:11" x14ac:dyDescent="0.2">
      <c r="A368" t="s">
        <v>5276</v>
      </c>
      <c r="B368" t="s">
        <v>7930</v>
      </c>
      <c r="C368" s="2022">
        <v>0</v>
      </c>
      <c r="D368" s="2022">
        <v>0</v>
      </c>
      <c r="E368" s="2022">
        <v>0</v>
      </c>
      <c r="F368" s="2022">
        <v>0</v>
      </c>
      <c r="G368" s="2022">
        <f t="shared" si="10"/>
        <v>0</v>
      </c>
      <c r="K368" s="2011">
        <f t="shared" si="11"/>
        <v>0</v>
      </c>
    </row>
    <row r="369" spans="1:73" s="2215" customFormat="1" x14ac:dyDescent="0.2">
      <c r="A369" s="2215" t="s">
        <v>5277</v>
      </c>
      <c r="B369" s="2215" t="s">
        <v>7931</v>
      </c>
      <c r="C369" s="2230">
        <v>0</v>
      </c>
      <c r="D369" s="2230">
        <v>0</v>
      </c>
      <c r="E369" s="2230">
        <v>110350</v>
      </c>
      <c r="F369" s="2230">
        <v>0</v>
      </c>
      <c r="G369" s="2230">
        <f t="shared" si="10"/>
        <v>110350</v>
      </c>
      <c r="I369" s="2230">
        <f>VLOOKUP(A369,'2012 - TB'!$A$3:$I$733,9,FALSE)</f>
        <v>350</v>
      </c>
      <c r="K369" s="2728">
        <f t="shared" si="11"/>
        <v>110000</v>
      </c>
      <c r="L369" s="2024"/>
      <c r="M369" s="2024"/>
      <c r="N369" s="2024"/>
      <c r="O369" s="2024"/>
      <c r="P369" s="2024"/>
      <c r="Q369" s="2024"/>
      <c r="R369" s="2024"/>
      <c r="S369" s="2024"/>
      <c r="T369" s="2024"/>
      <c r="U369" s="2024"/>
      <c r="V369" s="2024"/>
      <c r="W369" s="2024"/>
      <c r="X369" s="2024"/>
      <c r="Y369" s="2024"/>
      <c r="Z369" s="2024"/>
      <c r="AA369" s="2024"/>
      <c r="AB369" s="2024"/>
      <c r="AC369" s="2024"/>
      <c r="AD369" s="2024"/>
      <c r="AE369" s="2024"/>
      <c r="AF369" s="2024"/>
      <c r="AG369" s="2024"/>
      <c r="AH369" s="2024"/>
      <c r="AI369" s="2024"/>
      <c r="AJ369" s="2024"/>
      <c r="AK369" s="2024"/>
      <c r="AL369" s="2024"/>
      <c r="AM369" s="2024"/>
      <c r="AN369" s="2024"/>
      <c r="AO369" s="2024"/>
      <c r="AP369" s="2024"/>
      <c r="AQ369" s="2024"/>
      <c r="AR369" s="2024"/>
      <c r="AS369" s="2024"/>
      <c r="AT369" s="2024"/>
      <c r="AU369" s="2024"/>
      <c r="AV369" s="2024"/>
      <c r="AW369" s="2024"/>
      <c r="AX369" s="2024"/>
      <c r="AY369" s="2024"/>
      <c r="AZ369" s="2024"/>
      <c r="BA369" s="2024"/>
      <c r="BB369" s="2024"/>
      <c r="BC369" s="2024"/>
      <c r="BD369" s="2024"/>
      <c r="BE369" s="2024"/>
      <c r="BF369" s="2024"/>
      <c r="BG369" s="2024"/>
      <c r="BH369" s="2024"/>
      <c r="BI369" s="2024"/>
      <c r="BJ369" s="2024"/>
      <c r="BK369" s="2024"/>
      <c r="BL369" s="2024"/>
      <c r="BM369" s="2024"/>
      <c r="BN369" s="2024"/>
      <c r="BO369" s="2024"/>
      <c r="BP369" s="2024"/>
      <c r="BQ369" s="2024"/>
      <c r="BR369" s="2024"/>
      <c r="BS369" s="2024"/>
      <c r="BT369" s="2024"/>
      <c r="BU369" s="2024"/>
    </row>
    <row r="370" spans="1:73" s="2215" customFormat="1" x14ac:dyDescent="0.2">
      <c r="A370" s="2215" t="s">
        <v>5278</v>
      </c>
      <c r="B370" s="2215" t="s">
        <v>4877</v>
      </c>
      <c r="C370" s="2230">
        <v>49178.8</v>
      </c>
      <c r="D370" s="2230">
        <v>0</v>
      </c>
      <c r="E370" s="2230">
        <v>327495.5</v>
      </c>
      <c r="F370" s="2230">
        <v>-300</v>
      </c>
      <c r="G370" s="2230">
        <f t="shared" si="10"/>
        <v>327195.5</v>
      </c>
      <c r="I370" s="2230">
        <f>VLOOKUP(A370,'2012 - TB'!$A$3:$I$733,9,FALSE)</f>
        <v>437195.5</v>
      </c>
      <c r="K370" s="2634">
        <f t="shared" si="11"/>
        <v>-110000</v>
      </c>
      <c r="L370" s="2024"/>
      <c r="M370" s="2024"/>
      <c r="N370" s="2024"/>
      <c r="O370" s="2024"/>
      <c r="P370" s="2024"/>
      <c r="Q370" s="2024"/>
      <c r="R370" s="2024"/>
      <c r="S370" s="2024"/>
      <c r="T370" s="2024"/>
      <c r="U370" s="2024"/>
      <c r="V370" s="2024"/>
      <c r="W370" s="2024"/>
      <c r="X370" s="2024"/>
      <c r="Y370" s="2024"/>
      <c r="Z370" s="2024"/>
      <c r="AA370" s="2024"/>
      <c r="AB370" s="2024"/>
      <c r="AC370" s="2024"/>
      <c r="AD370" s="2024"/>
      <c r="AE370" s="2024"/>
      <c r="AF370" s="2024"/>
      <c r="AG370" s="2024"/>
      <c r="AH370" s="2024"/>
      <c r="AI370" s="2024"/>
      <c r="AJ370" s="2024"/>
      <c r="AK370" s="2024"/>
      <c r="AL370" s="2024"/>
      <c r="AM370" s="2024"/>
      <c r="AN370" s="2024"/>
      <c r="AO370" s="2024"/>
      <c r="AP370" s="2024"/>
      <c r="AQ370" s="2024"/>
      <c r="AR370" s="2024"/>
      <c r="AS370" s="2024"/>
      <c r="AT370" s="2024"/>
      <c r="AU370" s="2024"/>
      <c r="AV370" s="2024"/>
      <c r="AW370" s="2024"/>
      <c r="AX370" s="2024"/>
      <c r="AY370" s="2024"/>
      <c r="AZ370" s="2024"/>
      <c r="BA370" s="2024"/>
      <c r="BB370" s="2024"/>
      <c r="BC370" s="2024"/>
      <c r="BD370" s="2024"/>
      <c r="BE370" s="2024"/>
      <c r="BF370" s="2024"/>
      <c r="BG370" s="2024"/>
      <c r="BH370" s="2024"/>
      <c r="BI370" s="2024"/>
      <c r="BJ370" s="2024"/>
      <c r="BK370" s="2024"/>
      <c r="BL370" s="2024"/>
      <c r="BM370" s="2024"/>
      <c r="BN370" s="2024"/>
      <c r="BO370" s="2024"/>
      <c r="BP370" s="2024"/>
      <c r="BQ370" s="2024"/>
      <c r="BR370" s="2024"/>
      <c r="BS370" s="2024"/>
      <c r="BT370" s="2024"/>
      <c r="BU370" s="2024"/>
    </row>
    <row r="371" spans="1:73" x14ac:dyDescent="0.2">
      <c r="A371" t="s">
        <v>5279</v>
      </c>
      <c r="B371" t="s">
        <v>6153</v>
      </c>
      <c r="C371" s="2022">
        <v>83153.990000000005</v>
      </c>
      <c r="D371" s="2022">
        <v>0</v>
      </c>
      <c r="E371" s="2022">
        <v>66712.009999999995</v>
      </c>
      <c r="F371" s="2022">
        <v>0</v>
      </c>
      <c r="G371" s="2022">
        <f t="shared" si="10"/>
        <v>66712.009999999995</v>
      </c>
      <c r="I371" s="2022">
        <f>VLOOKUP(A371,'2012 - TB'!$A$3:$I$733,9,FALSE)</f>
        <v>66712.009999999995</v>
      </c>
      <c r="K371" s="2011">
        <f t="shared" si="11"/>
        <v>0</v>
      </c>
    </row>
    <row r="372" spans="1:73" x14ac:dyDescent="0.2">
      <c r="A372" t="s">
        <v>5280</v>
      </c>
      <c r="B372" t="s">
        <v>6153</v>
      </c>
      <c r="C372" s="2022">
        <v>20000</v>
      </c>
      <c r="D372" s="2022">
        <v>0</v>
      </c>
      <c r="E372" s="2022">
        <v>87309.21</v>
      </c>
      <c r="F372" s="2022">
        <v>0</v>
      </c>
      <c r="G372" s="2022">
        <f t="shared" si="10"/>
        <v>87309.21</v>
      </c>
      <c r="I372" s="2022">
        <f>VLOOKUP(A372,'2012 - TB'!$A$3:$I$733,9,FALSE)</f>
        <v>87309.209999999992</v>
      </c>
      <c r="K372" s="2011">
        <f t="shared" si="11"/>
        <v>0</v>
      </c>
    </row>
    <row r="373" spans="1:73" x14ac:dyDescent="0.2">
      <c r="A373" t="s">
        <v>5281</v>
      </c>
      <c r="B373" t="s">
        <v>6154</v>
      </c>
      <c r="C373" s="2022">
        <v>1746.46</v>
      </c>
      <c r="D373" s="2022">
        <v>0</v>
      </c>
      <c r="E373" s="2022">
        <v>1746.49</v>
      </c>
      <c r="F373" s="2022">
        <v>0</v>
      </c>
      <c r="G373" s="2022">
        <f t="shared" si="10"/>
        <v>1746.49</v>
      </c>
      <c r="I373" s="2022">
        <f>VLOOKUP(A373,'2012 - TB'!$A$3:$I$733,9,FALSE)</f>
        <v>1746.49</v>
      </c>
      <c r="K373" s="2011">
        <f t="shared" si="11"/>
        <v>0</v>
      </c>
    </row>
    <row r="374" spans="1:73" x14ac:dyDescent="0.2">
      <c r="A374" t="s">
        <v>5282</v>
      </c>
      <c r="B374" t="s">
        <v>6155</v>
      </c>
      <c r="C374" s="2022">
        <v>225189.46</v>
      </c>
      <c r="D374" s="2022">
        <v>0</v>
      </c>
      <c r="E374" s="2022">
        <v>327231.87</v>
      </c>
      <c r="F374" s="2022">
        <v>0</v>
      </c>
      <c r="G374" s="2022">
        <f t="shared" si="10"/>
        <v>327231.87</v>
      </c>
      <c r="I374" s="2022">
        <f>VLOOKUP(A374,'2012 - TB'!$A$3:$I$733,9,FALSE)</f>
        <v>327231.87</v>
      </c>
      <c r="K374" s="2011">
        <f t="shared" si="11"/>
        <v>0</v>
      </c>
    </row>
    <row r="375" spans="1:73" x14ac:dyDescent="0.2">
      <c r="A375" t="s">
        <v>5283</v>
      </c>
      <c r="B375" t="s">
        <v>7932</v>
      </c>
      <c r="C375" s="2022">
        <v>0</v>
      </c>
      <c r="D375" s="2022">
        <v>0</v>
      </c>
      <c r="E375" s="2022">
        <v>0</v>
      </c>
      <c r="F375" s="2022">
        <v>0</v>
      </c>
      <c r="G375" s="2022">
        <f t="shared" si="10"/>
        <v>0</v>
      </c>
      <c r="K375" s="2011">
        <f t="shared" si="11"/>
        <v>0</v>
      </c>
    </row>
    <row r="376" spans="1:73" x14ac:dyDescent="0.2">
      <c r="A376" t="s">
        <v>5284</v>
      </c>
      <c r="B376" t="s">
        <v>6156</v>
      </c>
      <c r="C376" s="2022">
        <v>4078.95</v>
      </c>
      <c r="D376" s="2022">
        <v>0</v>
      </c>
      <c r="E376" s="2022">
        <v>5605.09</v>
      </c>
      <c r="F376" s="2022">
        <v>-2000</v>
      </c>
      <c r="G376" s="2022">
        <f t="shared" si="10"/>
        <v>3605.09</v>
      </c>
      <c r="I376" s="2022">
        <f>VLOOKUP(A376,'2012 - TB'!$A$3:$I$733,9,FALSE)</f>
        <v>3605.09</v>
      </c>
      <c r="K376" s="2011">
        <f t="shared" si="11"/>
        <v>0</v>
      </c>
    </row>
    <row r="377" spans="1:73" x14ac:dyDescent="0.2">
      <c r="A377" t="s">
        <v>5286</v>
      </c>
      <c r="B377" t="s">
        <v>6157</v>
      </c>
      <c r="C377" s="2022">
        <v>211772.18</v>
      </c>
      <c r="D377" s="2022">
        <v>0</v>
      </c>
      <c r="E377" s="2022">
        <v>372010.17</v>
      </c>
      <c r="F377" s="2022">
        <v>-6005.46</v>
      </c>
      <c r="G377" s="2022">
        <f t="shared" si="10"/>
        <v>366004.70999999996</v>
      </c>
      <c r="I377" s="2022">
        <f>VLOOKUP(A377,'2012 - TB'!$A$3:$I$733,9,FALSE)</f>
        <v>366004.70999999996</v>
      </c>
      <c r="K377" s="2011">
        <f t="shared" si="11"/>
        <v>0</v>
      </c>
    </row>
    <row r="378" spans="1:73" x14ac:dyDescent="0.2">
      <c r="A378" t="s">
        <v>5287</v>
      </c>
      <c r="B378" t="s">
        <v>6158</v>
      </c>
      <c r="C378" s="2022">
        <v>375046.02</v>
      </c>
      <c r="D378" s="2022">
        <v>0</v>
      </c>
      <c r="E378" s="2022">
        <v>2251095.9700000002</v>
      </c>
      <c r="F378" s="2022">
        <v>-1965911.74</v>
      </c>
      <c r="G378" s="2022">
        <f t="shared" si="10"/>
        <v>285184.23000000021</v>
      </c>
      <c r="I378" s="2022">
        <f>VLOOKUP(A378,'2012 - TB'!$A$3:$I$733,9,FALSE)</f>
        <v>285184.23000000021</v>
      </c>
      <c r="K378" s="2011">
        <f t="shared" si="11"/>
        <v>0</v>
      </c>
    </row>
    <row r="379" spans="1:73" x14ac:dyDescent="0.2">
      <c r="A379" t="s">
        <v>5288</v>
      </c>
      <c r="B379" t="s">
        <v>4883</v>
      </c>
      <c r="C379" s="2022">
        <v>0</v>
      </c>
      <c r="D379" s="2022">
        <v>0</v>
      </c>
      <c r="E379" s="2022">
        <v>0</v>
      </c>
      <c r="F379" s="2022">
        <v>0</v>
      </c>
      <c r="G379" s="2022">
        <f t="shared" si="10"/>
        <v>0</v>
      </c>
      <c r="K379" s="2011">
        <f t="shared" si="11"/>
        <v>0</v>
      </c>
    </row>
    <row r="380" spans="1:73" x14ac:dyDescent="0.2">
      <c r="A380" t="s">
        <v>5289</v>
      </c>
      <c r="B380" t="s">
        <v>7933</v>
      </c>
      <c r="C380" s="2022">
        <v>0</v>
      </c>
      <c r="D380" s="2022">
        <v>0</v>
      </c>
      <c r="E380" s="2022">
        <v>0</v>
      </c>
      <c r="F380" s="2022">
        <v>0</v>
      </c>
      <c r="G380" s="2022">
        <f t="shared" si="10"/>
        <v>0</v>
      </c>
      <c r="K380" s="2011">
        <f t="shared" si="11"/>
        <v>0</v>
      </c>
    </row>
    <row r="381" spans="1:73" s="2215" customFormat="1" x14ac:dyDescent="0.2">
      <c r="A381" s="2215" t="s">
        <v>5290</v>
      </c>
      <c r="B381" s="2215" t="s">
        <v>7934</v>
      </c>
      <c r="C381" s="2230">
        <v>0</v>
      </c>
      <c r="D381" s="2230">
        <v>0</v>
      </c>
      <c r="E381" s="2230">
        <v>0</v>
      </c>
      <c r="F381" s="2230">
        <v>0</v>
      </c>
      <c r="G381" s="2230">
        <f t="shared" si="10"/>
        <v>0</v>
      </c>
      <c r="I381" s="2230">
        <f>VLOOKUP(A381,'2012 - TB'!$A$3:$I$733,9,FALSE)</f>
        <v>3119187.56</v>
      </c>
      <c r="K381" s="2634">
        <f t="shared" si="11"/>
        <v>-3119187.56</v>
      </c>
      <c r="L381" s="2024"/>
      <c r="M381" s="2024"/>
      <c r="N381" s="2024"/>
      <c r="O381" s="2024"/>
      <c r="P381" s="2024"/>
      <c r="Q381" s="2024"/>
      <c r="R381" s="2024"/>
      <c r="S381" s="2024"/>
      <c r="T381" s="2024"/>
      <c r="U381" s="2024"/>
      <c r="V381" s="2024"/>
      <c r="W381" s="2024"/>
      <c r="X381" s="2024"/>
      <c r="Y381" s="2024"/>
      <c r="Z381" s="2024"/>
      <c r="AA381" s="2024"/>
      <c r="AB381" s="2024"/>
      <c r="AC381" s="2024"/>
      <c r="AD381" s="2024"/>
      <c r="AE381" s="2024"/>
      <c r="AF381" s="2024"/>
      <c r="AG381" s="2024"/>
      <c r="AH381" s="2024"/>
      <c r="AI381" s="2024"/>
      <c r="AJ381" s="2024"/>
      <c r="AK381" s="2024"/>
      <c r="AL381" s="2024"/>
      <c r="AM381" s="2024"/>
      <c r="AN381" s="2024"/>
      <c r="AO381" s="2024"/>
      <c r="AP381" s="2024"/>
      <c r="AQ381" s="2024"/>
      <c r="AR381" s="2024"/>
      <c r="AS381" s="2024"/>
      <c r="AT381" s="2024"/>
      <c r="AU381" s="2024"/>
      <c r="AV381" s="2024"/>
      <c r="AW381" s="2024"/>
      <c r="AX381" s="2024"/>
      <c r="AY381" s="2024"/>
      <c r="AZ381" s="2024"/>
      <c r="BA381" s="2024"/>
      <c r="BB381" s="2024"/>
      <c r="BC381" s="2024"/>
      <c r="BD381" s="2024"/>
      <c r="BE381" s="2024"/>
      <c r="BF381" s="2024"/>
      <c r="BG381" s="2024"/>
      <c r="BH381" s="2024"/>
      <c r="BI381" s="2024"/>
      <c r="BJ381" s="2024"/>
      <c r="BK381" s="2024"/>
      <c r="BL381" s="2024"/>
      <c r="BM381" s="2024"/>
      <c r="BN381" s="2024"/>
      <c r="BO381" s="2024"/>
      <c r="BP381" s="2024"/>
      <c r="BQ381" s="2024"/>
      <c r="BR381" s="2024"/>
      <c r="BS381" s="2024"/>
      <c r="BT381" s="2024"/>
      <c r="BU381" s="2024"/>
    </row>
    <row r="382" spans="1:73" x14ac:dyDescent="0.2">
      <c r="A382" t="s">
        <v>5291</v>
      </c>
      <c r="B382" t="s">
        <v>7935</v>
      </c>
      <c r="C382" s="2022">
        <v>1694.18</v>
      </c>
      <c r="D382" s="2022">
        <v>0</v>
      </c>
      <c r="E382" s="2022">
        <v>627.46</v>
      </c>
      <c r="F382" s="2022">
        <v>-627.46</v>
      </c>
      <c r="G382" s="2022">
        <f t="shared" si="10"/>
        <v>0</v>
      </c>
      <c r="I382" s="2022">
        <f>VLOOKUP(A382,'2012 - TB'!$A$3:$I$733,9,FALSE)</f>
        <v>0</v>
      </c>
      <c r="K382" s="2011">
        <f t="shared" si="11"/>
        <v>0</v>
      </c>
    </row>
    <row r="383" spans="1:73" x14ac:dyDescent="0.2">
      <c r="A383" t="s">
        <v>5292</v>
      </c>
      <c r="B383" t="s">
        <v>7742</v>
      </c>
      <c r="C383" s="2022">
        <v>0</v>
      </c>
      <c r="D383" s="2022">
        <v>0</v>
      </c>
      <c r="E383" s="2022">
        <v>0</v>
      </c>
      <c r="F383" s="2022">
        <v>0</v>
      </c>
      <c r="G383" s="2022">
        <f t="shared" si="10"/>
        <v>0</v>
      </c>
      <c r="K383" s="2011">
        <f t="shared" si="11"/>
        <v>0</v>
      </c>
    </row>
    <row r="384" spans="1:73" s="2215" customFormat="1" x14ac:dyDescent="0.2">
      <c r="A384" s="2215" t="s">
        <v>5293</v>
      </c>
      <c r="B384" s="2215" t="s">
        <v>4929</v>
      </c>
      <c r="C384" s="2230">
        <v>0</v>
      </c>
      <c r="D384" s="2230">
        <v>0</v>
      </c>
      <c r="E384" s="2230">
        <v>8126220.79</v>
      </c>
      <c r="F384" s="2230">
        <v>-8379576.79</v>
      </c>
      <c r="G384" s="2230">
        <f t="shared" si="10"/>
        <v>-253356</v>
      </c>
      <c r="I384" s="2230">
        <f>VLOOKUP(A384,'2012 - TB'!$A$3:$I$733,9,FALSE)</f>
        <v>0</v>
      </c>
      <c r="K384" s="2463">
        <f t="shared" si="11"/>
        <v>-253356</v>
      </c>
      <c r="L384" s="2024"/>
      <c r="M384" s="2024"/>
      <c r="N384" s="2024"/>
      <c r="O384" s="2024"/>
      <c r="P384" s="2024"/>
      <c r="Q384" s="2024"/>
      <c r="R384" s="2024"/>
      <c r="S384" s="2024"/>
      <c r="T384" s="2024"/>
      <c r="U384" s="2024"/>
      <c r="V384" s="2024"/>
      <c r="W384" s="2024"/>
      <c r="X384" s="2024"/>
      <c r="Y384" s="2024"/>
      <c r="Z384" s="2024"/>
      <c r="AA384" s="2024"/>
      <c r="AB384" s="2024"/>
      <c r="AC384" s="2024"/>
      <c r="AD384" s="2024"/>
      <c r="AE384" s="2024"/>
      <c r="AF384" s="2024"/>
      <c r="AG384" s="2024"/>
      <c r="AH384" s="2024"/>
      <c r="AI384" s="2024"/>
      <c r="AJ384" s="2024"/>
      <c r="AK384" s="2024"/>
      <c r="AL384" s="2024"/>
      <c r="AM384" s="2024"/>
      <c r="AN384" s="2024"/>
      <c r="AO384" s="2024"/>
      <c r="AP384" s="2024"/>
      <c r="AQ384" s="2024"/>
      <c r="AR384" s="2024"/>
      <c r="AS384" s="2024"/>
      <c r="AT384" s="2024"/>
      <c r="AU384" s="2024"/>
      <c r="AV384" s="2024"/>
      <c r="AW384" s="2024"/>
      <c r="AX384" s="2024"/>
      <c r="AY384" s="2024"/>
      <c r="AZ384" s="2024"/>
      <c r="BA384" s="2024"/>
      <c r="BB384" s="2024"/>
      <c r="BC384" s="2024"/>
      <c r="BD384" s="2024"/>
      <c r="BE384" s="2024"/>
      <c r="BF384" s="2024"/>
      <c r="BG384" s="2024"/>
      <c r="BH384" s="2024"/>
      <c r="BI384" s="2024"/>
      <c r="BJ384" s="2024"/>
      <c r="BK384" s="2024"/>
      <c r="BL384" s="2024"/>
      <c r="BM384" s="2024"/>
      <c r="BN384" s="2024"/>
      <c r="BO384" s="2024"/>
      <c r="BP384" s="2024"/>
      <c r="BQ384" s="2024"/>
      <c r="BR384" s="2024"/>
      <c r="BS384" s="2024"/>
      <c r="BT384" s="2024"/>
      <c r="BU384" s="2024"/>
    </row>
    <row r="385" spans="1:11" x14ac:dyDescent="0.2">
      <c r="A385" t="s">
        <v>5294</v>
      </c>
      <c r="B385" t="s">
        <v>6160</v>
      </c>
      <c r="C385" s="2022">
        <v>800000</v>
      </c>
      <c r="D385" s="2022">
        <v>0</v>
      </c>
      <c r="E385" s="2022">
        <v>1909365.3</v>
      </c>
      <c r="F385" s="2022">
        <v>-184750</v>
      </c>
      <c r="G385" s="2022">
        <f t="shared" si="10"/>
        <v>1724615.3</v>
      </c>
      <c r="I385" s="2022">
        <f>VLOOKUP(A385,'2012 - TB'!$A$3:$I$733,9,FALSE)</f>
        <v>1724615.3</v>
      </c>
      <c r="K385" s="2011">
        <f t="shared" si="11"/>
        <v>0</v>
      </c>
    </row>
    <row r="386" spans="1:11" x14ac:dyDescent="0.2">
      <c r="A386" t="s">
        <v>5295</v>
      </c>
      <c r="B386" t="s">
        <v>5296</v>
      </c>
      <c r="C386" s="2022">
        <v>600000</v>
      </c>
      <c r="D386" s="2022">
        <v>0</v>
      </c>
      <c r="E386" s="2022">
        <v>0</v>
      </c>
      <c r="F386" s="2022">
        <v>0</v>
      </c>
      <c r="G386" s="2022">
        <f t="shared" ref="G386:G449" si="12">SUM(D386:F386)</f>
        <v>0</v>
      </c>
      <c r="I386" s="2022">
        <f>VLOOKUP(A386,'2012 - TB'!$A$3:$I$733,9,FALSE)</f>
        <v>0</v>
      </c>
      <c r="K386" s="2011">
        <f t="shared" ref="K386:K449" si="13">G386-I386</f>
        <v>0</v>
      </c>
    </row>
    <row r="387" spans="1:11" x14ac:dyDescent="0.2">
      <c r="A387" t="s">
        <v>5297</v>
      </c>
      <c r="B387" t="s">
        <v>7936</v>
      </c>
      <c r="C387" s="2022">
        <v>0</v>
      </c>
      <c r="D387" s="2022">
        <v>0</v>
      </c>
      <c r="E387" s="2022">
        <v>0</v>
      </c>
      <c r="F387" s="2022">
        <v>0</v>
      </c>
      <c r="G387" s="2022">
        <f t="shared" si="12"/>
        <v>0</v>
      </c>
      <c r="K387" s="2011">
        <f t="shared" si="13"/>
        <v>0</v>
      </c>
    </row>
    <row r="388" spans="1:11" x14ac:dyDescent="0.2">
      <c r="A388" t="s">
        <v>5298</v>
      </c>
      <c r="B388" t="s">
        <v>4893</v>
      </c>
      <c r="C388" s="2022">
        <v>0</v>
      </c>
      <c r="D388" s="2022">
        <v>0</v>
      </c>
      <c r="E388" s="2022">
        <v>0</v>
      </c>
      <c r="F388" s="2022">
        <v>0</v>
      </c>
      <c r="G388" s="2022">
        <f t="shared" si="12"/>
        <v>0</v>
      </c>
      <c r="K388" s="2011">
        <f t="shared" si="13"/>
        <v>0</v>
      </c>
    </row>
    <row r="389" spans="1:11" x14ac:dyDescent="0.2">
      <c r="A389" t="s">
        <v>5299</v>
      </c>
      <c r="B389" t="s">
        <v>4893</v>
      </c>
      <c r="C389" s="2022">
        <v>1982.46</v>
      </c>
      <c r="D389" s="2022">
        <v>0</v>
      </c>
      <c r="E389" s="2022">
        <v>1982.46</v>
      </c>
      <c r="F389" s="2022">
        <v>0</v>
      </c>
      <c r="G389" s="2022">
        <f t="shared" si="12"/>
        <v>1982.46</v>
      </c>
      <c r="I389" s="2022">
        <f>VLOOKUP(A389,'2012 - TB'!$A$3:$I$733,9,FALSE)</f>
        <v>1982.46</v>
      </c>
      <c r="K389" s="2011">
        <f t="shared" si="13"/>
        <v>0</v>
      </c>
    </row>
    <row r="390" spans="1:11" x14ac:dyDescent="0.2">
      <c r="A390" t="s">
        <v>5300</v>
      </c>
      <c r="B390" t="s">
        <v>6161</v>
      </c>
      <c r="C390" s="2022">
        <v>0</v>
      </c>
      <c r="D390" s="2022">
        <v>0</v>
      </c>
      <c r="E390" s="2022">
        <v>43.86</v>
      </c>
      <c r="F390" s="2022">
        <v>0</v>
      </c>
      <c r="G390" s="2022">
        <f t="shared" si="12"/>
        <v>43.86</v>
      </c>
      <c r="I390" s="2022">
        <f>VLOOKUP(A390,'2012 - TB'!$A$3:$I$733,9,FALSE)</f>
        <v>43.86</v>
      </c>
      <c r="K390" s="2011">
        <f t="shared" si="13"/>
        <v>0</v>
      </c>
    </row>
    <row r="391" spans="1:11" x14ac:dyDescent="0.2">
      <c r="A391" t="s">
        <v>5301</v>
      </c>
      <c r="B391" t="s">
        <v>6162</v>
      </c>
      <c r="C391" s="2022">
        <v>5221.82</v>
      </c>
      <c r="D391" s="2022">
        <v>0</v>
      </c>
      <c r="E391" s="2022">
        <v>5221.82</v>
      </c>
      <c r="F391" s="2022">
        <v>0</v>
      </c>
      <c r="G391" s="2022">
        <f t="shared" si="12"/>
        <v>5221.82</v>
      </c>
      <c r="I391" s="2022">
        <f>VLOOKUP(A391,'2012 - TB'!$A$3:$I$733,9,FALSE)</f>
        <v>5221.82</v>
      </c>
      <c r="K391" s="2011">
        <f t="shared" si="13"/>
        <v>0</v>
      </c>
    </row>
    <row r="392" spans="1:11" x14ac:dyDescent="0.2">
      <c r="A392" t="s">
        <v>5302</v>
      </c>
      <c r="B392" t="s">
        <v>6163</v>
      </c>
      <c r="C392" s="2022">
        <v>13818.53</v>
      </c>
      <c r="D392" s="2022">
        <v>0</v>
      </c>
      <c r="E392" s="2022">
        <v>0</v>
      </c>
      <c r="F392" s="2022">
        <v>0</v>
      </c>
      <c r="G392" s="2022">
        <f t="shared" si="12"/>
        <v>0</v>
      </c>
      <c r="I392" s="2022">
        <f>VLOOKUP(A392,'2012 - TB'!$A$3:$I$733,9,FALSE)</f>
        <v>0</v>
      </c>
      <c r="K392" s="2011">
        <f t="shared" si="13"/>
        <v>0</v>
      </c>
    </row>
    <row r="393" spans="1:11" x14ac:dyDescent="0.2">
      <c r="A393" t="s">
        <v>5303</v>
      </c>
      <c r="B393" t="s">
        <v>4899</v>
      </c>
      <c r="C393" s="2022">
        <v>0</v>
      </c>
      <c r="D393" s="2022">
        <v>0</v>
      </c>
      <c r="E393" s="2022">
        <v>0</v>
      </c>
      <c r="F393" s="2022">
        <v>0</v>
      </c>
      <c r="G393" s="2022">
        <f t="shared" si="12"/>
        <v>0</v>
      </c>
      <c r="K393" s="2011">
        <f t="shared" si="13"/>
        <v>0</v>
      </c>
    </row>
    <row r="394" spans="1:11" x14ac:dyDescent="0.2">
      <c r="A394" t="s">
        <v>5304</v>
      </c>
      <c r="B394" t="s">
        <v>4899</v>
      </c>
      <c r="C394" s="2022">
        <v>15212.05</v>
      </c>
      <c r="D394" s="2022">
        <v>0</v>
      </c>
      <c r="E394" s="2022">
        <v>0</v>
      </c>
      <c r="F394" s="2022">
        <v>0</v>
      </c>
      <c r="G394" s="2022">
        <f t="shared" si="12"/>
        <v>0</v>
      </c>
      <c r="I394" s="2022">
        <f>VLOOKUP(A394,'2012 - TB'!$A$3:$I$733,9,FALSE)</f>
        <v>0</v>
      </c>
      <c r="K394" s="2011">
        <f t="shared" si="13"/>
        <v>0</v>
      </c>
    </row>
    <row r="395" spans="1:11" x14ac:dyDescent="0.2">
      <c r="A395" t="s">
        <v>5305</v>
      </c>
      <c r="B395" t="s">
        <v>6164</v>
      </c>
      <c r="C395" s="2022">
        <v>-462705.37</v>
      </c>
      <c r="D395" s="2022">
        <v>0</v>
      </c>
      <c r="E395" s="2022">
        <v>0</v>
      </c>
      <c r="F395" s="2022">
        <v>0</v>
      </c>
      <c r="G395" s="2022">
        <f t="shared" si="12"/>
        <v>0</v>
      </c>
      <c r="I395" s="2022">
        <f>VLOOKUP(A395,'2012 - TB'!$A$3:$I$733,9,FALSE)</f>
        <v>0</v>
      </c>
      <c r="K395" s="2011">
        <f t="shared" si="13"/>
        <v>0</v>
      </c>
    </row>
    <row r="396" spans="1:11" x14ac:dyDescent="0.2">
      <c r="A396" t="s">
        <v>5306</v>
      </c>
      <c r="B396" t="s">
        <v>6164</v>
      </c>
      <c r="C396" s="2022">
        <v>-519172.23</v>
      </c>
      <c r="D396" s="2022">
        <v>0</v>
      </c>
      <c r="E396" s="2022">
        <v>0</v>
      </c>
      <c r="F396" s="2022">
        <v>0</v>
      </c>
      <c r="G396" s="2022">
        <f t="shared" si="12"/>
        <v>0</v>
      </c>
      <c r="I396" s="2022">
        <f>VLOOKUP(A396,'2012 - TB'!$A$3:$I$733,9,FALSE)</f>
        <v>0</v>
      </c>
      <c r="K396" s="2011">
        <f t="shared" si="13"/>
        <v>0</v>
      </c>
    </row>
    <row r="397" spans="1:11" x14ac:dyDescent="0.2">
      <c r="A397" t="s">
        <v>5307</v>
      </c>
      <c r="B397" t="s">
        <v>6165</v>
      </c>
      <c r="C397" s="2022">
        <v>-1184789.56</v>
      </c>
      <c r="D397" s="2022">
        <v>0</v>
      </c>
      <c r="E397" s="2022">
        <v>0</v>
      </c>
      <c r="F397" s="2022">
        <v>0</v>
      </c>
      <c r="G397" s="2022">
        <f t="shared" si="12"/>
        <v>0</v>
      </c>
      <c r="I397" s="2022">
        <f>VLOOKUP(A397,'2012 - TB'!$A$3:$I$733,9,FALSE)</f>
        <v>0</v>
      </c>
      <c r="K397" s="2011">
        <f t="shared" si="13"/>
        <v>0</v>
      </c>
    </row>
    <row r="398" spans="1:11" x14ac:dyDescent="0.2">
      <c r="A398" t="s">
        <v>5308</v>
      </c>
      <c r="B398" t="s">
        <v>6166</v>
      </c>
      <c r="C398" s="2022">
        <v>-3499273.07</v>
      </c>
      <c r="D398" s="2022">
        <v>0</v>
      </c>
      <c r="E398" s="2022">
        <v>0</v>
      </c>
      <c r="F398" s="2022">
        <v>0</v>
      </c>
      <c r="G398" s="2022">
        <f t="shared" si="12"/>
        <v>0</v>
      </c>
      <c r="I398" s="2022">
        <f>VLOOKUP(A398,'2012 - TB'!$A$3:$I$733,9,FALSE)</f>
        <v>0</v>
      </c>
      <c r="K398" s="2011">
        <f t="shared" si="13"/>
        <v>0</v>
      </c>
    </row>
    <row r="399" spans="1:11" x14ac:dyDescent="0.2">
      <c r="A399" t="s">
        <v>5309</v>
      </c>
      <c r="B399" t="s">
        <v>4934</v>
      </c>
      <c r="C399" s="2022">
        <v>-790000</v>
      </c>
      <c r="D399" s="2022">
        <v>0</v>
      </c>
      <c r="E399" s="2022">
        <v>0</v>
      </c>
      <c r="F399" s="2022">
        <v>-790000</v>
      </c>
      <c r="G399" s="2022">
        <f t="shared" si="12"/>
        <v>-790000</v>
      </c>
      <c r="I399" s="2022">
        <f>VLOOKUP(A399,'2012 - TB'!$A$3:$I$733,9,FALSE)</f>
        <v>-790000</v>
      </c>
      <c r="K399" s="2011">
        <f t="shared" si="13"/>
        <v>0</v>
      </c>
    </row>
    <row r="400" spans="1:11" x14ac:dyDescent="0.2">
      <c r="A400" t="s">
        <v>5310</v>
      </c>
      <c r="B400" t="s">
        <v>7711</v>
      </c>
      <c r="C400" s="2022">
        <v>0</v>
      </c>
      <c r="D400" s="2022">
        <v>0</v>
      </c>
      <c r="E400" s="2022">
        <v>0</v>
      </c>
      <c r="F400" s="2022">
        <v>0</v>
      </c>
      <c r="G400" s="2022">
        <f t="shared" si="12"/>
        <v>0</v>
      </c>
      <c r="K400" s="2011">
        <f t="shared" si="13"/>
        <v>0</v>
      </c>
    </row>
    <row r="401" spans="1:11" x14ac:dyDescent="0.2">
      <c r="A401" t="s">
        <v>5311</v>
      </c>
      <c r="B401" t="s">
        <v>7711</v>
      </c>
      <c r="C401" s="2022">
        <v>0</v>
      </c>
      <c r="D401" s="2022">
        <v>0</v>
      </c>
      <c r="E401" s="2022">
        <v>0</v>
      </c>
      <c r="F401" s="2022">
        <v>0</v>
      </c>
      <c r="G401" s="2022">
        <f t="shared" si="12"/>
        <v>0</v>
      </c>
      <c r="K401" s="2011">
        <f t="shared" si="13"/>
        <v>0</v>
      </c>
    </row>
    <row r="402" spans="1:11" x14ac:dyDescent="0.2">
      <c r="A402" t="s">
        <v>5312</v>
      </c>
      <c r="B402" t="s">
        <v>7937</v>
      </c>
      <c r="C402" s="2022">
        <v>0</v>
      </c>
      <c r="D402" s="2022">
        <v>0</v>
      </c>
      <c r="E402" s="2022">
        <v>0</v>
      </c>
      <c r="F402" s="2022">
        <v>0</v>
      </c>
      <c r="G402" s="2022">
        <f t="shared" si="12"/>
        <v>0</v>
      </c>
      <c r="K402" s="2011">
        <f t="shared" si="13"/>
        <v>0</v>
      </c>
    </row>
    <row r="403" spans="1:11" x14ac:dyDescent="0.2">
      <c r="A403" t="s">
        <v>5314</v>
      </c>
      <c r="B403" t="s">
        <v>7938</v>
      </c>
      <c r="C403" s="2022">
        <v>0</v>
      </c>
      <c r="D403" s="2022">
        <v>0</v>
      </c>
      <c r="E403" s="2022">
        <v>0</v>
      </c>
      <c r="F403" s="2022">
        <v>0</v>
      </c>
      <c r="G403" s="2022">
        <f t="shared" si="12"/>
        <v>0</v>
      </c>
      <c r="K403" s="2011">
        <f t="shared" si="13"/>
        <v>0</v>
      </c>
    </row>
    <row r="404" spans="1:11" x14ac:dyDescent="0.2">
      <c r="A404" t="s">
        <v>5315</v>
      </c>
      <c r="B404" t="s">
        <v>7939</v>
      </c>
      <c r="C404" s="2022">
        <v>0</v>
      </c>
      <c r="D404" s="2022">
        <v>0</v>
      </c>
      <c r="E404" s="2022">
        <v>0</v>
      </c>
      <c r="F404" s="2022">
        <v>0</v>
      </c>
      <c r="G404" s="2022">
        <f t="shared" si="12"/>
        <v>0</v>
      </c>
      <c r="K404" s="2011">
        <f t="shared" si="13"/>
        <v>0</v>
      </c>
    </row>
    <row r="405" spans="1:11" x14ac:dyDescent="0.2">
      <c r="A405" t="s">
        <v>5316</v>
      </c>
      <c r="B405" t="s">
        <v>7940</v>
      </c>
      <c r="C405" s="2022">
        <v>0</v>
      </c>
      <c r="D405" s="2022">
        <v>0</v>
      </c>
      <c r="E405" s="2022">
        <v>0</v>
      </c>
      <c r="F405" s="2022">
        <v>0</v>
      </c>
      <c r="G405" s="2022">
        <f t="shared" si="12"/>
        <v>0</v>
      </c>
      <c r="K405" s="2011">
        <f t="shared" si="13"/>
        <v>0</v>
      </c>
    </row>
    <row r="406" spans="1:11" x14ac:dyDescent="0.2">
      <c r="A406" t="s">
        <v>5317</v>
      </c>
      <c r="B406" t="s">
        <v>4808</v>
      </c>
      <c r="C406" s="2022">
        <v>686142.44</v>
      </c>
      <c r="D406" s="2022">
        <v>0</v>
      </c>
      <c r="E406" s="2022">
        <v>787759.48</v>
      </c>
      <c r="F406" s="2022">
        <v>0</v>
      </c>
      <c r="G406" s="2022">
        <f t="shared" si="12"/>
        <v>787759.48</v>
      </c>
      <c r="I406" s="2022">
        <f>VLOOKUP(A406,'2012 - TB'!$A$3:$I$733,9,FALSE)</f>
        <v>787759.48</v>
      </c>
      <c r="K406" s="2011">
        <f t="shared" si="13"/>
        <v>0</v>
      </c>
    </row>
    <row r="407" spans="1:11" x14ac:dyDescent="0.2">
      <c r="A407" t="s">
        <v>5318</v>
      </c>
      <c r="B407" t="s">
        <v>4812</v>
      </c>
      <c r="C407" s="2022">
        <v>54905.94</v>
      </c>
      <c r="D407" s="2022">
        <v>0</v>
      </c>
      <c r="E407" s="2022">
        <v>64455.3</v>
      </c>
      <c r="F407" s="2022">
        <v>0</v>
      </c>
      <c r="G407" s="2022">
        <f t="shared" si="12"/>
        <v>64455.3</v>
      </c>
      <c r="I407" s="2022">
        <f>VLOOKUP(A407,'2012 - TB'!$A$3:$I$733,9,FALSE)</f>
        <v>64455.3</v>
      </c>
      <c r="K407" s="2011">
        <f t="shared" si="13"/>
        <v>0</v>
      </c>
    </row>
    <row r="408" spans="1:11" x14ac:dyDescent="0.2">
      <c r="A408" t="s">
        <v>5319</v>
      </c>
      <c r="B408" t="s">
        <v>4814</v>
      </c>
      <c r="C408" s="2022">
        <v>4444</v>
      </c>
      <c r="D408" s="2022">
        <v>0</v>
      </c>
      <c r="E408" s="2022">
        <v>4444</v>
      </c>
      <c r="F408" s="2022">
        <v>0</v>
      </c>
      <c r="G408" s="2022">
        <f t="shared" si="12"/>
        <v>4444</v>
      </c>
      <c r="I408" s="2022">
        <f>VLOOKUP(A408,'2012 - TB'!$A$3:$I$733,9,FALSE)</f>
        <v>4444</v>
      </c>
      <c r="K408" s="2011">
        <f t="shared" si="13"/>
        <v>0</v>
      </c>
    </row>
    <row r="409" spans="1:11" x14ac:dyDescent="0.2">
      <c r="A409" t="s">
        <v>5320</v>
      </c>
      <c r="B409" t="s">
        <v>4816</v>
      </c>
      <c r="C409" s="2022">
        <v>0</v>
      </c>
      <c r="D409" s="2022">
        <v>0</v>
      </c>
      <c r="E409" s="2022">
        <v>2088</v>
      </c>
      <c r="F409" s="2022">
        <v>0</v>
      </c>
      <c r="G409" s="2022">
        <f t="shared" si="12"/>
        <v>2088</v>
      </c>
      <c r="I409" s="2022">
        <f>VLOOKUP(A409,'2012 - TB'!$A$3:$I$733,9,FALSE)</f>
        <v>2088</v>
      </c>
      <c r="K409" s="2011">
        <f t="shared" si="13"/>
        <v>0</v>
      </c>
    </row>
    <row r="410" spans="1:11" x14ac:dyDescent="0.2">
      <c r="A410" t="s">
        <v>5321</v>
      </c>
      <c r="B410" t="s">
        <v>4818</v>
      </c>
      <c r="C410" s="2022">
        <v>0</v>
      </c>
      <c r="D410" s="2022">
        <v>0</v>
      </c>
      <c r="E410" s="2022">
        <v>373.04</v>
      </c>
      <c r="F410" s="2022">
        <v>0</v>
      </c>
      <c r="G410" s="2022">
        <f t="shared" si="12"/>
        <v>373.04</v>
      </c>
      <c r="I410" s="2022">
        <f>VLOOKUP(A410,'2012 - TB'!$A$3:$I$733,9,FALSE)</f>
        <v>373.04</v>
      </c>
      <c r="K410" s="2011">
        <f t="shared" si="13"/>
        <v>0</v>
      </c>
    </row>
    <row r="411" spans="1:11" x14ac:dyDescent="0.2">
      <c r="A411" t="s">
        <v>5322</v>
      </c>
      <c r="B411" t="s">
        <v>4820</v>
      </c>
      <c r="C411" s="2022">
        <v>0</v>
      </c>
      <c r="D411" s="2022">
        <v>0</v>
      </c>
      <c r="E411" s="2022">
        <v>0</v>
      </c>
      <c r="F411" s="2022">
        <v>0</v>
      </c>
      <c r="G411" s="2022">
        <f t="shared" si="12"/>
        <v>0</v>
      </c>
      <c r="K411" s="2011">
        <f t="shared" si="13"/>
        <v>0</v>
      </c>
    </row>
    <row r="412" spans="1:11" x14ac:dyDescent="0.2">
      <c r="A412" t="s">
        <v>5323</v>
      </c>
      <c r="B412" t="s">
        <v>4822</v>
      </c>
      <c r="C412" s="2022">
        <v>133400.62</v>
      </c>
      <c r="D412" s="2022">
        <v>0</v>
      </c>
      <c r="E412" s="2022">
        <v>147400.62</v>
      </c>
      <c r="F412" s="2022">
        <v>0</v>
      </c>
      <c r="G412" s="2022">
        <f t="shared" si="12"/>
        <v>147400.62</v>
      </c>
      <c r="I412" s="2022">
        <f>VLOOKUP(A412,'2012 - TB'!$A$3:$I$733,9,FALSE)</f>
        <v>147400.62</v>
      </c>
      <c r="K412" s="2011">
        <f t="shared" si="13"/>
        <v>0</v>
      </c>
    </row>
    <row r="413" spans="1:11" x14ac:dyDescent="0.2">
      <c r="A413" t="s">
        <v>5324</v>
      </c>
      <c r="B413" t="s">
        <v>4824</v>
      </c>
      <c r="C413" s="2022">
        <v>147.6</v>
      </c>
      <c r="D413" s="2022">
        <v>0</v>
      </c>
      <c r="E413" s="2022">
        <v>180.4</v>
      </c>
      <c r="F413" s="2022">
        <v>0</v>
      </c>
      <c r="G413" s="2022">
        <f t="shared" si="12"/>
        <v>180.4</v>
      </c>
      <c r="I413" s="2022">
        <f>VLOOKUP(A413,'2012 - TB'!$A$3:$I$733,9,FALSE)</f>
        <v>180.4</v>
      </c>
      <c r="K413" s="2011">
        <f t="shared" si="13"/>
        <v>0</v>
      </c>
    </row>
    <row r="414" spans="1:11" x14ac:dyDescent="0.2">
      <c r="A414" t="s">
        <v>5325</v>
      </c>
      <c r="B414" t="s">
        <v>4826</v>
      </c>
      <c r="C414" s="2022">
        <v>7088.87</v>
      </c>
      <c r="D414" s="2022">
        <v>0</v>
      </c>
      <c r="E414" s="2022">
        <v>9188.2199999999993</v>
      </c>
      <c r="F414" s="2022">
        <v>0</v>
      </c>
      <c r="G414" s="2022">
        <f t="shared" si="12"/>
        <v>9188.2199999999993</v>
      </c>
      <c r="I414" s="2022">
        <f>VLOOKUP(A414,'2012 - TB'!$A$3:$I$733,9,FALSE)</f>
        <v>9188.2199999999993</v>
      </c>
      <c r="K414" s="2011">
        <f t="shared" si="13"/>
        <v>0</v>
      </c>
    </row>
    <row r="415" spans="1:11" x14ac:dyDescent="0.2">
      <c r="A415" t="s">
        <v>5326</v>
      </c>
      <c r="B415" t="s">
        <v>7818</v>
      </c>
      <c r="C415" s="2022">
        <v>0</v>
      </c>
      <c r="D415" s="2022">
        <v>0</v>
      </c>
      <c r="E415" s="2022">
        <v>0</v>
      </c>
      <c r="F415" s="2022">
        <v>0</v>
      </c>
      <c r="G415" s="2022">
        <f t="shared" si="12"/>
        <v>0</v>
      </c>
      <c r="K415" s="2011">
        <f t="shared" si="13"/>
        <v>0</v>
      </c>
    </row>
    <row r="416" spans="1:11" x14ac:dyDescent="0.2">
      <c r="A416" t="s">
        <v>5327</v>
      </c>
      <c r="B416" t="s">
        <v>4829</v>
      </c>
      <c r="C416" s="2022">
        <v>65469.599999999999</v>
      </c>
      <c r="D416" s="2022">
        <v>0</v>
      </c>
      <c r="E416" s="2022">
        <v>75307.199999999997</v>
      </c>
      <c r="F416" s="2022">
        <v>0</v>
      </c>
      <c r="G416" s="2022">
        <f t="shared" si="12"/>
        <v>75307.199999999997</v>
      </c>
      <c r="I416" s="2022">
        <f>VLOOKUP(A416,'2012 - TB'!$A$3:$I$733,9,FALSE)</f>
        <v>75307.199999999997</v>
      </c>
      <c r="K416" s="2011">
        <f t="shared" si="13"/>
        <v>0</v>
      </c>
    </row>
    <row r="417" spans="1:11" x14ac:dyDescent="0.2">
      <c r="A417" t="s">
        <v>5328</v>
      </c>
      <c r="B417" t="s">
        <v>4831</v>
      </c>
      <c r="C417" s="2022">
        <v>128128.98</v>
      </c>
      <c r="D417" s="2022">
        <v>0</v>
      </c>
      <c r="E417" s="2022">
        <v>149245.01999999999</v>
      </c>
      <c r="F417" s="2022">
        <v>0</v>
      </c>
      <c r="G417" s="2022">
        <f t="shared" si="12"/>
        <v>149245.01999999999</v>
      </c>
      <c r="I417" s="2022">
        <f>VLOOKUP(A417,'2012 - TB'!$A$3:$I$733,9,FALSE)</f>
        <v>149245.01999999999</v>
      </c>
      <c r="K417" s="2011">
        <f t="shared" si="13"/>
        <v>0</v>
      </c>
    </row>
    <row r="418" spans="1:11" x14ac:dyDescent="0.2">
      <c r="A418" t="s">
        <v>5329</v>
      </c>
      <c r="B418" t="s">
        <v>4833</v>
      </c>
      <c r="C418" s="2022">
        <v>4492.08</v>
      </c>
      <c r="D418" s="2022">
        <v>0</v>
      </c>
      <c r="E418" s="2022">
        <v>5461.96</v>
      </c>
      <c r="F418" s="2022">
        <v>0</v>
      </c>
      <c r="G418" s="2022">
        <f t="shared" si="12"/>
        <v>5461.96</v>
      </c>
      <c r="I418" s="2022">
        <f>VLOOKUP(A418,'2012 - TB'!$A$3:$I$733,9,FALSE)</f>
        <v>5461.96</v>
      </c>
      <c r="K418" s="2011">
        <f t="shared" si="13"/>
        <v>0</v>
      </c>
    </row>
    <row r="419" spans="1:11" x14ac:dyDescent="0.2">
      <c r="A419" t="s">
        <v>5330</v>
      </c>
      <c r="B419" t="s">
        <v>7743</v>
      </c>
      <c r="C419" s="2022">
        <v>0</v>
      </c>
      <c r="D419" s="2022">
        <v>0</v>
      </c>
      <c r="E419" s="2022">
        <v>0</v>
      </c>
      <c r="F419" s="2022">
        <v>0</v>
      </c>
      <c r="G419" s="2022">
        <f t="shared" si="12"/>
        <v>0</v>
      </c>
      <c r="K419" s="2011">
        <f t="shared" si="13"/>
        <v>0</v>
      </c>
    </row>
    <row r="420" spans="1:11" x14ac:dyDescent="0.2">
      <c r="A420" t="s">
        <v>5332</v>
      </c>
      <c r="B420" t="s">
        <v>7941</v>
      </c>
      <c r="C420" s="2022">
        <v>0</v>
      </c>
      <c r="D420" s="2022">
        <v>0</v>
      </c>
      <c r="E420" s="2022">
        <v>0</v>
      </c>
      <c r="F420" s="2022">
        <v>0</v>
      </c>
      <c r="G420" s="2022">
        <f t="shared" si="12"/>
        <v>0</v>
      </c>
      <c r="K420" s="2011">
        <f t="shared" si="13"/>
        <v>0</v>
      </c>
    </row>
    <row r="421" spans="1:11" x14ac:dyDescent="0.2">
      <c r="A421" t="s">
        <v>5333</v>
      </c>
      <c r="B421" t="s">
        <v>7942</v>
      </c>
      <c r="C421" s="2022">
        <v>0</v>
      </c>
      <c r="D421" s="2022">
        <v>0</v>
      </c>
      <c r="E421" s="2022">
        <v>0</v>
      </c>
      <c r="F421" s="2022">
        <v>0</v>
      </c>
      <c r="G421" s="2022">
        <f t="shared" si="12"/>
        <v>0</v>
      </c>
      <c r="K421" s="2011">
        <f t="shared" si="13"/>
        <v>0</v>
      </c>
    </row>
    <row r="422" spans="1:11" x14ac:dyDescent="0.2">
      <c r="A422" t="s">
        <v>5334</v>
      </c>
      <c r="B422" t="s">
        <v>4851</v>
      </c>
      <c r="C422" s="2022">
        <v>9100</v>
      </c>
      <c r="D422" s="2022">
        <v>0</v>
      </c>
      <c r="E422" s="2022">
        <v>9100</v>
      </c>
      <c r="F422" s="2022">
        <v>0</v>
      </c>
      <c r="G422" s="2022">
        <f t="shared" si="12"/>
        <v>9100</v>
      </c>
      <c r="I422" s="2022">
        <f>VLOOKUP(A422,'2012 - TB'!$A$3:$I$733,9,FALSE)</f>
        <v>9100</v>
      </c>
      <c r="K422" s="2011">
        <f t="shared" si="13"/>
        <v>0</v>
      </c>
    </row>
    <row r="423" spans="1:11" x14ac:dyDescent="0.2">
      <c r="A423" t="s">
        <v>5335</v>
      </c>
      <c r="B423" t="s">
        <v>7943</v>
      </c>
      <c r="C423" s="2022">
        <v>0</v>
      </c>
      <c r="D423" s="2022">
        <v>0</v>
      </c>
      <c r="E423" s="2022">
        <v>0</v>
      </c>
      <c r="F423" s="2022">
        <v>0</v>
      </c>
      <c r="G423" s="2022">
        <f t="shared" si="12"/>
        <v>0</v>
      </c>
      <c r="K423" s="2011">
        <f t="shared" si="13"/>
        <v>0</v>
      </c>
    </row>
    <row r="424" spans="1:11" x14ac:dyDescent="0.2">
      <c r="A424" t="s">
        <v>5336</v>
      </c>
      <c r="B424" t="s">
        <v>7944</v>
      </c>
      <c r="C424" s="2022">
        <v>0</v>
      </c>
      <c r="D424" s="2022">
        <v>0</v>
      </c>
      <c r="E424" s="2022">
        <v>0</v>
      </c>
      <c r="F424" s="2022">
        <v>0</v>
      </c>
      <c r="G424" s="2022">
        <f t="shared" si="12"/>
        <v>0</v>
      </c>
      <c r="K424" s="2011">
        <f t="shared" si="13"/>
        <v>0</v>
      </c>
    </row>
    <row r="425" spans="1:11" x14ac:dyDescent="0.2">
      <c r="A425" t="s">
        <v>5337</v>
      </c>
      <c r="B425" t="s">
        <v>5111</v>
      </c>
      <c r="C425" s="2022">
        <v>2300</v>
      </c>
      <c r="D425" s="2022">
        <v>0</v>
      </c>
      <c r="E425" s="2022">
        <v>4809.37</v>
      </c>
      <c r="F425" s="2022">
        <v>0</v>
      </c>
      <c r="G425" s="2022">
        <f t="shared" si="12"/>
        <v>4809.37</v>
      </c>
      <c r="I425" s="2022">
        <f>VLOOKUP(A425,'2012 - TB'!$A$3:$I$733,9,FALSE)</f>
        <v>4809.37</v>
      </c>
      <c r="K425" s="2011">
        <f t="shared" si="13"/>
        <v>0</v>
      </c>
    </row>
    <row r="426" spans="1:11" x14ac:dyDescent="0.2">
      <c r="A426" t="s">
        <v>5338</v>
      </c>
      <c r="B426" t="s">
        <v>7885</v>
      </c>
      <c r="C426" s="2022">
        <v>0</v>
      </c>
      <c r="D426" s="2022">
        <v>0</v>
      </c>
      <c r="E426" s="2022">
        <v>0</v>
      </c>
      <c r="F426" s="2022">
        <v>0</v>
      </c>
      <c r="G426" s="2022">
        <f t="shared" si="12"/>
        <v>0</v>
      </c>
      <c r="K426" s="2011">
        <f t="shared" si="13"/>
        <v>0</v>
      </c>
    </row>
    <row r="427" spans="1:11" x14ac:dyDescent="0.2">
      <c r="A427" t="s">
        <v>5339</v>
      </c>
      <c r="B427" t="s">
        <v>4853</v>
      </c>
      <c r="C427" s="2022">
        <v>0</v>
      </c>
      <c r="D427" s="2022">
        <v>0</v>
      </c>
      <c r="E427" s="2022">
        <v>153.51</v>
      </c>
      <c r="F427" s="2022">
        <v>0</v>
      </c>
      <c r="G427" s="2022">
        <f t="shared" si="12"/>
        <v>153.51</v>
      </c>
      <c r="I427" s="2022">
        <f>VLOOKUP(A427,'2012 - TB'!$A$3:$I$733,9,FALSE)</f>
        <v>153.51</v>
      </c>
      <c r="K427" s="2011">
        <f t="shared" si="13"/>
        <v>0</v>
      </c>
    </row>
    <row r="428" spans="1:11" x14ac:dyDescent="0.2">
      <c r="A428" t="s">
        <v>5340</v>
      </c>
      <c r="B428" t="s">
        <v>4865</v>
      </c>
      <c r="C428" s="2022">
        <v>0</v>
      </c>
      <c r="D428" s="2022">
        <v>0</v>
      </c>
      <c r="E428" s="2022">
        <v>0</v>
      </c>
      <c r="F428" s="2022">
        <v>0</v>
      </c>
      <c r="G428" s="2022">
        <f t="shared" si="12"/>
        <v>0</v>
      </c>
      <c r="K428" s="2011">
        <f t="shared" si="13"/>
        <v>0</v>
      </c>
    </row>
    <row r="429" spans="1:11" x14ac:dyDescent="0.2">
      <c r="A429" t="s">
        <v>5341</v>
      </c>
      <c r="B429" t="s">
        <v>4873</v>
      </c>
      <c r="C429" s="2022">
        <v>0</v>
      </c>
      <c r="D429" s="2022">
        <v>0</v>
      </c>
      <c r="E429" s="2022">
        <v>0</v>
      </c>
      <c r="F429" s="2022">
        <v>0</v>
      </c>
      <c r="G429" s="2022">
        <f t="shared" si="12"/>
        <v>0</v>
      </c>
      <c r="K429" s="2011">
        <f t="shared" si="13"/>
        <v>0</v>
      </c>
    </row>
    <row r="430" spans="1:11" x14ac:dyDescent="0.2">
      <c r="A430" t="s">
        <v>5342</v>
      </c>
      <c r="B430" t="s">
        <v>7945</v>
      </c>
      <c r="C430" s="2022">
        <v>0</v>
      </c>
      <c r="D430" s="2022">
        <v>0</v>
      </c>
      <c r="E430" s="2022">
        <v>0</v>
      </c>
      <c r="F430" s="2022">
        <v>0</v>
      </c>
      <c r="G430" s="2022">
        <f t="shared" si="12"/>
        <v>0</v>
      </c>
      <c r="K430" s="2011">
        <f t="shared" si="13"/>
        <v>0</v>
      </c>
    </row>
    <row r="431" spans="1:11" x14ac:dyDescent="0.2">
      <c r="A431" t="s">
        <v>5343</v>
      </c>
      <c r="B431" t="s">
        <v>7824</v>
      </c>
      <c r="C431" s="2022">
        <v>0</v>
      </c>
      <c r="D431" s="2022">
        <v>0</v>
      </c>
      <c r="E431" s="2022">
        <v>0</v>
      </c>
      <c r="F431" s="2022">
        <v>0</v>
      </c>
      <c r="G431" s="2022">
        <f t="shared" si="12"/>
        <v>0</v>
      </c>
      <c r="K431" s="2011">
        <f t="shared" si="13"/>
        <v>0</v>
      </c>
    </row>
    <row r="432" spans="1:11" x14ac:dyDescent="0.2">
      <c r="A432" t="s">
        <v>5344</v>
      </c>
      <c r="B432" t="s">
        <v>4879</v>
      </c>
      <c r="C432" s="2022">
        <v>150150</v>
      </c>
      <c r="D432" s="2022">
        <v>0</v>
      </c>
      <c r="E432" s="2022">
        <v>113786.76</v>
      </c>
      <c r="F432" s="2022">
        <v>-12085.58</v>
      </c>
      <c r="G432" s="2022">
        <f t="shared" si="12"/>
        <v>101701.18</v>
      </c>
      <c r="I432" s="2022">
        <f>VLOOKUP(A432,'2012 - TB'!$A$3:$I$733,9,FALSE)</f>
        <v>101701.18000000001</v>
      </c>
      <c r="K432" s="2011">
        <f t="shared" si="13"/>
        <v>0</v>
      </c>
    </row>
    <row r="433" spans="1:11" x14ac:dyDescent="0.2">
      <c r="A433" t="s">
        <v>5345</v>
      </c>
      <c r="B433" t="s">
        <v>5285</v>
      </c>
      <c r="C433" s="2022">
        <v>0</v>
      </c>
      <c r="D433" s="2022">
        <v>0</v>
      </c>
      <c r="E433" s="2022">
        <v>0</v>
      </c>
      <c r="F433" s="2022">
        <v>0</v>
      </c>
      <c r="G433" s="2022">
        <f t="shared" si="12"/>
        <v>0</v>
      </c>
      <c r="K433" s="2011">
        <f t="shared" si="13"/>
        <v>0</v>
      </c>
    </row>
    <row r="434" spans="1:11" x14ac:dyDescent="0.2">
      <c r="A434" t="s">
        <v>5346</v>
      </c>
      <c r="B434" t="s">
        <v>4881</v>
      </c>
      <c r="C434" s="2022">
        <v>64951.88</v>
      </c>
      <c r="D434" s="2022">
        <v>0</v>
      </c>
      <c r="E434" s="2022">
        <v>140858.46</v>
      </c>
      <c r="F434" s="2022">
        <v>0</v>
      </c>
      <c r="G434" s="2022">
        <f t="shared" si="12"/>
        <v>140858.46</v>
      </c>
      <c r="I434" s="2022">
        <f>VLOOKUP(A434,'2012 - TB'!$A$3:$I$733,9,FALSE)</f>
        <v>140858.46000000002</v>
      </c>
      <c r="K434" s="2011">
        <f t="shared" si="13"/>
        <v>0</v>
      </c>
    </row>
    <row r="435" spans="1:11" x14ac:dyDescent="0.2">
      <c r="A435" t="s">
        <v>5347</v>
      </c>
      <c r="B435" t="s">
        <v>7946</v>
      </c>
      <c r="C435" s="2022">
        <v>0</v>
      </c>
      <c r="D435" s="2022">
        <v>0</v>
      </c>
      <c r="E435" s="2022">
        <v>0</v>
      </c>
      <c r="F435" s="2022">
        <v>0</v>
      </c>
      <c r="G435" s="2022">
        <f t="shared" si="12"/>
        <v>0</v>
      </c>
      <c r="K435" s="2011">
        <f t="shared" si="13"/>
        <v>0</v>
      </c>
    </row>
    <row r="436" spans="1:11" x14ac:dyDescent="0.2">
      <c r="A436" t="s">
        <v>5348</v>
      </c>
      <c r="B436" t="s">
        <v>4883</v>
      </c>
      <c r="C436" s="2022">
        <v>0</v>
      </c>
      <c r="D436" s="2022">
        <v>0</v>
      </c>
      <c r="E436" s="2022">
        <v>0</v>
      </c>
      <c r="F436" s="2022">
        <v>0</v>
      </c>
      <c r="G436" s="2022">
        <f t="shared" si="12"/>
        <v>0</v>
      </c>
      <c r="K436" s="2011">
        <f t="shared" si="13"/>
        <v>0</v>
      </c>
    </row>
    <row r="437" spans="1:11" x14ac:dyDescent="0.2">
      <c r="A437" t="s">
        <v>5349</v>
      </c>
      <c r="B437" t="s">
        <v>7826</v>
      </c>
      <c r="C437" s="2022">
        <v>0</v>
      </c>
      <c r="D437" s="2022">
        <v>0</v>
      </c>
      <c r="E437" s="2022">
        <v>0</v>
      </c>
      <c r="F437" s="2022">
        <v>0</v>
      </c>
      <c r="G437" s="2022">
        <f t="shared" si="12"/>
        <v>0</v>
      </c>
      <c r="K437" s="2011">
        <f t="shared" si="13"/>
        <v>0</v>
      </c>
    </row>
    <row r="438" spans="1:11" x14ac:dyDescent="0.2">
      <c r="A438" t="s">
        <v>5350</v>
      </c>
      <c r="B438" t="s">
        <v>4889</v>
      </c>
      <c r="C438" s="2022">
        <v>0</v>
      </c>
      <c r="D438" s="2022">
        <v>0</v>
      </c>
      <c r="E438" s="2022">
        <v>0</v>
      </c>
      <c r="F438" s="2022">
        <v>0</v>
      </c>
      <c r="G438" s="2022">
        <f t="shared" si="12"/>
        <v>0</v>
      </c>
      <c r="K438" s="2011">
        <f t="shared" si="13"/>
        <v>0</v>
      </c>
    </row>
    <row r="439" spans="1:11" x14ac:dyDescent="0.2">
      <c r="A439" t="s">
        <v>5351</v>
      </c>
      <c r="B439" t="s">
        <v>4891</v>
      </c>
      <c r="C439" s="2022">
        <v>0</v>
      </c>
      <c r="D439" s="2022">
        <v>0</v>
      </c>
      <c r="E439" s="2022">
        <v>667.89</v>
      </c>
      <c r="F439" s="2022">
        <v>-667.89</v>
      </c>
      <c r="G439" s="2022">
        <f t="shared" si="12"/>
        <v>0</v>
      </c>
      <c r="I439" s="2022">
        <f>VLOOKUP(A439,'2012 - TB'!$A$3:$I$733,9,FALSE)</f>
        <v>0</v>
      </c>
      <c r="K439" s="2011">
        <f t="shared" si="13"/>
        <v>0</v>
      </c>
    </row>
    <row r="440" spans="1:11" x14ac:dyDescent="0.2">
      <c r="A440" t="s">
        <v>5352</v>
      </c>
      <c r="B440" t="s">
        <v>4929</v>
      </c>
      <c r="C440" s="2022">
        <v>0</v>
      </c>
      <c r="D440" s="2022">
        <v>0</v>
      </c>
      <c r="E440" s="2022">
        <v>0</v>
      </c>
      <c r="F440" s="2022">
        <v>0</v>
      </c>
      <c r="G440" s="2022">
        <f t="shared" si="12"/>
        <v>0</v>
      </c>
      <c r="K440" s="2011">
        <f t="shared" si="13"/>
        <v>0</v>
      </c>
    </row>
    <row r="441" spans="1:11" x14ac:dyDescent="0.2">
      <c r="A441" t="s">
        <v>5353</v>
      </c>
      <c r="B441" t="s">
        <v>4931</v>
      </c>
      <c r="C441" s="2022">
        <v>0</v>
      </c>
      <c r="D441" s="2022">
        <v>0</v>
      </c>
      <c r="E441" s="2022">
        <v>0</v>
      </c>
      <c r="F441" s="2022">
        <v>0</v>
      </c>
      <c r="G441" s="2022">
        <f t="shared" si="12"/>
        <v>0</v>
      </c>
      <c r="K441" s="2011">
        <f t="shared" si="13"/>
        <v>0</v>
      </c>
    </row>
    <row r="442" spans="1:11" x14ac:dyDescent="0.2">
      <c r="A442" t="s">
        <v>5354</v>
      </c>
      <c r="B442" t="s">
        <v>5048</v>
      </c>
      <c r="C442" s="2022">
        <v>0</v>
      </c>
      <c r="D442" s="2022">
        <v>0</v>
      </c>
      <c r="E442" s="2022">
        <v>0</v>
      </c>
      <c r="F442" s="2022">
        <v>0</v>
      </c>
      <c r="G442" s="2022">
        <f t="shared" si="12"/>
        <v>0</v>
      </c>
      <c r="K442" s="2011">
        <f t="shared" si="13"/>
        <v>0</v>
      </c>
    </row>
    <row r="443" spans="1:11" x14ac:dyDescent="0.2">
      <c r="A443" t="s">
        <v>5355</v>
      </c>
      <c r="B443" t="s">
        <v>4893</v>
      </c>
      <c r="C443" s="2022">
        <v>0</v>
      </c>
      <c r="D443" s="2022">
        <v>0</v>
      </c>
      <c r="E443" s="2022">
        <v>0</v>
      </c>
      <c r="F443" s="2022">
        <v>0</v>
      </c>
      <c r="G443" s="2022">
        <f t="shared" si="12"/>
        <v>0</v>
      </c>
      <c r="K443" s="2011">
        <f t="shared" si="13"/>
        <v>0</v>
      </c>
    </row>
    <row r="444" spans="1:11" x14ac:dyDescent="0.2">
      <c r="A444" t="s">
        <v>5356</v>
      </c>
      <c r="B444" t="s">
        <v>4897</v>
      </c>
      <c r="C444" s="2022">
        <v>5085.1899999999996</v>
      </c>
      <c r="D444" s="2022">
        <v>0</v>
      </c>
      <c r="E444" s="2022">
        <v>0</v>
      </c>
      <c r="F444" s="2022">
        <v>0</v>
      </c>
      <c r="G444" s="2022">
        <f t="shared" si="12"/>
        <v>0</v>
      </c>
      <c r="I444" s="2022">
        <f>VLOOKUP(A444,'2012 - TB'!$A$3:$I$733,9,FALSE)</f>
        <v>0</v>
      </c>
      <c r="K444" s="2011">
        <f t="shared" si="13"/>
        <v>0</v>
      </c>
    </row>
    <row r="445" spans="1:11" x14ac:dyDescent="0.2">
      <c r="A445" t="s">
        <v>5357</v>
      </c>
      <c r="B445" t="s">
        <v>4899</v>
      </c>
      <c r="C445" s="2022">
        <v>5199.38</v>
      </c>
      <c r="D445" s="2022">
        <v>0</v>
      </c>
      <c r="E445" s="2022">
        <v>0</v>
      </c>
      <c r="F445" s="2022">
        <v>0</v>
      </c>
      <c r="G445" s="2022">
        <f t="shared" si="12"/>
        <v>0</v>
      </c>
      <c r="I445" s="2022">
        <f>VLOOKUP(A445,'2012 - TB'!$A$3:$I$733,9,FALSE)</f>
        <v>0</v>
      </c>
      <c r="K445" s="2011">
        <f t="shared" si="13"/>
        <v>0</v>
      </c>
    </row>
    <row r="446" spans="1:11" x14ac:dyDescent="0.2">
      <c r="A446" t="s">
        <v>5358</v>
      </c>
      <c r="B446" t="s">
        <v>4901</v>
      </c>
      <c r="C446" s="2022">
        <v>-1310722.01</v>
      </c>
      <c r="D446" s="2022">
        <v>0</v>
      </c>
      <c r="E446" s="2022">
        <v>0</v>
      </c>
      <c r="F446" s="2022">
        <v>0</v>
      </c>
      <c r="G446" s="2022">
        <f t="shared" si="12"/>
        <v>0</v>
      </c>
      <c r="I446" s="2022">
        <f>VLOOKUP(A446,'2012 - TB'!$A$3:$I$733,9,FALSE)</f>
        <v>0</v>
      </c>
      <c r="K446" s="2011">
        <f t="shared" si="13"/>
        <v>0</v>
      </c>
    </row>
    <row r="447" spans="1:11" x14ac:dyDescent="0.2">
      <c r="A447" t="s">
        <v>5359</v>
      </c>
      <c r="B447" t="s">
        <v>7947</v>
      </c>
      <c r="C447" s="2022">
        <v>0</v>
      </c>
      <c r="D447" s="2022">
        <v>0</v>
      </c>
      <c r="E447" s="2022">
        <v>0</v>
      </c>
      <c r="F447" s="2022">
        <v>0</v>
      </c>
      <c r="G447" s="2022">
        <f t="shared" si="12"/>
        <v>0</v>
      </c>
      <c r="K447" s="2011">
        <f t="shared" si="13"/>
        <v>0</v>
      </c>
    </row>
    <row r="448" spans="1:11" x14ac:dyDescent="0.2">
      <c r="A448" t="s">
        <v>5360</v>
      </c>
      <c r="B448" t="s">
        <v>4808</v>
      </c>
      <c r="C448" s="2022">
        <v>680477.2</v>
      </c>
      <c r="D448" s="2022">
        <v>0</v>
      </c>
      <c r="E448" s="2022">
        <v>698444.35</v>
      </c>
      <c r="F448" s="2022">
        <v>-11978.1</v>
      </c>
      <c r="G448" s="2022">
        <f t="shared" si="12"/>
        <v>686466.25</v>
      </c>
      <c r="I448" s="2022">
        <f>VLOOKUP(A448,'2012 - TB'!$A$3:$I$733,9,FALSE)</f>
        <v>686466.25</v>
      </c>
      <c r="K448" s="2011">
        <f t="shared" si="13"/>
        <v>0</v>
      </c>
    </row>
    <row r="449" spans="1:11" x14ac:dyDescent="0.2">
      <c r="A449" t="s">
        <v>5361</v>
      </c>
      <c r="B449" t="s">
        <v>4812</v>
      </c>
      <c r="C449" s="2022">
        <v>60000</v>
      </c>
      <c r="D449" s="2022">
        <v>0</v>
      </c>
      <c r="E449" s="2022">
        <v>57466.3</v>
      </c>
      <c r="F449" s="2022">
        <v>0</v>
      </c>
      <c r="G449" s="2022">
        <f t="shared" si="12"/>
        <v>57466.3</v>
      </c>
      <c r="I449" s="2022">
        <f>VLOOKUP(A449,'2012 - TB'!$A$3:$I$733,9,FALSE)</f>
        <v>57466.3</v>
      </c>
      <c r="K449" s="2011">
        <f t="shared" si="13"/>
        <v>0</v>
      </c>
    </row>
    <row r="450" spans="1:11" x14ac:dyDescent="0.2">
      <c r="A450" t="s">
        <v>5362</v>
      </c>
      <c r="B450" t="s">
        <v>4820</v>
      </c>
      <c r="C450" s="2022">
        <v>367.87</v>
      </c>
      <c r="D450" s="2022">
        <v>0</v>
      </c>
      <c r="E450" s="2022">
        <v>367.87</v>
      </c>
      <c r="F450" s="2022">
        <v>0</v>
      </c>
      <c r="G450" s="2022">
        <f t="shared" ref="G450:G513" si="14">SUM(D450:F450)</f>
        <v>367.87</v>
      </c>
      <c r="I450" s="2022">
        <f>VLOOKUP(A450,'2012 - TB'!$A$3:$I$733,9,FALSE)</f>
        <v>367.87</v>
      </c>
      <c r="K450" s="2011">
        <f t="shared" ref="K450:K513" si="15">G450-I450</f>
        <v>0</v>
      </c>
    </row>
    <row r="451" spans="1:11" x14ac:dyDescent="0.2">
      <c r="A451" t="s">
        <v>5363</v>
      </c>
      <c r="B451" t="s">
        <v>4824</v>
      </c>
      <c r="C451" s="2022">
        <v>344.4</v>
      </c>
      <c r="D451" s="2022">
        <v>0</v>
      </c>
      <c r="E451" s="2022">
        <v>344.4</v>
      </c>
      <c r="F451" s="2022">
        <v>0</v>
      </c>
      <c r="G451" s="2022">
        <f t="shared" si="14"/>
        <v>344.4</v>
      </c>
      <c r="I451" s="2022">
        <f>VLOOKUP(A451,'2012 - TB'!$A$3:$I$733,9,FALSE)</f>
        <v>344.4</v>
      </c>
      <c r="K451" s="2011">
        <f t="shared" si="15"/>
        <v>0</v>
      </c>
    </row>
    <row r="452" spans="1:11" x14ac:dyDescent="0.2">
      <c r="A452" t="s">
        <v>5364</v>
      </c>
      <c r="B452" t="s">
        <v>4826</v>
      </c>
      <c r="C452" s="2022">
        <v>8975.67</v>
      </c>
      <c r="D452" s="2022">
        <v>0</v>
      </c>
      <c r="E452" s="2022">
        <v>7251.2</v>
      </c>
      <c r="F452" s="2022">
        <v>0</v>
      </c>
      <c r="G452" s="2022">
        <f t="shared" si="14"/>
        <v>7251.2</v>
      </c>
      <c r="I452" s="2022">
        <f>VLOOKUP(A452,'2012 - TB'!$A$3:$I$733,9,FALSE)</f>
        <v>7251.2</v>
      </c>
      <c r="K452" s="2011">
        <f t="shared" si="15"/>
        <v>0</v>
      </c>
    </row>
    <row r="453" spans="1:11" x14ac:dyDescent="0.2">
      <c r="A453" t="s">
        <v>5365</v>
      </c>
      <c r="B453" t="s">
        <v>7818</v>
      </c>
      <c r="C453" s="2022">
        <v>0</v>
      </c>
      <c r="D453" s="2022">
        <v>0</v>
      </c>
      <c r="E453" s="2022">
        <v>0</v>
      </c>
      <c r="F453" s="2022">
        <v>0</v>
      </c>
      <c r="G453" s="2022">
        <f t="shared" si="14"/>
        <v>0</v>
      </c>
      <c r="K453" s="2011">
        <f t="shared" si="15"/>
        <v>0</v>
      </c>
    </row>
    <row r="454" spans="1:11" x14ac:dyDescent="0.2">
      <c r="A454" t="s">
        <v>5366</v>
      </c>
      <c r="B454" t="s">
        <v>4829</v>
      </c>
      <c r="C454" s="2022">
        <v>49176</v>
      </c>
      <c r="D454" s="2022">
        <v>0</v>
      </c>
      <c r="E454" s="2022">
        <v>49176</v>
      </c>
      <c r="F454" s="2022">
        <v>0</v>
      </c>
      <c r="G454" s="2022">
        <f t="shared" si="14"/>
        <v>49176</v>
      </c>
      <c r="I454" s="2022">
        <f>VLOOKUP(A454,'2012 - TB'!$A$3:$I$733,9,FALSE)</f>
        <v>49176</v>
      </c>
      <c r="K454" s="2011">
        <f t="shared" si="15"/>
        <v>0</v>
      </c>
    </row>
    <row r="455" spans="1:11" x14ac:dyDescent="0.2">
      <c r="A455" t="s">
        <v>5367</v>
      </c>
      <c r="B455" t="s">
        <v>4831</v>
      </c>
      <c r="C455" s="2022">
        <v>131323.38</v>
      </c>
      <c r="D455" s="2022">
        <v>0</v>
      </c>
      <c r="E455" s="2022">
        <v>131323.38</v>
      </c>
      <c r="F455" s="2022">
        <v>0</v>
      </c>
      <c r="G455" s="2022">
        <f t="shared" si="14"/>
        <v>131323.38</v>
      </c>
      <c r="I455" s="2022">
        <f>VLOOKUP(A455,'2012 - TB'!$A$3:$I$733,9,FALSE)</f>
        <v>131323.38</v>
      </c>
      <c r="K455" s="2011">
        <f t="shared" si="15"/>
        <v>0</v>
      </c>
    </row>
    <row r="456" spans="1:11" x14ac:dyDescent="0.2">
      <c r="A456" t="s">
        <v>5368</v>
      </c>
      <c r="B456" t="s">
        <v>4833</v>
      </c>
      <c r="C456" s="2022">
        <v>8594.68</v>
      </c>
      <c r="D456" s="2022">
        <v>0</v>
      </c>
      <c r="E456" s="2022">
        <v>7008.3</v>
      </c>
      <c r="F456" s="2022">
        <v>0</v>
      </c>
      <c r="G456" s="2022">
        <f t="shared" si="14"/>
        <v>7008.3</v>
      </c>
      <c r="I456" s="2022">
        <f>VLOOKUP(A456,'2012 - TB'!$A$3:$I$733,9,FALSE)</f>
        <v>7008.3</v>
      </c>
      <c r="K456" s="2011">
        <f t="shared" si="15"/>
        <v>0</v>
      </c>
    </row>
    <row r="457" spans="1:11" x14ac:dyDescent="0.2">
      <c r="A457" t="s">
        <v>5369</v>
      </c>
      <c r="B457" t="s">
        <v>4853</v>
      </c>
      <c r="C457" s="2022">
        <v>0</v>
      </c>
      <c r="D457" s="2022">
        <v>0</v>
      </c>
      <c r="E457" s="2022">
        <v>0</v>
      </c>
      <c r="F457" s="2022">
        <v>0</v>
      </c>
      <c r="G457" s="2022">
        <f t="shared" si="14"/>
        <v>0</v>
      </c>
      <c r="K457" s="2011">
        <f t="shared" si="15"/>
        <v>0</v>
      </c>
    </row>
    <row r="458" spans="1:11" x14ac:dyDescent="0.2">
      <c r="A458" t="s">
        <v>5370</v>
      </c>
      <c r="B458" t="s">
        <v>7948</v>
      </c>
      <c r="C458" s="2022">
        <v>0</v>
      </c>
      <c r="D458" s="2022">
        <v>0</v>
      </c>
      <c r="E458" s="2022">
        <v>0</v>
      </c>
      <c r="F458" s="2022">
        <v>0</v>
      </c>
      <c r="G458" s="2022">
        <f t="shared" si="14"/>
        <v>0</v>
      </c>
      <c r="K458" s="2011">
        <f t="shared" si="15"/>
        <v>0</v>
      </c>
    </row>
    <row r="459" spans="1:11" x14ac:dyDescent="0.2">
      <c r="A459" t="s">
        <v>5371</v>
      </c>
      <c r="B459" t="s">
        <v>4865</v>
      </c>
      <c r="C459" s="2022">
        <v>0</v>
      </c>
      <c r="D459" s="2022">
        <v>0</v>
      </c>
      <c r="E459" s="2022">
        <v>0</v>
      </c>
      <c r="F459" s="2022">
        <v>0</v>
      </c>
      <c r="G459" s="2022">
        <f t="shared" si="14"/>
        <v>0</v>
      </c>
      <c r="K459" s="2011">
        <f t="shared" si="15"/>
        <v>0</v>
      </c>
    </row>
    <row r="460" spans="1:11" x14ac:dyDescent="0.2">
      <c r="A460" t="s">
        <v>5372</v>
      </c>
      <c r="B460" t="s">
        <v>7824</v>
      </c>
      <c r="C460" s="2022">
        <v>0</v>
      </c>
      <c r="D460" s="2022">
        <v>0</v>
      </c>
      <c r="E460" s="2022">
        <v>0</v>
      </c>
      <c r="F460" s="2022">
        <v>0</v>
      </c>
      <c r="G460" s="2022">
        <f t="shared" si="14"/>
        <v>0</v>
      </c>
      <c r="K460" s="2011">
        <f t="shared" si="15"/>
        <v>0</v>
      </c>
    </row>
    <row r="461" spans="1:11" x14ac:dyDescent="0.2">
      <c r="A461" t="s">
        <v>5373</v>
      </c>
      <c r="B461" t="s">
        <v>4879</v>
      </c>
      <c r="C461" s="2022">
        <v>0</v>
      </c>
      <c r="D461" s="2022">
        <v>0</v>
      </c>
      <c r="E461" s="2022">
        <v>1001.1</v>
      </c>
      <c r="F461" s="2022">
        <v>0</v>
      </c>
      <c r="G461" s="2022">
        <f t="shared" si="14"/>
        <v>1001.1</v>
      </c>
      <c r="I461" s="2022">
        <f>VLOOKUP(A461,'2012 - TB'!$A$3:$I$733,9,FALSE)</f>
        <v>1001.1</v>
      </c>
      <c r="K461" s="2011">
        <f t="shared" si="15"/>
        <v>0</v>
      </c>
    </row>
    <row r="462" spans="1:11" x14ac:dyDescent="0.2">
      <c r="A462" t="s">
        <v>5374</v>
      </c>
      <c r="B462" t="s">
        <v>4881</v>
      </c>
      <c r="C462" s="2022">
        <v>14437.79</v>
      </c>
      <c r="D462" s="2022">
        <v>0</v>
      </c>
      <c r="E462" s="2022">
        <v>11111.67</v>
      </c>
      <c r="F462" s="2022">
        <v>-470.2</v>
      </c>
      <c r="G462" s="2022">
        <f t="shared" si="14"/>
        <v>10641.47</v>
      </c>
      <c r="I462" s="2022">
        <f>VLOOKUP(A462,'2012 - TB'!$A$3:$I$733,9,FALSE)</f>
        <v>10641.47</v>
      </c>
      <c r="K462" s="2011">
        <f t="shared" si="15"/>
        <v>0</v>
      </c>
    </row>
    <row r="463" spans="1:11" x14ac:dyDescent="0.2">
      <c r="A463" t="s">
        <v>5375</v>
      </c>
      <c r="B463" t="s">
        <v>7949</v>
      </c>
      <c r="C463" s="2022">
        <v>0</v>
      </c>
      <c r="D463" s="2022">
        <v>0</v>
      </c>
      <c r="E463" s="2022">
        <v>0</v>
      </c>
      <c r="F463" s="2022">
        <v>0</v>
      </c>
      <c r="G463" s="2022">
        <f t="shared" si="14"/>
        <v>0</v>
      </c>
      <c r="K463" s="2011">
        <f t="shared" si="15"/>
        <v>0</v>
      </c>
    </row>
    <row r="464" spans="1:11" x14ac:dyDescent="0.2">
      <c r="A464" t="s">
        <v>5376</v>
      </c>
      <c r="B464" t="s">
        <v>7826</v>
      </c>
      <c r="C464" s="2022">
        <v>0</v>
      </c>
      <c r="D464" s="2022">
        <v>0</v>
      </c>
      <c r="E464" s="2022">
        <v>0</v>
      </c>
      <c r="F464" s="2022">
        <v>0</v>
      </c>
      <c r="G464" s="2022">
        <f t="shared" si="14"/>
        <v>0</v>
      </c>
      <c r="K464" s="2011">
        <f t="shared" si="15"/>
        <v>0</v>
      </c>
    </row>
    <row r="465" spans="1:11" x14ac:dyDescent="0.2">
      <c r="A465" t="s">
        <v>5377</v>
      </c>
      <c r="B465" t="s">
        <v>4891</v>
      </c>
      <c r="C465" s="2022">
        <v>0</v>
      </c>
      <c r="D465" s="2022">
        <v>0</v>
      </c>
      <c r="E465" s="2022">
        <v>0</v>
      </c>
      <c r="F465" s="2022">
        <v>0</v>
      </c>
      <c r="G465" s="2022">
        <f t="shared" si="14"/>
        <v>0</v>
      </c>
      <c r="K465" s="2011">
        <f t="shared" si="15"/>
        <v>0</v>
      </c>
    </row>
    <row r="466" spans="1:11" x14ac:dyDescent="0.2">
      <c r="A466" t="s">
        <v>5378</v>
      </c>
      <c r="B466" t="s">
        <v>4893</v>
      </c>
      <c r="C466" s="2022">
        <v>0</v>
      </c>
      <c r="D466" s="2022">
        <v>0</v>
      </c>
      <c r="E466" s="2022">
        <v>0</v>
      </c>
      <c r="F466" s="2022">
        <v>0</v>
      </c>
      <c r="G466" s="2022">
        <f t="shared" si="14"/>
        <v>0</v>
      </c>
      <c r="K466" s="2011">
        <f t="shared" si="15"/>
        <v>0</v>
      </c>
    </row>
    <row r="467" spans="1:11" x14ac:dyDescent="0.2">
      <c r="A467" t="s">
        <v>5379</v>
      </c>
      <c r="B467" t="s">
        <v>4897</v>
      </c>
      <c r="C467" s="2022">
        <v>10095.32</v>
      </c>
      <c r="D467" s="2022">
        <v>0</v>
      </c>
      <c r="E467" s="2022">
        <v>0</v>
      </c>
      <c r="F467" s="2022">
        <v>0</v>
      </c>
      <c r="G467" s="2022">
        <f t="shared" si="14"/>
        <v>0</v>
      </c>
      <c r="I467" s="2022">
        <f>VLOOKUP(A467,'2012 - TB'!$A$3:$I$733,9,FALSE)</f>
        <v>0</v>
      </c>
      <c r="K467" s="2011">
        <f t="shared" si="15"/>
        <v>0</v>
      </c>
    </row>
    <row r="468" spans="1:11" x14ac:dyDescent="0.2">
      <c r="A468" t="s">
        <v>5380</v>
      </c>
      <c r="B468" t="s">
        <v>4899</v>
      </c>
      <c r="C468" s="2022">
        <v>9011.5300000000007</v>
      </c>
      <c r="D468" s="2022">
        <v>0</v>
      </c>
      <c r="E468" s="2022">
        <v>0</v>
      </c>
      <c r="F468" s="2022">
        <v>0</v>
      </c>
      <c r="G468" s="2022">
        <f t="shared" si="14"/>
        <v>0</v>
      </c>
      <c r="I468" s="2022">
        <f>VLOOKUP(A468,'2012 - TB'!$A$3:$I$733,9,FALSE)</f>
        <v>0</v>
      </c>
      <c r="K468" s="2011">
        <f t="shared" si="15"/>
        <v>0</v>
      </c>
    </row>
    <row r="469" spans="1:11" x14ac:dyDescent="0.2">
      <c r="A469" t="s">
        <v>5381</v>
      </c>
      <c r="B469" t="s">
        <v>7950</v>
      </c>
      <c r="C469" s="2022">
        <v>0</v>
      </c>
      <c r="D469" s="2022">
        <v>0</v>
      </c>
      <c r="E469" s="2022">
        <v>0</v>
      </c>
      <c r="F469" s="2022">
        <v>0</v>
      </c>
      <c r="G469" s="2022">
        <f t="shared" si="14"/>
        <v>0</v>
      </c>
      <c r="K469" s="2011">
        <f t="shared" si="15"/>
        <v>0</v>
      </c>
    </row>
    <row r="470" spans="1:11" x14ac:dyDescent="0.2">
      <c r="A470" t="s">
        <v>5383</v>
      </c>
      <c r="B470" t="s">
        <v>4901</v>
      </c>
      <c r="C470" s="2022">
        <v>-972775.24</v>
      </c>
      <c r="D470" s="2022">
        <v>0</v>
      </c>
      <c r="E470" s="2022">
        <v>0</v>
      </c>
      <c r="F470" s="2022">
        <v>0</v>
      </c>
      <c r="G470" s="2022">
        <f t="shared" si="14"/>
        <v>0</v>
      </c>
      <c r="I470" s="2022">
        <f>VLOOKUP(A470,'2012 - TB'!$A$3:$I$733,9,FALSE)</f>
        <v>0</v>
      </c>
      <c r="K470" s="2011">
        <f t="shared" si="15"/>
        <v>0</v>
      </c>
    </row>
    <row r="471" spans="1:11" x14ac:dyDescent="0.2">
      <c r="A471" t="s">
        <v>5384</v>
      </c>
      <c r="B471" t="s">
        <v>5091</v>
      </c>
      <c r="C471" s="2022">
        <v>-28.6</v>
      </c>
      <c r="D471" s="2022">
        <v>0</v>
      </c>
      <c r="E471" s="2022">
        <v>10.91</v>
      </c>
      <c r="F471" s="2022">
        <v>-88.8</v>
      </c>
      <c r="G471" s="2022">
        <f t="shared" si="14"/>
        <v>-77.89</v>
      </c>
      <c r="I471" s="2022">
        <f>VLOOKUP(A471,'2012 - TB'!$A$3:$I$733,9,FALSE)</f>
        <v>-77.89</v>
      </c>
      <c r="K471" s="2011">
        <f t="shared" si="15"/>
        <v>0</v>
      </c>
    </row>
    <row r="472" spans="1:11" x14ac:dyDescent="0.2">
      <c r="A472" t="s">
        <v>5385</v>
      </c>
      <c r="B472" t="s">
        <v>7951</v>
      </c>
      <c r="C472" s="2022">
        <v>0</v>
      </c>
      <c r="D472" s="2022">
        <v>0</v>
      </c>
      <c r="E472" s="2022">
        <v>0</v>
      </c>
      <c r="F472" s="2022">
        <v>0</v>
      </c>
      <c r="G472" s="2022">
        <f t="shared" si="14"/>
        <v>0</v>
      </c>
      <c r="K472" s="2011">
        <f t="shared" si="15"/>
        <v>0</v>
      </c>
    </row>
    <row r="473" spans="1:11" x14ac:dyDescent="0.2">
      <c r="A473" t="s">
        <v>5387</v>
      </c>
      <c r="B473" t="s">
        <v>4808</v>
      </c>
      <c r="C473" s="2022">
        <v>177941.12</v>
      </c>
      <c r="D473" s="2022">
        <v>0</v>
      </c>
      <c r="E473" s="2022">
        <v>185158.59</v>
      </c>
      <c r="F473" s="2022">
        <v>-3967.11</v>
      </c>
      <c r="G473" s="2022">
        <f t="shared" si="14"/>
        <v>181191.48</v>
      </c>
      <c r="I473" s="2022">
        <f>VLOOKUP(A473,'2012 - TB'!$A$3:$I$733,9,FALSE)</f>
        <v>181191.48</v>
      </c>
      <c r="K473" s="2011">
        <f t="shared" si="15"/>
        <v>0</v>
      </c>
    </row>
    <row r="474" spans="1:11" x14ac:dyDescent="0.2">
      <c r="A474" t="s">
        <v>5388</v>
      </c>
      <c r="B474" t="s">
        <v>4812</v>
      </c>
      <c r="C474" s="2022">
        <v>15027.27</v>
      </c>
      <c r="D474" s="2022">
        <v>0</v>
      </c>
      <c r="E474" s="2022">
        <v>10018.18</v>
      </c>
      <c r="F474" s="2022">
        <v>0</v>
      </c>
      <c r="G474" s="2022">
        <f t="shared" si="14"/>
        <v>10018.18</v>
      </c>
      <c r="I474" s="2022">
        <f>VLOOKUP(A474,'2012 - TB'!$A$3:$I$733,9,FALSE)</f>
        <v>10018.18</v>
      </c>
      <c r="K474" s="2011">
        <f t="shared" si="15"/>
        <v>0</v>
      </c>
    </row>
    <row r="475" spans="1:11" x14ac:dyDescent="0.2">
      <c r="A475" t="s">
        <v>5389</v>
      </c>
      <c r="B475" t="s">
        <v>4818</v>
      </c>
      <c r="C475" s="2022">
        <v>0</v>
      </c>
      <c r="D475" s="2022">
        <v>0</v>
      </c>
      <c r="E475" s="2022">
        <v>0</v>
      </c>
      <c r="F475" s="2022">
        <v>0</v>
      </c>
      <c r="G475" s="2022">
        <f t="shared" si="14"/>
        <v>0</v>
      </c>
      <c r="K475" s="2011">
        <f t="shared" si="15"/>
        <v>0</v>
      </c>
    </row>
    <row r="476" spans="1:11" x14ac:dyDescent="0.2">
      <c r="A476" t="s">
        <v>5390</v>
      </c>
      <c r="B476" t="s">
        <v>4820</v>
      </c>
      <c r="C476" s="2022">
        <v>0</v>
      </c>
      <c r="D476" s="2022">
        <v>0</v>
      </c>
      <c r="E476" s="2022">
        <v>0</v>
      </c>
      <c r="F476" s="2022">
        <v>0</v>
      </c>
      <c r="G476" s="2022">
        <f t="shared" si="14"/>
        <v>0</v>
      </c>
      <c r="K476" s="2011">
        <f t="shared" si="15"/>
        <v>0</v>
      </c>
    </row>
    <row r="477" spans="1:11" x14ac:dyDescent="0.2">
      <c r="A477" t="s">
        <v>5391</v>
      </c>
      <c r="B477" t="s">
        <v>4824</v>
      </c>
      <c r="C477" s="2022">
        <v>147.6</v>
      </c>
      <c r="D477" s="2022">
        <v>0</v>
      </c>
      <c r="E477" s="2022">
        <v>135.30000000000001</v>
      </c>
      <c r="F477" s="2022">
        <v>0</v>
      </c>
      <c r="G477" s="2022">
        <f t="shared" si="14"/>
        <v>135.30000000000001</v>
      </c>
      <c r="I477" s="2022">
        <f>VLOOKUP(A477,'2012 - TB'!$A$3:$I$733,9,FALSE)</f>
        <v>135.30000000000001</v>
      </c>
      <c r="K477" s="2011">
        <f t="shared" si="15"/>
        <v>0</v>
      </c>
    </row>
    <row r="478" spans="1:11" x14ac:dyDescent="0.2">
      <c r="A478" t="s">
        <v>5392</v>
      </c>
      <c r="B478" t="s">
        <v>4826</v>
      </c>
      <c r="C478" s="2022">
        <v>2146.04</v>
      </c>
      <c r="D478" s="2022">
        <v>0</v>
      </c>
      <c r="E478" s="2022">
        <v>1654.78</v>
      </c>
      <c r="F478" s="2022">
        <v>0</v>
      </c>
      <c r="G478" s="2022">
        <f t="shared" si="14"/>
        <v>1654.78</v>
      </c>
      <c r="I478" s="2022">
        <f>VLOOKUP(A478,'2012 - TB'!$A$3:$I$733,9,FALSE)</f>
        <v>1654.78</v>
      </c>
      <c r="K478" s="2011">
        <f t="shared" si="15"/>
        <v>0</v>
      </c>
    </row>
    <row r="479" spans="1:11" x14ac:dyDescent="0.2">
      <c r="A479" t="s">
        <v>5393</v>
      </c>
      <c r="B479" t="s">
        <v>7818</v>
      </c>
      <c r="C479" s="2022">
        <v>0</v>
      </c>
      <c r="D479" s="2022">
        <v>0</v>
      </c>
      <c r="E479" s="2022">
        <v>0</v>
      </c>
      <c r="F479" s="2022">
        <v>0</v>
      </c>
      <c r="G479" s="2022">
        <f t="shared" si="14"/>
        <v>0</v>
      </c>
      <c r="K479" s="2011">
        <f t="shared" si="15"/>
        <v>0</v>
      </c>
    </row>
    <row r="480" spans="1:11" x14ac:dyDescent="0.2">
      <c r="A480" t="s">
        <v>5394</v>
      </c>
      <c r="B480" t="s">
        <v>4829</v>
      </c>
      <c r="C480" s="2022">
        <v>11066.47</v>
      </c>
      <c r="D480" s="2022">
        <v>0</v>
      </c>
      <c r="E480" s="2022">
        <v>9951.07</v>
      </c>
      <c r="F480" s="2022">
        <v>0</v>
      </c>
      <c r="G480" s="2022">
        <f t="shared" si="14"/>
        <v>9951.07</v>
      </c>
      <c r="I480" s="2022">
        <f>VLOOKUP(A480,'2012 - TB'!$A$3:$I$733,9,FALSE)</f>
        <v>9951.07</v>
      </c>
      <c r="K480" s="2011">
        <f t="shared" si="15"/>
        <v>0</v>
      </c>
    </row>
    <row r="481" spans="1:73" x14ac:dyDescent="0.2">
      <c r="A481" t="s">
        <v>5395</v>
      </c>
      <c r="B481" t="s">
        <v>4831</v>
      </c>
      <c r="C481" s="2022">
        <v>31264.94</v>
      </c>
      <c r="D481" s="2022">
        <v>0</v>
      </c>
      <c r="E481" s="2022">
        <v>28549.52</v>
      </c>
      <c r="F481" s="2022">
        <v>0</v>
      </c>
      <c r="G481" s="2022">
        <f t="shared" si="14"/>
        <v>28549.52</v>
      </c>
      <c r="I481" s="2022">
        <f>VLOOKUP(A481,'2012 - TB'!$A$3:$I$733,9,FALSE)</f>
        <v>28549.52</v>
      </c>
      <c r="K481" s="2011">
        <f t="shared" si="15"/>
        <v>0</v>
      </c>
    </row>
    <row r="482" spans="1:73" x14ac:dyDescent="0.2">
      <c r="A482" t="s">
        <v>5396</v>
      </c>
      <c r="B482" t="s">
        <v>4833</v>
      </c>
      <c r="C482" s="2022">
        <v>2411.16</v>
      </c>
      <c r="D482" s="2022">
        <v>0</v>
      </c>
      <c r="E482" s="2022">
        <v>2003.06</v>
      </c>
      <c r="F482" s="2022">
        <v>0</v>
      </c>
      <c r="G482" s="2022">
        <f t="shared" si="14"/>
        <v>2003.06</v>
      </c>
      <c r="I482" s="2022">
        <f>VLOOKUP(A482,'2012 - TB'!$A$3:$I$733,9,FALSE)</f>
        <v>2003.06</v>
      </c>
      <c r="K482" s="2011">
        <f t="shared" si="15"/>
        <v>0</v>
      </c>
    </row>
    <row r="483" spans="1:73" x14ac:dyDescent="0.2">
      <c r="A483" t="s">
        <v>5397</v>
      </c>
      <c r="B483" t="s">
        <v>7952</v>
      </c>
      <c r="C483" s="2022">
        <v>0</v>
      </c>
      <c r="D483" s="2022">
        <v>0</v>
      </c>
      <c r="E483" s="2022">
        <v>0</v>
      </c>
      <c r="F483" s="2022">
        <v>-16834.3</v>
      </c>
      <c r="G483" s="2022">
        <f t="shared" si="14"/>
        <v>-16834.3</v>
      </c>
      <c r="I483" s="2022">
        <f>VLOOKUP(A483,'2012 - TB'!$A$3:$I$733,9,FALSE)</f>
        <v>-16834.3</v>
      </c>
      <c r="K483" s="2011">
        <f t="shared" si="15"/>
        <v>0</v>
      </c>
    </row>
    <row r="484" spans="1:73" s="2215" customFormat="1" x14ac:dyDescent="0.2">
      <c r="A484" s="2215" t="s">
        <v>5398</v>
      </c>
      <c r="B484" s="2215" t="s">
        <v>7764</v>
      </c>
      <c r="C484" s="2230">
        <v>0</v>
      </c>
      <c r="D484" s="2230">
        <v>0</v>
      </c>
      <c r="E484" s="2230">
        <v>0</v>
      </c>
      <c r="F484" s="2230">
        <v>0</v>
      </c>
      <c r="G484" s="2230">
        <f t="shared" si="14"/>
        <v>0</v>
      </c>
      <c r="I484" s="2230">
        <f>VLOOKUP(A484,'2012 - TB'!$A$3:$I$733,9,FALSE)</f>
        <v>133775.47</v>
      </c>
      <c r="K484" s="2634">
        <f t="shared" si="15"/>
        <v>-133775.47</v>
      </c>
      <c r="L484" s="2024"/>
      <c r="M484" s="2024"/>
      <c r="N484" s="2024"/>
      <c r="O484" s="2024"/>
      <c r="P484" s="2024"/>
      <c r="Q484" s="2024"/>
      <c r="R484" s="2024"/>
      <c r="S484" s="2024"/>
      <c r="T484" s="2024"/>
      <c r="U484" s="2024"/>
      <c r="V484" s="2024"/>
      <c r="W484" s="2024"/>
      <c r="X484" s="2024"/>
      <c r="Y484" s="2024"/>
      <c r="Z484" s="2024"/>
      <c r="AA484" s="2024"/>
      <c r="AB484" s="2024"/>
      <c r="AC484" s="2024"/>
      <c r="AD484" s="2024"/>
      <c r="AE484" s="2024"/>
      <c r="AF484" s="2024"/>
      <c r="AG484" s="2024"/>
      <c r="AH484" s="2024"/>
      <c r="AI484" s="2024"/>
      <c r="AJ484" s="2024"/>
      <c r="AK484" s="2024"/>
      <c r="AL484" s="2024"/>
      <c r="AM484" s="2024"/>
      <c r="AN484" s="2024"/>
      <c r="AO484" s="2024"/>
      <c r="AP484" s="2024"/>
      <c r="AQ484" s="2024"/>
      <c r="AR484" s="2024"/>
      <c r="AS484" s="2024"/>
      <c r="AT484" s="2024"/>
      <c r="AU484" s="2024"/>
      <c r="AV484" s="2024"/>
      <c r="AW484" s="2024"/>
      <c r="AX484" s="2024"/>
      <c r="AY484" s="2024"/>
      <c r="AZ484" s="2024"/>
      <c r="BA484" s="2024"/>
      <c r="BB484" s="2024"/>
      <c r="BC484" s="2024"/>
      <c r="BD484" s="2024"/>
      <c r="BE484" s="2024"/>
      <c r="BF484" s="2024"/>
      <c r="BG484" s="2024"/>
      <c r="BH484" s="2024"/>
      <c r="BI484" s="2024"/>
      <c r="BJ484" s="2024"/>
      <c r="BK484" s="2024"/>
      <c r="BL484" s="2024"/>
      <c r="BM484" s="2024"/>
      <c r="BN484" s="2024"/>
      <c r="BO484" s="2024"/>
      <c r="BP484" s="2024"/>
      <c r="BQ484" s="2024"/>
      <c r="BR484" s="2024"/>
      <c r="BS484" s="2024"/>
      <c r="BT484" s="2024"/>
      <c r="BU484" s="2024"/>
    </row>
    <row r="485" spans="1:73" x14ac:dyDescent="0.2">
      <c r="A485" t="s">
        <v>5400</v>
      </c>
      <c r="B485" t="s">
        <v>7948</v>
      </c>
      <c r="C485" s="2022">
        <v>0</v>
      </c>
      <c r="D485" s="2022">
        <v>0</v>
      </c>
      <c r="E485" s="2022">
        <v>5992.11</v>
      </c>
      <c r="F485" s="2022">
        <v>0</v>
      </c>
      <c r="G485" s="2022">
        <f t="shared" si="14"/>
        <v>5992.11</v>
      </c>
      <c r="I485" s="2022">
        <f>VLOOKUP(A485,'2012 - TB'!$A$3:$I$733,9,FALSE)</f>
        <v>5992.11</v>
      </c>
      <c r="K485" s="2011">
        <f t="shared" si="15"/>
        <v>0</v>
      </c>
    </row>
    <row r="486" spans="1:73" x14ac:dyDescent="0.2">
      <c r="A486" t="s">
        <v>5401</v>
      </c>
      <c r="B486" t="s">
        <v>7953</v>
      </c>
      <c r="C486" s="2022">
        <v>0</v>
      </c>
      <c r="D486" s="2022">
        <v>0</v>
      </c>
      <c r="E486" s="2022">
        <v>0</v>
      </c>
      <c r="F486" s="2022">
        <v>0</v>
      </c>
      <c r="G486" s="2022">
        <f t="shared" si="14"/>
        <v>0</v>
      </c>
      <c r="K486" s="2011">
        <f t="shared" si="15"/>
        <v>0</v>
      </c>
    </row>
    <row r="487" spans="1:73" x14ac:dyDescent="0.2">
      <c r="A487" t="s">
        <v>5402</v>
      </c>
      <c r="B487" t="s">
        <v>4873</v>
      </c>
      <c r="C487" s="2022">
        <v>212.94</v>
      </c>
      <c r="D487" s="2022">
        <v>0</v>
      </c>
      <c r="E487" s="2022">
        <v>5876.99</v>
      </c>
      <c r="F487" s="2022">
        <v>-5876.99</v>
      </c>
      <c r="G487" s="2022">
        <f t="shared" si="14"/>
        <v>0</v>
      </c>
      <c r="I487" s="2022">
        <f>VLOOKUP(A487,'2012 - TB'!$A$3:$I$733,9,FALSE)</f>
        <v>0</v>
      </c>
      <c r="K487" s="2011">
        <f t="shared" si="15"/>
        <v>0</v>
      </c>
    </row>
    <row r="488" spans="1:73" x14ac:dyDescent="0.2">
      <c r="A488" t="s">
        <v>5403</v>
      </c>
      <c r="B488" t="s">
        <v>5285</v>
      </c>
      <c r="C488" s="2022">
        <v>80850</v>
      </c>
      <c r="D488" s="2022">
        <v>0</v>
      </c>
      <c r="E488" s="2022">
        <v>92954.55</v>
      </c>
      <c r="F488" s="2022">
        <v>0</v>
      </c>
      <c r="G488" s="2022">
        <f t="shared" si="14"/>
        <v>92954.55</v>
      </c>
      <c r="I488" s="2022">
        <f>VLOOKUP(A488,'2012 - TB'!$A$3:$I$733,9,FALSE)</f>
        <v>92954.55</v>
      </c>
      <c r="K488" s="2011">
        <f t="shared" si="15"/>
        <v>0</v>
      </c>
    </row>
    <row r="489" spans="1:73" x14ac:dyDescent="0.2">
      <c r="A489" t="s">
        <v>5404</v>
      </c>
      <c r="B489" t="s">
        <v>4883</v>
      </c>
      <c r="C489" s="2022">
        <v>0</v>
      </c>
      <c r="D489" s="2022">
        <v>0</v>
      </c>
      <c r="E489" s="2022">
        <v>0</v>
      </c>
      <c r="F489" s="2022">
        <v>0</v>
      </c>
      <c r="G489" s="2022">
        <f t="shared" si="14"/>
        <v>0</v>
      </c>
      <c r="K489" s="2011">
        <f t="shared" si="15"/>
        <v>0</v>
      </c>
    </row>
    <row r="490" spans="1:73" x14ac:dyDescent="0.2">
      <c r="A490" t="s">
        <v>5405</v>
      </c>
      <c r="B490" t="s">
        <v>7826</v>
      </c>
      <c r="C490" s="2022">
        <v>0</v>
      </c>
      <c r="D490" s="2022">
        <v>0</v>
      </c>
      <c r="E490" s="2022">
        <v>0</v>
      </c>
      <c r="F490" s="2022">
        <v>0</v>
      </c>
      <c r="G490" s="2022">
        <f t="shared" si="14"/>
        <v>0</v>
      </c>
      <c r="K490" s="2011">
        <f t="shared" si="15"/>
        <v>0</v>
      </c>
    </row>
    <row r="491" spans="1:73" x14ac:dyDescent="0.2">
      <c r="A491" t="s">
        <v>5406</v>
      </c>
      <c r="B491" t="s">
        <v>4889</v>
      </c>
      <c r="C491" s="2022">
        <v>0</v>
      </c>
      <c r="D491" s="2022">
        <v>0</v>
      </c>
      <c r="E491" s="2022">
        <v>0</v>
      </c>
      <c r="F491" s="2022">
        <v>0</v>
      </c>
      <c r="G491" s="2022">
        <f t="shared" si="14"/>
        <v>0</v>
      </c>
      <c r="K491" s="2011">
        <f t="shared" si="15"/>
        <v>0</v>
      </c>
    </row>
    <row r="492" spans="1:73" x14ac:dyDescent="0.2">
      <c r="A492" t="s">
        <v>5407</v>
      </c>
      <c r="B492" t="s">
        <v>4891</v>
      </c>
      <c r="C492" s="2022">
        <v>2500</v>
      </c>
      <c r="D492" s="2022">
        <v>0</v>
      </c>
      <c r="E492" s="2022">
        <v>4745.5</v>
      </c>
      <c r="F492" s="2022">
        <v>-4745.5</v>
      </c>
      <c r="G492" s="2022">
        <f t="shared" si="14"/>
        <v>0</v>
      </c>
      <c r="I492" s="2022">
        <f>VLOOKUP(A492,'2012 - TB'!$A$3:$I$733,9,FALSE)</f>
        <v>0</v>
      </c>
      <c r="K492" s="2011">
        <f t="shared" si="15"/>
        <v>0</v>
      </c>
    </row>
    <row r="493" spans="1:73" x14ac:dyDescent="0.2">
      <c r="A493" t="s">
        <v>5408</v>
      </c>
      <c r="B493" t="s">
        <v>5409</v>
      </c>
      <c r="C493" s="2022">
        <v>13493.39</v>
      </c>
      <c r="D493" s="2022">
        <v>0</v>
      </c>
      <c r="E493" s="2022">
        <v>9385.99</v>
      </c>
      <c r="F493" s="2022">
        <v>-9385.99</v>
      </c>
      <c r="G493" s="2022">
        <f t="shared" si="14"/>
        <v>0</v>
      </c>
      <c r="I493" s="2022">
        <f>VLOOKUP(A493,'2012 - TB'!$A$3:$I$733,9,FALSE)</f>
        <v>0</v>
      </c>
      <c r="K493" s="2011">
        <f t="shared" si="15"/>
        <v>0</v>
      </c>
    </row>
    <row r="494" spans="1:73" x14ac:dyDescent="0.2">
      <c r="A494" t="s">
        <v>5410</v>
      </c>
      <c r="B494" t="s">
        <v>5411</v>
      </c>
      <c r="C494" s="2022">
        <v>0</v>
      </c>
      <c r="D494" s="2022">
        <v>0</v>
      </c>
      <c r="E494" s="2022">
        <v>0</v>
      </c>
      <c r="F494" s="2022">
        <v>0</v>
      </c>
      <c r="G494" s="2022">
        <f t="shared" si="14"/>
        <v>0</v>
      </c>
      <c r="K494" s="2011">
        <f t="shared" si="15"/>
        <v>0</v>
      </c>
    </row>
    <row r="495" spans="1:73" x14ac:dyDescent="0.2">
      <c r="A495" t="s">
        <v>5412</v>
      </c>
      <c r="B495" t="s">
        <v>6092</v>
      </c>
      <c r="C495" s="2022">
        <v>0</v>
      </c>
      <c r="D495" s="2022">
        <v>0</v>
      </c>
      <c r="E495" s="2022">
        <v>0</v>
      </c>
      <c r="F495" s="2022">
        <v>0</v>
      </c>
      <c r="G495" s="2022">
        <f t="shared" si="14"/>
        <v>0</v>
      </c>
      <c r="K495" s="2011">
        <f t="shared" si="15"/>
        <v>0</v>
      </c>
    </row>
    <row r="496" spans="1:73" x14ac:dyDescent="0.2">
      <c r="A496" t="s">
        <v>5413</v>
      </c>
      <c r="B496" t="s">
        <v>7954</v>
      </c>
      <c r="C496" s="2022">
        <v>0</v>
      </c>
      <c r="D496" s="2022">
        <v>0</v>
      </c>
      <c r="E496" s="2022">
        <v>0</v>
      </c>
      <c r="F496" s="2022">
        <v>0</v>
      </c>
      <c r="G496" s="2022">
        <f t="shared" si="14"/>
        <v>0</v>
      </c>
      <c r="K496" s="2011">
        <f t="shared" si="15"/>
        <v>0</v>
      </c>
    </row>
    <row r="497" spans="1:11" x14ac:dyDescent="0.2">
      <c r="A497" t="s">
        <v>5414</v>
      </c>
      <c r="B497" t="s">
        <v>7955</v>
      </c>
      <c r="C497" s="2022">
        <v>0</v>
      </c>
      <c r="D497" s="2022">
        <v>0</v>
      </c>
      <c r="E497" s="2022">
        <v>0</v>
      </c>
      <c r="F497" s="2022">
        <v>0</v>
      </c>
      <c r="G497" s="2022">
        <f t="shared" si="14"/>
        <v>0</v>
      </c>
      <c r="K497" s="2011">
        <f t="shared" si="15"/>
        <v>0</v>
      </c>
    </row>
    <row r="498" spans="1:11" x14ac:dyDescent="0.2">
      <c r="A498" t="s">
        <v>5415</v>
      </c>
      <c r="B498" t="s">
        <v>5165</v>
      </c>
      <c r="C498" s="2022">
        <v>3500</v>
      </c>
      <c r="D498" s="2022">
        <v>0</v>
      </c>
      <c r="E498" s="2022">
        <v>2360.1799999999998</v>
      </c>
      <c r="F498" s="2022">
        <v>0</v>
      </c>
      <c r="G498" s="2022">
        <f t="shared" si="14"/>
        <v>2360.1799999999998</v>
      </c>
      <c r="I498" s="2022">
        <f>VLOOKUP(A498,'2012 - TB'!$A$3:$I$733,9,FALSE)</f>
        <v>2360.1799999999998</v>
      </c>
      <c r="K498" s="2011">
        <f t="shared" si="15"/>
        <v>0</v>
      </c>
    </row>
    <row r="499" spans="1:11" x14ac:dyDescent="0.2">
      <c r="A499" t="s">
        <v>5416</v>
      </c>
      <c r="B499" t="s">
        <v>5048</v>
      </c>
      <c r="C499" s="2022">
        <v>0</v>
      </c>
      <c r="D499" s="2022">
        <v>0</v>
      </c>
      <c r="E499" s="2022">
        <v>0</v>
      </c>
      <c r="F499" s="2022">
        <v>0</v>
      </c>
      <c r="G499" s="2022">
        <f t="shared" si="14"/>
        <v>0</v>
      </c>
      <c r="K499" s="2011">
        <f t="shared" si="15"/>
        <v>0</v>
      </c>
    </row>
    <row r="500" spans="1:11" x14ac:dyDescent="0.2">
      <c r="A500" t="s">
        <v>5417</v>
      </c>
      <c r="B500" t="s">
        <v>4895</v>
      </c>
      <c r="C500" s="2022">
        <v>0</v>
      </c>
      <c r="D500" s="2022">
        <v>0</v>
      </c>
      <c r="E500" s="2022">
        <v>0</v>
      </c>
      <c r="F500" s="2022">
        <v>0</v>
      </c>
      <c r="G500" s="2022">
        <f t="shared" si="14"/>
        <v>0</v>
      </c>
      <c r="K500" s="2011">
        <f t="shared" si="15"/>
        <v>0</v>
      </c>
    </row>
    <row r="501" spans="1:11" x14ac:dyDescent="0.2">
      <c r="A501" t="s">
        <v>5418</v>
      </c>
      <c r="B501" t="s">
        <v>5182</v>
      </c>
      <c r="C501" s="2022">
        <v>1144</v>
      </c>
      <c r="D501" s="2022">
        <v>0</v>
      </c>
      <c r="E501" s="2022">
        <v>0</v>
      </c>
      <c r="F501" s="2022">
        <v>0</v>
      </c>
      <c r="G501" s="2022">
        <f t="shared" si="14"/>
        <v>0</v>
      </c>
      <c r="I501" s="2022">
        <f>VLOOKUP(A501,'2012 - TB'!$A$3:$I$733,9,FALSE)</f>
        <v>0</v>
      </c>
      <c r="K501" s="2011">
        <f t="shared" si="15"/>
        <v>0</v>
      </c>
    </row>
    <row r="502" spans="1:11" x14ac:dyDescent="0.2">
      <c r="A502" t="s">
        <v>5419</v>
      </c>
      <c r="B502" t="s">
        <v>4897</v>
      </c>
      <c r="C502" s="2022">
        <v>2751.71</v>
      </c>
      <c r="D502" s="2022">
        <v>0</v>
      </c>
      <c r="E502" s="2022">
        <v>0</v>
      </c>
      <c r="F502" s="2022">
        <v>0</v>
      </c>
      <c r="G502" s="2022">
        <f t="shared" si="14"/>
        <v>0</v>
      </c>
      <c r="I502" s="2022">
        <f>VLOOKUP(A502,'2012 - TB'!$A$3:$I$733,9,FALSE)</f>
        <v>0</v>
      </c>
      <c r="K502" s="2011">
        <f t="shared" si="15"/>
        <v>0</v>
      </c>
    </row>
    <row r="503" spans="1:11" x14ac:dyDescent="0.2">
      <c r="A503" t="s">
        <v>5420</v>
      </c>
      <c r="B503" t="s">
        <v>4899</v>
      </c>
      <c r="C503" s="2022">
        <v>2320.86</v>
      </c>
      <c r="D503" s="2022">
        <v>0</v>
      </c>
      <c r="E503" s="2022">
        <v>0</v>
      </c>
      <c r="F503" s="2022">
        <v>0</v>
      </c>
      <c r="G503" s="2022">
        <f t="shared" si="14"/>
        <v>0</v>
      </c>
      <c r="I503" s="2022">
        <f>VLOOKUP(A503,'2012 - TB'!$A$3:$I$733,9,FALSE)</f>
        <v>0</v>
      </c>
      <c r="K503" s="2011">
        <f t="shared" si="15"/>
        <v>0</v>
      </c>
    </row>
    <row r="504" spans="1:11" x14ac:dyDescent="0.2">
      <c r="A504" t="s">
        <v>5421</v>
      </c>
      <c r="B504" t="s">
        <v>5193</v>
      </c>
      <c r="C504" s="2022">
        <v>-11788.7</v>
      </c>
      <c r="D504" s="2022">
        <v>0</v>
      </c>
      <c r="E504" s="2022">
        <v>1927.01</v>
      </c>
      <c r="F504" s="2022">
        <v>-8144.2</v>
      </c>
      <c r="G504" s="2022">
        <f t="shared" si="14"/>
        <v>-6217.19</v>
      </c>
      <c r="I504" s="2022">
        <f>VLOOKUP(A504,'2012 - TB'!$A$3:$I$733,9,FALSE)</f>
        <v>-6217.19</v>
      </c>
      <c r="K504" s="2011">
        <f t="shared" si="15"/>
        <v>0</v>
      </c>
    </row>
    <row r="505" spans="1:11" x14ac:dyDescent="0.2">
      <c r="A505" t="s">
        <v>5422</v>
      </c>
      <c r="B505" t="s">
        <v>5423</v>
      </c>
      <c r="C505" s="2022">
        <v>-750.2</v>
      </c>
      <c r="D505" s="2022">
        <v>0</v>
      </c>
      <c r="E505" s="2022">
        <v>66.06</v>
      </c>
      <c r="F505" s="2022">
        <v>-537.9</v>
      </c>
      <c r="G505" s="2022">
        <f t="shared" si="14"/>
        <v>-471.84</v>
      </c>
      <c r="I505" s="2022">
        <f>VLOOKUP(A505,'2012 - TB'!$A$3:$I$733,9,FALSE)</f>
        <v>-471.84</v>
      </c>
      <c r="K505" s="2011">
        <f t="shared" si="15"/>
        <v>0</v>
      </c>
    </row>
    <row r="506" spans="1:11" x14ac:dyDescent="0.2">
      <c r="A506" t="s">
        <v>5424</v>
      </c>
      <c r="B506" t="s">
        <v>4901</v>
      </c>
      <c r="C506" s="2022">
        <v>-334238.59999999998</v>
      </c>
      <c r="D506" s="2022">
        <v>0</v>
      </c>
      <c r="E506" s="2022">
        <v>0</v>
      </c>
      <c r="F506" s="2022">
        <v>0</v>
      </c>
      <c r="G506" s="2022">
        <f t="shared" si="14"/>
        <v>0</v>
      </c>
      <c r="I506" s="2022">
        <f>VLOOKUP(A506,'2012 - TB'!$A$3:$I$733,9,FALSE)</f>
        <v>0</v>
      </c>
      <c r="K506" s="2011">
        <f t="shared" si="15"/>
        <v>0</v>
      </c>
    </row>
    <row r="507" spans="1:11" x14ac:dyDescent="0.2">
      <c r="A507" t="s">
        <v>5425</v>
      </c>
      <c r="B507" t="s">
        <v>7956</v>
      </c>
      <c r="C507" s="2022">
        <v>0</v>
      </c>
      <c r="D507" s="2022">
        <v>0</v>
      </c>
      <c r="E507" s="2022">
        <v>0</v>
      </c>
      <c r="F507" s="2022">
        <v>0</v>
      </c>
      <c r="G507" s="2022">
        <f t="shared" si="14"/>
        <v>0</v>
      </c>
      <c r="K507" s="2011">
        <f t="shared" si="15"/>
        <v>0</v>
      </c>
    </row>
    <row r="508" spans="1:11" x14ac:dyDescent="0.2">
      <c r="A508" t="s">
        <v>5426</v>
      </c>
      <c r="B508" t="s">
        <v>4861</v>
      </c>
      <c r="C508" s="2022">
        <v>16681.509999999998</v>
      </c>
      <c r="D508" s="2022">
        <v>0</v>
      </c>
      <c r="E508" s="2022">
        <v>12720</v>
      </c>
      <c r="F508" s="2022">
        <v>0</v>
      </c>
      <c r="G508" s="2022">
        <f t="shared" si="14"/>
        <v>12720</v>
      </c>
      <c r="I508" s="2022">
        <f>VLOOKUP(A508,'2012 - TB'!$A$3:$I$733,9,FALSE)</f>
        <v>12720</v>
      </c>
      <c r="K508" s="2011">
        <f t="shared" si="15"/>
        <v>0</v>
      </c>
    </row>
    <row r="509" spans="1:11" x14ac:dyDescent="0.2">
      <c r="A509" t="s">
        <v>5427</v>
      </c>
      <c r="B509" t="s">
        <v>5165</v>
      </c>
      <c r="C509" s="2022">
        <v>0</v>
      </c>
      <c r="D509" s="2022">
        <v>0</v>
      </c>
      <c r="E509" s="2022">
        <v>0</v>
      </c>
      <c r="F509" s="2022">
        <v>0</v>
      </c>
      <c r="G509" s="2022">
        <f t="shared" si="14"/>
        <v>0</v>
      </c>
      <c r="K509" s="2011">
        <f t="shared" si="15"/>
        <v>0</v>
      </c>
    </row>
    <row r="510" spans="1:11" x14ac:dyDescent="0.2">
      <c r="A510" t="s">
        <v>5428</v>
      </c>
      <c r="B510" t="s">
        <v>5169</v>
      </c>
      <c r="C510" s="2022">
        <v>78824.25</v>
      </c>
      <c r="D510" s="2022">
        <v>0</v>
      </c>
      <c r="E510" s="2022">
        <v>0</v>
      </c>
      <c r="F510" s="2022">
        <v>0</v>
      </c>
      <c r="G510" s="2022">
        <f t="shared" si="14"/>
        <v>0</v>
      </c>
      <c r="I510" s="2022">
        <f>VLOOKUP(A510,'2012 - TB'!$A$3:$I$733,9,FALSE)</f>
        <v>0</v>
      </c>
      <c r="K510" s="2011">
        <f t="shared" si="15"/>
        <v>0</v>
      </c>
    </row>
    <row r="511" spans="1:11" x14ac:dyDescent="0.2">
      <c r="A511" t="s">
        <v>5429</v>
      </c>
      <c r="B511" t="s">
        <v>5054</v>
      </c>
      <c r="C511" s="2022">
        <v>10000</v>
      </c>
      <c r="D511" s="2022">
        <v>0</v>
      </c>
      <c r="E511" s="2022">
        <v>4761.78</v>
      </c>
      <c r="F511" s="2022">
        <v>-10274.1</v>
      </c>
      <c r="G511" s="2022">
        <f t="shared" si="14"/>
        <v>-5512.3200000000006</v>
      </c>
      <c r="I511" s="2022">
        <f>VLOOKUP(A511,'2012 - TB'!$A$3:$I$733,9,FALSE)</f>
        <v>-5512.3200000000006</v>
      </c>
      <c r="K511" s="2011">
        <f t="shared" si="15"/>
        <v>0</v>
      </c>
    </row>
    <row r="512" spans="1:11" x14ac:dyDescent="0.2">
      <c r="A512" t="s">
        <v>5430</v>
      </c>
      <c r="B512" t="s">
        <v>4901</v>
      </c>
      <c r="C512" s="2022">
        <v>-54992.18</v>
      </c>
      <c r="D512" s="2022">
        <v>0</v>
      </c>
      <c r="E512" s="2022">
        <v>0</v>
      </c>
      <c r="F512" s="2022">
        <v>0</v>
      </c>
      <c r="G512" s="2022">
        <f t="shared" si="14"/>
        <v>0</v>
      </c>
      <c r="I512" s="2022">
        <f>VLOOKUP(A512,'2012 - TB'!$A$3:$I$733,9,FALSE)</f>
        <v>0</v>
      </c>
      <c r="K512" s="2011">
        <f t="shared" si="15"/>
        <v>0</v>
      </c>
    </row>
    <row r="513" spans="1:11" x14ac:dyDescent="0.2">
      <c r="A513" t="s">
        <v>5431</v>
      </c>
      <c r="B513" t="s">
        <v>5432</v>
      </c>
      <c r="C513" s="2022">
        <v>-50513.58</v>
      </c>
      <c r="D513" s="2022">
        <v>0</v>
      </c>
      <c r="E513" s="2022">
        <v>3955.08</v>
      </c>
      <c r="F513" s="2022">
        <v>-31325.11</v>
      </c>
      <c r="G513" s="2022">
        <f t="shared" si="14"/>
        <v>-27370.03</v>
      </c>
      <c r="I513" s="2022">
        <f>VLOOKUP(A513,'2012 - TB'!$A$3:$I$733,9,FALSE)</f>
        <v>-27370.03</v>
      </c>
      <c r="K513" s="2011">
        <f t="shared" si="15"/>
        <v>0</v>
      </c>
    </row>
    <row r="514" spans="1:11" x14ac:dyDescent="0.2">
      <c r="A514" t="s">
        <v>5433</v>
      </c>
      <c r="B514" t="s">
        <v>6180</v>
      </c>
      <c r="C514" s="2022">
        <v>91624.48</v>
      </c>
      <c r="D514" s="2022">
        <v>0</v>
      </c>
      <c r="E514" s="2022">
        <v>91624.48</v>
      </c>
      <c r="F514" s="2022">
        <v>0</v>
      </c>
      <c r="G514" s="2022">
        <f t="shared" ref="G514:G577" si="16">SUM(D514:F514)</f>
        <v>91624.48</v>
      </c>
      <c r="I514" s="2022">
        <f>VLOOKUP(A514,'2012 - TB'!$A$3:$I$733,9,FALSE)</f>
        <v>91624.48</v>
      </c>
      <c r="K514" s="2011">
        <f t="shared" ref="K514:K577" si="17">G514-I514</f>
        <v>0</v>
      </c>
    </row>
    <row r="515" spans="1:11" x14ac:dyDescent="0.2">
      <c r="A515" t="s">
        <v>5434</v>
      </c>
      <c r="B515" t="s">
        <v>7957</v>
      </c>
      <c r="C515" s="2022">
        <v>730080.97</v>
      </c>
      <c r="D515" s="2022">
        <v>0</v>
      </c>
      <c r="E515" s="2022">
        <v>786021.82</v>
      </c>
      <c r="F515" s="2022">
        <v>-3512.46</v>
      </c>
      <c r="G515" s="2022">
        <f t="shared" si="16"/>
        <v>782509.36</v>
      </c>
      <c r="I515" s="2022">
        <f>VLOOKUP(A515,'2012 - TB'!$A$3:$I$733,9,FALSE)</f>
        <v>782509.36</v>
      </c>
      <c r="K515" s="2011">
        <f t="shared" si="17"/>
        <v>0</v>
      </c>
    </row>
    <row r="516" spans="1:11" x14ac:dyDescent="0.2">
      <c r="A516" t="s">
        <v>5435</v>
      </c>
      <c r="B516" t="s">
        <v>7958</v>
      </c>
      <c r="C516" s="2022">
        <v>0</v>
      </c>
      <c r="D516" s="2022">
        <v>0</v>
      </c>
      <c r="E516" s="2022">
        <v>0</v>
      </c>
      <c r="F516" s="2022">
        <v>0</v>
      </c>
      <c r="G516" s="2022">
        <f t="shared" si="16"/>
        <v>0</v>
      </c>
      <c r="K516" s="2011">
        <f t="shared" si="17"/>
        <v>0</v>
      </c>
    </row>
    <row r="517" spans="1:11" x14ac:dyDescent="0.2">
      <c r="A517" t="s">
        <v>5436</v>
      </c>
      <c r="B517" t="s">
        <v>7959</v>
      </c>
      <c r="C517" s="2022">
        <v>0</v>
      </c>
      <c r="D517" s="2022">
        <v>0</v>
      </c>
      <c r="E517" s="2022">
        <v>0</v>
      </c>
      <c r="F517" s="2022">
        <v>0</v>
      </c>
      <c r="G517" s="2022">
        <f t="shared" si="16"/>
        <v>0</v>
      </c>
      <c r="K517" s="2011">
        <f t="shared" si="17"/>
        <v>0</v>
      </c>
    </row>
    <row r="518" spans="1:11" x14ac:dyDescent="0.2">
      <c r="A518" t="s">
        <v>5437</v>
      </c>
      <c r="B518" t="s">
        <v>6182</v>
      </c>
      <c r="C518" s="2022">
        <v>87048.62</v>
      </c>
      <c r="D518" s="2022">
        <v>0</v>
      </c>
      <c r="E518" s="2022">
        <v>75647.31</v>
      </c>
      <c r="F518" s="2022">
        <v>0</v>
      </c>
      <c r="G518" s="2022">
        <f t="shared" si="16"/>
        <v>75647.31</v>
      </c>
      <c r="I518" s="2022">
        <f>VLOOKUP(A518,'2012 - TB'!$A$3:$I$733,9,FALSE)</f>
        <v>75647.31</v>
      </c>
      <c r="K518" s="2011">
        <f t="shared" si="17"/>
        <v>0</v>
      </c>
    </row>
    <row r="519" spans="1:11" x14ac:dyDescent="0.2">
      <c r="A519" t="s">
        <v>5438</v>
      </c>
      <c r="B519" t="s">
        <v>7960</v>
      </c>
      <c r="C519" s="2022">
        <v>0</v>
      </c>
      <c r="D519" s="2022">
        <v>0</v>
      </c>
      <c r="E519" s="2022">
        <v>0</v>
      </c>
      <c r="F519" s="2022">
        <v>0</v>
      </c>
      <c r="G519" s="2022">
        <f t="shared" si="16"/>
        <v>0</v>
      </c>
      <c r="K519" s="2011">
        <f t="shared" si="17"/>
        <v>0</v>
      </c>
    </row>
    <row r="520" spans="1:11" x14ac:dyDescent="0.2">
      <c r="A520" t="s">
        <v>5439</v>
      </c>
      <c r="B520" t="s">
        <v>6183</v>
      </c>
      <c r="C520" s="2022">
        <v>500</v>
      </c>
      <c r="D520" s="2022">
        <v>0</v>
      </c>
      <c r="E520" s="2022">
        <v>500</v>
      </c>
      <c r="F520" s="2022">
        <v>0</v>
      </c>
      <c r="G520" s="2022">
        <f t="shared" si="16"/>
        <v>500</v>
      </c>
      <c r="I520" s="2022">
        <f>VLOOKUP(A520,'2012 - TB'!$A$3:$I$733,9,FALSE)</f>
        <v>500</v>
      </c>
      <c r="K520" s="2011">
        <f t="shared" si="17"/>
        <v>0</v>
      </c>
    </row>
    <row r="521" spans="1:11" x14ac:dyDescent="0.2">
      <c r="A521" t="s">
        <v>5440</v>
      </c>
      <c r="B521" t="s">
        <v>6184</v>
      </c>
      <c r="C521" s="2022">
        <v>6000</v>
      </c>
      <c r="D521" s="2022">
        <v>0</v>
      </c>
      <c r="E521" s="2022">
        <v>6000</v>
      </c>
      <c r="F521" s="2022">
        <v>0</v>
      </c>
      <c r="G521" s="2022">
        <f t="shared" si="16"/>
        <v>6000</v>
      </c>
      <c r="I521" s="2022">
        <f>VLOOKUP(A521,'2012 - TB'!$A$3:$I$733,9,FALSE)</f>
        <v>6000</v>
      </c>
      <c r="K521" s="2011">
        <f t="shared" si="17"/>
        <v>0</v>
      </c>
    </row>
    <row r="522" spans="1:11" x14ac:dyDescent="0.2">
      <c r="A522" t="s">
        <v>5441</v>
      </c>
      <c r="B522" t="s">
        <v>7961</v>
      </c>
      <c r="C522" s="2022">
        <v>0</v>
      </c>
      <c r="D522" s="2022">
        <v>0</v>
      </c>
      <c r="E522" s="2022">
        <v>0</v>
      </c>
      <c r="F522" s="2022">
        <v>0</v>
      </c>
      <c r="G522" s="2022">
        <f t="shared" si="16"/>
        <v>0</v>
      </c>
      <c r="K522" s="2011">
        <f t="shared" si="17"/>
        <v>0</v>
      </c>
    </row>
    <row r="523" spans="1:11" x14ac:dyDescent="0.2">
      <c r="A523" t="s">
        <v>5442</v>
      </c>
      <c r="B523" t="s">
        <v>7746</v>
      </c>
      <c r="C523" s="2022">
        <v>0</v>
      </c>
      <c r="D523" s="2022">
        <v>0</v>
      </c>
      <c r="E523" s="2022">
        <v>0</v>
      </c>
      <c r="F523" s="2022">
        <v>0</v>
      </c>
      <c r="G523" s="2022">
        <f t="shared" si="16"/>
        <v>0</v>
      </c>
      <c r="K523" s="2011">
        <f t="shared" si="17"/>
        <v>0</v>
      </c>
    </row>
    <row r="524" spans="1:11" x14ac:dyDescent="0.2">
      <c r="A524" t="s">
        <v>5443</v>
      </c>
      <c r="B524" t="s">
        <v>7962</v>
      </c>
      <c r="C524" s="2022">
        <v>3000</v>
      </c>
      <c r="D524" s="2022">
        <v>0</v>
      </c>
      <c r="E524" s="2022">
        <v>1418.29</v>
      </c>
      <c r="F524" s="2022">
        <v>0</v>
      </c>
      <c r="G524" s="2022">
        <f t="shared" si="16"/>
        <v>1418.29</v>
      </c>
      <c r="I524" s="2022">
        <f>VLOOKUP(A524,'2012 - TB'!$A$3:$I$733,9,FALSE)</f>
        <v>1418.29</v>
      </c>
      <c r="K524" s="2011">
        <f t="shared" si="17"/>
        <v>0</v>
      </c>
    </row>
    <row r="525" spans="1:11" x14ac:dyDescent="0.2">
      <c r="A525" t="s">
        <v>5444</v>
      </c>
      <c r="B525" t="s">
        <v>7963</v>
      </c>
      <c r="C525" s="2022">
        <v>0</v>
      </c>
      <c r="D525" s="2022">
        <v>0</v>
      </c>
      <c r="E525" s="2022">
        <v>0</v>
      </c>
      <c r="F525" s="2022">
        <v>0</v>
      </c>
      <c r="G525" s="2022">
        <f t="shared" si="16"/>
        <v>0</v>
      </c>
      <c r="K525" s="2011">
        <f t="shared" si="17"/>
        <v>0</v>
      </c>
    </row>
    <row r="526" spans="1:11" x14ac:dyDescent="0.2">
      <c r="A526" t="s">
        <v>5445</v>
      </c>
      <c r="B526" t="s">
        <v>7964</v>
      </c>
      <c r="C526" s="2022">
        <v>2093.39</v>
      </c>
      <c r="D526" s="2022">
        <v>0</v>
      </c>
      <c r="E526" s="2022">
        <v>3634.77</v>
      </c>
      <c r="F526" s="2022">
        <v>0</v>
      </c>
      <c r="G526" s="2022">
        <f t="shared" si="16"/>
        <v>3634.77</v>
      </c>
      <c r="I526" s="2022">
        <f>VLOOKUP(A526,'2012 - TB'!$A$3:$I$733,9,FALSE)</f>
        <v>3634.77</v>
      </c>
      <c r="K526" s="2011">
        <f t="shared" si="17"/>
        <v>0</v>
      </c>
    </row>
    <row r="527" spans="1:11" x14ac:dyDescent="0.2">
      <c r="A527" t="s">
        <v>5446</v>
      </c>
      <c r="B527" t="s">
        <v>7965</v>
      </c>
      <c r="C527" s="2022">
        <v>0</v>
      </c>
      <c r="D527" s="2022">
        <v>0</v>
      </c>
      <c r="E527" s="2022">
        <v>0</v>
      </c>
      <c r="F527" s="2022">
        <v>0</v>
      </c>
      <c r="G527" s="2022">
        <f t="shared" si="16"/>
        <v>0</v>
      </c>
      <c r="K527" s="2011">
        <f t="shared" si="17"/>
        <v>0</v>
      </c>
    </row>
    <row r="528" spans="1:11" x14ac:dyDescent="0.2">
      <c r="A528" t="s">
        <v>5447</v>
      </c>
      <c r="B528" t="s">
        <v>7917</v>
      </c>
      <c r="C528" s="2022">
        <v>20410.509999999998</v>
      </c>
      <c r="D528" s="2022">
        <v>0</v>
      </c>
      <c r="E528" s="2022">
        <v>20410.509999999998</v>
      </c>
      <c r="F528" s="2022">
        <v>0</v>
      </c>
      <c r="G528" s="2022">
        <f t="shared" si="16"/>
        <v>20410.509999999998</v>
      </c>
      <c r="I528" s="2022">
        <f>VLOOKUP(A528,'2012 - TB'!$A$3:$I$733,9,FALSE)</f>
        <v>20410.509999999998</v>
      </c>
      <c r="K528" s="2011">
        <f t="shared" si="17"/>
        <v>0</v>
      </c>
    </row>
    <row r="529" spans="1:11" x14ac:dyDescent="0.2">
      <c r="A529" t="s">
        <v>5448</v>
      </c>
      <c r="B529" t="s">
        <v>6187</v>
      </c>
      <c r="C529" s="2022">
        <v>94514.97</v>
      </c>
      <c r="D529" s="2022">
        <v>0</v>
      </c>
      <c r="E529" s="2022">
        <v>108514.97</v>
      </c>
      <c r="F529" s="2022">
        <v>0</v>
      </c>
      <c r="G529" s="2022">
        <f t="shared" si="16"/>
        <v>108514.97</v>
      </c>
      <c r="I529" s="2022">
        <f>VLOOKUP(A529,'2012 - TB'!$A$3:$I$733,9,FALSE)</f>
        <v>108514.97</v>
      </c>
      <c r="K529" s="2011">
        <f t="shared" si="17"/>
        <v>0</v>
      </c>
    </row>
    <row r="530" spans="1:11" x14ac:dyDescent="0.2">
      <c r="A530" t="s">
        <v>5449</v>
      </c>
      <c r="B530" t="s">
        <v>6126</v>
      </c>
      <c r="C530" s="2022">
        <v>8.1999999999999993</v>
      </c>
      <c r="D530" s="2022">
        <v>0</v>
      </c>
      <c r="E530" s="2022">
        <v>8.1999999999999993</v>
      </c>
      <c r="F530" s="2022">
        <v>0</v>
      </c>
      <c r="G530" s="2022">
        <f t="shared" si="16"/>
        <v>8.1999999999999993</v>
      </c>
      <c r="I530" s="2022">
        <f>VLOOKUP(A530,'2012 - TB'!$A$3:$I$733,9,FALSE)</f>
        <v>8.1999999999999993</v>
      </c>
      <c r="K530" s="2011">
        <f t="shared" si="17"/>
        <v>0</v>
      </c>
    </row>
    <row r="531" spans="1:11" x14ac:dyDescent="0.2">
      <c r="A531" t="s">
        <v>5450</v>
      </c>
      <c r="B531" t="s">
        <v>6188</v>
      </c>
      <c r="C531" s="2022">
        <v>287</v>
      </c>
      <c r="D531" s="2022">
        <v>0</v>
      </c>
      <c r="E531" s="2022">
        <v>303.39999999999998</v>
      </c>
      <c r="F531" s="2022">
        <v>0</v>
      </c>
      <c r="G531" s="2022">
        <f t="shared" si="16"/>
        <v>303.39999999999998</v>
      </c>
      <c r="I531" s="2022">
        <f>VLOOKUP(A531,'2012 - TB'!$A$3:$I$733,9,FALSE)</f>
        <v>303.39999999999998</v>
      </c>
      <c r="K531" s="2011">
        <f t="shared" si="17"/>
        <v>0</v>
      </c>
    </row>
    <row r="532" spans="1:11" x14ac:dyDescent="0.2">
      <c r="A532" t="s">
        <v>5451</v>
      </c>
      <c r="B532" t="s">
        <v>7966</v>
      </c>
      <c r="C532" s="2022">
        <v>0</v>
      </c>
      <c r="D532" s="2022">
        <v>0</v>
      </c>
      <c r="E532" s="2022">
        <v>0</v>
      </c>
      <c r="F532" s="2022">
        <v>0</v>
      </c>
      <c r="G532" s="2022">
        <f t="shared" si="16"/>
        <v>0</v>
      </c>
      <c r="K532" s="2011">
        <f t="shared" si="17"/>
        <v>0</v>
      </c>
    </row>
    <row r="533" spans="1:11" x14ac:dyDescent="0.2">
      <c r="A533" t="s">
        <v>5452</v>
      </c>
      <c r="B533" t="s">
        <v>6129</v>
      </c>
      <c r="C533" s="2022">
        <v>340.14</v>
      </c>
      <c r="D533" s="2022">
        <v>0</v>
      </c>
      <c r="E533" s="2022">
        <v>340.14</v>
      </c>
      <c r="F533" s="2022">
        <v>0</v>
      </c>
      <c r="G533" s="2022">
        <f t="shared" si="16"/>
        <v>340.14</v>
      </c>
      <c r="I533" s="2022">
        <f>VLOOKUP(A533,'2012 - TB'!$A$3:$I$733,9,FALSE)</f>
        <v>340.14</v>
      </c>
      <c r="K533" s="2011">
        <f t="shared" si="17"/>
        <v>0</v>
      </c>
    </row>
    <row r="534" spans="1:11" x14ac:dyDescent="0.2">
      <c r="A534" t="s">
        <v>5453</v>
      </c>
      <c r="B534" t="s">
        <v>6189</v>
      </c>
      <c r="C534" s="2022">
        <v>8964.4699999999993</v>
      </c>
      <c r="D534" s="2022">
        <v>0</v>
      </c>
      <c r="E534" s="2022">
        <v>9187.9500000000007</v>
      </c>
      <c r="F534" s="2022">
        <v>0</v>
      </c>
      <c r="G534" s="2022">
        <f t="shared" si="16"/>
        <v>9187.9500000000007</v>
      </c>
      <c r="I534" s="2022">
        <f>VLOOKUP(A534,'2012 - TB'!$A$3:$I$733,9,FALSE)</f>
        <v>9187.9500000000007</v>
      </c>
      <c r="K534" s="2011">
        <f t="shared" si="17"/>
        <v>0</v>
      </c>
    </row>
    <row r="535" spans="1:11" x14ac:dyDescent="0.2">
      <c r="A535" t="s">
        <v>5454</v>
      </c>
      <c r="B535" t="s">
        <v>7735</v>
      </c>
      <c r="C535" s="2022">
        <v>0</v>
      </c>
      <c r="D535" s="2022">
        <v>0</v>
      </c>
      <c r="E535" s="2022">
        <v>0</v>
      </c>
      <c r="F535" s="2022">
        <v>0</v>
      </c>
      <c r="G535" s="2022">
        <f t="shared" si="16"/>
        <v>0</v>
      </c>
      <c r="K535" s="2011">
        <f t="shared" si="17"/>
        <v>0</v>
      </c>
    </row>
    <row r="536" spans="1:11" x14ac:dyDescent="0.2">
      <c r="A536" t="s">
        <v>5455</v>
      </c>
      <c r="B536" t="s">
        <v>7747</v>
      </c>
      <c r="C536" s="2022">
        <v>0</v>
      </c>
      <c r="D536" s="2022">
        <v>0</v>
      </c>
      <c r="E536" s="2022">
        <v>0</v>
      </c>
      <c r="F536" s="2022">
        <v>0</v>
      </c>
      <c r="G536" s="2022">
        <f t="shared" si="16"/>
        <v>0</v>
      </c>
      <c r="K536" s="2011">
        <f t="shared" si="17"/>
        <v>0</v>
      </c>
    </row>
    <row r="537" spans="1:11" x14ac:dyDescent="0.2">
      <c r="A537" t="s">
        <v>5456</v>
      </c>
      <c r="B537" t="s">
        <v>6190</v>
      </c>
      <c r="C537" s="2022">
        <v>3072</v>
      </c>
      <c r="D537" s="2022">
        <v>0</v>
      </c>
      <c r="E537" s="2022">
        <v>3072</v>
      </c>
      <c r="F537" s="2022">
        <v>0</v>
      </c>
      <c r="G537" s="2022">
        <f t="shared" si="16"/>
        <v>3072</v>
      </c>
      <c r="I537" s="2022">
        <f>VLOOKUP(A537,'2012 - TB'!$A$3:$I$733,9,FALSE)</f>
        <v>3072</v>
      </c>
      <c r="K537" s="2011">
        <f t="shared" si="17"/>
        <v>0</v>
      </c>
    </row>
    <row r="538" spans="1:11" x14ac:dyDescent="0.2">
      <c r="A538" t="s">
        <v>5457</v>
      </c>
      <c r="B538" t="s">
        <v>6191</v>
      </c>
      <c r="C538" s="2022">
        <v>54456</v>
      </c>
      <c r="D538" s="2022">
        <v>0</v>
      </c>
      <c r="E538" s="2022">
        <v>57228</v>
      </c>
      <c r="F538" s="2022">
        <v>0</v>
      </c>
      <c r="G538" s="2022">
        <f t="shared" si="16"/>
        <v>57228</v>
      </c>
      <c r="I538" s="2022">
        <f>VLOOKUP(A538,'2012 - TB'!$A$3:$I$733,9,FALSE)</f>
        <v>57228</v>
      </c>
      <c r="K538" s="2011">
        <f t="shared" si="17"/>
        <v>0</v>
      </c>
    </row>
    <row r="539" spans="1:11" x14ac:dyDescent="0.2">
      <c r="A539" t="s">
        <v>5458</v>
      </c>
      <c r="B539" t="s">
        <v>7967</v>
      </c>
      <c r="C539" s="2022">
        <v>0</v>
      </c>
      <c r="D539" s="2022">
        <v>0</v>
      </c>
      <c r="E539" s="2022">
        <v>0</v>
      </c>
      <c r="F539" s="2022">
        <v>0</v>
      </c>
      <c r="G539" s="2022">
        <f t="shared" si="16"/>
        <v>0</v>
      </c>
      <c r="K539" s="2011">
        <f t="shared" si="17"/>
        <v>0</v>
      </c>
    </row>
    <row r="540" spans="1:11" x14ac:dyDescent="0.2">
      <c r="A540" t="s">
        <v>5459</v>
      </c>
      <c r="B540" t="s">
        <v>6192</v>
      </c>
      <c r="C540" s="2022">
        <v>8339.02</v>
      </c>
      <c r="D540" s="2022">
        <v>0</v>
      </c>
      <c r="E540" s="2022">
        <v>8339.02</v>
      </c>
      <c r="F540" s="2022">
        <v>0</v>
      </c>
      <c r="G540" s="2022">
        <f t="shared" si="16"/>
        <v>8339.02</v>
      </c>
      <c r="I540" s="2022">
        <f>VLOOKUP(A540,'2012 - TB'!$A$3:$I$733,9,FALSE)</f>
        <v>8339.02</v>
      </c>
      <c r="K540" s="2011">
        <f t="shared" si="17"/>
        <v>0</v>
      </c>
    </row>
    <row r="541" spans="1:11" x14ac:dyDescent="0.2">
      <c r="A541" t="s">
        <v>5460</v>
      </c>
      <c r="B541" t="s">
        <v>6193</v>
      </c>
      <c r="C541" s="2022">
        <v>142301.13</v>
      </c>
      <c r="D541" s="2022">
        <v>0</v>
      </c>
      <c r="E541" s="2022">
        <v>151457.57</v>
      </c>
      <c r="F541" s="2022">
        <v>0</v>
      </c>
      <c r="G541" s="2022">
        <f t="shared" si="16"/>
        <v>151457.57</v>
      </c>
      <c r="I541" s="2022">
        <f>VLOOKUP(A541,'2012 - TB'!$A$3:$I$733,9,FALSE)</f>
        <v>151457.57</v>
      </c>
      <c r="K541" s="2011">
        <f t="shared" si="17"/>
        <v>0</v>
      </c>
    </row>
    <row r="542" spans="1:11" x14ac:dyDescent="0.2">
      <c r="A542" t="s">
        <v>5461</v>
      </c>
      <c r="B542" t="s">
        <v>7968</v>
      </c>
      <c r="C542" s="2022">
        <v>0</v>
      </c>
      <c r="D542" s="2022">
        <v>0</v>
      </c>
      <c r="E542" s="2022">
        <v>0</v>
      </c>
      <c r="F542" s="2022">
        <v>0</v>
      </c>
      <c r="G542" s="2022">
        <f t="shared" si="16"/>
        <v>0</v>
      </c>
      <c r="K542" s="2011">
        <f t="shared" si="17"/>
        <v>0</v>
      </c>
    </row>
    <row r="543" spans="1:11" x14ac:dyDescent="0.2">
      <c r="A543" t="s">
        <v>5462</v>
      </c>
      <c r="B543" t="s">
        <v>7969</v>
      </c>
      <c r="C543" s="2022">
        <v>249.56</v>
      </c>
      <c r="D543" s="2022">
        <v>0</v>
      </c>
      <c r="E543" s="2022">
        <v>249.56</v>
      </c>
      <c r="F543" s="2022">
        <v>0</v>
      </c>
      <c r="G543" s="2022">
        <f t="shared" si="16"/>
        <v>249.56</v>
      </c>
      <c r="I543" s="2022">
        <f>VLOOKUP(A543,'2012 - TB'!$A$3:$I$733,9,FALSE)</f>
        <v>249.56</v>
      </c>
      <c r="K543" s="2011">
        <f t="shared" si="17"/>
        <v>0</v>
      </c>
    </row>
    <row r="544" spans="1:11" x14ac:dyDescent="0.2">
      <c r="A544" t="s">
        <v>5463</v>
      </c>
      <c r="B544" t="s">
        <v>7970</v>
      </c>
      <c r="C544" s="2022">
        <v>7135.92</v>
      </c>
      <c r="D544" s="2022">
        <v>0</v>
      </c>
      <c r="E544" s="2022">
        <v>7007.43</v>
      </c>
      <c r="F544" s="2022">
        <v>0</v>
      </c>
      <c r="G544" s="2022">
        <f t="shared" si="16"/>
        <v>7007.43</v>
      </c>
      <c r="I544" s="2022">
        <f>VLOOKUP(A544,'2012 - TB'!$A$3:$I$733,9,FALSE)</f>
        <v>7007.43</v>
      </c>
      <c r="K544" s="2011">
        <f t="shared" si="17"/>
        <v>0</v>
      </c>
    </row>
    <row r="545" spans="1:73" x14ac:dyDescent="0.2">
      <c r="A545" t="s">
        <v>5464</v>
      </c>
      <c r="B545" t="s">
        <v>7971</v>
      </c>
      <c r="C545" s="2022">
        <v>0</v>
      </c>
      <c r="D545" s="2022">
        <v>0</v>
      </c>
      <c r="E545" s="2022">
        <v>0</v>
      </c>
      <c r="F545" s="2022">
        <v>0</v>
      </c>
      <c r="G545" s="2022">
        <f t="shared" si="16"/>
        <v>0</v>
      </c>
      <c r="K545" s="2011">
        <f t="shared" si="17"/>
        <v>0</v>
      </c>
    </row>
    <row r="546" spans="1:73" x14ac:dyDescent="0.2">
      <c r="A546" t="s">
        <v>5465</v>
      </c>
      <c r="B546" t="s">
        <v>6143</v>
      </c>
      <c r="C546" s="2022">
        <v>24415.38</v>
      </c>
      <c r="D546" s="2022">
        <v>0</v>
      </c>
      <c r="E546" s="2022">
        <v>23763</v>
      </c>
      <c r="F546" s="2022">
        <v>0</v>
      </c>
      <c r="G546" s="2022">
        <f t="shared" si="16"/>
        <v>23763</v>
      </c>
      <c r="I546" s="2022">
        <f>VLOOKUP(A546,'2012 - TB'!$A$3:$I$733,9,FALSE)</f>
        <v>23763</v>
      </c>
      <c r="K546" s="2011">
        <f t="shared" si="17"/>
        <v>0</v>
      </c>
    </row>
    <row r="547" spans="1:73" x14ac:dyDescent="0.2">
      <c r="A547" t="s">
        <v>5466</v>
      </c>
      <c r="B547" t="s">
        <v>7748</v>
      </c>
      <c r="C547" s="2022">
        <v>0</v>
      </c>
      <c r="D547" s="2022">
        <v>0</v>
      </c>
      <c r="E547" s="2022">
        <v>0</v>
      </c>
      <c r="F547" s="2022">
        <v>0</v>
      </c>
      <c r="G547" s="2022">
        <f t="shared" si="16"/>
        <v>0</v>
      </c>
      <c r="K547" s="2011">
        <f t="shared" si="17"/>
        <v>0</v>
      </c>
    </row>
    <row r="548" spans="1:73" x14ac:dyDescent="0.2">
      <c r="A548" t="s">
        <v>5467</v>
      </c>
      <c r="B548" t="s">
        <v>7972</v>
      </c>
      <c r="C548" s="2022">
        <v>0</v>
      </c>
      <c r="D548" s="2022">
        <v>0</v>
      </c>
      <c r="E548" s="2022">
        <v>0</v>
      </c>
      <c r="F548" s="2022">
        <v>0</v>
      </c>
      <c r="G548" s="2022">
        <f t="shared" si="16"/>
        <v>0</v>
      </c>
      <c r="K548" s="2011">
        <f t="shared" si="17"/>
        <v>0</v>
      </c>
    </row>
    <row r="549" spans="1:73" x14ac:dyDescent="0.2">
      <c r="A549" t="s">
        <v>5468</v>
      </c>
      <c r="B549" t="s">
        <v>6196</v>
      </c>
      <c r="C549" s="2022">
        <v>0</v>
      </c>
      <c r="D549" s="2022">
        <v>0</v>
      </c>
      <c r="E549" s="2022">
        <v>378</v>
      </c>
      <c r="F549" s="2022">
        <v>0</v>
      </c>
      <c r="G549" s="2022">
        <f t="shared" si="16"/>
        <v>378</v>
      </c>
      <c r="I549" s="2022">
        <f>VLOOKUP(A549,'2012 - TB'!$A$3:$I$733,9,FALSE)</f>
        <v>378</v>
      </c>
      <c r="K549" s="2011">
        <f t="shared" si="17"/>
        <v>0</v>
      </c>
    </row>
    <row r="550" spans="1:73" x14ac:dyDescent="0.2">
      <c r="A550" t="s">
        <v>5469</v>
      </c>
      <c r="B550" t="s">
        <v>7973</v>
      </c>
      <c r="C550" s="2022">
        <v>0</v>
      </c>
      <c r="D550" s="2022">
        <v>0</v>
      </c>
      <c r="E550" s="2022">
        <v>0</v>
      </c>
      <c r="F550" s="2022">
        <v>0</v>
      </c>
      <c r="G550" s="2022">
        <f t="shared" si="16"/>
        <v>0</v>
      </c>
      <c r="K550" s="2011">
        <f t="shared" si="17"/>
        <v>0</v>
      </c>
    </row>
    <row r="551" spans="1:73" x14ac:dyDescent="0.2">
      <c r="A551" t="s">
        <v>5470</v>
      </c>
      <c r="B551" t="s">
        <v>4871</v>
      </c>
      <c r="C551" s="2022">
        <v>3000</v>
      </c>
      <c r="D551" s="2022">
        <v>0</v>
      </c>
      <c r="E551" s="2022">
        <v>3000</v>
      </c>
      <c r="F551" s="2022">
        <v>0</v>
      </c>
      <c r="G551" s="2022">
        <f t="shared" si="16"/>
        <v>3000</v>
      </c>
      <c r="I551" s="2022">
        <f>VLOOKUP(A551,'2012 - TB'!$A$3:$I$733,9,FALSE)</f>
        <v>3000</v>
      </c>
      <c r="K551" s="2011">
        <f t="shared" si="17"/>
        <v>0</v>
      </c>
    </row>
    <row r="552" spans="1:73" s="2215" customFormat="1" x14ac:dyDescent="0.2">
      <c r="A552" s="2215" t="s">
        <v>5471</v>
      </c>
      <c r="B552" s="2215" t="s">
        <v>4873</v>
      </c>
      <c r="C552" s="2230">
        <v>5000</v>
      </c>
      <c r="D552" s="2230">
        <v>0</v>
      </c>
      <c r="E552" s="2230">
        <v>99941.86</v>
      </c>
      <c r="F552" s="2230">
        <v>-7691.86</v>
      </c>
      <c r="G552" s="2230">
        <f t="shared" si="16"/>
        <v>92250</v>
      </c>
      <c r="I552" s="2230">
        <f>VLOOKUP(A552,'2012 - TB'!$A$3:$I$733,9,FALSE)</f>
        <v>0</v>
      </c>
      <c r="K552" s="2728">
        <f t="shared" si="17"/>
        <v>92250</v>
      </c>
      <c r="L552" s="2024"/>
      <c r="M552" s="2024"/>
      <c r="N552" s="2024"/>
      <c r="O552" s="2024"/>
      <c r="P552" s="2024"/>
      <c r="Q552" s="2024"/>
      <c r="R552" s="2024"/>
      <c r="S552" s="2024"/>
      <c r="T552" s="2024"/>
      <c r="U552" s="2024"/>
      <c r="V552" s="2024"/>
      <c r="W552" s="2024"/>
      <c r="X552" s="2024"/>
      <c r="Y552" s="2024"/>
      <c r="Z552" s="2024"/>
      <c r="AA552" s="2024"/>
      <c r="AB552" s="2024"/>
      <c r="AC552" s="2024"/>
      <c r="AD552" s="2024"/>
      <c r="AE552" s="2024"/>
      <c r="AF552" s="2024"/>
      <c r="AG552" s="2024"/>
      <c r="AH552" s="2024"/>
      <c r="AI552" s="2024"/>
      <c r="AJ552" s="2024"/>
      <c r="AK552" s="2024"/>
      <c r="AL552" s="2024"/>
      <c r="AM552" s="2024"/>
      <c r="AN552" s="2024"/>
      <c r="AO552" s="2024"/>
      <c r="AP552" s="2024"/>
      <c r="AQ552" s="2024"/>
      <c r="AR552" s="2024"/>
      <c r="AS552" s="2024"/>
      <c r="AT552" s="2024"/>
      <c r="AU552" s="2024"/>
      <c r="AV552" s="2024"/>
      <c r="AW552" s="2024"/>
      <c r="AX552" s="2024"/>
      <c r="AY552" s="2024"/>
      <c r="AZ552" s="2024"/>
      <c r="BA552" s="2024"/>
      <c r="BB552" s="2024"/>
      <c r="BC552" s="2024"/>
      <c r="BD552" s="2024"/>
      <c r="BE552" s="2024"/>
      <c r="BF552" s="2024"/>
      <c r="BG552" s="2024"/>
      <c r="BH552" s="2024"/>
      <c r="BI552" s="2024"/>
      <c r="BJ552" s="2024"/>
      <c r="BK552" s="2024"/>
      <c r="BL552" s="2024"/>
      <c r="BM552" s="2024"/>
      <c r="BN552" s="2024"/>
      <c r="BO552" s="2024"/>
      <c r="BP552" s="2024"/>
      <c r="BQ552" s="2024"/>
      <c r="BR552" s="2024"/>
      <c r="BS552" s="2024"/>
      <c r="BT552" s="2024"/>
      <c r="BU552" s="2024"/>
    </row>
    <row r="553" spans="1:73" x14ac:dyDescent="0.2">
      <c r="A553" t="s">
        <v>5472</v>
      </c>
      <c r="B553" t="s">
        <v>4875</v>
      </c>
      <c r="C553" s="2022">
        <v>2868.05</v>
      </c>
      <c r="D553" s="2022">
        <v>0</v>
      </c>
      <c r="E553" s="2022">
        <v>769.25</v>
      </c>
      <c r="F553" s="2022">
        <v>0</v>
      </c>
      <c r="G553" s="2022">
        <f t="shared" si="16"/>
        <v>769.25</v>
      </c>
      <c r="I553" s="2022">
        <f>VLOOKUP(A553,'2012 - TB'!$A$3:$I$733,9,FALSE)</f>
        <v>769.25</v>
      </c>
      <c r="K553" s="2011">
        <f t="shared" si="17"/>
        <v>0</v>
      </c>
    </row>
    <row r="554" spans="1:73" x14ac:dyDescent="0.2">
      <c r="A554" t="s">
        <v>5473</v>
      </c>
      <c r="B554" t="s">
        <v>7974</v>
      </c>
      <c r="C554" s="2022">
        <v>0</v>
      </c>
      <c r="D554" s="2022">
        <v>0</v>
      </c>
      <c r="E554" s="2022">
        <v>0</v>
      </c>
      <c r="F554" s="2022">
        <v>0</v>
      </c>
      <c r="G554" s="2022">
        <f t="shared" si="16"/>
        <v>0</v>
      </c>
      <c r="K554" s="2011">
        <f t="shared" si="17"/>
        <v>0</v>
      </c>
    </row>
    <row r="555" spans="1:73" x14ac:dyDescent="0.2">
      <c r="A555" t="s">
        <v>5474</v>
      </c>
      <c r="B555" t="s">
        <v>6153</v>
      </c>
      <c r="C555" s="2022">
        <v>23271</v>
      </c>
      <c r="D555" s="2022">
        <v>0</v>
      </c>
      <c r="E555" s="2022">
        <v>14454</v>
      </c>
      <c r="F555" s="2022">
        <v>0</v>
      </c>
      <c r="G555" s="2022">
        <f t="shared" si="16"/>
        <v>14454</v>
      </c>
      <c r="I555" s="2022">
        <f>VLOOKUP(A555,'2012 - TB'!$A$3:$I$733,9,FALSE)</f>
        <v>14454</v>
      </c>
      <c r="K555" s="2011">
        <f t="shared" si="17"/>
        <v>0</v>
      </c>
    </row>
    <row r="556" spans="1:73" x14ac:dyDescent="0.2">
      <c r="A556" t="s">
        <v>5475</v>
      </c>
      <c r="B556" t="s">
        <v>6197</v>
      </c>
      <c r="C556" s="2022">
        <v>27838.69</v>
      </c>
      <c r="D556" s="2022">
        <v>0</v>
      </c>
      <c r="E556" s="2022">
        <v>41416.21</v>
      </c>
      <c r="F556" s="2022">
        <v>0</v>
      </c>
      <c r="G556" s="2022">
        <f t="shared" si="16"/>
        <v>41416.21</v>
      </c>
      <c r="I556" s="2022">
        <f>VLOOKUP(A556,'2012 - TB'!$A$3:$I$733,9,FALSE)</f>
        <v>41416.21</v>
      </c>
      <c r="K556" s="2011">
        <f t="shared" si="17"/>
        <v>0</v>
      </c>
    </row>
    <row r="557" spans="1:73" x14ac:dyDescent="0.2">
      <c r="A557" t="s">
        <v>5476</v>
      </c>
      <c r="B557" t="s">
        <v>7975</v>
      </c>
      <c r="C557" s="2022">
        <v>0</v>
      </c>
      <c r="D557" s="2022">
        <v>0</v>
      </c>
      <c r="E557" s="2022">
        <v>9034.56</v>
      </c>
      <c r="F557" s="2022">
        <v>0</v>
      </c>
      <c r="G557" s="2022">
        <f t="shared" si="16"/>
        <v>9034.56</v>
      </c>
      <c r="I557" s="2022">
        <f>VLOOKUP(A557,'2012 - TB'!$A$3:$I$733,9,FALSE)</f>
        <v>9034.5600000000013</v>
      </c>
      <c r="K557" s="2011">
        <f t="shared" si="17"/>
        <v>0</v>
      </c>
    </row>
    <row r="558" spans="1:73" s="2215" customFormat="1" x14ac:dyDescent="0.2">
      <c r="A558" s="2215" t="s">
        <v>5477</v>
      </c>
      <c r="B558" s="2215" t="s">
        <v>5478</v>
      </c>
      <c r="C558" s="2230">
        <v>3500</v>
      </c>
      <c r="D558" s="2230">
        <v>0</v>
      </c>
      <c r="E558" s="2230">
        <v>113771.49</v>
      </c>
      <c r="F558" s="2230">
        <v>0</v>
      </c>
      <c r="G558" s="2230">
        <f t="shared" si="16"/>
        <v>113771.49</v>
      </c>
      <c r="I558" s="2230">
        <f>VLOOKUP(A558,'2012 - TB'!$A$3:$I$733,9,FALSE)</f>
        <v>431.49</v>
      </c>
      <c r="K558" s="2230">
        <f t="shared" si="17"/>
        <v>113340</v>
      </c>
      <c r="L558" s="2024"/>
      <c r="M558" s="2024"/>
      <c r="N558" s="2024"/>
      <c r="O558" s="2024"/>
      <c r="P558" s="2024"/>
      <c r="Q558" s="2024"/>
      <c r="R558" s="2024"/>
      <c r="S558" s="2024"/>
      <c r="T558" s="2024"/>
      <c r="U558" s="2024"/>
      <c r="V558" s="2024"/>
      <c r="W558" s="2024"/>
      <c r="X558" s="2024"/>
      <c r="Y558" s="2024"/>
      <c r="Z558" s="2024"/>
      <c r="AA558" s="2024"/>
      <c r="AB558" s="2024"/>
      <c r="AC558" s="2024"/>
      <c r="AD558" s="2024"/>
      <c r="AE558" s="2024"/>
      <c r="AF558" s="2024"/>
      <c r="AG558" s="2024"/>
      <c r="AH558" s="2024"/>
      <c r="AI558" s="2024"/>
      <c r="AJ558" s="2024"/>
      <c r="AK558" s="2024"/>
      <c r="AL558" s="2024"/>
      <c r="AM558" s="2024"/>
      <c r="AN558" s="2024"/>
      <c r="AO558" s="2024"/>
      <c r="AP558" s="2024"/>
      <c r="AQ558" s="2024"/>
      <c r="AR558" s="2024"/>
      <c r="AS558" s="2024"/>
      <c r="AT558" s="2024"/>
      <c r="AU558" s="2024"/>
      <c r="AV558" s="2024"/>
      <c r="AW558" s="2024"/>
      <c r="AX558" s="2024"/>
      <c r="AY558" s="2024"/>
      <c r="AZ558" s="2024"/>
      <c r="BA558" s="2024"/>
      <c r="BB558" s="2024"/>
      <c r="BC558" s="2024"/>
      <c r="BD558" s="2024"/>
      <c r="BE558" s="2024"/>
      <c r="BF558" s="2024"/>
      <c r="BG558" s="2024"/>
      <c r="BH558" s="2024"/>
      <c r="BI558" s="2024"/>
      <c r="BJ558" s="2024"/>
      <c r="BK558" s="2024"/>
      <c r="BL558" s="2024"/>
      <c r="BM558" s="2024"/>
      <c r="BN558" s="2024"/>
      <c r="BO558" s="2024"/>
      <c r="BP558" s="2024"/>
      <c r="BQ558" s="2024"/>
      <c r="BR558" s="2024"/>
      <c r="BS558" s="2024"/>
      <c r="BT558" s="2024"/>
      <c r="BU558" s="2024"/>
    </row>
    <row r="559" spans="1:73" s="2215" customFormat="1" x14ac:dyDescent="0.2">
      <c r="A559" s="2215" t="s">
        <v>5479</v>
      </c>
      <c r="B559" s="2215" t="s">
        <v>6200</v>
      </c>
      <c r="C559" s="2230">
        <v>5000</v>
      </c>
      <c r="D559" s="2230">
        <v>0</v>
      </c>
      <c r="E559" s="2230">
        <v>66799.259999999995</v>
      </c>
      <c r="F559" s="2230">
        <v>-2569.2600000000002</v>
      </c>
      <c r="G559" s="2230">
        <f t="shared" si="16"/>
        <v>64229.999999999993</v>
      </c>
      <c r="I559" s="2230">
        <f>VLOOKUP(A559,'2012 - TB'!$A$3:$I$733,9,FALSE)</f>
        <v>0</v>
      </c>
      <c r="K559" s="2230">
        <f t="shared" si="17"/>
        <v>64229.999999999993</v>
      </c>
      <c r="L559" s="2024"/>
      <c r="M559" s="2024"/>
      <c r="N559" s="2024"/>
      <c r="O559" s="2024"/>
      <c r="P559" s="2024"/>
      <c r="Q559" s="2024"/>
      <c r="R559" s="2024"/>
      <c r="S559" s="2024"/>
      <c r="T559" s="2024"/>
      <c r="U559" s="2024"/>
      <c r="V559" s="2024"/>
      <c r="W559" s="2024"/>
      <c r="X559" s="2024"/>
      <c r="Y559" s="2024"/>
      <c r="Z559" s="2024"/>
      <c r="AA559" s="2024"/>
      <c r="AB559" s="2024"/>
      <c r="AC559" s="2024"/>
      <c r="AD559" s="2024"/>
      <c r="AE559" s="2024"/>
      <c r="AF559" s="2024"/>
      <c r="AG559" s="2024"/>
      <c r="AH559" s="2024"/>
      <c r="AI559" s="2024"/>
      <c r="AJ559" s="2024"/>
      <c r="AK559" s="2024"/>
      <c r="AL559" s="2024"/>
      <c r="AM559" s="2024"/>
      <c r="AN559" s="2024"/>
      <c r="AO559" s="2024"/>
      <c r="AP559" s="2024"/>
      <c r="AQ559" s="2024"/>
      <c r="AR559" s="2024"/>
      <c r="AS559" s="2024"/>
      <c r="AT559" s="2024"/>
      <c r="AU559" s="2024"/>
      <c r="AV559" s="2024"/>
      <c r="AW559" s="2024"/>
      <c r="AX559" s="2024"/>
      <c r="AY559" s="2024"/>
      <c r="AZ559" s="2024"/>
      <c r="BA559" s="2024"/>
      <c r="BB559" s="2024"/>
      <c r="BC559" s="2024"/>
      <c r="BD559" s="2024"/>
      <c r="BE559" s="2024"/>
      <c r="BF559" s="2024"/>
      <c r="BG559" s="2024"/>
      <c r="BH559" s="2024"/>
      <c r="BI559" s="2024"/>
      <c r="BJ559" s="2024"/>
      <c r="BK559" s="2024"/>
      <c r="BL559" s="2024"/>
      <c r="BM559" s="2024"/>
      <c r="BN559" s="2024"/>
      <c r="BO559" s="2024"/>
      <c r="BP559" s="2024"/>
      <c r="BQ559" s="2024"/>
      <c r="BR559" s="2024"/>
      <c r="BS559" s="2024"/>
      <c r="BT559" s="2024"/>
      <c r="BU559" s="2024"/>
    </row>
    <row r="560" spans="1:73" x14ac:dyDescent="0.2">
      <c r="A560" t="s">
        <v>5480</v>
      </c>
      <c r="B560" t="s">
        <v>7976</v>
      </c>
      <c r="C560" s="2022">
        <v>0</v>
      </c>
      <c r="D560" s="2022">
        <v>0</v>
      </c>
      <c r="E560" s="2022">
        <v>0</v>
      </c>
      <c r="F560" s="2022">
        <v>0</v>
      </c>
      <c r="G560" s="2022">
        <f t="shared" si="16"/>
        <v>0</v>
      </c>
      <c r="K560" s="2011">
        <f t="shared" si="17"/>
        <v>0</v>
      </c>
    </row>
    <row r="561" spans="1:73" x14ac:dyDescent="0.2">
      <c r="A561" t="s">
        <v>5481</v>
      </c>
      <c r="B561" t="s">
        <v>4893</v>
      </c>
      <c r="C561" s="2022">
        <v>0</v>
      </c>
      <c r="D561" s="2022">
        <v>0</v>
      </c>
      <c r="E561" s="2022">
        <v>0</v>
      </c>
      <c r="F561" s="2022">
        <v>0</v>
      </c>
      <c r="G561" s="2022">
        <f t="shared" si="16"/>
        <v>0</v>
      </c>
      <c r="K561" s="2011">
        <f t="shared" si="17"/>
        <v>0</v>
      </c>
    </row>
    <row r="562" spans="1:73" x14ac:dyDescent="0.2">
      <c r="A562" t="s">
        <v>5482</v>
      </c>
      <c r="B562" t="s">
        <v>6201</v>
      </c>
      <c r="C562" s="2022">
        <v>131306.51</v>
      </c>
      <c r="D562" s="2022">
        <v>0</v>
      </c>
      <c r="E562" s="2022">
        <v>0</v>
      </c>
      <c r="F562" s="2022">
        <v>0</v>
      </c>
      <c r="G562" s="2022">
        <f t="shared" si="16"/>
        <v>0</v>
      </c>
      <c r="I562" s="2022">
        <f>VLOOKUP(A562,'2012 - TB'!$A$3:$I$733,9,FALSE)</f>
        <v>0</v>
      </c>
      <c r="K562" s="2011">
        <f t="shared" si="17"/>
        <v>0</v>
      </c>
    </row>
    <row r="563" spans="1:73" x14ac:dyDescent="0.2">
      <c r="A563" t="s">
        <v>5483</v>
      </c>
      <c r="B563" t="s">
        <v>6202</v>
      </c>
      <c r="C563" s="2022">
        <v>20000</v>
      </c>
      <c r="D563" s="2022">
        <v>0</v>
      </c>
      <c r="E563" s="2022">
        <v>8426.3799999999992</v>
      </c>
      <c r="F563" s="2022">
        <v>0</v>
      </c>
      <c r="G563" s="2022">
        <f t="shared" si="16"/>
        <v>8426.3799999999992</v>
      </c>
      <c r="I563" s="2022">
        <f>VLOOKUP(A563,'2012 - TB'!$A$3:$I$733,9,FALSE)</f>
        <v>8426.3799999999992</v>
      </c>
      <c r="K563" s="2011">
        <f t="shared" si="17"/>
        <v>0</v>
      </c>
    </row>
    <row r="564" spans="1:73" x14ac:dyDescent="0.2">
      <c r="A564" t="s">
        <v>5484</v>
      </c>
      <c r="B564" t="s">
        <v>4899</v>
      </c>
      <c r="C564" s="2022">
        <v>28310.21</v>
      </c>
      <c r="D564" s="2022">
        <v>0</v>
      </c>
      <c r="E564" s="2022">
        <v>0</v>
      </c>
      <c r="F564" s="2022">
        <v>0</v>
      </c>
      <c r="G564" s="2022">
        <f t="shared" si="16"/>
        <v>0</v>
      </c>
      <c r="I564" s="2022">
        <f>VLOOKUP(A564,'2012 - TB'!$A$3:$I$733,9,FALSE)</f>
        <v>0</v>
      </c>
      <c r="K564" s="2011">
        <f t="shared" si="17"/>
        <v>0</v>
      </c>
    </row>
    <row r="565" spans="1:73" x14ac:dyDescent="0.2">
      <c r="A565" t="s">
        <v>5485</v>
      </c>
      <c r="B565" t="s">
        <v>6164</v>
      </c>
      <c r="C565" s="2022">
        <v>-85746.28</v>
      </c>
      <c r="D565" s="2022">
        <v>0</v>
      </c>
      <c r="E565" s="2022">
        <v>0</v>
      </c>
      <c r="F565" s="2022">
        <v>0</v>
      </c>
      <c r="G565" s="2022">
        <f t="shared" si="16"/>
        <v>0</v>
      </c>
      <c r="I565" s="2022">
        <f>VLOOKUP(A565,'2012 - TB'!$A$3:$I$733,9,FALSE)</f>
        <v>0</v>
      </c>
      <c r="K565" s="2011">
        <f t="shared" si="17"/>
        <v>0</v>
      </c>
    </row>
    <row r="566" spans="1:73" x14ac:dyDescent="0.2">
      <c r="A566" t="s">
        <v>5486</v>
      </c>
      <c r="B566" t="s">
        <v>6098</v>
      </c>
      <c r="C566" s="2022">
        <v>-1213531.3700000001</v>
      </c>
      <c r="D566" s="2022">
        <v>0</v>
      </c>
      <c r="E566" s="2022">
        <v>0</v>
      </c>
      <c r="F566" s="2022">
        <v>0</v>
      </c>
      <c r="G566" s="2022">
        <f t="shared" si="16"/>
        <v>0</v>
      </c>
      <c r="I566" s="2022">
        <f>VLOOKUP(A566,'2012 - TB'!$A$3:$I$733,9,FALSE)</f>
        <v>0</v>
      </c>
      <c r="K566" s="2011">
        <f t="shared" si="17"/>
        <v>0</v>
      </c>
    </row>
    <row r="567" spans="1:73" x14ac:dyDescent="0.2">
      <c r="A567" t="s">
        <v>5487</v>
      </c>
      <c r="B567" t="s">
        <v>7711</v>
      </c>
      <c r="C567" s="2022">
        <v>0</v>
      </c>
      <c r="D567" s="2022">
        <v>0</v>
      </c>
      <c r="E567" s="2022">
        <v>0</v>
      </c>
      <c r="F567" s="2022">
        <v>0</v>
      </c>
      <c r="G567" s="2022">
        <f t="shared" si="16"/>
        <v>0</v>
      </c>
      <c r="K567" s="2011">
        <f t="shared" si="17"/>
        <v>0</v>
      </c>
    </row>
    <row r="568" spans="1:73" s="2215" customFormat="1" x14ac:dyDescent="0.2">
      <c r="A568" s="2215" t="s">
        <v>5488</v>
      </c>
      <c r="B568" s="2215" t="s">
        <v>5489</v>
      </c>
      <c r="C568" s="2230">
        <v>-104578.7</v>
      </c>
      <c r="D568" s="2230">
        <v>0</v>
      </c>
      <c r="E568" s="2230">
        <v>0</v>
      </c>
      <c r="F568" s="2230">
        <v>-115500</v>
      </c>
      <c r="G568" s="2230">
        <f t="shared" si="16"/>
        <v>-115500</v>
      </c>
      <c r="I568" s="2230">
        <f>VLOOKUP(A568,'2012 - TB'!$A$3:$I$733,9,FALSE)</f>
        <v>0</v>
      </c>
      <c r="K568" s="2463">
        <f t="shared" si="17"/>
        <v>-115500</v>
      </c>
      <c r="L568" s="2024"/>
      <c r="M568" s="2024"/>
      <c r="N568" s="2024"/>
      <c r="O568" s="2024"/>
      <c r="P568" s="2024"/>
      <c r="Q568" s="2024"/>
      <c r="R568" s="2024"/>
      <c r="S568" s="2024"/>
      <c r="T568" s="2024"/>
      <c r="U568" s="2024"/>
      <c r="V568" s="2024"/>
      <c r="W568" s="2024"/>
      <c r="X568" s="2024"/>
      <c r="Y568" s="2024"/>
      <c r="Z568" s="2024"/>
      <c r="AA568" s="2024"/>
      <c r="AB568" s="2024"/>
      <c r="AC568" s="2024"/>
      <c r="AD568" s="2024"/>
      <c r="AE568" s="2024"/>
      <c r="AF568" s="2024"/>
      <c r="AG568" s="2024"/>
      <c r="AH568" s="2024"/>
      <c r="AI568" s="2024"/>
      <c r="AJ568" s="2024"/>
      <c r="AK568" s="2024"/>
      <c r="AL568" s="2024"/>
      <c r="AM568" s="2024"/>
      <c r="AN568" s="2024"/>
      <c r="AO568" s="2024"/>
      <c r="AP568" s="2024"/>
      <c r="AQ568" s="2024"/>
      <c r="AR568" s="2024"/>
      <c r="AS568" s="2024"/>
      <c r="AT568" s="2024"/>
      <c r="AU568" s="2024"/>
      <c r="AV568" s="2024"/>
      <c r="AW568" s="2024"/>
      <c r="AX568" s="2024"/>
      <c r="AY568" s="2024"/>
      <c r="AZ568" s="2024"/>
      <c r="BA568" s="2024"/>
      <c r="BB568" s="2024"/>
      <c r="BC568" s="2024"/>
      <c r="BD568" s="2024"/>
      <c r="BE568" s="2024"/>
      <c r="BF568" s="2024"/>
      <c r="BG568" s="2024"/>
      <c r="BH568" s="2024"/>
      <c r="BI568" s="2024"/>
      <c r="BJ568" s="2024"/>
      <c r="BK568" s="2024"/>
      <c r="BL568" s="2024"/>
      <c r="BM568" s="2024"/>
      <c r="BN568" s="2024"/>
      <c r="BO568" s="2024"/>
      <c r="BP568" s="2024"/>
      <c r="BQ568" s="2024"/>
      <c r="BR568" s="2024"/>
      <c r="BS568" s="2024"/>
      <c r="BT568" s="2024"/>
      <c r="BU568" s="2024"/>
    </row>
    <row r="569" spans="1:73" x14ac:dyDescent="0.2">
      <c r="A569" t="s">
        <v>5490</v>
      </c>
      <c r="B569" t="s">
        <v>4808</v>
      </c>
      <c r="C569" s="2022">
        <v>411439.92</v>
      </c>
      <c r="D569" s="2022">
        <v>0</v>
      </c>
      <c r="E569" s="2022">
        <v>416468.94</v>
      </c>
      <c r="F569" s="2022">
        <v>-3352.68</v>
      </c>
      <c r="G569" s="2022">
        <f t="shared" si="16"/>
        <v>413116.26</v>
      </c>
      <c r="I569" s="2022">
        <f>VLOOKUP(A569,'2012 - TB'!$A$3:$I$733,9,FALSE)</f>
        <v>413116.26</v>
      </c>
      <c r="K569" s="2011">
        <f t="shared" si="17"/>
        <v>0</v>
      </c>
    </row>
    <row r="570" spans="1:73" x14ac:dyDescent="0.2">
      <c r="A570" t="s">
        <v>5491</v>
      </c>
      <c r="B570" t="s">
        <v>4812</v>
      </c>
      <c r="C570" s="2022">
        <v>43782.75</v>
      </c>
      <c r="D570" s="2022">
        <v>0</v>
      </c>
      <c r="E570" s="2022">
        <v>40051.14</v>
      </c>
      <c r="F570" s="2022">
        <v>0</v>
      </c>
      <c r="G570" s="2022">
        <f t="shared" si="16"/>
        <v>40051.14</v>
      </c>
      <c r="I570" s="2022">
        <f>VLOOKUP(A570,'2012 - TB'!$A$3:$I$733,9,FALSE)</f>
        <v>40051.14</v>
      </c>
      <c r="K570" s="2011">
        <f t="shared" si="17"/>
        <v>0</v>
      </c>
    </row>
    <row r="571" spans="1:73" x14ac:dyDescent="0.2">
      <c r="A571" t="s">
        <v>5492</v>
      </c>
      <c r="B571" t="s">
        <v>4820</v>
      </c>
      <c r="C571" s="2022">
        <v>2500</v>
      </c>
      <c r="D571" s="2022">
        <v>0</v>
      </c>
      <c r="E571" s="2022">
        <v>2500</v>
      </c>
      <c r="F571" s="2022">
        <v>0</v>
      </c>
      <c r="G571" s="2022">
        <f t="shared" si="16"/>
        <v>2500</v>
      </c>
      <c r="I571" s="2022">
        <f>VLOOKUP(A571,'2012 - TB'!$A$3:$I$733,9,FALSE)</f>
        <v>2500</v>
      </c>
      <c r="K571" s="2011">
        <f t="shared" si="17"/>
        <v>0</v>
      </c>
    </row>
    <row r="572" spans="1:73" x14ac:dyDescent="0.2">
      <c r="A572" t="s">
        <v>5493</v>
      </c>
      <c r="B572" t="s">
        <v>4822</v>
      </c>
      <c r="C572" s="2022">
        <v>40000</v>
      </c>
      <c r="D572" s="2022">
        <v>0</v>
      </c>
      <c r="E572" s="2022">
        <v>40000</v>
      </c>
      <c r="F572" s="2022">
        <v>0</v>
      </c>
      <c r="G572" s="2022">
        <f t="shared" si="16"/>
        <v>40000</v>
      </c>
      <c r="I572" s="2022">
        <f>VLOOKUP(A572,'2012 - TB'!$A$3:$I$733,9,FALSE)</f>
        <v>40000</v>
      </c>
      <c r="K572" s="2011">
        <f t="shared" si="17"/>
        <v>0</v>
      </c>
    </row>
    <row r="573" spans="1:73" x14ac:dyDescent="0.2">
      <c r="A573" t="s">
        <v>5494</v>
      </c>
      <c r="B573" t="s">
        <v>4824</v>
      </c>
      <c r="C573" s="2022">
        <v>188.6</v>
      </c>
      <c r="D573" s="2022">
        <v>0</v>
      </c>
      <c r="E573" s="2022">
        <v>188.6</v>
      </c>
      <c r="F573" s="2022">
        <v>0</v>
      </c>
      <c r="G573" s="2022">
        <f t="shared" si="16"/>
        <v>188.6</v>
      </c>
      <c r="I573" s="2022">
        <f>VLOOKUP(A573,'2012 - TB'!$A$3:$I$733,9,FALSE)</f>
        <v>188.6</v>
      </c>
      <c r="K573" s="2011">
        <f t="shared" si="17"/>
        <v>0</v>
      </c>
    </row>
    <row r="574" spans="1:73" x14ac:dyDescent="0.2">
      <c r="A574" t="s">
        <v>5495</v>
      </c>
      <c r="B574" t="s">
        <v>4826</v>
      </c>
      <c r="C574" s="2022">
        <v>6313.58</v>
      </c>
      <c r="D574" s="2022">
        <v>0</v>
      </c>
      <c r="E574" s="2022">
        <v>5236.16</v>
      </c>
      <c r="F574" s="2022">
        <v>0</v>
      </c>
      <c r="G574" s="2022">
        <f t="shared" si="16"/>
        <v>5236.16</v>
      </c>
      <c r="I574" s="2022">
        <f>VLOOKUP(A574,'2012 - TB'!$A$3:$I$733,9,FALSE)</f>
        <v>5236.16</v>
      </c>
      <c r="K574" s="2011">
        <f t="shared" si="17"/>
        <v>0</v>
      </c>
    </row>
    <row r="575" spans="1:73" x14ac:dyDescent="0.2">
      <c r="A575" t="s">
        <v>5496</v>
      </c>
      <c r="B575" t="s">
        <v>7818</v>
      </c>
      <c r="C575" s="2022">
        <v>0</v>
      </c>
      <c r="D575" s="2022">
        <v>0</v>
      </c>
      <c r="E575" s="2022">
        <v>0</v>
      </c>
      <c r="F575" s="2022">
        <v>0</v>
      </c>
      <c r="G575" s="2022">
        <f t="shared" si="16"/>
        <v>0</v>
      </c>
      <c r="K575" s="2011">
        <f t="shared" si="17"/>
        <v>0</v>
      </c>
    </row>
    <row r="576" spans="1:73" x14ac:dyDescent="0.2">
      <c r="A576" t="s">
        <v>5497</v>
      </c>
      <c r="B576" t="s">
        <v>4829</v>
      </c>
      <c r="C576" s="2022">
        <v>15961.2</v>
      </c>
      <c r="D576" s="2022">
        <v>0</v>
      </c>
      <c r="E576" s="2022">
        <v>15961.2</v>
      </c>
      <c r="F576" s="2022">
        <v>0</v>
      </c>
      <c r="G576" s="2022">
        <f t="shared" si="16"/>
        <v>15961.2</v>
      </c>
      <c r="I576" s="2022">
        <f>VLOOKUP(A576,'2012 - TB'!$A$3:$I$733,9,FALSE)</f>
        <v>15961.2</v>
      </c>
      <c r="K576" s="2011">
        <f t="shared" si="17"/>
        <v>0</v>
      </c>
    </row>
    <row r="577" spans="1:11" x14ac:dyDescent="0.2">
      <c r="A577" t="s">
        <v>5498</v>
      </c>
      <c r="B577" t="s">
        <v>4831</v>
      </c>
      <c r="C577" s="2022">
        <v>82485.31</v>
      </c>
      <c r="D577" s="2022">
        <v>0</v>
      </c>
      <c r="E577" s="2022">
        <v>82485.31</v>
      </c>
      <c r="F577" s="2022">
        <v>0</v>
      </c>
      <c r="G577" s="2022">
        <f t="shared" si="16"/>
        <v>82485.31</v>
      </c>
      <c r="I577" s="2022">
        <f>VLOOKUP(A577,'2012 - TB'!$A$3:$I$733,9,FALSE)</f>
        <v>82485.31</v>
      </c>
      <c r="K577" s="2011">
        <f t="shared" si="17"/>
        <v>0</v>
      </c>
    </row>
    <row r="578" spans="1:11" x14ac:dyDescent="0.2">
      <c r="A578" t="s">
        <v>5499</v>
      </c>
      <c r="B578" t="s">
        <v>4833</v>
      </c>
      <c r="C578" s="2022">
        <v>4006.38</v>
      </c>
      <c r="D578" s="2022">
        <v>0</v>
      </c>
      <c r="E578" s="2022">
        <v>3669.18</v>
      </c>
      <c r="F578" s="2022">
        <v>0</v>
      </c>
      <c r="G578" s="2022">
        <f t="shared" ref="G578:G641" si="18">SUM(D578:F578)</f>
        <v>3669.18</v>
      </c>
      <c r="I578" s="2022">
        <f>VLOOKUP(A578,'2012 - TB'!$A$3:$I$733,9,FALSE)</f>
        <v>3669.18</v>
      </c>
      <c r="K578" s="2011">
        <f t="shared" ref="K578:K641" si="19">G578-I578</f>
        <v>0</v>
      </c>
    </row>
    <row r="579" spans="1:11" x14ac:dyDescent="0.2">
      <c r="A579" t="s">
        <v>5500</v>
      </c>
      <c r="B579" t="s">
        <v>4853</v>
      </c>
      <c r="C579" s="2022">
        <v>0</v>
      </c>
      <c r="D579" s="2022">
        <v>0</v>
      </c>
      <c r="E579" s="2022">
        <v>0</v>
      </c>
      <c r="F579" s="2022">
        <v>0</v>
      </c>
      <c r="G579" s="2022">
        <f t="shared" si="18"/>
        <v>0</v>
      </c>
      <c r="K579" s="2011">
        <f t="shared" si="19"/>
        <v>0</v>
      </c>
    </row>
    <row r="580" spans="1:11" x14ac:dyDescent="0.2">
      <c r="A580" t="s">
        <v>5501</v>
      </c>
      <c r="B580" t="s">
        <v>4865</v>
      </c>
      <c r="C580" s="2022">
        <v>0</v>
      </c>
      <c r="D580" s="2022">
        <v>0</v>
      </c>
      <c r="E580" s="2022">
        <v>0</v>
      </c>
      <c r="F580" s="2022">
        <v>0</v>
      </c>
      <c r="G580" s="2022">
        <f t="shared" si="18"/>
        <v>0</v>
      </c>
      <c r="K580" s="2011">
        <f t="shared" si="19"/>
        <v>0</v>
      </c>
    </row>
    <row r="581" spans="1:11" x14ac:dyDescent="0.2">
      <c r="A581" t="s">
        <v>5502</v>
      </c>
      <c r="B581" t="s">
        <v>4873</v>
      </c>
      <c r="C581" s="2022">
        <v>0</v>
      </c>
      <c r="D581" s="2022">
        <v>0</v>
      </c>
      <c r="E581" s="2022">
        <v>0</v>
      </c>
      <c r="F581" s="2022">
        <v>0</v>
      </c>
      <c r="G581" s="2022">
        <f t="shared" si="18"/>
        <v>0</v>
      </c>
      <c r="K581" s="2011">
        <f t="shared" si="19"/>
        <v>0</v>
      </c>
    </row>
    <row r="582" spans="1:11" x14ac:dyDescent="0.2">
      <c r="A582" t="s">
        <v>5503</v>
      </c>
      <c r="B582" t="s">
        <v>7824</v>
      </c>
      <c r="C582" s="2022">
        <v>0</v>
      </c>
      <c r="D582" s="2022">
        <v>0</v>
      </c>
      <c r="E582" s="2022">
        <v>0</v>
      </c>
      <c r="F582" s="2022">
        <v>0</v>
      </c>
      <c r="G582" s="2022">
        <f t="shared" si="18"/>
        <v>0</v>
      </c>
      <c r="K582" s="2011">
        <f t="shared" si="19"/>
        <v>0</v>
      </c>
    </row>
    <row r="583" spans="1:11" x14ac:dyDescent="0.2">
      <c r="A583" t="s">
        <v>5504</v>
      </c>
      <c r="B583" t="s">
        <v>4879</v>
      </c>
      <c r="C583" s="2022">
        <v>40000</v>
      </c>
      <c r="D583" s="2022">
        <v>0</v>
      </c>
      <c r="E583" s="2022">
        <v>56055.77</v>
      </c>
      <c r="F583" s="2022">
        <v>0</v>
      </c>
      <c r="G583" s="2022">
        <f t="shared" si="18"/>
        <v>56055.77</v>
      </c>
      <c r="I583" s="2022">
        <f>VLOOKUP(A583,'2012 - TB'!$A$3:$I$733,9,FALSE)</f>
        <v>56055.77</v>
      </c>
      <c r="K583" s="2011">
        <f t="shared" si="19"/>
        <v>0</v>
      </c>
    </row>
    <row r="584" spans="1:11" x14ac:dyDescent="0.2">
      <c r="A584" t="s">
        <v>5505</v>
      </c>
      <c r="B584" t="s">
        <v>4881</v>
      </c>
      <c r="C584" s="2022">
        <v>35000</v>
      </c>
      <c r="D584" s="2022">
        <v>0</v>
      </c>
      <c r="E584" s="2022">
        <v>29969.58</v>
      </c>
      <c r="F584" s="2022">
        <v>0</v>
      </c>
      <c r="G584" s="2022">
        <f t="shared" si="18"/>
        <v>29969.58</v>
      </c>
      <c r="I584" s="2022">
        <f>VLOOKUP(A584,'2012 - TB'!$A$3:$I$733,9,FALSE)</f>
        <v>29969.58</v>
      </c>
      <c r="K584" s="2011">
        <f t="shared" si="19"/>
        <v>0</v>
      </c>
    </row>
    <row r="585" spans="1:11" x14ac:dyDescent="0.2">
      <c r="A585" t="s">
        <v>5506</v>
      </c>
      <c r="B585" t="s">
        <v>4891</v>
      </c>
      <c r="C585" s="2022">
        <v>0</v>
      </c>
      <c r="D585" s="2022">
        <v>0</v>
      </c>
      <c r="E585" s="2022">
        <v>0</v>
      </c>
      <c r="F585" s="2022">
        <v>0</v>
      </c>
      <c r="G585" s="2022">
        <f t="shared" si="18"/>
        <v>0</v>
      </c>
      <c r="K585" s="2011">
        <f t="shared" si="19"/>
        <v>0</v>
      </c>
    </row>
    <row r="586" spans="1:11" x14ac:dyDescent="0.2">
      <c r="A586" t="s">
        <v>5507</v>
      </c>
      <c r="B586" t="s">
        <v>4893</v>
      </c>
      <c r="C586" s="2022">
        <v>0</v>
      </c>
      <c r="D586" s="2022">
        <v>0</v>
      </c>
      <c r="E586" s="2022">
        <v>0</v>
      </c>
      <c r="F586" s="2022">
        <v>0</v>
      </c>
      <c r="G586" s="2022">
        <f t="shared" si="18"/>
        <v>0</v>
      </c>
      <c r="K586" s="2011">
        <f t="shared" si="19"/>
        <v>0</v>
      </c>
    </row>
    <row r="587" spans="1:11" x14ac:dyDescent="0.2">
      <c r="A587" t="s">
        <v>5508</v>
      </c>
      <c r="B587" t="s">
        <v>4897</v>
      </c>
      <c r="C587" s="2022">
        <v>2993.96</v>
      </c>
      <c r="D587" s="2022">
        <v>0</v>
      </c>
      <c r="E587" s="2022">
        <v>0</v>
      </c>
      <c r="F587" s="2022">
        <v>0</v>
      </c>
      <c r="G587" s="2022">
        <f t="shared" si="18"/>
        <v>0</v>
      </c>
      <c r="I587" s="2022">
        <f>VLOOKUP(A587,'2012 - TB'!$A$3:$I$733,9,FALSE)</f>
        <v>0</v>
      </c>
      <c r="K587" s="2011">
        <f t="shared" si="19"/>
        <v>0</v>
      </c>
    </row>
    <row r="588" spans="1:11" x14ac:dyDescent="0.2">
      <c r="A588" t="s">
        <v>5509</v>
      </c>
      <c r="B588" t="s">
        <v>4899</v>
      </c>
      <c r="C588" s="2022">
        <v>1565.74</v>
      </c>
      <c r="D588" s="2022">
        <v>0</v>
      </c>
      <c r="E588" s="2022">
        <v>0</v>
      </c>
      <c r="F588" s="2022">
        <v>0</v>
      </c>
      <c r="G588" s="2022">
        <f t="shared" si="18"/>
        <v>0</v>
      </c>
      <c r="I588" s="2022">
        <f>VLOOKUP(A588,'2012 - TB'!$A$3:$I$733,9,FALSE)</f>
        <v>0</v>
      </c>
      <c r="K588" s="2011">
        <f t="shared" si="19"/>
        <v>0</v>
      </c>
    </row>
    <row r="589" spans="1:11" x14ac:dyDescent="0.2">
      <c r="A589" t="s">
        <v>5510</v>
      </c>
      <c r="B589" t="s">
        <v>5511</v>
      </c>
      <c r="C589" s="2022">
        <v>-275185.94</v>
      </c>
      <c r="D589" s="2022">
        <v>0</v>
      </c>
      <c r="E589" s="2022">
        <v>4832.6000000000004</v>
      </c>
      <c r="F589" s="2022">
        <v>-325012.8</v>
      </c>
      <c r="G589" s="2022">
        <f t="shared" si="18"/>
        <v>-320180.2</v>
      </c>
      <c r="I589" s="2022">
        <f>VLOOKUP(A589,'2012 - TB'!$A$3:$I$733,9,FALSE)</f>
        <v>-358201.7</v>
      </c>
      <c r="K589" s="2011">
        <f t="shared" si="19"/>
        <v>38021.5</v>
      </c>
    </row>
    <row r="590" spans="1:11" x14ac:dyDescent="0.2">
      <c r="A590" t="s">
        <v>5512</v>
      </c>
      <c r="B590" t="s">
        <v>5513</v>
      </c>
      <c r="C590" s="2022">
        <v>-1000</v>
      </c>
      <c r="D590" s="2022">
        <v>0</v>
      </c>
      <c r="E590" s="2022">
        <v>61.4</v>
      </c>
      <c r="F590" s="2022">
        <v>-500</v>
      </c>
      <c r="G590" s="2022">
        <f t="shared" si="18"/>
        <v>-438.6</v>
      </c>
      <c r="I590" s="2022">
        <f>VLOOKUP(A590,'2012 - TB'!$A$3:$I$733,9,FALSE)</f>
        <v>-438.6</v>
      </c>
      <c r="K590" s="2011">
        <f t="shared" si="19"/>
        <v>0</v>
      </c>
    </row>
    <row r="591" spans="1:11" x14ac:dyDescent="0.2">
      <c r="A591" t="s">
        <v>5514</v>
      </c>
      <c r="B591" t="s">
        <v>4901</v>
      </c>
      <c r="C591" s="2022">
        <v>-407201.11</v>
      </c>
      <c r="D591" s="2022">
        <v>0</v>
      </c>
      <c r="E591" s="2022">
        <v>0</v>
      </c>
      <c r="F591" s="2022">
        <v>0</v>
      </c>
      <c r="G591" s="2022">
        <f t="shared" si="18"/>
        <v>0</v>
      </c>
      <c r="I591" s="2022">
        <f>VLOOKUP(A591,'2012 - TB'!$A$3:$I$733,9,FALSE)</f>
        <v>0</v>
      </c>
      <c r="K591" s="2011">
        <f t="shared" si="19"/>
        <v>0</v>
      </c>
    </row>
    <row r="592" spans="1:11" x14ac:dyDescent="0.2">
      <c r="A592" t="s">
        <v>5515</v>
      </c>
      <c r="B592" t="s">
        <v>5516</v>
      </c>
      <c r="C592" s="2022">
        <v>-2850.39</v>
      </c>
      <c r="D592" s="2022">
        <v>0</v>
      </c>
      <c r="E592" s="2022">
        <v>329.04</v>
      </c>
      <c r="F592" s="2022">
        <v>-2679.2</v>
      </c>
      <c r="G592" s="2022">
        <f t="shared" si="18"/>
        <v>-2350.16</v>
      </c>
      <c r="I592" s="2022">
        <f>VLOOKUP(A592,'2012 - TB'!$A$3:$I$733,9,FALSE)</f>
        <v>-2350.16</v>
      </c>
      <c r="K592" s="2011">
        <f t="shared" si="19"/>
        <v>0</v>
      </c>
    </row>
    <row r="593" spans="1:11" x14ac:dyDescent="0.2">
      <c r="A593" t="s">
        <v>5517</v>
      </c>
      <c r="B593" t="s">
        <v>4808</v>
      </c>
      <c r="C593" s="2022">
        <v>491962.08</v>
      </c>
      <c r="D593" s="2022">
        <v>0</v>
      </c>
      <c r="E593" s="2022">
        <v>499640.4</v>
      </c>
      <c r="F593" s="2022">
        <v>-5345.82</v>
      </c>
      <c r="G593" s="2022">
        <f t="shared" si="18"/>
        <v>494294.58</v>
      </c>
      <c r="I593" s="2022">
        <f>VLOOKUP(A593,'2012 - TB'!$A$3:$I$733,9,FALSE)</f>
        <v>494294.58</v>
      </c>
      <c r="K593" s="2011">
        <f t="shared" si="19"/>
        <v>0</v>
      </c>
    </row>
    <row r="594" spans="1:11" x14ac:dyDescent="0.2">
      <c r="A594" t="s">
        <v>5518</v>
      </c>
      <c r="B594" t="s">
        <v>4812</v>
      </c>
      <c r="C594" s="2022">
        <v>54098.2</v>
      </c>
      <c r="D594" s="2022">
        <v>0</v>
      </c>
      <c r="E594" s="2022">
        <v>43648.25</v>
      </c>
      <c r="F594" s="2022">
        <v>0</v>
      </c>
      <c r="G594" s="2022">
        <f t="shared" si="18"/>
        <v>43648.25</v>
      </c>
      <c r="I594" s="2022">
        <f>VLOOKUP(A594,'2012 - TB'!$A$3:$I$733,9,FALSE)</f>
        <v>43648.25</v>
      </c>
      <c r="K594" s="2011">
        <f t="shared" si="19"/>
        <v>0</v>
      </c>
    </row>
    <row r="595" spans="1:11" x14ac:dyDescent="0.2">
      <c r="A595" t="s">
        <v>5519</v>
      </c>
      <c r="B595" t="s">
        <v>4814</v>
      </c>
      <c r="C595" s="2022">
        <v>6600</v>
      </c>
      <c r="D595" s="2022">
        <v>0</v>
      </c>
      <c r="E595" s="2022">
        <v>6600</v>
      </c>
      <c r="F595" s="2022">
        <v>0</v>
      </c>
      <c r="G595" s="2022">
        <f t="shared" si="18"/>
        <v>6600</v>
      </c>
      <c r="I595" s="2022">
        <f>VLOOKUP(A595,'2012 - TB'!$A$3:$I$733,9,FALSE)</f>
        <v>6600</v>
      </c>
      <c r="K595" s="2011">
        <f t="shared" si="19"/>
        <v>0</v>
      </c>
    </row>
    <row r="596" spans="1:11" x14ac:dyDescent="0.2">
      <c r="A596" t="s">
        <v>5520</v>
      </c>
      <c r="B596" t="s">
        <v>4816</v>
      </c>
      <c r="C596" s="2022">
        <v>2328</v>
      </c>
      <c r="D596" s="2022">
        <v>0</v>
      </c>
      <c r="E596" s="2022">
        <v>2328</v>
      </c>
      <c r="F596" s="2022">
        <v>0</v>
      </c>
      <c r="G596" s="2022">
        <f t="shared" si="18"/>
        <v>2328</v>
      </c>
      <c r="I596" s="2022">
        <f>VLOOKUP(A596,'2012 - TB'!$A$3:$I$733,9,FALSE)</f>
        <v>2328</v>
      </c>
      <c r="K596" s="2011">
        <f t="shared" si="19"/>
        <v>0</v>
      </c>
    </row>
    <row r="597" spans="1:11" x14ac:dyDescent="0.2">
      <c r="A597" t="s">
        <v>5521</v>
      </c>
      <c r="B597" t="s">
        <v>4818</v>
      </c>
      <c r="C597" s="2022">
        <v>79807.95</v>
      </c>
      <c r="D597" s="2022">
        <v>0</v>
      </c>
      <c r="E597" s="2022">
        <v>55247.48</v>
      </c>
      <c r="F597" s="2022">
        <v>0</v>
      </c>
      <c r="G597" s="2022">
        <f t="shared" si="18"/>
        <v>55247.48</v>
      </c>
      <c r="I597" s="2022">
        <f>VLOOKUP(A597,'2012 - TB'!$A$3:$I$733,9,FALSE)</f>
        <v>55247.48</v>
      </c>
      <c r="K597" s="2011">
        <f t="shared" si="19"/>
        <v>0</v>
      </c>
    </row>
    <row r="598" spans="1:11" x14ac:dyDescent="0.2">
      <c r="A598" t="s">
        <v>5522</v>
      </c>
      <c r="B598" t="s">
        <v>4820</v>
      </c>
      <c r="C598" s="2022">
        <v>600</v>
      </c>
      <c r="D598" s="2022">
        <v>0</v>
      </c>
      <c r="E598" s="2022">
        <v>600</v>
      </c>
      <c r="F598" s="2022">
        <v>0</v>
      </c>
      <c r="G598" s="2022">
        <f t="shared" si="18"/>
        <v>600</v>
      </c>
      <c r="I598" s="2022">
        <f>VLOOKUP(A598,'2012 - TB'!$A$3:$I$733,9,FALSE)</f>
        <v>600</v>
      </c>
      <c r="K598" s="2011">
        <f t="shared" si="19"/>
        <v>0</v>
      </c>
    </row>
    <row r="599" spans="1:11" x14ac:dyDescent="0.2">
      <c r="A599" t="s">
        <v>5523</v>
      </c>
      <c r="B599" t="s">
        <v>4822</v>
      </c>
      <c r="C599" s="2022">
        <v>189336.95999999999</v>
      </c>
      <c r="D599" s="2022">
        <v>0</v>
      </c>
      <c r="E599" s="2022">
        <v>189336.95999999999</v>
      </c>
      <c r="F599" s="2022">
        <v>0</v>
      </c>
      <c r="G599" s="2022">
        <f t="shared" si="18"/>
        <v>189336.95999999999</v>
      </c>
      <c r="I599" s="2022">
        <f>VLOOKUP(A599,'2012 - TB'!$A$3:$I$733,9,FALSE)</f>
        <v>189336.95999999999</v>
      </c>
      <c r="K599" s="2011">
        <f t="shared" si="19"/>
        <v>0</v>
      </c>
    </row>
    <row r="600" spans="1:11" x14ac:dyDescent="0.2">
      <c r="A600" t="s">
        <v>5524</v>
      </c>
      <c r="B600" t="s">
        <v>4824</v>
      </c>
      <c r="C600" s="2022">
        <v>246</v>
      </c>
      <c r="D600" s="2022">
        <v>0</v>
      </c>
      <c r="E600" s="2022">
        <v>246</v>
      </c>
      <c r="F600" s="2022">
        <v>0</v>
      </c>
      <c r="G600" s="2022">
        <f t="shared" si="18"/>
        <v>246</v>
      </c>
      <c r="I600" s="2022">
        <f>VLOOKUP(A600,'2012 - TB'!$A$3:$I$733,9,FALSE)</f>
        <v>246</v>
      </c>
      <c r="K600" s="2011">
        <f t="shared" si="19"/>
        <v>0</v>
      </c>
    </row>
    <row r="601" spans="1:11" x14ac:dyDescent="0.2">
      <c r="A601" t="s">
        <v>5525</v>
      </c>
      <c r="B601" t="s">
        <v>4826</v>
      </c>
      <c r="C601" s="2022">
        <v>7530.76</v>
      </c>
      <c r="D601" s="2022">
        <v>0</v>
      </c>
      <c r="E601" s="2022">
        <v>7022.02</v>
      </c>
      <c r="F601" s="2022">
        <v>0</v>
      </c>
      <c r="G601" s="2022">
        <f t="shared" si="18"/>
        <v>7022.02</v>
      </c>
      <c r="I601" s="2022">
        <f>VLOOKUP(A601,'2012 - TB'!$A$3:$I$733,9,FALSE)</f>
        <v>7022.02</v>
      </c>
      <c r="K601" s="2011">
        <f t="shared" si="19"/>
        <v>0</v>
      </c>
    </row>
    <row r="602" spans="1:11" x14ac:dyDescent="0.2">
      <c r="A602" t="s">
        <v>5526</v>
      </c>
      <c r="B602" t="s">
        <v>7818</v>
      </c>
      <c r="C602" s="2022">
        <v>0</v>
      </c>
      <c r="D602" s="2022">
        <v>0</v>
      </c>
      <c r="E602" s="2022">
        <v>0</v>
      </c>
      <c r="F602" s="2022">
        <v>0</v>
      </c>
      <c r="G602" s="2022">
        <f t="shared" si="18"/>
        <v>0</v>
      </c>
      <c r="K602" s="2011">
        <f t="shared" si="19"/>
        <v>0</v>
      </c>
    </row>
    <row r="603" spans="1:11" x14ac:dyDescent="0.2">
      <c r="A603" t="s">
        <v>5527</v>
      </c>
      <c r="B603" t="s">
        <v>4829</v>
      </c>
      <c r="C603" s="2022">
        <v>81681.3</v>
      </c>
      <c r="D603" s="2022">
        <v>0</v>
      </c>
      <c r="E603" s="2022">
        <v>81519.3</v>
      </c>
      <c r="F603" s="2022">
        <v>0</v>
      </c>
      <c r="G603" s="2022">
        <f t="shared" si="18"/>
        <v>81519.3</v>
      </c>
      <c r="I603" s="2022">
        <f>VLOOKUP(A603,'2012 - TB'!$A$3:$I$733,9,FALSE)</f>
        <v>81519.3</v>
      </c>
      <c r="K603" s="2011">
        <f t="shared" si="19"/>
        <v>0</v>
      </c>
    </row>
    <row r="604" spans="1:11" x14ac:dyDescent="0.2">
      <c r="A604" t="s">
        <v>5528</v>
      </c>
      <c r="B604" t="s">
        <v>4831</v>
      </c>
      <c r="C604" s="2022">
        <v>99513.66</v>
      </c>
      <c r="D604" s="2022">
        <v>0</v>
      </c>
      <c r="E604" s="2022">
        <v>99513.66</v>
      </c>
      <c r="F604" s="2022">
        <v>0</v>
      </c>
      <c r="G604" s="2022">
        <f t="shared" si="18"/>
        <v>99513.66</v>
      </c>
      <c r="I604" s="2022">
        <f>VLOOKUP(A604,'2012 - TB'!$A$3:$I$733,9,FALSE)</f>
        <v>99513.66</v>
      </c>
      <c r="K604" s="2011">
        <f t="shared" si="19"/>
        <v>0</v>
      </c>
    </row>
    <row r="605" spans="1:11" x14ac:dyDescent="0.2">
      <c r="A605" t="s">
        <v>5529</v>
      </c>
      <c r="B605" t="s">
        <v>4833</v>
      </c>
      <c r="C605" s="2022">
        <v>6558.41</v>
      </c>
      <c r="D605" s="2022">
        <v>0</v>
      </c>
      <c r="E605" s="2022">
        <v>5908.92</v>
      </c>
      <c r="F605" s="2022">
        <v>0</v>
      </c>
      <c r="G605" s="2022">
        <f t="shared" si="18"/>
        <v>5908.92</v>
      </c>
      <c r="I605" s="2022">
        <f>VLOOKUP(A605,'2012 - TB'!$A$3:$I$733,9,FALSE)</f>
        <v>5908.92</v>
      </c>
      <c r="K605" s="2011">
        <f t="shared" si="19"/>
        <v>0</v>
      </c>
    </row>
    <row r="606" spans="1:11" x14ac:dyDescent="0.2">
      <c r="A606" t="s">
        <v>5530</v>
      </c>
      <c r="B606" t="s">
        <v>4853</v>
      </c>
      <c r="C606" s="2022">
        <v>0</v>
      </c>
      <c r="D606" s="2022">
        <v>0</v>
      </c>
      <c r="E606" s="2022">
        <v>0</v>
      </c>
      <c r="F606" s="2022">
        <v>0</v>
      </c>
      <c r="G606" s="2022">
        <f t="shared" si="18"/>
        <v>0</v>
      </c>
      <c r="K606" s="2011">
        <f t="shared" si="19"/>
        <v>0</v>
      </c>
    </row>
    <row r="607" spans="1:11" x14ac:dyDescent="0.2">
      <c r="A607" t="s">
        <v>5531</v>
      </c>
      <c r="B607" t="s">
        <v>4865</v>
      </c>
      <c r="C607" s="2022">
        <v>0</v>
      </c>
      <c r="D607" s="2022">
        <v>0</v>
      </c>
      <c r="E607" s="2022">
        <v>0</v>
      </c>
      <c r="F607" s="2022">
        <v>0</v>
      </c>
      <c r="G607" s="2022">
        <f t="shared" si="18"/>
        <v>0</v>
      </c>
      <c r="K607" s="2011">
        <f t="shared" si="19"/>
        <v>0</v>
      </c>
    </row>
    <row r="608" spans="1:11" x14ac:dyDescent="0.2">
      <c r="A608" t="s">
        <v>5532</v>
      </c>
      <c r="B608" t="s">
        <v>7977</v>
      </c>
      <c r="C608" s="2022">
        <v>0</v>
      </c>
      <c r="D608" s="2022">
        <v>0</v>
      </c>
      <c r="E608" s="2022">
        <v>0</v>
      </c>
      <c r="F608" s="2022">
        <v>0</v>
      </c>
      <c r="G608" s="2022">
        <f t="shared" si="18"/>
        <v>0</v>
      </c>
      <c r="K608" s="2011">
        <f t="shared" si="19"/>
        <v>0</v>
      </c>
    </row>
    <row r="609" spans="1:11" x14ac:dyDescent="0.2">
      <c r="A609" t="s">
        <v>5533</v>
      </c>
      <c r="B609" t="s">
        <v>4867</v>
      </c>
      <c r="C609" s="2022">
        <v>0</v>
      </c>
      <c r="D609" s="2022">
        <v>0</v>
      </c>
      <c r="E609" s="2022">
        <v>0</v>
      </c>
      <c r="F609" s="2022">
        <v>0</v>
      </c>
      <c r="G609" s="2022">
        <f t="shared" si="18"/>
        <v>0</v>
      </c>
      <c r="K609" s="2011">
        <f t="shared" si="19"/>
        <v>0</v>
      </c>
    </row>
    <row r="610" spans="1:11" x14ac:dyDescent="0.2">
      <c r="A610" t="s">
        <v>5534</v>
      </c>
      <c r="B610" t="s">
        <v>7822</v>
      </c>
      <c r="C610" s="2022">
        <v>0</v>
      </c>
      <c r="D610" s="2022">
        <v>0</v>
      </c>
      <c r="E610" s="2022">
        <v>0</v>
      </c>
      <c r="F610" s="2022">
        <v>0</v>
      </c>
      <c r="G610" s="2022">
        <f t="shared" si="18"/>
        <v>0</v>
      </c>
      <c r="K610" s="2011">
        <f t="shared" si="19"/>
        <v>0</v>
      </c>
    </row>
    <row r="611" spans="1:11" x14ac:dyDescent="0.2">
      <c r="A611" t="s">
        <v>5535</v>
      </c>
      <c r="B611" t="s">
        <v>4873</v>
      </c>
      <c r="C611" s="2022">
        <v>0</v>
      </c>
      <c r="D611" s="2022">
        <v>0</v>
      </c>
      <c r="E611" s="2022">
        <v>0</v>
      </c>
      <c r="F611" s="2022">
        <v>0</v>
      </c>
      <c r="G611" s="2022">
        <f t="shared" si="18"/>
        <v>0</v>
      </c>
      <c r="K611" s="2011">
        <f t="shared" si="19"/>
        <v>0</v>
      </c>
    </row>
    <row r="612" spans="1:11" x14ac:dyDescent="0.2">
      <c r="A612" t="s">
        <v>5536</v>
      </c>
      <c r="B612" t="s">
        <v>7823</v>
      </c>
      <c r="C612" s="2022">
        <v>0</v>
      </c>
      <c r="D612" s="2022">
        <v>0</v>
      </c>
      <c r="E612" s="2022">
        <v>0</v>
      </c>
      <c r="F612" s="2022">
        <v>0</v>
      </c>
      <c r="G612" s="2022">
        <f t="shared" si="18"/>
        <v>0</v>
      </c>
      <c r="K612" s="2011">
        <f t="shared" si="19"/>
        <v>0</v>
      </c>
    </row>
    <row r="613" spans="1:11" x14ac:dyDescent="0.2">
      <c r="A613" t="s">
        <v>5537</v>
      </c>
      <c r="B613" t="s">
        <v>7824</v>
      </c>
      <c r="C613" s="2022">
        <v>0</v>
      </c>
      <c r="D613" s="2022">
        <v>0</v>
      </c>
      <c r="E613" s="2022">
        <v>0</v>
      </c>
      <c r="F613" s="2022">
        <v>0</v>
      </c>
      <c r="G613" s="2022">
        <f t="shared" si="18"/>
        <v>0</v>
      </c>
      <c r="K613" s="2011">
        <f t="shared" si="19"/>
        <v>0</v>
      </c>
    </row>
    <row r="614" spans="1:11" x14ac:dyDescent="0.2">
      <c r="A614" t="s">
        <v>5538</v>
      </c>
      <c r="B614" t="s">
        <v>4879</v>
      </c>
      <c r="C614" s="2022">
        <v>45000</v>
      </c>
      <c r="D614" s="2022">
        <v>0</v>
      </c>
      <c r="E614" s="2022">
        <v>93152.16</v>
      </c>
      <c r="F614" s="2022">
        <v>0</v>
      </c>
      <c r="G614" s="2022">
        <f t="shared" si="18"/>
        <v>93152.16</v>
      </c>
      <c r="I614" s="2022">
        <f>VLOOKUP(A614,'2012 - TB'!$A$3:$I$733,9,FALSE)</f>
        <v>93152.16</v>
      </c>
      <c r="K614" s="2011">
        <f t="shared" si="19"/>
        <v>0</v>
      </c>
    </row>
    <row r="615" spans="1:11" x14ac:dyDescent="0.2">
      <c r="A615" t="s">
        <v>5539</v>
      </c>
      <c r="B615" t="s">
        <v>5033</v>
      </c>
      <c r="C615" s="2022">
        <v>0</v>
      </c>
      <c r="D615" s="2022">
        <v>0</v>
      </c>
      <c r="E615" s="2022">
        <v>0</v>
      </c>
      <c r="F615" s="2022">
        <v>0</v>
      </c>
      <c r="G615" s="2022">
        <f t="shared" si="18"/>
        <v>0</v>
      </c>
      <c r="K615" s="2011">
        <f t="shared" si="19"/>
        <v>0</v>
      </c>
    </row>
    <row r="616" spans="1:11" x14ac:dyDescent="0.2">
      <c r="A616" t="s">
        <v>5540</v>
      </c>
      <c r="B616" t="s">
        <v>4881</v>
      </c>
      <c r="C616" s="2022">
        <v>0</v>
      </c>
      <c r="D616" s="2022">
        <v>0</v>
      </c>
      <c r="E616" s="2022">
        <v>0</v>
      </c>
      <c r="F616" s="2022">
        <v>0</v>
      </c>
      <c r="G616" s="2022">
        <f t="shared" si="18"/>
        <v>0</v>
      </c>
      <c r="K616" s="2011">
        <f t="shared" si="19"/>
        <v>0</v>
      </c>
    </row>
    <row r="617" spans="1:11" x14ac:dyDescent="0.2">
      <c r="A617" t="s">
        <v>5541</v>
      </c>
      <c r="B617" t="s">
        <v>4883</v>
      </c>
      <c r="C617" s="2022">
        <v>0</v>
      </c>
      <c r="D617" s="2022">
        <v>0</v>
      </c>
      <c r="E617" s="2022">
        <v>0</v>
      </c>
      <c r="F617" s="2022">
        <v>0</v>
      </c>
      <c r="G617" s="2022">
        <f t="shared" si="18"/>
        <v>0</v>
      </c>
      <c r="K617" s="2011">
        <f t="shared" si="19"/>
        <v>0</v>
      </c>
    </row>
    <row r="618" spans="1:11" x14ac:dyDescent="0.2">
      <c r="A618" t="s">
        <v>5542</v>
      </c>
      <c r="B618" t="s">
        <v>4889</v>
      </c>
      <c r="C618" s="2022">
        <v>0</v>
      </c>
      <c r="D618" s="2022">
        <v>0</v>
      </c>
      <c r="E618" s="2022">
        <v>0</v>
      </c>
      <c r="F618" s="2022">
        <v>0</v>
      </c>
      <c r="G618" s="2022">
        <f t="shared" si="18"/>
        <v>0</v>
      </c>
      <c r="K618" s="2011">
        <f t="shared" si="19"/>
        <v>0</v>
      </c>
    </row>
    <row r="619" spans="1:11" x14ac:dyDescent="0.2">
      <c r="A619" t="s">
        <v>5543</v>
      </c>
      <c r="B619" t="s">
        <v>4891</v>
      </c>
      <c r="C619" s="2022">
        <v>0</v>
      </c>
      <c r="D619" s="2022">
        <v>0</v>
      </c>
      <c r="E619" s="2022">
        <v>0</v>
      </c>
      <c r="F619" s="2022">
        <v>0</v>
      </c>
      <c r="G619" s="2022">
        <f t="shared" si="18"/>
        <v>0</v>
      </c>
      <c r="K619" s="2011">
        <f t="shared" si="19"/>
        <v>0</v>
      </c>
    </row>
    <row r="620" spans="1:11" x14ac:dyDescent="0.2">
      <c r="A620" t="s">
        <v>5544</v>
      </c>
      <c r="B620" t="s">
        <v>4931</v>
      </c>
      <c r="C620" s="2022">
        <v>30000</v>
      </c>
      <c r="D620" s="2022">
        <v>0</v>
      </c>
      <c r="E620" s="2022">
        <v>11400</v>
      </c>
      <c r="F620" s="2022">
        <v>-5700</v>
      </c>
      <c r="G620" s="2022">
        <f t="shared" si="18"/>
        <v>5700</v>
      </c>
      <c r="I620" s="2022">
        <f>VLOOKUP(A620,'2012 - TB'!$A$3:$I$733,9,FALSE)</f>
        <v>5700</v>
      </c>
      <c r="K620" s="2011">
        <f t="shared" si="19"/>
        <v>0</v>
      </c>
    </row>
    <row r="621" spans="1:11" x14ac:dyDescent="0.2">
      <c r="A621" t="s">
        <v>5545</v>
      </c>
      <c r="B621" t="s">
        <v>5048</v>
      </c>
      <c r="C621" s="2022">
        <v>0</v>
      </c>
      <c r="D621" s="2022">
        <v>0</v>
      </c>
      <c r="E621" s="2022">
        <v>6540</v>
      </c>
      <c r="F621" s="2022">
        <v>0</v>
      </c>
      <c r="G621" s="2022">
        <f t="shared" si="18"/>
        <v>6540</v>
      </c>
      <c r="I621" s="2022">
        <f>VLOOKUP(A621,'2012 - TB'!$A$3:$I$733,9,FALSE)</f>
        <v>6540</v>
      </c>
      <c r="K621" s="2011">
        <f t="shared" si="19"/>
        <v>0</v>
      </c>
    </row>
    <row r="622" spans="1:11" x14ac:dyDescent="0.2">
      <c r="A622" t="s">
        <v>5546</v>
      </c>
      <c r="B622" t="s">
        <v>5180</v>
      </c>
      <c r="C622" s="2022">
        <v>59116.59</v>
      </c>
      <c r="D622" s="2022">
        <v>0</v>
      </c>
      <c r="E622" s="2022">
        <v>0</v>
      </c>
      <c r="F622" s="2022">
        <v>0</v>
      </c>
      <c r="G622" s="2022">
        <f t="shared" si="18"/>
        <v>0</v>
      </c>
      <c r="I622" s="2022">
        <f>VLOOKUP(A622,'2012 - TB'!$A$3:$I$733,9,FALSE)</f>
        <v>0</v>
      </c>
      <c r="K622" s="2011">
        <f t="shared" si="19"/>
        <v>0</v>
      </c>
    </row>
    <row r="623" spans="1:11" x14ac:dyDescent="0.2">
      <c r="A623" t="s">
        <v>5547</v>
      </c>
      <c r="B623" t="s">
        <v>4897</v>
      </c>
      <c r="C623" s="2022">
        <v>4885.22</v>
      </c>
      <c r="D623" s="2022">
        <v>0</v>
      </c>
      <c r="E623" s="2022">
        <v>0</v>
      </c>
      <c r="F623" s="2022">
        <v>0</v>
      </c>
      <c r="G623" s="2022">
        <f t="shared" si="18"/>
        <v>0</v>
      </c>
      <c r="I623" s="2022">
        <f>VLOOKUP(A623,'2012 - TB'!$A$3:$I$733,9,FALSE)</f>
        <v>0</v>
      </c>
      <c r="K623" s="2011">
        <f t="shared" si="19"/>
        <v>0</v>
      </c>
    </row>
    <row r="624" spans="1:11" x14ac:dyDescent="0.2">
      <c r="A624" t="s">
        <v>5548</v>
      </c>
      <c r="B624" t="s">
        <v>4899</v>
      </c>
      <c r="C624" s="2022">
        <v>4671.37</v>
      </c>
      <c r="D624" s="2022">
        <v>0</v>
      </c>
      <c r="E624" s="2022">
        <v>0</v>
      </c>
      <c r="F624" s="2022">
        <v>0</v>
      </c>
      <c r="G624" s="2022">
        <f t="shared" si="18"/>
        <v>0</v>
      </c>
      <c r="I624" s="2022">
        <f>VLOOKUP(A624,'2012 - TB'!$A$3:$I$733,9,FALSE)</f>
        <v>0</v>
      </c>
      <c r="K624" s="2011">
        <f t="shared" si="19"/>
        <v>0</v>
      </c>
    </row>
    <row r="625" spans="1:11" x14ac:dyDescent="0.2">
      <c r="A625" t="s">
        <v>5549</v>
      </c>
      <c r="B625" t="s">
        <v>5382</v>
      </c>
      <c r="C625" s="2022">
        <v>-50000</v>
      </c>
      <c r="D625" s="2022">
        <v>0</v>
      </c>
      <c r="E625" s="2022">
        <v>0</v>
      </c>
      <c r="F625" s="2022">
        <v>-884933</v>
      </c>
      <c r="G625" s="2022">
        <f t="shared" si="18"/>
        <v>-884933</v>
      </c>
      <c r="I625" s="2022">
        <f>VLOOKUP(A625,'2012 - TB'!$A$3:$I$733,9,FALSE)</f>
        <v>-157143</v>
      </c>
      <c r="K625" s="2011">
        <f t="shared" si="19"/>
        <v>-727790</v>
      </c>
    </row>
    <row r="626" spans="1:11" x14ac:dyDescent="0.2">
      <c r="A626" t="s">
        <v>5550</v>
      </c>
      <c r="B626" t="s">
        <v>4901</v>
      </c>
      <c r="C626" s="2022">
        <v>-1113936.5</v>
      </c>
      <c r="D626" s="2022">
        <v>0</v>
      </c>
      <c r="E626" s="2022">
        <v>0</v>
      </c>
      <c r="F626" s="2022">
        <v>0</v>
      </c>
      <c r="G626" s="2022">
        <f t="shared" si="18"/>
        <v>0</v>
      </c>
      <c r="I626" s="2022">
        <f>VLOOKUP(A626,'2012 - TB'!$A$3:$I$733,9,FALSE)</f>
        <v>0</v>
      </c>
      <c r="K626" s="2011">
        <f t="shared" si="19"/>
        <v>0</v>
      </c>
    </row>
    <row r="627" spans="1:11" x14ac:dyDescent="0.2">
      <c r="A627" t="s">
        <v>5551</v>
      </c>
      <c r="B627" t="s">
        <v>7978</v>
      </c>
      <c r="C627" s="2022">
        <v>0</v>
      </c>
      <c r="D627" s="2022">
        <v>0</v>
      </c>
      <c r="E627" s="2022">
        <v>0</v>
      </c>
      <c r="F627" s="2022">
        <v>0</v>
      </c>
      <c r="G627" s="2022">
        <f t="shared" si="18"/>
        <v>0</v>
      </c>
      <c r="K627" s="2011">
        <f t="shared" si="19"/>
        <v>0</v>
      </c>
    </row>
    <row r="628" spans="1:11" x14ac:dyDescent="0.2">
      <c r="A628" t="s">
        <v>5552</v>
      </c>
      <c r="B628" t="s">
        <v>4808</v>
      </c>
      <c r="C628" s="2022">
        <v>0</v>
      </c>
      <c r="D628" s="2022">
        <v>0</v>
      </c>
      <c r="E628" s="2022">
        <v>0</v>
      </c>
      <c r="F628" s="2022">
        <v>0</v>
      </c>
      <c r="G628" s="2022">
        <f t="shared" si="18"/>
        <v>0</v>
      </c>
      <c r="K628" s="2011">
        <f t="shared" si="19"/>
        <v>0</v>
      </c>
    </row>
    <row r="629" spans="1:11" x14ac:dyDescent="0.2">
      <c r="A629" t="s">
        <v>5553</v>
      </c>
      <c r="B629" t="s">
        <v>4814</v>
      </c>
      <c r="C629" s="2022">
        <v>0</v>
      </c>
      <c r="D629" s="2022">
        <v>0</v>
      </c>
      <c r="E629" s="2022">
        <v>0</v>
      </c>
      <c r="F629" s="2022">
        <v>0</v>
      </c>
      <c r="G629" s="2022">
        <f t="shared" si="18"/>
        <v>0</v>
      </c>
      <c r="K629" s="2011">
        <f t="shared" si="19"/>
        <v>0</v>
      </c>
    </row>
    <row r="630" spans="1:11" x14ac:dyDescent="0.2">
      <c r="A630" t="s">
        <v>5554</v>
      </c>
      <c r="B630" t="s">
        <v>4820</v>
      </c>
      <c r="C630" s="2022">
        <v>0</v>
      </c>
      <c r="D630" s="2022">
        <v>0</v>
      </c>
      <c r="E630" s="2022">
        <v>0</v>
      </c>
      <c r="F630" s="2022">
        <v>0</v>
      </c>
      <c r="G630" s="2022">
        <f t="shared" si="18"/>
        <v>0</v>
      </c>
      <c r="K630" s="2011">
        <f t="shared" si="19"/>
        <v>0</v>
      </c>
    </row>
    <row r="631" spans="1:11" x14ac:dyDescent="0.2">
      <c r="A631" t="s">
        <v>5555</v>
      </c>
      <c r="B631" t="s">
        <v>4824</v>
      </c>
      <c r="C631" s="2022">
        <v>0</v>
      </c>
      <c r="D631" s="2022">
        <v>0</v>
      </c>
      <c r="E631" s="2022">
        <v>0</v>
      </c>
      <c r="F631" s="2022">
        <v>0</v>
      </c>
      <c r="G631" s="2022">
        <f t="shared" si="18"/>
        <v>0</v>
      </c>
      <c r="K631" s="2011">
        <f t="shared" si="19"/>
        <v>0</v>
      </c>
    </row>
    <row r="632" spans="1:11" x14ac:dyDescent="0.2">
      <c r="A632" t="s">
        <v>5556</v>
      </c>
      <c r="B632" t="s">
        <v>4829</v>
      </c>
      <c r="C632" s="2022">
        <v>0</v>
      </c>
      <c r="D632" s="2022">
        <v>0</v>
      </c>
      <c r="E632" s="2022">
        <v>0</v>
      </c>
      <c r="F632" s="2022">
        <v>0</v>
      </c>
      <c r="G632" s="2022">
        <f t="shared" si="18"/>
        <v>0</v>
      </c>
      <c r="K632" s="2011">
        <f t="shared" si="19"/>
        <v>0</v>
      </c>
    </row>
    <row r="633" spans="1:11" x14ac:dyDescent="0.2">
      <c r="A633" t="s">
        <v>5557</v>
      </c>
      <c r="B633" t="s">
        <v>4831</v>
      </c>
      <c r="C633" s="2022">
        <v>0</v>
      </c>
      <c r="D633" s="2022">
        <v>0</v>
      </c>
      <c r="E633" s="2022">
        <v>0</v>
      </c>
      <c r="F633" s="2022">
        <v>0</v>
      </c>
      <c r="G633" s="2022">
        <f t="shared" si="18"/>
        <v>0</v>
      </c>
      <c r="K633" s="2011">
        <f t="shared" si="19"/>
        <v>0</v>
      </c>
    </row>
    <row r="634" spans="1:11" x14ac:dyDescent="0.2">
      <c r="A634" t="s">
        <v>5558</v>
      </c>
      <c r="B634" t="s">
        <v>4833</v>
      </c>
      <c r="C634" s="2022">
        <v>0</v>
      </c>
      <c r="D634" s="2022">
        <v>0</v>
      </c>
      <c r="E634" s="2022">
        <v>0</v>
      </c>
      <c r="F634" s="2022">
        <v>0</v>
      </c>
      <c r="G634" s="2022">
        <f t="shared" si="18"/>
        <v>0</v>
      </c>
      <c r="K634" s="2011">
        <f t="shared" si="19"/>
        <v>0</v>
      </c>
    </row>
    <row r="635" spans="1:11" x14ac:dyDescent="0.2">
      <c r="A635" t="s">
        <v>5559</v>
      </c>
      <c r="B635" t="s">
        <v>4873</v>
      </c>
      <c r="C635" s="2022">
        <v>0</v>
      </c>
      <c r="D635" s="2022">
        <v>0</v>
      </c>
      <c r="E635" s="2022">
        <v>0</v>
      </c>
      <c r="F635" s="2022">
        <v>0</v>
      </c>
      <c r="G635" s="2022">
        <f t="shared" si="18"/>
        <v>0</v>
      </c>
      <c r="K635" s="2011">
        <f t="shared" si="19"/>
        <v>0</v>
      </c>
    </row>
    <row r="636" spans="1:11" x14ac:dyDescent="0.2">
      <c r="A636" t="s">
        <v>5560</v>
      </c>
      <c r="B636" t="s">
        <v>4883</v>
      </c>
      <c r="C636" s="2022">
        <v>0</v>
      </c>
      <c r="D636" s="2022">
        <v>0</v>
      </c>
      <c r="E636" s="2022">
        <v>0</v>
      </c>
      <c r="F636" s="2022">
        <v>0</v>
      </c>
      <c r="G636" s="2022">
        <f t="shared" si="18"/>
        <v>0</v>
      </c>
      <c r="K636" s="2011">
        <f t="shared" si="19"/>
        <v>0</v>
      </c>
    </row>
    <row r="637" spans="1:11" x14ac:dyDescent="0.2">
      <c r="A637" t="s">
        <v>5561</v>
      </c>
      <c r="B637" t="s">
        <v>5048</v>
      </c>
      <c r="C637" s="2022">
        <v>0</v>
      </c>
      <c r="D637" s="2022">
        <v>0</v>
      </c>
      <c r="E637" s="2022">
        <v>0</v>
      </c>
      <c r="F637" s="2022">
        <v>0</v>
      </c>
      <c r="G637" s="2022">
        <f t="shared" si="18"/>
        <v>0</v>
      </c>
      <c r="K637" s="2011">
        <f t="shared" si="19"/>
        <v>0</v>
      </c>
    </row>
    <row r="638" spans="1:11" x14ac:dyDescent="0.2">
      <c r="A638" t="s">
        <v>5562</v>
      </c>
      <c r="B638" t="s">
        <v>4893</v>
      </c>
      <c r="C638" s="2022">
        <v>0</v>
      </c>
      <c r="D638" s="2022">
        <v>0</v>
      </c>
      <c r="E638" s="2022">
        <v>0</v>
      </c>
      <c r="F638" s="2022">
        <v>0</v>
      </c>
      <c r="G638" s="2022">
        <f t="shared" si="18"/>
        <v>0</v>
      </c>
      <c r="K638" s="2011">
        <f t="shared" si="19"/>
        <v>0</v>
      </c>
    </row>
    <row r="639" spans="1:11" x14ac:dyDescent="0.2">
      <c r="A639" t="s">
        <v>5563</v>
      </c>
      <c r="B639" t="s">
        <v>4895</v>
      </c>
      <c r="C639" s="2022">
        <v>0</v>
      </c>
      <c r="D639" s="2022">
        <v>0</v>
      </c>
      <c r="E639" s="2022">
        <v>0</v>
      </c>
      <c r="F639" s="2022">
        <v>0</v>
      </c>
      <c r="G639" s="2022">
        <f t="shared" si="18"/>
        <v>0</v>
      </c>
      <c r="K639" s="2011">
        <f t="shared" si="19"/>
        <v>0</v>
      </c>
    </row>
    <row r="640" spans="1:11" x14ac:dyDescent="0.2">
      <c r="A640" t="s">
        <v>5564</v>
      </c>
      <c r="B640" t="s">
        <v>4901</v>
      </c>
      <c r="C640" s="2022">
        <v>0</v>
      </c>
      <c r="D640" s="2022">
        <v>0</v>
      </c>
      <c r="E640" s="2022">
        <v>0</v>
      </c>
      <c r="F640" s="2022">
        <v>0</v>
      </c>
      <c r="G640" s="2022">
        <f t="shared" si="18"/>
        <v>0</v>
      </c>
      <c r="K640" s="2011">
        <f t="shared" si="19"/>
        <v>0</v>
      </c>
    </row>
    <row r="641" spans="1:73" x14ac:dyDescent="0.2">
      <c r="A641" t="s">
        <v>5565</v>
      </c>
      <c r="B641" t="s">
        <v>4808</v>
      </c>
      <c r="C641" s="2022">
        <v>118961.97</v>
      </c>
      <c r="D641" s="2022">
        <v>0</v>
      </c>
      <c r="E641" s="2022">
        <v>118961.97</v>
      </c>
      <c r="F641" s="2022">
        <v>0</v>
      </c>
      <c r="G641" s="2022">
        <f t="shared" si="18"/>
        <v>118961.97</v>
      </c>
      <c r="I641" s="2022">
        <f>VLOOKUP(A641,'2012 - TB'!$A$3:$I$733,9,FALSE)</f>
        <v>118961.97</v>
      </c>
      <c r="K641" s="2011">
        <f t="shared" si="19"/>
        <v>0</v>
      </c>
    </row>
    <row r="642" spans="1:73" x14ac:dyDescent="0.2">
      <c r="A642" t="s">
        <v>5566</v>
      </c>
      <c r="B642" t="s">
        <v>4812</v>
      </c>
      <c r="C642" s="2022">
        <v>9786.93</v>
      </c>
      <c r="D642" s="2022">
        <v>0</v>
      </c>
      <c r="E642" s="2022">
        <v>9513.09</v>
      </c>
      <c r="F642" s="2022">
        <v>0</v>
      </c>
      <c r="G642" s="2022">
        <f t="shared" ref="G642:G705" si="20">SUM(D642:F642)</f>
        <v>9513.09</v>
      </c>
      <c r="I642" s="2022">
        <f>VLOOKUP(A642,'2012 - TB'!$A$3:$I$733,9,FALSE)</f>
        <v>9513.09</v>
      </c>
      <c r="K642" s="2011">
        <f t="shared" ref="K642:K705" si="21">G642-I642</f>
        <v>0</v>
      </c>
    </row>
    <row r="643" spans="1:73" x14ac:dyDescent="0.2">
      <c r="A643" t="s">
        <v>5567</v>
      </c>
      <c r="B643" t="s">
        <v>4818</v>
      </c>
      <c r="C643" s="2022">
        <v>500</v>
      </c>
      <c r="D643" s="2022">
        <v>0</v>
      </c>
      <c r="E643" s="2022">
        <v>1525.69</v>
      </c>
      <c r="F643" s="2022">
        <v>0</v>
      </c>
      <c r="G643" s="2022">
        <f t="shared" si="20"/>
        <v>1525.69</v>
      </c>
      <c r="I643" s="2022">
        <f>VLOOKUP(A643,'2012 - TB'!$A$3:$I$733,9,FALSE)</f>
        <v>1525.69</v>
      </c>
      <c r="K643" s="2011">
        <f t="shared" si="21"/>
        <v>0</v>
      </c>
    </row>
    <row r="644" spans="1:73" x14ac:dyDescent="0.2">
      <c r="A644" t="s">
        <v>5568</v>
      </c>
      <c r="B644" t="s">
        <v>4820</v>
      </c>
      <c r="C644" s="2022">
        <v>0</v>
      </c>
      <c r="D644" s="2022">
        <v>0</v>
      </c>
      <c r="E644" s="2022">
        <v>0</v>
      </c>
      <c r="F644" s="2022">
        <v>0</v>
      </c>
      <c r="G644" s="2022">
        <f t="shared" si="20"/>
        <v>0</v>
      </c>
      <c r="K644" s="2011">
        <f t="shared" si="21"/>
        <v>0</v>
      </c>
    </row>
    <row r="645" spans="1:73" x14ac:dyDescent="0.2">
      <c r="A645" t="s">
        <v>5569</v>
      </c>
      <c r="B645" t="s">
        <v>4824</v>
      </c>
      <c r="C645" s="2022">
        <v>98.4</v>
      </c>
      <c r="D645" s="2022">
        <v>0</v>
      </c>
      <c r="E645" s="2022">
        <v>98.4</v>
      </c>
      <c r="F645" s="2022">
        <v>0</v>
      </c>
      <c r="G645" s="2022">
        <f t="shared" si="20"/>
        <v>98.4</v>
      </c>
      <c r="I645" s="2022">
        <f>VLOOKUP(A645,'2012 - TB'!$A$3:$I$733,9,FALSE)</f>
        <v>98.4</v>
      </c>
      <c r="K645" s="2011">
        <f t="shared" si="21"/>
        <v>0</v>
      </c>
    </row>
    <row r="646" spans="1:73" x14ac:dyDescent="0.2">
      <c r="A646" t="s">
        <v>5570</v>
      </c>
      <c r="B646" t="s">
        <v>4826</v>
      </c>
      <c r="C646" s="2022">
        <v>1417.54</v>
      </c>
      <c r="D646" s="2022">
        <v>0</v>
      </c>
      <c r="E646" s="2022">
        <v>1255.57</v>
      </c>
      <c r="F646" s="2022">
        <v>0</v>
      </c>
      <c r="G646" s="2022">
        <f t="shared" si="20"/>
        <v>1255.57</v>
      </c>
      <c r="I646" s="2022">
        <f>VLOOKUP(A646,'2012 - TB'!$A$3:$I$733,9,FALSE)</f>
        <v>1255.57</v>
      </c>
      <c r="K646" s="2011">
        <f t="shared" si="21"/>
        <v>0</v>
      </c>
    </row>
    <row r="647" spans="1:73" x14ac:dyDescent="0.2">
      <c r="A647" t="s">
        <v>5571</v>
      </c>
      <c r="B647" t="s">
        <v>7818</v>
      </c>
      <c r="C647" s="2022">
        <v>0</v>
      </c>
      <c r="D647" s="2022">
        <v>0</v>
      </c>
      <c r="E647" s="2022">
        <v>0</v>
      </c>
      <c r="F647" s="2022">
        <v>0</v>
      </c>
      <c r="G647" s="2022">
        <f t="shared" si="20"/>
        <v>0</v>
      </c>
      <c r="K647" s="2011">
        <f t="shared" si="21"/>
        <v>0</v>
      </c>
    </row>
    <row r="648" spans="1:73" x14ac:dyDescent="0.2">
      <c r="A648" t="s">
        <v>5572</v>
      </c>
      <c r="B648" t="s">
        <v>4829</v>
      </c>
      <c r="C648" s="2022">
        <v>0</v>
      </c>
      <c r="D648" s="2022">
        <v>0</v>
      </c>
      <c r="E648" s="2022">
        <v>0</v>
      </c>
      <c r="F648" s="2022">
        <v>0</v>
      </c>
      <c r="G648" s="2022">
        <f t="shared" si="20"/>
        <v>0</v>
      </c>
      <c r="K648" s="2011">
        <f t="shared" si="21"/>
        <v>0</v>
      </c>
    </row>
    <row r="649" spans="1:73" x14ac:dyDescent="0.2">
      <c r="A649" t="s">
        <v>5573</v>
      </c>
      <c r="B649" t="s">
        <v>4831</v>
      </c>
      <c r="C649" s="2022">
        <v>22523.55</v>
      </c>
      <c r="D649" s="2022">
        <v>0</v>
      </c>
      <c r="E649" s="2022">
        <v>22523.55</v>
      </c>
      <c r="F649" s="2022">
        <v>0</v>
      </c>
      <c r="G649" s="2022">
        <f t="shared" si="20"/>
        <v>22523.55</v>
      </c>
      <c r="I649" s="2022">
        <f>VLOOKUP(A649,'2012 - TB'!$A$3:$I$733,9,FALSE)</f>
        <v>22523.55</v>
      </c>
      <c r="K649" s="2011">
        <f t="shared" si="21"/>
        <v>0</v>
      </c>
    </row>
    <row r="650" spans="1:73" x14ac:dyDescent="0.2">
      <c r="A650" t="s">
        <v>5574</v>
      </c>
      <c r="B650" t="s">
        <v>4833</v>
      </c>
      <c r="C650" s="2022">
        <v>1470.1</v>
      </c>
      <c r="D650" s="2022">
        <v>0</v>
      </c>
      <c r="E650" s="2022">
        <v>1300</v>
      </c>
      <c r="F650" s="2022">
        <v>0</v>
      </c>
      <c r="G650" s="2022">
        <f t="shared" si="20"/>
        <v>1300</v>
      </c>
      <c r="I650" s="2022">
        <f>VLOOKUP(A650,'2012 - TB'!$A$3:$I$733,9,FALSE)</f>
        <v>1300</v>
      </c>
      <c r="K650" s="2011">
        <f t="shared" si="21"/>
        <v>0</v>
      </c>
    </row>
    <row r="651" spans="1:73" x14ac:dyDescent="0.2">
      <c r="A651" t="s">
        <v>5575</v>
      </c>
      <c r="B651" t="s">
        <v>7885</v>
      </c>
      <c r="C651" s="2022">
        <v>0</v>
      </c>
      <c r="D651" s="2022">
        <v>0</v>
      </c>
      <c r="E651" s="2022">
        <v>0</v>
      </c>
      <c r="F651" s="2022">
        <v>0</v>
      </c>
      <c r="G651" s="2022">
        <f t="shared" si="20"/>
        <v>0</v>
      </c>
      <c r="K651" s="2011">
        <f t="shared" si="21"/>
        <v>0</v>
      </c>
    </row>
    <row r="652" spans="1:73" x14ac:dyDescent="0.2">
      <c r="A652" t="s">
        <v>5576</v>
      </c>
      <c r="B652" t="s">
        <v>5012</v>
      </c>
      <c r="C652" s="2022">
        <v>0</v>
      </c>
      <c r="D652" s="2022">
        <v>0</v>
      </c>
      <c r="E652" s="2022">
        <v>0</v>
      </c>
      <c r="F652" s="2022">
        <v>0</v>
      </c>
      <c r="G652" s="2022">
        <f t="shared" si="20"/>
        <v>0</v>
      </c>
      <c r="K652" s="2011">
        <f t="shared" si="21"/>
        <v>0</v>
      </c>
    </row>
    <row r="653" spans="1:73" x14ac:dyDescent="0.2">
      <c r="A653" t="s">
        <v>5577</v>
      </c>
      <c r="B653" t="s">
        <v>7979</v>
      </c>
      <c r="C653" s="2022">
        <v>0</v>
      </c>
      <c r="D653" s="2022">
        <v>0</v>
      </c>
      <c r="E653" s="2022">
        <v>0</v>
      </c>
      <c r="F653" s="2022">
        <v>0</v>
      </c>
      <c r="G653" s="2022">
        <f t="shared" si="20"/>
        <v>0</v>
      </c>
      <c r="K653" s="2011">
        <f t="shared" si="21"/>
        <v>0</v>
      </c>
    </row>
    <row r="654" spans="1:73" x14ac:dyDescent="0.2">
      <c r="A654" t="s">
        <v>5578</v>
      </c>
      <c r="B654" t="s">
        <v>4879</v>
      </c>
      <c r="C654" s="2022">
        <v>0</v>
      </c>
      <c r="D654" s="2022">
        <v>0</v>
      </c>
      <c r="E654" s="2022">
        <v>0</v>
      </c>
      <c r="F654" s="2022">
        <v>0</v>
      </c>
      <c r="G654" s="2022">
        <f t="shared" si="20"/>
        <v>0</v>
      </c>
      <c r="K654" s="2011">
        <f t="shared" si="21"/>
        <v>0</v>
      </c>
    </row>
    <row r="655" spans="1:73" s="2215" customFormat="1" x14ac:dyDescent="0.2">
      <c r="A655" s="2215" t="s">
        <v>5579</v>
      </c>
      <c r="B655" s="2215" t="s">
        <v>7980</v>
      </c>
      <c r="C655" s="2230">
        <v>0</v>
      </c>
      <c r="D655" s="2230">
        <v>0</v>
      </c>
      <c r="E655" s="2230">
        <v>0</v>
      </c>
      <c r="F655" s="2230">
        <v>0</v>
      </c>
      <c r="G655" s="2230">
        <f t="shared" si="20"/>
        <v>0</v>
      </c>
      <c r="I655" s="2230">
        <f>VLOOKUP(A655,'2012 - TB'!$A$3:$I$733,9,FALSE)</f>
        <v>92250</v>
      </c>
      <c r="K655" s="2634">
        <f t="shared" si="21"/>
        <v>-92250</v>
      </c>
      <c r="L655" s="2024"/>
      <c r="M655" s="2024"/>
      <c r="N655" s="2024"/>
      <c r="O655" s="2024"/>
      <c r="P655" s="2024"/>
      <c r="Q655" s="2024"/>
      <c r="R655" s="2024"/>
      <c r="S655" s="2024"/>
      <c r="T655" s="2024"/>
      <c r="U655" s="2024"/>
      <c r="V655" s="2024"/>
      <c r="W655" s="2024"/>
      <c r="X655" s="2024"/>
      <c r="Y655" s="2024"/>
      <c r="Z655" s="2024"/>
      <c r="AA655" s="2024"/>
      <c r="AB655" s="2024"/>
      <c r="AC655" s="2024"/>
      <c r="AD655" s="2024"/>
      <c r="AE655" s="2024"/>
      <c r="AF655" s="2024"/>
      <c r="AG655" s="2024"/>
      <c r="AH655" s="2024"/>
      <c r="AI655" s="2024"/>
      <c r="AJ655" s="2024"/>
      <c r="AK655" s="2024"/>
      <c r="AL655" s="2024"/>
      <c r="AM655" s="2024"/>
      <c r="AN655" s="2024"/>
      <c r="AO655" s="2024"/>
      <c r="AP655" s="2024"/>
      <c r="AQ655" s="2024"/>
      <c r="AR655" s="2024"/>
      <c r="AS655" s="2024"/>
      <c r="AT655" s="2024"/>
      <c r="AU655" s="2024"/>
      <c r="AV655" s="2024"/>
      <c r="AW655" s="2024"/>
      <c r="AX655" s="2024"/>
      <c r="AY655" s="2024"/>
      <c r="AZ655" s="2024"/>
      <c r="BA655" s="2024"/>
      <c r="BB655" s="2024"/>
      <c r="BC655" s="2024"/>
      <c r="BD655" s="2024"/>
      <c r="BE655" s="2024"/>
      <c r="BF655" s="2024"/>
      <c r="BG655" s="2024"/>
      <c r="BH655" s="2024"/>
      <c r="BI655" s="2024"/>
      <c r="BJ655" s="2024"/>
      <c r="BK655" s="2024"/>
      <c r="BL655" s="2024"/>
      <c r="BM655" s="2024"/>
      <c r="BN655" s="2024"/>
      <c r="BO655" s="2024"/>
      <c r="BP655" s="2024"/>
      <c r="BQ655" s="2024"/>
      <c r="BR655" s="2024"/>
      <c r="BS655" s="2024"/>
      <c r="BT655" s="2024"/>
      <c r="BU655" s="2024"/>
    </row>
    <row r="656" spans="1:73" x14ac:dyDescent="0.2">
      <c r="A656" t="s">
        <v>5580</v>
      </c>
      <c r="B656" t="s">
        <v>4891</v>
      </c>
      <c r="C656" s="2022">
        <v>0</v>
      </c>
      <c r="D656" s="2022">
        <v>0</v>
      </c>
      <c r="E656" s="2022">
        <v>0</v>
      </c>
      <c r="F656" s="2022">
        <v>0</v>
      </c>
      <c r="G656" s="2022">
        <f t="shared" si="20"/>
        <v>0</v>
      </c>
      <c r="K656" s="2011">
        <f t="shared" si="21"/>
        <v>0</v>
      </c>
    </row>
    <row r="657" spans="1:11" x14ac:dyDescent="0.2">
      <c r="A657" t="s">
        <v>5581</v>
      </c>
      <c r="B657" t="s">
        <v>5169</v>
      </c>
      <c r="C657" s="2022">
        <v>31529.7</v>
      </c>
      <c r="D657" s="2022">
        <v>0</v>
      </c>
      <c r="E657" s="2022">
        <v>0</v>
      </c>
      <c r="F657" s="2022">
        <v>0</v>
      </c>
      <c r="G657" s="2022">
        <f t="shared" si="20"/>
        <v>0</v>
      </c>
      <c r="I657" s="2022">
        <f>VLOOKUP(A657,'2012 - TB'!$A$3:$I$733,9,FALSE)</f>
        <v>0</v>
      </c>
      <c r="K657" s="2011">
        <f t="shared" si="21"/>
        <v>0</v>
      </c>
    </row>
    <row r="658" spans="1:11" x14ac:dyDescent="0.2">
      <c r="A658" t="s">
        <v>5582</v>
      </c>
      <c r="B658" t="s">
        <v>4897</v>
      </c>
      <c r="C658" s="2022">
        <v>1300.1600000000001</v>
      </c>
      <c r="D658" s="2022">
        <v>0</v>
      </c>
      <c r="E658" s="2022">
        <v>0</v>
      </c>
      <c r="F658" s="2022">
        <v>0</v>
      </c>
      <c r="G658" s="2022">
        <f t="shared" si="20"/>
        <v>0</v>
      </c>
      <c r="I658" s="2022">
        <f>VLOOKUP(A658,'2012 - TB'!$A$3:$I$733,9,FALSE)</f>
        <v>0</v>
      </c>
      <c r="K658" s="2011">
        <f t="shared" si="21"/>
        <v>0</v>
      </c>
    </row>
    <row r="659" spans="1:11" x14ac:dyDescent="0.2">
      <c r="A659" t="s">
        <v>5583</v>
      </c>
      <c r="B659" t="s">
        <v>4899</v>
      </c>
      <c r="C659" s="2022">
        <v>2059.6799999999998</v>
      </c>
      <c r="D659" s="2022">
        <v>0</v>
      </c>
      <c r="E659" s="2022">
        <v>0</v>
      </c>
      <c r="F659" s="2022">
        <v>0</v>
      </c>
      <c r="G659" s="2022">
        <f t="shared" si="20"/>
        <v>0</v>
      </c>
      <c r="I659" s="2022">
        <f>VLOOKUP(A659,'2012 - TB'!$A$3:$I$733,9,FALSE)</f>
        <v>0</v>
      </c>
      <c r="K659" s="2011">
        <f t="shared" si="21"/>
        <v>0</v>
      </c>
    </row>
    <row r="660" spans="1:11" x14ac:dyDescent="0.2">
      <c r="A660" t="s">
        <v>5584</v>
      </c>
      <c r="B660" t="s">
        <v>4901</v>
      </c>
      <c r="C660" s="2022">
        <v>-185105.96</v>
      </c>
      <c r="D660" s="2022">
        <v>0</v>
      </c>
      <c r="E660" s="2022">
        <v>0</v>
      </c>
      <c r="F660" s="2022">
        <v>0</v>
      </c>
      <c r="G660" s="2022">
        <f t="shared" si="20"/>
        <v>0</v>
      </c>
      <c r="I660" s="2022">
        <f>VLOOKUP(A660,'2012 - TB'!$A$3:$I$733,9,FALSE)</f>
        <v>0</v>
      </c>
      <c r="K660" s="2011">
        <f t="shared" si="21"/>
        <v>0</v>
      </c>
    </row>
    <row r="661" spans="1:11" x14ac:dyDescent="0.2">
      <c r="A661" t="s">
        <v>5585</v>
      </c>
      <c r="B661" t="s">
        <v>7981</v>
      </c>
      <c r="C661" s="2022">
        <v>0</v>
      </c>
      <c r="D661" s="2022">
        <v>0</v>
      </c>
      <c r="E661" s="2022">
        <v>0</v>
      </c>
      <c r="F661" s="2022">
        <v>0</v>
      </c>
      <c r="G661" s="2022">
        <f t="shared" si="20"/>
        <v>0</v>
      </c>
      <c r="K661" s="2011">
        <f t="shared" si="21"/>
        <v>0</v>
      </c>
    </row>
    <row r="662" spans="1:11" x14ac:dyDescent="0.2">
      <c r="A662" t="s">
        <v>5586</v>
      </c>
      <c r="B662" t="s">
        <v>5386</v>
      </c>
      <c r="C662" s="2022">
        <v>-4542.07</v>
      </c>
      <c r="D662" s="2022">
        <v>0</v>
      </c>
      <c r="E662" s="2022">
        <v>165.93</v>
      </c>
      <c r="F662" s="2022">
        <v>-1337.2</v>
      </c>
      <c r="G662" s="2022">
        <f t="shared" si="20"/>
        <v>-1171.27</v>
      </c>
      <c r="I662" s="2022">
        <f>VLOOKUP(A662,'2012 - TB'!$A$3:$I$733,9,FALSE)</f>
        <v>-1171.27</v>
      </c>
      <c r="K662" s="2011">
        <f t="shared" si="21"/>
        <v>0</v>
      </c>
    </row>
    <row r="663" spans="1:11" x14ac:dyDescent="0.2">
      <c r="A663" t="s">
        <v>5587</v>
      </c>
      <c r="B663" t="s">
        <v>7982</v>
      </c>
      <c r="C663" s="2022">
        <v>793707.59</v>
      </c>
      <c r="D663" s="2022">
        <v>0</v>
      </c>
      <c r="E663" s="2022">
        <v>772147.63</v>
      </c>
      <c r="F663" s="2022">
        <v>-10954.38</v>
      </c>
      <c r="G663" s="2022">
        <f t="shared" si="20"/>
        <v>761193.25</v>
      </c>
      <c r="I663" s="2022">
        <f>VLOOKUP(A663,'2012 - TB'!$A$3:$I$733,9,FALSE)</f>
        <v>761193.25</v>
      </c>
      <c r="K663" s="2011">
        <f t="shared" si="21"/>
        <v>0</v>
      </c>
    </row>
    <row r="664" spans="1:11" x14ac:dyDescent="0.2">
      <c r="A664" t="s">
        <v>5588</v>
      </c>
      <c r="B664" t="s">
        <v>7983</v>
      </c>
      <c r="C664" s="2022">
        <v>295540.87</v>
      </c>
      <c r="D664" s="2022">
        <v>0</v>
      </c>
      <c r="E664" s="2022">
        <v>296312.09000000003</v>
      </c>
      <c r="F664" s="2022">
        <v>-4457.9399999999996</v>
      </c>
      <c r="G664" s="2022">
        <f t="shared" si="20"/>
        <v>291854.15000000002</v>
      </c>
      <c r="I664" s="2022">
        <f>VLOOKUP(A664,'2012 - TB'!$A$3:$I$733,9,FALSE)</f>
        <v>291854.15000000002</v>
      </c>
      <c r="K664" s="2011">
        <f t="shared" si="21"/>
        <v>0</v>
      </c>
    </row>
    <row r="665" spans="1:11" x14ac:dyDescent="0.2">
      <c r="A665" t="s">
        <v>5589</v>
      </c>
      <c r="B665" t="s">
        <v>7984</v>
      </c>
      <c r="C665" s="2022">
        <v>72305.08</v>
      </c>
      <c r="D665" s="2022">
        <v>0</v>
      </c>
      <c r="E665" s="2022">
        <v>69184.06</v>
      </c>
      <c r="F665" s="2022">
        <v>0</v>
      </c>
      <c r="G665" s="2022">
        <f t="shared" si="20"/>
        <v>69184.06</v>
      </c>
      <c r="I665" s="2022">
        <f>VLOOKUP(A665,'2012 - TB'!$A$3:$I$733,9,FALSE)</f>
        <v>69184.06</v>
      </c>
      <c r="K665" s="2011">
        <f t="shared" si="21"/>
        <v>0</v>
      </c>
    </row>
    <row r="666" spans="1:11" x14ac:dyDescent="0.2">
      <c r="A666" t="s">
        <v>5590</v>
      </c>
      <c r="B666" t="s">
        <v>7985</v>
      </c>
      <c r="C666" s="2022">
        <v>24604.66</v>
      </c>
      <c r="D666" s="2022">
        <v>0</v>
      </c>
      <c r="E666" s="2022">
        <v>25045.45</v>
      </c>
      <c r="F666" s="2022">
        <v>0</v>
      </c>
      <c r="G666" s="2022">
        <f t="shared" si="20"/>
        <v>25045.45</v>
      </c>
      <c r="I666" s="2022">
        <f>VLOOKUP(A666,'2012 - TB'!$A$3:$I$733,9,FALSE)</f>
        <v>25045.45</v>
      </c>
      <c r="K666" s="2011">
        <f t="shared" si="21"/>
        <v>0</v>
      </c>
    </row>
    <row r="667" spans="1:11" x14ac:dyDescent="0.2">
      <c r="A667" t="s">
        <v>5591</v>
      </c>
      <c r="B667" t="s">
        <v>7986</v>
      </c>
      <c r="C667" s="2022">
        <v>0</v>
      </c>
      <c r="D667" s="2022">
        <v>0</v>
      </c>
      <c r="E667" s="2022">
        <v>0</v>
      </c>
      <c r="F667" s="2022">
        <v>0</v>
      </c>
      <c r="G667" s="2022">
        <f t="shared" si="20"/>
        <v>0</v>
      </c>
      <c r="K667" s="2011">
        <f t="shared" si="21"/>
        <v>0</v>
      </c>
    </row>
    <row r="668" spans="1:11" x14ac:dyDescent="0.2">
      <c r="A668" t="s">
        <v>5592</v>
      </c>
      <c r="B668" t="s">
        <v>7987</v>
      </c>
      <c r="C668" s="2022">
        <v>5367.12</v>
      </c>
      <c r="D668" s="2022">
        <v>0</v>
      </c>
      <c r="E668" s="2022">
        <v>5367.12</v>
      </c>
      <c r="F668" s="2022">
        <v>0</v>
      </c>
      <c r="G668" s="2022">
        <f t="shared" si="20"/>
        <v>5367.12</v>
      </c>
      <c r="I668" s="2022">
        <f>VLOOKUP(A668,'2012 - TB'!$A$3:$I$733,9,FALSE)</f>
        <v>5367.12</v>
      </c>
      <c r="K668" s="2011">
        <f t="shared" si="21"/>
        <v>0</v>
      </c>
    </row>
    <row r="669" spans="1:11" x14ac:dyDescent="0.2">
      <c r="A669" t="s">
        <v>5593</v>
      </c>
      <c r="B669" t="s">
        <v>7750</v>
      </c>
      <c r="C669" s="2022">
        <v>0</v>
      </c>
      <c r="D669" s="2022">
        <v>0</v>
      </c>
      <c r="E669" s="2022">
        <v>0</v>
      </c>
      <c r="F669" s="2022">
        <v>0</v>
      </c>
      <c r="G669" s="2022">
        <f t="shared" si="20"/>
        <v>0</v>
      </c>
      <c r="K669" s="2011">
        <f t="shared" si="21"/>
        <v>0</v>
      </c>
    </row>
    <row r="670" spans="1:11" x14ac:dyDescent="0.2">
      <c r="A670" t="s">
        <v>5594</v>
      </c>
      <c r="B670" t="s">
        <v>7988</v>
      </c>
      <c r="C670" s="2022">
        <v>100080.04</v>
      </c>
      <c r="D670" s="2022">
        <v>0</v>
      </c>
      <c r="E670" s="2022">
        <v>69656.789999999994</v>
      </c>
      <c r="F670" s="2022">
        <v>0</v>
      </c>
      <c r="G670" s="2022">
        <f t="shared" si="20"/>
        <v>69656.789999999994</v>
      </c>
      <c r="I670" s="2022">
        <f>VLOOKUP(A670,'2012 - TB'!$A$3:$I$733,9,FALSE)</f>
        <v>69656.789999999994</v>
      </c>
      <c r="K670" s="2011">
        <f t="shared" si="21"/>
        <v>0</v>
      </c>
    </row>
    <row r="671" spans="1:11" x14ac:dyDescent="0.2">
      <c r="A671" t="s">
        <v>5595</v>
      </c>
      <c r="B671" t="s">
        <v>7989</v>
      </c>
      <c r="C671" s="2022">
        <v>3841.53</v>
      </c>
      <c r="D671" s="2022">
        <v>0</v>
      </c>
      <c r="E671" s="2022">
        <v>833.99</v>
      </c>
      <c r="F671" s="2022">
        <v>0</v>
      </c>
      <c r="G671" s="2022">
        <f t="shared" si="20"/>
        <v>833.99</v>
      </c>
      <c r="I671" s="2022">
        <f>VLOOKUP(A671,'2012 - TB'!$A$3:$I$733,9,FALSE)</f>
        <v>833.99</v>
      </c>
      <c r="K671" s="2011">
        <f t="shared" si="21"/>
        <v>0</v>
      </c>
    </row>
    <row r="672" spans="1:11" x14ac:dyDescent="0.2">
      <c r="A672" t="s">
        <v>5596</v>
      </c>
      <c r="B672" t="s">
        <v>7990</v>
      </c>
      <c r="C672" s="2022">
        <v>6182.35</v>
      </c>
      <c r="D672" s="2022">
        <v>0</v>
      </c>
      <c r="E672" s="2022">
        <v>6182.35</v>
      </c>
      <c r="F672" s="2022">
        <v>0</v>
      </c>
      <c r="G672" s="2022">
        <f t="shared" si="20"/>
        <v>6182.35</v>
      </c>
      <c r="I672" s="2022">
        <f>VLOOKUP(A672,'2012 - TB'!$A$3:$I$733,9,FALSE)</f>
        <v>6182.35</v>
      </c>
      <c r="K672" s="2011">
        <f t="shared" si="21"/>
        <v>0</v>
      </c>
    </row>
    <row r="673" spans="1:73" x14ac:dyDescent="0.2">
      <c r="A673" t="s">
        <v>5597</v>
      </c>
      <c r="B673" t="s">
        <v>7751</v>
      </c>
      <c r="C673" s="2022">
        <v>0</v>
      </c>
      <c r="D673" s="2022">
        <v>0</v>
      </c>
      <c r="E673" s="2022">
        <v>0</v>
      </c>
      <c r="F673" s="2022">
        <v>0</v>
      </c>
      <c r="G673" s="2022">
        <f t="shared" si="20"/>
        <v>0</v>
      </c>
      <c r="K673" s="2011">
        <f t="shared" si="21"/>
        <v>0</v>
      </c>
    </row>
    <row r="674" spans="1:73" x14ac:dyDescent="0.2">
      <c r="A674" t="s">
        <v>5598</v>
      </c>
      <c r="B674" t="s">
        <v>7991</v>
      </c>
      <c r="C674" s="2022">
        <v>0</v>
      </c>
      <c r="D674" s="2022">
        <v>0</v>
      </c>
      <c r="E674" s="2022">
        <v>0</v>
      </c>
      <c r="F674" s="2022">
        <v>0</v>
      </c>
      <c r="G674" s="2022">
        <f t="shared" si="20"/>
        <v>0</v>
      </c>
      <c r="K674" s="2011">
        <f t="shared" si="21"/>
        <v>0</v>
      </c>
    </row>
    <row r="675" spans="1:73" x14ac:dyDescent="0.2">
      <c r="A675" t="s">
        <v>5599</v>
      </c>
      <c r="B675" t="s">
        <v>6217</v>
      </c>
      <c r="C675" s="2022">
        <v>561.70000000000005</v>
      </c>
      <c r="D675" s="2022">
        <v>0</v>
      </c>
      <c r="E675" s="2022">
        <v>533</v>
      </c>
      <c r="F675" s="2022">
        <v>0</v>
      </c>
      <c r="G675" s="2022">
        <f t="shared" si="20"/>
        <v>533</v>
      </c>
      <c r="I675" s="2022">
        <f>VLOOKUP(A675,'2012 - TB'!$A$3:$I$733,9,FALSE)</f>
        <v>533</v>
      </c>
      <c r="K675" s="2011">
        <f t="shared" si="21"/>
        <v>0</v>
      </c>
    </row>
    <row r="676" spans="1:73" x14ac:dyDescent="0.2">
      <c r="A676" t="s">
        <v>5600</v>
      </c>
      <c r="B676" t="s">
        <v>6218</v>
      </c>
      <c r="C676" s="2022">
        <v>225.5</v>
      </c>
      <c r="D676" s="2022">
        <v>0</v>
      </c>
      <c r="E676" s="2022">
        <v>221.4</v>
      </c>
      <c r="F676" s="2022">
        <v>0</v>
      </c>
      <c r="G676" s="2022">
        <f t="shared" si="20"/>
        <v>221.4</v>
      </c>
      <c r="I676" s="2022">
        <f>VLOOKUP(A676,'2012 - TB'!$A$3:$I$733,9,FALSE)</f>
        <v>221.4</v>
      </c>
      <c r="K676" s="2011">
        <f t="shared" si="21"/>
        <v>0</v>
      </c>
    </row>
    <row r="677" spans="1:73" x14ac:dyDescent="0.2">
      <c r="A677" t="s">
        <v>5601</v>
      </c>
      <c r="B677" t="s">
        <v>6219</v>
      </c>
      <c r="C677" s="2022">
        <v>10663.63</v>
      </c>
      <c r="D677" s="2022">
        <v>0</v>
      </c>
      <c r="E677" s="2022">
        <v>9076.34</v>
      </c>
      <c r="F677" s="2022">
        <v>0</v>
      </c>
      <c r="G677" s="2022">
        <f t="shared" si="20"/>
        <v>9076.34</v>
      </c>
      <c r="I677" s="2022">
        <f>VLOOKUP(A677,'2012 - TB'!$A$3:$I$733,9,FALSE)</f>
        <v>9076.34</v>
      </c>
      <c r="K677" s="2011">
        <f t="shared" si="21"/>
        <v>0</v>
      </c>
    </row>
    <row r="678" spans="1:73" x14ac:dyDescent="0.2">
      <c r="A678" t="s">
        <v>5602</v>
      </c>
      <c r="B678" t="s">
        <v>6220</v>
      </c>
      <c r="C678" s="2022">
        <v>4953.75</v>
      </c>
      <c r="D678" s="2022">
        <v>0</v>
      </c>
      <c r="E678" s="2022">
        <v>3002.56</v>
      </c>
      <c r="F678" s="2022">
        <v>0</v>
      </c>
      <c r="G678" s="2022">
        <f t="shared" si="20"/>
        <v>3002.56</v>
      </c>
      <c r="I678" s="2022">
        <f>VLOOKUP(A678,'2012 - TB'!$A$3:$I$733,9,FALSE)</f>
        <v>3002.56</v>
      </c>
      <c r="K678" s="2011">
        <f t="shared" si="21"/>
        <v>0</v>
      </c>
    </row>
    <row r="679" spans="1:73" x14ac:dyDescent="0.2">
      <c r="A679" t="s">
        <v>5603</v>
      </c>
      <c r="B679" t="s">
        <v>7752</v>
      </c>
      <c r="C679" s="2022">
        <v>0</v>
      </c>
      <c r="D679" s="2022">
        <v>0</v>
      </c>
      <c r="E679" s="2022">
        <v>0</v>
      </c>
      <c r="F679" s="2022">
        <v>0</v>
      </c>
      <c r="G679" s="2022">
        <f t="shared" si="20"/>
        <v>0</v>
      </c>
      <c r="K679" s="2011">
        <f t="shared" si="21"/>
        <v>0</v>
      </c>
    </row>
    <row r="680" spans="1:73" x14ac:dyDescent="0.2">
      <c r="A680" t="s">
        <v>5604</v>
      </c>
      <c r="B680" t="s">
        <v>7753</v>
      </c>
      <c r="C680" s="2022">
        <v>0</v>
      </c>
      <c r="D680" s="2022">
        <v>0</v>
      </c>
      <c r="E680" s="2022">
        <v>0</v>
      </c>
      <c r="F680" s="2022">
        <v>0</v>
      </c>
      <c r="G680" s="2022">
        <f t="shared" si="20"/>
        <v>0</v>
      </c>
      <c r="K680" s="2011">
        <f t="shared" si="21"/>
        <v>0</v>
      </c>
    </row>
    <row r="681" spans="1:73" x14ac:dyDescent="0.2">
      <c r="A681" t="s">
        <v>5605</v>
      </c>
      <c r="B681" t="s">
        <v>7992</v>
      </c>
      <c r="C681" s="2022">
        <v>51606</v>
      </c>
      <c r="D681" s="2022">
        <v>0</v>
      </c>
      <c r="E681" s="2022">
        <v>52092</v>
      </c>
      <c r="F681" s="2022">
        <v>0</v>
      </c>
      <c r="G681" s="2022">
        <f t="shared" si="20"/>
        <v>52092</v>
      </c>
      <c r="I681" s="2022">
        <f>VLOOKUP(A681,'2012 - TB'!$A$3:$I$733,9,FALSE)</f>
        <v>52092</v>
      </c>
      <c r="K681" s="2011">
        <f t="shared" si="21"/>
        <v>0</v>
      </c>
    </row>
    <row r="682" spans="1:73" x14ac:dyDescent="0.2">
      <c r="A682" t="s">
        <v>5606</v>
      </c>
      <c r="B682" t="s">
        <v>6222</v>
      </c>
      <c r="C682" s="2022">
        <v>7930.8</v>
      </c>
      <c r="D682" s="2022">
        <v>0</v>
      </c>
      <c r="E682" s="2022">
        <v>7930.8</v>
      </c>
      <c r="F682" s="2022">
        <v>0</v>
      </c>
      <c r="G682" s="2022">
        <f t="shared" si="20"/>
        <v>7930.8</v>
      </c>
      <c r="I682" s="2022">
        <f>VLOOKUP(A682,'2012 - TB'!$A$3:$I$733,9,FALSE)</f>
        <v>7930.8</v>
      </c>
      <c r="K682" s="2011">
        <f t="shared" si="21"/>
        <v>0</v>
      </c>
    </row>
    <row r="683" spans="1:73" x14ac:dyDescent="0.2">
      <c r="A683" t="s">
        <v>5607</v>
      </c>
      <c r="B683" t="s">
        <v>7993</v>
      </c>
      <c r="C683" s="2022">
        <v>141008.57999999999</v>
      </c>
      <c r="D683" s="2022">
        <v>0</v>
      </c>
      <c r="E683" s="2022">
        <v>135306.48000000001</v>
      </c>
      <c r="F683" s="2022">
        <v>0</v>
      </c>
      <c r="G683" s="2022">
        <f t="shared" si="20"/>
        <v>135306.48000000001</v>
      </c>
      <c r="I683" s="2022">
        <f>VLOOKUP(A683,'2012 - TB'!$A$3:$I$733,9,FALSE)</f>
        <v>135306.48000000001</v>
      </c>
      <c r="K683" s="2011">
        <f t="shared" si="21"/>
        <v>0</v>
      </c>
    </row>
    <row r="684" spans="1:73" x14ac:dyDescent="0.2">
      <c r="A684" t="s">
        <v>5608</v>
      </c>
      <c r="B684" t="s">
        <v>7994</v>
      </c>
      <c r="C684" s="2022">
        <v>58347.24</v>
      </c>
      <c r="D684" s="2022">
        <v>0</v>
      </c>
      <c r="E684" s="2022">
        <v>57442.1</v>
      </c>
      <c r="F684" s="2022">
        <v>0</v>
      </c>
      <c r="G684" s="2022">
        <f t="shared" si="20"/>
        <v>57442.1</v>
      </c>
      <c r="I684" s="2022">
        <f>VLOOKUP(A684,'2012 - TB'!$A$3:$I$733,9,FALSE)</f>
        <v>57442.1</v>
      </c>
      <c r="K684" s="2011">
        <f t="shared" si="21"/>
        <v>0</v>
      </c>
    </row>
    <row r="685" spans="1:73" x14ac:dyDescent="0.2">
      <c r="A685" t="s">
        <v>5609</v>
      </c>
      <c r="B685" t="s">
        <v>7995</v>
      </c>
      <c r="C685" s="2022">
        <v>10700.56</v>
      </c>
      <c r="D685" s="2022">
        <v>0</v>
      </c>
      <c r="E685" s="2022">
        <v>8756.4</v>
      </c>
      <c r="F685" s="2022">
        <v>0</v>
      </c>
      <c r="G685" s="2022">
        <f t="shared" si="20"/>
        <v>8756.4</v>
      </c>
      <c r="I685" s="2022">
        <f>VLOOKUP(A685,'2012 - TB'!$A$3:$I$733,9,FALSE)</f>
        <v>8756.4</v>
      </c>
      <c r="K685" s="2011">
        <f t="shared" si="21"/>
        <v>0</v>
      </c>
    </row>
    <row r="686" spans="1:73" x14ac:dyDescent="0.2">
      <c r="A686" t="s">
        <v>5610</v>
      </c>
      <c r="B686" t="s">
        <v>7996</v>
      </c>
      <c r="C686" s="2022">
        <v>5090.82</v>
      </c>
      <c r="D686" s="2022">
        <v>0</v>
      </c>
      <c r="E686" s="2022">
        <v>3229.3</v>
      </c>
      <c r="F686" s="2022">
        <v>0</v>
      </c>
      <c r="G686" s="2022">
        <f t="shared" si="20"/>
        <v>3229.3</v>
      </c>
      <c r="I686" s="2022">
        <f>VLOOKUP(A686,'2012 - TB'!$A$3:$I$733,9,FALSE)</f>
        <v>3229.3</v>
      </c>
      <c r="K686" s="2011">
        <f t="shared" si="21"/>
        <v>0</v>
      </c>
    </row>
    <row r="687" spans="1:73" s="2215" customFormat="1" x14ac:dyDescent="0.2">
      <c r="A687" s="2215" t="s">
        <v>5611</v>
      </c>
      <c r="B687" s="2215" t="s">
        <v>7764</v>
      </c>
      <c r="C687" s="2230">
        <v>0</v>
      </c>
      <c r="D687" s="2230">
        <v>0</v>
      </c>
      <c r="E687" s="2230">
        <v>0</v>
      </c>
      <c r="F687" s="2230">
        <v>0</v>
      </c>
      <c r="G687" s="2230">
        <f t="shared" si="20"/>
        <v>0</v>
      </c>
      <c r="I687" s="2230">
        <f>VLOOKUP(A687,'2012 - TB'!$A$3:$I$733,9,FALSE)</f>
        <v>1486936.5</v>
      </c>
      <c r="K687" s="2463">
        <f t="shared" si="21"/>
        <v>-1486936.5</v>
      </c>
      <c r="L687" s="2024"/>
      <c r="M687" s="2024"/>
      <c r="N687" s="2024"/>
      <c r="O687" s="2024"/>
      <c r="P687" s="2024"/>
      <c r="Q687" s="2024"/>
      <c r="R687" s="2024"/>
      <c r="S687" s="2024"/>
      <c r="T687" s="2024"/>
      <c r="U687" s="2024"/>
      <c r="V687" s="2024"/>
      <c r="W687" s="2024"/>
      <c r="X687" s="2024"/>
      <c r="Y687" s="2024"/>
      <c r="Z687" s="2024"/>
      <c r="AA687" s="2024"/>
      <c r="AB687" s="2024"/>
      <c r="AC687" s="2024"/>
      <c r="AD687" s="2024"/>
      <c r="AE687" s="2024"/>
      <c r="AF687" s="2024"/>
      <c r="AG687" s="2024"/>
      <c r="AH687" s="2024"/>
      <c r="AI687" s="2024"/>
      <c r="AJ687" s="2024"/>
      <c r="AK687" s="2024"/>
      <c r="AL687" s="2024"/>
      <c r="AM687" s="2024"/>
      <c r="AN687" s="2024"/>
      <c r="AO687" s="2024"/>
      <c r="AP687" s="2024"/>
      <c r="AQ687" s="2024"/>
      <c r="AR687" s="2024"/>
      <c r="AS687" s="2024"/>
      <c r="AT687" s="2024"/>
      <c r="AU687" s="2024"/>
      <c r="AV687" s="2024"/>
      <c r="AW687" s="2024"/>
      <c r="AX687" s="2024"/>
      <c r="AY687" s="2024"/>
      <c r="AZ687" s="2024"/>
      <c r="BA687" s="2024"/>
      <c r="BB687" s="2024"/>
      <c r="BC687" s="2024"/>
      <c r="BD687" s="2024"/>
      <c r="BE687" s="2024"/>
      <c r="BF687" s="2024"/>
      <c r="BG687" s="2024"/>
      <c r="BH687" s="2024"/>
      <c r="BI687" s="2024"/>
      <c r="BJ687" s="2024"/>
      <c r="BK687" s="2024"/>
      <c r="BL687" s="2024"/>
      <c r="BM687" s="2024"/>
      <c r="BN687" s="2024"/>
      <c r="BO687" s="2024"/>
      <c r="BP687" s="2024"/>
      <c r="BQ687" s="2024"/>
      <c r="BR687" s="2024"/>
      <c r="BS687" s="2024"/>
      <c r="BT687" s="2024"/>
      <c r="BU687" s="2024"/>
    </row>
    <row r="688" spans="1:73" x14ac:dyDescent="0.2">
      <c r="A688" t="s">
        <v>5612</v>
      </c>
      <c r="B688" t="s">
        <v>7997</v>
      </c>
      <c r="C688" s="2022">
        <v>0</v>
      </c>
      <c r="D688" s="2022">
        <v>0</v>
      </c>
      <c r="E688" s="2022">
        <v>0</v>
      </c>
      <c r="F688" s="2022">
        <v>0</v>
      </c>
      <c r="G688" s="2022">
        <f t="shared" si="20"/>
        <v>0</v>
      </c>
      <c r="K688" s="2011">
        <f t="shared" si="21"/>
        <v>0</v>
      </c>
    </row>
    <row r="689" spans="1:73" x14ac:dyDescent="0.2">
      <c r="A689" t="s">
        <v>5613</v>
      </c>
      <c r="B689" t="s">
        <v>7998</v>
      </c>
      <c r="C689" s="2022">
        <v>0</v>
      </c>
      <c r="D689" s="2022">
        <v>0</v>
      </c>
      <c r="E689" s="2022">
        <v>0</v>
      </c>
      <c r="F689" s="2022">
        <v>0</v>
      </c>
      <c r="G689" s="2022">
        <f t="shared" si="20"/>
        <v>0</v>
      </c>
      <c r="K689" s="2011">
        <f t="shared" si="21"/>
        <v>0</v>
      </c>
    </row>
    <row r="690" spans="1:73" x14ac:dyDescent="0.2">
      <c r="A690" t="s">
        <v>5614</v>
      </c>
      <c r="B690" t="s">
        <v>7999</v>
      </c>
      <c r="C690" s="2022">
        <v>0</v>
      </c>
      <c r="D690" s="2022">
        <v>0</v>
      </c>
      <c r="E690" s="2022">
        <v>0</v>
      </c>
      <c r="F690" s="2022">
        <v>0</v>
      </c>
      <c r="G690" s="2022">
        <f t="shared" si="20"/>
        <v>0</v>
      </c>
      <c r="K690" s="2011">
        <f t="shared" si="21"/>
        <v>0</v>
      </c>
    </row>
    <row r="691" spans="1:73" x14ac:dyDescent="0.2">
      <c r="A691" t="s">
        <v>5615</v>
      </c>
      <c r="B691" t="s">
        <v>4873</v>
      </c>
      <c r="C691" s="2022">
        <v>0</v>
      </c>
      <c r="D691" s="2022">
        <v>0</v>
      </c>
      <c r="E691" s="2022">
        <v>0</v>
      </c>
      <c r="F691" s="2022">
        <v>0</v>
      </c>
      <c r="G691" s="2022">
        <f t="shared" si="20"/>
        <v>0</v>
      </c>
      <c r="K691" s="2011">
        <f t="shared" si="21"/>
        <v>0</v>
      </c>
    </row>
    <row r="692" spans="1:73" x14ac:dyDescent="0.2">
      <c r="A692" t="s">
        <v>5616</v>
      </c>
      <c r="B692" t="s">
        <v>8000</v>
      </c>
      <c r="C692" s="2022">
        <v>0</v>
      </c>
      <c r="D692" s="2022">
        <v>0</v>
      </c>
      <c r="E692" s="2022">
        <v>0</v>
      </c>
      <c r="F692" s="2022">
        <v>0</v>
      </c>
      <c r="G692" s="2022">
        <f t="shared" si="20"/>
        <v>0</v>
      </c>
      <c r="K692" s="2011">
        <f t="shared" si="21"/>
        <v>0</v>
      </c>
    </row>
    <row r="693" spans="1:73" x14ac:dyDescent="0.2">
      <c r="A693" t="s">
        <v>5617</v>
      </c>
      <c r="B693" t="s">
        <v>6227</v>
      </c>
      <c r="C693" s="2022">
        <v>50000</v>
      </c>
      <c r="D693" s="2022">
        <v>0</v>
      </c>
      <c r="E693" s="2022">
        <v>25014.75</v>
      </c>
      <c r="F693" s="2022">
        <v>0</v>
      </c>
      <c r="G693" s="2022">
        <f t="shared" si="20"/>
        <v>25014.75</v>
      </c>
      <c r="I693" s="2022">
        <f>VLOOKUP(A693,'2012 - TB'!$A$3:$I$733,9,FALSE)</f>
        <v>25014.75</v>
      </c>
      <c r="K693" s="2011">
        <f t="shared" si="21"/>
        <v>0</v>
      </c>
    </row>
    <row r="694" spans="1:73" x14ac:dyDescent="0.2">
      <c r="A694" t="s">
        <v>5618</v>
      </c>
      <c r="B694" t="s">
        <v>4883</v>
      </c>
      <c r="C694" s="2022">
        <v>0</v>
      </c>
      <c r="D694" s="2022">
        <v>0</v>
      </c>
      <c r="E694" s="2022">
        <v>0</v>
      </c>
      <c r="F694" s="2022">
        <v>0</v>
      </c>
      <c r="G694" s="2022">
        <f t="shared" si="20"/>
        <v>0</v>
      </c>
      <c r="K694" s="2011">
        <f t="shared" si="21"/>
        <v>0</v>
      </c>
    </row>
    <row r="695" spans="1:73" x14ac:dyDescent="0.2">
      <c r="A695" t="s">
        <v>5619</v>
      </c>
      <c r="B695" t="s">
        <v>8001</v>
      </c>
      <c r="C695" s="2022">
        <v>0</v>
      </c>
      <c r="D695" s="2022">
        <v>0</v>
      </c>
      <c r="E695" s="2022">
        <v>0</v>
      </c>
      <c r="F695" s="2022">
        <v>0</v>
      </c>
      <c r="G695" s="2022">
        <f t="shared" si="20"/>
        <v>0</v>
      </c>
      <c r="K695" s="2011">
        <f t="shared" si="21"/>
        <v>0</v>
      </c>
    </row>
    <row r="696" spans="1:73" x14ac:dyDescent="0.2">
      <c r="A696" t="s">
        <v>5620</v>
      </c>
      <c r="B696" t="s">
        <v>8002</v>
      </c>
      <c r="C696" s="2022">
        <v>0</v>
      </c>
      <c r="D696" s="2022">
        <v>0</v>
      </c>
      <c r="E696" s="2022">
        <v>0</v>
      </c>
      <c r="F696" s="2022">
        <v>0</v>
      </c>
      <c r="G696" s="2022">
        <f t="shared" si="20"/>
        <v>0</v>
      </c>
      <c r="K696" s="2011">
        <f t="shared" si="21"/>
        <v>0</v>
      </c>
    </row>
    <row r="697" spans="1:73" x14ac:dyDescent="0.2">
      <c r="A697" t="s">
        <v>5621</v>
      </c>
      <c r="B697" t="s">
        <v>8003</v>
      </c>
      <c r="C697" s="2022">
        <v>0</v>
      </c>
      <c r="D697" s="2022">
        <v>0</v>
      </c>
      <c r="E697" s="2022">
        <v>0</v>
      </c>
      <c r="F697" s="2022">
        <v>0</v>
      </c>
      <c r="G697" s="2022">
        <f t="shared" si="20"/>
        <v>0</v>
      </c>
      <c r="K697" s="2011">
        <f t="shared" si="21"/>
        <v>0</v>
      </c>
    </row>
    <row r="698" spans="1:73" x14ac:dyDescent="0.2">
      <c r="A698" t="s">
        <v>5622</v>
      </c>
      <c r="B698" t="s">
        <v>8004</v>
      </c>
      <c r="C698" s="2022">
        <v>0</v>
      </c>
      <c r="D698" s="2022">
        <v>0</v>
      </c>
      <c r="E698" s="2022">
        <v>0</v>
      </c>
      <c r="F698" s="2022">
        <v>0</v>
      </c>
      <c r="G698" s="2022">
        <f t="shared" si="20"/>
        <v>0</v>
      </c>
      <c r="K698" s="2011">
        <f t="shared" si="21"/>
        <v>0</v>
      </c>
    </row>
    <row r="699" spans="1:73" s="2215" customFormat="1" x14ac:dyDescent="0.2">
      <c r="A699" s="2215" t="s">
        <v>5623</v>
      </c>
      <c r="B699" s="2215" t="s">
        <v>8005</v>
      </c>
      <c r="C699" s="2230">
        <v>0</v>
      </c>
      <c r="D699" s="2230">
        <v>0</v>
      </c>
      <c r="E699" s="2230">
        <v>0</v>
      </c>
      <c r="F699" s="2230">
        <v>0</v>
      </c>
      <c r="G699" s="2230">
        <f t="shared" si="20"/>
        <v>0</v>
      </c>
      <c r="I699" s="2230">
        <f>VLOOKUP(A699,'2012 - TB'!$A$3:$I$733,9,FALSE)</f>
        <v>14183362.850000001</v>
      </c>
      <c r="K699" s="2634">
        <f t="shared" si="21"/>
        <v>-14183362.850000001</v>
      </c>
      <c r="L699" s="2024"/>
      <c r="M699" s="2024"/>
      <c r="N699" s="2024"/>
      <c r="O699" s="2024"/>
      <c r="P699" s="2024"/>
      <c r="Q699" s="2024"/>
      <c r="R699" s="2024"/>
      <c r="S699" s="2024"/>
      <c r="T699" s="2024"/>
      <c r="U699" s="2024"/>
      <c r="V699" s="2024"/>
      <c r="W699" s="2024"/>
      <c r="X699" s="2024"/>
      <c r="Y699" s="2024"/>
      <c r="Z699" s="2024"/>
      <c r="AA699" s="2024"/>
      <c r="AB699" s="2024"/>
      <c r="AC699" s="2024"/>
      <c r="AD699" s="2024"/>
      <c r="AE699" s="2024"/>
      <c r="AF699" s="2024"/>
      <c r="AG699" s="2024"/>
      <c r="AH699" s="2024"/>
      <c r="AI699" s="2024"/>
      <c r="AJ699" s="2024"/>
      <c r="AK699" s="2024"/>
      <c r="AL699" s="2024"/>
      <c r="AM699" s="2024"/>
      <c r="AN699" s="2024"/>
      <c r="AO699" s="2024"/>
      <c r="AP699" s="2024"/>
      <c r="AQ699" s="2024"/>
      <c r="AR699" s="2024"/>
      <c r="AS699" s="2024"/>
      <c r="AT699" s="2024"/>
      <c r="AU699" s="2024"/>
      <c r="AV699" s="2024"/>
      <c r="AW699" s="2024"/>
      <c r="AX699" s="2024"/>
      <c r="AY699" s="2024"/>
      <c r="AZ699" s="2024"/>
      <c r="BA699" s="2024"/>
      <c r="BB699" s="2024"/>
      <c r="BC699" s="2024"/>
      <c r="BD699" s="2024"/>
      <c r="BE699" s="2024"/>
      <c r="BF699" s="2024"/>
      <c r="BG699" s="2024"/>
      <c r="BH699" s="2024"/>
      <c r="BI699" s="2024"/>
      <c r="BJ699" s="2024"/>
      <c r="BK699" s="2024"/>
      <c r="BL699" s="2024"/>
      <c r="BM699" s="2024"/>
      <c r="BN699" s="2024"/>
      <c r="BO699" s="2024"/>
      <c r="BP699" s="2024"/>
      <c r="BQ699" s="2024"/>
      <c r="BR699" s="2024"/>
      <c r="BS699" s="2024"/>
      <c r="BT699" s="2024"/>
      <c r="BU699" s="2024"/>
    </row>
    <row r="700" spans="1:73" x14ac:dyDescent="0.2">
      <c r="A700" t="s">
        <v>5624</v>
      </c>
      <c r="B700" t="s">
        <v>4929</v>
      </c>
      <c r="C700" s="2022">
        <v>0</v>
      </c>
      <c r="D700" s="2022">
        <v>0</v>
      </c>
      <c r="E700" s="2022">
        <v>0</v>
      </c>
      <c r="F700" s="2022">
        <v>0</v>
      </c>
      <c r="G700" s="2022">
        <f t="shared" si="20"/>
        <v>0</v>
      </c>
      <c r="K700" s="2011">
        <f t="shared" si="21"/>
        <v>0</v>
      </c>
    </row>
    <row r="701" spans="1:73" x14ac:dyDescent="0.2">
      <c r="A701" t="s">
        <v>5625</v>
      </c>
      <c r="B701" t="s">
        <v>8006</v>
      </c>
      <c r="C701" s="2022">
        <v>0</v>
      </c>
      <c r="D701" s="2022">
        <v>0</v>
      </c>
      <c r="E701" s="2022">
        <v>0</v>
      </c>
      <c r="F701" s="2022">
        <v>0</v>
      </c>
      <c r="G701" s="2022">
        <f t="shared" si="20"/>
        <v>0</v>
      </c>
      <c r="K701" s="2011">
        <f t="shared" si="21"/>
        <v>0</v>
      </c>
    </row>
    <row r="702" spans="1:73" x14ac:dyDescent="0.2">
      <c r="A702" t="s">
        <v>5626</v>
      </c>
      <c r="B702" t="s">
        <v>6228</v>
      </c>
      <c r="C702" s="2022">
        <v>8689.59</v>
      </c>
      <c r="D702" s="2022">
        <v>0</v>
      </c>
      <c r="E702" s="2022">
        <v>2314.9699999999998</v>
      </c>
      <c r="F702" s="2022">
        <v>-286.99</v>
      </c>
      <c r="G702" s="2022">
        <f t="shared" si="20"/>
        <v>2027.9799999999998</v>
      </c>
      <c r="I702" s="2022">
        <f>VLOOKUP(A702,'2012 - TB'!$A$3:$I$733,9,FALSE)</f>
        <v>2027.9799999999998</v>
      </c>
      <c r="K702" s="2011">
        <f t="shared" si="21"/>
        <v>0</v>
      </c>
    </row>
    <row r="703" spans="1:73" x14ac:dyDescent="0.2">
      <c r="A703" t="s">
        <v>5627</v>
      </c>
      <c r="B703" t="s">
        <v>6229</v>
      </c>
      <c r="C703" s="2022">
        <v>14875.65</v>
      </c>
      <c r="D703" s="2022">
        <v>0</v>
      </c>
      <c r="E703" s="2022">
        <v>4360.7700000000004</v>
      </c>
      <c r="F703" s="2022">
        <v>0</v>
      </c>
      <c r="G703" s="2022">
        <f t="shared" si="20"/>
        <v>4360.7700000000004</v>
      </c>
      <c r="I703" s="2022">
        <f>VLOOKUP(A703,'2012 - TB'!$A$3:$I$733,9,FALSE)</f>
        <v>4360.7700000000004</v>
      </c>
      <c r="K703" s="2011">
        <f t="shared" si="21"/>
        <v>0</v>
      </c>
    </row>
    <row r="704" spans="1:73" x14ac:dyDescent="0.2">
      <c r="A704" t="s">
        <v>5628</v>
      </c>
      <c r="B704" t="s">
        <v>7759</v>
      </c>
      <c r="C704" s="2022">
        <v>0</v>
      </c>
      <c r="D704" s="2022">
        <v>0</v>
      </c>
      <c r="E704" s="2022">
        <v>0</v>
      </c>
      <c r="F704" s="2022">
        <v>0</v>
      </c>
      <c r="G704" s="2022">
        <f t="shared" si="20"/>
        <v>0</v>
      </c>
      <c r="K704" s="2011">
        <f t="shared" si="21"/>
        <v>0</v>
      </c>
    </row>
    <row r="705" spans="1:11" x14ac:dyDescent="0.2">
      <c r="A705" t="s">
        <v>5629</v>
      </c>
      <c r="B705" t="s">
        <v>8007</v>
      </c>
      <c r="C705" s="2022">
        <v>1273.6600000000001</v>
      </c>
      <c r="D705" s="2022">
        <v>0</v>
      </c>
      <c r="E705" s="2022">
        <v>1273.6600000000001</v>
      </c>
      <c r="F705" s="2022">
        <v>0</v>
      </c>
      <c r="G705" s="2022">
        <f t="shared" si="20"/>
        <v>1273.6600000000001</v>
      </c>
      <c r="I705" s="2022">
        <f>VLOOKUP(A705,'2012 - TB'!$A$3:$I$733,9,FALSE)</f>
        <v>1273.6600000000001</v>
      </c>
      <c r="K705" s="2011">
        <f t="shared" si="21"/>
        <v>0</v>
      </c>
    </row>
    <row r="706" spans="1:11" x14ac:dyDescent="0.2">
      <c r="A706" t="s">
        <v>5630</v>
      </c>
      <c r="B706" t="s">
        <v>5171</v>
      </c>
      <c r="C706" s="2022">
        <v>0</v>
      </c>
      <c r="D706" s="2022">
        <v>0</v>
      </c>
      <c r="E706" s="2022">
        <v>1913.36</v>
      </c>
      <c r="F706" s="2022">
        <v>0</v>
      </c>
      <c r="G706" s="2022">
        <f t="shared" ref="G706:G769" si="22">SUM(D706:F706)</f>
        <v>1913.36</v>
      </c>
      <c r="I706" s="2022">
        <f>VLOOKUP(A706,'2012 - TB'!$A$3:$I$733,9,FALSE)</f>
        <v>1913.36</v>
      </c>
      <c r="K706" s="2011">
        <f t="shared" ref="K706:K769" si="23">G706-I706</f>
        <v>0</v>
      </c>
    </row>
    <row r="707" spans="1:11" x14ac:dyDescent="0.2">
      <c r="A707" t="s">
        <v>5631</v>
      </c>
      <c r="B707" t="s">
        <v>6094</v>
      </c>
      <c r="C707" s="2022">
        <v>4004</v>
      </c>
      <c r="D707" s="2022">
        <v>0</v>
      </c>
      <c r="E707" s="2022">
        <v>0</v>
      </c>
      <c r="F707" s="2022">
        <v>0</v>
      </c>
      <c r="G707" s="2022">
        <f t="shared" si="22"/>
        <v>0</v>
      </c>
      <c r="I707" s="2022">
        <f>VLOOKUP(A707,'2012 - TB'!$A$3:$I$733,9,FALSE)</f>
        <v>0</v>
      </c>
      <c r="K707" s="2011">
        <f t="shared" si="23"/>
        <v>0</v>
      </c>
    </row>
    <row r="708" spans="1:11" x14ac:dyDescent="0.2">
      <c r="A708" t="s">
        <v>5632</v>
      </c>
      <c r="B708" t="s">
        <v>8008</v>
      </c>
      <c r="C708" s="2022">
        <v>0</v>
      </c>
      <c r="D708" s="2022">
        <v>0</v>
      </c>
      <c r="E708" s="2022">
        <v>0</v>
      </c>
      <c r="F708" s="2022">
        <v>0</v>
      </c>
      <c r="G708" s="2022">
        <f t="shared" si="22"/>
        <v>0</v>
      </c>
      <c r="K708" s="2011">
        <f t="shared" si="23"/>
        <v>0</v>
      </c>
    </row>
    <row r="709" spans="1:11" x14ac:dyDescent="0.2">
      <c r="A709" t="s">
        <v>5633</v>
      </c>
      <c r="B709" t="s">
        <v>8009</v>
      </c>
      <c r="C709" s="2022">
        <v>45841.58</v>
      </c>
      <c r="D709" s="2022">
        <v>0</v>
      </c>
      <c r="E709" s="2022">
        <v>0</v>
      </c>
      <c r="F709" s="2022">
        <v>0</v>
      </c>
      <c r="G709" s="2022">
        <f t="shared" si="22"/>
        <v>0</v>
      </c>
      <c r="I709" s="2022">
        <f>VLOOKUP(A709,'2012 - TB'!$A$3:$I$733,9,FALSE)</f>
        <v>0</v>
      </c>
      <c r="K709" s="2011">
        <f t="shared" si="23"/>
        <v>0</v>
      </c>
    </row>
    <row r="710" spans="1:11" x14ac:dyDescent="0.2">
      <c r="A710" t="s">
        <v>5634</v>
      </c>
      <c r="B710" t="s">
        <v>8010</v>
      </c>
      <c r="C710" s="2022">
        <v>12162.55</v>
      </c>
      <c r="D710" s="2022">
        <v>0</v>
      </c>
      <c r="E710" s="2022">
        <v>0</v>
      </c>
      <c r="F710" s="2022">
        <v>0</v>
      </c>
      <c r="G710" s="2022">
        <f t="shared" si="22"/>
        <v>0</v>
      </c>
      <c r="I710" s="2022">
        <f>VLOOKUP(A710,'2012 - TB'!$A$3:$I$733,9,FALSE)</f>
        <v>0</v>
      </c>
      <c r="K710" s="2011">
        <f t="shared" si="23"/>
        <v>0</v>
      </c>
    </row>
    <row r="711" spans="1:11" x14ac:dyDescent="0.2">
      <c r="A711" t="s">
        <v>5635</v>
      </c>
      <c r="B711" t="s">
        <v>4899</v>
      </c>
      <c r="C711" s="2022">
        <v>6756.92</v>
      </c>
      <c r="D711" s="2022">
        <v>0</v>
      </c>
      <c r="E711" s="2022">
        <v>0</v>
      </c>
      <c r="F711" s="2022">
        <v>0</v>
      </c>
      <c r="G711" s="2022">
        <f t="shared" si="22"/>
        <v>0</v>
      </c>
      <c r="I711" s="2022">
        <f>VLOOKUP(A711,'2012 - TB'!$A$3:$I$733,9,FALSE)</f>
        <v>0</v>
      </c>
      <c r="K711" s="2011">
        <f t="shared" si="23"/>
        <v>0</v>
      </c>
    </row>
    <row r="712" spans="1:11" x14ac:dyDescent="0.2">
      <c r="A712" t="s">
        <v>5636</v>
      </c>
      <c r="B712" t="s">
        <v>4899</v>
      </c>
      <c r="C712" s="2022">
        <v>4901.62</v>
      </c>
      <c r="D712" s="2022">
        <v>0</v>
      </c>
      <c r="E712" s="2022">
        <v>0</v>
      </c>
      <c r="F712" s="2022">
        <v>0</v>
      </c>
      <c r="G712" s="2022">
        <f t="shared" si="22"/>
        <v>0</v>
      </c>
      <c r="I712" s="2022">
        <f>VLOOKUP(A712,'2012 - TB'!$A$3:$I$733,9,FALSE)</f>
        <v>0</v>
      </c>
      <c r="K712" s="2011">
        <f t="shared" si="23"/>
        <v>0</v>
      </c>
    </row>
    <row r="713" spans="1:11" x14ac:dyDescent="0.2">
      <c r="A713" t="s">
        <v>5637</v>
      </c>
      <c r="B713" t="s">
        <v>8011</v>
      </c>
      <c r="C713" s="2022">
        <v>0</v>
      </c>
      <c r="D713" s="2022">
        <v>0</v>
      </c>
      <c r="E713" s="2022">
        <v>0</v>
      </c>
      <c r="F713" s="2022">
        <v>0</v>
      </c>
      <c r="G713" s="2022">
        <f t="shared" si="22"/>
        <v>0</v>
      </c>
      <c r="K713" s="2011">
        <f t="shared" si="23"/>
        <v>0</v>
      </c>
    </row>
    <row r="714" spans="1:11" x14ac:dyDescent="0.2">
      <c r="A714" t="s">
        <v>5638</v>
      </c>
      <c r="B714" t="s">
        <v>8012</v>
      </c>
      <c r="C714" s="2022">
        <v>-1702.17</v>
      </c>
      <c r="D714" s="2022">
        <v>0</v>
      </c>
      <c r="E714" s="2022">
        <v>349.11</v>
      </c>
      <c r="F714" s="2022">
        <v>-2842.5</v>
      </c>
      <c r="G714" s="2022">
        <f t="shared" si="22"/>
        <v>-2493.39</v>
      </c>
      <c r="I714" s="2022">
        <f>VLOOKUP(A714,'2012 - TB'!$A$3:$I$733,9,FALSE)</f>
        <v>-2493.39</v>
      </c>
      <c r="K714" s="2011">
        <f t="shared" si="23"/>
        <v>0</v>
      </c>
    </row>
    <row r="715" spans="1:11" x14ac:dyDescent="0.2">
      <c r="A715" t="s">
        <v>5640</v>
      </c>
      <c r="B715" t="s">
        <v>5639</v>
      </c>
      <c r="C715" s="2022">
        <v>-3152.91</v>
      </c>
      <c r="D715" s="2022">
        <v>0</v>
      </c>
      <c r="E715" s="2022">
        <v>0</v>
      </c>
      <c r="F715" s="2022">
        <v>0</v>
      </c>
      <c r="G715" s="2022">
        <f t="shared" si="22"/>
        <v>0</v>
      </c>
      <c r="I715" s="2022">
        <f>VLOOKUP(A715,'2012 - TB'!$A$3:$I$733,9,FALSE)</f>
        <v>0</v>
      </c>
      <c r="K715" s="2011">
        <f t="shared" si="23"/>
        <v>0</v>
      </c>
    </row>
    <row r="716" spans="1:11" x14ac:dyDescent="0.2">
      <c r="A716" t="s">
        <v>5641</v>
      </c>
      <c r="B716" t="s">
        <v>6234</v>
      </c>
      <c r="C716" s="2022">
        <v>-1262335.96</v>
      </c>
      <c r="D716" s="2022">
        <v>0</v>
      </c>
      <c r="E716" s="2022">
        <v>0</v>
      </c>
      <c r="F716" s="2022">
        <v>0</v>
      </c>
      <c r="G716" s="2022">
        <f t="shared" si="22"/>
        <v>0</v>
      </c>
      <c r="I716" s="2022">
        <f>VLOOKUP(A716,'2012 - TB'!$A$3:$I$733,9,FALSE)</f>
        <v>0</v>
      </c>
      <c r="K716" s="2011">
        <f t="shared" si="23"/>
        <v>0</v>
      </c>
    </row>
    <row r="717" spans="1:11" x14ac:dyDescent="0.2">
      <c r="A717" t="s">
        <v>5642</v>
      </c>
      <c r="B717" t="s">
        <v>6235</v>
      </c>
      <c r="C717" s="2022">
        <v>-474032.35</v>
      </c>
      <c r="D717" s="2022">
        <v>0</v>
      </c>
      <c r="E717" s="2022">
        <v>0</v>
      </c>
      <c r="F717" s="2022">
        <v>0</v>
      </c>
      <c r="G717" s="2022">
        <f t="shared" si="22"/>
        <v>0</v>
      </c>
      <c r="I717" s="2022">
        <f>VLOOKUP(A717,'2012 - TB'!$A$3:$I$733,9,FALSE)</f>
        <v>0</v>
      </c>
      <c r="K717" s="2011">
        <f t="shared" si="23"/>
        <v>0</v>
      </c>
    </row>
    <row r="718" spans="1:11" x14ac:dyDescent="0.2">
      <c r="A718" t="s">
        <v>5643</v>
      </c>
      <c r="B718" t="s">
        <v>8013</v>
      </c>
      <c r="C718" s="2022">
        <v>0</v>
      </c>
      <c r="D718" s="2022">
        <v>0</v>
      </c>
      <c r="E718" s="2022">
        <v>0</v>
      </c>
      <c r="F718" s="2022">
        <v>0</v>
      </c>
      <c r="G718" s="2022">
        <f t="shared" si="22"/>
        <v>0</v>
      </c>
      <c r="K718" s="2011">
        <f t="shared" si="23"/>
        <v>0</v>
      </c>
    </row>
    <row r="719" spans="1:11" x14ac:dyDescent="0.2">
      <c r="A719" t="s">
        <v>5644</v>
      </c>
      <c r="B719" t="s">
        <v>4808</v>
      </c>
      <c r="C719" s="2022">
        <v>0</v>
      </c>
      <c r="D719" s="2022">
        <v>0</v>
      </c>
      <c r="E719" s="2022">
        <v>0</v>
      </c>
      <c r="F719" s="2022">
        <v>0</v>
      </c>
      <c r="G719" s="2022">
        <f t="shared" si="22"/>
        <v>0</v>
      </c>
      <c r="K719" s="2011">
        <f t="shared" si="23"/>
        <v>0</v>
      </c>
    </row>
    <row r="720" spans="1:11" x14ac:dyDescent="0.2">
      <c r="A720" t="s">
        <v>5645</v>
      </c>
      <c r="B720" t="s">
        <v>4812</v>
      </c>
      <c r="C720" s="2022">
        <v>0</v>
      </c>
      <c r="D720" s="2022">
        <v>0</v>
      </c>
      <c r="E720" s="2022">
        <v>0</v>
      </c>
      <c r="F720" s="2022">
        <v>0</v>
      </c>
      <c r="G720" s="2022">
        <f t="shared" si="22"/>
        <v>0</v>
      </c>
      <c r="K720" s="2011">
        <f t="shared" si="23"/>
        <v>0</v>
      </c>
    </row>
    <row r="721" spans="1:11" x14ac:dyDescent="0.2">
      <c r="A721" t="s">
        <v>5646</v>
      </c>
      <c r="B721" t="s">
        <v>4814</v>
      </c>
      <c r="C721" s="2022">
        <v>0</v>
      </c>
      <c r="D721" s="2022">
        <v>0</v>
      </c>
      <c r="E721" s="2022">
        <v>0</v>
      </c>
      <c r="F721" s="2022">
        <v>0</v>
      </c>
      <c r="G721" s="2022">
        <f t="shared" si="22"/>
        <v>0</v>
      </c>
      <c r="K721" s="2011">
        <f t="shared" si="23"/>
        <v>0</v>
      </c>
    </row>
    <row r="722" spans="1:11" x14ac:dyDescent="0.2">
      <c r="A722" t="s">
        <v>5647</v>
      </c>
      <c r="B722" t="s">
        <v>4824</v>
      </c>
      <c r="C722" s="2022">
        <v>0</v>
      </c>
      <c r="D722" s="2022">
        <v>0</v>
      </c>
      <c r="E722" s="2022">
        <v>0</v>
      </c>
      <c r="F722" s="2022">
        <v>0</v>
      </c>
      <c r="G722" s="2022">
        <f t="shared" si="22"/>
        <v>0</v>
      </c>
      <c r="K722" s="2011">
        <f t="shared" si="23"/>
        <v>0</v>
      </c>
    </row>
    <row r="723" spans="1:11" x14ac:dyDescent="0.2">
      <c r="A723" t="s">
        <v>5648</v>
      </c>
      <c r="B723" t="s">
        <v>4826</v>
      </c>
      <c r="C723" s="2022">
        <v>0</v>
      </c>
      <c r="D723" s="2022">
        <v>0</v>
      </c>
      <c r="E723" s="2022">
        <v>0</v>
      </c>
      <c r="F723" s="2022">
        <v>0</v>
      </c>
      <c r="G723" s="2022">
        <f t="shared" si="22"/>
        <v>0</v>
      </c>
      <c r="K723" s="2011">
        <f t="shared" si="23"/>
        <v>0</v>
      </c>
    </row>
    <row r="724" spans="1:11" x14ac:dyDescent="0.2">
      <c r="A724" t="s">
        <v>5649</v>
      </c>
      <c r="B724" t="s">
        <v>7818</v>
      </c>
      <c r="C724" s="2022">
        <v>0</v>
      </c>
      <c r="D724" s="2022">
        <v>0</v>
      </c>
      <c r="E724" s="2022">
        <v>0</v>
      </c>
      <c r="F724" s="2022">
        <v>0</v>
      </c>
      <c r="G724" s="2022">
        <f t="shared" si="22"/>
        <v>0</v>
      </c>
      <c r="K724" s="2011">
        <f t="shared" si="23"/>
        <v>0</v>
      </c>
    </row>
    <row r="725" spans="1:11" x14ac:dyDescent="0.2">
      <c r="A725" t="s">
        <v>5650</v>
      </c>
      <c r="B725" t="s">
        <v>4829</v>
      </c>
      <c r="C725" s="2022">
        <v>0</v>
      </c>
      <c r="D725" s="2022">
        <v>0</v>
      </c>
      <c r="E725" s="2022">
        <v>0</v>
      </c>
      <c r="F725" s="2022">
        <v>0</v>
      </c>
      <c r="G725" s="2022">
        <f t="shared" si="22"/>
        <v>0</v>
      </c>
      <c r="K725" s="2011">
        <f t="shared" si="23"/>
        <v>0</v>
      </c>
    </row>
    <row r="726" spans="1:11" x14ac:dyDescent="0.2">
      <c r="A726" t="s">
        <v>5651</v>
      </c>
      <c r="B726" t="s">
        <v>4831</v>
      </c>
      <c r="C726" s="2022">
        <v>0</v>
      </c>
      <c r="D726" s="2022">
        <v>0</v>
      </c>
      <c r="E726" s="2022">
        <v>0</v>
      </c>
      <c r="F726" s="2022">
        <v>0</v>
      </c>
      <c r="G726" s="2022">
        <f t="shared" si="22"/>
        <v>0</v>
      </c>
      <c r="K726" s="2011">
        <f t="shared" si="23"/>
        <v>0</v>
      </c>
    </row>
    <row r="727" spans="1:11" x14ac:dyDescent="0.2">
      <c r="A727" t="s">
        <v>5652</v>
      </c>
      <c r="B727" t="s">
        <v>4833</v>
      </c>
      <c r="C727" s="2022">
        <v>0</v>
      </c>
      <c r="D727" s="2022">
        <v>0</v>
      </c>
      <c r="E727" s="2022">
        <v>0</v>
      </c>
      <c r="F727" s="2022">
        <v>0</v>
      </c>
      <c r="G727" s="2022">
        <f t="shared" si="22"/>
        <v>0</v>
      </c>
      <c r="K727" s="2011">
        <f t="shared" si="23"/>
        <v>0</v>
      </c>
    </row>
    <row r="728" spans="1:11" x14ac:dyDescent="0.2">
      <c r="A728" t="s">
        <v>5653</v>
      </c>
      <c r="B728" t="s">
        <v>4853</v>
      </c>
      <c r="C728" s="2022">
        <v>0</v>
      </c>
      <c r="D728" s="2022">
        <v>0</v>
      </c>
      <c r="E728" s="2022">
        <v>0</v>
      </c>
      <c r="F728" s="2022">
        <v>0</v>
      </c>
      <c r="G728" s="2022">
        <f t="shared" si="22"/>
        <v>0</v>
      </c>
      <c r="K728" s="2011">
        <f t="shared" si="23"/>
        <v>0</v>
      </c>
    </row>
    <row r="729" spans="1:11" x14ac:dyDescent="0.2">
      <c r="A729" t="s">
        <v>5654</v>
      </c>
      <c r="B729" t="s">
        <v>7945</v>
      </c>
      <c r="C729" s="2022">
        <v>0</v>
      </c>
      <c r="D729" s="2022">
        <v>0</v>
      </c>
      <c r="E729" s="2022">
        <v>0</v>
      </c>
      <c r="F729" s="2022">
        <v>0</v>
      </c>
      <c r="G729" s="2022">
        <f t="shared" si="22"/>
        <v>0</v>
      </c>
      <c r="K729" s="2011">
        <f t="shared" si="23"/>
        <v>0</v>
      </c>
    </row>
    <row r="730" spans="1:11" x14ac:dyDescent="0.2">
      <c r="A730" t="s">
        <v>5655</v>
      </c>
      <c r="B730" t="s">
        <v>7824</v>
      </c>
      <c r="C730" s="2022">
        <v>0</v>
      </c>
      <c r="D730" s="2022">
        <v>0</v>
      </c>
      <c r="E730" s="2022">
        <v>0</v>
      </c>
      <c r="F730" s="2022">
        <v>0</v>
      </c>
      <c r="G730" s="2022">
        <f t="shared" si="22"/>
        <v>0</v>
      </c>
      <c r="K730" s="2011">
        <f t="shared" si="23"/>
        <v>0</v>
      </c>
    </row>
    <row r="731" spans="1:11" x14ac:dyDescent="0.2">
      <c r="A731" t="s">
        <v>5656</v>
      </c>
      <c r="B731" t="s">
        <v>4879</v>
      </c>
      <c r="C731" s="2022">
        <v>0</v>
      </c>
      <c r="D731" s="2022">
        <v>0</v>
      </c>
      <c r="E731" s="2022">
        <v>0</v>
      </c>
      <c r="F731" s="2022">
        <v>0</v>
      </c>
      <c r="G731" s="2022">
        <f t="shared" si="22"/>
        <v>0</v>
      </c>
      <c r="K731" s="2011">
        <f t="shared" si="23"/>
        <v>0</v>
      </c>
    </row>
    <row r="732" spans="1:11" x14ac:dyDescent="0.2">
      <c r="A732" t="s">
        <v>5657</v>
      </c>
      <c r="B732" t="s">
        <v>5285</v>
      </c>
      <c r="C732" s="2022">
        <v>0</v>
      </c>
      <c r="D732" s="2022">
        <v>0</v>
      </c>
      <c r="E732" s="2022">
        <v>0</v>
      </c>
      <c r="F732" s="2022">
        <v>0</v>
      </c>
      <c r="G732" s="2022">
        <f t="shared" si="22"/>
        <v>0</v>
      </c>
      <c r="K732" s="2011">
        <f t="shared" si="23"/>
        <v>0</v>
      </c>
    </row>
    <row r="733" spans="1:11" x14ac:dyDescent="0.2">
      <c r="A733" t="s">
        <v>5658</v>
      </c>
      <c r="B733" t="s">
        <v>4883</v>
      </c>
      <c r="C733" s="2022">
        <v>0</v>
      </c>
      <c r="D733" s="2022">
        <v>0</v>
      </c>
      <c r="E733" s="2022">
        <v>0</v>
      </c>
      <c r="F733" s="2022">
        <v>0</v>
      </c>
      <c r="G733" s="2022">
        <f t="shared" si="22"/>
        <v>0</v>
      </c>
      <c r="K733" s="2011">
        <f t="shared" si="23"/>
        <v>0</v>
      </c>
    </row>
    <row r="734" spans="1:11" x14ac:dyDescent="0.2">
      <c r="A734" t="s">
        <v>5659</v>
      </c>
      <c r="B734" t="s">
        <v>7826</v>
      </c>
      <c r="C734" s="2022">
        <v>0</v>
      </c>
      <c r="D734" s="2022">
        <v>0</v>
      </c>
      <c r="E734" s="2022">
        <v>0</v>
      </c>
      <c r="F734" s="2022">
        <v>0</v>
      </c>
      <c r="G734" s="2022">
        <f t="shared" si="22"/>
        <v>0</v>
      </c>
      <c r="K734" s="2011">
        <f t="shared" si="23"/>
        <v>0</v>
      </c>
    </row>
    <row r="735" spans="1:11" x14ac:dyDescent="0.2">
      <c r="A735" t="s">
        <v>5660</v>
      </c>
      <c r="B735" t="s">
        <v>5048</v>
      </c>
      <c r="C735" s="2022">
        <v>0</v>
      </c>
      <c r="D735" s="2022">
        <v>0</v>
      </c>
      <c r="E735" s="2022">
        <v>0</v>
      </c>
      <c r="F735" s="2022">
        <v>0</v>
      </c>
      <c r="G735" s="2022">
        <f t="shared" si="22"/>
        <v>0</v>
      </c>
      <c r="K735" s="2011">
        <f t="shared" si="23"/>
        <v>0</v>
      </c>
    </row>
    <row r="736" spans="1:11" x14ac:dyDescent="0.2">
      <c r="A736" t="s">
        <v>5661</v>
      </c>
      <c r="B736" t="s">
        <v>8014</v>
      </c>
      <c r="C736" s="2022">
        <v>0</v>
      </c>
      <c r="D736" s="2022">
        <v>0</v>
      </c>
      <c r="E736" s="2022">
        <v>0</v>
      </c>
      <c r="F736" s="2022">
        <v>0</v>
      </c>
      <c r="G736" s="2022">
        <f t="shared" si="22"/>
        <v>0</v>
      </c>
      <c r="K736" s="2011">
        <f t="shared" si="23"/>
        <v>0</v>
      </c>
    </row>
    <row r="737" spans="1:73" x14ac:dyDescent="0.2">
      <c r="A737" t="s">
        <v>5662</v>
      </c>
      <c r="B737" t="s">
        <v>4808</v>
      </c>
      <c r="C737" s="2022">
        <v>4029160.26</v>
      </c>
      <c r="D737" s="2022">
        <v>0</v>
      </c>
      <c r="E737" s="2022">
        <v>4101804.41</v>
      </c>
      <c r="F737" s="2022">
        <v>-38261.040000000001</v>
      </c>
      <c r="G737" s="2022">
        <f t="shared" si="22"/>
        <v>4063543.37</v>
      </c>
      <c r="I737" s="2022">
        <f>VLOOKUP(A737,'2012 - TB'!$A$3:$I$733,9,FALSE)</f>
        <v>4063543.37</v>
      </c>
      <c r="K737" s="2011">
        <f t="shared" si="23"/>
        <v>0</v>
      </c>
    </row>
    <row r="738" spans="1:73" x14ac:dyDescent="0.2">
      <c r="A738" t="s">
        <v>5663</v>
      </c>
      <c r="B738" t="s">
        <v>4812</v>
      </c>
      <c r="C738" s="2022">
        <v>327826.92</v>
      </c>
      <c r="D738" s="2022">
        <v>0</v>
      </c>
      <c r="E738" s="2022">
        <v>336735.39</v>
      </c>
      <c r="F738" s="2022">
        <v>0</v>
      </c>
      <c r="G738" s="2022">
        <f t="shared" si="22"/>
        <v>336735.39</v>
      </c>
      <c r="I738" s="2022">
        <f>VLOOKUP(A738,'2012 - TB'!$A$3:$I$733,9,FALSE)</f>
        <v>336735.39</v>
      </c>
      <c r="K738" s="2011">
        <f t="shared" si="23"/>
        <v>0</v>
      </c>
    </row>
    <row r="739" spans="1:73" x14ac:dyDescent="0.2">
      <c r="A739" t="s">
        <v>5664</v>
      </c>
      <c r="B739" t="s">
        <v>4814</v>
      </c>
      <c r="C739" s="2022">
        <v>1000</v>
      </c>
      <c r="D739" s="2022">
        <v>0</v>
      </c>
      <c r="E739" s="2022">
        <v>1000</v>
      </c>
      <c r="F739" s="2022">
        <v>0</v>
      </c>
      <c r="G739" s="2022">
        <f t="shared" si="22"/>
        <v>1000</v>
      </c>
      <c r="I739" s="2022">
        <f>VLOOKUP(A739,'2012 - TB'!$A$3:$I$733,9,FALSE)</f>
        <v>1000</v>
      </c>
      <c r="K739" s="2011">
        <f t="shared" si="23"/>
        <v>0</v>
      </c>
    </row>
    <row r="740" spans="1:73" x14ac:dyDescent="0.2">
      <c r="A740" t="s">
        <v>5665</v>
      </c>
      <c r="B740" t="s">
        <v>5666</v>
      </c>
      <c r="C740" s="2022">
        <v>16354.51</v>
      </c>
      <c r="D740" s="2022">
        <v>0</v>
      </c>
      <c r="E740" s="2022">
        <v>30631.51</v>
      </c>
      <c r="F740" s="2022">
        <v>0</v>
      </c>
      <c r="G740" s="2022">
        <f t="shared" si="22"/>
        <v>30631.51</v>
      </c>
      <c r="I740" s="2022">
        <f>VLOOKUP(A740,'2012 - TB'!$A$3:$I$733,9,FALSE)</f>
        <v>30631.510000000002</v>
      </c>
      <c r="K740" s="2011">
        <f t="shared" si="23"/>
        <v>0</v>
      </c>
    </row>
    <row r="741" spans="1:73" x14ac:dyDescent="0.2">
      <c r="A741" t="s">
        <v>5667</v>
      </c>
      <c r="B741" t="s">
        <v>4818</v>
      </c>
      <c r="C741" s="2022">
        <v>747701.48</v>
      </c>
      <c r="D741" s="2022">
        <v>0</v>
      </c>
      <c r="E741" s="2022">
        <v>787881.85</v>
      </c>
      <c r="F741" s="2022">
        <v>0</v>
      </c>
      <c r="G741" s="2022">
        <f t="shared" si="22"/>
        <v>787881.85</v>
      </c>
      <c r="I741" s="2022">
        <f>VLOOKUP(A741,'2012 - TB'!$A$3:$I$733,9,FALSE)</f>
        <v>787881.85</v>
      </c>
      <c r="K741" s="2011">
        <f t="shared" si="23"/>
        <v>0</v>
      </c>
    </row>
    <row r="742" spans="1:73" x14ac:dyDescent="0.2">
      <c r="A742" t="s">
        <v>5668</v>
      </c>
      <c r="B742" t="s">
        <v>4820</v>
      </c>
      <c r="C742" s="2022">
        <v>97741.95</v>
      </c>
      <c r="D742" s="2022">
        <v>0</v>
      </c>
      <c r="E742" s="2022">
        <v>97741.95</v>
      </c>
      <c r="F742" s="2022">
        <v>0</v>
      </c>
      <c r="G742" s="2022">
        <f t="shared" si="22"/>
        <v>97741.95</v>
      </c>
      <c r="I742" s="2022">
        <f>VLOOKUP(A742,'2012 - TB'!$A$3:$I$733,9,FALSE)</f>
        <v>97741.95</v>
      </c>
      <c r="K742" s="2011">
        <f t="shared" si="23"/>
        <v>0</v>
      </c>
    </row>
    <row r="743" spans="1:73" x14ac:dyDescent="0.2">
      <c r="A743" t="s">
        <v>5669</v>
      </c>
      <c r="B743" t="s">
        <v>7956</v>
      </c>
      <c r="C743" s="2022">
        <v>0</v>
      </c>
      <c r="D743" s="2022">
        <v>0</v>
      </c>
      <c r="E743" s="2022">
        <v>0</v>
      </c>
      <c r="F743" s="2022">
        <v>0</v>
      </c>
      <c r="G743" s="2022">
        <f t="shared" si="22"/>
        <v>0</v>
      </c>
      <c r="K743" s="2011">
        <f t="shared" si="23"/>
        <v>0</v>
      </c>
    </row>
    <row r="744" spans="1:73" x14ac:dyDescent="0.2">
      <c r="A744" t="s">
        <v>5670</v>
      </c>
      <c r="B744" t="s">
        <v>4824</v>
      </c>
      <c r="C744" s="2022">
        <v>2460</v>
      </c>
      <c r="D744" s="2022">
        <v>0</v>
      </c>
      <c r="E744" s="2022">
        <v>2484.6</v>
      </c>
      <c r="F744" s="2022">
        <v>0</v>
      </c>
      <c r="G744" s="2022">
        <f t="shared" si="22"/>
        <v>2484.6</v>
      </c>
      <c r="I744" s="2022">
        <f>VLOOKUP(A744,'2012 - TB'!$A$3:$I$733,9,FALSE)</f>
        <v>2484.6</v>
      </c>
      <c r="K744" s="2011">
        <f t="shared" si="23"/>
        <v>0</v>
      </c>
    </row>
    <row r="745" spans="1:73" x14ac:dyDescent="0.2">
      <c r="A745" t="s">
        <v>5671</v>
      </c>
      <c r="B745" t="s">
        <v>4826</v>
      </c>
      <c r="C745" s="2022">
        <v>54094.7</v>
      </c>
      <c r="D745" s="2022">
        <v>0</v>
      </c>
      <c r="E745" s="2022">
        <v>52271.94</v>
      </c>
      <c r="F745" s="2022">
        <v>0</v>
      </c>
      <c r="G745" s="2022">
        <f t="shared" si="22"/>
        <v>52271.94</v>
      </c>
      <c r="I745" s="2022">
        <f>VLOOKUP(A745,'2012 - TB'!$A$3:$I$733,9,FALSE)</f>
        <v>52271.94</v>
      </c>
      <c r="K745" s="2011">
        <f t="shared" si="23"/>
        <v>0</v>
      </c>
    </row>
    <row r="746" spans="1:73" x14ac:dyDescent="0.2">
      <c r="A746" t="s">
        <v>5672</v>
      </c>
      <c r="B746" t="s">
        <v>7818</v>
      </c>
      <c r="C746" s="2022">
        <v>0</v>
      </c>
      <c r="D746" s="2022">
        <v>0</v>
      </c>
      <c r="E746" s="2022">
        <v>0</v>
      </c>
      <c r="F746" s="2022">
        <v>0</v>
      </c>
      <c r="G746" s="2022">
        <f t="shared" si="22"/>
        <v>0</v>
      </c>
      <c r="K746" s="2011">
        <f t="shared" si="23"/>
        <v>0</v>
      </c>
    </row>
    <row r="747" spans="1:73" x14ac:dyDescent="0.2">
      <c r="A747" t="s">
        <v>5673</v>
      </c>
      <c r="B747" t="s">
        <v>4829</v>
      </c>
      <c r="C747" s="2022">
        <v>211330.2</v>
      </c>
      <c r="D747" s="2022">
        <v>0</v>
      </c>
      <c r="E747" s="2022">
        <v>220489.92</v>
      </c>
      <c r="F747" s="2022">
        <v>0</v>
      </c>
      <c r="G747" s="2022">
        <f t="shared" si="22"/>
        <v>220489.92</v>
      </c>
      <c r="I747" s="2022">
        <f>VLOOKUP(A747,'2012 - TB'!$A$3:$I$733,9,FALSE)</f>
        <v>220489.92</v>
      </c>
      <c r="K747" s="2011">
        <f t="shared" si="23"/>
        <v>0</v>
      </c>
    </row>
    <row r="748" spans="1:73" x14ac:dyDescent="0.2">
      <c r="A748" t="s">
        <v>5674</v>
      </c>
      <c r="B748" t="s">
        <v>4831</v>
      </c>
      <c r="C748" s="2022">
        <v>721907.36</v>
      </c>
      <c r="D748" s="2022">
        <v>0</v>
      </c>
      <c r="E748" s="2022">
        <v>729481.12</v>
      </c>
      <c r="F748" s="2022">
        <v>0</v>
      </c>
      <c r="G748" s="2022">
        <f t="shared" si="22"/>
        <v>729481.12</v>
      </c>
      <c r="I748" s="2022">
        <f>VLOOKUP(A748,'2012 - TB'!$A$3:$I$733,9,FALSE)</f>
        <v>729481.12</v>
      </c>
      <c r="K748" s="2011">
        <f t="shared" si="23"/>
        <v>0</v>
      </c>
    </row>
    <row r="749" spans="1:73" x14ac:dyDescent="0.2">
      <c r="A749" t="s">
        <v>5675</v>
      </c>
      <c r="B749" t="s">
        <v>4833</v>
      </c>
      <c r="C749" s="2022">
        <v>54331.92</v>
      </c>
      <c r="D749" s="2022">
        <v>0</v>
      </c>
      <c r="E749" s="2022">
        <v>48939.96</v>
      </c>
      <c r="F749" s="2022">
        <v>0</v>
      </c>
      <c r="G749" s="2022">
        <f t="shared" si="22"/>
        <v>48939.96</v>
      </c>
      <c r="I749" s="2022">
        <f>VLOOKUP(A749,'2012 - TB'!$A$3:$I$733,9,FALSE)</f>
        <v>48939.96</v>
      </c>
      <c r="K749" s="2011">
        <f t="shared" si="23"/>
        <v>0</v>
      </c>
    </row>
    <row r="750" spans="1:73" x14ac:dyDescent="0.2">
      <c r="A750" t="s">
        <v>5676</v>
      </c>
      <c r="B750" t="s">
        <v>4977</v>
      </c>
      <c r="C750" s="2022">
        <v>400000</v>
      </c>
      <c r="D750" s="2022">
        <v>0</v>
      </c>
      <c r="E750" s="2022">
        <v>0</v>
      </c>
      <c r="F750" s="2022">
        <v>0</v>
      </c>
      <c r="G750" s="2022">
        <f t="shared" si="22"/>
        <v>0</v>
      </c>
      <c r="I750" s="2022">
        <f>VLOOKUP(A750,'2012 - TB'!$A$3:$I$733,9,FALSE)</f>
        <v>0</v>
      </c>
      <c r="K750" s="2011">
        <f t="shared" si="23"/>
        <v>0</v>
      </c>
    </row>
    <row r="751" spans="1:73" s="2632" customFormat="1" x14ac:dyDescent="0.2">
      <c r="A751" s="2632" t="s">
        <v>5677</v>
      </c>
      <c r="B751" s="2632" t="s">
        <v>8015</v>
      </c>
      <c r="C751" s="2728">
        <v>0</v>
      </c>
      <c r="D751" s="2728">
        <v>0</v>
      </c>
      <c r="E751" s="2728">
        <v>131102</v>
      </c>
      <c r="F751" s="2728">
        <v>0</v>
      </c>
      <c r="G751" s="2728">
        <f t="shared" si="22"/>
        <v>131102</v>
      </c>
      <c r="I751" s="2728"/>
      <c r="K751" s="2728">
        <f t="shared" si="23"/>
        <v>131102</v>
      </c>
      <c r="L751" s="2024"/>
      <c r="M751" s="2024"/>
      <c r="N751" s="2024"/>
      <c r="O751" s="2024"/>
      <c r="P751" s="2024"/>
      <c r="Q751" s="2024"/>
      <c r="R751" s="2024"/>
      <c r="S751" s="2024"/>
      <c r="T751" s="2024"/>
      <c r="U751" s="2024"/>
      <c r="V751" s="2024"/>
      <c r="W751" s="2024"/>
      <c r="X751" s="2024"/>
      <c r="Y751" s="2024"/>
      <c r="Z751" s="2024"/>
      <c r="AA751" s="2024"/>
      <c r="AB751" s="2024"/>
      <c r="AC751" s="2024"/>
      <c r="AD751" s="2024"/>
      <c r="AE751" s="2024"/>
      <c r="AF751" s="2024"/>
      <c r="AG751" s="2024"/>
      <c r="AH751" s="2024"/>
      <c r="AI751" s="2024"/>
      <c r="AJ751" s="2024"/>
      <c r="AK751" s="2024"/>
      <c r="AL751" s="2024"/>
      <c r="AM751" s="2024"/>
      <c r="AN751" s="2024"/>
      <c r="AO751" s="2024"/>
      <c r="AP751" s="2024"/>
      <c r="AQ751" s="2024"/>
      <c r="AR751" s="2024"/>
      <c r="AS751" s="2024"/>
      <c r="AT751" s="2024"/>
      <c r="AU751" s="2024"/>
      <c r="AV751" s="2024"/>
      <c r="AW751" s="2024"/>
      <c r="AX751" s="2024"/>
      <c r="AY751" s="2024"/>
      <c r="AZ751" s="2024"/>
      <c r="BA751" s="2024"/>
      <c r="BB751" s="2024"/>
      <c r="BC751" s="2024"/>
      <c r="BD751" s="2024"/>
      <c r="BE751" s="2024"/>
      <c r="BF751" s="2024"/>
      <c r="BG751" s="2024"/>
      <c r="BH751" s="2024"/>
      <c r="BI751" s="2024"/>
      <c r="BJ751" s="2024"/>
      <c r="BK751" s="2024"/>
      <c r="BL751" s="2024"/>
      <c r="BM751" s="2024"/>
      <c r="BN751" s="2024"/>
      <c r="BO751" s="2024"/>
      <c r="BP751" s="2024"/>
      <c r="BQ751" s="2024"/>
      <c r="BR751" s="2024"/>
      <c r="BS751" s="2024"/>
      <c r="BT751" s="2024"/>
      <c r="BU751" s="2024"/>
    </row>
    <row r="752" spans="1:73" x14ac:dyDescent="0.2">
      <c r="A752" t="s">
        <v>5678</v>
      </c>
      <c r="B752" t="s">
        <v>5399</v>
      </c>
      <c r="C752" s="2022">
        <v>77497.2</v>
      </c>
      <c r="D752" s="2022">
        <v>0</v>
      </c>
      <c r="E752" s="2022">
        <v>187530.31</v>
      </c>
      <c r="F752" s="2022">
        <v>0</v>
      </c>
      <c r="G752" s="2022">
        <f t="shared" si="22"/>
        <v>187530.31</v>
      </c>
      <c r="I752" s="2022">
        <f>VLOOKUP(A752,'2012 - TB'!$A$3:$I$733,9,FALSE)</f>
        <v>187530.31</v>
      </c>
      <c r="K752" s="2011">
        <f t="shared" si="23"/>
        <v>0</v>
      </c>
    </row>
    <row r="753" spans="1:11" x14ac:dyDescent="0.2">
      <c r="A753" t="s">
        <v>5679</v>
      </c>
      <c r="B753" t="s">
        <v>5680</v>
      </c>
      <c r="C753" s="2022">
        <v>549502.80000000005</v>
      </c>
      <c r="D753" s="2022">
        <v>0</v>
      </c>
      <c r="E753" s="2022">
        <v>0</v>
      </c>
      <c r="F753" s="2022">
        <v>0</v>
      </c>
      <c r="G753" s="2022">
        <f t="shared" si="22"/>
        <v>0</v>
      </c>
      <c r="I753" s="2022">
        <f>VLOOKUP(A753,'2012 - TB'!$A$3:$I$733,9,FALSE)</f>
        <v>0</v>
      </c>
      <c r="K753" s="2011">
        <f t="shared" si="23"/>
        <v>0</v>
      </c>
    </row>
    <row r="754" spans="1:11" x14ac:dyDescent="0.2">
      <c r="A754" t="s">
        <v>5681</v>
      </c>
      <c r="B754" t="s">
        <v>7849</v>
      </c>
      <c r="C754" s="2022">
        <v>0</v>
      </c>
      <c r="D754" s="2022">
        <v>0</v>
      </c>
      <c r="E754" s="2022">
        <v>0</v>
      </c>
      <c r="F754" s="2022">
        <v>0</v>
      </c>
      <c r="G754" s="2022">
        <f t="shared" si="22"/>
        <v>0</v>
      </c>
      <c r="K754" s="2011">
        <f t="shared" si="23"/>
        <v>0</v>
      </c>
    </row>
    <row r="755" spans="1:11" x14ac:dyDescent="0.2">
      <c r="A755" t="s">
        <v>5682</v>
      </c>
      <c r="B755" t="s">
        <v>5683</v>
      </c>
      <c r="C755" s="2022">
        <v>3798397.58</v>
      </c>
      <c r="D755" s="2022">
        <v>0</v>
      </c>
      <c r="E755" s="2022">
        <v>0</v>
      </c>
      <c r="F755" s="2022">
        <v>0</v>
      </c>
      <c r="G755" s="2022">
        <f t="shared" si="22"/>
        <v>0</v>
      </c>
      <c r="I755" s="2022">
        <f>VLOOKUP(A755,'2012 - TB'!$A$3:$I$733,9,FALSE)</f>
        <v>0</v>
      </c>
      <c r="K755" s="2011">
        <f t="shared" si="23"/>
        <v>0</v>
      </c>
    </row>
    <row r="756" spans="1:11" x14ac:dyDescent="0.2">
      <c r="A756" t="s">
        <v>5684</v>
      </c>
      <c r="B756" t="s">
        <v>5685</v>
      </c>
      <c r="C756" s="2022">
        <v>8094000</v>
      </c>
      <c r="D756" s="2022">
        <v>0</v>
      </c>
      <c r="E756" s="2022">
        <v>0</v>
      </c>
      <c r="F756" s="2022">
        <v>0</v>
      </c>
      <c r="G756" s="2022">
        <f t="shared" si="22"/>
        <v>0</v>
      </c>
      <c r="I756" s="2022">
        <f>VLOOKUP(A756,'2012 - TB'!$A$3:$I$733,9,FALSE)</f>
        <v>0</v>
      </c>
      <c r="K756" s="2011">
        <f t="shared" si="23"/>
        <v>0</v>
      </c>
    </row>
    <row r="757" spans="1:11" x14ac:dyDescent="0.2">
      <c r="A757" t="s">
        <v>5686</v>
      </c>
      <c r="B757" t="s">
        <v>4853</v>
      </c>
      <c r="C757" s="2022">
        <v>0</v>
      </c>
      <c r="D757" s="2022">
        <v>0</v>
      </c>
      <c r="E757" s="2022">
        <v>0</v>
      </c>
      <c r="F757" s="2022">
        <v>0</v>
      </c>
      <c r="G757" s="2022">
        <f t="shared" si="22"/>
        <v>0</v>
      </c>
      <c r="K757" s="2011">
        <f t="shared" si="23"/>
        <v>0</v>
      </c>
    </row>
    <row r="758" spans="1:11" x14ac:dyDescent="0.2">
      <c r="A758" t="s">
        <v>5687</v>
      </c>
      <c r="B758" t="s">
        <v>4865</v>
      </c>
      <c r="C758" s="2022">
        <v>0</v>
      </c>
      <c r="D758" s="2022">
        <v>0</v>
      </c>
      <c r="E758" s="2022">
        <v>0</v>
      </c>
      <c r="F758" s="2022">
        <v>0</v>
      </c>
      <c r="G758" s="2022">
        <f t="shared" si="22"/>
        <v>0</v>
      </c>
      <c r="K758" s="2011">
        <f t="shared" si="23"/>
        <v>0</v>
      </c>
    </row>
    <row r="759" spans="1:11" x14ac:dyDescent="0.2">
      <c r="A759" t="s">
        <v>5688</v>
      </c>
      <c r="B759" t="s">
        <v>5012</v>
      </c>
      <c r="C759" s="2022">
        <v>19872.599999999999</v>
      </c>
      <c r="D759" s="2022">
        <v>0</v>
      </c>
      <c r="E759" s="2022">
        <v>30097.07</v>
      </c>
      <c r="F759" s="2022">
        <v>0</v>
      </c>
      <c r="G759" s="2022">
        <f t="shared" si="22"/>
        <v>30097.07</v>
      </c>
      <c r="I759" s="2022">
        <f>VLOOKUP(A759,'2012 - TB'!$A$3:$I$733,9,FALSE)</f>
        <v>30097.07</v>
      </c>
      <c r="K759" s="2011">
        <f t="shared" si="23"/>
        <v>0</v>
      </c>
    </row>
    <row r="760" spans="1:11" x14ac:dyDescent="0.2">
      <c r="A760" t="s">
        <v>5689</v>
      </c>
      <c r="B760" t="s">
        <v>7953</v>
      </c>
      <c r="C760" s="2022">
        <v>0</v>
      </c>
      <c r="D760" s="2022">
        <v>0</v>
      </c>
      <c r="E760" s="2022">
        <v>0</v>
      </c>
      <c r="F760" s="2022">
        <v>0</v>
      </c>
      <c r="G760" s="2022">
        <f t="shared" si="22"/>
        <v>0</v>
      </c>
      <c r="K760" s="2011">
        <f t="shared" si="23"/>
        <v>0</v>
      </c>
    </row>
    <row r="761" spans="1:11" x14ac:dyDescent="0.2">
      <c r="A761" t="s">
        <v>5690</v>
      </c>
      <c r="B761" t="s">
        <v>4867</v>
      </c>
      <c r="C761" s="2022">
        <v>0</v>
      </c>
      <c r="D761" s="2022">
        <v>0</v>
      </c>
      <c r="E761" s="2022">
        <v>0</v>
      </c>
      <c r="F761" s="2022">
        <v>0</v>
      </c>
      <c r="G761" s="2022">
        <f t="shared" si="22"/>
        <v>0</v>
      </c>
      <c r="K761" s="2011">
        <f t="shared" si="23"/>
        <v>0</v>
      </c>
    </row>
    <row r="762" spans="1:11" x14ac:dyDescent="0.2">
      <c r="A762" t="s">
        <v>5691</v>
      </c>
      <c r="B762" t="s">
        <v>4869</v>
      </c>
      <c r="C762" s="2022">
        <v>0</v>
      </c>
      <c r="D762" s="2022">
        <v>0</v>
      </c>
      <c r="E762" s="2022">
        <v>0</v>
      </c>
      <c r="F762" s="2022">
        <v>0</v>
      </c>
      <c r="G762" s="2022">
        <f t="shared" si="22"/>
        <v>0</v>
      </c>
      <c r="K762" s="2011">
        <f t="shared" si="23"/>
        <v>0</v>
      </c>
    </row>
    <row r="763" spans="1:11" x14ac:dyDescent="0.2">
      <c r="A763" t="s">
        <v>5692</v>
      </c>
      <c r="B763" t="s">
        <v>4873</v>
      </c>
      <c r="C763" s="2022">
        <v>24529.7</v>
      </c>
      <c r="D763" s="2022">
        <v>0</v>
      </c>
      <c r="E763" s="2022">
        <v>47437.8</v>
      </c>
      <c r="F763" s="2022">
        <v>-47437.8</v>
      </c>
      <c r="G763" s="2022">
        <f t="shared" si="22"/>
        <v>0</v>
      </c>
      <c r="I763" s="2022">
        <f>VLOOKUP(A763,'2012 - TB'!$A$3:$I$733,9,FALSE)</f>
        <v>0</v>
      </c>
      <c r="K763" s="2011">
        <f t="shared" si="23"/>
        <v>0</v>
      </c>
    </row>
    <row r="764" spans="1:11" x14ac:dyDescent="0.2">
      <c r="A764" t="s">
        <v>5693</v>
      </c>
      <c r="B764" t="s">
        <v>7824</v>
      </c>
      <c r="C764" s="2022">
        <v>0</v>
      </c>
      <c r="D764" s="2022">
        <v>0</v>
      </c>
      <c r="E764" s="2022">
        <v>0</v>
      </c>
      <c r="F764" s="2022">
        <v>0</v>
      </c>
      <c r="G764" s="2022">
        <f t="shared" si="22"/>
        <v>0</v>
      </c>
      <c r="K764" s="2011">
        <f t="shared" si="23"/>
        <v>0</v>
      </c>
    </row>
    <row r="765" spans="1:11" x14ac:dyDescent="0.2">
      <c r="A765" t="s">
        <v>5694</v>
      </c>
      <c r="B765" t="s">
        <v>4879</v>
      </c>
      <c r="C765" s="2022">
        <v>80000</v>
      </c>
      <c r="D765" s="2022">
        <v>0</v>
      </c>
      <c r="E765" s="2022">
        <v>136742.37</v>
      </c>
      <c r="F765" s="2022">
        <v>0</v>
      </c>
      <c r="G765" s="2022">
        <f t="shared" si="22"/>
        <v>136742.37</v>
      </c>
      <c r="I765" s="2022">
        <f>VLOOKUP(A765,'2012 - TB'!$A$3:$I$733,9,FALSE)</f>
        <v>136742.37</v>
      </c>
      <c r="K765" s="2011">
        <f t="shared" si="23"/>
        <v>0</v>
      </c>
    </row>
    <row r="766" spans="1:11" x14ac:dyDescent="0.2">
      <c r="A766" t="s">
        <v>5695</v>
      </c>
      <c r="B766" t="s">
        <v>5285</v>
      </c>
      <c r="C766" s="2022">
        <v>454.28</v>
      </c>
      <c r="D766" s="2022">
        <v>0</v>
      </c>
      <c r="E766" s="2022">
        <v>1976.28</v>
      </c>
      <c r="F766" s="2022">
        <v>0</v>
      </c>
      <c r="G766" s="2022">
        <f t="shared" si="22"/>
        <v>1976.28</v>
      </c>
      <c r="I766" s="2022">
        <f>VLOOKUP(A766,'2012 - TB'!$A$3:$I$733,9,FALSE)</f>
        <v>1976.28</v>
      </c>
      <c r="K766" s="2011">
        <f t="shared" si="23"/>
        <v>0</v>
      </c>
    </row>
    <row r="767" spans="1:11" x14ac:dyDescent="0.2">
      <c r="A767" t="s">
        <v>5696</v>
      </c>
      <c r="B767" t="s">
        <v>4881</v>
      </c>
      <c r="C767" s="2022">
        <v>10000</v>
      </c>
      <c r="D767" s="2022">
        <v>0</v>
      </c>
      <c r="E767" s="2022">
        <v>5278.07</v>
      </c>
      <c r="F767" s="2022">
        <v>0</v>
      </c>
      <c r="G767" s="2022">
        <f t="shared" si="22"/>
        <v>5278.07</v>
      </c>
      <c r="I767" s="2022">
        <f>VLOOKUP(A767,'2012 - TB'!$A$3:$I$733,9,FALSE)</f>
        <v>5278.07</v>
      </c>
      <c r="K767" s="2011">
        <f t="shared" si="23"/>
        <v>0</v>
      </c>
    </row>
    <row r="768" spans="1:11" x14ac:dyDescent="0.2">
      <c r="A768" t="s">
        <v>5697</v>
      </c>
      <c r="B768" t="s">
        <v>4883</v>
      </c>
      <c r="C768" s="2022">
        <v>80000</v>
      </c>
      <c r="D768" s="2022">
        <v>0</v>
      </c>
      <c r="E768" s="2022">
        <v>58520.3</v>
      </c>
      <c r="F768" s="2022">
        <v>0</v>
      </c>
      <c r="G768" s="2022">
        <f t="shared" si="22"/>
        <v>58520.3</v>
      </c>
      <c r="I768" s="2022">
        <f>VLOOKUP(A768,'2012 - TB'!$A$3:$I$733,9,FALSE)</f>
        <v>58520.3</v>
      </c>
      <c r="K768" s="2011">
        <f t="shared" si="23"/>
        <v>0</v>
      </c>
    </row>
    <row r="769" spans="1:11" x14ac:dyDescent="0.2">
      <c r="A769" t="s">
        <v>5698</v>
      </c>
      <c r="B769" t="s">
        <v>7826</v>
      </c>
      <c r="C769" s="2022">
        <v>0</v>
      </c>
      <c r="D769" s="2022">
        <v>0</v>
      </c>
      <c r="E769" s="2022">
        <v>0</v>
      </c>
      <c r="F769" s="2022">
        <v>0</v>
      </c>
      <c r="G769" s="2022">
        <f t="shared" si="22"/>
        <v>0</v>
      </c>
      <c r="K769" s="2011">
        <f t="shared" si="23"/>
        <v>0</v>
      </c>
    </row>
    <row r="770" spans="1:11" x14ac:dyDescent="0.2">
      <c r="A770" t="s">
        <v>5699</v>
      </c>
      <c r="B770" t="s">
        <v>4889</v>
      </c>
      <c r="C770" s="2022">
        <v>65000</v>
      </c>
      <c r="D770" s="2022">
        <v>0</v>
      </c>
      <c r="E770" s="2022">
        <v>14783.72</v>
      </c>
      <c r="F770" s="2022">
        <v>-4513.07</v>
      </c>
      <c r="G770" s="2022">
        <f t="shared" ref="G770:G833" si="24">SUM(D770:F770)</f>
        <v>10270.65</v>
      </c>
      <c r="I770" s="2022">
        <f>VLOOKUP(A770,'2012 - TB'!$A$3:$I$733,9,FALSE)</f>
        <v>10270.65</v>
      </c>
      <c r="K770" s="2011">
        <f t="shared" ref="K770:K833" si="25">G770-I770</f>
        <v>0</v>
      </c>
    </row>
    <row r="771" spans="1:11" x14ac:dyDescent="0.2">
      <c r="A771" t="s">
        <v>5700</v>
      </c>
      <c r="B771" t="s">
        <v>4891</v>
      </c>
      <c r="C771" s="2022">
        <v>0</v>
      </c>
      <c r="D771" s="2022">
        <v>0</v>
      </c>
      <c r="E771" s="2022">
        <v>0</v>
      </c>
      <c r="F771" s="2022">
        <v>0</v>
      </c>
      <c r="G771" s="2022">
        <f t="shared" si="24"/>
        <v>0</v>
      </c>
      <c r="K771" s="2011">
        <f t="shared" si="25"/>
        <v>0</v>
      </c>
    </row>
    <row r="772" spans="1:11" x14ac:dyDescent="0.2">
      <c r="A772" t="s">
        <v>5701</v>
      </c>
      <c r="B772" t="s">
        <v>5409</v>
      </c>
      <c r="C772" s="2022">
        <v>0</v>
      </c>
      <c r="D772" s="2022">
        <v>0</v>
      </c>
      <c r="E772" s="2022">
        <v>0</v>
      </c>
      <c r="F772" s="2022">
        <v>0</v>
      </c>
      <c r="G772" s="2022">
        <f t="shared" si="24"/>
        <v>0</v>
      </c>
      <c r="K772" s="2011">
        <f t="shared" si="25"/>
        <v>0</v>
      </c>
    </row>
    <row r="773" spans="1:11" x14ac:dyDescent="0.2">
      <c r="A773" t="s">
        <v>5702</v>
      </c>
      <c r="B773" t="s">
        <v>8016</v>
      </c>
      <c r="C773" s="2022">
        <v>0</v>
      </c>
      <c r="D773" s="2022">
        <v>0</v>
      </c>
      <c r="E773" s="2022">
        <v>0</v>
      </c>
      <c r="F773" s="2022">
        <v>0</v>
      </c>
      <c r="G773" s="2022">
        <f t="shared" si="24"/>
        <v>0</v>
      </c>
      <c r="K773" s="2011">
        <f t="shared" si="25"/>
        <v>0</v>
      </c>
    </row>
    <row r="774" spans="1:11" x14ac:dyDescent="0.2">
      <c r="A774" t="s">
        <v>5703</v>
      </c>
      <c r="B774" t="s">
        <v>5411</v>
      </c>
      <c r="C774" s="2022">
        <v>0</v>
      </c>
      <c r="D774" s="2022">
        <v>0</v>
      </c>
      <c r="E774" s="2022">
        <v>0</v>
      </c>
      <c r="F774" s="2022">
        <v>0</v>
      </c>
      <c r="G774" s="2022">
        <f t="shared" si="24"/>
        <v>0</v>
      </c>
      <c r="K774" s="2011">
        <f t="shared" si="25"/>
        <v>0</v>
      </c>
    </row>
    <row r="775" spans="1:11" x14ac:dyDescent="0.2">
      <c r="A775" t="s">
        <v>5704</v>
      </c>
      <c r="B775" t="s">
        <v>4929</v>
      </c>
      <c r="C775" s="2022">
        <v>0</v>
      </c>
      <c r="D775" s="2022">
        <v>0</v>
      </c>
      <c r="E775" s="2022">
        <v>0</v>
      </c>
      <c r="F775" s="2022">
        <v>0</v>
      </c>
      <c r="G775" s="2022">
        <f t="shared" si="24"/>
        <v>0</v>
      </c>
      <c r="K775" s="2011">
        <f t="shared" si="25"/>
        <v>0</v>
      </c>
    </row>
    <row r="776" spans="1:11" x14ac:dyDescent="0.2">
      <c r="A776" t="s">
        <v>5705</v>
      </c>
      <c r="B776" t="s">
        <v>8017</v>
      </c>
      <c r="C776" s="2022">
        <v>0</v>
      </c>
      <c r="D776" s="2022">
        <v>0</v>
      </c>
      <c r="E776" s="2022">
        <v>0</v>
      </c>
      <c r="F776" s="2022">
        <v>0</v>
      </c>
      <c r="G776" s="2022">
        <f t="shared" si="24"/>
        <v>0</v>
      </c>
      <c r="K776" s="2011">
        <f t="shared" si="25"/>
        <v>0</v>
      </c>
    </row>
    <row r="777" spans="1:11" x14ac:dyDescent="0.2">
      <c r="A777" t="s">
        <v>5706</v>
      </c>
      <c r="B777" t="s">
        <v>5165</v>
      </c>
      <c r="C777" s="2022">
        <v>8277.0300000000007</v>
      </c>
      <c r="D777" s="2022">
        <v>0</v>
      </c>
      <c r="E777" s="2022">
        <v>6710.35</v>
      </c>
      <c r="F777" s="2022">
        <v>0</v>
      </c>
      <c r="G777" s="2022">
        <f t="shared" si="24"/>
        <v>6710.35</v>
      </c>
      <c r="I777" s="2022">
        <f>VLOOKUP(A777,'2012 - TB'!$A$3:$I$733,9,FALSE)</f>
        <v>6710.35</v>
      </c>
      <c r="K777" s="2011">
        <f t="shared" si="25"/>
        <v>0</v>
      </c>
    </row>
    <row r="778" spans="1:11" x14ac:dyDescent="0.2">
      <c r="A778" t="s">
        <v>5707</v>
      </c>
      <c r="B778" t="s">
        <v>5048</v>
      </c>
      <c r="C778" s="2022">
        <v>15000</v>
      </c>
      <c r="D778" s="2022">
        <v>0</v>
      </c>
      <c r="E778" s="2022">
        <v>9765.5300000000007</v>
      </c>
      <c r="F778" s="2022">
        <v>0</v>
      </c>
      <c r="G778" s="2022">
        <f t="shared" si="24"/>
        <v>9765.5300000000007</v>
      </c>
      <c r="I778" s="2022">
        <f>VLOOKUP(A778,'2012 - TB'!$A$3:$I$733,9,FALSE)</f>
        <v>9765.5300000000007</v>
      </c>
      <c r="K778" s="2011">
        <f t="shared" si="25"/>
        <v>0</v>
      </c>
    </row>
    <row r="779" spans="1:11" x14ac:dyDescent="0.2">
      <c r="A779" t="s">
        <v>5708</v>
      </c>
      <c r="B779" t="s">
        <v>4895</v>
      </c>
      <c r="C779" s="2022">
        <v>5000</v>
      </c>
      <c r="D779" s="2022">
        <v>0</v>
      </c>
      <c r="E779" s="2022">
        <v>9881.02</v>
      </c>
      <c r="F779" s="2022">
        <v>-139.65</v>
      </c>
      <c r="G779" s="2022">
        <f t="shared" si="24"/>
        <v>9741.3700000000008</v>
      </c>
      <c r="I779" s="2022">
        <f>VLOOKUP(A779,'2012 - TB'!$A$3:$I$733,9,FALSE)</f>
        <v>9741.3700000000008</v>
      </c>
      <c r="K779" s="2011">
        <f t="shared" si="25"/>
        <v>0</v>
      </c>
    </row>
    <row r="780" spans="1:11" x14ac:dyDescent="0.2">
      <c r="A780" t="s">
        <v>5709</v>
      </c>
      <c r="B780" t="s">
        <v>8018</v>
      </c>
      <c r="C780" s="2022">
        <v>0</v>
      </c>
      <c r="D780" s="2022">
        <v>0</v>
      </c>
      <c r="E780" s="2022">
        <v>0</v>
      </c>
      <c r="F780" s="2022">
        <v>0</v>
      </c>
      <c r="G780" s="2022">
        <f t="shared" si="24"/>
        <v>0</v>
      </c>
      <c r="K780" s="2011">
        <f t="shared" si="25"/>
        <v>0</v>
      </c>
    </row>
    <row r="781" spans="1:11" x14ac:dyDescent="0.2">
      <c r="A781" t="s">
        <v>5710</v>
      </c>
      <c r="B781" t="s">
        <v>5185</v>
      </c>
      <c r="C781" s="2022">
        <v>40000</v>
      </c>
      <c r="D781" s="2022">
        <v>0</v>
      </c>
      <c r="E781" s="2022">
        <v>22057.68</v>
      </c>
      <c r="F781" s="2022">
        <v>0</v>
      </c>
      <c r="G781" s="2022">
        <f t="shared" si="24"/>
        <v>22057.68</v>
      </c>
      <c r="I781" s="2022">
        <f>VLOOKUP(A781,'2012 - TB'!$A$3:$I$733,9,FALSE)</f>
        <v>22057.68</v>
      </c>
      <c r="K781" s="2011">
        <f t="shared" si="25"/>
        <v>0</v>
      </c>
    </row>
    <row r="782" spans="1:11" x14ac:dyDescent="0.2">
      <c r="A782" t="s">
        <v>5711</v>
      </c>
      <c r="B782" t="s">
        <v>5054</v>
      </c>
      <c r="C782" s="2022">
        <v>0</v>
      </c>
      <c r="D782" s="2022">
        <v>0</v>
      </c>
      <c r="E782" s="2022">
        <v>0</v>
      </c>
      <c r="F782" s="2022">
        <v>0</v>
      </c>
      <c r="G782" s="2022">
        <f t="shared" si="24"/>
        <v>0</v>
      </c>
      <c r="K782" s="2011">
        <f t="shared" si="25"/>
        <v>0</v>
      </c>
    </row>
    <row r="783" spans="1:11" x14ac:dyDescent="0.2">
      <c r="A783" t="s">
        <v>5712</v>
      </c>
      <c r="B783" t="s">
        <v>8019</v>
      </c>
      <c r="C783" s="2022">
        <v>0</v>
      </c>
      <c r="D783" s="2022">
        <v>0</v>
      </c>
      <c r="E783" s="2022">
        <v>0</v>
      </c>
      <c r="F783" s="2022">
        <v>0</v>
      </c>
      <c r="G783" s="2022">
        <f t="shared" si="24"/>
        <v>0</v>
      </c>
      <c r="K783" s="2011">
        <f t="shared" si="25"/>
        <v>0</v>
      </c>
    </row>
    <row r="784" spans="1:11" x14ac:dyDescent="0.2">
      <c r="A784" t="s">
        <v>5713</v>
      </c>
      <c r="B784" t="s">
        <v>4897</v>
      </c>
      <c r="C784" s="2022">
        <v>44121.35</v>
      </c>
      <c r="D784" s="2022">
        <v>0</v>
      </c>
      <c r="E784" s="2022">
        <v>23403.22</v>
      </c>
      <c r="F784" s="2022">
        <v>0</v>
      </c>
      <c r="G784" s="2022">
        <f t="shared" si="24"/>
        <v>23403.22</v>
      </c>
      <c r="I784" s="2022">
        <f>VLOOKUP(A784,'2012 - TB'!$A$3:$I$733,9,FALSE)</f>
        <v>23403.22</v>
      </c>
      <c r="K784" s="2011">
        <f t="shared" si="25"/>
        <v>0</v>
      </c>
    </row>
    <row r="785" spans="1:11" x14ac:dyDescent="0.2">
      <c r="A785" t="s">
        <v>5714</v>
      </c>
      <c r="B785" t="s">
        <v>4899</v>
      </c>
      <c r="C785" s="2022">
        <v>21087.45</v>
      </c>
      <c r="D785" s="2022">
        <v>0</v>
      </c>
      <c r="E785" s="2022">
        <v>0</v>
      </c>
      <c r="F785" s="2022">
        <v>0</v>
      </c>
      <c r="G785" s="2022">
        <f t="shared" si="24"/>
        <v>0</v>
      </c>
      <c r="I785" s="2022">
        <f>VLOOKUP(A785,'2012 - TB'!$A$3:$I$733,9,FALSE)</f>
        <v>0</v>
      </c>
      <c r="K785" s="2011">
        <f t="shared" si="25"/>
        <v>0</v>
      </c>
    </row>
    <row r="786" spans="1:11" x14ac:dyDescent="0.2">
      <c r="A786" t="s">
        <v>5715</v>
      </c>
      <c r="B786" t="s">
        <v>5716</v>
      </c>
      <c r="C786" s="2022">
        <v>-4183958.55</v>
      </c>
      <c r="D786" s="2022">
        <v>0</v>
      </c>
      <c r="E786" s="2022">
        <v>525128.36</v>
      </c>
      <c r="F786" s="2022">
        <v>-6871884.5599999996</v>
      </c>
      <c r="G786" s="2022">
        <f t="shared" si="24"/>
        <v>-6346756.1999999993</v>
      </c>
      <c r="I786" s="2022">
        <f>VLOOKUP(A786,'2012 - TB'!$A$3:$I$733,9,FALSE)</f>
        <v>-6346756.1999999993</v>
      </c>
      <c r="K786" s="2011">
        <f t="shared" si="25"/>
        <v>0</v>
      </c>
    </row>
    <row r="787" spans="1:11" x14ac:dyDescent="0.2">
      <c r="A787" t="s">
        <v>5717</v>
      </c>
      <c r="B787" t="s">
        <v>4901</v>
      </c>
      <c r="C787" s="2022">
        <v>-3507626.86</v>
      </c>
      <c r="D787" s="2022">
        <v>0</v>
      </c>
      <c r="E787" s="2022">
        <v>0</v>
      </c>
      <c r="F787" s="2022">
        <v>0</v>
      </c>
      <c r="G787" s="2022">
        <f t="shared" si="24"/>
        <v>0</v>
      </c>
      <c r="I787" s="2022">
        <f>VLOOKUP(A787,'2012 - TB'!$A$3:$I$733,9,FALSE)</f>
        <v>0</v>
      </c>
      <c r="K787" s="2011">
        <f t="shared" si="25"/>
        <v>0</v>
      </c>
    </row>
    <row r="788" spans="1:11" x14ac:dyDescent="0.2">
      <c r="A788" t="s">
        <v>5718</v>
      </c>
      <c r="B788" t="s">
        <v>5313</v>
      </c>
      <c r="C788" s="2022">
        <v>-3798397.58</v>
      </c>
      <c r="D788" s="2022">
        <v>0</v>
      </c>
      <c r="E788" s="2022">
        <v>0</v>
      </c>
      <c r="F788" s="2022">
        <v>0</v>
      </c>
      <c r="G788" s="2022">
        <f t="shared" si="24"/>
        <v>0</v>
      </c>
      <c r="I788" s="2022">
        <f>VLOOKUP(A788,'2012 - TB'!$A$3:$I$733,9,FALSE)</f>
        <v>0</v>
      </c>
      <c r="K788" s="2011">
        <f t="shared" si="25"/>
        <v>0</v>
      </c>
    </row>
    <row r="789" spans="1:11" x14ac:dyDescent="0.2">
      <c r="A789" t="s">
        <v>5719</v>
      </c>
      <c r="B789" t="s">
        <v>5720</v>
      </c>
      <c r="C789" s="2022">
        <v>-8094000</v>
      </c>
      <c r="D789" s="2022">
        <v>0</v>
      </c>
      <c r="E789" s="2022">
        <v>0</v>
      </c>
      <c r="F789" s="2022">
        <v>-8094000</v>
      </c>
      <c r="G789" s="2022">
        <f t="shared" si="24"/>
        <v>-8094000</v>
      </c>
      <c r="I789" s="2022">
        <f>VLOOKUP(A789,'2012 - TB'!$A$3:$I$733,9,FALSE)</f>
        <v>-8094000</v>
      </c>
      <c r="K789" s="2011">
        <f t="shared" si="25"/>
        <v>0</v>
      </c>
    </row>
    <row r="790" spans="1:11" x14ac:dyDescent="0.2">
      <c r="A790" t="s">
        <v>5721</v>
      </c>
      <c r="B790" t="s">
        <v>5722</v>
      </c>
      <c r="C790" s="2022">
        <v>-6608.29</v>
      </c>
      <c r="D790" s="2022">
        <v>0</v>
      </c>
      <c r="E790" s="2022">
        <v>1098.82</v>
      </c>
      <c r="F790" s="2022">
        <v>-8947.5</v>
      </c>
      <c r="G790" s="2022">
        <f t="shared" si="24"/>
        <v>-7848.68</v>
      </c>
      <c r="I790" s="2022">
        <f>VLOOKUP(A790,'2012 - TB'!$A$3:$I$733,9,FALSE)</f>
        <v>-18166.39</v>
      </c>
      <c r="K790" s="2011">
        <f t="shared" si="25"/>
        <v>10317.709999999999</v>
      </c>
    </row>
    <row r="791" spans="1:11" x14ac:dyDescent="0.2">
      <c r="A791" t="s">
        <v>5723</v>
      </c>
      <c r="B791" t="s">
        <v>5724</v>
      </c>
      <c r="C791" s="2022">
        <v>-6058.01</v>
      </c>
      <c r="D791" s="2022">
        <v>0</v>
      </c>
      <c r="E791" s="2022">
        <v>582.38</v>
      </c>
      <c r="F791" s="2022">
        <v>-4740.1000000000004</v>
      </c>
      <c r="G791" s="2022">
        <f t="shared" si="24"/>
        <v>-4157.72</v>
      </c>
      <c r="I791" s="2022">
        <f>VLOOKUP(A791,'2012 - TB'!$A$3:$I$733,9,FALSE)</f>
        <v>-4157.72</v>
      </c>
      <c r="K791" s="2011">
        <f t="shared" si="25"/>
        <v>0</v>
      </c>
    </row>
    <row r="792" spans="1:11" x14ac:dyDescent="0.2">
      <c r="A792" t="s">
        <v>5725</v>
      </c>
      <c r="B792" t="s">
        <v>4810</v>
      </c>
      <c r="C792" s="2022">
        <v>0</v>
      </c>
      <c r="D792" s="2022">
        <v>0</v>
      </c>
      <c r="E792" s="2022">
        <v>72161.350000000006</v>
      </c>
      <c r="F792" s="2022">
        <v>-306683.77</v>
      </c>
      <c r="G792" s="2022">
        <f t="shared" si="24"/>
        <v>-234522.42</v>
      </c>
      <c r="I792" s="2022">
        <f>VLOOKUP(A792,'2012 - TB'!$A$3:$I$733,9,FALSE)</f>
        <v>-2.0000000018626451E-2</v>
      </c>
      <c r="K792" s="2011">
        <f t="shared" si="25"/>
        <v>-234522.4</v>
      </c>
    </row>
    <row r="793" spans="1:11" x14ac:dyDescent="0.2">
      <c r="A793" t="s">
        <v>5726</v>
      </c>
      <c r="B793" t="s">
        <v>4808</v>
      </c>
      <c r="C793" s="2022">
        <v>2070118.11</v>
      </c>
      <c r="D793" s="2022">
        <v>0</v>
      </c>
      <c r="E793" s="2022">
        <v>2024934.39</v>
      </c>
      <c r="F793" s="2022">
        <v>-44736.89</v>
      </c>
      <c r="G793" s="2022">
        <f t="shared" si="24"/>
        <v>1980197.5</v>
      </c>
      <c r="I793" s="2022">
        <f>VLOOKUP(A793,'2012 - TB'!$A$3:$I$733,9,FALSE)</f>
        <v>1980197.5</v>
      </c>
      <c r="K793" s="2011">
        <f t="shared" si="25"/>
        <v>0</v>
      </c>
    </row>
    <row r="794" spans="1:11" x14ac:dyDescent="0.2">
      <c r="A794" t="s">
        <v>5727</v>
      </c>
      <c r="B794" t="s">
        <v>4812</v>
      </c>
      <c r="C794" s="2022">
        <v>176663.02</v>
      </c>
      <c r="D794" s="2022">
        <v>0</v>
      </c>
      <c r="E794" s="2022">
        <v>185280.98</v>
      </c>
      <c r="F794" s="2022">
        <v>-4000</v>
      </c>
      <c r="G794" s="2022">
        <f t="shared" si="24"/>
        <v>181280.98</v>
      </c>
      <c r="I794" s="2022">
        <f>VLOOKUP(A794,'2012 - TB'!$A$3:$I$733,9,FALSE)</f>
        <v>181280.98</v>
      </c>
      <c r="K794" s="2011">
        <f t="shared" si="25"/>
        <v>0</v>
      </c>
    </row>
    <row r="795" spans="1:11" x14ac:dyDescent="0.2">
      <c r="A795" t="s">
        <v>5728</v>
      </c>
      <c r="B795" t="s">
        <v>4814</v>
      </c>
      <c r="C795" s="2022">
        <v>0</v>
      </c>
      <c r="D795" s="2022">
        <v>0</v>
      </c>
      <c r="E795" s="2022">
        <v>0</v>
      </c>
      <c r="F795" s="2022">
        <v>0</v>
      </c>
      <c r="G795" s="2022">
        <f t="shared" si="24"/>
        <v>0</v>
      </c>
      <c r="K795" s="2011">
        <f t="shared" si="25"/>
        <v>0</v>
      </c>
    </row>
    <row r="796" spans="1:11" x14ac:dyDescent="0.2">
      <c r="A796" t="s">
        <v>5729</v>
      </c>
      <c r="B796" t="s">
        <v>5666</v>
      </c>
      <c r="C796" s="2022">
        <v>8167.03</v>
      </c>
      <c r="D796" s="2022">
        <v>0</v>
      </c>
      <c r="E796" s="2022">
        <v>8167.03</v>
      </c>
      <c r="F796" s="2022">
        <v>0</v>
      </c>
      <c r="G796" s="2022">
        <f t="shared" si="24"/>
        <v>8167.03</v>
      </c>
      <c r="I796" s="2022">
        <f>VLOOKUP(A796,'2012 - TB'!$A$3:$I$733,9,FALSE)</f>
        <v>8167.03</v>
      </c>
      <c r="K796" s="2011">
        <f t="shared" si="25"/>
        <v>0</v>
      </c>
    </row>
    <row r="797" spans="1:11" x14ac:dyDescent="0.2">
      <c r="A797" t="s">
        <v>5730</v>
      </c>
      <c r="B797" t="s">
        <v>4816</v>
      </c>
      <c r="C797" s="2022">
        <v>2088</v>
      </c>
      <c r="D797" s="2022">
        <v>0</v>
      </c>
      <c r="E797" s="2022">
        <v>2088</v>
      </c>
      <c r="F797" s="2022">
        <v>0</v>
      </c>
      <c r="G797" s="2022">
        <f t="shared" si="24"/>
        <v>2088</v>
      </c>
      <c r="I797" s="2022">
        <f>VLOOKUP(A797,'2012 - TB'!$A$3:$I$733,9,FALSE)</f>
        <v>2088</v>
      </c>
      <c r="K797" s="2011">
        <f t="shared" si="25"/>
        <v>0</v>
      </c>
    </row>
    <row r="798" spans="1:11" x14ac:dyDescent="0.2">
      <c r="A798" t="s">
        <v>5731</v>
      </c>
      <c r="B798" t="s">
        <v>4818</v>
      </c>
      <c r="C798" s="2022">
        <v>165277.17000000001</v>
      </c>
      <c r="D798" s="2022">
        <v>0</v>
      </c>
      <c r="E798" s="2022">
        <v>168718.77</v>
      </c>
      <c r="F798" s="2022">
        <v>0</v>
      </c>
      <c r="G798" s="2022">
        <f t="shared" si="24"/>
        <v>168718.77</v>
      </c>
      <c r="I798" s="2022">
        <f>VLOOKUP(A798,'2012 - TB'!$A$3:$I$733,9,FALSE)</f>
        <v>168718.77</v>
      </c>
      <c r="K798" s="2011">
        <f t="shared" si="25"/>
        <v>0</v>
      </c>
    </row>
    <row r="799" spans="1:11" x14ac:dyDescent="0.2">
      <c r="A799" t="s">
        <v>5732</v>
      </c>
      <c r="B799" t="s">
        <v>4820</v>
      </c>
      <c r="C799" s="2022">
        <v>0</v>
      </c>
      <c r="D799" s="2022">
        <v>0</v>
      </c>
      <c r="E799" s="2022">
        <v>0</v>
      </c>
      <c r="F799" s="2022">
        <v>0</v>
      </c>
      <c r="G799" s="2022">
        <f t="shared" si="24"/>
        <v>0</v>
      </c>
      <c r="K799" s="2011">
        <f t="shared" si="25"/>
        <v>0</v>
      </c>
    </row>
    <row r="800" spans="1:11" x14ac:dyDescent="0.2">
      <c r="A800" t="s">
        <v>5733</v>
      </c>
      <c r="B800" t="s">
        <v>7956</v>
      </c>
      <c r="C800" s="2022">
        <v>0</v>
      </c>
      <c r="D800" s="2022">
        <v>0</v>
      </c>
      <c r="E800" s="2022">
        <v>0</v>
      </c>
      <c r="F800" s="2022">
        <v>0</v>
      </c>
      <c r="G800" s="2022">
        <f t="shared" si="24"/>
        <v>0</v>
      </c>
      <c r="K800" s="2011">
        <f t="shared" si="25"/>
        <v>0</v>
      </c>
    </row>
    <row r="801" spans="1:73" x14ac:dyDescent="0.2">
      <c r="A801" t="s">
        <v>5734</v>
      </c>
      <c r="B801" t="s">
        <v>4824</v>
      </c>
      <c r="C801" s="2022">
        <v>1664.6</v>
      </c>
      <c r="D801" s="2022">
        <v>0</v>
      </c>
      <c r="E801" s="2022">
        <v>1574.4</v>
      </c>
      <c r="F801" s="2022">
        <v>0</v>
      </c>
      <c r="G801" s="2022">
        <f t="shared" si="24"/>
        <v>1574.4</v>
      </c>
      <c r="I801" s="2022">
        <f>VLOOKUP(A801,'2012 - TB'!$A$3:$I$733,9,FALSE)</f>
        <v>1574.4</v>
      </c>
      <c r="K801" s="2011">
        <f t="shared" si="25"/>
        <v>0</v>
      </c>
    </row>
    <row r="802" spans="1:73" x14ac:dyDescent="0.2">
      <c r="A802" t="s">
        <v>5735</v>
      </c>
      <c r="B802" t="s">
        <v>4826</v>
      </c>
      <c r="C802" s="2022">
        <v>27883.34</v>
      </c>
      <c r="D802" s="2022">
        <v>0</v>
      </c>
      <c r="E802" s="2022">
        <v>23420.06</v>
      </c>
      <c r="F802" s="2022">
        <v>0</v>
      </c>
      <c r="G802" s="2022">
        <f t="shared" si="24"/>
        <v>23420.06</v>
      </c>
      <c r="I802" s="2022">
        <f>VLOOKUP(A802,'2012 - TB'!$A$3:$I$733,9,FALSE)</f>
        <v>23420.06</v>
      </c>
      <c r="K802" s="2011">
        <f t="shared" si="25"/>
        <v>0</v>
      </c>
    </row>
    <row r="803" spans="1:73" x14ac:dyDescent="0.2">
      <c r="A803" t="s">
        <v>5736</v>
      </c>
      <c r="B803" t="s">
        <v>7818</v>
      </c>
      <c r="C803" s="2022">
        <v>0</v>
      </c>
      <c r="D803" s="2022">
        <v>0</v>
      </c>
      <c r="E803" s="2022">
        <v>0</v>
      </c>
      <c r="F803" s="2022">
        <v>0</v>
      </c>
      <c r="G803" s="2022">
        <f t="shared" si="24"/>
        <v>0</v>
      </c>
      <c r="K803" s="2011">
        <f t="shared" si="25"/>
        <v>0</v>
      </c>
    </row>
    <row r="804" spans="1:73" x14ac:dyDescent="0.2">
      <c r="A804" t="s">
        <v>5737</v>
      </c>
      <c r="B804" t="s">
        <v>4829</v>
      </c>
      <c r="C804" s="2022">
        <v>81997.2</v>
      </c>
      <c r="D804" s="2022">
        <v>0</v>
      </c>
      <c r="E804" s="2022">
        <v>78663.600000000006</v>
      </c>
      <c r="F804" s="2022">
        <v>0</v>
      </c>
      <c r="G804" s="2022">
        <f t="shared" si="24"/>
        <v>78663.600000000006</v>
      </c>
      <c r="I804" s="2022">
        <f>VLOOKUP(A804,'2012 - TB'!$A$3:$I$733,9,FALSE)</f>
        <v>78663.600000000006</v>
      </c>
      <c r="K804" s="2011">
        <f t="shared" si="25"/>
        <v>0</v>
      </c>
    </row>
    <row r="805" spans="1:73" x14ac:dyDescent="0.2">
      <c r="A805" t="s">
        <v>5738</v>
      </c>
      <c r="B805" t="s">
        <v>4831</v>
      </c>
      <c r="C805" s="2022">
        <v>387237.56</v>
      </c>
      <c r="D805" s="2022">
        <v>0</v>
      </c>
      <c r="E805" s="2022">
        <v>364086.82</v>
      </c>
      <c r="F805" s="2022">
        <v>0</v>
      </c>
      <c r="G805" s="2022">
        <f t="shared" si="24"/>
        <v>364086.82</v>
      </c>
      <c r="I805" s="2022">
        <f>VLOOKUP(A805,'2012 - TB'!$A$3:$I$733,9,FALSE)</f>
        <v>364086.82</v>
      </c>
      <c r="K805" s="2011">
        <f t="shared" si="25"/>
        <v>0</v>
      </c>
    </row>
    <row r="806" spans="1:73" x14ac:dyDescent="0.2">
      <c r="A806" t="s">
        <v>5739</v>
      </c>
      <c r="B806" t="s">
        <v>4833</v>
      </c>
      <c r="C806" s="2022">
        <v>29289.96</v>
      </c>
      <c r="D806" s="2022">
        <v>0</v>
      </c>
      <c r="E806" s="2022">
        <v>23704.13</v>
      </c>
      <c r="F806" s="2022">
        <v>0</v>
      </c>
      <c r="G806" s="2022">
        <f t="shared" si="24"/>
        <v>23704.13</v>
      </c>
      <c r="I806" s="2022">
        <f>VLOOKUP(A806,'2012 - TB'!$A$3:$I$733,9,FALSE)</f>
        <v>23704.13</v>
      </c>
      <c r="K806" s="2011">
        <f t="shared" si="25"/>
        <v>0</v>
      </c>
    </row>
    <row r="807" spans="1:73" x14ac:dyDescent="0.2">
      <c r="A807" t="s">
        <v>5740</v>
      </c>
      <c r="B807" t="s">
        <v>4977</v>
      </c>
      <c r="C807" s="2022">
        <v>389410.38</v>
      </c>
      <c r="D807" s="2022">
        <v>0</v>
      </c>
      <c r="E807" s="2022">
        <v>0</v>
      </c>
      <c r="F807" s="2022">
        <v>0</v>
      </c>
      <c r="G807" s="2022">
        <f t="shared" si="24"/>
        <v>0</v>
      </c>
      <c r="I807" s="2022">
        <f>VLOOKUP(A807,'2012 - TB'!$A$3:$I$733,9,FALSE)</f>
        <v>0</v>
      </c>
      <c r="K807" s="2011">
        <f t="shared" si="25"/>
        <v>0</v>
      </c>
    </row>
    <row r="808" spans="1:73" x14ac:dyDescent="0.2">
      <c r="A808" t="s">
        <v>5741</v>
      </c>
      <c r="B808" t="s">
        <v>8015</v>
      </c>
      <c r="C808" s="2022">
        <v>0</v>
      </c>
      <c r="D808" s="2022">
        <v>0</v>
      </c>
      <c r="E808" s="2022">
        <v>0</v>
      </c>
      <c r="F808" s="2022">
        <v>0</v>
      </c>
      <c r="G808" s="2022">
        <f t="shared" si="24"/>
        <v>0</v>
      </c>
      <c r="K808" s="2011">
        <f t="shared" si="25"/>
        <v>0</v>
      </c>
    </row>
    <row r="809" spans="1:73" s="2632" customFormat="1" x14ac:dyDescent="0.2">
      <c r="A809" s="2632" t="s">
        <v>5742</v>
      </c>
      <c r="B809" s="2632" t="s">
        <v>7952</v>
      </c>
      <c r="C809" s="2728">
        <v>0</v>
      </c>
      <c r="D809" s="2728">
        <v>0</v>
      </c>
      <c r="E809" s="2728">
        <v>1693246.5</v>
      </c>
      <c r="F809" s="2728">
        <v>0</v>
      </c>
      <c r="G809" s="2728">
        <f t="shared" si="24"/>
        <v>1693246.5</v>
      </c>
      <c r="I809" s="2728"/>
      <c r="K809" s="2728">
        <f t="shared" si="25"/>
        <v>1693246.5</v>
      </c>
      <c r="L809" s="2024"/>
      <c r="M809" s="2024"/>
      <c r="N809" s="2024"/>
      <c r="O809" s="2024"/>
      <c r="P809" s="2024"/>
      <c r="Q809" s="2024"/>
      <c r="R809" s="2024"/>
      <c r="S809" s="2024"/>
      <c r="T809" s="2024"/>
      <c r="U809" s="2024"/>
      <c r="V809" s="2024"/>
      <c r="W809" s="2024"/>
      <c r="X809" s="2024"/>
      <c r="Y809" s="2024"/>
      <c r="Z809" s="2024"/>
      <c r="AA809" s="2024"/>
      <c r="AB809" s="2024"/>
      <c r="AC809" s="2024"/>
      <c r="AD809" s="2024"/>
      <c r="AE809" s="2024"/>
      <c r="AF809" s="2024"/>
      <c r="AG809" s="2024"/>
      <c r="AH809" s="2024"/>
      <c r="AI809" s="2024"/>
      <c r="AJ809" s="2024"/>
      <c r="AK809" s="2024"/>
      <c r="AL809" s="2024"/>
      <c r="AM809" s="2024"/>
      <c r="AN809" s="2024"/>
      <c r="AO809" s="2024"/>
      <c r="AP809" s="2024"/>
      <c r="AQ809" s="2024"/>
      <c r="AR809" s="2024"/>
      <c r="AS809" s="2024"/>
      <c r="AT809" s="2024"/>
      <c r="AU809" s="2024"/>
      <c r="AV809" s="2024"/>
      <c r="AW809" s="2024"/>
      <c r="AX809" s="2024"/>
      <c r="AY809" s="2024"/>
      <c r="AZ809" s="2024"/>
      <c r="BA809" s="2024"/>
      <c r="BB809" s="2024"/>
      <c r="BC809" s="2024"/>
      <c r="BD809" s="2024"/>
      <c r="BE809" s="2024"/>
      <c r="BF809" s="2024"/>
      <c r="BG809" s="2024"/>
      <c r="BH809" s="2024"/>
      <c r="BI809" s="2024"/>
      <c r="BJ809" s="2024"/>
      <c r="BK809" s="2024"/>
      <c r="BL809" s="2024"/>
      <c r="BM809" s="2024"/>
      <c r="BN809" s="2024"/>
      <c r="BO809" s="2024"/>
      <c r="BP809" s="2024"/>
      <c r="BQ809" s="2024"/>
      <c r="BR809" s="2024"/>
      <c r="BS809" s="2024"/>
      <c r="BT809" s="2024"/>
      <c r="BU809" s="2024"/>
    </row>
    <row r="810" spans="1:73" s="2215" customFormat="1" x14ac:dyDescent="0.2">
      <c r="A810" s="2215" t="s">
        <v>5743</v>
      </c>
      <c r="B810" s="2215" t="s">
        <v>7764</v>
      </c>
      <c r="C810" s="2230">
        <v>0</v>
      </c>
      <c r="D810" s="2230">
        <v>0</v>
      </c>
      <c r="E810" s="2230">
        <v>0</v>
      </c>
      <c r="F810" s="2230">
        <v>-4912.96</v>
      </c>
      <c r="G810" s="2230">
        <f t="shared" si="24"/>
        <v>-4912.96</v>
      </c>
      <c r="I810" s="2230">
        <f>VLOOKUP(A810,'2012 - TB'!$A$3:$I$733,9,FALSE)</f>
        <v>201397.04</v>
      </c>
      <c r="K810" s="2463">
        <f t="shared" si="25"/>
        <v>-206310</v>
      </c>
      <c r="L810" s="2024"/>
      <c r="M810" s="2024"/>
      <c r="N810" s="2024"/>
      <c r="O810" s="2024"/>
      <c r="P810" s="2024"/>
      <c r="Q810" s="2024"/>
      <c r="R810" s="2024"/>
      <c r="S810" s="2024"/>
      <c r="T810" s="2024"/>
      <c r="U810" s="2024"/>
      <c r="V810" s="2024"/>
      <c r="W810" s="2024"/>
      <c r="X810" s="2024"/>
      <c r="Y810" s="2024"/>
      <c r="Z810" s="2024"/>
      <c r="AA810" s="2024"/>
      <c r="AB810" s="2024"/>
      <c r="AC810" s="2024"/>
      <c r="AD810" s="2024"/>
      <c r="AE810" s="2024"/>
      <c r="AF810" s="2024"/>
      <c r="AG810" s="2024"/>
      <c r="AH810" s="2024"/>
      <c r="AI810" s="2024"/>
      <c r="AJ810" s="2024"/>
      <c r="AK810" s="2024"/>
      <c r="AL810" s="2024"/>
      <c r="AM810" s="2024"/>
      <c r="AN810" s="2024"/>
      <c r="AO810" s="2024"/>
      <c r="AP810" s="2024"/>
      <c r="AQ810" s="2024"/>
      <c r="AR810" s="2024"/>
      <c r="AS810" s="2024"/>
      <c r="AT810" s="2024"/>
      <c r="AU810" s="2024"/>
      <c r="AV810" s="2024"/>
      <c r="AW810" s="2024"/>
      <c r="AX810" s="2024"/>
      <c r="AY810" s="2024"/>
      <c r="AZ810" s="2024"/>
      <c r="BA810" s="2024"/>
      <c r="BB810" s="2024"/>
      <c r="BC810" s="2024"/>
      <c r="BD810" s="2024"/>
      <c r="BE810" s="2024"/>
      <c r="BF810" s="2024"/>
      <c r="BG810" s="2024"/>
      <c r="BH810" s="2024"/>
      <c r="BI810" s="2024"/>
      <c r="BJ810" s="2024"/>
      <c r="BK810" s="2024"/>
      <c r="BL810" s="2024"/>
      <c r="BM810" s="2024"/>
      <c r="BN810" s="2024"/>
      <c r="BO810" s="2024"/>
      <c r="BP810" s="2024"/>
      <c r="BQ810" s="2024"/>
      <c r="BR810" s="2024"/>
      <c r="BS810" s="2024"/>
      <c r="BT810" s="2024"/>
      <c r="BU810" s="2024"/>
    </row>
    <row r="811" spans="1:73" x14ac:dyDescent="0.2">
      <c r="A811" t="s">
        <v>5744</v>
      </c>
      <c r="B811" t="s">
        <v>7849</v>
      </c>
      <c r="C811" s="2022">
        <v>0</v>
      </c>
      <c r="D811" s="2022">
        <v>0</v>
      </c>
      <c r="E811" s="2022">
        <v>0</v>
      </c>
      <c r="F811" s="2022">
        <v>0</v>
      </c>
      <c r="G811" s="2022">
        <f t="shared" si="24"/>
        <v>0</v>
      </c>
      <c r="K811" s="2011">
        <f t="shared" si="25"/>
        <v>0</v>
      </c>
    </row>
    <row r="812" spans="1:73" x14ac:dyDescent="0.2">
      <c r="A812" t="s">
        <v>5745</v>
      </c>
      <c r="B812" t="s">
        <v>8020</v>
      </c>
      <c r="C812" s="2022">
        <v>0</v>
      </c>
      <c r="D812" s="2022">
        <v>0</v>
      </c>
      <c r="E812" s="2022">
        <v>0</v>
      </c>
      <c r="F812" s="2022">
        <v>0</v>
      </c>
      <c r="G812" s="2022">
        <f t="shared" si="24"/>
        <v>0</v>
      </c>
      <c r="K812" s="2011">
        <f t="shared" si="25"/>
        <v>0</v>
      </c>
    </row>
    <row r="813" spans="1:73" x14ac:dyDescent="0.2">
      <c r="A813" t="s">
        <v>5746</v>
      </c>
      <c r="B813" t="s">
        <v>7979</v>
      </c>
      <c r="C813" s="2022">
        <v>0</v>
      </c>
      <c r="D813" s="2022">
        <v>0</v>
      </c>
      <c r="E813" s="2022">
        <v>0</v>
      </c>
      <c r="F813" s="2022">
        <v>0</v>
      </c>
      <c r="G813" s="2022">
        <f t="shared" si="24"/>
        <v>0</v>
      </c>
      <c r="K813" s="2011">
        <f t="shared" si="25"/>
        <v>0</v>
      </c>
    </row>
    <row r="814" spans="1:73" x14ac:dyDescent="0.2">
      <c r="A814" t="s">
        <v>5747</v>
      </c>
      <c r="B814" t="s">
        <v>7953</v>
      </c>
      <c r="C814" s="2022">
        <v>0</v>
      </c>
      <c r="D814" s="2022">
        <v>0</v>
      </c>
      <c r="E814" s="2022">
        <v>0</v>
      </c>
      <c r="F814" s="2022">
        <v>0</v>
      </c>
      <c r="G814" s="2022">
        <f t="shared" si="24"/>
        <v>0</v>
      </c>
      <c r="K814" s="2011">
        <f t="shared" si="25"/>
        <v>0</v>
      </c>
    </row>
    <row r="815" spans="1:73" x14ac:dyDescent="0.2">
      <c r="A815" t="s">
        <v>5748</v>
      </c>
      <c r="B815" t="s">
        <v>4867</v>
      </c>
      <c r="C815" s="2022">
        <v>10722</v>
      </c>
      <c r="D815" s="2022">
        <v>0</v>
      </c>
      <c r="E815" s="2022">
        <v>10722</v>
      </c>
      <c r="F815" s="2022">
        <v>0</v>
      </c>
      <c r="G815" s="2022">
        <f t="shared" si="24"/>
        <v>10722</v>
      </c>
      <c r="I815" s="2022">
        <f>VLOOKUP(A815,'2012 - TB'!$A$3:$I$733,9,FALSE)</f>
        <v>10722</v>
      </c>
      <c r="K815" s="2011">
        <f t="shared" si="25"/>
        <v>0</v>
      </c>
    </row>
    <row r="816" spans="1:73" x14ac:dyDescent="0.2">
      <c r="A816" t="s">
        <v>5749</v>
      </c>
      <c r="B816" t="s">
        <v>4869</v>
      </c>
      <c r="C816" s="2022">
        <v>0</v>
      </c>
      <c r="D816" s="2022">
        <v>0</v>
      </c>
      <c r="E816" s="2022">
        <v>0</v>
      </c>
      <c r="F816" s="2022">
        <v>0</v>
      </c>
      <c r="G816" s="2022">
        <f t="shared" si="24"/>
        <v>0</v>
      </c>
      <c r="K816" s="2011">
        <f t="shared" si="25"/>
        <v>0</v>
      </c>
    </row>
    <row r="817" spans="1:11" x14ac:dyDescent="0.2">
      <c r="A817" t="s">
        <v>5750</v>
      </c>
      <c r="B817" t="s">
        <v>4873</v>
      </c>
      <c r="C817" s="2022">
        <v>15000</v>
      </c>
      <c r="D817" s="2022">
        <v>0</v>
      </c>
      <c r="E817" s="2022">
        <v>6634.41</v>
      </c>
      <c r="F817" s="2022">
        <v>-6634.41</v>
      </c>
      <c r="G817" s="2022">
        <f t="shared" si="24"/>
        <v>0</v>
      </c>
      <c r="I817" s="2022">
        <f>VLOOKUP(A817,'2012 - TB'!$A$3:$I$733,9,FALSE)</f>
        <v>0</v>
      </c>
      <c r="K817" s="2011">
        <f t="shared" si="25"/>
        <v>0</v>
      </c>
    </row>
    <row r="818" spans="1:11" x14ac:dyDescent="0.2">
      <c r="A818" t="s">
        <v>5751</v>
      </c>
      <c r="B818" t="s">
        <v>7824</v>
      </c>
      <c r="C818" s="2022">
        <v>0</v>
      </c>
      <c r="D818" s="2022">
        <v>0</v>
      </c>
      <c r="E818" s="2022">
        <v>0</v>
      </c>
      <c r="F818" s="2022">
        <v>0</v>
      </c>
      <c r="G818" s="2022">
        <f t="shared" si="24"/>
        <v>0</v>
      </c>
      <c r="K818" s="2011">
        <f t="shared" si="25"/>
        <v>0</v>
      </c>
    </row>
    <row r="819" spans="1:11" x14ac:dyDescent="0.2">
      <c r="A819" t="s">
        <v>5752</v>
      </c>
      <c r="B819" t="s">
        <v>4879</v>
      </c>
      <c r="C819" s="2022">
        <v>10000</v>
      </c>
      <c r="D819" s="2022">
        <v>0</v>
      </c>
      <c r="E819" s="2022">
        <v>13067.5</v>
      </c>
      <c r="F819" s="2022">
        <v>0</v>
      </c>
      <c r="G819" s="2022">
        <f t="shared" si="24"/>
        <v>13067.5</v>
      </c>
      <c r="I819" s="2022">
        <f>VLOOKUP(A819,'2012 - TB'!$A$3:$I$733,9,FALSE)</f>
        <v>13067.5</v>
      </c>
      <c r="K819" s="2011">
        <f t="shared" si="25"/>
        <v>0</v>
      </c>
    </row>
    <row r="820" spans="1:11" x14ac:dyDescent="0.2">
      <c r="A820" t="s">
        <v>5753</v>
      </c>
      <c r="B820" t="s">
        <v>5285</v>
      </c>
      <c r="C820" s="2022">
        <v>2500</v>
      </c>
      <c r="D820" s="2022">
        <v>0</v>
      </c>
      <c r="E820" s="2022">
        <v>1408.82</v>
      </c>
      <c r="F820" s="2022">
        <v>0</v>
      </c>
      <c r="G820" s="2022">
        <f t="shared" si="24"/>
        <v>1408.82</v>
      </c>
      <c r="I820" s="2022">
        <f>VLOOKUP(A820,'2012 - TB'!$A$3:$I$733,9,FALSE)</f>
        <v>1408.82</v>
      </c>
      <c r="K820" s="2011">
        <f t="shared" si="25"/>
        <v>0</v>
      </c>
    </row>
    <row r="821" spans="1:11" x14ac:dyDescent="0.2">
      <c r="A821" t="s">
        <v>5754</v>
      </c>
      <c r="B821" t="s">
        <v>4881</v>
      </c>
      <c r="C821" s="2022">
        <v>5902.83</v>
      </c>
      <c r="D821" s="2022">
        <v>0</v>
      </c>
      <c r="E821" s="2022">
        <v>5902.83</v>
      </c>
      <c r="F821" s="2022">
        <v>0</v>
      </c>
      <c r="G821" s="2022">
        <f t="shared" si="24"/>
        <v>5902.83</v>
      </c>
      <c r="I821" s="2022">
        <f>VLOOKUP(A821,'2012 - TB'!$A$3:$I$733,9,FALSE)</f>
        <v>5902.83</v>
      </c>
      <c r="K821" s="2011">
        <f t="shared" si="25"/>
        <v>0</v>
      </c>
    </row>
    <row r="822" spans="1:11" x14ac:dyDescent="0.2">
      <c r="A822" t="s">
        <v>5755</v>
      </c>
      <c r="B822" t="s">
        <v>4883</v>
      </c>
      <c r="C822" s="2022">
        <v>150000</v>
      </c>
      <c r="D822" s="2022">
        <v>0</v>
      </c>
      <c r="E822" s="2022">
        <v>113249.21</v>
      </c>
      <c r="F822" s="2022">
        <v>0</v>
      </c>
      <c r="G822" s="2022">
        <f t="shared" si="24"/>
        <v>113249.21</v>
      </c>
      <c r="I822" s="2022">
        <f>VLOOKUP(A822,'2012 - TB'!$A$3:$I$733,9,FALSE)</f>
        <v>113249.21</v>
      </c>
      <c r="K822" s="2011">
        <f t="shared" si="25"/>
        <v>0</v>
      </c>
    </row>
    <row r="823" spans="1:11" x14ac:dyDescent="0.2">
      <c r="A823" t="s">
        <v>5756</v>
      </c>
      <c r="B823" t="s">
        <v>7826</v>
      </c>
      <c r="C823" s="2022">
        <v>0</v>
      </c>
      <c r="D823" s="2022">
        <v>0</v>
      </c>
      <c r="E823" s="2022">
        <v>0</v>
      </c>
      <c r="F823" s="2022">
        <v>0</v>
      </c>
      <c r="G823" s="2022">
        <f t="shared" si="24"/>
        <v>0</v>
      </c>
      <c r="K823" s="2011">
        <f t="shared" si="25"/>
        <v>0</v>
      </c>
    </row>
    <row r="824" spans="1:11" x14ac:dyDescent="0.2">
      <c r="A824" t="s">
        <v>5757</v>
      </c>
      <c r="B824" t="s">
        <v>4889</v>
      </c>
      <c r="C824" s="2022">
        <v>17477.830000000002</v>
      </c>
      <c r="D824" s="2022">
        <v>0</v>
      </c>
      <c r="E824" s="2022">
        <v>9111.41</v>
      </c>
      <c r="F824" s="2022">
        <v>0</v>
      </c>
      <c r="G824" s="2022">
        <f t="shared" si="24"/>
        <v>9111.41</v>
      </c>
      <c r="I824" s="2022">
        <f>VLOOKUP(A824,'2012 - TB'!$A$3:$I$733,9,FALSE)</f>
        <v>9111.41</v>
      </c>
      <c r="K824" s="2011">
        <f t="shared" si="25"/>
        <v>0</v>
      </c>
    </row>
    <row r="825" spans="1:11" x14ac:dyDescent="0.2">
      <c r="A825" t="s">
        <v>5758</v>
      </c>
      <c r="B825" t="s">
        <v>4891</v>
      </c>
      <c r="C825" s="2022">
        <v>0</v>
      </c>
      <c r="D825" s="2022">
        <v>0</v>
      </c>
      <c r="E825" s="2022">
        <v>0</v>
      </c>
      <c r="F825" s="2022">
        <v>0</v>
      </c>
      <c r="G825" s="2022">
        <f t="shared" si="24"/>
        <v>0</v>
      </c>
      <c r="K825" s="2011">
        <f t="shared" si="25"/>
        <v>0</v>
      </c>
    </row>
    <row r="826" spans="1:11" x14ac:dyDescent="0.2">
      <c r="A826" t="s">
        <v>5759</v>
      </c>
      <c r="B826" t="s">
        <v>5411</v>
      </c>
      <c r="C826" s="2022">
        <v>0</v>
      </c>
      <c r="D826" s="2022">
        <v>0</v>
      </c>
      <c r="E826" s="2022">
        <v>0</v>
      </c>
      <c r="F826" s="2022">
        <v>0</v>
      </c>
      <c r="G826" s="2022">
        <f t="shared" si="24"/>
        <v>0</v>
      </c>
      <c r="K826" s="2011">
        <f t="shared" si="25"/>
        <v>0</v>
      </c>
    </row>
    <row r="827" spans="1:11" x14ac:dyDescent="0.2">
      <c r="A827" t="s">
        <v>5760</v>
      </c>
      <c r="B827" t="s">
        <v>5048</v>
      </c>
      <c r="C827" s="2022">
        <v>0</v>
      </c>
      <c r="D827" s="2022">
        <v>0</v>
      </c>
      <c r="E827" s="2022">
        <v>0</v>
      </c>
      <c r="F827" s="2022">
        <v>0</v>
      </c>
      <c r="G827" s="2022">
        <f t="shared" si="24"/>
        <v>0</v>
      </c>
      <c r="K827" s="2011">
        <f t="shared" si="25"/>
        <v>0</v>
      </c>
    </row>
    <row r="828" spans="1:11" x14ac:dyDescent="0.2">
      <c r="A828" t="s">
        <v>5761</v>
      </c>
      <c r="B828" t="s">
        <v>5169</v>
      </c>
      <c r="C828" s="2022">
        <v>35000</v>
      </c>
      <c r="D828" s="2022">
        <v>0</v>
      </c>
      <c r="E828" s="2022">
        <v>1500</v>
      </c>
      <c r="F828" s="2022">
        <v>0</v>
      </c>
      <c r="G828" s="2022">
        <f t="shared" si="24"/>
        <v>1500</v>
      </c>
      <c r="I828" s="2022">
        <f>VLOOKUP(A828,'2012 - TB'!$A$3:$I$733,9,FALSE)</f>
        <v>1500</v>
      </c>
      <c r="K828" s="2011">
        <f t="shared" si="25"/>
        <v>0</v>
      </c>
    </row>
    <row r="829" spans="1:11" x14ac:dyDescent="0.2">
      <c r="A829" t="s">
        <v>5762</v>
      </c>
      <c r="B829" t="s">
        <v>4895</v>
      </c>
      <c r="C829" s="2022">
        <v>150000</v>
      </c>
      <c r="D829" s="2022">
        <v>0</v>
      </c>
      <c r="E829" s="2022">
        <v>163602.32</v>
      </c>
      <c r="F829" s="2022">
        <v>0</v>
      </c>
      <c r="G829" s="2022">
        <f t="shared" si="24"/>
        <v>163602.32</v>
      </c>
      <c r="I829" s="2022">
        <f>VLOOKUP(A829,'2012 - TB'!$A$3:$I$733,9,FALSE)</f>
        <v>163602.32</v>
      </c>
      <c r="K829" s="2011">
        <f t="shared" si="25"/>
        <v>0</v>
      </c>
    </row>
    <row r="830" spans="1:11" x14ac:dyDescent="0.2">
      <c r="A830" t="s">
        <v>5763</v>
      </c>
      <c r="B830" t="s">
        <v>8021</v>
      </c>
      <c r="C830" s="2022">
        <v>0</v>
      </c>
      <c r="D830" s="2022">
        <v>0</v>
      </c>
      <c r="E830" s="2022">
        <v>0</v>
      </c>
      <c r="F830" s="2022">
        <v>0</v>
      </c>
      <c r="G830" s="2022">
        <f t="shared" si="24"/>
        <v>0</v>
      </c>
      <c r="K830" s="2011">
        <f t="shared" si="25"/>
        <v>0</v>
      </c>
    </row>
    <row r="831" spans="1:11" x14ac:dyDescent="0.2">
      <c r="A831" t="s">
        <v>5764</v>
      </c>
      <c r="B831" t="s">
        <v>5185</v>
      </c>
      <c r="C831" s="2022">
        <v>24831.08</v>
      </c>
      <c r="D831" s="2022">
        <v>0</v>
      </c>
      <c r="E831" s="2022">
        <v>491.4</v>
      </c>
      <c r="F831" s="2022">
        <v>0</v>
      </c>
      <c r="G831" s="2022">
        <f t="shared" si="24"/>
        <v>491.4</v>
      </c>
      <c r="I831" s="2022">
        <f>VLOOKUP(A831,'2012 - TB'!$A$3:$I$733,9,FALSE)</f>
        <v>491.4</v>
      </c>
      <c r="K831" s="2011">
        <f t="shared" si="25"/>
        <v>0</v>
      </c>
    </row>
    <row r="832" spans="1:11" x14ac:dyDescent="0.2">
      <c r="A832" t="s">
        <v>5765</v>
      </c>
      <c r="B832" t="s">
        <v>8019</v>
      </c>
      <c r="C832" s="2022">
        <v>0</v>
      </c>
      <c r="D832" s="2022">
        <v>0</v>
      </c>
      <c r="E832" s="2022">
        <v>0</v>
      </c>
      <c r="F832" s="2022">
        <v>0</v>
      </c>
      <c r="G832" s="2022">
        <f t="shared" si="24"/>
        <v>0</v>
      </c>
      <c r="K832" s="2011">
        <f t="shared" si="25"/>
        <v>0</v>
      </c>
    </row>
    <row r="833" spans="1:11" x14ac:dyDescent="0.2">
      <c r="A833" t="s">
        <v>5766</v>
      </c>
      <c r="B833" t="s">
        <v>4897</v>
      </c>
      <c r="C833" s="2022">
        <v>76930.649999999994</v>
      </c>
      <c r="D833" s="2022">
        <v>0</v>
      </c>
      <c r="E833" s="2022">
        <v>24106.94</v>
      </c>
      <c r="F833" s="2022">
        <v>0</v>
      </c>
      <c r="G833" s="2022">
        <f t="shared" si="24"/>
        <v>24106.94</v>
      </c>
      <c r="I833" s="2022">
        <f>VLOOKUP(A833,'2012 - TB'!$A$3:$I$733,9,FALSE)</f>
        <v>24106.94</v>
      </c>
      <c r="K833" s="2011">
        <f t="shared" si="25"/>
        <v>0</v>
      </c>
    </row>
    <row r="834" spans="1:11" x14ac:dyDescent="0.2">
      <c r="A834" t="s">
        <v>5767</v>
      </c>
      <c r="B834" t="s">
        <v>4899</v>
      </c>
      <c r="C834" s="2022">
        <v>21981.14</v>
      </c>
      <c r="D834" s="2022">
        <v>0</v>
      </c>
      <c r="E834" s="2022">
        <v>2082.21</v>
      </c>
      <c r="F834" s="2022">
        <v>0</v>
      </c>
      <c r="G834" s="2022">
        <f t="shared" ref="G834:G897" si="26">SUM(D834:F834)</f>
        <v>2082.21</v>
      </c>
      <c r="I834" s="2022">
        <f>VLOOKUP(A834,'2012 - TB'!$A$3:$I$733,9,FALSE)</f>
        <v>2082.21</v>
      </c>
      <c r="K834" s="2011">
        <f t="shared" ref="K834:K897" si="27">G834-I834</f>
        <v>0</v>
      </c>
    </row>
    <row r="835" spans="1:11" x14ac:dyDescent="0.2">
      <c r="A835" t="s">
        <v>5768</v>
      </c>
      <c r="B835" t="s">
        <v>5769</v>
      </c>
      <c r="C835" s="2022">
        <v>-694560.48</v>
      </c>
      <c r="D835" s="2022">
        <v>0</v>
      </c>
      <c r="E835" s="2022">
        <v>399181.37</v>
      </c>
      <c r="F835" s="2022">
        <v>-4621024.53</v>
      </c>
      <c r="G835" s="2022">
        <f t="shared" si="26"/>
        <v>-4221843.16</v>
      </c>
      <c r="I835" s="2022">
        <f>VLOOKUP(A835,'2012 - TB'!$A$3:$I$733,9,FALSE)</f>
        <v>-4221847.9099999992</v>
      </c>
      <c r="K835" s="2011">
        <f t="shared" si="27"/>
        <v>4.7499999990686774</v>
      </c>
    </row>
    <row r="836" spans="1:11" x14ac:dyDescent="0.2">
      <c r="A836" t="s">
        <v>5770</v>
      </c>
      <c r="B836" t="s">
        <v>4901</v>
      </c>
      <c r="C836" s="2022">
        <v>-3165581.42</v>
      </c>
      <c r="D836" s="2022">
        <v>0</v>
      </c>
      <c r="E836" s="2022">
        <v>0</v>
      </c>
      <c r="F836" s="2022">
        <v>0</v>
      </c>
      <c r="G836" s="2022">
        <f t="shared" si="26"/>
        <v>0</v>
      </c>
      <c r="I836" s="2022">
        <f>VLOOKUP(A836,'2012 - TB'!$A$3:$I$733,9,FALSE)</f>
        <v>0</v>
      </c>
      <c r="K836" s="2011">
        <f t="shared" si="27"/>
        <v>0</v>
      </c>
    </row>
    <row r="837" spans="1:11" x14ac:dyDescent="0.2">
      <c r="A837" t="s">
        <v>5771</v>
      </c>
      <c r="B837" t="s">
        <v>4808</v>
      </c>
      <c r="C837" s="2022">
        <v>1468457.08</v>
      </c>
      <c r="D837" s="2022">
        <v>0</v>
      </c>
      <c r="E837" s="2022">
        <v>1552645.13</v>
      </c>
      <c r="F837" s="2022">
        <v>-33926.769999999997</v>
      </c>
      <c r="G837" s="2022">
        <f t="shared" si="26"/>
        <v>1518718.3599999999</v>
      </c>
      <c r="I837" s="2022">
        <f>VLOOKUP(A837,'2012 - TB'!$A$3:$I$733,9,FALSE)</f>
        <v>1518718.3599999999</v>
      </c>
      <c r="K837" s="2011">
        <f t="shared" si="27"/>
        <v>0</v>
      </c>
    </row>
    <row r="838" spans="1:11" x14ac:dyDescent="0.2">
      <c r="A838" t="s">
        <v>5772</v>
      </c>
      <c r="B838" t="s">
        <v>4812</v>
      </c>
      <c r="C838" s="2022">
        <v>119995.23</v>
      </c>
      <c r="D838" s="2022">
        <v>0</v>
      </c>
      <c r="E838" s="2022">
        <v>144210.39000000001</v>
      </c>
      <c r="F838" s="2022">
        <v>0</v>
      </c>
      <c r="G838" s="2022">
        <f t="shared" si="26"/>
        <v>144210.39000000001</v>
      </c>
      <c r="I838" s="2022">
        <f>VLOOKUP(A838,'2012 - TB'!$A$3:$I$733,9,FALSE)</f>
        <v>144210.39000000001</v>
      </c>
      <c r="K838" s="2011">
        <f t="shared" si="27"/>
        <v>0</v>
      </c>
    </row>
    <row r="839" spans="1:11" x14ac:dyDescent="0.2">
      <c r="A839" t="s">
        <v>5773</v>
      </c>
      <c r="B839" t="s">
        <v>4814</v>
      </c>
      <c r="C839" s="2022">
        <v>0</v>
      </c>
      <c r="D839" s="2022">
        <v>0</v>
      </c>
      <c r="E839" s="2022">
        <v>0</v>
      </c>
      <c r="F839" s="2022">
        <v>0</v>
      </c>
      <c r="G839" s="2022">
        <f t="shared" si="26"/>
        <v>0</v>
      </c>
      <c r="K839" s="2011">
        <f t="shared" si="27"/>
        <v>0</v>
      </c>
    </row>
    <row r="840" spans="1:11" x14ac:dyDescent="0.2">
      <c r="A840" t="s">
        <v>5774</v>
      </c>
      <c r="B840" t="s">
        <v>5666</v>
      </c>
      <c r="C840" s="2022">
        <v>3987.46</v>
      </c>
      <c r="D840" s="2022">
        <v>0</v>
      </c>
      <c r="E840" s="2022">
        <v>3987.46</v>
      </c>
      <c r="F840" s="2022">
        <v>0</v>
      </c>
      <c r="G840" s="2022">
        <f t="shared" si="26"/>
        <v>3987.46</v>
      </c>
      <c r="I840" s="2022">
        <f>VLOOKUP(A840,'2012 - TB'!$A$3:$I$733,9,FALSE)</f>
        <v>3987.46</v>
      </c>
      <c r="K840" s="2011">
        <f t="shared" si="27"/>
        <v>0</v>
      </c>
    </row>
    <row r="841" spans="1:11" x14ac:dyDescent="0.2">
      <c r="A841" t="s">
        <v>5775</v>
      </c>
      <c r="B841" t="s">
        <v>4816</v>
      </c>
      <c r="C841" s="2022">
        <v>6264</v>
      </c>
      <c r="D841" s="2022">
        <v>0</v>
      </c>
      <c r="E841" s="2022">
        <v>6264</v>
      </c>
      <c r="F841" s="2022">
        <v>0</v>
      </c>
      <c r="G841" s="2022">
        <f t="shared" si="26"/>
        <v>6264</v>
      </c>
      <c r="I841" s="2022">
        <f>VLOOKUP(A841,'2012 - TB'!$A$3:$I$733,9,FALSE)</f>
        <v>6264</v>
      </c>
      <c r="K841" s="2011">
        <f t="shared" si="27"/>
        <v>0</v>
      </c>
    </row>
    <row r="842" spans="1:11" x14ac:dyDescent="0.2">
      <c r="A842" t="s">
        <v>5776</v>
      </c>
      <c r="B842" t="s">
        <v>4818</v>
      </c>
      <c r="C842" s="2022">
        <v>61844.45</v>
      </c>
      <c r="D842" s="2022">
        <v>0</v>
      </c>
      <c r="E842" s="2022">
        <v>65694.45</v>
      </c>
      <c r="F842" s="2022">
        <v>0</v>
      </c>
      <c r="G842" s="2022">
        <f t="shared" si="26"/>
        <v>65694.45</v>
      </c>
      <c r="I842" s="2022">
        <f>VLOOKUP(A842,'2012 - TB'!$A$3:$I$733,9,FALSE)</f>
        <v>65694.45</v>
      </c>
      <c r="K842" s="2011">
        <f t="shared" si="27"/>
        <v>0</v>
      </c>
    </row>
    <row r="843" spans="1:11" x14ac:dyDescent="0.2">
      <c r="A843" t="s">
        <v>5777</v>
      </c>
      <c r="B843" t="s">
        <v>4820</v>
      </c>
      <c r="C843" s="2022">
        <v>0</v>
      </c>
      <c r="D843" s="2022">
        <v>0</v>
      </c>
      <c r="E843" s="2022">
        <v>0</v>
      </c>
      <c r="F843" s="2022">
        <v>0</v>
      </c>
      <c r="G843" s="2022">
        <f t="shared" si="26"/>
        <v>0</v>
      </c>
      <c r="K843" s="2011">
        <f t="shared" si="27"/>
        <v>0</v>
      </c>
    </row>
    <row r="844" spans="1:11" x14ac:dyDescent="0.2">
      <c r="A844" t="s">
        <v>5778</v>
      </c>
      <c r="B844" t="s">
        <v>4822</v>
      </c>
      <c r="C844" s="2022">
        <v>18335.310000000001</v>
      </c>
      <c r="D844" s="2022">
        <v>0</v>
      </c>
      <c r="E844" s="2022">
        <v>18335.310000000001</v>
      </c>
      <c r="F844" s="2022">
        <v>0</v>
      </c>
      <c r="G844" s="2022">
        <f t="shared" si="26"/>
        <v>18335.310000000001</v>
      </c>
      <c r="I844" s="2022">
        <f>VLOOKUP(A844,'2012 - TB'!$A$3:$I$733,9,FALSE)</f>
        <v>18335.310000000001</v>
      </c>
      <c r="K844" s="2011">
        <f t="shared" si="27"/>
        <v>0</v>
      </c>
    </row>
    <row r="845" spans="1:11" x14ac:dyDescent="0.2">
      <c r="A845" t="s">
        <v>5779</v>
      </c>
      <c r="B845" t="s">
        <v>4824</v>
      </c>
      <c r="C845" s="2022">
        <v>984</v>
      </c>
      <c r="D845" s="2022">
        <v>0</v>
      </c>
      <c r="E845" s="2022">
        <v>1041.4000000000001</v>
      </c>
      <c r="F845" s="2022">
        <v>0</v>
      </c>
      <c r="G845" s="2022">
        <f t="shared" si="26"/>
        <v>1041.4000000000001</v>
      </c>
      <c r="I845" s="2022">
        <f>VLOOKUP(A845,'2012 - TB'!$A$3:$I$733,9,FALSE)</f>
        <v>1041.4000000000001</v>
      </c>
      <c r="K845" s="2011">
        <f t="shared" si="27"/>
        <v>0</v>
      </c>
    </row>
    <row r="846" spans="1:11" x14ac:dyDescent="0.2">
      <c r="A846" t="s">
        <v>5780</v>
      </c>
      <c r="B846" t="s">
        <v>4826</v>
      </c>
      <c r="C846" s="2022">
        <v>19030.849999999999</v>
      </c>
      <c r="D846" s="2022">
        <v>0</v>
      </c>
      <c r="E846" s="2022">
        <v>17323.61</v>
      </c>
      <c r="F846" s="2022">
        <v>0</v>
      </c>
      <c r="G846" s="2022">
        <f t="shared" si="26"/>
        <v>17323.61</v>
      </c>
      <c r="I846" s="2022">
        <f>VLOOKUP(A846,'2012 - TB'!$A$3:$I$733,9,FALSE)</f>
        <v>17323.61</v>
      </c>
      <c r="K846" s="2011">
        <f t="shared" si="27"/>
        <v>0</v>
      </c>
    </row>
    <row r="847" spans="1:11" x14ac:dyDescent="0.2">
      <c r="A847" t="s">
        <v>5781</v>
      </c>
      <c r="B847" t="s">
        <v>7818</v>
      </c>
      <c r="C847" s="2022">
        <v>0</v>
      </c>
      <c r="D847" s="2022">
        <v>0</v>
      </c>
      <c r="E847" s="2022">
        <v>0</v>
      </c>
      <c r="F847" s="2022">
        <v>0</v>
      </c>
      <c r="G847" s="2022">
        <f t="shared" si="26"/>
        <v>0</v>
      </c>
      <c r="K847" s="2011">
        <f t="shared" si="27"/>
        <v>0</v>
      </c>
    </row>
    <row r="848" spans="1:11" x14ac:dyDescent="0.2">
      <c r="A848" t="s">
        <v>5782</v>
      </c>
      <c r="B848" t="s">
        <v>4829</v>
      </c>
      <c r="C848" s="2022">
        <v>108914.4</v>
      </c>
      <c r="D848" s="2022">
        <v>0</v>
      </c>
      <c r="E848" s="2022">
        <v>120798.6</v>
      </c>
      <c r="F848" s="2022">
        <v>0</v>
      </c>
      <c r="G848" s="2022">
        <f t="shared" si="26"/>
        <v>120798.6</v>
      </c>
      <c r="I848" s="2022">
        <f>VLOOKUP(A848,'2012 - TB'!$A$3:$I$733,9,FALSE)</f>
        <v>120798.6</v>
      </c>
      <c r="K848" s="2011">
        <f t="shared" si="27"/>
        <v>0</v>
      </c>
    </row>
    <row r="849" spans="1:11" x14ac:dyDescent="0.2">
      <c r="A849" t="s">
        <v>5783</v>
      </c>
      <c r="B849" t="s">
        <v>4831</v>
      </c>
      <c r="C849" s="2022">
        <v>255549.37</v>
      </c>
      <c r="D849" s="2022">
        <v>0</v>
      </c>
      <c r="E849" s="2022">
        <v>263606.76</v>
      </c>
      <c r="F849" s="2022">
        <v>0</v>
      </c>
      <c r="G849" s="2022">
        <f t="shared" si="26"/>
        <v>263606.76</v>
      </c>
      <c r="I849" s="2022">
        <f>VLOOKUP(A849,'2012 - TB'!$A$3:$I$733,9,FALSE)</f>
        <v>263606.76</v>
      </c>
      <c r="K849" s="2011">
        <f t="shared" si="27"/>
        <v>0</v>
      </c>
    </row>
    <row r="850" spans="1:11" x14ac:dyDescent="0.2">
      <c r="A850" t="s">
        <v>5784</v>
      </c>
      <c r="B850" t="s">
        <v>4833</v>
      </c>
      <c r="C850" s="2022">
        <v>20206.080000000002</v>
      </c>
      <c r="D850" s="2022">
        <v>0</v>
      </c>
      <c r="E850" s="2022">
        <v>17204.27</v>
      </c>
      <c r="F850" s="2022">
        <v>0</v>
      </c>
      <c r="G850" s="2022">
        <f t="shared" si="26"/>
        <v>17204.27</v>
      </c>
      <c r="I850" s="2022">
        <f>VLOOKUP(A850,'2012 - TB'!$A$3:$I$733,9,FALSE)</f>
        <v>17204.27</v>
      </c>
      <c r="K850" s="2011">
        <f t="shared" si="27"/>
        <v>0</v>
      </c>
    </row>
    <row r="851" spans="1:11" x14ac:dyDescent="0.2">
      <c r="A851" t="s">
        <v>5785</v>
      </c>
      <c r="B851" t="s">
        <v>8015</v>
      </c>
      <c r="C851" s="2022">
        <v>0</v>
      </c>
      <c r="D851" s="2022">
        <v>0</v>
      </c>
      <c r="E851" s="2022">
        <v>0</v>
      </c>
      <c r="F851" s="2022">
        <v>0</v>
      </c>
      <c r="G851" s="2022">
        <f t="shared" si="26"/>
        <v>0</v>
      </c>
      <c r="K851" s="2011">
        <f t="shared" si="27"/>
        <v>0</v>
      </c>
    </row>
    <row r="852" spans="1:11" x14ac:dyDescent="0.2">
      <c r="A852" t="s">
        <v>5786</v>
      </c>
      <c r="B852" t="s">
        <v>8022</v>
      </c>
      <c r="C852" s="2022">
        <v>0</v>
      </c>
      <c r="D852" s="2022">
        <v>0</v>
      </c>
      <c r="E852" s="2022">
        <v>0</v>
      </c>
      <c r="F852" s="2022">
        <v>0</v>
      </c>
      <c r="G852" s="2022">
        <f t="shared" si="26"/>
        <v>0</v>
      </c>
      <c r="K852" s="2011">
        <f t="shared" si="27"/>
        <v>0</v>
      </c>
    </row>
    <row r="853" spans="1:11" x14ac:dyDescent="0.2">
      <c r="A853" t="s">
        <v>5787</v>
      </c>
      <c r="B853" t="s">
        <v>7952</v>
      </c>
      <c r="C853" s="2022">
        <v>0</v>
      </c>
      <c r="D853" s="2022">
        <v>0</v>
      </c>
      <c r="E853" s="2022">
        <v>0</v>
      </c>
      <c r="F853" s="2022">
        <v>0</v>
      </c>
      <c r="G853" s="2022">
        <f t="shared" si="26"/>
        <v>0</v>
      </c>
      <c r="K853" s="2011">
        <f t="shared" si="27"/>
        <v>0</v>
      </c>
    </row>
    <row r="854" spans="1:11" x14ac:dyDescent="0.2">
      <c r="A854" t="s">
        <v>5788</v>
      </c>
      <c r="B854" t="s">
        <v>5683</v>
      </c>
      <c r="C854" s="2022">
        <v>8106389.4299999997</v>
      </c>
      <c r="D854" s="2022">
        <v>0</v>
      </c>
      <c r="E854" s="2022">
        <v>0</v>
      </c>
      <c r="F854" s="2022">
        <v>0</v>
      </c>
      <c r="G854" s="2022">
        <f t="shared" si="26"/>
        <v>0</v>
      </c>
      <c r="I854" s="2022">
        <f>VLOOKUP(A854,'2012 - TB'!$A$3:$I$733,9,FALSE)</f>
        <v>0</v>
      </c>
      <c r="K854" s="2011">
        <f t="shared" si="27"/>
        <v>0</v>
      </c>
    </row>
    <row r="855" spans="1:11" x14ac:dyDescent="0.2">
      <c r="A855" t="s">
        <v>5789</v>
      </c>
      <c r="B855" t="s">
        <v>5790</v>
      </c>
      <c r="C855" s="2022">
        <v>536000</v>
      </c>
      <c r="D855" s="2022">
        <v>0</v>
      </c>
      <c r="E855" s="2022">
        <v>0</v>
      </c>
      <c r="F855" s="2022">
        <v>0</v>
      </c>
      <c r="G855" s="2022">
        <f t="shared" si="26"/>
        <v>0</v>
      </c>
      <c r="I855" s="2022">
        <f>VLOOKUP(A855,'2012 - TB'!$A$3:$I$733,9,FALSE)</f>
        <v>0</v>
      </c>
      <c r="K855" s="2011">
        <f t="shared" si="27"/>
        <v>0</v>
      </c>
    </row>
    <row r="856" spans="1:11" x14ac:dyDescent="0.2">
      <c r="A856" t="s">
        <v>5791</v>
      </c>
      <c r="B856" t="s">
        <v>5792</v>
      </c>
      <c r="C856" s="2022">
        <v>4200000</v>
      </c>
      <c r="D856" s="2022">
        <v>0</v>
      </c>
      <c r="E856" s="2022">
        <v>0</v>
      </c>
      <c r="F856" s="2022">
        <v>0</v>
      </c>
      <c r="G856" s="2022">
        <f t="shared" si="26"/>
        <v>0</v>
      </c>
      <c r="I856" s="2022">
        <f>VLOOKUP(A856,'2012 - TB'!$A$3:$I$733,9,FALSE)</f>
        <v>0</v>
      </c>
      <c r="K856" s="2011">
        <f t="shared" si="27"/>
        <v>0</v>
      </c>
    </row>
    <row r="857" spans="1:11" x14ac:dyDescent="0.2">
      <c r="A857" t="s">
        <v>5793</v>
      </c>
      <c r="B857" t="s">
        <v>7885</v>
      </c>
      <c r="C857" s="2022">
        <v>0</v>
      </c>
      <c r="D857" s="2022">
        <v>0</v>
      </c>
      <c r="E857" s="2022">
        <v>0</v>
      </c>
      <c r="F857" s="2022">
        <v>0</v>
      </c>
      <c r="G857" s="2022">
        <f t="shared" si="26"/>
        <v>0</v>
      </c>
      <c r="K857" s="2011">
        <f t="shared" si="27"/>
        <v>0</v>
      </c>
    </row>
    <row r="858" spans="1:11" x14ac:dyDescent="0.2">
      <c r="A858" t="s">
        <v>5794</v>
      </c>
      <c r="B858" t="s">
        <v>4853</v>
      </c>
      <c r="C858" s="2022">
        <v>0</v>
      </c>
      <c r="D858" s="2022">
        <v>0</v>
      </c>
      <c r="E858" s="2022">
        <v>0</v>
      </c>
      <c r="F858" s="2022">
        <v>0</v>
      </c>
      <c r="G858" s="2022">
        <f t="shared" si="26"/>
        <v>0</v>
      </c>
      <c r="K858" s="2011">
        <f t="shared" si="27"/>
        <v>0</v>
      </c>
    </row>
    <row r="859" spans="1:11" x14ac:dyDescent="0.2">
      <c r="A859" t="s">
        <v>5795</v>
      </c>
      <c r="B859" t="s">
        <v>7948</v>
      </c>
      <c r="C859" s="2022">
        <v>0</v>
      </c>
      <c r="D859" s="2022">
        <v>0</v>
      </c>
      <c r="E859" s="2022">
        <v>0</v>
      </c>
      <c r="F859" s="2022">
        <v>0</v>
      </c>
      <c r="G859" s="2022">
        <f t="shared" si="26"/>
        <v>0</v>
      </c>
      <c r="K859" s="2011">
        <f t="shared" si="27"/>
        <v>0</v>
      </c>
    </row>
    <row r="860" spans="1:11" x14ac:dyDescent="0.2">
      <c r="A860" t="s">
        <v>5796</v>
      </c>
      <c r="B860" t="s">
        <v>8020</v>
      </c>
      <c r="C860" s="2022">
        <v>0</v>
      </c>
      <c r="D860" s="2022">
        <v>0</v>
      </c>
      <c r="E860" s="2022">
        <v>0</v>
      </c>
      <c r="F860" s="2022">
        <v>0</v>
      </c>
      <c r="G860" s="2022">
        <f t="shared" si="26"/>
        <v>0</v>
      </c>
      <c r="K860" s="2011">
        <f t="shared" si="27"/>
        <v>0</v>
      </c>
    </row>
    <row r="861" spans="1:11" x14ac:dyDescent="0.2">
      <c r="A861" t="s">
        <v>5797</v>
      </c>
      <c r="B861" t="s">
        <v>5012</v>
      </c>
      <c r="C861" s="2022">
        <v>0</v>
      </c>
      <c r="D861" s="2022">
        <v>0</v>
      </c>
      <c r="E861" s="2022">
        <v>6185</v>
      </c>
      <c r="F861" s="2022">
        <v>0</v>
      </c>
      <c r="G861" s="2022">
        <f t="shared" si="26"/>
        <v>6185</v>
      </c>
      <c r="I861" s="2022">
        <f>VLOOKUP(A861,'2012 - TB'!$A$3:$I$733,9,FALSE)</f>
        <v>6185</v>
      </c>
      <c r="K861" s="2011">
        <f t="shared" si="27"/>
        <v>0</v>
      </c>
    </row>
    <row r="862" spans="1:11" x14ac:dyDescent="0.2">
      <c r="A862" t="s">
        <v>5798</v>
      </c>
      <c r="B862" t="s">
        <v>7979</v>
      </c>
      <c r="C862" s="2022">
        <v>0</v>
      </c>
      <c r="D862" s="2022">
        <v>0</v>
      </c>
      <c r="E862" s="2022">
        <v>0</v>
      </c>
      <c r="F862" s="2022">
        <v>0</v>
      </c>
      <c r="G862" s="2022">
        <f t="shared" si="26"/>
        <v>0</v>
      </c>
      <c r="K862" s="2011">
        <f t="shared" si="27"/>
        <v>0</v>
      </c>
    </row>
    <row r="863" spans="1:11" x14ac:dyDescent="0.2">
      <c r="A863" t="s">
        <v>5799</v>
      </c>
      <c r="B863" t="s">
        <v>4867</v>
      </c>
      <c r="C863" s="2022">
        <v>5661</v>
      </c>
      <c r="D863" s="2022">
        <v>0</v>
      </c>
      <c r="E863" s="2022">
        <v>8840.6</v>
      </c>
      <c r="F863" s="2022">
        <v>0</v>
      </c>
      <c r="G863" s="2022">
        <f t="shared" si="26"/>
        <v>8840.6</v>
      </c>
      <c r="I863" s="2022">
        <f>VLOOKUP(A863,'2012 - TB'!$A$3:$I$733,9,FALSE)</f>
        <v>8840.6</v>
      </c>
      <c r="K863" s="2011">
        <f t="shared" si="27"/>
        <v>0</v>
      </c>
    </row>
    <row r="864" spans="1:11" x14ac:dyDescent="0.2">
      <c r="A864" t="s">
        <v>5800</v>
      </c>
      <c r="B864" t="s">
        <v>4869</v>
      </c>
      <c r="C864" s="2022">
        <v>0</v>
      </c>
      <c r="D864" s="2022">
        <v>0</v>
      </c>
      <c r="E864" s="2022">
        <v>0</v>
      </c>
      <c r="F864" s="2022">
        <v>0</v>
      </c>
      <c r="G864" s="2022">
        <f t="shared" si="26"/>
        <v>0</v>
      </c>
      <c r="K864" s="2011">
        <f t="shared" si="27"/>
        <v>0</v>
      </c>
    </row>
    <row r="865" spans="1:73" x14ac:dyDescent="0.2">
      <c r="A865" t="s">
        <v>5801</v>
      </c>
      <c r="B865" t="s">
        <v>4873</v>
      </c>
      <c r="C865" s="2022">
        <v>10050.48</v>
      </c>
      <c r="D865" s="2022">
        <v>0</v>
      </c>
      <c r="E865" s="2022">
        <v>8246.99</v>
      </c>
      <c r="F865" s="2022">
        <v>-8246.99</v>
      </c>
      <c r="G865" s="2022">
        <f t="shared" si="26"/>
        <v>0</v>
      </c>
      <c r="I865" s="2022">
        <f>VLOOKUP(A865,'2012 - TB'!$A$3:$I$733,9,FALSE)</f>
        <v>0</v>
      </c>
      <c r="K865" s="2011">
        <f t="shared" si="27"/>
        <v>0</v>
      </c>
    </row>
    <row r="866" spans="1:73" x14ac:dyDescent="0.2">
      <c r="A866" t="s">
        <v>5802</v>
      </c>
      <c r="B866" t="s">
        <v>7824</v>
      </c>
      <c r="C866" s="2022">
        <v>0</v>
      </c>
      <c r="D866" s="2022">
        <v>0</v>
      </c>
      <c r="E866" s="2022">
        <v>0</v>
      </c>
      <c r="F866" s="2022">
        <v>0</v>
      </c>
      <c r="G866" s="2022">
        <f t="shared" si="26"/>
        <v>0</v>
      </c>
      <c r="K866" s="2011">
        <f t="shared" si="27"/>
        <v>0</v>
      </c>
    </row>
    <row r="867" spans="1:73" x14ac:dyDescent="0.2">
      <c r="A867" t="s">
        <v>5803</v>
      </c>
      <c r="B867" t="s">
        <v>4879</v>
      </c>
      <c r="C867" s="2022">
        <v>80000</v>
      </c>
      <c r="D867" s="2022">
        <v>0</v>
      </c>
      <c r="E867" s="2022">
        <v>95505.3</v>
      </c>
      <c r="F867" s="2022">
        <v>0</v>
      </c>
      <c r="G867" s="2022">
        <f t="shared" si="26"/>
        <v>95505.3</v>
      </c>
      <c r="I867" s="2022">
        <f>VLOOKUP(A867,'2012 - TB'!$A$3:$I$733,9,FALSE)</f>
        <v>95505.3</v>
      </c>
      <c r="K867" s="2011">
        <f t="shared" si="27"/>
        <v>0</v>
      </c>
    </row>
    <row r="868" spans="1:73" x14ac:dyDescent="0.2">
      <c r="A868" t="s">
        <v>5804</v>
      </c>
      <c r="B868" t="s">
        <v>5033</v>
      </c>
      <c r="C868" s="2022">
        <v>0</v>
      </c>
      <c r="D868" s="2022">
        <v>0</v>
      </c>
      <c r="E868" s="2022">
        <v>0</v>
      </c>
      <c r="F868" s="2022">
        <v>0</v>
      </c>
      <c r="G868" s="2022">
        <f t="shared" si="26"/>
        <v>0</v>
      </c>
      <c r="K868" s="2011">
        <f t="shared" si="27"/>
        <v>0</v>
      </c>
    </row>
    <row r="869" spans="1:73" x14ac:dyDescent="0.2">
      <c r="A869" t="s">
        <v>5805</v>
      </c>
      <c r="B869" t="s">
        <v>4881</v>
      </c>
      <c r="C869" s="2022">
        <v>86793.52</v>
      </c>
      <c r="D869" s="2022">
        <v>0</v>
      </c>
      <c r="E869" s="2022">
        <v>46429.06</v>
      </c>
      <c r="F869" s="2022">
        <v>0</v>
      </c>
      <c r="G869" s="2022">
        <f t="shared" si="26"/>
        <v>46429.06</v>
      </c>
      <c r="I869" s="2022">
        <f>VLOOKUP(A869,'2012 - TB'!$A$3:$I$733,9,FALSE)</f>
        <v>46429.06</v>
      </c>
      <c r="K869" s="2011">
        <f t="shared" si="27"/>
        <v>0</v>
      </c>
    </row>
    <row r="870" spans="1:73" x14ac:dyDescent="0.2">
      <c r="A870" t="s">
        <v>5806</v>
      </c>
      <c r="B870" t="s">
        <v>4883</v>
      </c>
      <c r="C870" s="2022">
        <v>1000</v>
      </c>
      <c r="D870" s="2022">
        <v>0</v>
      </c>
      <c r="E870" s="2022">
        <v>105.7</v>
      </c>
      <c r="F870" s="2022">
        <v>0</v>
      </c>
      <c r="G870" s="2022">
        <f t="shared" si="26"/>
        <v>105.7</v>
      </c>
      <c r="I870" s="2022">
        <f>VLOOKUP(A870,'2012 - TB'!$A$3:$I$733,9,FALSE)</f>
        <v>105.7</v>
      </c>
      <c r="K870" s="2011">
        <f t="shared" si="27"/>
        <v>0</v>
      </c>
    </row>
    <row r="871" spans="1:73" x14ac:dyDescent="0.2">
      <c r="A871" t="s">
        <v>5807</v>
      </c>
      <c r="B871" t="s">
        <v>7826</v>
      </c>
      <c r="C871" s="2022">
        <v>0</v>
      </c>
      <c r="D871" s="2022">
        <v>0</v>
      </c>
      <c r="E871" s="2022">
        <v>0</v>
      </c>
      <c r="F871" s="2022">
        <v>0</v>
      </c>
      <c r="G871" s="2022">
        <f t="shared" si="26"/>
        <v>0</v>
      </c>
      <c r="K871" s="2011">
        <f t="shared" si="27"/>
        <v>0</v>
      </c>
    </row>
    <row r="872" spans="1:73" x14ac:dyDescent="0.2">
      <c r="A872" t="s">
        <v>5808</v>
      </c>
      <c r="B872" t="s">
        <v>4889</v>
      </c>
      <c r="C872" s="2022">
        <v>10000</v>
      </c>
      <c r="D872" s="2022">
        <v>0</v>
      </c>
      <c r="E872" s="2022">
        <v>2370.56</v>
      </c>
      <c r="F872" s="2022">
        <v>0</v>
      </c>
      <c r="G872" s="2022">
        <f t="shared" si="26"/>
        <v>2370.56</v>
      </c>
      <c r="I872" s="2022">
        <f>VLOOKUP(A872,'2012 - TB'!$A$3:$I$733,9,FALSE)</f>
        <v>2370.56</v>
      </c>
      <c r="K872" s="2011">
        <f t="shared" si="27"/>
        <v>0</v>
      </c>
    </row>
    <row r="873" spans="1:73" x14ac:dyDescent="0.2">
      <c r="A873" t="s">
        <v>5809</v>
      </c>
      <c r="B873" t="s">
        <v>4891</v>
      </c>
      <c r="C873" s="2022">
        <v>0</v>
      </c>
      <c r="D873" s="2022">
        <v>0</v>
      </c>
      <c r="E873" s="2022">
        <v>0</v>
      </c>
      <c r="F873" s="2022">
        <v>0</v>
      </c>
      <c r="G873" s="2022">
        <f t="shared" si="26"/>
        <v>0</v>
      </c>
      <c r="K873" s="2011">
        <f t="shared" si="27"/>
        <v>0</v>
      </c>
    </row>
    <row r="874" spans="1:73" x14ac:dyDescent="0.2">
      <c r="A874" t="s">
        <v>5810</v>
      </c>
      <c r="B874" t="s">
        <v>5411</v>
      </c>
      <c r="C874" s="2022">
        <v>0</v>
      </c>
      <c r="D874" s="2022">
        <v>0</v>
      </c>
      <c r="E874" s="2022">
        <v>332599.43</v>
      </c>
      <c r="F874" s="2022">
        <v>-332599.43</v>
      </c>
      <c r="G874" s="2022">
        <f t="shared" si="26"/>
        <v>0</v>
      </c>
      <c r="I874" s="2022">
        <f>VLOOKUP(A874,'2012 - TB'!$A$3:$I$733,9,FALSE)</f>
        <v>0</v>
      </c>
      <c r="K874" s="2011">
        <f t="shared" si="27"/>
        <v>0</v>
      </c>
    </row>
    <row r="875" spans="1:73" s="2215" customFormat="1" x14ac:dyDescent="0.2">
      <c r="A875" s="2215" t="s">
        <v>5811</v>
      </c>
      <c r="B875" s="2215" t="s">
        <v>4929</v>
      </c>
      <c r="C875" s="2230">
        <v>0</v>
      </c>
      <c r="D875" s="2230">
        <v>0</v>
      </c>
      <c r="E875" s="2230">
        <v>371175.44</v>
      </c>
      <c r="F875" s="2230">
        <v>-2967.92</v>
      </c>
      <c r="G875" s="2230">
        <f t="shared" si="26"/>
        <v>368207.52</v>
      </c>
      <c r="I875" s="2230">
        <f>VLOOKUP(A875,'2012 - TB'!$A$3:$I$733,9,FALSE)</f>
        <v>427094.26</v>
      </c>
      <c r="K875" s="2463">
        <f t="shared" si="27"/>
        <v>-58886.739999999991</v>
      </c>
      <c r="L875" s="2024"/>
      <c r="M875" s="2024"/>
      <c r="N875" s="2024"/>
      <c r="O875" s="2024"/>
      <c r="P875" s="2024"/>
      <c r="Q875" s="2024"/>
      <c r="R875" s="2024"/>
      <c r="S875" s="2024"/>
      <c r="T875" s="2024"/>
      <c r="U875" s="2024"/>
      <c r="V875" s="2024"/>
      <c r="W875" s="2024"/>
      <c r="X875" s="2024"/>
      <c r="Y875" s="2024"/>
      <c r="Z875" s="2024"/>
      <c r="AA875" s="2024"/>
      <c r="AB875" s="2024"/>
      <c r="AC875" s="2024"/>
      <c r="AD875" s="2024"/>
      <c r="AE875" s="2024"/>
      <c r="AF875" s="2024"/>
      <c r="AG875" s="2024"/>
      <c r="AH875" s="2024"/>
      <c r="AI875" s="2024"/>
      <c r="AJ875" s="2024"/>
      <c r="AK875" s="2024"/>
      <c r="AL875" s="2024"/>
      <c r="AM875" s="2024"/>
      <c r="AN875" s="2024"/>
      <c r="AO875" s="2024"/>
      <c r="AP875" s="2024"/>
      <c r="AQ875" s="2024"/>
      <c r="AR875" s="2024"/>
      <c r="AS875" s="2024"/>
      <c r="AT875" s="2024"/>
      <c r="AU875" s="2024"/>
      <c r="AV875" s="2024"/>
      <c r="AW875" s="2024"/>
      <c r="AX875" s="2024"/>
      <c r="AY875" s="2024"/>
      <c r="AZ875" s="2024"/>
      <c r="BA875" s="2024"/>
      <c r="BB875" s="2024"/>
      <c r="BC875" s="2024"/>
      <c r="BD875" s="2024"/>
      <c r="BE875" s="2024"/>
      <c r="BF875" s="2024"/>
      <c r="BG875" s="2024"/>
      <c r="BH875" s="2024"/>
      <c r="BI875" s="2024"/>
      <c r="BJ875" s="2024"/>
      <c r="BK875" s="2024"/>
      <c r="BL875" s="2024"/>
      <c r="BM875" s="2024"/>
      <c r="BN875" s="2024"/>
      <c r="BO875" s="2024"/>
      <c r="BP875" s="2024"/>
      <c r="BQ875" s="2024"/>
      <c r="BR875" s="2024"/>
      <c r="BS875" s="2024"/>
      <c r="BT875" s="2024"/>
      <c r="BU875" s="2024"/>
    </row>
    <row r="876" spans="1:73" x14ac:dyDescent="0.2">
      <c r="A876" t="s">
        <v>5812</v>
      </c>
      <c r="B876" t="s">
        <v>5165</v>
      </c>
      <c r="C876" s="2022">
        <v>0</v>
      </c>
      <c r="D876" s="2022">
        <v>0</v>
      </c>
      <c r="E876" s="2022">
        <v>0</v>
      </c>
      <c r="F876" s="2022">
        <v>0</v>
      </c>
      <c r="G876" s="2022">
        <f t="shared" si="26"/>
        <v>0</v>
      </c>
      <c r="K876" s="2011">
        <f t="shared" si="27"/>
        <v>0</v>
      </c>
    </row>
    <row r="877" spans="1:73" x14ac:dyDescent="0.2">
      <c r="A877" t="s">
        <v>5813</v>
      </c>
      <c r="B877" t="s">
        <v>5048</v>
      </c>
      <c r="C877" s="2022">
        <v>0</v>
      </c>
      <c r="D877" s="2022">
        <v>0</v>
      </c>
      <c r="E877" s="2022">
        <v>0</v>
      </c>
      <c r="F877" s="2022">
        <v>0</v>
      </c>
      <c r="G877" s="2022">
        <f t="shared" si="26"/>
        <v>0</v>
      </c>
      <c r="K877" s="2011">
        <f t="shared" si="27"/>
        <v>0</v>
      </c>
    </row>
    <row r="878" spans="1:73" x14ac:dyDescent="0.2">
      <c r="A878" t="s">
        <v>5814</v>
      </c>
      <c r="B878" t="s">
        <v>5174</v>
      </c>
      <c r="C878" s="2022">
        <v>61576.22</v>
      </c>
      <c r="D878" s="2022">
        <v>0</v>
      </c>
      <c r="E878" s="2022">
        <v>71176.22</v>
      </c>
      <c r="F878" s="2022">
        <v>0</v>
      </c>
      <c r="G878" s="2022">
        <f t="shared" si="26"/>
        <v>71176.22</v>
      </c>
      <c r="I878" s="2022">
        <f>VLOOKUP(A878,'2012 - TB'!$A$3:$I$733,9,FALSE)</f>
        <v>71176.22</v>
      </c>
      <c r="K878" s="2011">
        <f t="shared" si="27"/>
        <v>0</v>
      </c>
    </row>
    <row r="879" spans="1:73" x14ac:dyDescent="0.2">
      <c r="A879" t="s">
        <v>5815</v>
      </c>
      <c r="B879" t="s">
        <v>4895</v>
      </c>
      <c r="C879" s="2022">
        <v>45000</v>
      </c>
      <c r="D879" s="2022">
        <v>0</v>
      </c>
      <c r="E879" s="2022">
        <v>43329.26</v>
      </c>
      <c r="F879" s="2022">
        <v>0</v>
      </c>
      <c r="G879" s="2022">
        <f t="shared" si="26"/>
        <v>43329.26</v>
      </c>
      <c r="I879" s="2022">
        <f>VLOOKUP(A879,'2012 - TB'!$A$3:$I$733,9,FALSE)</f>
        <v>43329.26</v>
      </c>
      <c r="K879" s="2011">
        <f t="shared" si="27"/>
        <v>0</v>
      </c>
    </row>
    <row r="880" spans="1:73" x14ac:dyDescent="0.2">
      <c r="A880" t="s">
        <v>5816</v>
      </c>
      <c r="B880" t="s">
        <v>5185</v>
      </c>
      <c r="C880" s="2022">
        <v>0</v>
      </c>
      <c r="D880" s="2022">
        <v>0</v>
      </c>
      <c r="E880" s="2022">
        <v>0</v>
      </c>
      <c r="F880" s="2022">
        <v>0</v>
      </c>
      <c r="G880" s="2022">
        <f t="shared" si="26"/>
        <v>0</v>
      </c>
      <c r="K880" s="2011">
        <f t="shared" si="27"/>
        <v>0</v>
      </c>
    </row>
    <row r="881" spans="1:11" x14ac:dyDescent="0.2">
      <c r="A881" t="s">
        <v>5817</v>
      </c>
      <c r="B881" t="s">
        <v>4897</v>
      </c>
      <c r="C881" s="2022">
        <v>11901.41</v>
      </c>
      <c r="D881" s="2022">
        <v>0</v>
      </c>
      <c r="E881" s="2022">
        <v>11606.07</v>
      </c>
      <c r="F881" s="2022">
        <v>0</v>
      </c>
      <c r="G881" s="2022">
        <f t="shared" si="26"/>
        <v>11606.07</v>
      </c>
      <c r="I881" s="2022">
        <f>VLOOKUP(A881,'2012 - TB'!$A$3:$I$733,9,FALSE)</f>
        <v>11606.07</v>
      </c>
      <c r="K881" s="2011">
        <f t="shared" si="27"/>
        <v>0</v>
      </c>
    </row>
    <row r="882" spans="1:11" x14ac:dyDescent="0.2">
      <c r="A882" t="s">
        <v>5818</v>
      </c>
      <c r="B882" t="s">
        <v>4899</v>
      </c>
      <c r="C882" s="2022">
        <v>14378.08</v>
      </c>
      <c r="D882" s="2022">
        <v>0</v>
      </c>
      <c r="E882" s="2022">
        <v>4387.5200000000004</v>
      </c>
      <c r="F882" s="2022">
        <v>0</v>
      </c>
      <c r="G882" s="2022">
        <f t="shared" si="26"/>
        <v>4387.5200000000004</v>
      </c>
      <c r="I882" s="2022">
        <f>VLOOKUP(A882,'2012 - TB'!$A$3:$I$733,9,FALSE)</f>
        <v>4387.5200000000004</v>
      </c>
      <c r="K882" s="2011">
        <f t="shared" si="27"/>
        <v>0</v>
      </c>
    </row>
    <row r="883" spans="1:11" x14ac:dyDescent="0.2">
      <c r="A883" t="s">
        <v>5819</v>
      </c>
      <c r="B883" t="s">
        <v>5195</v>
      </c>
      <c r="C883" s="2022">
        <v>-6488.53</v>
      </c>
      <c r="D883" s="2022">
        <v>0</v>
      </c>
      <c r="E883" s="2022">
        <v>0</v>
      </c>
      <c r="F883" s="2022">
        <v>0</v>
      </c>
      <c r="G883" s="2022">
        <f t="shared" si="26"/>
        <v>0</v>
      </c>
      <c r="I883" s="2022">
        <f>VLOOKUP(A883,'2012 - TB'!$A$3:$I$733,9,FALSE)</f>
        <v>0</v>
      </c>
      <c r="K883" s="2011">
        <f t="shared" si="27"/>
        <v>0</v>
      </c>
    </row>
    <row r="884" spans="1:11" x14ac:dyDescent="0.2">
      <c r="A884" t="s">
        <v>5820</v>
      </c>
      <c r="B884" t="s">
        <v>4901</v>
      </c>
      <c r="C884" s="2022">
        <v>-2402403.79</v>
      </c>
      <c r="D884" s="2022">
        <v>0</v>
      </c>
      <c r="E884" s="2022">
        <v>0</v>
      </c>
      <c r="F884" s="2022">
        <v>0</v>
      </c>
      <c r="G884" s="2022">
        <f t="shared" si="26"/>
        <v>0</v>
      </c>
      <c r="I884" s="2022">
        <f>VLOOKUP(A884,'2012 - TB'!$A$3:$I$733,9,FALSE)</f>
        <v>0</v>
      </c>
      <c r="K884" s="2011">
        <f t="shared" si="27"/>
        <v>0</v>
      </c>
    </row>
    <row r="885" spans="1:11" x14ac:dyDescent="0.2">
      <c r="A885" t="s">
        <v>5821</v>
      </c>
      <c r="B885" t="s">
        <v>5313</v>
      </c>
      <c r="C885" s="2022">
        <v>-8106389.4299999997</v>
      </c>
      <c r="D885" s="2022">
        <v>0</v>
      </c>
      <c r="E885" s="2022">
        <v>0</v>
      </c>
      <c r="F885" s="2022">
        <v>0</v>
      </c>
      <c r="G885" s="2022">
        <f t="shared" si="26"/>
        <v>0</v>
      </c>
      <c r="I885" s="2022">
        <f>VLOOKUP(A885,'2012 - TB'!$A$3:$I$733,9,FALSE)</f>
        <v>0</v>
      </c>
      <c r="K885" s="2011">
        <f t="shared" si="27"/>
        <v>0</v>
      </c>
    </row>
    <row r="886" spans="1:11" x14ac:dyDescent="0.2">
      <c r="A886" t="s">
        <v>5822</v>
      </c>
      <c r="B886" t="s">
        <v>5823</v>
      </c>
      <c r="C886" s="2022">
        <v>-536000</v>
      </c>
      <c r="D886" s="2022">
        <v>0</v>
      </c>
      <c r="E886" s="2022">
        <v>0</v>
      </c>
      <c r="F886" s="2022">
        <v>0</v>
      </c>
      <c r="G886" s="2022">
        <f t="shared" si="26"/>
        <v>0</v>
      </c>
      <c r="I886" s="2022">
        <f>VLOOKUP(A886,'2012 - TB'!$A$3:$I$733,9,FALSE)</f>
        <v>0</v>
      </c>
      <c r="K886" s="2011">
        <f t="shared" si="27"/>
        <v>0</v>
      </c>
    </row>
    <row r="887" spans="1:11" x14ac:dyDescent="0.2">
      <c r="A887" t="s">
        <v>5824</v>
      </c>
      <c r="B887" t="s">
        <v>5825</v>
      </c>
      <c r="C887" s="2022">
        <v>-4200000</v>
      </c>
      <c r="D887" s="2022">
        <v>0</v>
      </c>
      <c r="E887" s="2022">
        <v>0</v>
      </c>
      <c r="F887" s="2022">
        <v>-1651000</v>
      </c>
      <c r="G887" s="2022">
        <f t="shared" si="26"/>
        <v>-1651000</v>
      </c>
      <c r="I887" s="2022">
        <f>VLOOKUP(A887,'2012 - TB'!$A$3:$I$733,9,FALSE)</f>
        <v>-2775200</v>
      </c>
      <c r="K887" s="2011">
        <f t="shared" si="27"/>
        <v>1124200</v>
      </c>
    </row>
    <row r="888" spans="1:11" x14ac:dyDescent="0.2">
      <c r="A888" t="s">
        <v>5826</v>
      </c>
      <c r="B888" t="s">
        <v>5827</v>
      </c>
      <c r="C888" s="2022">
        <v>-1036.57</v>
      </c>
      <c r="D888" s="2022">
        <v>0</v>
      </c>
      <c r="E888" s="2022">
        <v>29.16</v>
      </c>
      <c r="F888" s="2022">
        <v>-237.6</v>
      </c>
      <c r="G888" s="2022">
        <f t="shared" si="26"/>
        <v>-208.44</v>
      </c>
      <c r="I888" s="2022">
        <f>VLOOKUP(A888,'2012 - TB'!$A$3:$I$733,9,FALSE)</f>
        <v>-208.44</v>
      </c>
      <c r="K888" s="2011">
        <f t="shared" si="27"/>
        <v>0</v>
      </c>
    </row>
    <row r="889" spans="1:11" x14ac:dyDescent="0.2">
      <c r="A889" t="s">
        <v>5828</v>
      </c>
      <c r="B889" t="s">
        <v>4808</v>
      </c>
      <c r="C889" s="2022">
        <v>3180071.08</v>
      </c>
      <c r="D889" s="2022">
        <v>0</v>
      </c>
      <c r="E889" s="2022">
        <v>3258616.8</v>
      </c>
      <c r="F889" s="2022">
        <v>-780767.64</v>
      </c>
      <c r="G889" s="2022">
        <f t="shared" si="26"/>
        <v>2477849.1599999997</v>
      </c>
      <c r="I889" s="2022">
        <f>VLOOKUP(A889,'2012 - TB'!$A$3:$I$733,9,FALSE)</f>
        <v>2477849.1599999997</v>
      </c>
      <c r="K889" s="2011">
        <f t="shared" si="27"/>
        <v>0</v>
      </c>
    </row>
    <row r="890" spans="1:11" x14ac:dyDescent="0.2">
      <c r="A890" t="s">
        <v>5829</v>
      </c>
      <c r="B890" t="s">
        <v>4812</v>
      </c>
      <c r="C890" s="2022">
        <v>211623.54</v>
      </c>
      <c r="D890" s="2022">
        <v>0</v>
      </c>
      <c r="E890" s="2022">
        <v>211448.58</v>
      </c>
      <c r="F890" s="2022">
        <v>0</v>
      </c>
      <c r="G890" s="2022">
        <f t="shared" si="26"/>
        <v>211448.58</v>
      </c>
      <c r="I890" s="2022">
        <f>VLOOKUP(A890,'2012 - TB'!$A$3:$I$733,9,FALSE)</f>
        <v>211448.58</v>
      </c>
      <c r="K890" s="2011">
        <f t="shared" si="27"/>
        <v>0</v>
      </c>
    </row>
    <row r="891" spans="1:11" x14ac:dyDescent="0.2">
      <c r="A891" t="s">
        <v>5830</v>
      </c>
      <c r="B891" t="s">
        <v>4814</v>
      </c>
      <c r="C891" s="2022">
        <v>1800</v>
      </c>
      <c r="D891" s="2022">
        <v>0</v>
      </c>
      <c r="E891" s="2022">
        <v>300</v>
      </c>
      <c r="F891" s="2022">
        <v>0</v>
      </c>
      <c r="G891" s="2022">
        <f t="shared" si="26"/>
        <v>300</v>
      </c>
      <c r="I891" s="2022">
        <f>VLOOKUP(A891,'2012 - TB'!$A$3:$I$733,9,FALSE)</f>
        <v>300</v>
      </c>
      <c r="K891" s="2011">
        <f t="shared" si="27"/>
        <v>0</v>
      </c>
    </row>
    <row r="892" spans="1:11" x14ac:dyDescent="0.2">
      <c r="A892" t="s">
        <v>5831</v>
      </c>
      <c r="B892" t="s">
        <v>5666</v>
      </c>
      <c r="C892" s="2022">
        <v>30911.919999999998</v>
      </c>
      <c r="D892" s="2022">
        <v>0</v>
      </c>
      <c r="E892" s="2022">
        <v>30911.919999999998</v>
      </c>
      <c r="F892" s="2022">
        <v>0</v>
      </c>
      <c r="G892" s="2022">
        <f t="shared" si="26"/>
        <v>30911.919999999998</v>
      </c>
      <c r="I892" s="2022">
        <f>VLOOKUP(A892,'2012 - TB'!$A$3:$I$733,9,FALSE)</f>
        <v>30911.919999999998</v>
      </c>
      <c r="K892" s="2011">
        <f t="shared" si="27"/>
        <v>0</v>
      </c>
    </row>
    <row r="893" spans="1:11" x14ac:dyDescent="0.2">
      <c r="A893" t="s">
        <v>5832</v>
      </c>
      <c r="B893" t="s">
        <v>4816</v>
      </c>
      <c r="C893" s="2022">
        <v>0</v>
      </c>
      <c r="D893" s="2022">
        <v>0</v>
      </c>
      <c r="E893" s="2022">
        <v>0</v>
      </c>
      <c r="F893" s="2022">
        <v>0</v>
      </c>
      <c r="G893" s="2022">
        <f t="shared" si="26"/>
        <v>0</v>
      </c>
      <c r="K893" s="2011">
        <f t="shared" si="27"/>
        <v>0</v>
      </c>
    </row>
    <row r="894" spans="1:11" x14ac:dyDescent="0.2">
      <c r="A894" t="s">
        <v>5833</v>
      </c>
      <c r="B894" t="s">
        <v>4818</v>
      </c>
      <c r="C894" s="2022">
        <v>500000</v>
      </c>
      <c r="D894" s="2022">
        <v>0</v>
      </c>
      <c r="E894" s="2022">
        <v>502104.53</v>
      </c>
      <c r="F894" s="2022">
        <v>0</v>
      </c>
      <c r="G894" s="2022">
        <f t="shared" si="26"/>
        <v>502104.53</v>
      </c>
      <c r="I894" s="2022">
        <f>VLOOKUP(A894,'2012 - TB'!$A$3:$I$733,9,FALSE)</f>
        <v>502104.53</v>
      </c>
      <c r="K894" s="2011">
        <f t="shared" si="27"/>
        <v>0</v>
      </c>
    </row>
    <row r="895" spans="1:11" x14ac:dyDescent="0.2">
      <c r="A895" t="s">
        <v>5834</v>
      </c>
      <c r="B895" t="s">
        <v>4820</v>
      </c>
      <c r="C895" s="2022">
        <v>0</v>
      </c>
      <c r="D895" s="2022">
        <v>0</v>
      </c>
      <c r="E895" s="2022">
        <v>0</v>
      </c>
      <c r="F895" s="2022">
        <v>0</v>
      </c>
      <c r="G895" s="2022">
        <f t="shared" si="26"/>
        <v>0</v>
      </c>
      <c r="K895" s="2011">
        <f t="shared" si="27"/>
        <v>0</v>
      </c>
    </row>
    <row r="896" spans="1:11" x14ac:dyDescent="0.2">
      <c r="A896" t="s">
        <v>5835</v>
      </c>
      <c r="B896" t="s">
        <v>4824</v>
      </c>
      <c r="C896" s="2022">
        <v>1664.6</v>
      </c>
      <c r="D896" s="2022">
        <v>0</v>
      </c>
      <c r="E896" s="2022">
        <v>1656.4</v>
      </c>
      <c r="F896" s="2022">
        <v>0</v>
      </c>
      <c r="G896" s="2022">
        <f t="shared" si="26"/>
        <v>1656.4</v>
      </c>
      <c r="I896" s="2022">
        <f>VLOOKUP(A896,'2012 - TB'!$A$3:$I$733,9,FALSE)</f>
        <v>1656.4</v>
      </c>
      <c r="K896" s="2011">
        <f t="shared" si="27"/>
        <v>0</v>
      </c>
    </row>
    <row r="897" spans="1:73" x14ac:dyDescent="0.2">
      <c r="A897" t="s">
        <v>5836</v>
      </c>
      <c r="B897" t="s">
        <v>4826</v>
      </c>
      <c r="C897" s="2022">
        <v>35714.42</v>
      </c>
      <c r="D897" s="2022">
        <v>0</v>
      </c>
      <c r="E897" s="2022">
        <v>31728.42</v>
      </c>
      <c r="F897" s="2022">
        <v>0</v>
      </c>
      <c r="G897" s="2022">
        <f t="shared" si="26"/>
        <v>31728.42</v>
      </c>
      <c r="I897" s="2022">
        <f>VLOOKUP(A897,'2012 - TB'!$A$3:$I$733,9,FALSE)</f>
        <v>31728.42</v>
      </c>
      <c r="K897" s="2011">
        <f t="shared" si="27"/>
        <v>0</v>
      </c>
    </row>
    <row r="898" spans="1:73" x14ac:dyDescent="0.2">
      <c r="A898" t="s">
        <v>5837</v>
      </c>
      <c r="B898" t="s">
        <v>7818</v>
      </c>
      <c r="C898" s="2022">
        <v>0</v>
      </c>
      <c r="D898" s="2022">
        <v>0</v>
      </c>
      <c r="E898" s="2022">
        <v>0</v>
      </c>
      <c r="F898" s="2022">
        <v>0</v>
      </c>
      <c r="G898" s="2022">
        <f t="shared" ref="G898:G961" si="28">SUM(D898:F898)</f>
        <v>0</v>
      </c>
      <c r="K898" s="2011">
        <f t="shared" ref="K898:K961" si="29">G898-I898</f>
        <v>0</v>
      </c>
    </row>
    <row r="899" spans="1:73" x14ac:dyDescent="0.2">
      <c r="A899" t="s">
        <v>5838</v>
      </c>
      <c r="B899" t="s">
        <v>4829</v>
      </c>
      <c r="C899" s="2022">
        <v>122311.8</v>
      </c>
      <c r="D899" s="2022">
        <v>0</v>
      </c>
      <c r="E899" s="2022">
        <v>131662.6</v>
      </c>
      <c r="F899" s="2022">
        <v>0</v>
      </c>
      <c r="G899" s="2022">
        <f t="shared" si="28"/>
        <v>131662.6</v>
      </c>
      <c r="I899" s="2022">
        <f>VLOOKUP(A899,'2012 - TB'!$A$3:$I$733,9,FALSE)</f>
        <v>131662.6</v>
      </c>
      <c r="K899" s="2011">
        <f t="shared" si="29"/>
        <v>0</v>
      </c>
    </row>
    <row r="900" spans="1:73" x14ac:dyDescent="0.2">
      <c r="A900" t="s">
        <v>5839</v>
      </c>
      <c r="B900" t="s">
        <v>4831</v>
      </c>
      <c r="C900" s="2022">
        <v>458476.46</v>
      </c>
      <c r="D900" s="2022">
        <v>0</v>
      </c>
      <c r="E900" s="2022">
        <v>457578.47</v>
      </c>
      <c r="F900" s="2022">
        <v>0</v>
      </c>
      <c r="G900" s="2022">
        <f t="shared" si="28"/>
        <v>457578.47</v>
      </c>
      <c r="I900" s="2022">
        <f>VLOOKUP(A900,'2012 - TB'!$A$3:$I$733,9,FALSE)</f>
        <v>457578.47</v>
      </c>
      <c r="K900" s="2011">
        <f t="shared" si="29"/>
        <v>0</v>
      </c>
    </row>
    <row r="901" spans="1:73" x14ac:dyDescent="0.2">
      <c r="A901" t="s">
        <v>5840</v>
      </c>
      <c r="B901" t="s">
        <v>4833</v>
      </c>
      <c r="C901" s="2022">
        <v>36827.89</v>
      </c>
      <c r="D901" s="2022">
        <v>0</v>
      </c>
      <c r="E901" s="2022">
        <v>31086.97</v>
      </c>
      <c r="F901" s="2022">
        <v>0</v>
      </c>
      <c r="G901" s="2022">
        <f t="shared" si="28"/>
        <v>31086.97</v>
      </c>
      <c r="I901" s="2022">
        <f>VLOOKUP(A901,'2012 - TB'!$A$3:$I$733,9,FALSE)</f>
        <v>31086.97</v>
      </c>
      <c r="K901" s="2011">
        <f t="shared" si="29"/>
        <v>0</v>
      </c>
    </row>
    <row r="902" spans="1:73" x14ac:dyDescent="0.2">
      <c r="A902" t="s">
        <v>5841</v>
      </c>
      <c r="B902" t="s">
        <v>4977</v>
      </c>
      <c r="C902" s="2022">
        <v>434745.59999999998</v>
      </c>
      <c r="D902" s="2022">
        <v>0</v>
      </c>
      <c r="E902" s="2022">
        <v>0</v>
      </c>
      <c r="F902" s="2022">
        <v>0</v>
      </c>
      <c r="G902" s="2022">
        <f t="shared" si="28"/>
        <v>0</v>
      </c>
      <c r="I902" s="2022">
        <f>VLOOKUP(A902,'2012 - TB'!$A$3:$I$733,9,FALSE)</f>
        <v>0</v>
      </c>
      <c r="K902" s="2011">
        <f t="shared" si="29"/>
        <v>0</v>
      </c>
    </row>
    <row r="903" spans="1:73" s="2632" customFormat="1" x14ac:dyDescent="0.2">
      <c r="A903" s="2632" t="s">
        <v>5842</v>
      </c>
      <c r="B903" s="2632" t="s">
        <v>8015</v>
      </c>
      <c r="C903" s="2728">
        <v>0</v>
      </c>
      <c r="D903" s="2728">
        <v>0</v>
      </c>
      <c r="E903" s="2728">
        <v>153994.98000000001</v>
      </c>
      <c r="F903" s="2728">
        <v>0</v>
      </c>
      <c r="G903" s="2728">
        <f t="shared" si="28"/>
        <v>153994.98000000001</v>
      </c>
      <c r="I903" s="2728"/>
      <c r="K903" s="2229">
        <f t="shared" si="29"/>
        <v>153994.98000000001</v>
      </c>
      <c r="L903" s="2024"/>
      <c r="M903" s="2024"/>
      <c r="N903" s="2024"/>
      <c r="O903" s="2024"/>
      <c r="P903" s="2024"/>
      <c r="Q903" s="2024"/>
      <c r="R903" s="2024"/>
      <c r="S903" s="2024"/>
      <c r="T903" s="2024"/>
      <c r="U903" s="2024"/>
      <c r="V903" s="2024"/>
      <c r="W903" s="2024"/>
      <c r="X903" s="2024"/>
      <c r="Y903" s="2024"/>
      <c r="Z903" s="2024"/>
      <c r="AA903" s="2024"/>
      <c r="AB903" s="2024"/>
      <c r="AC903" s="2024"/>
      <c r="AD903" s="2024"/>
      <c r="AE903" s="2024"/>
      <c r="AF903" s="2024"/>
      <c r="AG903" s="2024"/>
      <c r="AH903" s="2024"/>
      <c r="AI903" s="2024"/>
      <c r="AJ903" s="2024"/>
      <c r="AK903" s="2024"/>
      <c r="AL903" s="2024"/>
      <c r="AM903" s="2024"/>
      <c r="AN903" s="2024"/>
      <c r="AO903" s="2024"/>
      <c r="AP903" s="2024"/>
      <c r="AQ903" s="2024"/>
      <c r="AR903" s="2024"/>
      <c r="AS903" s="2024"/>
      <c r="AT903" s="2024"/>
      <c r="AU903" s="2024"/>
      <c r="AV903" s="2024"/>
      <c r="AW903" s="2024"/>
      <c r="AX903" s="2024"/>
      <c r="AY903" s="2024"/>
      <c r="AZ903" s="2024"/>
      <c r="BA903" s="2024"/>
      <c r="BB903" s="2024"/>
      <c r="BC903" s="2024"/>
      <c r="BD903" s="2024"/>
      <c r="BE903" s="2024"/>
      <c r="BF903" s="2024"/>
      <c r="BG903" s="2024"/>
      <c r="BH903" s="2024"/>
      <c r="BI903" s="2024"/>
      <c r="BJ903" s="2024"/>
      <c r="BK903" s="2024"/>
      <c r="BL903" s="2024"/>
      <c r="BM903" s="2024"/>
      <c r="BN903" s="2024"/>
      <c r="BO903" s="2024"/>
      <c r="BP903" s="2024"/>
      <c r="BQ903" s="2024"/>
      <c r="BR903" s="2024"/>
      <c r="BS903" s="2024"/>
      <c r="BT903" s="2024"/>
      <c r="BU903" s="2024"/>
    </row>
    <row r="904" spans="1:73" x14ac:dyDescent="0.2">
      <c r="A904" t="s">
        <v>5843</v>
      </c>
      <c r="B904" t="s">
        <v>7952</v>
      </c>
      <c r="C904" s="2022">
        <v>0</v>
      </c>
      <c r="D904" s="2022">
        <v>0</v>
      </c>
      <c r="E904" s="2022">
        <v>0</v>
      </c>
      <c r="F904" s="2022">
        <v>0</v>
      </c>
      <c r="G904" s="2022">
        <f t="shared" si="28"/>
        <v>0</v>
      </c>
      <c r="K904" s="2011">
        <f t="shared" si="29"/>
        <v>0</v>
      </c>
    </row>
    <row r="905" spans="1:73" x14ac:dyDescent="0.2">
      <c r="A905" t="s">
        <v>5844</v>
      </c>
      <c r="B905" t="s">
        <v>7764</v>
      </c>
      <c r="C905" s="2022">
        <v>0</v>
      </c>
      <c r="D905" s="2022">
        <v>0</v>
      </c>
      <c r="E905" s="2022">
        <v>0</v>
      </c>
      <c r="F905" s="2022">
        <v>0</v>
      </c>
      <c r="G905" s="2022">
        <f t="shared" si="28"/>
        <v>0</v>
      </c>
      <c r="K905" s="2011">
        <f t="shared" si="29"/>
        <v>0</v>
      </c>
    </row>
    <row r="906" spans="1:73" x14ac:dyDescent="0.2">
      <c r="A906" t="s">
        <v>5845</v>
      </c>
      <c r="B906" t="s">
        <v>5846</v>
      </c>
      <c r="C906" s="2022">
        <v>2315.79</v>
      </c>
      <c r="D906" s="2022">
        <v>0</v>
      </c>
      <c r="E906" s="2022">
        <v>2315.79</v>
      </c>
      <c r="F906" s="2022">
        <v>-2315.79</v>
      </c>
      <c r="G906" s="2022">
        <f t="shared" si="28"/>
        <v>0</v>
      </c>
      <c r="I906" s="2022">
        <f>VLOOKUP(A906,'2012 - TB'!$A$3:$I$733,9,FALSE)</f>
        <v>0</v>
      </c>
      <c r="K906" s="2011">
        <f t="shared" si="29"/>
        <v>0</v>
      </c>
    </row>
    <row r="907" spans="1:73" x14ac:dyDescent="0.2">
      <c r="A907" t="s">
        <v>5847</v>
      </c>
      <c r="B907" t="s">
        <v>8023</v>
      </c>
      <c r="C907" s="2022">
        <v>0</v>
      </c>
      <c r="D907" s="2022">
        <v>0</v>
      </c>
      <c r="E907" s="2022">
        <v>0</v>
      </c>
      <c r="F907" s="2022">
        <v>0</v>
      </c>
      <c r="G907" s="2022">
        <f t="shared" si="28"/>
        <v>0</v>
      </c>
      <c r="K907" s="2011">
        <f t="shared" si="29"/>
        <v>0</v>
      </c>
    </row>
    <row r="908" spans="1:73" x14ac:dyDescent="0.2">
      <c r="A908" t="s">
        <v>5848</v>
      </c>
      <c r="B908" t="s">
        <v>5683</v>
      </c>
      <c r="C908" s="2022">
        <v>2850659.99</v>
      </c>
      <c r="D908" s="2022">
        <v>0</v>
      </c>
      <c r="E908" s="2022">
        <v>0</v>
      </c>
      <c r="F908" s="2022">
        <v>0</v>
      </c>
      <c r="G908" s="2022">
        <f t="shared" si="28"/>
        <v>0</v>
      </c>
      <c r="I908" s="2022">
        <f>VLOOKUP(A908,'2012 - TB'!$A$3:$I$733,9,FALSE)</f>
        <v>0</v>
      </c>
      <c r="K908" s="2011">
        <f t="shared" si="29"/>
        <v>0</v>
      </c>
    </row>
    <row r="909" spans="1:73" x14ac:dyDescent="0.2">
      <c r="A909" t="s">
        <v>5849</v>
      </c>
      <c r="B909" t="s">
        <v>5331</v>
      </c>
      <c r="C909" s="2022">
        <v>776553</v>
      </c>
      <c r="D909" s="2022">
        <v>0</v>
      </c>
      <c r="E909" s="2022">
        <v>0</v>
      </c>
      <c r="F909" s="2022">
        <v>0</v>
      </c>
      <c r="G909" s="2022">
        <f t="shared" si="28"/>
        <v>0</v>
      </c>
      <c r="I909" s="2022">
        <f>VLOOKUP(A909,'2012 - TB'!$A$3:$I$733,9,FALSE)</f>
        <v>0</v>
      </c>
      <c r="K909" s="2011">
        <f t="shared" si="29"/>
        <v>0</v>
      </c>
    </row>
    <row r="910" spans="1:73" x14ac:dyDescent="0.2">
      <c r="A910" t="s">
        <v>5850</v>
      </c>
      <c r="B910" t="s">
        <v>4853</v>
      </c>
      <c r="C910" s="2022">
        <v>23227.79</v>
      </c>
      <c r="D910" s="2022">
        <v>0</v>
      </c>
      <c r="E910" s="2022">
        <v>23227.79</v>
      </c>
      <c r="F910" s="2022">
        <v>0</v>
      </c>
      <c r="G910" s="2022">
        <f t="shared" si="28"/>
        <v>23227.79</v>
      </c>
      <c r="I910" s="2022">
        <f>VLOOKUP(A910,'2012 - TB'!$A$3:$I$733,9,FALSE)</f>
        <v>23227.79</v>
      </c>
      <c r="K910" s="2011">
        <f t="shared" si="29"/>
        <v>0</v>
      </c>
    </row>
    <row r="911" spans="1:73" x14ac:dyDescent="0.2">
      <c r="A911" t="s">
        <v>5851</v>
      </c>
      <c r="B911" t="s">
        <v>4865</v>
      </c>
      <c r="C911" s="2022">
        <v>0</v>
      </c>
      <c r="D911" s="2022">
        <v>0</v>
      </c>
      <c r="E911" s="2022">
        <v>175.44</v>
      </c>
      <c r="F911" s="2022">
        <v>0</v>
      </c>
      <c r="G911" s="2022">
        <f t="shared" si="28"/>
        <v>175.44</v>
      </c>
      <c r="I911" s="2022">
        <f>VLOOKUP(A911,'2012 - TB'!$A$3:$I$733,9,FALSE)</f>
        <v>175.44</v>
      </c>
      <c r="K911" s="2011">
        <f t="shared" si="29"/>
        <v>0</v>
      </c>
    </row>
    <row r="912" spans="1:73" x14ac:dyDescent="0.2">
      <c r="A912" t="s">
        <v>5852</v>
      </c>
      <c r="B912" t="s">
        <v>8020</v>
      </c>
      <c r="C912" s="2022">
        <v>0</v>
      </c>
      <c r="D912" s="2022">
        <v>0</v>
      </c>
      <c r="E912" s="2022">
        <v>0</v>
      </c>
      <c r="F912" s="2022">
        <v>0</v>
      </c>
      <c r="G912" s="2022">
        <f t="shared" si="28"/>
        <v>0</v>
      </c>
      <c r="K912" s="2011">
        <f t="shared" si="29"/>
        <v>0</v>
      </c>
    </row>
    <row r="913" spans="1:11" x14ac:dyDescent="0.2">
      <c r="A913" t="s">
        <v>5853</v>
      </c>
      <c r="B913" t="s">
        <v>5012</v>
      </c>
      <c r="C913" s="2022">
        <v>5299.73</v>
      </c>
      <c r="D913" s="2022">
        <v>0</v>
      </c>
      <c r="E913" s="2022">
        <v>14083.67</v>
      </c>
      <c r="F913" s="2022">
        <v>0</v>
      </c>
      <c r="G913" s="2022">
        <f t="shared" si="28"/>
        <v>14083.67</v>
      </c>
      <c r="I913" s="2022">
        <f>VLOOKUP(A913,'2012 - TB'!$A$3:$I$733,9,FALSE)</f>
        <v>14083.67</v>
      </c>
      <c r="K913" s="2011">
        <f t="shared" si="29"/>
        <v>0</v>
      </c>
    </row>
    <row r="914" spans="1:11" x14ac:dyDescent="0.2">
      <c r="A914" t="s">
        <v>5854</v>
      </c>
      <c r="B914" t="s">
        <v>7953</v>
      </c>
      <c r="C914" s="2022">
        <v>0</v>
      </c>
      <c r="D914" s="2022">
        <v>0</v>
      </c>
      <c r="E914" s="2022">
        <v>0</v>
      </c>
      <c r="F914" s="2022">
        <v>0</v>
      </c>
      <c r="G914" s="2022">
        <f t="shared" si="28"/>
        <v>0</v>
      </c>
      <c r="K914" s="2011">
        <f t="shared" si="29"/>
        <v>0</v>
      </c>
    </row>
    <row r="915" spans="1:11" x14ac:dyDescent="0.2">
      <c r="A915" t="s">
        <v>5855</v>
      </c>
      <c r="B915" t="s">
        <v>4867</v>
      </c>
      <c r="C915" s="2022">
        <v>0</v>
      </c>
      <c r="D915" s="2022">
        <v>0</v>
      </c>
      <c r="E915" s="2022">
        <v>0</v>
      </c>
      <c r="F915" s="2022">
        <v>0</v>
      </c>
      <c r="G915" s="2022">
        <f t="shared" si="28"/>
        <v>0</v>
      </c>
      <c r="K915" s="2011">
        <f t="shared" si="29"/>
        <v>0</v>
      </c>
    </row>
    <row r="916" spans="1:11" x14ac:dyDescent="0.2">
      <c r="A916" t="s">
        <v>5856</v>
      </c>
      <c r="B916" t="s">
        <v>4873</v>
      </c>
      <c r="C916" s="2022">
        <v>50000</v>
      </c>
      <c r="D916" s="2022">
        <v>0</v>
      </c>
      <c r="E916" s="2022">
        <v>50161.68</v>
      </c>
      <c r="F916" s="2022">
        <v>-50161.68</v>
      </c>
      <c r="G916" s="2022">
        <f t="shared" si="28"/>
        <v>0</v>
      </c>
      <c r="I916" s="2022">
        <f>VLOOKUP(A916,'2012 - TB'!$A$3:$I$733,9,FALSE)</f>
        <v>0</v>
      </c>
      <c r="K916" s="2011">
        <f t="shared" si="29"/>
        <v>0</v>
      </c>
    </row>
    <row r="917" spans="1:11" x14ac:dyDescent="0.2">
      <c r="A917" t="s">
        <v>5857</v>
      </c>
      <c r="B917" t="s">
        <v>7823</v>
      </c>
      <c r="C917" s="2022">
        <v>0</v>
      </c>
      <c r="D917" s="2022">
        <v>0</v>
      </c>
      <c r="E917" s="2022">
        <v>0</v>
      </c>
      <c r="F917" s="2022">
        <v>0</v>
      </c>
      <c r="G917" s="2022">
        <f t="shared" si="28"/>
        <v>0</v>
      </c>
      <c r="K917" s="2011">
        <f t="shared" si="29"/>
        <v>0</v>
      </c>
    </row>
    <row r="918" spans="1:11" x14ac:dyDescent="0.2">
      <c r="A918" t="s">
        <v>5858</v>
      </c>
      <c r="B918" t="s">
        <v>7824</v>
      </c>
      <c r="C918" s="2022">
        <v>0</v>
      </c>
      <c r="D918" s="2022">
        <v>0</v>
      </c>
      <c r="E918" s="2022">
        <v>0</v>
      </c>
      <c r="F918" s="2022">
        <v>0</v>
      </c>
      <c r="G918" s="2022">
        <f t="shared" si="28"/>
        <v>0</v>
      </c>
      <c r="K918" s="2011">
        <f t="shared" si="29"/>
        <v>0</v>
      </c>
    </row>
    <row r="919" spans="1:11" x14ac:dyDescent="0.2">
      <c r="A919" t="s">
        <v>5859</v>
      </c>
      <c r="B919" t="s">
        <v>5860</v>
      </c>
      <c r="C919" s="2022">
        <v>1500000</v>
      </c>
      <c r="D919" s="2022">
        <v>0</v>
      </c>
      <c r="E919" s="2022">
        <v>2201298.37</v>
      </c>
      <c r="F919" s="2022">
        <v>-109211.82</v>
      </c>
      <c r="G919" s="2022">
        <f t="shared" si="28"/>
        <v>2092086.55</v>
      </c>
      <c r="I919" s="2022">
        <f>VLOOKUP(A919,'2012 - TB'!$A$3:$I$733,9,FALSE)</f>
        <v>2092086.55</v>
      </c>
      <c r="K919" s="2011">
        <f t="shared" si="29"/>
        <v>0</v>
      </c>
    </row>
    <row r="920" spans="1:11" x14ac:dyDescent="0.2">
      <c r="A920" t="s">
        <v>5861</v>
      </c>
      <c r="B920" t="s">
        <v>4879</v>
      </c>
      <c r="C920" s="2022">
        <v>5060</v>
      </c>
      <c r="D920" s="2022">
        <v>0</v>
      </c>
      <c r="E920" s="2022">
        <v>12216.52</v>
      </c>
      <c r="F920" s="2022">
        <v>0</v>
      </c>
      <c r="G920" s="2022">
        <f t="shared" si="28"/>
        <v>12216.52</v>
      </c>
      <c r="I920" s="2022">
        <f>VLOOKUP(A920,'2012 - TB'!$A$3:$I$733,9,FALSE)</f>
        <v>12216.52</v>
      </c>
      <c r="K920" s="2011">
        <f t="shared" si="29"/>
        <v>0</v>
      </c>
    </row>
    <row r="921" spans="1:11" x14ac:dyDescent="0.2">
      <c r="A921" t="s">
        <v>5862</v>
      </c>
      <c r="B921" t="s">
        <v>5285</v>
      </c>
      <c r="C921" s="2022">
        <v>0</v>
      </c>
      <c r="D921" s="2022">
        <v>0</v>
      </c>
      <c r="E921" s="2022">
        <v>0</v>
      </c>
      <c r="F921" s="2022">
        <v>0</v>
      </c>
      <c r="G921" s="2022">
        <f t="shared" si="28"/>
        <v>0</v>
      </c>
      <c r="K921" s="2011">
        <f t="shared" si="29"/>
        <v>0</v>
      </c>
    </row>
    <row r="922" spans="1:11" x14ac:dyDescent="0.2">
      <c r="A922" t="s">
        <v>5863</v>
      </c>
      <c r="B922" t="s">
        <v>4881</v>
      </c>
      <c r="C922" s="2022">
        <v>12675.92</v>
      </c>
      <c r="D922" s="2022">
        <v>0</v>
      </c>
      <c r="E922" s="2022">
        <v>20103.68</v>
      </c>
      <c r="F922" s="2022">
        <v>0</v>
      </c>
      <c r="G922" s="2022">
        <f t="shared" si="28"/>
        <v>20103.68</v>
      </c>
      <c r="I922" s="2022">
        <f>VLOOKUP(A922,'2012 - TB'!$A$3:$I$733,9,FALSE)</f>
        <v>20103.68</v>
      </c>
      <c r="K922" s="2011">
        <f t="shared" si="29"/>
        <v>0</v>
      </c>
    </row>
    <row r="923" spans="1:11" x14ac:dyDescent="0.2">
      <c r="A923" t="s">
        <v>5864</v>
      </c>
      <c r="B923" t="s">
        <v>4883</v>
      </c>
      <c r="C923" s="2022">
        <v>837</v>
      </c>
      <c r="D923" s="2022">
        <v>0</v>
      </c>
      <c r="E923" s="2022">
        <v>1655.42</v>
      </c>
      <c r="F923" s="2022">
        <v>0</v>
      </c>
      <c r="G923" s="2022">
        <f t="shared" si="28"/>
        <v>1655.42</v>
      </c>
      <c r="I923" s="2022">
        <f>VLOOKUP(A923,'2012 - TB'!$A$3:$I$733,9,FALSE)</f>
        <v>1655.42</v>
      </c>
      <c r="K923" s="2011">
        <f t="shared" si="29"/>
        <v>0</v>
      </c>
    </row>
    <row r="924" spans="1:11" x14ac:dyDescent="0.2">
      <c r="A924" t="s">
        <v>5865</v>
      </c>
      <c r="B924" t="s">
        <v>7826</v>
      </c>
      <c r="C924" s="2022">
        <v>0</v>
      </c>
      <c r="D924" s="2022">
        <v>0</v>
      </c>
      <c r="E924" s="2022">
        <v>0</v>
      </c>
      <c r="F924" s="2022">
        <v>0</v>
      </c>
      <c r="G924" s="2022">
        <f t="shared" si="28"/>
        <v>0</v>
      </c>
      <c r="K924" s="2011">
        <f t="shared" si="29"/>
        <v>0</v>
      </c>
    </row>
    <row r="925" spans="1:11" x14ac:dyDescent="0.2">
      <c r="A925" t="s">
        <v>5866</v>
      </c>
      <c r="B925" t="s">
        <v>5867</v>
      </c>
      <c r="C925" s="2022">
        <v>15000</v>
      </c>
      <c r="D925" s="2022">
        <v>0</v>
      </c>
      <c r="E925" s="2022">
        <v>12098.25</v>
      </c>
      <c r="F925" s="2022">
        <v>-400</v>
      </c>
      <c r="G925" s="2022">
        <f t="shared" si="28"/>
        <v>11698.25</v>
      </c>
      <c r="I925" s="2022">
        <f>VLOOKUP(A925,'2012 - TB'!$A$3:$I$733,9,FALSE)</f>
        <v>11698.25</v>
      </c>
      <c r="K925" s="2011">
        <f t="shared" si="29"/>
        <v>0</v>
      </c>
    </row>
    <row r="926" spans="1:11" x14ac:dyDescent="0.2">
      <c r="A926" t="s">
        <v>5868</v>
      </c>
      <c r="B926" t="s">
        <v>4889</v>
      </c>
      <c r="C926" s="2022">
        <v>10000</v>
      </c>
      <c r="D926" s="2022">
        <v>0</v>
      </c>
      <c r="E926" s="2022">
        <v>24275.9</v>
      </c>
      <c r="F926" s="2022">
        <v>-646.79999999999995</v>
      </c>
      <c r="G926" s="2022">
        <f t="shared" si="28"/>
        <v>23629.100000000002</v>
      </c>
      <c r="I926" s="2022">
        <f>VLOOKUP(A926,'2012 - TB'!$A$3:$I$733,9,FALSE)</f>
        <v>23629.100000000002</v>
      </c>
      <c r="K926" s="2011">
        <f t="shared" si="29"/>
        <v>0</v>
      </c>
    </row>
    <row r="927" spans="1:11" x14ac:dyDescent="0.2">
      <c r="A927" t="s">
        <v>5869</v>
      </c>
      <c r="B927" t="s">
        <v>4891</v>
      </c>
      <c r="C927" s="2022">
        <v>12872.49</v>
      </c>
      <c r="D927" s="2022">
        <v>0</v>
      </c>
      <c r="E927" s="2022">
        <v>15510.26</v>
      </c>
      <c r="F927" s="2022">
        <v>-15510.26</v>
      </c>
      <c r="G927" s="2022">
        <f t="shared" si="28"/>
        <v>0</v>
      </c>
      <c r="I927" s="2022">
        <f>VLOOKUP(A927,'2012 - TB'!$A$3:$I$733,9,FALSE)</f>
        <v>0</v>
      </c>
      <c r="K927" s="2011">
        <f t="shared" si="29"/>
        <v>0</v>
      </c>
    </row>
    <row r="928" spans="1:11" x14ac:dyDescent="0.2">
      <c r="A928" t="s">
        <v>5870</v>
      </c>
      <c r="B928" t="s">
        <v>5409</v>
      </c>
      <c r="C928" s="2022">
        <v>10000</v>
      </c>
      <c r="D928" s="2022">
        <v>0</v>
      </c>
      <c r="E928" s="2022">
        <v>457.85</v>
      </c>
      <c r="F928" s="2022">
        <v>-457.85</v>
      </c>
      <c r="G928" s="2022">
        <f t="shared" si="28"/>
        <v>0</v>
      </c>
      <c r="I928" s="2022">
        <f>VLOOKUP(A928,'2012 - TB'!$A$3:$I$733,9,FALSE)</f>
        <v>0</v>
      </c>
      <c r="K928" s="2011">
        <f t="shared" si="29"/>
        <v>0</v>
      </c>
    </row>
    <row r="929" spans="1:73" x14ac:dyDescent="0.2">
      <c r="A929" t="s">
        <v>5871</v>
      </c>
      <c r="B929" t="s">
        <v>8016</v>
      </c>
      <c r="C929" s="2022">
        <v>0</v>
      </c>
      <c r="D929" s="2022">
        <v>0</v>
      </c>
      <c r="E929" s="2022">
        <v>0</v>
      </c>
      <c r="F929" s="2022">
        <v>0</v>
      </c>
      <c r="G929" s="2022">
        <f t="shared" si="28"/>
        <v>0</v>
      </c>
      <c r="K929" s="2011">
        <f t="shared" si="29"/>
        <v>0</v>
      </c>
    </row>
    <row r="930" spans="1:73" x14ac:dyDescent="0.2">
      <c r="A930" t="s">
        <v>5872</v>
      </c>
      <c r="B930" t="s">
        <v>5411</v>
      </c>
      <c r="C930" s="2022">
        <v>508500.6</v>
      </c>
      <c r="D930" s="2022">
        <v>0</v>
      </c>
      <c r="E930" s="2022">
        <v>783895.23</v>
      </c>
      <c r="F930" s="2022">
        <v>-584159.39</v>
      </c>
      <c r="G930" s="2022">
        <f t="shared" si="28"/>
        <v>199735.83999999997</v>
      </c>
      <c r="I930" s="2022">
        <f>VLOOKUP(A930,'2012 - TB'!$A$3:$I$733,9,FALSE)</f>
        <v>199735.83999999997</v>
      </c>
      <c r="K930" s="2011">
        <f t="shared" si="29"/>
        <v>0</v>
      </c>
    </row>
    <row r="931" spans="1:73" x14ac:dyDescent="0.2">
      <c r="A931" t="s">
        <v>5873</v>
      </c>
      <c r="B931" t="s">
        <v>4931</v>
      </c>
      <c r="C931" s="2022">
        <v>0</v>
      </c>
      <c r="D931" s="2022">
        <v>0</v>
      </c>
      <c r="E931" s="2022">
        <v>0</v>
      </c>
      <c r="F931" s="2022">
        <v>0</v>
      </c>
      <c r="G931" s="2022">
        <f t="shared" si="28"/>
        <v>0</v>
      </c>
      <c r="K931" s="2011">
        <f t="shared" si="29"/>
        <v>0</v>
      </c>
    </row>
    <row r="932" spans="1:73" x14ac:dyDescent="0.2">
      <c r="A932" t="s">
        <v>5874</v>
      </c>
      <c r="B932" t="s">
        <v>5165</v>
      </c>
      <c r="C932" s="2022">
        <v>2148.5</v>
      </c>
      <c r="D932" s="2022">
        <v>0</v>
      </c>
      <c r="E932" s="2022">
        <v>2148.5</v>
      </c>
      <c r="F932" s="2022">
        <v>0</v>
      </c>
      <c r="G932" s="2022">
        <f t="shared" si="28"/>
        <v>2148.5</v>
      </c>
      <c r="I932" s="2022">
        <f>VLOOKUP(A932,'2012 - TB'!$A$3:$I$733,9,FALSE)</f>
        <v>2148.5</v>
      </c>
      <c r="K932" s="2011">
        <f t="shared" si="29"/>
        <v>0</v>
      </c>
    </row>
    <row r="933" spans="1:73" x14ac:dyDescent="0.2">
      <c r="A933" t="s">
        <v>5875</v>
      </c>
      <c r="B933" t="s">
        <v>5048</v>
      </c>
      <c r="C933" s="2022">
        <v>2810</v>
      </c>
      <c r="D933" s="2022">
        <v>0</v>
      </c>
      <c r="E933" s="2022">
        <v>2866.66</v>
      </c>
      <c r="F933" s="2022">
        <v>0</v>
      </c>
      <c r="G933" s="2022">
        <f t="shared" si="28"/>
        <v>2866.66</v>
      </c>
      <c r="I933" s="2022">
        <f>VLOOKUP(A933,'2012 - TB'!$A$3:$I$733,9,FALSE)</f>
        <v>2866.66</v>
      </c>
      <c r="K933" s="2011">
        <f t="shared" si="29"/>
        <v>0</v>
      </c>
    </row>
    <row r="934" spans="1:73" x14ac:dyDescent="0.2">
      <c r="A934" t="s">
        <v>5876</v>
      </c>
      <c r="B934" t="s">
        <v>8024</v>
      </c>
      <c r="C934" s="2022">
        <v>0</v>
      </c>
      <c r="D934" s="2022">
        <v>0</v>
      </c>
      <c r="E934" s="2022">
        <v>0</v>
      </c>
      <c r="F934" s="2022">
        <v>0</v>
      </c>
      <c r="G934" s="2022">
        <f t="shared" si="28"/>
        <v>0</v>
      </c>
      <c r="K934" s="2011">
        <f t="shared" si="29"/>
        <v>0</v>
      </c>
    </row>
    <row r="935" spans="1:73" x14ac:dyDescent="0.2">
      <c r="A935" t="s">
        <v>5877</v>
      </c>
      <c r="B935" t="s">
        <v>4895</v>
      </c>
      <c r="C935" s="2022">
        <v>45000</v>
      </c>
      <c r="D935" s="2022">
        <v>0</v>
      </c>
      <c r="E935" s="2022">
        <v>47495.12</v>
      </c>
      <c r="F935" s="2022">
        <v>0</v>
      </c>
      <c r="G935" s="2022">
        <f t="shared" si="28"/>
        <v>47495.12</v>
      </c>
      <c r="I935" s="2022">
        <f>VLOOKUP(A935,'2012 - TB'!$A$3:$I$733,9,FALSE)</f>
        <v>47495.12</v>
      </c>
      <c r="K935" s="2011">
        <f t="shared" si="29"/>
        <v>0</v>
      </c>
    </row>
    <row r="936" spans="1:73" x14ac:dyDescent="0.2">
      <c r="A936" t="s">
        <v>5878</v>
      </c>
      <c r="B936" t="s">
        <v>5177</v>
      </c>
      <c r="C936" s="2022">
        <v>0</v>
      </c>
      <c r="D936" s="2022">
        <v>0</v>
      </c>
      <c r="E936" s="2022">
        <v>95681.45</v>
      </c>
      <c r="F936" s="2022">
        <v>-98.9</v>
      </c>
      <c r="G936" s="2022">
        <f t="shared" si="28"/>
        <v>95582.55</v>
      </c>
      <c r="I936" s="2022">
        <f>VLOOKUP(A936,'2012 - TB'!$A$3:$I$733,9,FALSE)</f>
        <v>95582.550000000017</v>
      </c>
      <c r="K936" s="2011">
        <f t="shared" si="29"/>
        <v>0</v>
      </c>
    </row>
    <row r="937" spans="1:73" x14ac:dyDescent="0.2">
      <c r="A937" t="s">
        <v>5879</v>
      </c>
      <c r="B937" t="s">
        <v>5185</v>
      </c>
      <c r="C937" s="2022">
        <v>150000</v>
      </c>
      <c r="D937" s="2022">
        <v>0</v>
      </c>
      <c r="E937" s="2022">
        <v>132456.07999999999</v>
      </c>
      <c r="F937" s="2022">
        <v>-21978.53</v>
      </c>
      <c r="G937" s="2022">
        <f t="shared" si="28"/>
        <v>110477.54999999999</v>
      </c>
      <c r="I937" s="2022">
        <f>VLOOKUP(A937,'2012 - TB'!$A$3:$I$733,9,FALSE)</f>
        <v>110477.54999999999</v>
      </c>
      <c r="K937" s="2011">
        <f t="shared" si="29"/>
        <v>0</v>
      </c>
    </row>
    <row r="938" spans="1:73" x14ac:dyDescent="0.2">
      <c r="A938" t="s">
        <v>5880</v>
      </c>
      <c r="B938" t="s">
        <v>8019</v>
      </c>
      <c r="C938" s="2022">
        <v>0</v>
      </c>
      <c r="D938" s="2022">
        <v>0</v>
      </c>
      <c r="E938" s="2022">
        <v>47626601.359999999</v>
      </c>
      <c r="F938" s="2022">
        <v>0</v>
      </c>
      <c r="G938" s="2022">
        <f t="shared" si="28"/>
        <v>47626601.359999999</v>
      </c>
      <c r="I938" s="2022">
        <f>VLOOKUP(A938,'2012 - TB'!$A$3:$I$733,9,FALSE)</f>
        <v>30973199.599999994</v>
      </c>
      <c r="K938" s="2011">
        <f t="shared" si="29"/>
        <v>16653401.760000005</v>
      </c>
    </row>
    <row r="939" spans="1:73" x14ac:dyDescent="0.2">
      <c r="A939" t="s">
        <v>5881</v>
      </c>
      <c r="B939" t="s">
        <v>4897</v>
      </c>
      <c r="C939" s="2022">
        <v>652.4</v>
      </c>
      <c r="D939" s="2022">
        <v>0</v>
      </c>
      <c r="E939" s="2022">
        <v>0</v>
      </c>
      <c r="F939" s="2022">
        <v>0</v>
      </c>
      <c r="G939" s="2022">
        <f t="shared" si="28"/>
        <v>0</v>
      </c>
      <c r="I939" s="2022">
        <f>VLOOKUP(A939,'2012 - TB'!$A$3:$I$733,9,FALSE)</f>
        <v>0</v>
      </c>
      <c r="K939" s="2011">
        <f t="shared" si="29"/>
        <v>0</v>
      </c>
    </row>
    <row r="940" spans="1:73" x14ac:dyDescent="0.2">
      <c r="A940" t="s">
        <v>5882</v>
      </c>
      <c r="B940" t="s">
        <v>4899</v>
      </c>
      <c r="C940" s="2022">
        <v>18492.419999999998</v>
      </c>
      <c r="D940" s="2022">
        <v>0</v>
      </c>
      <c r="E940" s="2022">
        <v>0</v>
      </c>
      <c r="F940" s="2022">
        <v>0</v>
      </c>
      <c r="G940" s="2022">
        <f t="shared" si="28"/>
        <v>0</v>
      </c>
      <c r="I940" s="2022">
        <f>VLOOKUP(A940,'2012 - TB'!$A$3:$I$733,9,FALSE)</f>
        <v>0</v>
      </c>
      <c r="K940" s="2011">
        <f t="shared" si="29"/>
        <v>0</v>
      </c>
    </row>
    <row r="941" spans="1:73" x14ac:dyDescent="0.2">
      <c r="A941" t="s">
        <v>5883</v>
      </c>
      <c r="B941" t="s">
        <v>8025</v>
      </c>
      <c r="C941" s="2022">
        <v>0</v>
      </c>
      <c r="D941" s="2022">
        <v>0</v>
      </c>
      <c r="E941" s="2022">
        <v>0</v>
      </c>
      <c r="F941" s="2022">
        <v>0</v>
      </c>
      <c r="G941" s="2022">
        <f t="shared" si="28"/>
        <v>0</v>
      </c>
      <c r="K941" s="2011">
        <f t="shared" si="29"/>
        <v>0</v>
      </c>
    </row>
    <row r="942" spans="1:73" x14ac:dyDescent="0.2">
      <c r="A942" t="s">
        <v>5884</v>
      </c>
      <c r="B942" t="s">
        <v>5885</v>
      </c>
      <c r="C942" s="2022">
        <v>-2175371.4900000002</v>
      </c>
      <c r="D942" s="2022">
        <v>0</v>
      </c>
      <c r="E942" s="2022">
        <v>126528306.73</v>
      </c>
      <c r="F942" s="2022">
        <v>-149925595.75</v>
      </c>
      <c r="G942" s="2022">
        <f t="shared" si="28"/>
        <v>-23397289.019999996</v>
      </c>
      <c r="I942" s="2022">
        <f>VLOOKUP(A942,'2012 - TB'!$A$3:$I$733,9,FALSE)</f>
        <v>-8569976.8299999833</v>
      </c>
      <c r="K942" s="2011">
        <f t="shared" si="29"/>
        <v>-14827312.190000013</v>
      </c>
    </row>
    <row r="943" spans="1:73" s="2215" customFormat="1" x14ac:dyDescent="0.2">
      <c r="A943" s="2215" t="s">
        <v>5886</v>
      </c>
      <c r="B943" s="2215" t="s">
        <v>4901</v>
      </c>
      <c r="C943" s="2230">
        <v>-6268358.6600000001</v>
      </c>
      <c r="D943" s="2230">
        <v>0</v>
      </c>
      <c r="E943" s="2230">
        <v>0</v>
      </c>
      <c r="F943" s="2230">
        <v>0</v>
      </c>
      <c r="G943" s="2230">
        <f t="shared" si="28"/>
        <v>0</v>
      </c>
      <c r="I943" s="2230">
        <f>VLOOKUP(A943,'2012 - TB'!$A$3:$I$733,9,FALSE)</f>
        <v>-15979892.42</v>
      </c>
      <c r="K943" s="2728">
        <f t="shared" si="29"/>
        <v>15979892.42</v>
      </c>
      <c r="L943" s="2024"/>
      <c r="M943" s="2024"/>
      <c r="N943" s="2024"/>
      <c r="O943" s="2024"/>
      <c r="P943" s="2024"/>
      <c r="Q943" s="2024"/>
      <c r="R943" s="2024"/>
      <c r="S943" s="2024"/>
      <c r="T943" s="2024"/>
      <c r="U943" s="2024"/>
      <c r="V943" s="2024"/>
      <c r="W943" s="2024"/>
      <c r="X943" s="2024"/>
      <c r="Y943" s="2024"/>
      <c r="Z943" s="2024"/>
      <c r="AA943" s="2024"/>
      <c r="AB943" s="2024"/>
      <c r="AC943" s="2024"/>
      <c r="AD943" s="2024"/>
      <c r="AE943" s="2024"/>
      <c r="AF943" s="2024"/>
      <c r="AG943" s="2024"/>
      <c r="AH943" s="2024"/>
      <c r="AI943" s="2024"/>
      <c r="AJ943" s="2024"/>
      <c r="AK943" s="2024"/>
      <c r="AL943" s="2024"/>
      <c r="AM943" s="2024"/>
      <c r="AN943" s="2024"/>
      <c r="AO943" s="2024"/>
      <c r="AP943" s="2024"/>
      <c r="AQ943" s="2024"/>
      <c r="AR943" s="2024"/>
      <c r="AS943" s="2024"/>
      <c r="AT943" s="2024"/>
      <c r="AU943" s="2024"/>
      <c r="AV943" s="2024"/>
      <c r="AW943" s="2024"/>
      <c r="AX943" s="2024"/>
      <c r="AY943" s="2024"/>
      <c r="AZ943" s="2024"/>
      <c r="BA943" s="2024"/>
      <c r="BB943" s="2024"/>
      <c r="BC943" s="2024"/>
      <c r="BD943" s="2024"/>
      <c r="BE943" s="2024"/>
      <c r="BF943" s="2024"/>
      <c r="BG943" s="2024"/>
      <c r="BH943" s="2024"/>
      <c r="BI943" s="2024"/>
      <c r="BJ943" s="2024"/>
      <c r="BK943" s="2024"/>
      <c r="BL943" s="2024"/>
      <c r="BM943" s="2024"/>
      <c r="BN943" s="2024"/>
      <c r="BO943" s="2024"/>
      <c r="BP943" s="2024"/>
      <c r="BQ943" s="2024"/>
      <c r="BR943" s="2024"/>
      <c r="BS943" s="2024"/>
      <c r="BT943" s="2024"/>
      <c r="BU943" s="2024"/>
    </row>
    <row r="944" spans="1:73" s="2215" customFormat="1" x14ac:dyDescent="0.2">
      <c r="A944" s="2215" t="s">
        <v>5887</v>
      </c>
      <c r="B944" s="2215" t="s">
        <v>5313</v>
      </c>
      <c r="C944" s="2230">
        <v>-3627212.99</v>
      </c>
      <c r="D944" s="2230">
        <v>0</v>
      </c>
      <c r="E944" s="2230">
        <v>0</v>
      </c>
      <c r="F944" s="2230">
        <v>-15979892.42</v>
      </c>
      <c r="G944" s="2230">
        <f t="shared" si="28"/>
        <v>-15979892.42</v>
      </c>
      <c r="I944" s="2230">
        <f>VLOOKUP(A944,'2012 - TB'!$A$3:$I$733,9,FALSE)</f>
        <v>0</v>
      </c>
      <c r="K944" s="2634">
        <f t="shared" si="29"/>
        <v>-15979892.42</v>
      </c>
      <c r="L944" s="2024"/>
      <c r="M944" s="2024"/>
      <c r="N944" s="2024"/>
      <c r="O944" s="2024"/>
      <c r="P944" s="2024"/>
      <c r="Q944" s="2024"/>
      <c r="R944" s="2024"/>
      <c r="S944" s="2024"/>
      <c r="T944" s="2024"/>
      <c r="U944" s="2024"/>
      <c r="V944" s="2024"/>
      <c r="W944" s="2024"/>
      <c r="X944" s="2024"/>
      <c r="Y944" s="2024"/>
      <c r="Z944" s="2024"/>
      <c r="AA944" s="2024"/>
      <c r="AB944" s="2024"/>
      <c r="AC944" s="2024"/>
      <c r="AD944" s="2024"/>
      <c r="AE944" s="2024"/>
      <c r="AF944" s="2024"/>
      <c r="AG944" s="2024"/>
      <c r="AH944" s="2024"/>
      <c r="AI944" s="2024"/>
      <c r="AJ944" s="2024"/>
      <c r="AK944" s="2024"/>
      <c r="AL944" s="2024"/>
      <c r="AM944" s="2024"/>
      <c r="AN944" s="2024"/>
      <c r="AO944" s="2024"/>
      <c r="AP944" s="2024"/>
      <c r="AQ944" s="2024"/>
      <c r="AR944" s="2024"/>
      <c r="AS944" s="2024"/>
      <c r="AT944" s="2024"/>
      <c r="AU944" s="2024"/>
      <c r="AV944" s="2024"/>
      <c r="AW944" s="2024"/>
      <c r="AX944" s="2024"/>
      <c r="AY944" s="2024"/>
      <c r="AZ944" s="2024"/>
      <c r="BA944" s="2024"/>
      <c r="BB944" s="2024"/>
      <c r="BC944" s="2024"/>
      <c r="BD944" s="2024"/>
      <c r="BE944" s="2024"/>
      <c r="BF944" s="2024"/>
      <c r="BG944" s="2024"/>
      <c r="BH944" s="2024"/>
      <c r="BI944" s="2024"/>
      <c r="BJ944" s="2024"/>
      <c r="BK944" s="2024"/>
      <c r="BL944" s="2024"/>
      <c r="BM944" s="2024"/>
      <c r="BN944" s="2024"/>
      <c r="BO944" s="2024"/>
      <c r="BP944" s="2024"/>
      <c r="BQ944" s="2024"/>
      <c r="BR944" s="2024"/>
      <c r="BS944" s="2024"/>
      <c r="BT944" s="2024"/>
      <c r="BU944" s="2024"/>
    </row>
    <row r="945" spans="1:73" x14ac:dyDescent="0.2">
      <c r="A945" t="s">
        <v>5888</v>
      </c>
      <c r="B945" t="s">
        <v>5722</v>
      </c>
      <c r="C945" s="2022">
        <v>-547.34</v>
      </c>
      <c r="D945" s="2022">
        <v>0</v>
      </c>
      <c r="E945" s="2022">
        <v>98.07</v>
      </c>
      <c r="F945" s="2022">
        <v>-798.6</v>
      </c>
      <c r="G945" s="2022">
        <f t="shared" si="28"/>
        <v>-700.53</v>
      </c>
      <c r="I945" s="2022">
        <f>VLOOKUP(A945,'2012 - TB'!$A$3:$I$733,9,FALSE)</f>
        <v>-700.53</v>
      </c>
      <c r="K945" s="2011">
        <f t="shared" si="29"/>
        <v>0</v>
      </c>
    </row>
    <row r="946" spans="1:73" s="2215" customFormat="1" x14ac:dyDescent="0.2">
      <c r="A946" s="2215" t="s">
        <v>5889</v>
      </c>
      <c r="B946" s="2215" t="s">
        <v>7978</v>
      </c>
      <c r="C946" s="2230">
        <v>0</v>
      </c>
      <c r="D946" s="2230">
        <v>0</v>
      </c>
      <c r="E946" s="2230">
        <v>0</v>
      </c>
      <c r="F946" s="2230">
        <v>0</v>
      </c>
      <c r="G946" s="2230">
        <f t="shared" si="28"/>
        <v>0</v>
      </c>
      <c r="I946" s="2230">
        <f>VLOOKUP(A946,'2012 - TB'!$A$3:$I$733,9,FALSE)</f>
        <v>-108673.56</v>
      </c>
      <c r="K946" s="2230">
        <f t="shared" si="29"/>
        <v>108673.56</v>
      </c>
      <c r="L946" s="2024"/>
      <c r="M946" s="2024"/>
      <c r="N946" s="2024"/>
      <c r="O946" s="2024"/>
      <c r="P946" s="2024"/>
      <c r="Q946" s="2024"/>
      <c r="R946" s="2024"/>
      <c r="S946" s="2024"/>
      <c r="T946" s="2024"/>
      <c r="U946" s="2024"/>
      <c r="V946" s="2024"/>
      <c r="W946" s="2024"/>
      <c r="X946" s="2024"/>
      <c r="Y946" s="2024"/>
      <c r="Z946" s="2024"/>
      <c r="AA946" s="2024"/>
      <c r="AB946" s="2024"/>
      <c r="AC946" s="2024"/>
      <c r="AD946" s="2024"/>
      <c r="AE946" s="2024"/>
      <c r="AF946" s="2024"/>
      <c r="AG946" s="2024"/>
      <c r="AH946" s="2024"/>
      <c r="AI946" s="2024"/>
      <c r="AJ946" s="2024"/>
      <c r="AK946" s="2024"/>
      <c r="AL946" s="2024"/>
      <c r="AM946" s="2024"/>
      <c r="AN946" s="2024"/>
      <c r="AO946" s="2024"/>
      <c r="AP946" s="2024"/>
      <c r="AQ946" s="2024"/>
      <c r="AR946" s="2024"/>
      <c r="AS946" s="2024"/>
      <c r="AT946" s="2024"/>
      <c r="AU946" s="2024"/>
      <c r="AV946" s="2024"/>
      <c r="AW946" s="2024"/>
      <c r="AX946" s="2024"/>
      <c r="AY946" s="2024"/>
      <c r="AZ946" s="2024"/>
      <c r="BA946" s="2024"/>
      <c r="BB946" s="2024"/>
      <c r="BC946" s="2024"/>
      <c r="BD946" s="2024"/>
      <c r="BE946" s="2024"/>
      <c r="BF946" s="2024"/>
      <c r="BG946" s="2024"/>
      <c r="BH946" s="2024"/>
      <c r="BI946" s="2024"/>
      <c r="BJ946" s="2024"/>
      <c r="BK946" s="2024"/>
      <c r="BL946" s="2024"/>
      <c r="BM946" s="2024"/>
      <c r="BN946" s="2024"/>
      <c r="BO946" s="2024"/>
      <c r="BP946" s="2024"/>
      <c r="BQ946" s="2024"/>
      <c r="BR946" s="2024"/>
      <c r="BS946" s="2024"/>
      <c r="BT946" s="2024"/>
      <c r="BU946" s="2024"/>
    </row>
    <row r="947" spans="1:73" x14ac:dyDescent="0.2">
      <c r="A947" t="s">
        <v>5890</v>
      </c>
      <c r="B947" t="s">
        <v>8026</v>
      </c>
      <c r="C947" s="2022">
        <v>0</v>
      </c>
      <c r="D947" s="2022">
        <v>0</v>
      </c>
      <c r="E947" s="2022">
        <v>0</v>
      </c>
      <c r="F947" s="2022">
        <v>0</v>
      </c>
      <c r="G947" s="2022">
        <f t="shared" si="28"/>
        <v>0</v>
      </c>
      <c r="K947" s="2011">
        <f t="shared" si="29"/>
        <v>0</v>
      </c>
    </row>
    <row r="948" spans="1:73" x14ac:dyDescent="0.2">
      <c r="A948" t="s">
        <v>5891</v>
      </c>
      <c r="B948" t="s">
        <v>5095</v>
      </c>
      <c r="C948" s="2022">
        <v>1055237.54</v>
      </c>
      <c r="D948" s="2022">
        <v>0</v>
      </c>
      <c r="E948" s="2022">
        <v>2315.79</v>
      </c>
      <c r="F948" s="2022">
        <v>0</v>
      </c>
      <c r="G948" s="2022">
        <f t="shared" si="28"/>
        <v>2315.79</v>
      </c>
      <c r="I948" s="2022">
        <f>VLOOKUP(A948,'2012 - TB'!$A$3:$I$733,9,FALSE)</f>
        <v>0</v>
      </c>
      <c r="K948" s="2011">
        <f t="shared" si="29"/>
        <v>2315.79</v>
      </c>
    </row>
    <row r="949" spans="1:73" x14ac:dyDescent="0.2">
      <c r="A949" t="s">
        <v>5892</v>
      </c>
      <c r="B949" t="s">
        <v>4808</v>
      </c>
      <c r="C949" s="2022">
        <v>499293.48</v>
      </c>
      <c r="D949" s="2022">
        <v>0</v>
      </c>
      <c r="E949" s="2022">
        <v>499293.48</v>
      </c>
      <c r="F949" s="2022">
        <v>-3894.94</v>
      </c>
      <c r="G949" s="2022">
        <f t="shared" si="28"/>
        <v>495398.54</v>
      </c>
      <c r="I949" s="2022">
        <f>VLOOKUP(A949,'2012 - TB'!$A$3:$I$733,9,FALSE)</f>
        <v>495398.54</v>
      </c>
      <c r="K949" s="2011">
        <f t="shared" si="29"/>
        <v>0</v>
      </c>
    </row>
    <row r="950" spans="1:73" x14ac:dyDescent="0.2">
      <c r="A950" t="s">
        <v>5893</v>
      </c>
      <c r="B950" t="s">
        <v>4812</v>
      </c>
      <c r="C950" s="2022">
        <v>41123.379999999997</v>
      </c>
      <c r="D950" s="2022">
        <v>0</v>
      </c>
      <c r="E950" s="2022">
        <v>33134.199999999997</v>
      </c>
      <c r="F950" s="2022">
        <v>0</v>
      </c>
      <c r="G950" s="2022">
        <f t="shared" si="28"/>
        <v>33134.199999999997</v>
      </c>
      <c r="I950" s="2022">
        <f>VLOOKUP(A950,'2012 - TB'!$A$3:$I$733,9,FALSE)</f>
        <v>33134.199999999997</v>
      </c>
      <c r="K950" s="2011">
        <f t="shared" si="29"/>
        <v>0</v>
      </c>
    </row>
    <row r="951" spans="1:73" x14ac:dyDescent="0.2">
      <c r="A951" t="s">
        <v>5894</v>
      </c>
      <c r="B951" t="s">
        <v>4814</v>
      </c>
      <c r="C951" s="2022">
        <v>8400</v>
      </c>
      <c r="D951" s="2022">
        <v>0</v>
      </c>
      <c r="E951" s="2022">
        <v>8400</v>
      </c>
      <c r="F951" s="2022">
        <v>0</v>
      </c>
      <c r="G951" s="2022">
        <f t="shared" si="28"/>
        <v>8400</v>
      </c>
      <c r="I951" s="2022">
        <f>VLOOKUP(A951,'2012 - TB'!$A$3:$I$733,9,FALSE)</f>
        <v>8400</v>
      </c>
      <c r="K951" s="2011">
        <f t="shared" si="29"/>
        <v>0</v>
      </c>
    </row>
    <row r="952" spans="1:73" x14ac:dyDescent="0.2">
      <c r="A952" t="s">
        <v>5895</v>
      </c>
      <c r="B952" t="s">
        <v>4818</v>
      </c>
      <c r="C952" s="2022">
        <v>45000</v>
      </c>
      <c r="D952" s="2022">
        <v>0</v>
      </c>
      <c r="E952" s="2022">
        <v>35717.99</v>
      </c>
      <c r="F952" s="2022">
        <v>0</v>
      </c>
      <c r="G952" s="2022">
        <f t="shared" si="28"/>
        <v>35717.99</v>
      </c>
      <c r="I952" s="2022">
        <f>VLOOKUP(A952,'2012 - TB'!$A$3:$I$733,9,FALSE)</f>
        <v>35717.99</v>
      </c>
      <c r="K952" s="2011">
        <f t="shared" si="29"/>
        <v>0</v>
      </c>
    </row>
    <row r="953" spans="1:73" x14ac:dyDescent="0.2">
      <c r="A953" t="s">
        <v>5896</v>
      </c>
      <c r="B953" t="s">
        <v>4824</v>
      </c>
      <c r="C953" s="2022">
        <v>150.51</v>
      </c>
      <c r="D953" s="2022">
        <v>0</v>
      </c>
      <c r="E953" s="2022">
        <v>147.51</v>
      </c>
      <c r="F953" s="2022">
        <v>0</v>
      </c>
      <c r="G953" s="2022">
        <f t="shared" si="28"/>
        <v>147.51</v>
      </c>
      <c r="I953" s="2022">
        <f>VLOOKUP(A953,'2012 - TB'!$A$3:$I$733,9,FALSE)</f>
        <v>147.51</v>
      </c>
      <c r="K953" s="2011">
        <f t="shared" si="29"/>
        <v>0</v>
      </c>
    </row>
    <row r="954" spans="1:73" x14ac:dyDescent="0.2">
      <c r="A954" t="s">
        <v>5897</v>
      </c>
      <c r="B954" t="s">
        <v>4826</v>
      </c>
      <c r="C954" s="2022">
        <v>5345.46</v>
      </c>
      <c r="D954" s="2022">
        <v>0</v>
      </c>
      <c r="E954" s="2022">
        <v>5585.02</v>
      </c>
      <c r="F954" s="2022">
        <v>0</v>
      </c>
      <c r="G954" s="2022">
        <f t="shared" si="28"/>
        <v>5585.02</v>
      </c>
      <c r="I954" s="2022">
        <f>VLOOKUP(A954,'2012 - TB'!$A$3:$I$733,9,FALSE)</f>
        <v>5585.02</v>
      </c>
      <c r="K954" s="2011">
        <f t="shared" si="29"/>
        <v>0</v>
      </c>
    </row>
    <row r="955" spans="1:73" x14ac:dyDescent="0.2">
      <c r="A955" t="s">
        <v>5898</v>
      </c>
      <c r="B955" t="s">
        <v>7818</v>
      </c>
      <c r="C955" s="2022">
        <v>0</v>
      </c>
      <c r="D955" s="2022">
        <v>0</v>
      </c>
      <c r="E955" s="2022">
        <v>0</v>
      </c>
      <c r="F955" s="2022">
        <v>0</v>
      </c>
      <c r="G955" s="2022">
        <f t="shared" si="28"/>
        <v>0</v>
      </c>
      <c r="K955" s="2011">
        <f t="shared" si="29"/>
        <v>0</v>
      </c>
    </row>
    <row r="956" spans="1:73" x14ac:dyDescent="0.2">
      <c r="A956" t="s">
        <v>5899</v>
      </c>
      <c r="B956" t="s">
        <v>4829</v>
      </c>
      <c r="C956" s="2022">
        <v>36381.599999999999</v>
      </c>
      <c r="D956" s="2022">
        <v>0</v>
      </c>
      <c r="E956" s="2022">
        <v>36381.599999999999</v>
      </c>
      <c r="F956" s="2022">
        <v>0</v>
      </c>
      <c r="G956" s="2022">
        <f t="shared" si="28"/>
        <v>36381.599999999999</v>
      </c>
      <c r="I956" s="2022">
        <f>VLOOKUP(A956,'2012 - TB'!$A$3:$I$733,9,FALSE)</f>
        <v>36381.599999999999</v>
      </c>
      <c r="K956" s="2011">
        <f t="shared" si="29"/>
        <v>0</v>
      </c>
    </row>
    <row r="957" spans="1:73" x14ac:dyDescent="0.2">
      <c r="A957" t="s">
        <v>5900</v>
      </c>
      <c r="B957" t="s">
        <v>4831</v>
      </c>
      <c r="C957" s="2022">
        <v>84253.75</v>
      </c>
      <c r="D957" s="2022">
        <v>0</v>
      </c>
      <c r="E957" s="2022">
        <v>84253.75</v>
      </c>
      <c r="F957" s="2022">
        <v>0</v>
      </c>
      <c r="G957" s="2022">
        <f t="shared" si="28"/>
        <v>84253.75</v>
      </c>
      <c r="I957" s="2022">
        <f>VLOOKUP(A957,'2012 - TB'!$A$3:$I$733,9,FALSE)</f>
        <v>84253.75</v>
      </c>
      <c r="K957" s="2011">
        <f t="shared" si="29"/>
        <v>0</v>
      </c>
    </row>
    <row r="958" spans="1:73" x14ac:dyDescent="0.2">
      <c r="A958" t="s">
        <v>5901</v>
      </c>
      <c r="B958" t="s">
        <v>4833</v>
      </c>
      <c r="C958" s="2022">
        <v>22352.94</v>
      </c>
      <c r="D958" s="2022">
        <v>0</v>
      </c>
      <c r="E958" s="2022">
        <v>22352.94</v>
      </c>
      <c r="F958" s="2022">
        <v>0</v>
      </c>
      <c r="G958" s="2022">
        <f t="shared" si="28"/>
        <v>22352.94</v>
      </c>
      <c r="I958" s="2022">
        <f>VLOOKUP(A958,'2012 - TB'!$A$3:$I$733,9,FALSE)</f>
        <v>22352.94</v>
      </c>
      <c r="K958" s="2011">
        <f t="shared" si="29"/>
        <v>0</v>
      </c>
    </row>
    <row r="959" spans="1:73" x14ac:dyDescent="0.2">
      <c r="A959" t="s">
        <v>5902</v>
      </c>
      <c r="B959" t="s">
        <v>8015</v>
      </c>
      <c r="C959" s="2022">
        <v>0</v>
      </c>
      <c r="D959" s="2022">
        <v>0</v>
      </c>
      <c r="E959" s="2022">
        <v>0</v>
      </c>
      <c r="F959" s="2022">
        <v>0</v>
      </c>
      <c r="G959" s="2022">
        <f t="shared" si="28"/>
        <v>0</v>
      </c>
      <c r="K959" s="2011">
        <f t="shared" si="29"/>
        <v>0</v>
      </c>
    </row>
    <row r="960" spans="1:73" s="2215" customFormat="1" x14ac:dyDescent="0.2">
      <c r="A960" s="2215" t="s">
        <v>5903</v>
      </c>
      <c r="B960" s="2215" t="s">
        <v>8027</v>
      </c>
      <c r="C960" s="2230">
        <v>0</v>
      </c>
      <c r="D960" s="2230">
        <v>0</v>
      </c>
      <c r="E960" s="2230">
        <v>203889.39</v>
      </c>
      <c r="F960" s="2230">
        <v>0</v>
      </c>
      <c r="G960" s="2230">
        <f t="shared" si="28"/>
        <v>203889.39</v>
      </c>
      <c r="I960" s="2230">
        <f>VLOOKUP(A960,'2012 - TB'!$A$3:$I$733,9,FALSE)</f>
        <v>70113.919999999998</v>
      </c>
      <c r="K960" s="2728">
        <f t="shared" si="29"/>
        <v>133775.47000000003</v>
      </c>
      <c r="L960" s="2024"/>
      <c r="M960" s="2024"/>
      <c r="N960" s="2024"/>
      <c r="O960" s="2024"/>
      <c r="P960" s="2024"/>
      <c r="Q960" s="2024"/>
      <c r="R960" s="2024"/>
      <c r="S960" s="2024"/>
      <c r="T960" s="2024"/>
      <c r="U960" s="2024"/>
      <c r="V960" s="2024"/>
      <c r="W960" s="2024"/>
      <c r="X960" s="2024"/>
      <c r="Y960" s="2024"/>
      <c r="Z960" s="2024"/>
      <c r="AA960" s="2024"/>
      <c r="AB960" s="2024"/>
      <c r="AC960" s="2024"/>
      <c r="AD960" s="2024"/>
      <c r="AE960" s="2024"/>
      <c r="AF960" s="2024"/>
      <c r="AG960" s="2024"/>
      <c r="AH960" s="2024"/>
      <c r="AI960" s="2024"/>
      <c r="AJ960" s="2024"/>
      <c r="AK960" s="2024"/>
      <c r="AL960" s="2024"/>
      <c r="AM960" s="2024"/>
      <c r="AN960" s="2024"/>
      <c r="AO960" s="2024"/>
      <c r="AP960" s="2024"/>
      <c r="AQ960" s="2024"/>
      <c r="AR960" s="2024"/>
      <c r="AS960" s="2024"/>
      <c r="AT960" s="2024"/>
      <c r="AU960" s="2024"/>
      <c r="AV960" s="2024"/>
      <c r="AW960" s="2024"/>
      <c r="AX960" s="2024"/>
      <c r="AY960" s="2024"/>
      <c r="AZ960" s="2024"/>
      <c r="BA960" s="2024"/>
      <c r="BB960" s="2024"/>
      <c r="BC960" s="2024"/>
      <c r="BD960" s="2024"/>
      <c r="BE960" s="2024"/>
      <c r="BF960" s="2024"/>
      <c r="BG960" s="2024"/>
      <c r="BH960" s="2024"/>
      <c r="BI960" s="2024"/>
      <c r="BJ960" s="2024"/>
      <c r="BK960" s="2024"/>
      <c r="BL960" s="2024"/>
      <c r="BM960" s="2024"/>
      <c r="BN960" s="2024"/>
      <c r="BO960" s="2024"/>
      <c r="BP960" s="2024"/>
      <c r="BQ960" s="2024"/>
      <c r="BR960" s="2024"/>
      <c r="BS960" s="2024"/>
      <c r="BT960" s="2024"/>
      <c r="BU960" s="2024"/>
    </row>
    <row r="961" spans="1:73" x14ac:dyDescent="0.2">
      <c r="A961" t="s">
        <v>5904</v>
      </c>
      <c r="B961" t="s">
        <v>7764</v>
      </c>
      <c r="C961" s="2022">
        <v>0</v>
      </c>
      <c r="D961" s="2022">
        <v>0</v>
      </c>
      <c r="E961" s="2022">
        <v>0</v>
      </c>
      <c r="F961" s="2022">
        <v>0</v>
      </c>
      <c r="G961" s="2022">
        <f t="shared" si="28"/>
        <v>0</v>
      </c>
      <c r="K961" s="2011">
        <f t="shared" si="29"/>
        <v>0</v>
      </c>
    </row>
    <row r="962" spans="1:73" s="2215" customFormat="1" x14ac:dyDescent="0.2">
      <c r="A962" s="2215" t="s">
        <v>5905</v>
      </c>
      <c r="B962" s="2215" t="s">
        <v>5906</v>
      </c>
      <c r="C962" s="2230">
        <v>1400000</v>
      </c>
      <c r="D962" s="2230">
        <v>0</v>
      </c>
      <c r="E962" s="2230">
        <v>12410080.09</v>
      </c>
      <c r="F962" s="2230">
        <v>-1982915.79</v>
      </c>
      <c r="G962" s="2230">
        <f t="shared" ref="G962:G1025" si="30">SUM(D962:F962)</f>
        <v>10427164.300000001</v>
      </c>
      <c r="I962" s="2230">
        <f>VLOOKUP(A962,'2012 - TB'!$A$3:$I$733,9,FALSE)</f>
        <v>0</v>
      </c>
      <c r="K962" s="2728">
        <f t="shared" ref="K962:K1025" si="31">G962-I962</f>
        <v>10427164.300000001</v>
      </c>
      <c r="L962" s="2024"/>
      <c r="M962" s="2024"/>
      <c r="N962" s="2024"/>
      <c r="O962" s="2024"/>
      <c r="P962" s="2024"/>
      <c r="Q962" s="2024"/>
      <c r="R962" s="2024"/>
      <c r="S962" s="2024"/>
      <c r="T962" s="2024"/>
      <c r="U962" s="2024"/>
      <c r="V962" s="2024"/>
      <c r="W962" s="2024"/>
      <c r="X962" s="2024"/>
      <c r="Y962" s="2024"/>
      <c r="Z962" s="2024"/>
      <c r="AA962" s="2024"/>
      <c r="AB962" s="2024"/>
      <c r="AC962" s="2024"/>
      <c r="AD962" s="2024"/>
      <c r="AE962" s="2024"/>
      <c r="AF962" s="2024"/>
      <c r="AG962" s="2024"/>
      <c r="AH962" s="2024"/>
      <c r="AI962" s="2024"/>
      <c r="AJ962" s="2024"/>
      <c r="AK962" s="2024"/>
      <c r="AL962" s="2024"/>
      <c r="AM962" s="2024"/>
      <c r="AN962" s="2024"/>
      <c r="AO962" s="2024"/>
      <c r="AP962" s="2024"/>
      <c r="AQ962" s="2024"/>
      <c r="AR962" s="2024"/>
      <c r="AS962" s="2024"/>
      <c r="AT962" s="2024"/>
      <c r="AU962" s="2024"/>
      <c r="AV962" s="2024"/>
      <c r="AW962" s="2024"/>
      <c r="AX962" s="2024"/>
      <c r="AY962" s="2024"/>
      <c r="AZ962" s="2024"/>
      <c r="BA962" s="2024"/>
      <c r="BB962" s="2024"/>
      <c r="BC962" s="2024"/>
      <c r="BD962" s="2024"/>
      <c r="BE962" s="2024"/>
      <c r="BF962" s="2024"/>
      <c r="BG962" s="2024"/>
      <c r="BH962" s="2024"/>
      <c r="BI962" s="2024"/>
      <c r="BJ962" s="2024"/>
      <c r="BK962" s="2024"/>
      <c r="BL962" s="2024"/>
      <c r="BM962" s="2024"/>
      <c r="BN962" s="2024"/>
      <c r="BO962" s="2024"/>
      <c r="BP962" s="2024"/>
      <c r="BQ962" s="2024"/>
      <c r="BR962" s="2024"/>
      <c r="BS962" s="2024"/>
      <c r="BT962" s="2024"/>
      <c r="BU962" s="2024"/>
    </row>
    <row r="963" spans="1:73" x14ac:dyDescent="0.2">
      <c r="A963" t="s">
        <v>5907</v>
      </c>
      <c r="B963" t="s">
        <v>8023</v>
      </c>
      <c r="C963" s="2022">
        <v>0</v>
      </c>
      <c r="D963" s="2022">
        <v>0</v>
      </c>
      <c r="E963" s="2022">
        <v>0</v>
      </c>
      <c r="F963" s="2022">
        <v>0</v>
      </c>
      <c r="G963" s="2022">
        <f t="shared" si="30"/>
        <v>0</v>
      </c>
      <c r="K963" s="2011">
        <f t="shared" si="31"/>
        <v>0</v>
      </c>
    </row>
    <row r="964" spans="1:73" x14ac:dyDescent="0.2">
      <c r="A964" t="s">
        <v>5908</v>
      </c>
      <c r="B964" t="s">
        <v>5909</v>
      </c>
      <c r="C964" s="2022">
        <v>627000</v>
      </c>
      <c r="D964" s="2022">
        <v>0</v>
      </c>
      <c r="E964" s="2022">
        <v>0</v>
      </c>
      <c r="F964" s="2022">
        <v>0</v>
      </c>
      <c r="G964" s="2022">
        <f t="shared" si="30"/>
        <v>0</v>
      </c>
      <c r="I964" s="2022">
        <f>VLOOKUP(A964,'2012 - TB'!$A$3:$I$733,9,FALSE)</f>
        <v>0</v>
      </c>
      <c r="K964" s="2011">
        <f t="shared" si="31"/>
        <v>0</v>
      </c>
    </row>
    <row r="965" spans="1:73" x14ac:dyDescent="0.2">
      <c r="A965" t="s">
        <v>5910</v>
      </c>
      <c r="B965" t="s">
        <v>4853</v>
      </c>
      <c r="C965" s="2022">
        <v>0</v>
      </c>
      <c r="D965" s="2022">
        <v>0</v>
      </c>
      <c r="E965" s="2022">
        <v>0</v>
      </c>
      <c r="F965" s="2022">
        <v>0</v>
      </c>
      <c r="G965" s="2022">
        <f t="shared" si="30"/>
        <v>0</v>
      </c>
      <c r="K965" s="2011">
        <f t="shared" si="31"/>
        <v>0</v>
      </c>
    </row>
    <row r="966" spans="1:73" x14ac:dyDescent="0.2">
      <c r="A966" t="s">
        <v>5911</v>
      </c>
      <c r="B966" t="s">
        <v>5003</v>
      </c>
      <c r="C966" s="2022">
        <v>0</v>
      </c>
      <c r="D966" s="2022">
        <v>0</v>
      </c>
      <c r="E966" s="2022">
        <v>0</v>
      </c>
      <c r="F966" s="2022">
        <v>0</v>
      </c>
      <c r="G966" s="2022">
        <f t="shared" si="30"/>
        <v>0</v>
      </c>
      <c r="K966" s="2011">
        <f t="shared" si="31"/>
        <v>0</v>
      </c>
    </row>
    <row r="967" spans="1:73" x14ac:dyDescent="0.2">
      <c r="A967" t="s">
        <v>5912</v>
      </c>
      <c r="B967" t="s">
        <v>4867</v>
      </c>
      <c r="C967" s="2022">
        <v>0</v>
      </c>
      <c r="D967" s="2022">
        <v>0</v>
      </c>
      <c r="E967" s="2022">
        <v>0</v>
      </c>
      <c r="F967" s="2022">
        <v>0</v>
      </c>
      <c r="G967" s="2022">
        <f t="shared" si="30"/>
        <v>0</v>
      </c>
      <c r="K967" s="2011">
        <f t="shared" si="31"/>
        <v>0</v>
      </c>
    </row>
    <row r="968" spans="1:73" s="2632" customFormat="1" x14ac:dyDescent="0.2">
      <c r="A968" s="2632" t="s">
        <v>5913</v>
      </c>
      <c r="B968" s="2632" t="s">
        <v>4873</v>
      </c>
      <c r="C968" s="2728">
        <v>16956.5</v>
      </c>
      <c r="D968" s="2728">
        <v>0</v>
      </c>
      <c r="E968" s="2728">
        <v>1672735.79</v>
      </c>
      <c r="F968" s="2728">
        <v>-11091.46</v>
      </c>
      <c r="G968" s="2728">
        <f t="shared" si="30"/>
        <v>1661644.33</v>
      </c>
      <c r="I968" s="2728">
        <f>VLOOKUP(A968,'2012 - TB'!$A$3:$I$733,9,FALSE)</f>
        <v>0</v>
      </c>
      <c r="K968" s="2728">
        <f t="shared" si="31"/>
        <v>1661644.33</v>
      </c>
      <c r="L968" s="2024"/>
      <c r="M968" s="2024"/>
      <c r="N968" s="2024"/>
      <c r="O968" s="2024"/>
      <c r="P968" s="2024"/>
      <c r="Q968" s="2024"/>
      <c r="R968" s="2024"/>
      <c r="S968" s="2024"/>
      <c r="T968" s="2024"/>
      <c r="U968" s="2024"/>
      <c r="V968" s="2024"/>
      <c r="W968" s="2024"/>
      <c r="X968" s="2024"/>
      <c r="Y968" s="2024"/>
      <c r="Z968" s="2024"/>
      <c r="AA968" s="2024"/>
      <c r="AB968" s="2024"/>
      <c r="AC968" s="2024"/>
      <c r="AD968" s="2024"/>
      <c r="AE968" s="2024"/>
      <c r="AF968" s="2024"/>
      <c r="AG968" s="2024"/>
      <c r="AH968" s="2024"/>
      <c r="AI968" s="2024"/>
      <c r="AJ968" s="2024"/>
      <c r="AK968" s="2024"/>
      <c r="AL968" s="2024"/>
      <c r="AM968" s="2024"/>
      <c r="AN968" s="2024"/>
      <c r="AO968" s="2024"/>
      <c r="AP968" s="2024"/>
      <c r="AQ968" s="2024"/>
      <c r="AR968" s="2024"/>
      <c r="AS968" s="2024"/>
      <c r="AT968" s="2024"/>
      <c r="AU968" s="2024"/>
      <c r="AV968" s="2024"/>
      <c r="AW968" s="2024"/>
      <c r="AX968" s="2024"/>
      <c r="AY968" s="2024"/>
      <c r="AZ968" s="2024"/>
      <c r="BA968" s="2024"/>
      <c r="BB968" s="2024"/>
      <c r="BC968" s="2024"/>
      <c r="BD968" s="2024"/>
      <c r="BE968" s="2024"/>
      <c r="BF968" s="2024"/>
      <c r="BG968" s="2024"/>
      <c r="BH968" s="2024"/>
      <c r="BI968" s="2024"/>
      <c r="BJ968" s="2024"/>
      <c r="BK968" s="2024"/>
      <c r="BL968" s="2024"/>
      <c r="BM968" s="2024"/>
      <c r="BN968" s="2024"/>
      <c r="BO968" s="2024"/>
      <c r="BP968" s="2024"/>
      <c r="BQ968" s="2024"/>
      <c r="BR968" s="2024"/>
      <c r="BS968" s="2024"/>
      <c r="BT968" s="2024"/>
      <c r="BU968" s="2024"/>
    </row>
    <row r="969" spans="1:73" x14ac:dyDescent="0.2">
      <c r="A969" t="s">
        <v>5914</v>
      </c>
      <c r="B969" t="s">
        <v>4879</v>
      </c>
      <c r="C969" s="2022">
        <v>190865.64</v>
      </c>
      <c r="D969" s="2022">
        <v>0</v>
      </c>
      <c r="E969" s="2022">
        <v>201088.94</v>
      </c>
      <c r="F969" s="2022">
        <v>0</v>
      </c>
      <c r="G969" s="2022">
        <f t="shared" si="30"/>
        <v>201088.94</v>
      </c>
      <c r="I969" s="2022">
        <f>VLOOKUP(A969,'2012 - TB'!$A$3:$I$733,9,FALSE)</f>
        <v>201088.94</v>
      </c>
      <c r="K969" s="2011">
        <f t="shared" si="31"/>
        <v>0</v>
      </c>
    </row>
    <row r="970" spans="1:73" x14ac:dyDescent="0.2">
      <c r="A970" t="s">
        <v>5915</v>
      </c>
      <c r="B970" t="s">
        <v>4883</v>
      </c>
      <c r="C970" s="2022">
        <v>0</v>
      </c>
      <c r="D970" s="2022">
        <v>0</v>
      </c>
      <c r="E970" s="2022">
        <v>0</v>
      </c>
      <c r="F970" s="2022">
        <v>0</v>
      </c>
      <c r="G970" s="2022">
        <f t="shared" si="30"/>
        <v>0</v>
      </c>
      <c r="K970" s="2011">
        <f t="shared" si="31"/>
        <v>0</v>
      </c>
    </row>
    <row r="971" spans="1:73" x14ac:dyDescent="0.2">
      <c r="A971" t="s">
        <v>5916</v>
      </c>
      <c r="B971" t="s">
        <v>7826</v>
      </c>
      <c r="C971" s="2022">
        <v>0</v>
      </c>
      <c r="D971" s="2022">
        <v>0</v>
      </c>
      <c r="E971" s="2022">
        <v>0</v>
      </c>
      <c r="F971" s="2022">
        <v>0</v>
      </c>
      <c r="G971" s="2022">
        <f t="shared" si="30"/>
        <v>0</v>
      </c>
      <c r="K971" s="2011">
        <f t="shared" si="31"/>
        <v>0</v>
      </c>
    </row>
    <row r="972" spans="1:73" x14ac:dyDescent="0.2">
      <c r="A972" t="s">
        <v>5917</v>
      </c>
      <c r="B972" t="s">
        <v>4889</v>
      </c>
      <c r="C972" s="2022">
        <v>0</v>
      </c>
      <c r="D972" s="2022">
        <v>0</v>
      </c>
      <c r="E972" s="2022">
        <v>0</v>
      </c>
      <c r="F972" s="2022">
        <v>0</v>
      </c>
      <c r="G972" s="2022">
        <f t="shared" si="30"/>
        <v>0</v>
      </c>
      <c r="K972" s="2011">
        <f t="shared" si="31"/>
        <v>0</v>
      </c>
    </row>
    <row r="973" spans="1:73" s="2632" customFormat="1" x14ac:dyDescent="0.2">
      <c r="A973" s="2632" t="s">
        <v>5918</v>
      </c>
      <c r="B973" s="2632" t="s">
        <v>4891</v>
      </c>
      <c r="C973" s="2728">
        <v>0</v>
      </c>
      <c r="D973" s="2728">
        <v>0</v>
      </c>
      <c r="E973" s="2728">
        <v>3119187.56</v>
      </c>
      <c r="F973" s="2728">
        <v>0</v>
      </c>
      <c r="G973" s="2728">
        <f t="shared" si="30"/>
        <v>3119187.56</v>
      </c>
      <c r="I973" s="2728"/>
      <c r="K973" s="2728">
        <f t="shared" si="31"/>
        <v>3119187.56</v>
      </c>
      <c r="L973" s="2024"/>
      <c r="M973" s="2024"/>
      <c r="N973" s="2024"/>
      <c r="O973" s="2024"/>
      <c r="P973" s="2024"/>
      <c r="Q973" s="2024"/>
      <c r="R973" s="2024"/>
      <c r="S973" s="2024"/>
      <c r="T973" s="2024"/>
      <c r="U973" s="2024"/>
      <c r="V973" s="2024"/>
      <c r="W973" s="2024"/>
      <c r="X973" s="2024"/>
      <c r="Y973" s="2024"/>
      <c r="Z973" s="2024"/>
      <c r="AA973" s="2024"/>
      <c r="AB973" s="2024"/>
      <c r="AC973" s="2024"/>
      <c r="AD973" s="2024"/>
      <c r="AE973" s="2024"/>
      <c r="AF973" s="2024"/>
      <c r="AG973" s="2024"/>
      <c r="AH973" s="2024"/>
      <c r="AI973" s="2024"/>
      <c r="AJ973" s="2024"/>
      <c r="AK973" s="2024"/>
      <c r="AL973" s="2024"/>
      <c r="AM973" s="2024"/>
      <c r="AN973" s="2024"/>
      <c r="AO973" s="2024"/>
      <c r="AP973" s="2024"/>
      <c r="AQ973" s="2024"/>
      <c r="AR973" s="2024"/>
      <c r="AS973" s="2024"/>
      <c r="AT973" s="2024"/>
      <c r="AU973" s="2024"/>
      <c r="AV973" s="2024"/>
      <c r="AW973" s="2024"/>
      <c r="AX973" s="2024"/>
      <c r="AY973" s="2024"/>
      <c r="AZ973" s="2024"/>
      <c r="BA973" s="2024"/>
      <c r="BB973" s="2024"/>
      <c r="BC973" s="2024"/>
      <c r="BD973" s="2024"/>
      <c r="BE973" s="2024"/>
      <c r="BF973" s="2024"/>
      <c r="BG973" s="2024"/>
      <c r="BH973" s="2024"/>
      <c r="BI973" s="2024"/>
      <c r="BJ973" s="2024"/>
      <c r="BK973" s="2024"/>
      <c r="BL973" s="2024"/>
      <c r="BM973" s="2024"/>
      <c r="BN973" s="2024"/>
      <c r="BO973" s="2024"/>
      <c r="BP973" s="2024"/>
      <c r="BQ973" s="2024"/>
      <c r="BR973" s="2024"/>
      <c r="BS973" s="2024"/>
      <c r="BT973" s="2024"/>
      <c r="BU973" s="2024"/>
    </row>
    <row r="974" spans="1:73" x14ac:dyDescent="0.2">
      <c r="A974" t="s">
        <v>5919</v>
      </c>
      <c r="B974" t="s">
        <v>8028</v>
      </c>
      <c r="C974" s="2022">
        <v>0</v>
      </c>
      <c r="D974" s="2022">
        <v>0</v>
      </c>
      <c r="E974" s="2022">
        <v>0</v>
      </c>
      <c r="F974" s="2022">
        <v>0</v>
      </c>
      <c r="G974" s="2022">
        <f t="shared" si="30"/>
        <v>0</v>
      </c>
      <c r="K974" s="2011">
        <f t="shared" si="31"/>
        <v>0</v>
      </c>
    </row>
    <row r="975" spans="1:73" x14ac:dyDescent="0.2">
      <c r="A975" t="s">
        <v>5920</v>
      </c>
      <c r="B975" t="s">
        <v>8029</v>
      </c>
      <c r="C975" s="2022">
        <v>0</v>
      </c>
      <c r="D975" s="2022">
        <v>0</v>
      </c>
      <c r="E975" s="2022">
        <v>0</v>
      </c>
      <c r="F975" s="2022">
        <v>0</v>
      </c>
      <c r="G975" s="2022">
        <f t="shared" si="30"/>
        <v>0</v>
      </c>
      <c r="K975" s="2011">
        <f t="shared" si="31"/>
        <v>0</v>
      </c>
    </row>
    <row r="976" spans="1:73" x14ac:dyDescent="0.2">
      <c r="A976" s="2632" t="s">
        <v>5921</v>
      </c>
      <c r="B976" s="2632" t="s">
        <v>5185</v>
      </c>
      <c r="C976" s="2728">
        <v>0</v>
      </c>
      <c r="D976" s="2728">
        <v>0</v>
      </c>
      <c r="E976" s="2728">
        <v>338742.47</v>
      </c>
      <c r="F976" s="2728">
        <v>0</v>
      </c>
      <c r="G976" s="2728">
        <f t="shared" si="30"/>
        <v>338742.47</v>
      </c>
      <c r="H976" s="2632"/>
      <c r="I976" s="2728"/>
      <c r="J976" s="2632"/>
      <c r="K976" s="2728">
        <f t="shared" si="31"/>
        <v>338742.47</v>
      </c>
    </row>
    <row r="977" spans="1:73" x14ac:dyDescent="0.2">
      <c r="A977" t="s">
        <v>5922</v>
      </c>
      <c r="B977" t="s">
        <v>5187</v>
      </c>
      <c r="C977" s="2022">
        <v>45000</v>
      </c>
      <c r="D977" s="2022">
        <v>0</v>
      </c>
      <c r="E977" s="2022">
        <v>29471.93</v>
      </c>
      <c r="F977" s="2022">
        <v>-9972</v>
      </c>
      <c r="G977" s="2022">
        <f t="shared" si="30"/>
        <v>19499.93</v>
      </c>
      <c r="I977" s="2022">
        <f>VLOOKUP(A977,'2012 - TB'!$A$3:$I$733,9,FALSE)</f>
        <v>19499.93</v>
      </c>
      <c r="K977" s="2011">
        <f t="shared" si="31"/>
        <v>0</v>
      </c>
    </row>
    <row r="978" spans="1:73" x14ac:dyDescent="0.2">
      <c r="A978" t="s">
        <v>5923</v>
      </c>
      <c r="B978" t="s">
        <v>8030</v>
      </c>
      <c r="C978" s="2022">
        <v>0</v>
      </c>
      <c r="D978" s="2022">
        <v>0</v>
      </c>
      <c r="E978" s="2022">
        <v>0</v>
      </c>
      <c r="F978" s="2022">
        <v>0</v>
      </c>
      <c r="G978" s="2022">
        <f t="shared" si="30"/>
        <v>0</v>
      </c>
      <c r="K978" s="2011">
        <f t="shared" si="31"/>
        <v>0</v>
      </c>
    </row>
    <row r="979" spans="1:73" x14ac:dyDescent="0.2">
      <c r="A979" t="s">
        <v>5924</v>
      </c>
      <c r="B979" t="s">
        <v>8031</v>
      </c>
      <c r="C979" s="2022">
        <v>0</v>
      </c>
      <c r="D979" s="2022">
        <v>0</v>
      </c>
      <c r="E979" s="2022">
        <v>0</v>
      </c>
      <c r="F979" s="2022">
        <v>-16657619.470000001</v>
      </c>
      <c r="G979" s="2022">
        <f t="shared" si="30"/>
        <v>-16657619.470000001</v>
      </c>
      <c r="I979" s="2022">
        <f>VLOOKUP(A979,'2012 - TB'!$A$3:$I$733,9,FALSE)</f>
        <v>-16685636.73</v>
      </c>
      <c r="K979" s="2011">
        <f t="shared" si="31"/>
        <v>28017.259999999776</v>
      </c>
    </row>
    <row r="980" spans="1:73" x14ac:dyDescent="0.2">
      <c r="A980" t="s">
        <v>5925</v>
      </c>
      <c r="B980" t="s">
        <v>8032</v>
      </c>
      <c r="C980" s="2022">
        <v>0</v>
      </c>
      <c r="D980" s="2022">
        <v>0</v>
      </c>
      <c r="E980" s="2022">
        <v>0</v>
      </c>
      <c r="F980" s="2022">
        <v>0</v>
      </c>
      <c r="G980" s="2022">
        <f t="shared" si="30"/>
        <v>0</v>
      </c>
      <c r="K980" s="2011">
        <f t="shared" si="31"/>
        <v>0</v>
      </c>
    </row>
    <row r="981" spans="1:73" x14ac:dyDescent="0.2">
      <c r="A981" t="s">
        <v>5926</v>
      </c>
      <c r="B981" t="s">
        <v>4901</v>
      </c>
      <c r="C981" s="2022">
        <v>-2757295.32</v>
      </c>
      <c r="D981" s="2022">
        <v>0</v>
      </c>
      <c r="E981" s="2022">
        <v>0</v>
      </c>
      <c r="F981" s="2022">
        <v>0</v>
      </c>
      <c r="G981" s="2022">
        <f t="shared" si="30"/>
        <v>0</v>
      </c>
      <c r="I981" s="2022">
        <f>VLOOKUP(A981,'2012 - TB'!$A$3:$I$733,9,FALSE)</f>
        <v>0</v>
      </c>
      <c r="K981" s="2011">
        <f t="shared" si="31"/>
        <v>0</v>
      </c>
    </row>
    <row r="982" spans="1:73" x14ac:dyDescent="0.2">
      <c r="A982" t="s">
        <v>5927</v>
      </c>
      <c r="B982" t="s">
        <v>5928</v>
      </c>
      <c r="C982" s="2022">
        <v>-627000</v>
      </c>
      <c r="D982" s="2022">
        <v>0</v>
      </c>
      <c r="E982" s="2022">
        <v>0</v>
      </c>
      <c r="F982" s="2022">
        <v>-585951</v>
      </c>
      <c r="G982" s="2022">
        <f t="shared" si="30"/>
        <v>-585951</v>
      </c>
      <c r="I982" s="2022">
        <f>VLOOKUP(A982,'2012 - TB'!$A$3:$I$733,9,FALSE)</f>
        <v>-585951</v>
      </c>
      <c r="K982" s="2011">
        <f t="shared" si="31"/>
        <v>0</v>
      </c>
    </row>
    <row r="983" spans="1:73" x14ac:dyDescent="0.2">
      <c r="A983" t="s">
        <v>5929</v>
      </c>
      <c r="B983" t="s">
        <v>8033</v>
      </c>
      <c r="C983" s="2022">
        <v>0</v>
      </c>
      <c r="D983" s="2022">
        <v>0</v>
      </c>
      <c r="E983" s="2022">
        <v>0</v>
      </c>
      <c r="F983" s="2022">
        <v>0</v>
      </c>
      <c r="G983" s="2022">
        <f t="shared" si="30"/>
        <v>0</v>
      </c>
      <c r="K983" s="2011">
        <f t="shared" si="31"/>
        <v>0</v>
      </c>
    </row>
    <row r="984" spans="1:73" s="2215" customFormat="1" x14ac:dyDescent="0.2">
      <c r="A984" s="2215" t="s">
        <v>5930</v>
      </c>
      <c r="B984" s="2215" t="s">
        <v>7978</v>
      </c>
      <c r="C984" s="2230">
        <v>0</v>
      </c>
      <c r="D984" s="2230">
        <v>0</v>
      </c>
      <c r="E984" s="2230">
        <v>0</v>
      </c>
      <c r="F984" s="2230">
        <v>-108673.56</v>
      </c>
      <c r="G984" s="2230">
        <f t="shared" si="30"/>
        <v>-108673.56</v>
      </c>
      <c r="I984" s="2230">
        <f>VLOOKUP(A984,'2012 - TB'!$A$3:$I$733,9,FALSE)</f>
        <v>-115500</v>
      </c>
      <c r="K984" s="2230">
        <f t="shared" si="31"/>
        <v>6826.4400000000023</v>
      </c>
      <c r="L984" s="2024"/>
      <c r="M984" s="2024"/>
      <c r="N984" s="2024"/>
      <c r="O984" s="2024"/>
      <c r="P984" s="2024"/>
      <c r="Q984" s="2024"/>
      <c r="R984" s="2024"/>
      <c r="S984" s="2024"/>
      <c r="T984" s="2024"/>
      <c r="U984" s="2024"/>
      <c r="V984" s="2024"/>
      <c r="W984" s="2024"/>
      <c r="X984" s="2024"/>
      <c r="Y984" s="2024"/>
      <c r="Z984" s="2024"/>
      <c r="AA984" s="2024"/>
      <c r="AB984" s="2024"/>
      <c r="AC984" s="2024"/>
      <c r="AD984" s="2024"/>
      <c r="AE984" s="2024"/>
      <c r="AF984" s="2024"/>
      <c r="AG984" s="2024"/>
      <c r="AH984" s="2024"/>
      <c r="AI984" s="2024"/>
      <c r="AJ984" s="2024"/>
      <c r="AK984" s="2024"/>
      <c r="AL984" s="2024"/>
      <c r="AM984" s="2024"/>
      <c r="AN984" s="2024"/>
      <c r="AO984" s="2024"/>
      <c r="AP984" s="2024"/>
      <c r="AQ984" s="2024"/>
      <c r="AR984" s="2024"/>
      <c r="AS984" s="2024"/>
      <c r="AT984" s="2024"/>
      <c r="AU984" s="2024"/>
      <c r="AV984" s="2024"/>
      <c r="AW984" s="2024"/>
      <c r="AX984" s="2024"/>
      <c r="AY984" s="2024"/>
      <c r="AZ984" s="2024"/>
      <c r="BA984" s="2024"/>
      <c r="BB984" s="2024"/>
      <c r="BC984" s="2024"/>
      <c r="BD984" s="2024"/>
      <c r="BE984" s="2024"/>
      <c r="BF984" s="2024"/>
      <c r="BG984" s="2024"/>
      <c r="BH984" s="2024"/>
      <c r="BI984" s="2024"/>
      <c r="BJ984" s="2024"/>
      <c r="BK984" s="2024"/>
      <c r="BL984" s="2024"/>
      <c r="BM984" s="2024"/>
      <c r="BN984" s="2024"/>
      <c r="BO984" s="2024"/>
      <c r="BP984" s="2024"/>
      <c r="BQ984" s="2024"/>
      <c r="BR984" s="2024"/>
      <c r="BS984" s="2024"/>
      <c r="BT984" s="2024"/>
      <c r="BU984" s="2024"/>
    </row>
    <row r="985" spans="1:73" x14ac:dyDescent="0.2">
      <c r="A985" t="s">
        <v>5931</v>
      </c>
      <c r="B985" t="s">
        <v>5932</v>
      </c>
      <c r="C985" s="2022">
        <v>362172.06</v>
      </c>
      <c r="D985" s="2022">
        <v>0</v>
      </c>
      <c r="E985" s="2022">
        <v>1091380.58</v>
      </c>
      <c r="F985" s="2022">
        <v>0</v>
      </c>
      <c r="G985" s="2022">
        <f t="shared" si="30"/>
        <v>1091380.58</v>
      </c>
      <c r="I985" s="2022">
        <f>VLOOKUP(A985,'2012 - TB'!$A$3:$I$733,9,FALSE)</f>
        <v>1091380.58</v>
      </c>
      <c r="K985" s="2011">
        <f t="shared" si="31"/>
        <v>0</v>
      </c>
    </row>
    <row r="986" spans="1:73" x14ac:dyDescent="0.2">
      <c r="A986" t="s">
        <v>4514</v>
      </c>
      <c r="B986" t="s">
        <v>4515</v>
      </c>
      <c r="C986" s="2022">
        <v>0</v>
      </c>
      <c r="D986" s="2022">
        <v>362</v>
      </c>
      <c r="E986" s="2022">
        <v>0</v>
      </c>
      <c r="F986" s="2022">
        <v>0</v>
      </c>
      <c r="G986" s="2022">
        <f t="shared" si="30"/>
        <v>362</v>
      </c>
      <c r="I986" s="2022">
        <f>VLOOKUP(A986,'2012 - TB'!$A$3:$I$733,9,FALSE)</f>
        <v>362</v>
      </c>
      <c r="K986" s="2011">
        <f t="shared" si="31"/>
        <v>0</v>
      </c>
    </row>
    <row r="987" spans="1:73" x14ac:dyDescent="0.2">
      <c r="A987" t="s">
        <v>4516</v>
      </c>
      <c r="B987" t="s">
        <v>4517</v>
      </c>
      <c r="C987" s="2022">
        <v>0</v>
      </c>
      <c r="D987" s="2022">
        <v>0</v>
      </c>
      <c r="E987" s="2022">
        <v>0</v>
      </c>
      <c r="F987" s="2022">
        <v>0</v>
      </c>
      <c r="G987" s="2022">
        <f t="shared" si="30"/>
        <v>0</v>
      </c>
      <c r="K987" s="2011">
        <f t="shared" si="31"/>
        <v>0</v>
      </c>
    </row>
    <row r="988" spans="1:73" x14ac:dyDescent="0.2">
      <c r="A988" t="s">
        <v>4518</v>
      </c>
      <c r="B988" t="s">
        <v>4519</v>
      </c>
      <c r="C988" s="2022">
        <v>0</v>
      </c>
      <c r="D988" s="2022">
        <v>1501779.84</v>
      </c>
      <c r="E988" s="2022">
        <v>0</v>
      </c>
      <c r="F988" s="2022">
        <v>0</v>
      </c>
      <c r="G988" s="2022">
        <f t="shared" si="30"/>
        <v>1501779.84</v>
      </c>
      <c r="I988" s="2022">
        <f>VLOOKUP(A988,'2012 - TB'!$A$3:$I$733,9,FALSE)</f>
        <v>1501779.84</v>
      </c>
      <c r="K988" s="2011">
        <f t="shared" si="31"/>
        <v>0</v>
      </c>
    </row>
    <row r="989" spans="1:73" s="2215" customFormat="1" x14ac:dyDescent="0.2">
      <c r="A989" s="2215" t="s">
        <v>4520</v>
      </c>
      <c r="B989" s="2215" t="s">
        <v>4521</v>
      </c>
      <c r="C989" s="2230">
        <v>0</v>
      </c>
      <c r="D989" s="2230">
        <v>-166324402.84</v>
      </c>
      <c r="E989" s="2230">
        <v>36645440.890000001</v>
      </c>
      <c r="F989" s="2230">
        <v>-202656186.41999999</v>
      </c>
      <c r="G989" s="2230">
        <f t="shared" si="30"/>
        <v>-332335148.37</v>
      </c>
      <c r="I989" s="2230">
        <f>VLOOKUP(A989,'2012 - TB'!$A$3:$I$733,9,FALSE)</f>
        <v>-306665903.76000011</v>
      </c>
      <c r="K989" s="2230">
        <f t="shared" si="31"/>
        <v>-25669244.609999895</v>
      </c>
      <c r="L989" s="2024"/>
      <c r="M989" s="2024"/>
      <c r="N989" s="2024"/>
      <c r="O989" s="2024"/>
      <c r="P989" s="2024"/>
      <c r="Q989" s="2024"/>
      <c r="R989" s="2024"/>
      <c r="S989" s="2024"/>
      <c r="T989" s="2024"/>
      <c r="U989" s="2024"/>
      <c r="V989" s="2024"/>
      <c r="W989" s="2024"/>
      <c r="X989" s="2024"/>
      <c r="Y989" s="2024"/>
      <c r="Z989" s="2024"/>
      <c r="AA989" s="2024"/>
      <c r="AB989" s="2024"/>
      <c r="AC989" s="2024"/>
      <c r="AD989" s="2024"/>
      <c r="AE989" s="2024"/>
      <c r="AF989" s="2024"/>
      <c r="AG989" s="2024"/>
      <c r="AH989" s="2024"/>
      <c r="AI989" s="2024"/>
      <c r="AJ989" s="2024"/>
      <c r="AK989" s="2024"/>
      <c r="AL989" s="2024"/>
      <c r="AM989" s="2024"/>
      <c r="AN989" s="2024"/>
      <c r="AO989" s="2024"/>
      <c r="AP989" s="2024"/>
      <c r="AQ989" s="2024"/>
      <c r="AR989" s="2024"/>
      <c r="AS989" s="2024"/>
      <c r="AT989" s="2024"/>
      <c r="AU989" s="2024"/>
      <c r="AV989" s="2024"/>
      <c r="AW989" s="2024"/>
      <c r="AX989" s="2024"/>
      <c r="AY989" s="2024"/>
      <c r="AZ989" s="2024"/>
      <c r="BA989" s="2024"/>
      <c r="BB989" s="2024"/>
      <c r="BC989" s="2024"/>
      <c r="BD989" s="2024"/>
      <c r="BE989" s="2024"/>
      <c r="BF989" s="2024"/>
      <c r="BG989" s="2024"/>
      <c r="BH989" s="2024"/>
      <c r="BI989" s="2024"/>
      <c r="BJ989" s="2024"/>
      <c r="BK989" s="2024"/>
      <c r="BL989" s="2024"/>
      <c r="BM989" s="2024"/>
      <c r="BN989" s="2024"/>
      <c r="BO989" s="2024"/>
      <c r="BP989" s="2024"/>
      <c r="BQ989" s="2024"/>
      <c r="BR989" s="2024"/>
      <c r="BS989" s="2024"/>
      <c r="BT989" s="2024"/>
      <c r="BU989" s="2024"/>
    </row>
    <row r="990" spans="1:73" x14ac:dyDescent="0.2">
      <c r="A990" t="s">
        <v>4522</v>
      </c>
      <c r="B990" t="s">
        <v>4523</v>
      </c>
      <c r="C990" s="2022">
        <v>0</v>
      </c>
      <c r="D990" s="2022">
        <v>1945897.45</v>
      </c>
      <c r="E990" s="2022">
        <v>0</v>
      </c>
      <c r="F990" s="2022">
        <v>0</v>
      </c>
      <c r="G990" s="2022">
        <f t="shared" si="30"/>
        <v>1945897.45</v>
      </c>
      <c r="I990" s="2022">
        <f>VLOOKUP(A990,'2012 - TB'!$A$3:$I$733,9,FALSE)</f>
        <v>1945897.45</v>
      </c>
      <c r="K990" s="2011">
        <f t="shared" si="31"/>
        <v>0</v>
      </c>
    </row>
    <row r="991" spans="1:73" x14ac:dyDescent="0.2">
      <c r="A991" t="s">
        <v>4524</v>
      </c>
      <c r="B991" t="s">
        <v>4525</v>
      </c>
      <c r="C991" s="2022">
        <v>0</v>
      </c>
      <c r="D991" s="2022">
        <v>-513729.96</v>
      </c>
      <c r="E991" s="2022">
        <v>123492.86</v>
      </c>
      <c r="F991" s="2022">
        <v>-4663722.88</v>
      </c>
      <c r="G991" s="2022">
        <f t="shared" si="30"/>
        <v>-5053959.9799999995</v>
      </c>
      <c r="I991" s="2022">
        <f>VLOOKUP(A991,'2012 - TB'!$A$3:$I$733,9,FALSE)</f>
        <v>-10434795.419999998</v>
      </c>
      <c r="K991" s="2011">
        <f t="shared" si="31"/>
        <v>5380835.4399999985</v>
      </c>
    </row>
    <row r="992" spans="1:73" x14ac:dyDescent="0.2">
      <c r="A992" t="s">
        <v>4526</v>
      </c>
      <c r="B992" t="s">
        <v>4527</v>
      </c>
      <c r="C992" s="2022">
        <v>0</v>
      </c>
      <c r="D992" s="2022">
        <v>-1720880.76</v>
      </c>
      <c r="E992" s="2022">
        <v>547941.02</v>
      </c>
      <c r="F992" s="2022">
        <v>-238769.92000000001</v>
      </c>
      <c r="G992" s="2022">
        <f t="shared" si="30"/>
        <v>-1411709.66</v>
      </c>
      <c r="I992" s="2022">
        <f>VLOOKUP(A992,'2012 - TB'!$A$3:$I$733,9,FALSE)</f>
        <v>-1411709.66</v>
      </c>
      <c r="K992" s="2011">
        <f t="shared" si="31"/>
        <v>0</v>
      </c>
    </row>
    <row r="993" spans="1:11" x14ac:dyDescent="0.2">
      <c r="A993" t="s">
        <v>4528</v>
      </c>
      <c r="B993" t="s">
        <v>4529</v>
      </c>
      <c r="C993" s="2022">
        <v>0</v>
      </c>
      <c r="D993" s="2022">
        <v>-53804.39</v>
      </c>
      <c r="E993" s="2022">
        <v>0</v>
      </c>
      <c r="F993" s="2022">
        <v>0</v>
      </c>
      <c r="G993" s="2022">
        <f t="shared" si="30"/>
        <v>-53804.39</v>
      </c>
      <c r="I993" s="2022">
        <f>VLOOKUP(A993,'2012 - TB'!$A$3:$I$733,9,FALSE)</f>
        <v>-59370.539999999994</v>
      </c>
      <c r="K993" s="2011">
        <f t="shared" si="31"/>
        <v>5566.1499999999942</v>
      </c>
    </row>
    <row r="994" spans="1:11" x14ac:dyDescent="0.2">
      <c r="A994" t="s">
        <v>4530</v>
      </c>
      <c r="B994" t="s">
        <v>4529</v>
      </c>
      <c r="C994" s="2022">
        <v>0</v>
      </c>
      <c r="D994" s="2022">
        <v>-213213.04</v>
      </c>
      <c r="E994" s="2022">
        <v>0</v>
      </c>
      <c r="F994" s="2022">
        <v>0</v>
      </c>
      <c r="G994" s="2022">
        <f t="shared" si="30"/>
        <v>-213213.04</v>
      </c>
      <c r="I994" s="2022">
        <f>VLOOKUP(A994,'2012 - TB'!$A$3:$I$733,9,FALSE)</f>
        <v>-241067.71</v>
      </c>
      <c r="K994" s="2011">
        <f t="shared" si="31"/>
        <v>27854.669999999984</v>
      </c>
    </row>
    <row r="995" spans="1:11" x14ac:dyDescent="0.2">
      <c r="A995" t="s">
        <v>4531</v>
      </c>
      <c r="B995" t="s">
        <v>4529</v>
      </c>
      <c r="C995" s="2022">
        <v>0</v>
      </c>
      <c r="D995" s="2022">
        <v>0</v>
      </c>
      <c r="E995" s="2022">
        <v>0</v>
      </c>
      <c r="F995" s="2022">
        <v>0</v>
      </c>
      <c r="G995" s="2022">
        <f t="shared" si="30"/>
        <v>0</v>
      </c>
      <c r="K995" s="2011">
        <f t="shared" si="31"/>
        <v>0</v>
      </c>
    </row>
    <row r="996" spans="1:11" x14ac:dyDescent="0.2">
      <c r="A996" t="s">
        <v>4532</v>
      </c>
      <c r="B996" t="s">
        <v>4533</v>
      </c>
      <c r="C996" s="2022">
        <v>0</v>
      </c>
      <c r="D996" s="2022">
        <v>-267194.32</v>
      </c>
      <c r="E996" s="2022">
        <v>0</v>
      </c>
      <c r="F996" s="2022">
        <v>0</v>
      </c>
      <c r="G996" s="2022">
        <f t="shared" si="30"/>
        <v>-267194.32</v>
      </c>
      <c r="I996" s="2022">
        <f>VLOOKUP(A996,'2012 - TB'!$A$3:$I$733,9,FALSE)</f>
        <v>-298938.74</v>
      </c>
      <c r="K996" s="2011">
        <f t="shared" si="31"/>
        <v>31744.419999999984</v>
      </c>
    </row>
    <row r="997" spans="1:11" x14ac:dyDescent="0.2">
      <c r="A997" t="s">
        <v>4534</v>
      </c>
      <c r="B997" t="s">
        <v>4535</v>
      </c>
      <c r="C997" s="2022">
        <v>0</v>
      </c>
      <c r="D997" s="2022">
        <v>-23201.65</v>
      </c>
      <c r="E997" s="2022">
        <v>0</v>
      </c>
      <c r="F997" s="2022">
        <v>0</v>
      </c>
      <c r="G997" s="2022">
        <f t="shared" si="30"/>
        <v>-23201.65</v>
      </c>
      <c r="I997" s="2022">
        <f>VLOOKUP(A997,'2012 - TB'!$A$3:$I$733,9,FALSE)</f>
        <v>0</v>
      </c>
      <c r="K997" s="2011">
        <f t="shared" si="31"/>
        <v>-23201.65</v>
      </c>
    </row>
    <row r="998" spans="1:11" x14ac:dyDescent="0.2">
      <c r="A998" t="s">
        <v>4536</v>
      </c>
      <c r="B998" t="s">
        <v>4537</v>
      </c>
      <c r="C998" s="2022">
        <v>0</v>
      </c>
      <c r="D998" s="2022">
        <v>-88134.56</v>
      </c>
      <c r="E998" s="2022">
        <v>0</v>
      </c>
      <c r="F998" s="2022">
        <v>0</v>
      </c>
      <c r="G998" s="2022">
        <f t="shared" si="30"/>
        <v>-88134.56</v>
      </c>
      <c r="I998" s="2022">
        <f>VLOOKUP(A998,'2012 - TB'!$A$3:$I$733,9,FALSE)</f>
        <v>-69193.81</v>
      </c>
      <c r="K998" s="2011">
        <f t="shared" si="31"/>
        <v>-18940.75</v>
      </c>
    </row>
    <row r="999" spans="1:11" x14ac:dyDescent="0.2">
      <c r="A999" t="s">
        <v>4538</v>
      </c>
      <c r="B999" t="s">
        <v>4539</v>
      </c>
      <c r="C999" s="2022">
        <v>0</v>
      </c>
      <c r="D999" s="2022">
        <v>-178476.72</v>
      </c>
      <c r="E999" s="2022">
        <v>0</v>
      </c>
      <c r="F999" s="2022">
        <v>0</v>
      </c>
      <c r="G999" s="2022">
        <f t="shared" si="30"/>
        <v>-178476.72</v>
      </c>
      <c r="I999" s="2022">
        <f>VLOOKUP(A999,'2012 - TB'!$A$3:$I$733,9,FALSE)</f>
        <v>-244702.99000000002</v>
      </c>
      <c r="K999" s="2011">
        <f t="shared" si="31"/>
        <v>66226.270000000019</v>
      </c>
    </row>
    <row r="1000" spans="1:11" x14ac:dyDescent="0.2">
      <c r="A1000" t="s">
        <v>4540</v>
      </c>
      <c r="B1000" t="s">
        <v>4541</v>
      </c>
      <c r="C1000" s="2022">
        <v>0</v>
      </c>
      <c r="D1000" s="2022">
        <v>-1636557.01</v>
      </c>
      <c r="E1000" s="2022">
        <v>986230.84</v>
      </c>
      <c r="F1000" s="2022">
        <v>0</v>
      </c>
      <c r="G1000" s="2022">
        <f t="shared" si="30"/>
        <v>-650326.17000000004</v>
      </c>
      <c r="I1000" s="2022">
        <f>VLOOKUP(A1000,'2012 - TB'!$A$3:$I$733,9,FALSE)</f>
        <v>-650326.16999999993</v>
      </c>
      <c r="K1000" s="2011">
        <f t="shared" si="31"/>
        <v>0</v>
      </c>
    </row>
    <row r="1001" spans="1:11" x14ac:dyDescent="0.2">
      <c r="A1001" t="s">
        <v>4542</v>
      </c>
      <c r="B1001" t="s">
        <v>8034</v>
      </c>
      <c r="C1001" s="2022">
        <v>0</v>
      </c>
      <c r="D1001" s="2022">
        <v>0</v>
      </c>
      <c r="E1001" s="2022">
        <v>0</v>
      </c>
      <c r="F1001" s="2022">
        <v>0</v>
      </c>
      <c r="G1001" s="2022">
        <f t="shared" si="30"/>
        <v>0</v>
      </c>
      <c r="K1001" s="2011">
        <f t="shared" si="31"/>
        <v>0</v>
      </c>
    </row>
    <row r="1002" spans="1:11" x14ac:dyDescent="0.2">
      <c r="A1002" t="s">
        <v>4543</v>
      </c>
      <c r="B1002" t="s">
        <v>4544</v>
      </c>
      <c r="C1002" s="2022">
        <v>0</v>
      </c>
      <c r="D1002" s="2022">
        <v>46.25</v>
      </c>
      <c r="E1002" s="2022">
        <v>0</v>
      </c>
      <c r="F1002" s="2022">
        <v>0</v>
      </c>
      <c r="G1002" s="2022">
        <f t="shared" si="30"/>
        <v>46.25</v>
      </c>
      <c r="I1002" s="2022">
        <f>VLOOKUP(A1002,'2012 - TB'!$A$3:$I$733,9,FALSE)</f>
        <v>46.25</v>
      </c>
      <c r="K1002" s="2011">
        <f t="shared" si="31"/>
        <v>0</v>
      </c>
    </row>
    <row r="1003" spans="1:11" x14ac:dyDescent="0.2">
      <c r="A1003" t="s">
        <v>4545</v>
      </c>
      <c r="B1003" t="s">
        <v>4546</v>
      </c>
      <c r="C1003" s="2022">
        <v>0</v>
      </c>
      <c r="D1003" s="2022">
        <v>630.5</v>
      </c>
      <c r="E1003" s="2022">
        <v>0</v>
      </c>
      <c r="F1003" s="2022">
        <v>-1064.8</v>
      </c>
      <c r="G1003" s="2022">
        <f t="shared" si="30"/>
        <v>-434.29999999999995</v>
      </c>
      <c r="I1003" s="2022">
        <f>VLOOKUP(A1003,'2012 - TB'!$A$3:$I$733,9,FALSE)</f>
        <v>-434.29999999999995</v>
      </c>
      <c r="K1003" s="2011">
        <f t="shared" si="31"/>
        <v>0</v>
      </c>
    </row>
    <row r="1004" spans="1:11" x14ac:dyDescent="0.2">
      <c r="A1004" t="s">
        <v>4547</v>
      </c>
      <c r="B1004" t="s">
        <v>4517</v>
      </c>
      <c r="C1004" s="2022">
        <v>0</v>
      </c>
      <c r="D1004" s="2022">
        <v>-1643</v>
      </c>
      <c r="E1004" s="2022">
        <v>0</v>
      </c>
      <c r="F1004" s="2022">
        <v>-95839.49</v>
      </c>
      <c r="G1004" s="2022">
        <f t="shared" si="30"/>
        <v>-97482.49</v>
      </c>
      <c r="I1004" s="2022">
        <f>VLOOKUP(A1004,'2012 - TB'!$A$3:$I$733,9,FALSE)</f>
        <v>-97482.489999999991</v>
      </c>
      <c r="K1004" s="2011">
        <f t="shared" si="31"/>
        <v>0</v>
      </c>
    </row>
    <row r="1005" spans="1:11" x14ac:dyDescent="0.2">
      <c r="A1005" t="s">
        <v>4548</v>
      </c>
      <c r="B1005" t="s">
        <v>4544</v>
      </c>
      <c r="C1005" s="2022">
        <v>0</v>
      </c>
      <c r="D1005" s="2022">
        <v>-800</v>
      </c>
      <c r="E1005" s="2022">
        <v>0</v>
      </c>
      <c r="F1005" s="2022">
        <v>0</v>
      </c>
      <c r="G1005" s="2022">
        <f t="shared" si="30"/>
        <v>-800</v>
      </c>
      <c r="I1005" s="2022">
        <f>VLOOKUP(A1005,'2012 - TB'!$A$3:$I$733,9,FALSE)</f>
        <v>-800</v>
      </c>
      <c r="K1005" s="2011">
        <f t="shared" si="31"/>
        <v>0</v>
      </c>
    </row>
    <row r="1006" spans="1:11" x14ac:dyDescent="0.2">
      <c r="A1006" t="s">
        <v>4549</v>
      </c>
      <c r="B1006" t="s">
        <v>4546</v>
      </c>
      <c r="C1006" s="2022">
        <v>0</v>
      </c>
      <c r="D1006" s="2022">
        <v>-66120</v>
      </c>
      <c r="E1006" s="2022">
        <v>0</v>
      </c>
      <c r="F1006" s="2022">
        <v>0</v>
      </c>
      <c r="G1006" s="2022">
        <f t="shared" si="30"/>
        <v>-66120</v>
      </c>
      <c r="I1006" s="2022">
        <f>VLOOKUP(A1006,'2012 - TB'!$A$3:$I$733,9,FALSE)</f>
        <v>-66120</v>
      </c>
      <c r="K1006" s="2011">
        <f t="shared" si="31"/>
        <v>0</v>
      </c>
    </row>
    <row r="1007" spans="1:11" x14ac:dyDescent="0.2">
      <c r="A1007" t="s">
        <v>4550</v>
      </c>
      <c r="B1007" t="s">
        <v>8035</v>
      </c>
      <c r="C1007" s="2022">
        <v>0</v>
      </c>
      <c r="D1007" s="2022">
        <v>0</v>
      </c>
      <c r="E1007" s="2022">
        <v>0</v>
      </c>
      <c r="F1007" s="2022">
        <v>0</v>
      </c>
      <c r="G1007" s="2022">
        <f t="shared" si="30"/>
        <v>0</v>
      </c>
      <c r="K1007" s="2011">
        <f t="shared" si="31"/>
        <v>0</v>
      </c>
    </row>
    <row r="1008" spans="1:11" x14ac:dyDescent="0.2">
      <c r="A1008" t="s">
        <v>4551</v>
      </c>
      <c r="B1008" t="s">
        <v>4552</v>
      </c>
      <c r="C1008" s="2022">
        <v>0</v>
      </c>
      <c r="D1008" s="2022">
        <v>-3023636.66</v>
      </c>
      <c r="E1008" s="2022">
        <v>875692.23</v>
      </c>
      <c r="F1008" s="2022">
        <v>0</v>
      </c>
      <c r="G1008" s="2022">
        <f t="shared" si="30"/>
        <v>-2147944.4300000002</v>
      </c>
      <c r="I1008" s="2022">
        <f>VLOOKUP(A1008,'2012 - TB'!$A$3:$I$733,9,FALSE)</f>
        <v>-2283405.41</v>
      </c>
      <c r="K1008" s="2011">
        <f t="shared" si="31"/>
        <v>135460.97999999998</v>
      </c>
    </row>
    <row r="1009" spans="1:73" x14ac:dyDescent="0.2">
      <c r="A1009" t="s">
        <v>4553</v>
      </c>
      <c r="B1009" t="s">
        <v>4554</v>
      </c>
      <c r="C1009" s="2022">
        <v>0</v>
      </c>
      <c r="D1009" s="2022">
        <v>-689433.13</v>
      </c>
      <c r="E1009" s="2022">
        <v>0</v>
      </c>
      <c r="F1009" s="2022">
        <v>-145295.19</v>
      </c>
      <c r="G1009" s="2022">
        <f t="shared" si="30"/>
        <v>-834728.32000000007</v>
      </c>
      <c r="I1009" s="2022">
        <f>VLOOKUP(A1009,'2012 - TB'!$A$3:$I$733,9,FALSE)</f>
        <v>-834728.32000000007</v>
      </c>
      <c r="K1009" s="2011">
        <f t="shared" si="31"/>
        <v>0</v>
      </c>
    </row>
    <row r="1010" spans="1:73" x14ac:dyDescent="0.2">
      <c r="A1010" t="s">
        <v>4555</v>
      </c>
      <c r="B1010" t="s">
        <v>8036</v>
      </c>
      <c r="C1010" s="2022">
        <v>0</v>
      </c>
      <c r="D1010" s="2022">
        <v>0</v>
      </c>
      <c r="E1010" s="2022">
        <v>0</v>
      </c>
      <c r="F1010" s="2022">
        <v>0</v>
      </c>
      <c r="G1010" s="2022">
        <f t="shared" si="30"/>
        <v>0</v>
      </c>
      <c r="K1010" s="2011">
        <f t="shared" si="31"/>
        <v>0</v>
      </c>
    </row>
    <row r="1011" spans="1:73" x14ac:dyDescent="0.2">
      <c r="A1011" t="s">
        <v>4556</v>
      </c>
      <c r="B1011" t="s">
        <v>4557</v>
      </c>
      <c r="C1011" s="2022">
        <v>0</v>
      </c>
      <c r="D1011" s="2022">
        <v>-34472.54</v>
      </c>
      <c r="E1011" s="2022">
        <v>0</v>
      </c>
      <c r="F1011" s="2022">
        <v>-123492.86</v>
      </c>
      <c r="G1011" s="2022">
        <f t="shared" si="30"/>
        <v>-157965.4</v>
      </c>
      <c r="I1011" s="2022">
        <f>VLOOKUP(A1011,'2012 - TB'!$A$3:$I$733,9,FALSE)</f>
        <v>-34472.539999999994</v>
      </c>
      <c r="K1011" s="2011">
        <f t="shared" si="31"/>
        <v>-123492.86</v>
      </c>
    </row>
    <row r="1012" spans="1:73" s="2215" customFormat="1" x14ac:dyDescent="0.2">
      <c r="A1012" s="2215" t="s">
        <v>4558</v>
      </c>
      <c r="B1012" s="2215" t="s">
        <v>4559</v>
      </c>
      <c r="C1012" s="2230">
        <v>0</v>
      </c>
      <c r="D1012" s="2230">
        <v>-12099045.41</v>
      </c>
      <c r="E1012" s="2230">
        <v>69432079.969999999</v>
      </c>
      <c r="F1012" s="2230">
        <v>-63380015.380000003</v>
      </c>
      <c r="G1012" s="2230">
        <f t="shared" si="30"/>
        <v>-6046980.8200000003</v>
      </c>
      <c r="I1012" s="2230">
        <f>VLOOKUP(A1012,'2012 - TB'!$A$3:$I$733,9,FALSE)</f>
        <v>-8719260.9499999881</v>
      </c>
      <c r="K1012" s="2230">
        <f t="shared" si="31"/>
        <v>2672280.1299999878</v>
      </c>
      <c r="L1012" s="2024"/>
      <c r="M1012" s="2024"/>
      <c r="N1012" s="2024"/>
      <c r="O1012" s="2024"/>
      <c r="P1012" s="2024"/>
      <c r="Q1012" s="2024"/>
      <c r="R1012" s="2024"/>
      <c r="S1012" s="2024"/>
      <c r="T1012" s="2024"/>
      <c r="U1012" s="2024"/>
      <c r="V1012" s="2024"/>
      <c r="W1012" s="2024"/>
      <c r="X1012" s="2024"/>
      <c r="Y1012" s="2024"/>
      <c r="Z1012" s="2024"/>
      <c r="AA1012" s="2024"/>
      <c r="AB1012" s="2024"/>
      <c r="AC1012" s="2024"/>
      <c r="AD1012" s="2024"/>
      <c r="AE1012" s="2024"/>
      <c r="AF1012" s="2024"/>
      <c r="AG1012" s="2024"/>
      <c r="AH1012" s="2024"/>
      <c r="AI1012" s="2024"/>
      <c r="AJ1012" s="2024"/>
      <c r="AK1012" s="2024"/>
      <c r="AL1012" s="2024"/>
      <c r="AM1012" s="2024"/>
      <c r="AN1012" s="2024"/>
      <c r="AO1012" s="2024"/>
      <c r="AP1012" s="2024"/>
      <c r="AQ1012" s="2024"/>
      <c r="AR1012" s="2024"/>
      <c r="AS1012" s="2024"/>
      <c r="AT1012" s="2024"/>
      <c r="AU1012" s="2024"/>
      <c r="AV1012" s="2024"/>
      <c r="AW1012" s="2024"/>
      <c r="AX1012" s="2024"/>
      <c r="AY1012" s="2024"/>
      <c r="AZ1012" s="2024"/>
      <c r="BA1012" s="2024"/>
      <c r="BB1012" s="2024"/>
      <c r="BC1012" s="2024"/>
      <c r="BD1012" s="2024"/>
      <c r="BE1012" s="2024"/>
      <c r="BF1012" s="2024"/>
      <c r="BG1012" s="2024"/>
      <c r="BH1012" s="2024"/>
      <c r="BI1012" s="2024"/>
      <c r="BJ1012" s="2024"/>
      <c r="BK1012" s="2024"/>
      <c r="BL1012" s="2024"/>
      <c r="BM1012" s="2024"/>
      <c r="BN1012" s="2024"/>
      <c r="BO1012" s="2024"/>
      <c r="BP1012" s="2024"/>
      <c r="BQ1012" s="2024"/>
      <c r="BR1012" s="2024"/>
      <c r="BS1012" s="2024"/>
      <c r="BT1012" s="2024"/>
      <c r="BU1012" s="2024"/>
    </row>
    <row r="1013" spans="1:73" x14ac:dyDescent="0.2">
      <c r="A1013" t="s">
        <v>4560</v>
      </c>
      <c r="B1013" t="s">
        <v>4561</v>
      </c>
      <c r="C1013" s="2022">
        <v>0</v>
      </c>
      <c r="D1013" s="2022">
        <v>-250</v>
      </c>
      <c r="E1013" s="2022">
        <v>287038.65999999997</v>
      </c>
      <c r="F1013" s="2022">
        <v>-286788.65999999997</v>
      </c>
      <c r="G1013" s="2022">
        <f t="shared" si="30"/>
        <v>0</v>
      </c>
      <c r="I1013" s="2022">
        <f>VLOOKUP(A1013,'2012 - TB'!$A$3:$I$733,9,FALSE)</f>
        <v>0</v>
      </c>
      <c r="K1013" s="2011">
        <f t="shared" si="31"/>
        <v>0</v>
      </c>
    </row>
    <row r="1014" spans="1:73" x14ac:dyDescent="0.2">
      <c r="A1014" t="s">
        <v>4562</v>
      </c>
      <c r="B1014" t="s">
        <v>4563</v>
      </c>
      <c r="C1014" s="2022">
        <v>0</v>
      </c>
      <c r="D1014" s="2022">
        <v>198547.47</v>
      </c>
      <c r="E1014" s="2022">
        <v>0</v>
      </c>
      <c r="F1014" s="2022">
        <v>-533532.43000000005</v>
      </c>
      <c r="G1014" s="2022">
        <f t="shared" si="30"/>
        <v>-334984.96000000008</v>
      </c>
      <c r="I1014" s="2022">
        <f>VLOOKUP(A1014,'2012 - TB'!$A$3:$I$733,9,FALSE)</f>
        <v>-334984.96000000008</v>
      </c>
      <c r="K1014" s="2011">
        <f t="shared" si="31"/>
        <v>0</v>
      </c>
    </row>
    <row r="1015" spans="1:73" x14ac:dyDescent="0.2">
      <c r="A1015" t="s">
        <v>4564</v>
      </c>
      <c r="B1015" t="s">
        <v>8037</v>
      </c>
      <c r="C1015" s="2022">
        <v>0</v>
      </c>
      <c r="D1015" s="2022">
        <v>0</v>
      </c>
      <c r="E1015" s="2022">
        <v>0</v>
      </c>
      <c r="F1015" s="2022">
        <v>0</v>
      </c>
      <c r="G1015" s="2022">
        <f t="shared" si="30"/>
        <v>0</v>
      </c>
      <c r="K1015" s="2011">
        <f t="shared" si="31"/>
        <v>0</v>
      </c>
    </row>
    <row r="1016" spans="1:73" x14ac:dyDescent="0.2">
      <c r="A1016" t="s">
        <v>4565</v>
      </c>
      <c r="B1016" t="s">
        <v>4566</v>
      </c>
      <c r="C1016" s="2022">
        <v>0</v>
      </c>
      <c r="D1016" s="2022">
        <v>20565.13</v>
      </c>
      <c r="E1016" s="2022">
        <v>0</v>
      </c>
      <c r="F1016" s="2022">
        <v>-106.15</v>
      </c>
      <c r="G1016" s="2022">
        <f t="shared" si="30"/>
        <v>20458.98</v>
      </c>
      <c r="I1016" s="2022">
        <f>VLOOKUP(A1016,'2012 - TB'!$A$3:$I$733,9,FALSE)</f>
        <v>20458.98</v>
      </c>
      <c r="K1016" s="2011">
        <f t="shared" si="31"/>
        <v>0</v>
      </c>
    </row>
    <row r="1017" spans="1:73" x14ac:dyDescent="0.2">
      <c r="A1017" t="s">
        <v>4567</v>
      </c>
      <c r="B1017" t="s">
        <v>8038</v>
      </c>
      <c r="C1017" s="2022">
        <v>0</v>
      </c>
      <c r="D1017" s="2022">
        <v>0</v>
      </c>
      <c r="E1017" s="2022">
        <v>0</v>
      </c>
      <c r="F1017" s="2022">
        <v>0</v>
      </c>
      <c r="G1017" s="2022">
        <f t="shared" si="30"/>
        <v>0</v>
      </c>
      <c r="K1017" s="2011">
        <f t="shared" si="31"/>
        <v>0</v>
      </c>
    </row>
    <row r="1018" spans="1:73" x14ac:dyDescent="0.2">
      <c r="A1018" t="s">
        <v>4568</v>
      </c>
      <c r="B1018" t="s">
        <v>8039</v>
      </c>
      <c r="C1018" s="2022">
        <v>0</v>
      </c>
      <c r="D1018" s="2022">
        <v>0</v>
      </c>
      <c r="E1018" s="2022">
        <v>0</v>
      </c>
      <c r="F1018" s="2022">
        <v>0</v>
      </c>
      <c r="G1018" s="2022">
        <f t="shared" si="30"/>
        <v>0</v>
      </c>
      <c r="K1018" s="2011">
        <f t="shared" si="31"/>
        <v>0</v>
      </c>
    </row>
    <row r="1019" spans="1:73" x14ac:dyDescent="0.2">
      <c r="A1019" t="s">
        <v>4569</v>
      </c>
      <c r="B1019" t="s">
        <v>8040</v>
      </c>
      <c r="C1019" s="2022">
        <v>0</v>
      </c>
      <c r="D1019" s="2022">
        <v>0</v>
      </c>
      <c r="E1019" s="2022">
        <v>0</v>
      </c>
      <c r="F1019" s="2022">
        <v>0</v>
      </c>
      <c r="G1019" s="2022">
        <f t="shared" si="30"/>
        <v>0</v>
      </c>
      <c r="K1019" s="2011">
        <f t="shared" si="31"/>
        <v>0</v>
      </c>
    </row>
    <row r="1020" spans="1:73" x14ac:dyDescent="0.2">
      <c r="A1020" t="s">
        <v>4570</v>
      </c>
      <c r="B1020" t="s">
        <v>8041</v>
      </c>
      <c r="C1020" s="2022">
        <v>0</v>
      </c>
      <c r="D1020" s="2022">
        <v>0</v>
      </c>
      <c r="E1020" s="2022">
        <v>0</v>
      </c>
      <c r="F1020" s="2022">
        <v>0</v>
      </c>
      <c r="G1020" s="2022">
        <f t="shared" si="30"/>
        <v>0</v>
      </c>
      <c r="K1020" s="2011">
        <f t="shared" si="31"/>
        <v>0</v>
      </c>
    </row>
    <row r="1021" spans="1:73" x14ac:dyDescent="0.2">
      <c r="A1021" t="s">
        <v>4571</v>
      </c>
      <c r="B1021" t="s">
        <v>4572</v>
      </c>
      <c r="C1021" s="2022">
        <v>0</v>
      </c>
      <c r="D1021" s="2022">
        <v>-5030</v>
      </c>
      <c r="E1021" s="2022">
        <v>1721.2</v>
      </c>
      <c r="F1021" s="2022">
        <v>-5354.1</v>
      </c>
      <c r="G1021" s="2022">
        <f t="shared" si="30"/>
        <v>-8662.9000000000015</v>
      </c>
      <c r="I1021" s="2022">
        <f>VLOOKUP(A1021,'2012 - TB'!$A$3:$I$733,9,FALSE)</f>
        <v>-8662.9000000000015</v>
      </c>
      <c r="K1021" s="2011">
        <f t="shared" si="31"/>
        <v>0</v>
      </c>
    </row>
    <row r="1022" spans="1:73" x14ac:dyDescent="0.2">
      <c r="A1022" t="s">
        <v>4573</v>
      </c>
      <c r="B1022" t="s">
        <v>4574</v>
      </c>
      <c r="C1022" s="2022">
        <v>0</v>
      </c>
      <c r="D1022" s="2022">
        <v>-31284</v>
      </c>
      <c r="E1022" s="2022">
        <v>0</v>
      </c>
      <c r="F1022" s="2022">
        <v>-16128</v>
      </c>
      <c r="G1022" s="2022">
        <f t="shared" si="30"/>
        <v>-47412</v>
      </c>
      <c r="I1022" s="2022">
        <f>VLOOKUP(A1022,'2012 - TB'!$A$3:$I$733,9,FALSE)</f>
        <v>-47412</v>
      </c>
      <c r="K1022" s="2011">
        <f t="shared" si="31"/>
        <v>0</v>
      </c>
    </row>
    <row r="1023" spans="1:73" x14ac:dyDescent="0.2">
      <c r="A1023" t="s">
        <v>4575</v>
      </c>
      <c r="B1023" t="s">
        <v>4576</v>
      </c>
      <c r="C1023" s="2022">
        <v>0</v>
      </c>
      <c r="D1023" s="2022">
        <v>-834358.78</v>
      </c>
      <c r="E1023" s="2022">
        <v>18017567.829999998</v>
      </c>
      <c r="F1023" s="2022">
        <v>-22425724.440000001</v>
      </c>
      <c r="G1023" s="2022">
        <f t="shared" si="30"/>
        <v>-5242515.3900000043</v>
      </c>
      <c r="I1023" s="2022">
        <f>VLOOKUP(A1023,'2012 - TB'!$A$3:$I$733,9,FALSE)</f>
        <v>-5242515.3900000006</v>
      </c>
      <c r="K1023" s="2011">
        <f t="shared" si="31"/>
        <v>0</v>
      </c>
    </row>
    <row r="1024" spans="1:73" x14ac:dyDescent="0.2">
      <c r="A1024" t="s">
        <v>4577</v>
      </c>
      <c r="B1024" t="s">
        <v>4578</v>
      </c>
      <c r="C1024" s="2022">
        <v>0</v>
      </c>
      <c r="D1024" s="2022">
        <v>511704.77</v>
      </c>
      <c r="E1024" s="2022">
        <v>41038916.700000003</v>
      </c>
      <c r="F1024" s="2022">
        <v>-41550621.469999999</v>
      </c>
      <c r="G1024" s="2022">
        <f t="shared" si="30"/>
        <v>0</v>
      </c>
      <c r="I1024" s="2022">
        <f>VLOOKUP(A1024,'2012 - TB'!$A$3:$I$733,9,FALSE)</f>
        <v>0</v>
      </c>
      <c r="K1024" s="2011">
        <f t="shared" si="31"/>
        <v>0</v>
      </c>
    </row>
    <row r="1025" spans="1:11" x14ac:dyDescent="0.2">
      <c r="A1025" t="s">
        <v>4579</v>
      </c>
      <c r="B1025" t="s">
        <v>4580</v>
      </c>
      <c r="C1025" s="2022">
        <v>0</v>
      </c>
      <c r="D1025" s="2022">
        <v>0</v>
      </c>
      <c r="E1025" s="2022">
        <v>500</v>
      </c>
      <c r="F1025" s="2022">
        <v>-2171437.0499999998</v>
      </c>
      <c r="G1025" s="2022">
        <f t="shared" si="30"/>
        <v>-2170937.0499999998</v>
      </c>
      <c r="I1025" s="2022">
        <f>VLOOKUP(A1025,'2012 - TB'!$A$3:$I$733,9,FALSE)</f>
        <v>-2719737.05</v>
      </c>
      <c r="K1025" s="2011">
        <f t="shared" si="31"/>
        <v>548800</v>
      </c>
    </row>
    <row r="1026" spans="1:11" x14ac:dyDescent="0.2">
      <c r="A1026" t="s">
        <v>4581</v>
      </c>
      <c r="B1026" t="s">
        <v>4582</v>
      </c>
      <c r="C1026" s="2022">
        <v>0</v>
      </c>
      <c r="D1026" s="2022">
        <v>9339.31</v>
      </c>
      <c r="E1026" s="2022">
        <v>0</v>
      </c>
      <c r="F1026" s="2022">
        <v>0</v>
      </c>
      <c r="G1026" s="2022">
        <f t="shared" ref="G1026:G1089" si="32">SUM(D1026:F1026)</f>
        <v>9339.31</v>
      </c>
      <c r="I1026" s="2022">
        <f>VLOOKUP(A1026,'2012 - TB'!$A$3:$I$733,9,FALSE)</f>
        <v>9339.31</v>
      </c>
      <c r="K1026" s="2011">
        <f t="shared" ref="K1026:K1089" si="33">G1026-I1026</f>
        <v>0</v>
      </c>
    </row>
    <row r="1027" spans="1:11" x14ac:dyDescent="0.2">
      <c r="A1027" t="s">
        <v>4583</v>
      </c>
      <c r="B1027" t="s">
        <v>8042</v>
      </c>
      <c r="C1027" s="2022">
        <v>0</v>
      </c>
      <c r="D1027" s="2022">
        <v>0</v>
      </c>
      <c r="E1027" s="2022">
        <v>0</v>
      </c>
      <c r="F1027" s="2022">
        <v>0</v>
      </c>
      <c r="G1027" s="2022">
        <f t="shared" si="32"/>
        <v>0</v>
      </c>
      <c r="K1027" s="2011">
        <f t="shared" si="33"/>
        <v>0</v>
      </c>
    </row>
    <row r="1028" spans="1:11" x14ac:dyDescent="0.2">
      <c r="A1028" t="s">
        <v>4584</v>
      </c>
      <c r="B1028" t="s">
        <v>4585</v>
      </c>
      <c r="C1028" s="2022">
        <v>0</v>
      </c>
      <c r="D1028" s="2022">
        <v>-28.03</v>
      </c>
      <c r="E1028" s="2022">
        <v>0</v>
      </c>
      <c r="F1028" s="2022">
        <v>0</v>
      </c>
      <c r="G1028" s="2022">
        <f t="shared" si="32"/>
        <v>-28.03</v>
      </c>
      <c r="I1028" s="2022">
        <f>VLOOKUP(A1028,'2012 - TB'!$A$3:$I$733,9,FALSE)</f>
        <v>-28.03</v>
      </c>
      <c r="K1028" s="2011">
        <f t="shared" si="33"/>
        <v>0</v>
      </c>
    </row>
    <row r="1029" spans="1:11" x14ac:dyDescent="0.2">
      <c r="A1029" t="s">
        <v>4586</v>
      </c>
      <c r="B1029" t="s">
        <v>4587</v>
      </c>
      <c r="C1029" s="2022">
        <v>0</v>
      </c>
      <c r="D1029" s="2022">
        <v>22734</v>
      </c>
      <c r="E1029" s="2022">
        <v>0</v>
      </c>
      <c r="F1029" s="2022">
        <v>0</v>
      </c>
      <c r="G1029" s="2022">
        <f t="shared" si="32"/>
        <v>22734</v>
      </c>
      <c r="I1029" s="2022">
        <f>VLOOKUP(A1029,'2012 - TB'!$A$3:$I$733,9,FALSE)</f>
        <v>22734</v>
      </c>
      <c r="K1029" s="2011">
        <f t="shared" si="33"/>
        <v>0</v>
      </c>
    </row>
    <row r="1030" spans="1:11" x14ac:dyDescent="0.2">
      <c r="A1030" t="s">
        <v>4588</v>
      </c>
      <c r="B1030" t="s">
        <v>8043</v>
      </c>
      <c r="C1030" s="2022">
        <v>0</v>
      </c>
      <c r="D1030" s="2022">
        <v>0</v>
      </c>
      <c r="E1030" s="2022">
        <v>0</v>
      </c>
      <c r="F1030" s="2022">
        <v>0</v>
      </c>
      <c r="G1030" s="2022">
        <f t="shared" si="32"/>
        <v>0</v>
      </c>
      <c r="K1030" s="2011">
        <f t="shared" si="33"/>
        <v>0</v>
      </c>
    </row>
    <row r="1031" spans="1:11" x14ac:dyDescent="0.2">
      <c r="A1031" t="s">
        <v>4589</v>
      </c>
      <c r="B1031" t="s">
        <v>4590</v>
      </c>
      <c r="C1031" s="2022">
        <v>0</v>
      </c>
      <c r="D1031" s="2022">
        <v>-236574.36</v>
      </c>
      <c r="E1031" s="2022">
        <v>211803.2</v>
      </c>
      <c r="F1031" s="2022">
        <v>-608232.22</v>
      </c>
      <c r="G1031" s="2022">
        <f t="shared" si="32"/>
        <v>-633003.37999999989</v>
      </c>
      <c r="I1031" s="2022">
        <f>VLOOKUP(A1031,'2012 - TB'!$A$3:$I$733,9,FALSE)</f>
        <v>-1041707.1500000001</v>
      </c>
      <c r="K1031" s="2011">
        <f t="shared" si="33"/>
        <v>408703.77000000025</v>
      </c>
    </row>
    <row r="1032" spans="1:11" x14ac:dyDescent="0.2">
      <c r="A1032" t="s">
        <v>4591</v>
      </c>
      <c r="B1032" t="s">
        <v>8044</v>
      </c>
      <c r="C1032" s="2022">
        <v>0</v>
      </c>
      <c r="D1032" s="2022">
        <v>-5135150</v>
      </c>
      <c r="E1032" s="2022">
        <v>5135150</v>
      </c>
      <c r="F1032" s="2022">
        <v>-17049944.82</v>
      </c>
      <c r="G1032" s="2022">
        <f t="shared" si="32"/>
        <v>-17049944.82</v>
      </c>
      <c r="I1032" s="2022">
        <f>VLOOKUP(A1032,'2012 - TB'!$A$3:$I$733,9,FALSE)</f>
        <v>-17049944.82</v>
      </c>
      <c r="K1032" s="2011">
        <f t="shared" si="33"/>
        <v>0</v>
      </c>
    </row>
    <row r="1033" spans="1:11" x14ac:dyDescent="0.2">
      <c r="A1033" t="s">
        <v>4592</v>
      </c>
      <c r="B1033" t="s">
        <v>4593</v>
      </c>
      <c r="C1033" s="2022">
        <v>0</v>
      </c>
      <c r="D1033" s="2022">
        <v>-39526</v>
      </c>
      <c r="E1033" s="2022">
        <v>0</v>
      </c>
      <c r="F1033" s="2022">
        <v>0</v>
      </c>
      <c r="G1033" s="2022">
        <f t="shared" si="32"/>
        <v>-39526</v>
      </c>
      <c r="I1033" s="2022">
        <f>VLOOKUP(A1033,'2012 - TB'!$A$3:$I$733,9,FALSE)</f>
        <v>-39526</v>
      </c>
      <c r="K1033" s="2011">
        <f t="shared" si="33"/>
        <v>0</v>
      </c>
    </row>
    <row r="1034" spans="1:11" x14ac:dyDescent="0.2">
      <c r="A1034" t="s">
        <v>4594</v>
      </c>
      <c r="B1034" t="s">
        <v>4595</v>
      </c>
      <c r="C1034" s="2022">
        <v>0</v>
      </c>
      <c r="D1034" s="2022">
        <v>0</v>
      </c>
      <c r="E1034" s="2022">
        <v>4181304.48</v>
      </c>
      <c r="F1034" s="2022">
        <v>-4181304.48</v>
      </c>
      <c r="G1034" s="2022">
        <f t="shared" si="32"/>
        <v>0</v>
      </c>
      <c r="I1034" s="2022">
        <f>VLOOKUP(A1034,'2012 - TB'!$A$3:$I$733,9,FALSE)</f>
        <v>0</v>
      </c>
      <c r="K1034" s="2011">
        <f t="shared" si="33"/>
        <v>0</v>
      </c>
    </row>
    <row r="1035" spans="1:11" x14ac:dyDescent="0.2">
      <c r="A1035" t="s">
        <v>8045</v>
      </c>
      <c r="B1035" t="s">
        <v>8046</v>
      </c>
      <c r="C1035" s="2022">
        <v>0</v>
      </c>
      <c r="D1035" s="2022">
        <v>0</v>
      </c>
      <c r="E1035" s="2022">
        <v>0</v>
      </c>
      <c r="F1035" s="2022">
        <v>0</v>
      </c>
      <c r="G1035" s="2022">
        <f t="shared" si="32"/>
        <v>0</v>
      </c>
      <c r="K1035" s="2011">
        <f t="shared" si="33"/>
        <v>0</v>
      </c>
    </row>
    <row r="1036" spans="1:11" x14ac:dyDescent="0.2">
      <c r="A1036" t="s">
        <v>4596</v>
      </c>
      <c r="B1036" t="s">
        <v>4597</v>
      </c>
      <c r="C1036" s="2022">
        <v>0</v>
      </c>
      <c r="D1036" s="2022">
        <v>26063.87</v>
      </c>
      <c r="E1036" s="2022">
        <v>102202593.84999999</v>
      </c>
      <c r="F1036" s="2022">
        <v>-102228657.73999999</v>
      </c>
      <c r="G1036" s="2022">
        <f t="shared" si="32"/>
        <v>-1.9999995827674866E-2</v>
      </c>
      <c r="I1036" s="2022">
        <f>VLOOKUP(A1036,'2012 - TB'!$A$3:$I$733,9,FALSE)</f>
        <v>0</v>
      </c>
      <c r="K1036" s="2011">
        <f t="shared" si="33"/>
        <v>-1.9999995827674866E-2</v>
      </c>
    </row>
    <row r="1037" spans="1:11" x14ac:dyDescent="0.2">
      <c r="A1037" t="s">
        <v>4598</v>
      </c>
      <c r="B1037" t="s">
        <v>4599</v>
      </c>
      <c r="C1037" s="2022">
        <v>0</v>
      </c>
      <c r="D1037" s="2022">
        <v>-780</v>
      </c>
      <c r="E1037" s="2022">
        <v>16128</v>
      </c>
      <c r="F1037" s="2022">
        <v>-20290</v>
      </c>
      <c r="G1037" s="2022">
        <f t="shared" si="32"/>
        <v>-4942</v>
      </c>
      <c r="I1037" s="2022">
        <f>VLOOKUP(A1037,'2012 - TB'!$A$3:$I$733,9,FALSE)</f>
        <v>-4942</v>
      </c>
      <c r="K1037" s="2011">
        <f t="shared" si="33"/>
        <v>0</v>
      </c>
    </row>
    <row r="1038" spans="1:11" x14ac:dyDescent="0.2">
      <c r="A1038" t="s">
        <v>4600</v>
      </c>
      <c r="B1038" t="s">
        <v>4601</v>
      </c>
      <c r="C1038" s="2022">
        <v>0</v>
      </c>
      <c r="D1038" s="2022">
        <v>-1352069</v>
      </c>
      <c r="E1038" s="2022">
        <v>2207069</v>
      </c>
      <c r="F1038" s="2022">
        <v>-855000</v>
      </c>
      <c r="G1038" s="2022">
        <f t="shared" si="32"/>
        <v>0</v>
      </c>
      <c r="I1038" s="2022">
        <f>VLOOKUP(A1038,'2012 - TB'!$A$3:$I$733,9,FALSE)</f>
        <v>0</v>
      </c>
      <c r="K1038" s="2011">
        <f t="shared" si="33"/>
        <v>0</v>
      </c>
    </row>
    <row r="1039" spans="1:11" x14ac:dyDescent="0.2">
      <c r="A1039" t="s">
        <v>4602</v>
      </c>
      <c r="B1039" t="s">
        <v>4603</v>
      </c>
      <c r="C1039" s="2022">
        <v>0</v>
      </c>
      <c r="D1039" s="2022">
        <v>-343835.01</v>
      </c>
      <c r="E1039" s="2022">
        <v>14439673.939999999</v>
      </c>
      <c r="F1039" s="2022">
        <v>-14095838.93</v>
      </c>
      <c r="G1039" s="2022">
        <f t="shared" si="32"/>
        <v>0</v>
      </c>
      <c r="I1039" s="2022">
        <f>VLOOKUP(A1039,'2012 - TB'!$A$3:$I$733,9,FALSE)</f>
        <v>0</v>
      </c>
      <c r="K1039" s="2011">
        <f t="shared" si="33"/>
        <v>0</v>
      </c>
    </row>
    <row r="1040" spans="1:11" x14ac:dyDescent="0.2">
      <c r="A1040" t="s">
        <v>4604</v>
      </c>
      <c r="B1040" t="s">
        <v>4605</v>
      </c>
      <c r="C1040" s="2022">
        <v>0</v>
      </c>
      <c r="D1040" s="2022">
        <v>0</v>
      </c>
      <c r="E1040" s="2022">
        <v>2475800.5499999998</v>
      </c>
      <c r="F1040" s="2022">
        <v>-2475800.5499999998</v>
      </c>
      <c r="G1040" s="2022">
        <f t="shared" si="32"/>
        <v>0</v>
      </c>
      <c r="I1040" s="2022">
        <f>VLOOKUP(A1040,'2012 - TB'!$A$3:$I$733,9,FALSE)</f>
        <v>0</v>
      </c>
      <c r="K1040" s="2011">
        <f t="shared" si="33"/>
        <v>0</v>
      </c>
    </row>
    <row r="1041" spans="1:11" x14ac:dyDescent="0.2">
      <c r="A1041" t="s">
        <v>4606</v>
      </c>
      <c r="B1041" t="s">
        <v>4607</v>
      </c>
      <c r="C1041" s="2022">
        <v>0</v>
      </c>
      <c r="D1041" s="2022">
        <v>605341.9</v>
      </c>
      <c r="E1041" s="2022">
        <v>1486739.17</v>
      </c>
      <c r="F1041" s="2022">
        <v>-2133130.0699999998</v>
      </c>
      <c r="G1041" s="2022">
        <f t="shared" si="32"/>
        <v>-41049</v>
      </c>
      <c r="I1041" s="2022">
        <f>VLOOKUP(A1041,'2012 - TB'!$A$3:$I$733,9,FALSE)</f>
        <v>-41049</v>
      </c>
      <c r="K1041" s="2011">
        <f t="shared" si="33"/>
        <v>0</v>
      </c>
    </row>
    <row r="1042" spans="1:11" x14ac:dyDescent="0.2">
      <c r="A1042" t="s">
        <v>4608</v>
      </c>
      <c r="B1042" t="s">
        <v>4609</v>
      </c>
      <c r="C1042" s="2022">
        <v>0</v>
      </c>
      <c r="D1042" s="2022">
        <v>-12487502.699999999</v>
      </c>
      <c r="E1042" s="2022">
        <v>16286392.619999999</v>
      </c>
      <c r="F1042" s="2022">
        <v>-15838500.199999999</v>
      </c>
      <c r="G1042" s="2022">
        <f t="shared" si="32"/>
        <v>-12039610.279999999</v>
      </c>
      <c r="I1042" s="2022">
        <f>VLOOKUP(A1042,'2012 - TB'!$A$3:$I$733,9,FALSE)</f>
        <v>-12039610.279999999</v>
      </c>
      <c r="K1042" s="2011">
        <f t="shared" si="33"/>
        <v>0</v>
      </c>
    </row>
    <row r="1043" spans="1:11" x14ac:dyDescent="0.2">
      <c r="A1043" t="s">
        <v>4610</v>
      </c>
      <c r="B1043" t="s">
        <v>4611</v>
      </c>
      <c r="C1043" s="2022">
        <v>0</v>
      </c>
      <c r="D1043" s="2022">
        <v>-31183.05</v>
      </c>
      <c r="E1043" s="2022">
        <v>418389.38</v>
      </c>
      <c r="F1043" s="2022">
        <v>-387206.33</v>
      </c>
      <c r="G1043" s="2022">
        <f t="shared" si="32"/>
        <v>0</v>
      </c>
      <c r="I1043" s="2022">
        <f>VLOOKUP(A1043,'2012 - TB'!$A$3:$I$733,9,FALSE)</f>
        <v>0</v>
      </c>
      <c r="K1043" s="2011">
        <f t="shared" si="33"/>
        <v>0</v>
      </c>
    </row>
    <row r="1044" spans="1:11" x14ac:dyDescent="0.2">
      <c r="A1044" t="s">
        <v>4612</v>
      </c>
      <c r="B1044" t="s">
        <v>4613</v>
      </c>
      <c r="C1044" s="2022">
        <v>0</v>
      </c>
      <c r="D1044" s="2022">
        <v>-1846795</v>
      </c>
      <c r="E1044" s="2022">
        <v>1846795</v>
      </c>
      <c r="F1044" s="2022">
        <v>0</v>
      </c>
      <c r="G1044" s="2022">
        <f t="shared" si="32"/>
        <v>0</v>
      </c>
      <c r="I1044" s="2022">
        <f>VLOOKUP(A1044,'2012 - TB'!$A$3:$I$733,9,FALSE)</f>
        <v>0</v>
      </c>
      <c r="K1044" s="2011">
        <f t="shared" si="33"/>
        <v>0</v>
      </c>
    </row>
    <row r="1045" spans="1:11" x14ac:dyDescent="0.2">
      <c r="A1045" t="s">
        <v>4614</v>
      </c>
      <c r="B1045" t="s">
        <v>4615</v>
      </c>
      <c r="C1045" s="2022">
        <v>0</v>
      </c>
      <c r="D1045" s="2022">
        <v>-527275</v>
      </c>
      <c r="E1045" s="2022">
        <v>527275</v>
      </c>
      <c r="F1045" s="2022">
        <v>0</v>
      </c>
      <c r="G1045" s="2022">
        <f t="shared" si="32"/>
        <v>0</v>
      </c>
      <c r="I1045" s="2022">
        <f>VLOOKUP(A1045,'2012 - TB'!$A$3:$I$733,9,FALSE)</f>
        <v>0</v>
      </c>
      <c r="K1045" s="2011">
        <f t="shared" si="33"/>
        <v>0</v>
      </c>
    </row>
    <row r="1046" spans="1:11" x14ac:dyDescent="0.2">
      <c r="A1046" t="s">
        <v>4616</v>
      </c>
      <c r="B1046" t="s">
        <v>4617</v>
      </c>
      <c r="C1046" s="2022">
        <v>0</v>
      </c>
      <c r="D1046" s="2022">
        <v>-2208424</v>
      </c>
      <c r="E1046" s="2022">
        <v>2208424</v>
      </c>
      <c r="F1046" s="2022">
        <v>0</v>
      </c>
      <c r="G1046" s="2022">
        <f t="shared" si="32"/>
        <v>0</v>
      </c>
      <c r="I1046" s="2022">
        <f>VLOOKUP(A1046,'2012 - TB'!$A$3:$I$733,9,FALSE)</f>
        <v>0</v>
      </c>
      <c r="K1046" s="2011">
        <f t="shared" si="33"/>
        <v>0</v>
      </c>
    </row>
    <row r="1047" spans="1:11" x14ac:dyDescent="0.2">
      <c r="A1047" t="s">
        <v>4618</v>
      </c>
      <c r="B1047" t="s">
        <v>4619</v>
      </c>
      <c r="C1047" s="2022">
        <v>0</v>
      </c>
      <c r="D1047" s="2022">
        <v>-92818</v>
      </c>
      <c r="E1047" s="2022">
        <v>92818</v>
      </c>
      <c r="F1047" s="2022">
        <v>0</v>
      </c>
      <c r="G1047" s="2022">
        <f t="shared" si="32"/>
        <v>0</v>
      </c>
      <c r="I1047" s="2022">
        <f>VLOOKUP(A1047,'2012 - TB'!$A$3:$I$733,9,FALSE)</f>
        <v>0</v>
      </c>
      <c r="K1047" s="2011">
        <f t="shared" si="33"/>
        <v>0</v>
      </c>
    </row>
    <row r="1048" spans="1:11" x14ac:dyDescent="0.2">
      <c r="A1048" t="s">
        <v>4620</v>
      </c>
      <c r="B1048" t="s">
        <v>4621</v>
      </c>
      <c r="C1048" s="2022">
        <v>0</v>
      </c>
      <c r="D1048" s="2022">
        <v>-176085</v>
      </c>
      <c r="E1048" s="2022">
        <v>1827085</v>
      </c>
      <c r="F1048" s="2022">
        <v>-1651000</v>
      </c>
      <c r="G1048" s="2022">
        <f t="shared" si="32"/>
        <v>0</v>
      </c>
      <c r="I1048" s="2022">
        <f>VLOOKUP(A1048,'2012 - TB'!$A$3:$I$733,9,FALSE)</f>
        <v>0</v>
      </c>
      <c r="K1048" s="2011">
        <f t="shared" si="33"/>
        <v>0</v>
      </c>
    </row>
    <row r="1049" spans="1:11" x14ac:dyDescent="0.2">
      <c r="A1049" t="s">
        <v>4622</v>
      </c>
      <c r="B1049" t="s">
        <v>4623</v>
      </c>
      <c r="C1049" s="2022">
        <v>0</v>
      </c>
      <c r="D1049" s="2022">
        <v>-909915</v>
      </c>
      <c r="E1049" s="2022">
        <v>909915</v>
      </c>
      <c r="F1049" s="2022">
        <v>0</v>
      </c>
      <c r="G1049" s="2022">
        <f t="shared" si="32"/>
        <v>0</v>
      </c>
      <c r="I1049" s="2022">
        <f>VLOOKUP(A1049,'2012 - TB'!$A$3:$I$733,9,FALSE)</f>
        <v>0</v>
      </c>
      <c r="K1049" s="2011">
        <f t="shared" si="33"/>
        <v>0</v>
      </c>
    </row>
    <row r="1050" spans="1:11" x14ac:dyDescent="0.2">
      <c r="A1050" t="s">
        <v>4624</v>
      </c>
      <c r="B1050" t="s">
        <v>4625</v>
      </c>
      <c r="C1050" s="2022">
        <v>0</v>
      </c>
      <c r="D1050" s="2022">
        <v>-2220000</v>
      </c>
      <c r="E1050" s="2022">
        <v>2220000</v>
      </c>
      <c r="F1050" s="2022">
        <v>0</v>
      </c>
      <c r="G1050" s="2022">
        <f t="shared" si="32"/>
        <v>0</v>
      </c>
      <c r="I1050" s="2022">
        <f>VLOOKUP(A1050,'2012 - TB'!$A$3:$I$733,9,FALSE)</f>
        <v>0</v>
      </c>
      <c r="K1050" s="2011">
        <f t="shared" si="33"/>
        <v>0</v>
      </c>
    </row>
    <row r="1051" spans="1:11" x14ac:dyDescent="0.2">
      <c r="A1051" t="s">
        <v>4626</v>
      </c>
      <c r="B1051" t="s">
        <v>4627</v>
      </c>
      <c r="C1051" s="2022">
        <v>0</v>
      </c>
      <c r="D1051" s="2022">
        <v>2138316.88</v>
      </c>
      <c r="E1051" s="2022">
        <v>4711918.8899999997</v>
      </c>
      <c r="F1051" s="2022">
        <v>-196232.26</v>
      </c>
      <c r="G1051" s="2022">
        <f t="shared" si="32"/>
        <v>6654003.5099999998</v>
      </c>
      <c r="I1051" s="2022">
        <f>VLOOKUP(A1051,'2012 - TB'!$A$3:$I$733,9,FALSE)</f>
        <v>6654003.5099999998</v>
      </c>
      <c r="K1051" s="2011">
        <f t="shared" si="33"/>
        <v>0</v>
      </c>
    </row>
    <row r="1052" spans="1:11" x14ac:dyDescent="0.2">
      <c r="A1052" t="s">
        <v>4628</v>
      </c>
      <c r="B1052" t="s">
        <v>4629</v>
      </c>
      <c r="C1052" s="2022">
        <v>0</v>
      </c>
      <c r="D1052" s="2022">
        <v>3204500.2</v>
      </c>
      <c r="E1052" s="2022">
        <v>6871027.6900000004</v>
      </c>
      <c r="F1052" s="2022">
        <v>-138128.99</v>
      </c>
      <c r="G1052" s="2022">
        <f t="shared" si="32"/>
        <v>9937398.9000000004</v>
      </c>
      <c r="I1052" s="2022">
        <f>VLOOKUP(A1052,'2012 - TB'!$A$3:$I$733,9,FALSE)</f>
        <v>9514062.5700000003</v>
      </c>
      <c r="K1052" s="2011">
        <f t="shared" si="33"/>
        <v>423336.33000000007</v>
      </c>
    </row>
    <row r="1053" spans="1:11" x14ac:dyDescent="0.2">
      <c r="A1053" t="s">
        <v>4630</v>
      </c>
      <c r="B1053" t="s">
        <v>4631</v>
      </c>
      <c r="C1053" s="2022">
        <v>0</v>
      </c>
      <c r="D1053" s="2022">
        <v>3118613.4</v>
      </c>
      <c r="E1053" s="2022">
        <v>4776420.3600000003</v>
      </c>
      <c r="F1053" s="2022">
        <v>-268227.02</v>
      </c>
      <c r="G1053" s="2022">
        <f t="shared" si="32"/>
        <v>7626806.7400000002</v>
      </c>
      <c r="I1053" s="2022">
        <f>VLOOKUP(A1053,'2012 - TB'!$A$3:$I$733,9,FALSE)</f>
        <v>7626806.7400000002</v>
      </c>
      <c r="K1053" s="2011">
        <f t="shared" si="33"/>
        <v>0</v>
      </c>
    </row>
    <row r="1054" spans="1:11" x14ac:dyDescent="0.2">
      <c r="A1054" t="s">
        <v>4632</v>
      </c>
      <c r="B1054" t="s">
        <v>4633</v>
      </c>
      <c r="C1054" s="2022">
        <v>0</v>
      </c>
      <c r="D1054" s="2022">
        <v>3760897.78</v>
      </c>
      <c r="E1054" s="2022">
        <v>9793602.0399999991</v>
      </c>
      <c r="F1054" s="2022">
        <v>-796270.52</v>
      </c>
      <c r="G1054" s="2022">
        <f t="shared" si="32"/>
        <v>12758229.299999999</v>
      </c>
      <c r="I1054" s="2022">
        <f>VLOOKUP(A1054,'2012 - TB'!$A$3:$I$733,9,FALSE)</f>
        <v>12677827.48</v>
      </c>
      <c r="K1054" s="2011">
        <f t="shared" si="33"/>
        <v>80401.819999998435</v>
      </c>
    </row>
    <row r="1055" spans="1:11" x14ac:dyDescent="0.2">
      <c r="A1055" t="s">
        <v>4634</v>
      </c>
      <c r="B1055" t="s">
        <v>4635</v>
      </c>
      <c r="C1055" s="2022">
        <v>0</v>
      </c>
      <c r="D1055" s="2022">
        <v>-2091729.91</v>
      </c>
      <c r="E1055" s="2022">
        <v>123700615.87</v>
      </c>
      <c r="F1055" s="2022">
        <v>-125524244.66</v>
      </c>
      <c r="G1055" s="2022">
        <f t="shared" si="32"/>
        <v>-3915358.6999999881</v>
      </c>
      <c r="I1055" s="2022">
        <f>VLOOKUP(A1055,'2012 - TB'!$A$3:$I$733,9,FALSE)</f>
        <v>-3915358.700000003</v>
      </c>
      <c r="K1055" s="2011">
        <f t="shared" si="33"/>
        <v>1.4901161193847656E-8</v>
      </c>
    </row>
    <row r="1056" spans="1:11" x14ac:dyDescent="0.2">
      <c r="A1056" t="s">
        <v>4636</v>
      </c>
      <c r="B1056" t="s">
        <v>4637</v>
      </c>
      <c r="C1056" s="2022">
        <v>0</v>
      </c>
      <c r="D1056" s="2022">
        <v>196206.46</v>
      </c>
      <c r="E1056" s="2022">
        <v>6941976.54</v>
      </c>
      <c r="F1056" s="2022">
        <v>-16780.98</v>
      </c>
      <c r="G1056" s="2022">
        <f t="shared" si="32"/>
        <v>7121402.0199999996</v>
      </c>
      <c r="I1056" s="2022">
        <f>VLOOKUP(A1056,'2012 - TB'!$A$3:$I$733,9,FALSE)</f>
        <v>6717401.9900000002</v>
      </c>
      <c r="K1056" s="2011">
        <f t="shared" si="33"/>
        <v>404000.02999999933</v>
      </c>
    </row>
    <row r="1057" spans="1:11" x14ac:dyDescent="0.2">
      <c r="A1057" t="s">
        <v>4638</v>
      </c>
      <c r="B1057" t="s">
        <v>8047</v>
      </c>
      <c r="C1057" s="2022">
        <v>0</v>
      </c>
      <c r="D1057" s="2022">
        <v>0</v>
      </c>
      <c r="E1057" s="2022">
        <v>0</v>
      </c>
      <c r="F1057" s="2022">
        <v>-2636217</v>
      </c>
      <c r="G1057" s="2022">
        <f t="shared" si="32"/>
        <v>-2636217</v>
      </c>
      <c r="I1057" s="2022">
        <f>VLOOKUP(A1057,'2012 - TB'!$A$3:$I$733,9,FALSE)</f>
        <v>-2636217</v>
      </c>
      <c r="K1057" s="2011">
        <f t="shared" si="33"/>
        <v>0</v>
      </c>
    </row>
    <row r="1058" spans="1:11" x14ac:dyDescent="0.2">
      <c r="A1058" t="s">
        <v>4639</v>
      </c>
      <c r="B1058" t="s">
        <v>4640</v>
      </c>
      <c r="C1058" s="2022">
        <v>0</v>
      </c>
      <c r="D1058" s="2022">
        <v>931819.03</v>
      </c>
      <c r="E1058" s="2022">
        <v>359791.97</v>
      </c>
      <c r="F1058" s="2022">
        <v>0</v>
      </c>
      <c r="G1058" s="2022">
        <f t="shared" si="32"/>
        <v>1291611</v>
      </c>
      <c r="I1058" s="2022">
        <f>VLOOKUP(A1058,'2012 - TB'!$A$3:$I$733,9,FALSE)</f>
        <v>1291611</v>
      </c>
      <c r="K1058" s="2011">
        <f t="shared" si="33"/>
        <v>0</v>
      </c>
    </row>
    <row r="1059" spans="1:11" x14ac:dyDescent="0.2">
      <c r="A1059" t="s">
        <v>4641</v>
      </c>
      <c r="B1059" t="s">
        <v>8048</v>
      </c>
      <c r="C1059" s="2022">
        <v>0</v>
      </c>
      <c r="D1059" s="2022">
        <v>0</v>
      </c>
      <c r="E1059" s="2022">
        <v>0</v>
      </c>
      <c r="F1059" s="2022">
        <v>-952574</v>
      </c>
      <c r="G1059" s="2022">
        <f t="shared" si="32"/>
        <v>-952574</v>
      </c>
      <c r="I1059" s="2022">
        <f>VLOOKUP(A1059,'2012 - TB'!$A$3:$I$733,9,FALSE)</f>
        <v>-952574</v>
      </c>
      <c r="K1059" s="2011">
        <f t="shared" si="33"/>
        <v>0</v>
      </c>
    </row>
    <row r="1060" spans="1:11" x14ac:dyDescent="0.2">
      <c r="A1060" t="s">
        <v>4642</v>
      </c>
      <c r="B1060" t="s">
        <v>4643</v>
      </c>
      <c r="C1060" s="2022">
        <v>0</v>
      </c>
      <c r="D1060" s="2022">
        <v>26289.83</v>
      </c>
      <c r="E1060" s="2022">
        <v>0</v>
      </c>
      <c r="F1060" s="2022">
        <v>-26289.83</v>
      </c>
      <c r="G1060" s="2022">
        <f t="shared" si="32"/>
        <v>0</v>
      </c>
      <c r="I1060" s="2022">
        <f>VLOOKUP(A1060,'2012 - TB'!$A$3:$I$733,9,FALSE)</f>
        <v>0</v>
      </c>
      <c r="K1060" s="2011">
        <f t="shared" si="33"/>
        <v>0</v>
      </c>
    </row>
    <row r="1061" spans="1:11" x14ac:dyDescent="0.2">
      <c r="A1061" t="s">
        <v>4644</v>
      </c>
      <c r="B1061" t="s">
        <v>8049</v>
      </c>
      <c r="C1061" s="2022">
        <v>0</v>
      </c>
      <c r="D1061" s="2022">
        <v>0</v>
      </c>
      <c r="E1061" s="2022">
        <v>0</v>
      </c>
      <c r="F1061" s="2022">
        <v>0</v>
      </c>
      <c r="G1061" s="2022">
        <f t="shared" si="32"/>
        <v>0</v>
      </c>
      <c r="K1061" s="2011">
        <f t="shared" si="33"/>
        <v>0</v>
      </c>
    </row>
    <row r="1062" spans="1:11" x14ac:dyDescent="0.2">
      <c r="A1062" t="s">
        <v>4645</v>
      </c>
      <c r="B1062" t="s">
        <v>4646</v>
      </c>
      <c r="C1062" s="2022">
        <v>0</v>
      </c>
      <c r="D1062" s="2022">
        <v>345558.03</v>
      </c>
      <c r="E1062" s="2022">
        <v>0</v>
      </c>
      <c r="F1062" s="2022">
        <v>-345558.03</v>
      </c>
      <c r="G1062" s="2022">
        <f t="shared" si="32"/>
        <v>0</v>
      </c>
      <c r="I1062" s="2022">
        <f>VLOOKUP(A1062,'2012 - TB'!$A$3:$I$733,9,FALSE)</f>
        <v>0</v>
      </c>
      <c r="K1062" s="2011">
        <f t="shared" si="33"/>
        <v>0</v>
      </c>
    </row>
    <row r="1063" spans="1:11" x14ac:dyDescent="0.2">
      <c r="A1063" t="s">
        <v>4647</v>
      </c>
      <c r="B1063" t="s">
        <v>8050</v>
      </c>
      <c r="C1063" s="2022">
        <v>0</v>
      </c>
      <c r="D1063" s="2022">
        <v>0</v>
      </c>
      <c r="E1063" s="2022">
        <v>0</v>
      </c>
      <c r="F1063" s="2022">
        <v>0</v>
      </c>
      <c r="G1063" s="2022">
        <f t="shared" si="32"/>
        <v>0</v>
      </c>
      <c r="K1063" s="2011">
        <f t="shared" si="33"/>
        <v>0</v>
      </c>
    </row>
    <row r="1064" spans="1:11" x14ac:dyDescent="0.2">
      <c r="A1064" t="s">
        <v>4648</v>
      </c>
      <c r="B1064" t="s">
        <v>4649</v>
      </c>
      <c r="C1064" s="2022">
        <v>0</v>
      </c>
      <c r="D1064" s="2022">
        <v>27903.51</v>
      </c>
      <c r="E1064" s="2022">
        <v>0</v>
      </c>
      <c r="F1064" s="2022">
        <v>-27903.51</v>
      </c>
      <c r="G1064" s="2022">
        <f t="shared" si="32"/>
        <v>0</v>
      </c>
      <c r="I1064" s="2022">
        <f>VLOOKUP(A1064,'2012 - TB'!$A$3:$I$733,9,FALSE)</f>
        <v>0</v>
      </c>
      <c r="K1064" s="2011">
        <f t="shared" si="33"/>
        <v>0</v>
      </c>
    </row>
    <row r="1065" spans="1:11" x14ac:dyDescent="0.2">
      <c r="A1065" t="s">
        <v>4650</v>
      </c>
      <c r="B1065" t="s">
        <v>8051</v>
      </c>
      <c r="C1065" s="2022">
        <v>0</v>
      </c>
      <c r="D1065" s="2022">
        <v>0</v>
      </c>
      <c r="E1065" s="2022">
        <v>0</v>
      </c>
      <c r="F1065" s="2022">
        <v>0</v>
      </c>
      <c r="G1065" s="2022">
        <f t="shared" si="32"/>
        <v>0</v>
      </c>
      <c r="K1065" s="2011">
        <f t="shared" si="33"/>
        <v>0</v>
      </c>
    </row>
    <row r="1066" spans="1:11" x14ac:dyDescent="0.2">
      <c r="A1066" t="s">
        <v>4651</v>
      </c>
      <c r="B1066" t="s">
        <v>4652</v>
      </c>
      <c r="C1066" s="2022">
        <v>0</v>
      </c>
      <c r="D1066" s="2022">
        <v>18214120.309999999</v>
      </c>
      <c r="E1066" s="2022">
        <v>76995463.689999998</v>
      </c>
      <c r="F1066" s="2022">
        <v>-40592000</v>
      </c>
      <c r="G1066" s="2022">
        <f t="shared" si="32"/>
        <v>54617584</v>
      </c>
      <c r="I1066" s="2022">
        <f>VLOOKUP(A1066,'2012 - TB'!$A$3:$I$733,9,FALSE)</f>
        <v>54617584</v>
      </c>
      <c r="K1066" s="2011">
        <f t="shared" si="33"/>
        <v>0</v>
      </c>
    </row>
    <row r="1067" spans="1:11" x14ac:dyDescent="0.2">
      <c r="A1067" t="s">
        <v>4653</v>
      </c>
      <c r="B1067" t="s">
        <v>8052</v>
      </c>
      <c r="C1067" s="2022">
        <v>0</v>
      </c>
      <c r="D1067" s="2022">
        <v>0</v>
      </c>
      <c r="E1067" s="2022">
        <v>15459936</v>
      </c>
      <c r="F1067" s="2022">
        <v>-47922369.909999996</v>
      </c>
      <c r="G1067" s="2022">
        <f t="shared" si="32"/>
        <v>-32462433.909999996</v>
      </c>
      <c r="I1067" s="2022">
        <f>VLOOKUP(A1067,'2012 - TB'!$A$3:$I$733,9,FALSE)</f>
        <v>-32462433.91</v>
      </c>
      <c r="K1067" s="2011">
        <f t="shared" si="33"/>
        <v>0</v>
      </c>
    </row>
    <row r="1068" spans="1:11" x14ac:dyDescent="0.2">
      <c r="A1068" t="s">
        <v>4654</v>
      </c>
      <c r="B1068" t="s">
        <v>4655</v>
      </c>
      <c r="C1068" s="2022">
        <v>0</v>
      </c>
      <c r="D1068" s="2022">
        <v>2885047.73</v>
      </c>
      <c r="E1068" s="2022">
        <v>422.4</v>
      </c>
      <c r="F1068" s="2022">
        <v>-2885470.13</v>
      </c>
      <c r="G1068" s="2022">
        <f t="shared" si="32"/>
        <v>0</v>
      </c>
      <c r="I1068" s="2022">
        <f>VLOOKUP(A1068,'2012 - TB'!$A$3:$I$733,9,FALSE)</f>
        <v>0</v>
      </c>
      <c r="K1068" s="2011">
        <f t="shared" si="33"/>
        <v>0</v>
      </c>
    </row>
    <row r="1069" spans="1:11" x14ac:dyDescent="0.2">
      <c r="A1069" t="s">
        <v>4656</v>
      </c>
      <c r="B1069" t="s">
        <v>8053</v>
      </c>
      <c r="C1069" s="2022">
        <v>0</v>
      </c>
      <c r="D1069" s="2022">
        <v>0</v>
      </c>
      <c r="E1069" s="2022">
        <v>0</v>
      </c>
      <c r="F1069" s="2022">
        <v>0</v>
      </c>
      <c r="G1069" s="2022">
        <f t="shared" si="32"/>
        <v>0</v>
      </c>
      <c r="K1069" s="2011">
        <f t="shared" si="33"/>
        <v>0</v>
      </c>
    </row>
    <row r="1070" spans="1:11" x14ac:dyDescent="0.2">
      <c r="A1070" t="s">
        <v>4657</v>
      </c>
      <c r="B1070" t="s">
        <v>8054</v>
      </c>
      <c r="C1070" s="2022">
        <v>0</v>
      </c>
      <c r="D1070" s="2022">
        <v>0</v>
      </c>
      <c r="E1070" s="2022">
        <v>0</v>
      </c>
      <c r="F1070" s="2022">
        <v>0</v>
      </c>
      <c r="G1070" s="2022">
        <f t="shared" si="32"/>
        <v>0</v>
      </c>
      <c r="K1070" s="2011">
        <f t="shared" si="33"/>
        <v>0</v>
      </c>
    </row>
    <row r="1071" spans="1:11" x14ac:dyDescent="0.2">
      <c r="A1071" t="s">
        <v>4658</v>
      </c>
      <c r="B1071" t="s">
        <v>8055</v>
      </c>
      <c r="C1071" s="2022">
        <v>0</v>
      </c>
      <c r="D1071" s="2022">
        <v>0</v>
      </c>
      <c r="E1071" s="2022">
        <v>0</v>
      </c>
      <c r="F1071" s="2022">
        <v>0</v>
      </c>
      <c r="G1071" s="2022">
        <f t="shared" si="32"/>
        <v>0</v>
      </c>
      <c r="K1071" s="2011">
        <f t="shared" si="33"/>
        <v>0</v>
      </c>
    </row>
    <row r="1072" spans="1:11" x14ac:dyDescent="0.2">
      <c r="A1072" t="s">
        <v>4659</v>
      </c>
      <c r="B1072" t="s">
        <v>4763</v>
      </c>
      <c r="C1072" s="2022">
        <v>0</v>
      </c>
      <c r="D1072" s="2022">
        <v>0</v>
      </c>
      <c r="E1072" s="2022">
        <v>0</v>
      </c>
      <c r="F1072" s="2022">
        <v>0</v>
      </c>
      <c r="G1072" s="2022">
        <f t="shared" si="32"/>
        <v>0</v>
      </c>
      <c r="K1072" s="2011">
        <f t="shared" si="33"/>
        <v>0</v>
      </c>
    </row>
    <row r="1073" spans="1:73" x14ac:dyDescent="0.2">
      <c r="A1073" t="s">
        <v>4660</v>
      </c>
      <c r="B1073" t="s">
        <v>8056</v>
      </c>
      <c r="C1073" s="2022">
        <v>0</v>
      </c>
      <c r="D1073" s="2022">
        <v>0</v>
      </c>
      <c r="E1073" s="2022">
        <v>0</v>
      </c>
      <c r="F1073" s="2022">
        <v>0</v>
      </c>
      <c r="G1073" s="2022">
        <f t="shared" si="32"/>
        <v>0</v>
      </c>
      <c r="K1073" s="2011">
        <f t="shared" si="33"/>
        <v>0</v>
      </c>
    </row>
    <row r="1074" spans="1:73" x14ac:dyDescent="0.2">
      <c r="A1074" t="s">
        <v>4661</v>
      </c>
      <c r="B1074" t="s">
        <v>4662</v>
      </c>
      <c r="C1074" s="2022">
        <v>0</v>
      </c>
      <c r="D1074" s="2022">
        <v>41895492.960000001</v>
      </c>
      <c r="E1074" s="2022">
        <v>9684498.0099999998</v>
      </c>
      <c r="F1074" s="2022">
        <v>-39701816.960000001</v>
      </c>
      <c r="G1074" s="2022">
        <f t="shared" si="32"/>
        <v>11878174.009999998</v>
      </c>
      <c r="I1074" s="2022">
        <f>VLOOKUP(A1074,'2012 - TB'!$A$3:$I$733,9,FALSE)</f>
        <v>11878174.01</v>
      </c>
      <c r="K1074" s="2011">
        <f t="shared" si="33"/>
        <v>0</v>
      </c>
    </row>
    <row r="1075" spans="1:73" x14ac:dyDescent="0.2">
      <c r="A1075" t="s">
        <v>4663</v>
      </c>
      <c r="B1075" t="s">
        <v>8057</v>
      </c>
      <c r="C1075" s="2022">
        <v>0</v>
      </c>
      <c r="D1075" s="2022">
        <v>0</v>
      </c>
      <c r="E1075" s="2022">
        <v>0</v>
      </c>
      <c r="F1075" s="2022">
        <v>0</v>
      </c>
      <c r="G1075" s="2022">
        <f t="shared" si="32"/>
        <v>0</v>
      </c>
      <c r="K1075" s="2011">
        <f t="shared" si="33"/>
        <v>0</v>
      </c>
    </row>
    <row r="1076" spans="1:73" s="2215" customFormat="1" x14ac:dyDescent="0.2">
      <c r="A1076" s="2215" t="s">
        <v>4664</v>
      </c>
      <c r="B1076" s="2215" t="s">
        <v>4665</v>
      </c>
      <c r="C1076" s="2230">
        <v>0</v>
      </c>
      <c r="D1076" s="2230">
        <v>4795214.75</v>
      </c>
      <c r="E1076" s="2230">
        <v>59050485.880000003</v>
      </c>
      <c r="F1076" s="2230">
        <v>0</v>
      </c>
      <c r="G1076" s="2230">
        <f t="shared" si="32"/>
        <v>63845700.630000003</v>
      </c>
      <c r="I1076" s="2230">
        <f>VLOOKUP(A1076,'2012 - TB'!$A$3:$I$733,9,FALSE)</f>
        <v>63615725</v>
      </c>
      <c r="K1076" s="2230">
        <f t="shared" si="33"/>
        <v>229975.63000000268</v>
      </c>
      <c r="L1076" s="2024"/>
      <c r="M1076" s="2024"/>
      <c r="N1076" s="2024"/>
      <c r="O1076" s="2024"/>
      <c r="P1076" s="2024"/>
      <c r="Q1076" s="2024"/>
      <c r="R1076" s="2024"/>
      <c r="S1076" s="2024"/>
      <c r="T1076" s="2024"/>
      <c r="U1076" s="2024"/>
      <c r="V1076" s="2024"/>
      <c r="W1076" s="2024"/>
      <c r="X1076" s="2024"/>
      <c r="Y1076" s="2024"/>
      <c r="Z1076" s="2024"/>
      <c r="AA1076" s="2024"/>
      <c r="AB1076" s="2024"/>
      <c r="AC1076" s="2024"/>
      <c r="AD1076" s="2024"/>
      <c r="AE1076" s="2024"/>
      <c r="AF1076" s="2024"/>
      <c r="AG1076" s="2024"/>
      <c r="AH1076" s="2024"/>
      <c r="AI1076" s="2024"/>
      <c r="AJ1076" s="2024"/>
      <c r="AK1076" s="2024"/>
      <c r="AL1076" s="2024"/>
      <c r="AM1076" s="2024"/>
      <c r="AN1076" s="2024"/>
      <c r="AO1076" s="2024"/>
      <c r="AP1076" s="2024"/>
      <c r="AQ1076" s="2024"/>
      <c r="AR1076" s="2024"/>
      <c r="AS1076" s="2024"/>
      <c r="AT1076" s="2024"/>
      <c r="AU1076" s="2024"/>
      <c r="AV1076" s="2024"/>
      <c r="AW1076" s="2024"/>
      <c r="AX1076" s="2024"/>
      <c r="AY1076" s="2024"/>
      <c r="AZ1076" s="2024"/>
      <c r="BA1076" s="2024"/>
      <c r="BB1076" s="2024"/>
      <c r="BC1076" s="2024"/>
      <c r="BD1076" s="2024"/>
      <c r="BE1076" s="2024"/>
      <c r="BF1076" s="2024"/>
      <c r="BG1076" s="2024"/>
      <c r="BH1076" s="2024"/>
      <c r="BI1076" s="2024"/>
      <c r="BJ1076" s="2024"/>
      <c r="BK1076" s="2024"/>
      <c r="BL1076" s="2024"/>
      <c r="BM1076" s="2024"/>
      <c r="BN1076" s="2024"/>
      <c r="BO1076" s="2024"/>
      <c r="BP1076" s="2024"/>
      <c r="BQ1076" s="2024"/>
      <c r="BR1076" s="2024"/>
      <c r="BS1076" s="2024"/>
      <c r="BT1076" s="2024"/>
      <c r="BU1076" s="2024"/>
    </row>
    <row r="1077" spans="1:73" x14ac:dyDescent="0.2">
      <c r="A1077" t="s">
        <v>4666</v>
      </c>
      <c r="B1077" t="s">
        <v>4667</v>
      </c>
      <c r="C1077" s="2022">
        <v>0</v>
      </c>
      <c r="D1077" s="2022">
        <v>3537909.67</v>
      </c>
      <c r="E1077" s="2022">
        <v>0</v>
      </c>
      <c r="F1077" s="2022">
        <v>-3537909.67</v>
      </c>
      <c r="G1077" s="2022">
        <f t="shared" si="32"/>
        <v>0</v>
      </c>
      <c r="I1077" s="2022">
        <f>VLOOKUP(A1077,'2012 - TB'!$A$3:$I$733,9,FALSE)</f>
        <v>0</v>
      </c>
      <c r="K1077" s="2011">
        <f t="shared" si="33"/>
        <v>0</v>
      </c>
    </row>
    <row r="1078" spans="1:73" x14ac:dyDescent="0.2">
      <c r="A1078" t="s">
        <v>4668</v>
      </c>
      <c r="B1078" t="s">
        <v>8058</v>
      </c>
      <c r="C1078" s="2022">
        <v>0</v>
      </c>
      <c r="D1078" s="2022">
        <v>0</v>
      </c>
      <c r="E1078" s="2022">
        <v>0</v>
      </c>
      <c r="F1078" s="2022">
        <v>-27460428.52</v>
      </c>
      <c r="G1078" s="2022">
        <f t="shared" si="32"/>
        <v>-27460428.52</v>
      </c>
      <c r="I1078" s="2022">
        <f>VLOOKUP(A1078,'2012 - TB'!$A$3:$I$733,9,FALSE)</f>
        <v>-27460428.52</v>
      </c>
      <c r="K1078" s="2011">
        <f t="shared" si="33"/>
        <v>0</v>
      </c>
    </row>
    <row r="1079" spans="1:73" x14ac:dyDescent="0.2">
      <c r="A1079" t="s">
        <v>4669</v>
      </c>
      <c r="B1079" t="s">
        <v>8059</v>
      </c>
      <c r="C1079" s="2022">
        <v>0</v>
      </c>
      <c r="D1079" s="2022">
        <v>319.62</v>
      </c>
      <c r="E1079" s="2022">
        <v>1819810.45</v>
      </c>
      <c r="F1079" s="2022">
        <v>0</v>
      </c>
      <c r="G1079" s="2022">
        <f t="shared" si="32"/>
        <v>1820130.07</v>
      </c>
      <c r="I1079" s="2022">
        <f>VLOOKUP(A1079,'2012 - TB'!$A$3:$I$733,9,FALSE)</f>
        <v>1820130.0699999998</v>
      </c>
      <c r="K1079" s="2011">
        <f t="shared" si="33"/>
        <v>0</v>
      </c>
    </row>
    <row r="1080" spans="1:73" x14ac:dyDescent="0.2">
      <c r="A1080" t="s">
        <v>4670</v>
      </c>
      <c r="B1080" t="s">
        <v>8060</v>
      </c>
      <c r="C1080" s="2022">
        <v>0</v>
      </c>
      <c r="D1080" s="2022">
        <v>0</v>
      </c>
      <c r="E1080" s="2022">
        <v>0</v>
      </c>
      <c r="F1080" s="2022">
        <v>0</v>
      </c>
      <c r="G1080" s="2022">
        <f t="shared" si="32"/>
        <v>0</v>
      </c>
      <c r="K1080" s="2011">
        <f t="shared" si="33"/>
        <v>0</v>
      </c>
    </row>
    <row r="1081" spans="1:73" x14ac:dyDescent="0.2">
      <c r="A1081" t="s">
        <v>4671</v>
      </c>
      <c r="B1081" t="s">
        <v>4672</v>
      </c>
      <c r="C1081" s="2022">
        <v>0</v>
      </c>
      <c r="D1081" s="2022">
        <v>11342737.130000001</v>
      </c>
      <c r="E1081" s="2022">
        <v>13371215.869999999</v>
      </c>
      <c r="F1081" s="2022">
        <v>-230376</v>
      </c>
      <c r="G1081" s="2022">
        <f t="shared" si="32"/>
        <v>24483577</v>
      </c>
      <c r="I1081" s="2022">
        <f>VLOOKUP(A1081,'2012 - TB'!$A$3:$I$733,9,FALSE)</f>
        <v>24483577</v>
      </c>
      <c r="K1081" s="2011">
        <f t="shared" si="33"/>
        <v>0</v>
      </c>
    </row>
    <row r="1082" spans="1:73" x14ac:dyDescent="0.2">
      <c r="A1082" t="s">
        <v>4673</v>
      </c>
      <c r="B1082" t="s">
        <v>8061</v>
      </c>
      <c r="C1082" s="2022">
        <v>0</v>
      </c>
      <c r="D1082" s="2022">
        <v>0</v>
      </c>
      <c r="E1082" s="2022">
        <v>0</v>
      </c>
      <c r="F1082" s="2022">
        <v>-17643525.239999998</v>
      </c>
      <c r="G1082" s="2022">
        <f t="shared" si="32"/>
        <v>-17643525.239999998</v>
      </c>
      <c r="I1082" s="2022">
        <f>VLOOKUP(A1082,'2012 - TB'!$A$3:$I$733,9,FALSE)</f>
        <v>-17643525.239999998</v>
      </c>
      <c r="K1082" s="2011">
        <f t="shared" si="33"/>
        <v>0</v>
      </c>
    </row>
    <row r="1083" spans="1:73" x14ac:dyDescent="0.2">
      <c r="A1083" t="s">
        <v>4674</v>
      </c>
      <c r="B1083" t="s">
        <v>4675</v>
      </c>
      <c r="C1083" s="2022">
        <v>0</v>
      </c>
      <c r="D1083" s="2022">
        <v>18498159.18</v>
      </c>
      <c r="E1083" s="2022">
        <v>51974853.82</v>
      </c>
      <c r="F1083" s="2022">
        <v>0</v>
      </c>
      <c r="G1083" s="2022">
        <f t="shared" si="32"/>
        <v>70473013</v>
      </c>
      <c r="I1083" s="2022">
        <f>VLOOKUP(A1083,'2012 - TB'!$A$3:$I$733,9,FALSE)</f>
        <v>70473013</v>
      </c>
      <c r="K1083" s="2011">
        <f t="shared" si="33"/>
        <v>0</v>
      </c>
    </row>
    <row r="1084" spans="1:73" x14ac:dyDescent="0.2">
      <c r="A1084" t="s">
        <v>4676</v>
      </c>
      <c r="B1084" t="s">
        <v>4675</v>
      </c>
      <c r="C1084" s="2022">
        <v>0</v>
      </c>
      <c r="D1084" s="2022">
        <v>0</v>
      </c>
      <c r="E1084" s="2022">
        <v>0</v>
      </c>
      <c r="F1084" s="2022">
        <v>-36639499.079999998</v>
      </c>
      <c r="G1084" s="2022">
        <f t="shared" si="32"/>
        <v>-36639499.079999998</v>
      </c>
      <c r="I1084" s="2022">
        <f>VLOOKUP(A1084,'2012 - TB'!$A$3:$I$733,9,FALSE)</f>
        <v>-36639499.079999998</v>
      </c>
      <c r="K1084" s="2011">
        <f t="shared" si="33"/>
        <v>0</v>
      </c>
    </row>
    <row r="1085" spans="1:73" x14ac:dyDescent="0.2">
      <c r="A1085" t="s">
        <v>4677</v>
      </c>
      <c r="B1085" t="s">
        <v>4678</v>
      </c>
      <c r="C1085" s="2022">
        <v>0</v>
      </c>
      <c r="D1085" s="2022">
        <v>9612138.2699999996</v>
      </c>
      <c r="E1085" s="2022">
        <v>0</v>
      </c>
      <c r="F1085" s="2022">
        <v>-9612138.2699999996</v>
      </c>
      <c r="G1085" s="2022">
        <f t="shared" si="32"/>
        <v>0</v>
      </c>
      <c r="I1085" s="2022">
        <f>VLOOKUP(A1085,'2012 - TB'!$A$3:$I$733,9,FALSE)</f>
        <v>0</v>
      </c>
      <c r="K1085" s="2011">
        <f t="shared" si="33"/>
        <v>0</v>
      </c>
    </row>
    <row r="1086" spans="1:73" x14ac:dyDescent="0.2">
      <c r="A1086" t="s">
        <v>4679</v>
      </c>
      <c r="B1086" t="s">
        <v>8062</v>
      </c>
      <c r="C1086" s="2022">
        <v>0</v>
      </c>
      <c r="D1086" s="2022">
        <v>0</v>
      </c>
      <c r="E1086" s="2022">
        <v>0</v>
      </c>
      <c r="F1086" s="2022">
        <v>0</v>
      </c>
      <c r="G1086" s="2022">
        <f t="shared" si="32"/>
        <v>0</v>
      </c>
      <c r="K1086" s="2011">
        <f t="shared" si="33"/>
        <v>0</v>
      </c>
    </row>
    <row r="1087" spans="1:73" x14ac:dyDescent="0.2">
      <c r="A1087" t="s">
        <v>4680</v>
      </c>
      <c r="B1087" t="s">
        <v>4681</v>
      </c>
      <c r="C1087" s="2022">
        <v>0</v>
      </c>
      <c r="D1087" s="2022">
        <v>29404500</v>
      </c>
      <c r="E1087" s="2022">
        <v>0</v>
      </c>
      <c r="F1087" s="2022">
        <v>-8885295</v>
      </c>
      <c r="G1087" s="2022">
        <f t="shared" si="32"/>
        <v>20519205</v>
      </c>
      <c r="I1087" s="2022">
        <f>VLOOKUP(A1087,'2012 - TB'!$A$3:$I$733,9,FALSE)</f>
        <v>20519205</v>
      </c>
      <c r="K1087" s="2011">
        <f t="shared" si="33"/>
        <v>0</v>
      </c>
    </row>
    <row r="1088" spans="1:73" x14ac:dyDescent="0.2">
      <c r="A1088" t="s">
        <v>4682</v>
      </c>
      <c r="B1088" t="s">
        <v>8063</v>
      </c>
      <c r="C1088" s="2022">
        <v>0</v>
      </c>
      <c r="D1088" s="2022">
        <v>0</v>
      </c>
      <c r="E1088" s="2022">
        <v>0</v>
      </c>
      <c r="F1088" s="2022">
        <v>0</v>
      </c>
      <c r="G1088" s="2022">
        <f t="shared" si="32"/>
        <v>0</v>
      </c>
      <c r="K1088" s="2011">
        <f t="shared" si="33"/>
        <v>0</v>
      </c>
    </row>
    <row r="1089" spans="1:11" x14ac:dyDescent="0.2">
      <c r="A1089" t="s">
        <v>4683</v>
      </c>
      <c r="B1089" t="s">
        <v>4684</v>
      </c>
      <c r="C1089" s="2022">
        <v>0</v>
      </c>
      <c r="D1089" s="2022">
        <v>38996.29</v>
      </c>
      <c r="E1089" s="2022">
        <v>0</v>
      </c>
      <c r="F1089" s="2022">
        <v>-38996.29</v>
      </c>
      <c r="G1089" s="2022">
        <f t="shared" si="32"/>
        <v>0</v>
      </c>
      <c r="I1089" s="2022">
        <f>VLOOKUP(A1089,'2012 - TB'!$A$3:$I$733,9,FALSE)</f>
        <v>0</v>
      </c>
      <c r="K1089" s="2011">
        <f t="shared" si="33"/>
        <v>0</v>
      </c>
    </row>
    <row r="1090" spans="1:11" x14ac:dyDescent="0.2">
      <c r="A1090" t="s">
        <v>4685</v>
      </c>
      <c r="B1090" t="s">
        <v>8064</v>
      </c>
      <c r="C1090" s="2022">
        <v>0</v>
      </c>
      <c r="D1090" s="2022">
        <v>0</v>
      </c>
      <c r="E1090" s="2022">
        <v>0</v>
      </c>
      <c r="F1090" s="2022">
        <v>0</v>
      </c>
      <c r="G1090" s="2022">
        <f t="shared" ref="G1090:G1153" si="34">SUM(D1090:F1090)</f>
        <v>0</v>
      </c>
      <c r="K1090" s="2011">
        <f t="shared" ref="K1090:K1153" si="35">G1090-I1090</f>
        <v>0</v>
      </c>
    </row>
    <row r="1091" spans="1:11" x14ac:dyDescent="0.2">
      <c r="A1091" t="s">
        <v>4686</v>
      </c>
      <c r="B1091" t="s">
        <v>4687</v>
      </c>
      <c r="C1091" s="2022">
        <v>0</v>
      </c>
      <c r="D1091" s="2022">
        <v>2690389.98</v>
      </c>
      <c r="E1091" s="2022">
        <v>118544158.02</v>
      </c>
      <c r="F1091" s="2022">
        <v>0</v>
      </c>
      <c r="G1091" s="2022">
        <f t="shared" si="34"/>
        <v>121234548</v>
      </c>
      <c r="I1091" s="2022">
        <f>VLOOKUP(A1091,'2012 - TB'!$A$3:$I$733,9,FALSE)</f>
        <v>121234548</v>
      </c>
      <c r="K1091" s="2011">
        <f t="shared" si="35"/>
        <v>0</v>
      </c>
    </row>
    <row r="1092" spans="1:11" x14ac:dyDescent="0.2">
      <c r="A1092" t="s">
        <v>4688</v>
      </c>
      <c r="B1092" t="s">
        <v>8065</v>
      </c>
      <c r="C1092" s="2022">
        <v>0</v>
      </c>
      <c r="D1092" s="2022">
        <v>0</v>
      </c>
      <c r="E1092" s="2022">
        <v>0</v>
      </c>
      <c r="F1092" s="2022">
        <v>-80286865.989999995</v>
      </c>
      <c r="G1092" s="2022">
        <f t="shared" si="34"/>
        <v>-80286865.989999995</v>
      </c>
      <c r="I1092" s="2022">
        <f>VLOOKUP(A1092,'2012 - TB'!$A$3:$I$733,9,FALSE)</f>
        <v>-80286865.989999995</v>
      </c>
      <c r="K1092" s="2011">
        <f t="shared" si="35"/>
        <v>0</v>
      </c>
    </row>
    <row r="1093" spans="1:11" x14ac:dyDescent="0.2">
      <c r="A1093" t="s">
        <v>4689</v>
      </c>
      <c r="B1093" t="s">
        <v>4690</v>
      </c>
      <c r="C1093" s="2022">
        <v>0</v>
      </c>
      <c r="D1093" s="2022">
        <v>8144.68</v>
      </c>
      <c r="E1093" s="2022">
        <v>135941951.31999999</v>
      </c>
      <c r="F1093" s="2022">
        <v>0</v>
      </c>
      <c r="G1093" s="2022">
        <f t="shared" si="34"/>
        <v>135950096</v>
      </c>
      <c r="I1093" s="2022">
        <f>VLOOKUP(A1093,'2012 - TB'!$A$3:$I$733,9,FALSE)</f>
        <v>135950096</v>
      </c>
      <c r="K1093" s="2011">
        <f t="shared" si="35"/>
        <v>0</v>
      </c>
    </row>
    <row r="1094" spans="1:11" x14ac:dyDescent="0.2">
      <c r="A1094" t="s">
        <v>4691</v>
      </c>
      <c r="B1094" t="s">
        <v>8066</v>
      </c>
      <c r="C1094" s="2022">
        <v>0</v>
      </c>
      <c r="D1094" s="2022">
        <v>0</v>
      </c>
      <c r="E1094" s="2022">
        <v>0</v>
      </c>
      <c r="F1094" s="2022">
        <v>-82536186.530000001</v>
      </c>
      <c r="G1094" s="2022">
        <f t="shared" si="34"/>
        <v>-82536186.530000001</v>
      </c>
      <c r="I1094" s="2022">
        <f>VLOOKUP(A1094,'2012 - TB'!$A$3:$I$733,9,FALSE)</f>
        <v>-82536186.530000001</v>
      </c>
      <c r="K1094" s="2011">
        <f t="shared" si="35"/>
        <v>0</v>
      </c>
    </row>
    <row r="1095" spans="1:11" x14ac:dyDescent="0.2">
      <c r="A1095" t="s">
        <v>4692</v>
      </c>
      <c r="B1095" t="s">
        <v>4693</v>
      </c>
      <c r="C1095" s="2022">
        <v>0</v>
      </c>
      <c r="D1095" s="2022">
        <v>1490059.17</v>
      </c>
      <c r="E1095" s="2022">
        <v>129383236.83</v>
      </c>
      <c r="F1095" s="2022">
        <v>0</v>
      </c>
      <c r="G1095" s="2022">
        <f t="shared" si="34"/>
        <v>130873296</v>
      </c>
      <c r="I1095" s="2022">
        <f>VLOOKUP(A1095,'2012 - TB'!$A$3:$I$733,9,FALSE)</f>
        <v>130873296</v>
      </c>
      <c r="K1095" s="2011">
        <f t="shared" si="35"/>
        <v>0</v>
      </c>
    </row>
    <row r="1096" spans="1:11" x14ac:dyDescent="0.2">
      <c r="A1096" t="s">
        <v>4694</v>
      </c>
      <c r="B1096" t="s">
        <v>8067</v>
      </c>
      <c r="C1096" s="2022">
        <v>0</v>
      </c>
      <c r="D1096" s="2022">
        <v>0</v>
      </c>
      <c r="E1096" s="2022">
        <v>0</v>
      </c>
      <c r="F1096" s="2022">
        <v>-81919099.719999999</v>
      </c>
      <c r="G1096" s="2022">
        <f t="shared" si="34"/>
        <v>-81919099.719999999</v>
      </c>
      <c r="I1096" s="2022">
        <f>VLOOKUP(A1096,'2012 - TB'!$A$3:$I$733,9,FALSE)</f>
        <v>-81919099.719999999</v>
      </c>
      <c r="K1096" s="2011">
        <f t="shared" si="35"/>
        <v>0</v>
      </c>
    </row>
    <row r="1097" spans="1:11" x14ac:dyDescent="0.2">
      <c r="A1097" t="s">
        <v>4695</v>
      </c>
      <c r="B1097" t="s">
        <v>4696</v>
      </c>
      <c r="C1097" s="2022">
        <v>0</v>
      </c>
      <c r="D1097" s="2022">
        <v>1231.58</v>
      </c>
      <c r="E1097" s="2022">
        <v>0</v>
      </c>
      <c r="F1097" s="2022">
        <v>-1231.58</v>
      </c>
      <c r="G1097" s="2022">
        <f t="shared" si="34"/>
        <v>0</v>
      </c>
      <c r="I1097" s="2022">
        <f>VLOOKUP(A1097,'2012 - TB'!$A$3:$I$733,9,FALSE)</f>
        <v>0</v>
      </c>
      <c r="K1097" s="2011">
        <f t="shared" si="35"/>
        <v>0</v>
      </c>
    </row>
    <row r="1098" spans="1:11" x14ac:dyDescent="0.2">
      <c r="A1098" t="s">
        <v>4697</v>
      </c>
      <c r="B1098" t="s">
        <v>8068</v>
      </c>
      <c r="C1098" s="2022">
        <v>0</v>
      </c>
      <c r="D1098" s="2022">
        <v>0</v>
      </c>
      <c r="E1098" s="2022">
        <v>0</v>
      </c>
      <c r="F1098" s="2022">
        <v>0</v>
      </c>
      <c r="G1098" s="2022">
        <f t="shared" si="34"/>
        <v>0</v>
      </c>
      <c r="K1098" s="2011">
        <f t="shared" si="35"/>
        <v>0</v>
      </c>
    </row>
    <row r="1099" spans="1:11" x14ac:dyDescent="0.2">
      <c r="A1099" t="s">
        <v>4698</v>
      </c>
      <c r="B1099" t="s">
        <v>4699</v>
      </c>
      <c r="C1099" s="2022">
        <v>0</v>
      </c>
      <c r="D1099" s="2022">
        <v>24517.68</v>
      </c>
      <c r="E1099" s="2022">
        <v>0</v>
      </c>
      <c r="F1099" s="2022">
        <v>-24517.68</v>
      </c>
      <c r="G1099" s="2022">
        <f t="shared" si="34"/>
        <v>0</v>
      </c>
      <c r="I1099" s="2022">
        <f>VLOOKUP(A1099,'2012 - TB'!$A$3:$I$733,9,FALSE)</f>
        <v>0</v>
      </c>
      <c r="K1099" s="2011">
        <f t="shared" si="35"/>
        <v>0</v>
      </c>
    </row>
    <row r="1100" spans="1:11" x14ac:dyDescent="0.2">
      <c r="A1100" t="s">
        <v>4700</v>
      </c>
      <c r="B1100" t="s">
        <v>8069</v>
      </c>
      <c r="C1100" s="2022">
        <v>0</v>
      </c>
      <c r="D1100" s="2022">
        <v>0</v>
      </c>
      <c r="E1100" s="2022">
        <v>0</v>
      </c>
      <c r="F1100" s="2022">
        <v>0</v>
      </c>
      <c r="G1100" s="2022">
        <f t="shared" si="34"/>
        <v>0</v>
      </c>
      <c r="K1100" s="2011">
        <f t="shared" si="35"/>
        <v>0</v>
      </c>
    </row>
    <row r="1101" spans="1:11" x14ac:dyDescent="0.2">
      <c r="A1101" t="s">
        <v>4701</v>
      </c>
      <c r="B1101" t="s">
        <v>4702</v>
      </c>
      <c r="C1101" s="2022">
        <v>0</v>
      </c>
      <c r="D1101" s="2022">
        <v>1002705.54</v>
      </c>
      <c r="E1101" s="2022">
        <v>0</v>
      </c>
      <c r="F1101" s="2022">
        <v>-1002705.54</v>
      </c>
      <c r="G1101" s="2022">
        <f t="shared" si="34"/>
        <v>0</v>
      </c>
      <c r="I1101" s="2022">
        <f>VLOOKUP(A1101,'2012 - TB'!$A$3:$I$733,9,FALSE)</f>
        <v>0</v>
      </c>
      <c r="K1101" s="2011">
        <f t="shared" si="35"/>
        <v>0</v>
      </c>
    </row>
    <row r="1102" spans="1:11" x14ac:dyDescent="0.2">
      <c r="A1102" t="s">
        <v>4703</v>
      </c>
      <c r="B1102" t="s">
        <v>8070</v>
      </c>
      <c r="C1102" s="2022">
        <v>0</v>
      </c>
      <c r="D1102" s="2022">
        <v>0</v>
      </c>
      <c r="E1102" s="2022">
        <v>0</v>
      </c>
      <c r="F1102" s="2022">
        <v>0</v>
      </c>
      <c r="G1102" s="2022">
        <f t="shared" si="34"/>
        <v>0</v>
      </c>
      <c r="K1102" s="2011">
        <f t="shared" si="35"/>
        <v>0</v>
      </c>
    </row>
    <row r="1103" spans="1:11" x14ac:dyDescent="0.2">
      <c r="A1103" t="s">
        <v>4704</v>
      </c>
      <c r="B1103" t="s">
        <v>4705</v>
      </c>
      <c r="C1103" s="2022">
        <v>0</v>
      </c>
      <c r="D1103" s="2022">
        <v>19790250.27</v>
      </c>
      <c r="E1103" s="2022">
        <v>0</v>
      </c>
      <c r="F1103" s="2022">
        <v>-19790250.27</v>
      </c>
      <c r="G1103" s="2022">
        <f t="shared" si="34"/>
        <v>0</v>
      </c>
      <c r="I1103" s="2022">
        <f>VLOOKUP(A1103,'2012 - TB'!$A$3:$I$733,9,FALSE)</f>
        <v>0</v>
      </c>
      <c r="K1103" s="2011">
        <f t="shared" si="35"/>
        <v>0</v>
      </c>
    </row>
    <row r="1104" spans="1:11" x14ac:dyDescent="0.2">
      <c r="A1104" t="s">
        <v>4706</v>
      </c>
      <c r="B1104" t="s">
        <v>8071</v>
      </c>
      <c r="C1104" s="2022">
        <v>0</v>
      </c>
      <c r="D1104" s="2022">
        <v>0</v>
      </c>
      <c r="E1104" s="2022">
        <v>0</v>
      </c>
      <c r="F1104" s="2022">
        <v>0</v>
      </c>
      <c r="G1104" s="2022">
        <f t="shared" si="34"/>
        <v>0</v>
      </c>
      <c r="K1104" s="2011">
        <f t="shared" si="35"/>
        <v>0</v>
      </c>
    </row>
    <row r="1105" spans="1:11" x14ac:dyDescent="0.2">
      <c r="A1105" t="s">
        <v>4707</v>
      </c>
      <c r="B1105" t="s">
        <v>4708</v>
      </c>
      <c r="C1105" s="2022">
        <v>0</v>
      </c>
      <c r="D1105" s="2022">
        <v>3009493.17</v>
      </c>
      <c r="E1105" s="2022">
        <v>0</v>
      </c>
      <c r="F1105" s="2022">
        <v>-3009493.17</v>
      </c>
      <c r="G1105" s="2022">
        <f t="shared" si="34"/>
        <v>0</v>
      </c>
      <c r="I1105" s="2022">
        <f>VLOOKUP(A1105,'2012 - TB'!$A$3:$I$733,9,FALSE)</f>
        <v>0</v>
      </c>
      <c r="K1105" s="2011">
        <f t="shared" si="35"/>
        <v>0</v>
      </c>
    </row>
    <row r="1106" spans="1:11" x14ac:dyDescent="0.2">
      <c r="A1106" t="s">
        <v>4709</v>
      </c>
      <c r="B1106" t="s">
        <v>8072</v>
      </c>
      <c r="C1106" s="2022">
        <v>0</v>
      </c>
      <c r="D1106" s="2022">
        <v>0</v>
      </c>
      <c r="E1106" s="2022">
        <v>0</v>
      </c>
      <c r="F1106" s="2022">
        <v>0</v>
      </c>
      <c r="G1106" s="2022">
        <f t="shared" si="34"/>
        <v>0</v>
      </c>
      <c r="K1106" s="2011">
        <f t="shared" si="35"/>
        <v>0</v>
      </c>
    </row>
    <row r="1107" spans="1:11" x14ac:dyDescent="0.2">
      <c r="A1107" t="s">
        <v>4710</v>
      </c>
      <c r="B1107" t="s">
        <v>4711</v>
      </c>
      <c r="C1107" s="2022">
        <v>0</v>
      </c>
      <c r="D1107" s="2022">
        <v>2101559.0099999998</v>
      </c>
      <c r="E1107" s="2022">
        <v>16239615.99</v>
      </c>
      <c r="F1107" s="2022">
        <v>0</v>
      </c>
      <c r="G1107" s="2022">
        <f t="shared" si="34"/>
        <v>18341175</v>
      </c>
      <c r="I1107" s="2022">
        <f>VLOOKUP(A1107,'2012 - TB'!$A$3:$I$733,9,FALSE)</f>
        <v>18341175</v>
      </c>
      <c r="K1107" s="2011">
        <f t="shared" si="35"/>
        <v>0</v>
      </c>
    </row>
    <row r="1108" spans="1:11" x14ac:dyDescent="0.2">
      <c r="A1108" t="s">
        <v>4712</v>
      </c>
      <c r="B1108" t="s">
        <v>8073</v>
      </c>
      <c r="C1108" s="2022">
        <v>0</v>
      </c>
      <c r="D1108" s="2022">
        <v>0</v>
      </c>
      <c r="E1108" s="2022">
        <v>0</v>
      </c>
      <c r="F1108" s="2022">
        <v>-7180864.5300000003</v>
      </c>
      <c r="G1108" s="2022">
        <f t="shared" si="34"/>
        <v>-7180864.5300000003</v>
      </c>
      <c r="I1108" s="2022">
        <f>VLOOKUP(A1108,'2012 - TB'!$A$3:$I$733,9,FALSE)</f>
        <v>-7180864.5300000003</v>
      </c>
      <c r="K1108" s="2011">
        <f t="shared" si="35"/>
        <v>0</v>
      </c>
    </row>
    <row r="1109" spans="1:11" x14ac:dyDescent="0.2">
      <c r="A1109" t="s">
        <v>4713</v>
      </c>
      <c r="B1109" t="s">
        <v>8074</v>
      </c>
      <c r="C1109" s="2022">
        <v>0</v>
      </c>
      <c r="D1109" s="2022">
        <v>0</v>
      </c>
      <c r="E1109" s="2022">
        <v>534123.09</v>
      </c>
      <c r="F1109" s="2022">
        <v>0</v>
      </c>
      <c r="G1109" s="2022">
        <f t="shared" si="34"/>
        <v>534123.09</v>
      </c>
      <c r="I1109" s="2022">
        <f>VLOOKUP(A1109,'2012 - TB'!$A$3:$I$733,9,FALSE)</f>
        <v>534123.09</v>
      </c>
      <c r="K1109" s="2011">
        <f t="shared" si="35"/>
        <v>0</v>
      </c>
    </row>
    <row r="1110" spans="1:11" x14ac:dyDescent="0.2">
      <c r="A1110" t="s">
        <v>4714</v>
      </c>
      <c r="B1110" t="s">
        <v>8074</v>
      </c>
      <c r="C1110" s="2022">
        <v>0</v>
      </c>
      <c r="D1110" s="2022">
        <v>0</v>
      </c>
      <c r="E1110" s="2022">
        <v>0</v>
      </c>
      <c r="F1110" s="2022">
        <v>0</v>
      </c>
      <c r="G1110" s="2022">
        <f t="shared" si="34"/>
        <v>0</v>
      </c>
      <c r="K1110" s="2011">
        <f t="shared" si="35"/>
        <v>0</v>
      </c>
    </row>
    <row r="1111" spans="1:11" x14ac:dyDescent="0.2">
      <c r="A1111" t="s">
        <v>4715</v>
      </c>
      <c r="B1111" t="s">
        <v>8075</v>
      </c>
      <c r="C1111" s="2022">
        <v>0</v>
      </c>
      <c r="D1111" s="2022">
        <v>0</v>
      </c>
      <c r="E1111" s="2022">
        <v>25132064</v>
      </c>
      <c r="F1111" s="2022">
        <v>0</v>
      </c>
      <c r="G1111" s="2022">
        <f t="shared" si="34"/>
        <v>25132064</v>
      </c>
      <c r="I1111" s="2022">
        <f>VLOOKUP(A1111,'2012 - TB'!$A$3:$I$733,9,FALSE)</f>
        <v>4215670</v>
      </c>
      <c r="K1111" s="2011">
        <f t="shared" si="35"/>
        <v>20916394</v>
      </c>
    </row>
    <row r="1112" spans="1:11" x14ac:dyDescent="0.2">
      <c r="A1112" t="s">
        <v>4716</v>
      </c>
      <c r="B1112" t="s">
        <v>8076</v>
      </c>
      <c r="C1112" s="2022">
        <v>0</v>
      </c>
      <c r="D1112" s="2022">
        <v>0</v>
      </c>
      <c r="E1112" s="2022">
        <v>0</v>
      </c>
      <c r="F1112" s="2022">
        <v>0</v>
      </c>
      <c r="G1112" s="2022">
        <f t="shared" si="34"/>
        <v>0</v>
      </c>
      <c r="K1112" s="2011">
        <f t="shared" si="35"/>
        <v>0</v>
      </c>
    </row>
    <row r="1113" spans="1:11" x14ac:dyDescent="0.2">
      <c r="A1113" t="s">
        <v>4717</v>
      </c>
      <c r="B1113" t="s">
        <v>8077</v>
      </c>
      <c r="C1113" s="2022">
        <v>0</v>
      </c>
      <c r="D1113" s="2022">
        <v>0</v>
      </c>
      <c r="E1113" s="2022">
        <v>0</v>
      </c>
      <c r="F1113" s="2022">
        <v>0</v>
      </c>
      <c r="G1113" s="2022">
        <f t="shared" si="34"/>
        <v>0</v>
      </c>
      <c r="K1113" s="2011">
        <f t="shared" si="35"/>
        <v>0</v>
      </c>
    </row>
    <row r="1114" spans="1:11" x14ac:dyDescent="0.2">
      <c r="A1114" t="s">
        <v>4718</v>
      </c>
      <c r="B1114" t="s">
        <v>8078</v>
      </c>
      <c r="C1114" s="2022">
        <v>0</v>
      </c>
      <c r="D1114" s="2022">
        <v>0</v>
      </c>
      <c r="E1114" s="2022">
        <v>0</v>
      </c>
      <c r="F1114" s="2022">
        <v>0</v>
      </c>
      <c r="G1114" s="2022">
        <f t="shared" si="34"/>
        <v>0</v>
      </c>
      <c r="K1114" s="2011">
        <f t="shared" si="35"/>
        <v>0</v>
      </c>
    </row>
    <row r="1115" spans="1:11" x14ac:dyDescent="0.2">
      <c r="A1115" t="s">
        <v>4719</v>
      </c>
      <c r="B1115" t="s">
        <v>8079</v>
      </c>
      <c r="C1115" s="2022">
        <v>0</v>
      </c>
      <c r="D1115" s="2022">
        <v>0</v>
      </c>
      <c r="E1115" s="2022">
        <v>0</v>
      </c>
      <c r="F1115" s="2022">
        <v>0</v>
      </c>
      <c r="G1115" s="2022">
        <f t="shared" si="34"/>
        <v>0</v>
      </c>
      <c r="K1115" s="2011">
        <f t="shared" si="35"/>
        <v>0</v>
      </c>
    </row>
    <row r="1116" spans="1:11" x14ac:dyDescent="0.2">
      <c r="A1116" t="s">
        <v>4720</v>
      </c>
      <c r="B1116" t="s">
        <v>8080</v>
      </c>
      <c r="C1116" s="2022">
        <v>0</v>
      </c>
      <c r="D1116" s="2022">
        <v>0</v>
      </c>
      <c r="E1116" s="2022">
        <v>0</v>
      </c>
      <c r="F1116" s="2022">
        <v>0</v>
      </c>
      <c r="G1116" s="2022">
        <f t="shared" si="34"/>
        <v>0</v>
      </c>
      <c r="K1116" s="2011">
        <f t="shared" si="35"/>
        <v>0</v>
      </c>
    </row>
    <row r="1117" spans="1:11" x14ac:dyDescent="0.2">
      <c r="A1117" t="s">
        <v>4721</v>
      </c>
      <c r="B1117" t="s">
        <v>8081</v>
      </c>
      <c r="C1117" s="2022">
        <v>0</v>
      </c>
      <c r="D1117" s="2022">
        <v>0</v>
      </c>
      <c r="E1117" s="2022">
        <v>0</v>
      </c>
      <c r="F1117" s="2022">
        <v>0</v>
      </c>
      <c r="G1117" s="2022">
        <f t="shared" si="34"/>
        <v>0</v>
      </c>
      <c r="K1117" s="2011">
        <f t="shared" si="35"/>
        <v>0</v>
      </c>
    </row>
    <row r="1118" spans="1:11" x14ac:dyDescent="0.2">
      <c r="A1118" t="s">
        <v>4722</v>
      </c>
      <c r="B1118" t="s">
        <v>8082</v>
      </c>
      <c r="C1118" s="2022">
        <v>0</v>
      </c>
      <c r="D1118" s="2022">
        <v>0</v>
      </c>
      <c r="E1118" s="2022">
        <v>0</v>
      </c>
      <c r="F1118" s="2022">
        <v>0</v>
      </c>
      <c r="G1118" s="2022">
        <f t="shared" si="34"/>
        <v>0</v>
      </c>
      <c r="K1118" s="2011">
        <f t="shared" si="35"/>
        <v>0</v>
      </c>
    </row>
    <row r="1119" spans="1:11" x14ac:dyDescent="0.2">
      <c r="A1119" t="s">
        <v>4723</v>
      </c>
      <c r="B1119" t="s">
        <v>8083</v>
      </c>
      <c r="C1119" s="2022">
        <v>0</v>
      </c>
      <c r="D1119" s="2022">
        <v>0</v>
      </c>
      <c r="E1119" s="2022">
        <v>0</v>
      </c>
      <c r="F1119" s="2022">
        <v>0</v>
      </c>
      <c r="G1119" s="2022">
        <f t="shared" si="34"/>
        <v>0</v>
      </c>
      <c r="K1119" s="2011">
        <f t="shared" si="35"/>
        <v>0</v>
      </c>
    </row>
    <row r="1120" spans="1:11" x14ac:dyDescent="0.2">
      <c r="A1120" t="s">
        <v>4724</v>
      </c>
      <c r="B1120" t="s">
        <v>8084</v>
      </c>
      <c r="C1120" s="2022">
        <v>0</v>
      </c>
      <c r="D1120" s="2022">
        <v>0</v>
      </c>
      <c r="E1120" s="2022">
        <v>0</v>
      </c>
      <c r="F1120" s="2022">
        <v>0</v>
      </c>
      <c r="G1120" s="2022">
        <f t="shared" si="34"/>
        <v>0</v>
      </c>
      <c r="K1120" s="2011">
        <f t="shared" si="35"/>
        <v>0</v>
      </c>
    </row>
    <row r="1121" spans="1:11" x14ac:dyDescent="0.2">
      <c r="A1121" t="s">
        <v>4725</v>
      </c>
      <c r="B1121" t="s">
        <v>8085</v>
      </c>
      <c r="C1121" s="2022">
        <v>0</v>
      </c>
      <c r="D1121" s="2022">
        <v>0</v>
      </c>
      <c r="E1121" s="2022">
        <v>0</v>
      </c>
      <c r="F1121" s="2022">
        <v>0</v>
      </c>
      <c r="G1121" s="2022">
        <f t="shared" si="34"/>
        <v>0</v>
      </c>
      <c r="K1121" s="2011">
        <f t="shared" si="35"/>
        <v>0</v>
      </c>
    </row>
    <row r="1122" spans="1:11" x14ac:dyDescent="0.2">
      <c r="A1122" t="s">
        <v>4726</v>
      </c>
      <c r="B1122" t="s">
        <v>8086</v>
      </c>
      <c r="C1122" s="2022">
        <v>0</v>
      </c>
      <c r="D1122" s="2022">
        <v>0</v>
      </c>
      <c r="E1122" s="2022">
        <v>0</v>
      </c>
      <c r="F1122" s="2022">
        <v>0</v>
      </c>
      <c r="G1122" s="2022">
        <f t="shared" si="34"/>
        <v>0</v>
      </c>
      <c r="K1122" s="2011">
        <f t="shared" si="35"/>
        <v>0</v>
      </c>
    </row>
    <row r="1123" spans="1:11" x14ac:dyDescent="0.2">
      <c r="A1123" t="s">
        <v>4727</v>
      </c>
      <c r="B1123" t="s">
        <v>8087</v>
      </c>
      <c r="C1123" s="2022">
        <v>0</v>
      </c>
      <c r="D1123" s="2022">
        <v>0</v>
      </c>
      <c r="E1123" s="2022">
        <v>0</v>
      </c>
      <c r="F1123" s="2022">
        <v>0</v>
      </c>
      <c r="G1123" s="2022">
        <f t="shared" si="34"/>
        <v>0</v>
      </c>
      <c r="K1123" s="2011">
        <f t="shared" si="35"/>
        <v>0</v>
      </c>
    </row>
    <row r="1124" spans="1:11" x14ac:dyDescent="0.2">
      <c r="A1124" t="s">
        <v>4728</v>
      </c>
      <c r="B1124" t="s">
        <v>8088</v>
      </c>
      <c r="C1124" s="2022">
        <v>0</v>
      </c>
      <c r="D1124" s="2022">
        <v>0</v>
      </c>
      <c r="E1124" s="2022">
        <v>0</v>
      </c>
      <c r="F1124" s="2022">
        <v>0</v>
      </c>
      <c r="G1124" s="2022">
        <f t="shared" si="34"/>
        <v>0</v>
      </c>
      <c r="K1124" s="2011">
        <f t="shared" si="35"/>
        <v>0</v>
      </c>
    </row>
    <row r="1125" spans="1:11" x14ac:dyDescent="0.2">
      <c r="A1125" t="s">
        <v>4729</v>
      </c>
      <c r="B1125" t="s">
        <v>4780</v>
      </c>
      <c r="C1125" s="2022">
        <v>0</v>
      </c>
      <c r="D1125" s="2022">
        <v>0</v>
      </c>
      <c r="E1125" s="2022">
        <v>0</v>
      </c>
      <c r="F1125" s="2022">
        <v>0</v>
      </c>
      <c r="G1125" s="2022">
        <f t="shared" si="34"/>
        <v>0</v>
      </c>
      <c r="K1125" s="2011">
        <f t="shared" si="35"/>
        <v>0</v>
      </c>
    </row>
    <row r="1126" spans="1:11" x14ac:dyDescent="0.2">
      <c r="A1126" t="s">
        <v>4730</v>
      </c>
      <c r="B1126" t="s">
        <v>8089</v>
      </c>
      <c r="C1126" s="2022">
        <v>0</v>
      </c>
      <c r="D1126" s="2022">
        <v>0</v>
      </c>
      <c r="E1126" s="2022">
        <v>0</v>
      </c>
      <c r="F1126" s="2022">
        <v>0</v>
      </c>
      <c r="G1126" s="2022">
        <f t="shared" si="34"/>
        <v>0</v>
      </c>
      <c r="K1126" s="2011">
        <f t="shared" si="35"/>
        <v>0</v>
      </c>
    </row>
    <row r="1127" spans="1:11" x14ac:dyDescent="0.2">
      <c r="A1127" t="s">
        <v>4731</v>
      </c>
      <c r="B1127" t="s">
        <v>8090</v>
      </c>
      <c r="C1127" s="2022">
        <v>0</v>
      </c>
      <c r="D1127" s="2022">
        <v>0</v>
      </c>
      <c r="E1127" s="2022">
        <v>0</v>
      </c>
      <c r="F1127" s="2022">
        <v>0</v>
      </c>
      <c r="G1127" s="2022">
        <f t="shared" si="34"/>
        <v>0</v>
      </c>
      <c r="K1127" s="2011">
        <f t="shared" si="35"/>
        <v>0</v>
      </c>
    </row>
    <row r="1128" spans="1:11" x14ac:dyDescent="0.2">
      <c r="A1128" t="s">
        <v>4732</v>
      </c>
      <c r="B1128" t="s">
        <v>8091</v>
      </c>
      <c r="C1128" s="2022">
        <v>0</v>
      </c>
      <c r="D1128" s="2022">
        <v>0</v>
      </c>
      <c r="E1128" s="2022">
        <v>0</v>
      </c>
      <c r="F1128" s="2022">
        <v>0</v>
      </c>
      <c r="G1128" s="2022">
        <f t="shared" si="34"/>
        <v>0</v>
      </c>
      <c r="K1128" s="2011">
        <f t="shared" si="35"/>
        <v>0</v>
      </c>
    </row>
    <row r="1129" spans="1:11" x14ac:dyDescent="0.2">
      <c r="A1129" t="s">
        <v>4733</v>
      </c>
      <c r="B1129" t="s">
        <v>8092</v>
      </c>
      <c r="C1129" s="2022">
        <v>0</v>
      </c>
      <c r="D1129" s="2022">
        <v>0</v>
      </c>
      <c r="E1129" s="2022">
        <v>0</v>
      </c>
      <c r="F1129" s="2022">
        <v>0</v>
      </c>
      <c r="G1129" s="2022">
        <f t="shared" si="34"/>
        <v>0</v>
      </c>
      <c r="K1129" s="2011">
        <f t="shared" si="35"/>
        <v>0</v>
      </c>
    </row>
    <row r="1130" spans="1:11" x14ac:dyDescent="0.2">
      <c r="A1130" t="s">
        <v>4734</v>
      </c>
      <c r="B1130" t="s">
        <v>4735</v>
      </c>
      <c r="C1130" s="2022">
        <v>0</v>
      </c>
      <c r="D1130" s="2022">
        <v>88840.25</v>
      </c>
      <c r="E1130" s="2022">
        <v>1809699.59</v>
      </c>
      <c r="F1130" s="2022">
        <v>-1807046.89</v>
      </c>
      <c r="G1130" s="2022">
        <f t="shared" si="34"/>
        <v>91492.950000000186</v>
      </c>
      <c r="I1130" s="2022">
        <f>VLOOKUP(A1130,'2012 - TB'!$A$3:$I$733,9,FALSE)</f>
        <v>91492.950000000186</v>
      </c>
      <c r="K1130" s="2011">
        <f t="shared" si="35"/>
        <v>0</v>
      </c>
    </row>
    <row r="1131" spans="1:11" x14ac:dyDescent="0.2">
      <c r="A1131" t="s">
        <v>4736</v>
      </c>
      <c r="B1131" t="s">
        <v>4737</v>
      </c>
      <c r="C1131" s="2022">
        <v>0</v>
      </c>
      <c r="D1131" s="2022">
        <v>277.87</v>
      </c>
      <c r="E1131" s="2022">
        <v>3.73</v>
      </c>
      <c r="F1131" s="2022">
        <v>0</v>
      </c>
      <c r="G1131" s="2022">
        <f t="shared" si="34"/>
        <v>281.60000000000002</v>
      </c>
      <c r="I1131" s="2022">
        <f>VLOOKUP(A1131,'2012 - TB'!$A$3:$I$733,9,FALSE)</f>
        <v>281.60000000000002</v>
      </c>
      <c r="K1131" s="2011">
        <f t="shared" si="35"/>
        <v>0</v>
      </c>
    </row>
    <row r="1132" spans="1:11" x14ac:dyDescent="0.2">
      <c r="A1132" t="s">
        <v>4738</v>
      </c>
      <c r="B1132" t="s">
        <v>4739</v>
      </c>
      <c r="C1132" s="2022">
        <v>0</v>
      </c>
      <c r="D1132" s="2022">
        <v>1628.34</v>
      </c>
      <c r="E1132" s="2022">
        <v>0</v>
      </c>
      <c r="F1132" s="2022">
        <v>-69.41</v>
      </c>
      <c r="G1132" s="2022">
        <f t="shared" si="34"/>
        <v>1558.9299999999998</v>
      </c>
      <c r="I1132" s="2022">
        <f>VLOOKUP(A1132,'2012 - TB'!$A$3:$I$733,9,FALSE)</f>
        <v>1558.9299999999998</v>
      </c>
      <c r="K1132" s="2011">
        <f t="shared" si="35"/>
        <v>0</v>
      </c>
    </row>
    <row r="1133" spans="1:11" x14ac:dyDescent="0.2">
      <c r="A1133" t="s">
        <v>4740</v>
      </c>
      <c r="B1133" t="s">
        <v>4741</v>
      </c>
      <c r="C1133" s="2022">
        <v>0</v>
      </c>
      <c r="D1133" s="2022">
        <v>31640.080000000002</v>
      </c>
      <c r="E1133" s="2022">
        <v>18809000</v>
      </c>
      <c r="F1133" s="2022">
        <v>-18839609.600000001</v>
      </c>
      <c r="G1133" s="2022">
        <f t="shared" si="34"/>
        <v>1030.4799999967217</v>
      </c>
      <c r="I1133" s="2022">
        <f>VLOOKUP(A1133,'2012 - TB'!$A$3:$I$733,9,FALSE)</f>
        <v>1030.4799999967217</v>
      </c>
      <c r="K1133" s="2011">
        <f t="shared" si="35"/>
        <v>0</v>
      </c>
    </row>
    <row r="1134" spans="1:11" x14ac:dyDescent="0.2">
      <c r="A1134" t="s">
        <v>4742</v>
      </c>
      <c r="B1134" t="s">
        <v>4743</v>
      </c>
      <c r="C1134" s="2022">
        <v>0</v>
      </c>
      <c r="D1134" s="2022">
        <v>56189.57</v>
      </c>
      <c r="E1134" s="2022">
        <v>0</v>
      </c>
      <c r="F1134" s="2022">
        <v>0</v>
      </c>
      <c r="G1134" s="2022">
        <f t="shared" si="34"/>
        <v>56189.57</v>
      </c>
      <c r="I1134" s="2022">
        <f>VLOOKUP(A1134,'2012 - TB'!$A$3:$I$733,9,FALSE)</f>
        <v>56189.57</v>
      </c>
      <c r="K1134" s="2011">
        <f t="shared" si="35"/>
        <v>0</v>
      </c>
    </row>
    <row r="1135" spans="1:11" x14ac:dyDescent="0.2">
      <c r="A1135" t="s">
        <v>4744</v>
      </c>
      <c r="B1135" t="s">
        <v>4745</v>
      </c>
      <c r="C1135" s="2022">
        <v>0</v>
      </c>
      <c r="D1135" s="2022">
        <v>120653</v>
      </c>
      <c r="E1135" s="2022">
        <v>0</v>
      </c>
      <c r="F1135" s="2022">
        <v>0</v>
      </c>
      <c r="G1135" s="2022">
        <f t="shared" si="34"/>
        <v>120653</v>
      </c>
      <c r="I1135" s="2022">
        <f>VLOOKUP(A1135,'2012 - TB'!$A$3:$I$733,9,FALSE)</f>
        <v>120653</v>
      </c>
      <c r="K1135" s="2011">
        <f t="shared" si="35"/>
        <v>0</v>
      </c>
    </row>
    <row r="1136" spans="1:11" x14ac:dyDescent="0.2">
      <c r="A1136" t="s">
        <v>4746</v>
      </c>
      <c r="B1136" t="s">
        <v>4747</v>
      </c>
      <c r="C1136" s="2022">
        <v>0</v>
      </c>
      <c r="D1136" s="2022">
        <v>33650.5</v>
      </c>
      <c r="E1136" s="2022">
        <v>6738.38</v>
      </c>
      <c r="F1136" s="2022">
        <v>0</v>
      </c>
      <c r="G1136" s="2022">
        <f t="shared" si="34"/>
        <v>40388.879999999997</v>
      </c>
      <c r="I1136" s="2022">
        <f>VLOOKUP(A1136,'2012 - TB'!$A$3:$I$733,9,FALSE)</f>
        <v>40388.879999999997</v>
      </c>
      <c r="K1136" s="2011">
        <f t="shared" si="35"/>
        <v>0</v>
      </c>
    </row>
    <row r="1137" spans="1:11" x14ac:dyDescent="0.2">
      <c r="A1137" t="s">
        <v>4748</v>
      </c>
      <c r="B1137" t="s">
        <v>4749</v>
      </c>
      <c r="C1137" s="2022">
        <v>0</v>
      </c>
      <c r="D1137" s="2022">
        <v>62175</v>
      </c>
      <c r="E1137" s="2022">
        <v>10095.92</v>
      </c>
      <c r="F1137" s="2022">
        <v>0</v>
      </c>
      <c r="G1137" s="2022">
        <f t="shared" si="34"/>
        <v>72270.92</v>
      </c>
      <c r="I1137" s="2022">
        <f>VLOOKUP(A1137,'2012 - TB'!$A$3:$I$733,9,FALSE)</f>
        <v>72270.92</v>
      </c>
      <c r="K1137" s="2011">
        <f t="shared" si="35"/>
        <v>0</v>
      </c>
    </row>
    <row r="1138" spans="1:11" x14ac:dyDescent="0.2">
      <c r="A1138" t="s">
        <v>4750</v>
      </c>
      <c r="B1138" t="s">
        <v>4751</v>
      </c>
      <c r="C1138" s="2022">
        <v>0</v>
      </c>
      <c r="D1138" s="2022">
        <v>585000</v>
      </c>
      <c r="E1138" s="2022">
        <v>0</v>
      </c>
      <c r="F1138" s="2022">
        <v>-154320</v>
      </c>
      <c r="G1138" s="2022">
        <f t="shared" si="34"/>
        <v>430680</v>
      </c>
      <c r="I1138" s="2022">
        <f>VLOOKUP(A1138,'2012 - TB'!$A$3:$I$733,9,FALSE)</f>
        <v>430680</v>
      </c>
      <c r="K1138" s="2011">
        <f t="shared" si="35"/>
        <v>0</v>
      </c>
    </row>
    <row r="1139" spans="1:11" x14ac:dyDescent="0.2">
      <c r="A1139" t="s">
        <v>4752</v>
      </c>
      <c r="B1139" t="s">
        <v>4780</v>
      </c>
      <c r="C1139" s="2022">
        <v>0</v>
      </c>
      <c r="D1139" s="2022">
        <v>0</v>
      </c>
      <c r="E1139" s="2022">
        <v>0</v>
      </c>
      <c r="F1139" s="2022">
        <v>0</v>
      </c>
      <c r="G1139" s="2022">
        <f t="shared" si="34"/>
        <v>0</v>
      </c>
      <c r="K1139" s="2011">
        <f t="shared" si="35"/>
        <v>0</v>
      </c>
    </row>
    <row r="1140" spans="1:11" x14ac:dyDescent="0.2">
      <c r="A1140" t="s">
        <v>4753</v>
      </c>
      <c r="B1140" t="s">
        <v>4891</v>
      </c>
      <c r="C1140" s="2022">
        <v>0</v>
      </c>
      <c r="D1140" s="2022">
        <v>0</v>
      </c>
      <c r="E1140" s="2022">
        <v>0</v>
      </c>
      <c r="F1140" s="2022">
        <v>0</v>
      </c>
      <c r="G1140" s="2022">
        <f t="shared" si="34"/>
        <v>0</v>
      </c>
      <c r="K1140" s="2011">
        <f t="shared" si="35"/>
        <v>0</v>
      </c>
    </row>
    <row r="1141" spans="1:11" x14ac:dyDescent="0.2">
      <c r="A1141" t="s">
        <v>4754</v>
      </c>
      <c r="B1141" t="s">
        <v>8093</v>
      </c>
      <c r="C1141" s="2022">
        <v>0</v>
      </c>
      <c r="D1141" s="2022">
        <v>0</v>
      </c>
      <c r="E1141" s="2022">
        <v>0</v>
      </c>
      <c r="F1141" s="2022">
        <v>0</v>
      </c>
      <c r="G1141" s="2022">
        <f t="shared" si="34"/>
        <v>0</v>
      </c>
      <c r="K1141" s="2011">
        <f t="shared" si="35"/>
        <v>0</v>
      </c>
    </row>
    <row r="1142" spans="1:11" x14ac:dyDescent="0.2">
      <c r="A1142" t="s">
        <v>4755</v>
      </c>
      <c r="B1142" t="s">
        <v>4756</v>
      </c>
      <c r="C1142" s="2022">
        <v>0</v>
      </c>
      <c r="D1142" s="2022">
        <v>2510796.9300000002</v>
      </c>
      <c r="E1142" s="2022">
        <v>164.43</v>
      </c>
      <c r="F1142" s="2022">
        <v>-86937.600000000006</v>
      </c>
      <c r="G1142" s="2022">
        <f t="shared" si="34"/>
        <v>2424023.7600000002</v>
      </c>
      <c r="I1142" s="2022">
        <f>VLOOKUP(A1142,'2012 - TB'!$A$3:$I$733,9,FALSE)</f>
        <v>2424023.7600000012</v>
      </c>
      <c r="K1142" s="2011">
        <f t="shared" si="35"/>
        <v>0</v>
      </c>
    </row>
    <row r="1143" spans="1:11" x14ac:dyDescent="0.2">
      <c r="A1143" t="s">
        <v>4757</v>
      </c>
      <c r="B1143" t="s">
        <v>8094</v>
      </c>
      <c r="C1143" s="2022">
        <v>0</v>
      </c>
      <c r="D1143" s="2022">
        <v>0</v>
      </c>
      <c r="E1143" s="2022">
        <v>0</v>
      </c>
      <c r="F1143" s="2022">
        <v>0</v>
      </c>
      <c r="G1143" s="2022">
        <f t="shared" si="34"/>
        <v>0</v>
      </c>
      <c r="K1143" s="2011">
        <f t="shared" si="35"/>
        <v>0</v>
      </c>
    </row>
    <row r="1144" spans="1:11" x14ac:dyDescent="0.2">
      <c r="A1144" t="s">
        <v>4758</v>
      </c>
      <c r="B1144" t="s">
        <v>4759</v>
      </c>
      <c r="C1144" s="2022">
        <v>0</v>
      </c>
      <c r="D1144" s="2022">
        <v>-42166845.710000001</v>
      </c>
      <c r="E1144" s="2022">
        <v>0</v>
      </c>
      <c r="F1144" s="2022">
        <v>-47626601.359999999</v>
      </c>
      <c r="G1144" s="2022">
        <f t="shared" si="34"/>
        <v>-89793447.069999993</v>
      </c>
      <c r="I1144" s="2022">
        <f>VLOOKUP(A1144,'2012 - TB'!$A$3:$I$733,9,FALSE)</f>
        <v>-73276221.5</v>
      </c>
      <c r="K1144" s="2011">
        <f t="shared" si="35"/>
        <v>-16517225.569999993</v>
      </c>
    </row>
    <row r="1145" spans="1:11" x14ac:dyDescent="0.2">
      <c r="A1145" t="s">
        <v>4760</v>
      </c>
      <c r="B1145" t="s">
        <v>4761</v>
      </c>
      <c r="C1145" s="2022">
        <v>0</v>
      </c>
      <c r="D1145" s="2022">
        <v>421097.62</v>
      </c>
      <c r="E1145" s="2022">
        <v>0</v>
      </c>
      <c r="F1145" s="2022">
        <v>0</v>
      </c>
      <c r="G1145" s="2022">
        <f t="shared" si="34"/>
        <v>421097.62</v>
      </c>
      <c r="I1145" s="2022">
        <f>VLOOKUP(A1145,'2012 - TB'!$A$3:$I$733,9,FALSE)</f>
        <v>421097.62</v>
      </c>
      <c r="K1145" s="2011">
        <f t="shared" si="35"/>
        <v>0</v>
      </c>
    </row>
    <row r="1146" spans="1:11" x14ac:dyDescent="0.2">
      <c r="A1146" t="s">
        <v>4762</v>
      </c>
      <c r="B1146" t="s">
        <v>4763</v>
      </c>
      <c r="C1146" s="2022">
        <v>0</v>
      </c>
      <c r="D1146" s="2022">
        <v>170683.16</v>
      </c>
      <c r="E1146" s="2022">
        <v>1329.5</v>
      </c>
      <c r="F1146" s="2022">
        <v>-4097.08</v>
      </c>
      <c r="G1146" s="2022">
        <f t="shared" si="34"/>
        <v>167915.58000000002</v>
      </c>
      <c r="I1146" s="2022">
        <f>VLOOKUP(A1146,'2012 - TB'!$A$3:$I$733,9,FALSE)</f>
        <v>779989.90999999992</v>
      </c>
      <c r="K1146" s="2011">
        <f t="shared" si="35"/>
        <v>-612074.32999999984</v>
      </c>
    </row>
    <row r="1147" spans="1:11" x14ac:dyDescent="0.2">
      <c r="A1147" s="2100" t="s">
        <v>4764</v>
      </c>
      <c r="B1147" s="2100" t="s">
        <v>4765</v>
      </c>
      <c r="C1147" s="2022">
        <v>0</v>
      </c>
      <c r="D1147" s="2022">
        <v>4588917.53</v>
      </c>
      <c r="E1147" s="2022">
        <v>1249770</v>
      </c>
      <c r="F1147" s="2022">
        <v>-214503.6</v>
      </c>
      <c r="G1147" s="2022">
        <f t="shared" si="34"/>
        <v>5624183.9300000006</v>
      </c>
      <c r="H1147" s="2100"/>
      <c r="I1147" s="2022">
        <f>VLOOKUP(A1147,'2012 - TB'!$A$3:$I$733,9,FALSE)</f>
        <v>5624183.9300000006</v>
      </c>
      <c r="J1147" s="2100"/>
      <c r="K1147" s="2011">
        <f t="shared" si="35"/>
        <v>0</v>
      </c>
    </row>
    <row r="1148" spans="1:11" x14ac:dyDescent="0.2">
      <c r="A1148" s="2100" t="s">
        <v>4766</v>
      </c>
      <c r="B1148" s="2100" t="s">
        <v>4767</v>
      </c>
      <c r="C1148" s="2022">
        <v>0</v>
      </c>
      <c r="D1148" s="2022">
        <v>1459.56</v>
      </c>
      <c r="E1148" s="2022">
        <v>33376.94</v>
      </c>
      <c r="F1148" s="2022">
        <v>0</v>
      </c>
      <c r="G1148" s="2022">
        <f t="shared" si="34"/>
        <v>34836.5</v>
      </c>
      <c r="H1148" s="2100"/>
      <c r="I1148" s="2022">
        <f>VLOOKUP(A1148,'2012 - TB'!$A$3:$I$733,9,FALSE)</f>
        <v>34836.5</v>
      </c>
      <c r="J1148" s="2100"/>
      <c r="K1148" s="2011">
        <f t="shared" si="35"/>
        <v>0</v>
      </c>
    </row>
    <row r="1149" spans="1:11" x14ac:dyDescent="0.2">
      <c r="A1149" s="2100" t="s">
        <v>4768</v>
      </c>
      <c r="B1149" s="2100" t="s">
        <v>4769</v>
      </c>
      <c r="C1149" s="2022">
        <v>0</v>
      </c>
      <c r="D1149" s="2022">
        <v>16826.5</v>
      </c>
      <c r="E1149" s="2022">
        <v>28705.8</v>
      </c>
      <c r="F1149" s="2022">
        <v>-17691.39</v>
      </c>
      <c r="G1149" s="2022">
        <f t="shared" si="34"/>
        <v>27840.910000000003</v>
      </c>
      <c r="H1149" s="2100"/>
      <c r="I1149" s="2022">
        <f>VLOOKUP(A1149,'2012 - TB'!$A$3:$I$733,9,FALSE)</f>
        <v>27840.910000000003</v>
      </c>
      <c r="J1149" s="2100"/>
      <c r="K1149" s="2011">
        <f t="shared" si="35"/>
        <v>0</v>
      </c>
    </row>
    <row r="1150" spans="1:11" x14ac:dyDescent="0.2">
      <c r="A1150" s="2100" t="s">
        <v>4770</v>
      </c>
      <c r="B1150" s="2100" t="s">
        <v>4771</v>
      </c>
      <c r="C1150" s="2022">
        <v>0</v>
      </c>
      <c r="D1150" s="2022">
        <v>4126580.5</v>
      </c>
      <c r="E1150" s="2022">
        <v>10159794.59</v>
      </c>
      <c r="F1150" s="2022">
        <v>-7688907.6600000001</v>
      </c>
      <c r="G1150" s="2022">
        <f t="shared" si="34"/>
        <v>6597467.4299999997</v>
      </c>
      <c r="H1150" s="2100"/>
      <c r="I1150" s="2022">
        <f>VLOOKUP(A1150,'2012 - TB'!$A$3:$I$733,9,FALSE)</f>
        <v>6597467.4299999997</v>
      </c>
      <c r="J1150" s="2100"/>
      <c r="K1150" s="2011">
        <f t="shared" si="35"/>
        <v>0</v>
      </c>
    </row>
    <row r="1151" spans="1:11" x14ac:dyDescent="0.2">
      <c r="A1151" s="2100" t="s">
        <v>4772</v>
      </c>
      <c r="B1151" s="2100" t="s">
        <v>4773</v>
      </c>
      <c r="C1151" s="2022">
        <v>0</v>
      </c>
      <c r="D1151" s="2022">
        <v>6526920.75</v>
      </c>
      <c r="E1151" s="2022">
        <v>5167782.8899999997</v>
      </c>
      <c r="F1151" s="2022">
        <v>-1000490.07</v>
      </c>
      <c r="G1151" s="2022">
        <f t="shared" si="34"/>
        <v>10694213.57</v>
      </c>
      <c r="H1151" s="2100"/>
      <c r="I1151" s="2022">
        <f>VLOOKUP(A1151,'2012 - TB'!$A$3:$I$733,9,FALSE)</f>
        <v>10694213.57</v>
      </c>
      <c r="J1151" s="2100"/>
      <c r="K1151" s="2011">
        <f t="shared" si="35"/>
        <v>0</v>
      </c>
    </row>
    <row r="1152" spans="1:11" x14ac:dyDescent="0.2">
      <c r="A1152" s="2100" t="s">
        <v>4774</v>
      </c>
      <c r="B1152" s="2100" t="s">
        <v>4775</v>
      </c>
      <c r="C1152" s="2022">
        <v>0</v>
      </c>
      <c r="D1152" s="2022">
        <v>544619.55000000005</v>
      </c>
      <c r="E1152" s="2022">
        <v>377524.55</v>
      </c>
      <c r="F1152" s="2022">
        <v>-225040.65</v>
      </c>
      <c r="G1152" s="2022">
        <f t="shared" si="34"/>
        <v>697103.45000000007</v>
      </c>
      <c r="H1152" s="2100"/>
      <c r="I1152" s="2022">
        <f>VLOOKUP(A1152,'2012 - TB'!$A$3:$I$733,9,FALSE)</f>
        <v>697103.45</v>
      </c>
      <c r="J1152" s="2100"/>
      <c r="K1152" s="2011">
        <f t="shared" si="35"/>
        <v>0</v>
      </c>
    </row>
    <row r="1153" spans="1:73" x14ac:dyDescent="0.2">
      <c r="A1153" s="2100" t="s">
        <v>4776</v>
      </c>
      <c r="B1153" s="2100" t="s">
        <v>4777</v>
      </c>
      <c r="C1153" s="2022">
        <v>0</v>
      </c>
      <c r="D1153" s="2022">
        <v>9386734.0399999991</v>
      </c>
      <c r="E1153" s="2022">
        <v>357.2</v>
      </c>
      <c r="F1153" s="2022">
        <v>-61057.279999999999</v>
      </c>
      <c r="G1153" s="2022">
        <f t="shared" si="34"/>
        <v>9326033.959999999</v>
      </c>
      <c r="H1153" s="2100"/>
      <c r="I1153" s="2022">
        <f>VLOOKUP(A1153,'2012 - TB'!$A$3:$I$733,9,FALSE)</f>
        <v>9326033.959999999</v>
      </c>
      <c r="J1153" s="2100"/>
      <c r="K1153" s="2011">
        <f t="shared" si="35"/>
        <v>0</v>
      </c>
    </row>
    <row r="1154" spans="1:73" x14ac:dyDescent="0.2">
      <c r="A1154" s="2100" t="s">
        <v>4778</v>
      </c>
      <c r="B1154" s="2100" t="s">
        <v>4705</v>
      </c>
      <c r="C1154" s="2022">
        <v>0</v>
      </c>
      <c r="D1154" s="2022">
        <v>8350622.5999999996</v>
      </c>
      <c r="E1154" s="2022">
        <v>7754180.0700000003</v>
      </c>
      <c r="F1154" s="2022">
        <v>-2201861.4500000002</v>
      </c>
      <c r="G1154" s="2022">
        <f t="shared" ref="G1154:G1171" si="36">SUM(D1154:F1154)</f>
        <v>13902941.219999999</v>
      </c>
      <c r="H1154" s="2100"/>
      <c r="I1154" s="2022">
        <f>VLOOKUP(A1154,'2012 - TB'!$A$3:$I$733,9,FALSE)</f>
        <v>13902941.220000001</v>
      </c>
      <c r="J1154" s="2100"/>
      <c r="K1154" s="2011">
        <f t="shared" ref="K1154:K1171" si="37">G1154-I1154</f>
        <v>0</v>
      </c>
    </row>
    <row r="1155" spans="1:73" x14ac:dyDescent="0.2">
      <c r="A1155" s="2100" t="s">
        <v>4779</v>
      </c>
      <c r="B1155" s="2100" t="s">
        <v>4780</v>
      </c>
      <c r="C1155" s="2022">
        <v>0</v>
      </c>
      <c r="D1155" s="2022">
        <v>15301840.9</v>
      </c>
      <c r="E1155" s="2022">
        <v>170556805.41999999</v>
      </c>
      <c r="F1155" s="2022">
        <v>-145390425.28999999</v>
      </c>
      <c r="G1155" s="2022">
        <f t="shared" si="36"/>
        <v>40468221.030000001</v>
      </c>
      <c r="H1155" s="2100"/>
      <c r="I1155" s="2022">
        <f>VLOOKUP(A1155,'2012 - TB'!$A$3:$I$733,9,FALSE)</f>
        <v>23609317.610000014</v>
      </c>
      <c r="J1155" s="2100"/>
      <c r="K1155" s="2011">
        <f t="shared" si="37"/>
        <v>16858903.419999987</v>
      </c>
    </row>
    <row r="1156" spans="1:73" x14ac:dyDescent="0.2">
      <c r="A1156" s="2100" t="s">
        <v>4781</v>
      </c>
      <c r="B1156" s="2100" t="s">
        <v>8095</v>
      </c>
      <c r="C1156" s="2022">
        <v>0</v>
      </c>
      <c r="D1156" s="2022">
        <v>0</v>
      </c>
      <c r="E1156" s="2022">
        <v>0</v>
      </c>
      <c r="F1156" s="2022">
        <v>0</v>
      </c>
      <c r="G1156" s="2022">
        <f t="shared" si="36"/>
        <v>0</v>
      </c>
      <c r="H1156" s="2100"/>
      <c r="J1156" s="2100"/>
      <c r="K1156" s="2011">
        <f t="shared" si="37"/>
        <v>0</v>
      </c>
    </row>
    <row r="1157" spans="1:73" x14ac:dyDescent="0.2">
      <c r="A1157" s="2100" t="s">
        <v>4783</v>
      </c>
      <c r="B1157" s="2100" t="s">
        <v>8096</v>
      </c>
      <c r="C1157" s="2022">
        <v>0</v>
      </c>
      <c r="D1157" s="2022">
        <v>0</v>
      </c>
      <c r="E1157" s="2022">
        <v>0</v>
      </c>
      <c r="F1157" s="2022">
        <v>0</v>
      </c>
      <c r="G1157" s="2022">
        <f t="shared" si="36"/>
        <v>0</v>
      </c>
      <c r="H1157" s="2100"/>
      <c r="J1157" s="2100"/>
      <c r="K1157" s="2011">
        <f t="shared" si="37"/>
        <v>0</v>
      </c>
    </row>
    <row r="1158" spans="1:73" x14ac:dyDescent="0.2">
      <c r="A1158" s="2100" t="s">
        <v>4784</v>
      </c>
      <c r="B1158" s="2100" t="s">
        <v>4785</v>
      </c>
      <c r="C1158" s="2022">
        <v>0</v>
      </c>
      <c r="D1158" s="2022">
        <v>-1483730.49</v>
      </c>
      <c r="E1158" s="2022">
        <v>2720234.39</v>
      </c>
      <c r="F1158" s="2022">
        <v>-2667402.7599999998</v>
      </c>
      <c r="G1158" s="2022">
        <f t="shared" si="36"/>
        <v>-1430898.8599999996</v>
      </c>
      <c r="H1158" s="2100"/>
      <c r="I1158" s="2022">
        <f>VLOOKUP(A1158,'2012 - TB'!$A$3:$I$733,9,FALSE)</f>
        <v>-1430898.8599999996</v>
      </c>
      <c r="J1158" s="2100"/>
      <c r="K1158" s="2011">
        <f t="shared" si="37"/>
        <v>0</v>
      </c>
    </row>
    <row r="1159" spans="1:73" x14ac:dyDescent="0.2">
      <c r="A1159" s="2100" t="s">
        <v>4786</v>
      </c>
      <c r="B1159" s="2100" t="s">
        <v>8097</v>
      </c>
      <c r="C1159" s="2022">
        <v>0</v>
      </c>
      <c r="D1159" s="2022">
        <v>0</v>
      </c>
      <c r="E1159" s="2022">
        <v>0</v>
      </c>
      <c r="F1159" s="2022">
        <v>0</v>
      </c>
      <c r="G1159" s="2022">
        <f t="shared" si="36"/>
        <v>0</v>
      </c>
      <c r="H1159" s="2100"/>
      <c r="J1159" s="2100"/>
      <c r="K1159" s="2011">
        <f t="shared" si="37"/>
        <v>0</v>
      </c>
    </row>
    <row r="1160" spans="1:73" x14ac:dyDescent="0.2">
      <c r="A1160" s="2100" t="s">
        <v>4787</v>
      </c>
      <c r="B1160" s="2100" t="s">
        <v>8098</v>
      </c>
      <c r="C1160" s="2022">
        <v>0</v>
      </c>
      <c r="D1160" s="2022">
        <v>0</v>
      </c>
      <c r="E1160" s="2022">
        <v>0</v>
      </c>
      <c r="F1160" s="2022">
        <v>0</v>
      </c>
      <c r="G1160" s="2022">
        <f t="shared" si="36"/>
        <v>0</v>
      </c>
      <c r="H1160" s="2100"/>
      <c r="J1160" s="2100"/>
      <c r="K1160" s="2011">
        <f t="shared" si="37"/>
        <v>0</v>
      </c>
    </row>
    <row r="1161" spans="1:73" x14ac:dyDescent="0.2">
      <c r="A1161" s="2100" t="s">
        <v>4788</v>
      </c>
      <c r="B1161" s="2100" t="s">
        <v>8099</v>
      </c>
      <c r="C1161" s="2022">
        <v>0</v>
      </c>
      <c r="D1161" s="2022">
        <v>0</v>
      </c>
      <c r="E1161" s="2022">
        <v>0</v>
      </c>
      <c r="F1161" s="2022">
        <v>0</v>
      </c>
      <c r="G1161" s="2022">
        <f t="shared" si="36"/>
        <v>0</v>
      </c>
      <c r="H1161" s="2100"/>
      <c r="J1161" s="2100"/>
      <c r="K1161" s="2011">
        <f t="shared" si="37"/>
        <v>0</v>
      </c>
    </row>
    <row r="1162" spans="1:73" x14ac:dyDescent="0.2">
      <c r="A1162" s="2100" t="s">
        <v>4789</v>
      </c>
      <c r="B1162" s="2100" t="s">
        <v>4790</v>
      </c>
      <c r="C1162" s="2022">
        <v>0</v>
      </c>
      <c r="D1162" s="2022">
        <v>12406.74</v>
      </c>
      <c r="E1162" s="2022">
        <v>10427.9</v>
      </c>
      <c r="F1162" s="2022">
        <v>0</v>
      </c>
      <c r="G1162" s="2022">
        <f t="shared" si="36"/>
        <v>22834.639999999999</v>
      </c>
      <c r="H1162" s="2100"/>
      <c r="I1162" s="2022">
        <f>VLOOKUP(A1162,'2012 - TB'!$A$3:$I$733,9,FALSE)</f>
        <v>22834.639999999999</v>
      </c>
      <c r="J1162" s="2100"/>
      <c r="K1162" s="2011">
        <f t="shared" si="37"/>
        <v>0</v>
      </c>
    </row>
    <row r="1163" spans="1:73" x14ac:dyDescent="0.2">
      <c r="A1163" s="2100" t="s">
        <v>4791</v>
      </c>
      <c r="B1163" s="2100" t="s">
        <v>8100</v>
      </c>
      <c r="C1163" s="2022">
        <v>0</v>
      </c>
      <c r="D1163" s="2022">
        <v>0</v>
      </c>
      <c r="E1163" s="2022">
        <v>0</v>
      </c>
      <c r="F1163" s="2022">
        <v>0</v>
      </c>
      <c r="G1163" s="2022">
        <f t="shared" si="36"/>
        <v>0</v>
      </c>
      <c r="H1163" s="2100"/>
      <c r="J1163" s="2100"/>
      <c r="K1163" s="2011">
        <f t="shared" si="37"/>
        <v>0</v>
      </c>
    </row>
    <row r="1164" spans="1:73" s="2632" customFormat="1" x14ac:dyDescent="0.2">
      <c r="A1164" s="2100" t="s">
        <v>4792</v>
      </c>
      <c r="B1164" s="2100" t="s">
        <v>4793</v>
      </c>
      <c r="C1164" s="2022">
        <v>0</v>
      </c>
      <c r="D1164" s="2022">
        <v>4704</v>
      </c>
      <c r="E1164" s="2022">
        <v>0</v>
      </c>
      <c r="F1164" s="2022">
        <v>0</v>
      </c>
      <c r="G1164" s="2022">
        <f t="shared" si="36"/>
        <v>4704</v>
      </c>
      <c r="H1164" s="2100"/>
      <c r="I1164" s="2022">
        <f>VLOOKUP(A1164,'2012 - TB'!$A$3:$I$733,9,FALSE)</f>
        <v>4704</v>
      </c>
      <c r="J1164" s="2100"/>
      <c r="K1164" s="2011">
        <f t="shared" si="37"/>
        <v>0</v>
      </c>
      <c r="L1164" s="2024"/>
      <c r="M1164" s="2024"/>
      <c r="N1164" s="2024"/>
      <c r="O1164" s="2024"/>
      <c r="P1164" s="2024"/>
      <c r="Q1164" s="2024"/>
      <c r="R1164" s="2024"/>
      <c r="S1164" s="2024"/>
      <c r="T1164" s="2024"/>
      <c r="U1164" s="2024"/>
      <c r="V1164" s="2024"/>
      <c r="W1164" s="2024"/>
      <c r="X1164" s="2024"/>
      <c r="Y1164" s="2024"/>
      <c r="Z1164" s="2024"/>
      <c r="AA1164" s="2024"/>
      <c r="AB1164" s="2024"/>
      <c r="AC1164" s="2024"/>
      <c r="AD1164" s="2024"/>
      <c r="AE1164" s="2024"/>
      <c r="AF1164" s="2024"/>
      <c r="AG1164" s="2024"/>
      <c r="AH1164" s="2024"/>
      <c r="AI1164" s="2024"/>
      <c r="AJ1164" s="2024"/>
      <c r="AK1164" s="2024"/>
      <c r="AL1164" s="2024"/>
      <c r="AM1164" s="2024"/>
      <c r="AN1164" s="2024"/>
      <c r="AO1164" s="2024"/>
      <c r="AP1164" s="2024"/>
      <c r="AQ1164" s="2024"/>
      <c r="AR1164" s="2024"/>
      <c r="AS1164" s="2024"/>
      <c r="AT1164" s="2024"/>
      <c r="AU1164" s="2024"/>
      <c r="AV1164" s="2024"/>
      <c r="AW1164" s="2024"/>
      <c r="AX1164" s="2024"/>
      <c r="AY1164" s="2024"/>
      <c r="AZ1164" s="2024"/>
      <c r="BA1164" s="2024"/>
      <c r="BB1164" s="2024"/>
      <c r="BC1164" s="2024"/>
      <c r="BD1164" s="2024"/>
      <c r="BE1164" s="2024"/>
      <c r="BF1164" s="2024"/>
      <c r="BG1164" s="2024"/>
      <c r="BH1164" s="2024"/>
      <c r="BI1164" s="2024"/>
      <c r="BJ1164" s="2024"/>
      <c r="BK1164" s="2024"/>
      <c r="BL1164" s="2024"/>
      <c r="BM1164" s="2024"/>
      <c r="BN1164" s="2024"/>
      <c r="BO1164" s="2024"/>
      <c r="BP1164" s="2024"/>
      <c r="BQ1164" s="2024"/>
      <c r="BR1164" s="2024"/>
      <c r="BS1164" s="2024"/>
      <c r="BT1164" s="2024"/>
      <c r="BU1164" s="2024"/>
    </row>
    <row r="1165" spans="1:73" x14ac:dyDescent="0.2">
      <c r="A1165" s="2100" t="s">
        <v>4794</v>
      </c>
      <c r="B1165" s="2100" t="s">
        <v>8101</v>
      </c>
      <c r="C1165" s="2022">
        <v>0</v>
      </c>
      <c r="D1165" s="2022">
        <v>0</v>
      </c>
      <c r="E1165" s="2022">
        <v>268477.64</v>
      </c>
      <c r="F1165" s="2022">
        <v>0</v>
      </c>
      <c r="G1165" s="2022">
        <f t="shared" si="36"/>
        <v>268477.64</v>
      </c>
      <c r="H1165" s="2100"/>
      <c r="I1165" s="2022">
        <f>VLOOKUP(A1165,'2012 - TB'!$A$3:$I$733,9,FALSE)</f>
        <v>723992.66999999993</v>
      </c>
      <c r="J1165" s="2100"/>
      <c r="K1165" s="2011">
        <f t="shared" si="37"/>
        <v>-455515.02999999991</v>
      </c>
    </row>
    <row r="1166" spans="1:73" x14ac:dyDescent="0.2">
      <c r="A1166" s="2100" t="s">
        <v>4795</v>
      </c>
      <c r="B1166" s="2100" t="s">
        <v>4796</v>
      </c>
      <c r="C1166" s="2022">
        <v>0</v>
      </c>
      <c r="D1166" s="2022">
        <v>8846420.7699999996</v>
      </c>
      <c r="E1166" s="2022">
        <v>11961144.99</v>
      </c>
      <c r="F1166" s="2022">
        <v>-1727422.64</v>
      </c>
      <c r="G1166" s="2022">
        <f t="shared" si="36"/>
        <v>19080143.119999997</v>
      </c>
      <c r="H1166" s="2100"/>
      <c r="I1166" s="2022">
        <f>VLOOKUP(A1166,'2012 - TB'!$A$3:$I$733,9,FALSE)</f>
        <v>19041081.810000002</v>
      </c>
      <c r="J1166" s="2100"/>
      <c r="K1166" s="2011">
        <f t="shared" si="37"/>
        <v>39061.309999994934</v>
      </c>
    </row>
    <row r="1167" spans="1:73" x14ac:dyDescent="0.2">
      <c r="A1167" s="2100" t="s">
        <v>4797</v>
      </c>
      <c r="B1167" s="2100" t="s">
        <v>4798</v>
      </c>
      <c r="C1167" s="2022">
        <v>0</v>
      </c>
      <c r="D1167" s="2022">
        <v>10215500</v>
      </c>
      <c r="E1167" s="2022">
        <v>0</v>
      </c>
      <c r="F1167" s="2022">
        <v>-10215500</v>
      </c>
      <c r="G1167" s="2022">
        <f t="shared" si="36"/>
        <v>0</v>
      </c>
      <c r="H1167" s="2100"/>
      <c r="I1167" s="2022">
        <f>VLOOKUP(A1167,'2012 - TB'!$A$3:$I$733,9,FALSE)</f>
        <v>0</v>
      </c>
      <c r="J1167" s="2100"/>
      <c r="K1167" s="2011">
        <f t="shared" si="37"/>
        <v>0</v>
      </c>
    </row>
    <row r="1168" spans="1:73" x14ac:dyDescent="0.2">
      <c r="A1168" s="2100" t="s">
        <v>4799</v>
      </c>
      <c r="B1168" s="2100" t="s">
        <v>4800</v>
      </c>
      <c r="C1168" s="2022">
        <v>0</v>
      </c>
      <c r="D1168" s="2022">
        <v>18051.21</v>
      </c>
      <c r="E1168" s="2022">
        <v>29349.88</v>
      </c>
      <c r="F1168" s="2022">
        <v>-46670.54</v>
      </c>
      <c r="G1168" s="2022">
        <f t="shared" si="36"/>
        <v>730.54999999999563</v>
      </c>
      <c r="H1168" s="2100"/>
      <c r="I1168" s="2022">
        <f>VLOOKUP(A1168,'2012 - TB'!$A$3:$I$733,9,FALSE)</f>
        <v>730.54999999999563</v>
      </c>
      <c r="J1168" s="2100"/>
      <c r="K1168" s="2011">
        <f t="shared" si="37"/>
        <v>0</v>
      </c>
    </row>
    <row r="1169" spans="1:11" x14ac:dyDescent="0.2">
      <c r="A1169" s="2100" t="s">
        <v>4801</v>
      </c>
      <c r="B1169" s="2100" t="s">
        <v>4802</v>
      </c>
      <c r="C1169" s="2022">
        <v>0</v>
      </c>
      <c r="D1169" s="2022">
        <v>87328.11</v>
      </c>
      <c r="E1169" s="2022">
        <v>1623918.6</v>
      </c>
      <c r="F1169" s="2022">
        <v>-1704478.61</v>
      </c>
      <c r="G1169" s="2022">
        <f t="shared" si="36"/>
        <v>6768.1000000000931</v>
      </c>
      <c r="H1169" s="2100"/>
      <c r="I1169" s="2022">
        <f>VLOOKUP(A1169,'2012 - TB'!$A$3:$I$733,9,FALSE)</f>
        <v>6768.100000000326</v>
      </c>
      <c r="J1169" s="2100"/>
      <c r="K1169" s="2011">
        <f t="shared" si="37"/>
        <v>-2.3283064365386963E-10</v>
      </c>
    </row>
    <row r="1170" spans="1:11" x14ac:dyDescent="0.2">
      <c r="A1170" s="2100" t="s">
        <v>4803</v>
      </c>
      <c r="B1170" s="2100" t="s">
        <v>4804</v>
      </c>
      <c r="C1170" s="2022">
        <v>0</v>
      </c>
      <c r="D1170" s="2022">
        <v>1179.9000000000001</v>
      </c>
      <c r="E1170" s="2022">
        <v>0</v>
      </c>
      <c r="F1170" s="2022">
        <v>0</v>
      </c>
      <c r="G1170" s="2022">
        <f t="shared" si="36"/>
        <v>1179.9000000000001</v>
      </c>
      <c r="H1170" s="2100"/>
      <c r="I1170" s="2022">
        <f>VLOOKUP(A1170,'2012 - TB'!$A$3:$I$733,9,FALSE)</f>
        <v>1179.9000000000001</v>
      </c>
      <c r="J1170" s="2100"/>
      <c r="K1170" s="2011">
        <f t="shared" si="37"/>
        <v>0</v>
      </c>
    </row>
    <row r="1171" spans="1:11" x14ac:dyDescent="0.2">
      <c r="A1171" s="2100" t="s">
        <v>4805</v>
      </c>
      <c r="B1171" s="2100" t="s">
        <v>4806</v>
      </c>
      <c r="C1171" s="2022">
        <v>0</v>
      </c>
      <c r="D1171" s="2022">
        <v>107085.45</v>
      </c>
      <c r="E1171" s="2022">
        <v>2015546.37</v>
      </c>
      <c r="F1171" s="2022">
        <v>-2113920.89</v>
      </c>
      <c r="G1171" s="2022">
        <f t="shared" si="36"/>
        <v>8710.9300000001676</v>
      </c>
      <c r="H1171" s="2100"/>
      <c r="I1171" s="2022">
        <f>VLOOKUP(A1171,'2012 - TB'!$A$3:$I$733,9,FALSE)</f>
        <v>8710.9300000001676</v>
      </c>
      <c r="J1171" s="2100"/>
      <c r="K1171" s="2011">
        <f t="shared" si="37"/>
        <v>0</v>
      </c>
    </row>
  </sheetData>
  <sortState ref="A2:K1171">
    <sortCondition ref="A2:A117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T64"/>
  <sheetViews>
    <sheetView view="pageBreakPreview" topLeftCell="H1" zoomScale="85" zoomScaleNormal="90" zoomScaleSheetLayoutView="85" workbookViewId="0">
      <selection activeCell="H37" sqref="H37"/>
    </sheetView>
  </sheetViews>
  <sheetFormatPr defaultColWidth="9.140625" defaultRowHeight="15" x14ac:dyDescent="0.2"/>
  <cols>
    <col min="1" max="1" width="1.7109375" style="2" hidden="1" customWidth="1"/>
    <col min="2" max="2" width="17.7109375" style="23" hidden="1" customWidth="1"/>
    <col min="3" max="3" width="1.42578125" style="23" hidden="1" customWidth="1"/>
    <col min="4" max="4" width="18.7109375" style="23" hidden="1" customWidth="1"/>
    <col min="5" max="5" width="1.5703125" style="23" hidden="1" customWidth="1"/>
    <col min="6" max="6" width="18.85546875" style="23" hidden="1" customWidth="1"/>
    <col min="7" max="7" width="1.7109375" style="2" hidden="1" customWidth="1"/>
    <col min="8" max="8" width="50.7109375" style="2" customWidth="1"/>
    <col min="9" max="9" width="8.7109375" style="2" customWidth="1"/>
    <col min="10" max="10" width="17.7109375" style="23" customWidth="1"/>
    <col min="11" max="11" width="1.7109375" style="23" customWidth="1"/>
    <col min="12" max="12" width="17.7109375" style="23" customWidth="1"/>
    <col min="13" max="13" width="1.7109375" style="23" customWidth="1"/>
    <col min="14" max="14" width="13.42578125" style="45" bestFit="1" customWidth="1"/>
    <col min="15" max="15" width="17.7109375" style="741" customWidth="1"/>
    <col min="16" max="16" width="9.140625" style="45"/>
    <col min="17" max="18" width="17.7109375" style="45" customWidth="1"/>
    <col min="19" max="20" width="9.140625" style="45"/>
    <col min="21" max="16384" width="9.140625" style="2"/>
  </cols>
  <sheetData>
    <row r="1" spans="1:20" s="20" customFormat="1" ht="21" customHeight="1" x14ac:dyDescent="0.3">
      <c r="B1" s="2774" t="str">
        <f>Parameters!B2</f>
        <v>Mohokare Local Municipality</v>
      </c>
      <c r="C1" s="2774"/>
      <c r="D1" s="2774"/>
      <c r="E1" s="2774"/>
      <c r="F1" s="2774"/>
      <c r="G1" s="2774"/>
      <c r="H1" s="2774"/>
      <c r="I1" s="2774"/>
      <c r="J1" s="2774"/>
      <c r="K1" s="2774"/>
      <c r="L1" s="2774"/>
      <c r="M1" s="4"/>
      <c r="N1" s="51"/>
      <c r="O1" s="738"/>
      <c r="P1" s="51"/>
      <c r="Q1" s="51"/>
      <c r="R1" s="51"/>
      <c r="S1" s="51"/>
      <c r="T1" s="51"/>
    </row>
    <row r="2" spans="1:20" s="387" customFormat="1" ht="18" customHeight="1" thickBot="1" x14ac:dyDescent="0.3">
      <c r="B2" s="2775" t="str">
        <f>"STATEMENT OF FINANCIAL POSITION AT "&amp;Parameters!C6</f>
        <v>STATEMENT OF FINANCIAL POSITION AT 30 JUNE 2012</v>
      </c>
      <c r="C2" s="2775"/>
      <c r="D2" s="2775"/>
      <c r="E2" s="2775"/>
      <c r="F2" s="2775"/>
      <c r="G2" s="2775"/>
      <c r="H2" s="2775"/>
      <c r="I2" s="2775"/>
      <c r="J2" s="2775"/>
      <c r="K2" s="2775"/>
      <c r="L2" s="2775"/>
      <c r="M2" s="388"/>
      <c r="O2" s="739"/>
    </row>
    <row r="3" spans="1:20" s="117" customFormat="1" ht="17.100000000000001" customHeight="1" thickTop="1" x14ac:dyDescent="0.2">
      <c r="A3" s="114"/>
      <c r="B3" s="64"/>
      <c r="C3" s="64"/>
      <c r="D3" s="64"/>
      <c r="E3" s="64"/>
      <c r="F3" s="64"/>
      <c r="G3" s="115"/>
      <c r="H3" s="115"/>
      <c r="I3" s="115"/>
      <c r="J3" s="64"/>
      <c r="K3" s="64"/>
      <c r="L3" s="64"/>
      <c r="M3" s="116"/>
      <c r="O3" s="740"/>
    </row>
    <row r="4" spans="1:20" s="117" customFormat="1" ht="17.100000000000001" customHeight="1" x14ac:dyDescent="0.25">
      <c r="A4" s="122"/>
      <c r="B4" s="2772" t="s">
        <v>243</v>
      </c>
      <c r="C4" s="2772"/>
      <c r="D4" s="2773"/>
      <c r="E4" s="2773"/>
      <c r="F4" s="2773"/>
      <c r="G4" s="123"/>
      <c r="H4" s="123"/>
      <c r="I4" s="123"/>
      <c r="J4" s="2772" t="s">
        <v>240</v>
      </c>
      <c r="K4" s="2773"/>
      <c r="L4" s="2773"/>
      <c r="M4" s="127"/>
      <c r="O4" s="740"/>
      <c r="Q4" s="2772" t="s">
        <v>2221</v>
      </c>
      <c r="R4" s="2772"/>
    </row>
    <row r="5" spans="1:20" s="121" customFormat="1" ht="17.100000000000001" customHeight="1" x14ac:dyDescent="0.25">
      <c r="A5" s="118"/>
      <c r="B5" s="954">
        <f>Parameters!C19</f>
        <v>2011</v>
      </c>
      <c r="C5" s="954"/>
      <c r="D5" s="1651" t="str">
        <f>Parameters!C17 &amp; " Original"</f>
        <v>2012 Original</v>
      </c>
      <c r="E5" s="1650"/>
      <c r="F5" s="1651" t="str">
        <f>Parameters!C17 &amp; " Adjusted"</f>
        <v>2012 Adjusted</v>
      </c>
      <c r="G5" s="119"/>
      <c r="H5" s="2477"/>
      <c r="I5" s="2478" t="s">
        <v>256</v>
      </c>
      <c r="J5" s="1189">
        <f>Parameters!C17</f>
        <v>2012</v>
      </c>
      <c r="K5" s="2479"/>
      <c r="L5" s="1189">
        <f>Parameters!C19</f>
        <v>2011</v>
      </c>
      <c r="M5" s="955"/>
      <c r="O5" s="1184">
        <f>Parameters!C21</f>
        <v>2010</v>
      </c>
    </row>
    <row r="6" spans="1:20" s="121" customFormat="1" ht="17.100000000000001" customHeight="1" x14ac:dyDescent="0.25">
      <c r="A6" s="118"/>
      <c r="B6" s="73" t="s">
        <v>255</v>
      </c>
      <c r="C6" s="73"/>
      <c r="D6" s="70" t="s">
        <v>255</v>
      </c>
      <c r="E6" s="73"/>
      <c r="F6" s="70" t="s">
        <v>255</v>
      </c>
      <c r="G6" s="119"/>
      <c r="H6" s="2477"/>
      <c r="I6" s="2478"/>
      <c r="J6" s="237" t="s">
        <v>255</v>
      </c>
      <c r="K6" s="237"/>
      <c r="L6" s="237" t="s">
        <v>255</v>
      </c>
      <c r="M6" s="120"/>
      <c r="O6" s="743" t="s">
        <v>255</v>
      </c>
      <c r="Q6" s="73" t="s">
        <v>255</v>
      </c>
      <c r="R6" s="73" t="s">
        <v>255</v>
      </c>
    </row>
    <row r="7" spans="1:20" s="117" customFormat="1" ht="17.100000000000001" customHeight="1" x14ac:dyDescent="0.25">
      <c r="A7" s="122"/>
      <c r="B7" s="139"/>
      <c r="C7" s="139"/>
      <c r="D7" s="138"/>
      <c r="E7" s="107"/>
      <c r="F7" s="138"/>
      <c r="G7" s="123"/>
      <c r="H7" s="2480" t="s">
        <v>246</v>
      </c>
      <c r="I7" s="135"/>
      <c r="J7" s="2481"/>
      <c r="K7" s="208"/>
      <c r="L7" s="2481"/>
      <c r="M7" s="127"/>
      <c r="O7" s="740"/>
    </row>
    <row r="8" spans="1:20" s="117" customFormat="1" ht="17.100000000000001" customHeight="1" x14ac:dyDescent="0.25">
      <c r="A8" s="122"/>
      <c r="B8" s="139"/>
      <c r="C8" s="139"/>
      <c r="D8" s="138"/>
      <c r="E8" s="107"/>
      <c r="F8" s="138"/>
      <c r="G8" s="123"/>
      <c r="H8" s="2482"/>
      <c r="I8" s="135"/>
      <c r="J8" s="2481"/>
      <c r="K8" s="208"/>
      <c r="L8" s="2481"/>
      <c r="M8" s="127"/>
      <c r="O8" s="740"/>
    </row>
    <row r="9" spans="1:20" s="117" customFormat="1" ht="17.100000000000001" customHeight="1" x14ac:dyDescent="0.25">
      <c r="A9" s="122"/>
      <c r="B9" s="130">
        <f>SUM(B10:B19)</f>
        <v>0</v>
      </c>
      <c r="C9" s="141"/>
      <c r="D9" s="128">
        <f>SUM(D10:D19)</f>
        <v>0</v>
      </c>
      <c r="E9" s="129"/>
      <c r="F9" s="128">
        <f>SUM(F10:F19)</f>
        <v>0</v>
      </c>
      <c r="G9" s="123"/>
      <c r="H9" s="2480" t="s">
        <v>400</v>
      </c>
      <c r="I9" s="135"/>
      <c r="J9" s="2483">
        <f>SUM(J10:J19)-1</f>
        <v>19519651.089999996</v>
      </c>
      <c r="K9" s="2484"/>
      <c r="L9" s="2483">
        <f>SUM(L10:L19)</f>
        <v>31594086.052715171</v>
      </c>
      <c r="M9" s="127"/>
      <c r="O9" s="740"/>
    </row>
    <row r="10" spans="1:20" s="117" customFormat="1" ht="17.100000000000001" customHeight="1" x14ac:dyDescent="0.25">
      <c r="A10" s="122"/>
      <c r="B10" s="132">
        <v>0</v>
      </c>
      <c r="C10" s="139"/>
      <c r="D10" s="131">
        <f>'Trial Balance - FPos'!G290</f>
        <v>0</v>
      </c>
      <c r="E10" s="107"/>
      <c r="F10" s="131">
        <v>0</v>
      </c>
      <c r="G10" s="123"/>
      <c r="H10" s="2482" t="s">
        <v>8142</v>
      </c>
      <c r="I10" s="135">
        <v>2</v>
      </c>
      <c r="J10" s="2485">
        <f>'Notes I'!I22</f>
        <v>626830.1</v>
      </c>
      <c r="K10" s="208"/>
      <c r="L10" s="2485">
        <f>'Notes I'!K22</f>
        <v>511904</v>
      </c>
      <c r="M10" s="127"/>
      <c r="O10" s="740">
        <f>'Notes I'!N22</f>
        <v>0</v>
      </c>
      <c r="Q10" s="117">
        <f>J10-L10</f>
        <v>114926.09999999998</v>
      </c>
      <c r="R10" s="117">
        <f>L10-O10</f>
        <v>511904</v>
      </c>
    </row>
    <row r="11" spans="1:20" s="117" customFormat="1" ht="17.100000000000001" customHeight="1" x14ac:dyDescent="0.25">
      <c r="A11" s="122"/>
      <c r="B11" s="134">
        <v>0</v>
      </c>
      <c r="C11" s="139"/>
      <c r="D11" s="133">
        <v>0</v>
      </c>
      <c r="E11" s="107"/>
      <c r="F11" s="133">
        <v>0</v>
      </c>
      <c r="G11" s="123"/>
      <c r="H11" s="2482" t="s">
        <v>8143</v>
      </c>
      <c r="I11" s="135">
        <v>3</v>
      </c>
      <c r="J11" s="2486">
        <f>'Notes I'!I59</f>
        <v>4215670</v>
      </c>
      <c r="K11" s="208"/>
      <c r="L11" s="2486">
        <f>'Notes I'!K59</f>
        <v>4215670</v>
      </c>
      <c r="M11" s="127"/>
      <c r="O11" s="740">
        <f>'Notes I'!N59</f>
        <v>0</v>
      </c>
      <c r="Q11" s="117">
        <f t="shared" ref="Q11:Q19" si="0">J11-L11</f>
        <v>0</v>
      </c>
      <c r="R11" s="117">
        <f t="shared" ref="R11:R18" si="1">L11-O11</f>
        <v>4215670</v>
      </c>
    </row>
    <row r="12" spans="1:20" s="117" customFormat="1" ht="17.100000000000001" customHeight="1" x14ac:dyDescent="0.25">
      <c r="A12" s="122"/>
      <c r="B12" s="134">
        <v>0</v>
      </c>
      <c r="C12" s="139"/>
      <c r="D12" s="133">
        <f>'Trial Balance - FPos'!G57</f>
        <v>0</v>
      </c>
      <c r="E12" s="107"/>
      <c r="F12" s="133">
        <v>0</v>
      </c>
      <c r="G12" s="123"/>
      <c r="H12" s="2482" t="s">
        <v>3969</v>
      </c>
      <c r="I12" s="135">
        <v>4</v>
      </c>
      <c r="J12" s="2486">
        <f>'Notes I'!K110</f>
        <v>862467.0199999999</v>
      </c>
      <c r="K12" s="208"/>
      <c r="L12" s="2486">
        <f>'Notes I'!K127</f>
        <v>5886949.312715169</v>
      </c>
      <c r="M12" s="127"/>
      <c r="O12" s="740">
        <f>2115171+13843842</f>
        <v>15959013</v>
      </c>
      <c r="Q12" s="117">
        <f t="shared" si="0"/>
        <v>-5024482.2927151695</v>
      </c>
      <c r="R12" s="117">
        <f t="shared" si="1"/>
        <v>-10072063.687284831</v>
      </c>
    </row>
    <row r="13" spans="1:20" s="117" customFormat="1" ht="17.100000000000001" customHeight="1" x14ac:dyDescent="0.25">
      <c r="A13" s="122"/>
      <c r="B13" s="134">
        <v>0</v>
      </c>
      <c r="C13" s="139"/>
      <c r="D13" s="133">
        <f>'Trial Balance - FPos'!G65</f>
        <v>0</v>
      </c>
      <c r="E13" s="107"/>
      <c r="F13" s="133">
        <v>0</v>
      </c>
      <c r="G13" s="123"/>
      <c r="H13" s="2482" t="s">
        <v>3970</v>
      </c>
      <c r="I13" s="135">
        <v>5</v>
      </c>
      <c r="J13" s="2486">
        <f>'Notes I'!K444</f>
        <v>360.42999999970198</v>
      </c>
      <c r="K13" s="208"/>
      <c r="L13" s="2486">
        <f>'Notes I'!K465</f>
        <v>4126580.5</v>
      </c>
      <c r="M13" s="127"/>
      <c r="O13" s="740">
        <v>9975141</v>
      </c>
      <c r="Q13" s="117">
        <f t="shared" si="0"/>
        <v>-4126220.0700000003</v>
      </c>
      <c r="R13" s="117">
        <f t="shared" si="1"/>
        <v>-5848560.5</v>
      </c>
    </row>
    <row r="14" spans="1:20" s="117" customFormat="1" ht="17.100000000000001" customHeight="1" x14ac:dyDescent="0.25">
      <c r="A14" s="122"/>
      <c r="B14" s="134"/>
      <c r="C14" s="139"/>
      <c r="D14" s="133">
        <f>'Trial Balance - FPos'!G87</f>
        <v>0</v>
      </c>
      <c r="E14" s="107"/>
      <c r="F14" s="133">
        <v>0</v>
      </c>
      <c r="G14" s="123"/>
      <c r="H14" s="2482" t="s">
        <v>6442</v>
      </c>
      <c r="I14" s="135"/>
      <c r="J14" s="2486">
        <f>SUM('Trial Balance - FPos'!F69:F70,'Trial Balance - FPos'!F73,'Trial Balance - FPos'!F79:F86)</f>
        <v>1158061.5499999998</v>
      </c>
      <c r="K14" s="208"/>
      <c r="L14" s="2486">
        <f>'Trial Balance - FPos'!C87</f>
        <v>1156845.1300000001</v>
      </c>
      <c r="M14" s="127"/>
      <c r="O14" s="740"/>
      <c r="Q14" s="117">
        <f t="shared" si="0"/>
        <v>1216.4199999996927</v>
      </c>
      <c r="R14" s="117">
        <f t="shared" si="1"/>
        <v>1156845.1300000001</v>
      </c>
    </row>
    <row r="15" spans="1:20" s="117" customFormat="1" ht="17.100000000000001" customHeight="1" x14ac:dyDescent="0.25">
      <c r="A15" s="122"/>
      <c r="B15" s="134">
        <v>0</v>
      </c>
      <c r="C15" s="139"/>
      <c r="D15" s="133">
        <f>'Trial Balance - FPos'!G99</f>
        <v>0</v>
      </c>
      <c r="E15" s="107"/>
      <c r="F15" s="133">
        <v>0</v>
      </c>
      <c r="G15" s="123"/>
      <c r="H15" s="2482" t="s">
        <v>1156</v>
      </c>
      <c r="I15" s="135">
        <v>6</v>
      </c>
      <c r="J15" s="2486">
        <f>'Notes I'!I884</f>
        <v>12367667.560000002</v>
      </c>
      <c r="K15" s="208"/>
      <c r="L15" s="2486">
        <f>'Notes I'!K884</f>
        <v>15183263.100000001</v>
      </c>
      <c r="M15" s="127"/>
      <c r="O15" s="740">
        <v>3602921</v>
      </c>
      <c r="Q15" s="117">
        <f t="shared" si="0"/>
        <v>-2815595.5399999991</v>
      </c>
      <c r="R15" s="117">
        <f t="shared" si="1"/>
        <v>11580342.100000001</v>
      </c>
    </row>
    <row r="16" spans="1:20" s="117" customFormat="1" ht="17.100000000000001" customHeight="1" x14ac:dyDescent="0.25">
      <c r="A16" s="122"/>
      <c r="B16" s="134">
        <v>0</v>
      </c>
      <c r="C16" s="139"/>
      <c r="D16" s="133">
        <f>'Trial Balance - FPos'!G29</f>
        <v>0</v>
      </c>
      <c r="E16" s="107"/>
      <c r="F16" s="133">
        <v>0</v>
      </c>
      <c r="G16" s="123"/>
      <c r="H16" s="2482" t="s">
        <v>4217</v>
      </c>
      <c r="I16" s="135">
        <v>7</v>
      </c>
      <c r="J16" s="2487">
        <f>'Notes I'!I898+J45</f>
        <v>288595.42999999691</v>
      </c>
      <c r="K16" s="208"/>
      <c r="L16" s="2487">
        <f>'Notes I'!K898+L45</f>
        <v>512874.01</v>
      </c>
      <c r="M16" s="127"/>
      <c r="O16" s="740">
        <v>289781</v>
      </c>
      <c r="Q16" s="117">
        <f t="shared" si="0"/>
        <v>-224278.5800000031</v>
      </c>
      <c r="R16" s="117">
        <f t="shared" si="1"/>
        <v>223093.01</v>
      </c>
    </row>
    <row r="17" spans="1:18" s="117" customFormat="1" ht="17.100000000000001" hidden="1" customHeight="1" x14ac:dyDescent="0.25">
      <c r="A17" s="122"/>
      <c r="B17" s="134">
        <v>0</v>
      </c>
      <c r="C17" s="139"/>
      <c r="D17" s="133">
        <v>0</v>
      </c>
      <c r="E17" s="107"/>
      <c r="F17" s="133">
        <v>0</v>
      </c>
      <c r="G17" s="123"/>
      <c r="H17" s="2482" t="s">
        <v>4218</v>
      </c>
      <c r="I17" s="135"/>
      <c r="J17" s="2486">
        <f>'Notes I'!I1013</f>
        <v>0</v>
      </c>
      <c r="K17" s="208"/>
      <c r="L17" s="2486">
        <f>'Notes I'!K1013</f>
        <v>0</v>
      </c>
      <c r="M17" s="127"/>
      <c r="O17" s="740">
        <v>0</v>
      </c>
      <c r="Q17" s="117">
        <f t="shared" si="0"/>
        <v>0</v>
      </c>
      <c r="R17" s="117">
        <f t="shared" si="1"/>
        <v>0</v>
      </c>
    </row>
    <row r="18" spans="1:18" s="117" customFormat="1" ht="17.100000000000001" hidden="1" customHeight="1" x14ac:dyDescent="0.25">
      <c r="A18" s="1405"/>
      <c r="B18" s="1406">
        <v>0</v>
      </c>
      <c r="C18" s="1615"/>
      <c r="D18" s="1406">
        <v>0</v>
      </c>
      <c r="E18" s="1407"/>
      <c r="F18" s="1406">
        <v>0</v>
      </c>
      <c r="G18" s="1408"/>
      <c r="H18" s="2482" t="s">
        <v>785</v>
      </c>
      <c r="I18" s="135">
        <v>13</v>
      </c>
      <c r="J18" s="2487">
        <f>'Notes II'!K889</f>
        <v>0</v>
      </c>
      <c r="K18" s="208"/>
      <c r="L18" s="2487">
        <f>'Notes II'!K906</f>
        <v>0</v>
      </c>
      <c r="M18" s="1410"/>
      <c r="O18" s="740">
        <f>'Notes II'!N906</f>
        <v>0</v>
      </c>
      <c r="Q18" s="117">
        <f t="shared" si="0"/>
        <v>0</v>
      </c>
      <c r="R18" s="117">
        <f t="shared" si="1"/>
        <v>0</v>
      </c>
    </row>
    <row r="19" spans="1:18" s="117" customFormat="1" ht="17.100000000000001" hidden="1" customHeight="1" x14ac:dyDescent="0.25">
      <c r="A19" s="122"/>
      <c r="B19" s="137">
        <v>0</v>
      </c>
      <c r="C19" s="139"/>
      <c r="D19" s="136">
        <v>0</v>
      </c>
      <c r="E19" s="107"/>
      <c r="F19" s="136">
        <v>0</v>
      </c>
      <c r="G19" s="123"/>
      <c r="H19" s="2482" t="s">
        <v>442</v>
      </c>
      <c r="I19" s="135"/>
      <c r="J19" s="2487">
        <f>'Notes I'!I1059</f>
        <v>0</v>
      </c>
      <c r="K19" s="208"/>
      <c r="L19" s="2487">
        <f>'Notes I'!K1059</f>
        <v>0</v>
      </c>
      <c r="M19" s="127"/>
      <c r="N19" s="142"/>
      <c r="O19" s="740">
        <v>0</v>
      </c>
      <c r="Q19" s="117">
        <f t="shared" si="0"/>
        <v>0</v>
      </c>
      <c r="R19" s="117">
        <f>L19-O19</f>
        <v>0</v>
      </c>
    </row>
    <row r="20" spans="1:18" s="117" customFormat="1" ht="17.100000000000001" customHeight="1" x14ac:dyDescent="0.25">
      <c r="A20" s="122"/>
      <c r="B20" s="139"/>
      <c r="C20" s="139"/>
      <c r="D20" s="138"/>
      <c r="E20" s="107"/>
      <c r="F20" s="138"/>
      <c r="G20" s="123"/>
      <c r="H20" s="2482"/>
      <c r="I20" s="135"/>
      <c r="J20" s="2481"/>
      <c r="K20" s="208"/>
      <c r="L20" s="2481"/>
      <c r="M20" s="127"/>
      <c r="O20" s="740"/>
    </row>
    <row r="21" spans="1:18" s="117" customFormat="1" ht="17.100000000000001" customHeight="1" x14ac:dyDescent="0.25">
      <c r="A21" s="122"/>
      <c r="B21" s="141">
        <f>SUM(B22:B30)</f>
        <v>0</v>
      </c>
      <c r="C21" s="141"/>
      <c r="D21" s="140">
        <f>SUM(D22:D30)</f>
        <v>0</v>
      </c>
      <c r="E21" s="129"/>
      <c r="F21" s="140">
        <f>SUM(F22:F30)</f>
        <v>0</v>
      </c>
      <c r="G21" s="123"/>
      <c r="H21" s="2480" t="s">
        <v>397</v>
      </c>
      <c r="I21" s="135"/>
      <c r="J21" s="2488">
        <f>SUM(J22:J30)</f>
        <v>329648004.31999987</v>
      </c>
      <c r="K21" s="2484"/>
      <c r="L21" s="2488">
        <f>SUM(L22:L30)</f>
        <v>331187072.56</v>
      </c>
      <c r="M21" s="127"/>
      <c r="O21" s="740"/>
    </row>
    <row r="22" spans="1:18" s="117" customFormat="1" ht="17.100000000000001" customHeight="1" x14ac:dyDescent="0.25">
      <c r="A22" s="122"/>
      <c r="B22" s="132">
        <v>0</v>
      </c>
      <c r="C22" s="139"/>
      <c r="D22" s="131">
        <v>0</v>
      </c>
      <c r="E22" s="107"/>
      <c r="F22" s="131">
        <v>0</v>
      </c>
      <c r="G22" s="123"/>
      <c r="H22" s="2482" t="s">
        <v>398</v>
      </c>
      <c r="I22" s="135">
        <v>8</v>
      </c>
      <c r="J22" s="2485">
        <f>'PPE Note'!K65</f>
        <v>308051336.42999989</v>
      </c>
      <c r="K22" s="208"/>
      <c r="L22" s="2485">
        <f>'PPE Note'!K136</f>
        <v>309452918.97000003</v>
      </c>
      <c r="M22" s="127"/>
      <c r="O22" s="740">
        <v>168770562</v>
      </c>
      <c r="Q22" s="117">
        <f t="shared" ref="Q22:Q30" si="2">J22-L22</f>
        <v>-1401582.5400001407</v>
      </c>
      <c r="R22" s="117">
        <f t="shared" ref="R22:R30" si="3">L22-O22</f>
        <v>140682356.97000003</v>
      </c>
    </row>
    <row r="23" spans="1:18" s="117" customFormat="1" ht="17.100000000000001" customHeight="1" x14ac:dyDescent="0.25">
      <c r="A23" s="122"/>
      <c r="B23" s="134">
        <v>0</v>
      </c>
      <c r="C23" s="139"/>
      <c r="D23" s="133">
        <v>0</v>
      </c>
      <c r="E23" s="107"/>
      <c r="F23" s="133">
        <v>0</v>
      </c>
      <c r="G23" s="123"/>
      <c r="H23" s="2482" t="s">
        <v>733</v>
      </c>
      <c r="I23" s="135">
        <v>9</v>
      </c>
      <c r="J23" s="2486">
        <f>'Notes II'!I159</f>
        <v>534123.09</v>
      </c>
      <c r="K23" s="208"/>
      <c r="L23" s="2486">
        <f>'Notes II'!K159</f>
        <v>534123.09</v>
      </c>
      <c r="M23" s="127"/>
      <c r="O23" s="740">
        <v>0</v>
      </c>
      <c r="Q23" s="117">
        <f t="shared" si="2"/>
        <v>0</v>
      </c>
      <c r="R23" s="117">
        <f t="shared" si="3"/>
        <v>534123.09</v>
      </c>
    </row>
    <row r="24" spans="1:18" s="117" customFormat="1" ht="17.100000000000001" customHeight="1" x14ac:dyDescent="0.25">
      <c r="A24" s="122"/>
      <c r="B24" s="134">
        <v>0</v>
      </c>
      <c r="C24" s="139"/>
      <c r="D24" s="133">
        <v>0</v>
      </c>
      <c r="E24" s="107"/>
      <c r="F24" s="133">
        <v>0</v>
      </c>
      <c r="G24" s="123"/>
      <c r="H24" s="2482" t="s">
        <v>441</v>
      </c>
      <c r="I24" s="135">
        <v>10</v>
      </c>
      <c r="J24" s="2486">
        <f>'Notes II'!I375</f>
        <v>20519205</v>
      </c>
      <c r="K24" s="208"/>
      <c r="L24" s="2486">
        <f>'Notes II'!K375</f>
        <v>20519205</v>
      </c>
      <c r="M24" s="127"/>
      <c r="O24" s="740">
        <v>880853</v>
      </c>
      <c r="Q24" s="117">
        <f t="shared" si="2"/>
        <v>0</v>
      </c>
      <c r="R24" s="117">
        <f t="shared" si="3"/>
        <v>19638352</v>
      </c>
    </row>
    <row r="25" spans="1:18" s="117" customFormat="1" ht="17.100000000000001" hidden="1" customHeight="1" x14ac:dyDescent="0.25">
      <c r="A25" s="122"/>
      <c r="B25" s="134">
        <v>0</v>
      </c>
      <c r="C25" s="139"/>
      <c r="D25" s="133">
        <v>0</v>
      </c>
      <c r="E25" s="107"/>
      <c r="F25" s="133">
        <v>0</v>
      </c>
      <c r="G25" s="123"/>
      <c r="H25" s="2482" t="s">
        <v>78</v>
      </c>
      <c r="I25" s="135">
        <v>10</v>
      </c>
      <c r="J25" s="2486">
        <f>'Notes II'!I438</f>
        <v>0</v>
      </c>
      <c r="K25" s="208"/>
      <c r="L25" s="2486">
        <f>'Notes II'!K438</f>
        <v>0</v>
      </c>
      <c r="M25" s="127"/>
      <c r="O25" s="740">
        <v>0</v>
      </c>
      <c r="Q25" s="117">
        <f t="shared" ref="Q25" si="4">J25-L25</f>
        <v>0</v>
      </c>
      <c r="R25" s="117">
        <f>L25-O25</f>
        <v>0</v>
      </c>
    </row>
    <row r="26" spans="1:18" s="117" customFormat="1" ht="17.100000000000001" customHeight="1" x14ac:dyDescent="0.25">
      <c r="A26" s="1405"/>
      <c r="B26" s="1406">
        <v>0</v>
      </c>
      <c r="C26" s="1615"/>
      <c r="D26" s="1406">
        <v>0</v>
      </c>
      <c r="E26" s="1407"/>
      <c r="F26" s="1406">
        <v>0</v>
      </c>
      <c r="G26" s="123"/>
      <c r="H26" s="2482" t="s">
        <v>1627</v>
      </c>
      <c r="I26" s="135">
        <v>11</v>
      </c>
      <c r="J26" s="2486">
        <f>'Notes II'!I601</f>
        <v>430680</v>
      </c>
      <c r="K26" s="208"/>
      <c r="L26" s="2486">
        <f>'Notes II'!K601</f>
        <v>585000</v>
      </c>
      <c r="M26" s="127"/>
      <c r="O26" s="740">
        <v>564900</v>
      </c>
      <c r="Q26" s="117">
        <f t="shared" si="2"/>
        <v>-154320</v>
      </c>
      <c r="R26" s="117">
        <f t="shared" si="3"/>
        <v>20100</v>
      </c>
    </row>
    <row r="27" spans="1:18" s="117" customFormat="1" ht="17.100000000000001" customHeight="1" x14ac:dyDescent="0.25">
      <c r="A27" s="1405"/>
      <c r="B27" s="1406">
        <v>0</v>
      </c>
      <c r="C27" s="1615"/>
      <c r="D27" s="1406">
        <v>0</v>
      </c>
      <c r="E27" s="1407"/>
      <c r="F27" s="1406">
        <v>0</v>
      </c>
      <c r="G27" s="123"/>
      <c r="H27" s="2482" t="s">
        <v>1450</v>
      </c>
      <c r="I27" s="135">
        <v>12</v>
      </c>
      <c r="J27" s="2487">
        <f>'Notes II'!I761</f>
        <v>112659.79999999999</v>
      </c>
      <c r="K27" s="208"/>
      <c r="L27" s="2487">
        <f>'Notes II'!K761</f>
        <v>95825.5</v>
      </c>
      <c r="M27" s="127"/>
      <c r="O27" s="740">
        <f>'Notes II'!N761</f>
        <v>0</v>
      </c>
      <c r="Q27" s="117">
        <f t="shared" si="2"/>
        <v>16834.299999999988</v>
      </c>
      <c r="R27" s="117">
        <f t="shared" si="3"/>
        <v>95825.5</v>
      </c>
    </row>
    <row r="28" spans="1:18" s="117" customFormat="1" ht="17.100000000000001" hidden="1" customHeight="1" x14ac:dyDescent="0.25">
      <c r="A28" s="1405"/>
      <c r="B28" s="1406">
        <v>0</v>
      </c>
      <c r="C28" s="1615"/>
      <c r="D28" s="1406">
        <v>0</v>
      </c>
      <c r="E28" s="1407"/>
      <c r="F28" s="1406">
        <v>0</v>
      </c>
      <c r="G28" s="123"/>
      <c r="H28" s="2482" t="s">
        <v>782</v>
      </c>
      <c r="I28" s="135"/>
      <c r="J28" s="2486">
        <f>'Notes II'!I850</f>
        <v>0</v>
      </c>
      <c r="K28" s="208"/>
      <c r="L28" s="2486">
        <f>'Notes II'!K850</f>
        <v>0</v>
      </c>
      <c r="M28" s="127"/>
      <c r="O28" s="740">
        <f>'Notes II'!N850</f>
        <v>0</v>
      </c>
      <c r="Q28" s="117">
        <f t="shared" si="2"/>
        <v>0</v>
      </c>
      <c r="R28" s="117">
        <f t="shared" si="3"/>
        <v>0</v>
      </c>
    </row>
    <row r="29" spans="1:18" s="117" customFormat="1" ht="17.100000000000001" hidden="1" customHeight="1" x14ac:dyDescent="0.25">
      <c r="A29" s="1405"/>
      <c r="B29" s="1406">
        <v>0</v>
      </c>
      <c r="C29" s="1615"/>
      <c r="D29" s="1406">
        <v>0</v>
      </c>
      <c r="E29" s="1407"/>
      <c r="F29" s="1406">
        <v>0</v>
      </c>
      <c r="G29" s="123"/>
      <c r="H29" s="2482" t="s">
        <v>783</v>
      </c>
      <c r="I29" s="135">
        <v>13</v>
      </c>
      <c r="J29" s="2486">
        <f>'Notes II'!K894</f>
        <v>0</v>
      </c>
      <c r="K29" s="208"/>
      <c r="L29" s="2486">
        <f>'Notes II'!K911</f>
        <v>0</v>
      </c>
      <c r="M29" s="127"/>
      <c r="O29" s="740">
        <f>'Notes II'!N911</f>
        <v>0</v>
      </c>
      <c r="Q29" s="117">
        <f t="shared" si="2"/>
        <v>0</v>
      </c>
      <c r="R29" s="117">
        <f t="shared" si="3"/>
        <v>0</v>
      </c>
    </row>
    <row r="30" spans="1:18" s="117" customFormat="1" ht="17.100000000000001" hidden="1" customHeight="1" x14ac:dyDescent="0.25">
      <c r="A30" s="122"/>
      <c r="B30" s="137">
        <v>0</v>
      </c>
      <c r="C30" s="139"/>
      <c r="D30" s="136">
        <v>0</v>
      </c>
      <c r="E30" s="107"/>
      <c r="F30" s="136">
        <v>0</v>
      </c>
      <c r="G30" s="123"/>
      <c r="H30" s="2482" t="s">
        <v>399</v>
      </c>
      <c r="I30" s="135">
        <v>14</v>
      </c>
      <c r="J30" s="2487">
        <f>'Notes II'!K983</f>
        <v>0</v>
      </c>
      <c r="K30" s="208"/>
      <c r="L30" s="2487">
        <f>'Notes II'!K1007</f>
        <v>0</v>
      </c>
      <c r="M30" s="127"/>
      <c r="N30" s="142"/>
      <c r="O30" s="740">
        <v>0</v>
      </c>
      <c r="Q30" s="117">
        <f t="shared" si="2"/>
        <v>0</v>
      </c>
      <c r="R30" s="117">
        <f t="shared" si="3"/>
        <v>0</v>
      </c>
    </row>
    <row r="31" spans="1:18" s="117" customFormat="1" ht="17.100000000000001" customHeight="1" x14ac:dyDescent="0.25">
      <c r="A31" s="122"/>
      <c r="B31" s="139"/>
      <c r="C31" s="139"/>
      <c r="D31" s="138"/>
      <c r="E31" s="107"/>
      <c r="F31" s="138"/>
      <c r="G31" s="123"/>
      <c r="H31" s="2482"/>
      <c r="I31" s="135"/>
      <c r="J31" s="2481"/>
      <c r="K31" s="208"/>
      <c r="L31" s="2481"/>
      <c r="M31" s="127"/>
      <c r="O31" s="740"/>
    </row>
    <row r="32" spans="1:18" s="117" customFormat="1" ht="17.100000000000001" customHeight="1" thickBot="1" x14ac:dyDescent="0.3">
      <c r="A32" s="122"/>
      <c r="B32" s="146">
        <f>+B9+B21</f>
        <v>0</v>
      </c>
      <c r="C32" s="141"/>
      <c r="D32" s="145">
        <f>+D9+D21</f>
        <v>0</v>
      </c>
      <c r="E32" s="129"/>
      <c r="F32" s="145">
        <f>+F9+F21</f>
        <v>0</v>
      </c>
      <c r="G32" s="123"/>
      <c r="H32" s="2480" t="s">
        <v>64</v>
      </c>
      <c r="I32" s="135"/>
      <c r="J32" s="2489">
        <f>+J9+J21</f>
        <v>349167655.40999985</v>
      </c>
      <c r="K32" s="2484"/>
      <c r="L32" s="2489">
        <f>+L9+L21</f>
        <v>362781158.61271518</v>
      </c>
      <c r="M32" s="127"/>
      <c r="O32" s="742">
        <f>SUM(O9:O31)</f>
        <v>200043171</v>
      </c>
      <c r="Q32" s="742">
        <f>SUM(Q9:Q31)</f>
        <v>-13613502.202715313</v>
      </c>
      <c r="R32" s="742">
        <f>SUM(R9:R31)</f>
        <v>162737987.61271521</v>
      </c>
    </row>
    <row r="33" spans="1:18" s="117" customFormat="1" ht="17.100000000000001" customHeight="1" thickTop="1" x14ac:dyDescent="0.25">
      <c r="A33" s="122"/>
      <c r="B33" s="139"/>
      <c r="C33" s="139"/>
      <c r="D33" s="138"/>
      <c r="E33" s="107"/>
      <c r="F33" s="138"/>
      <c r="G33" s="123"/>
      <c r="H33" s="2482"/>
      <c r="I33" s="135"/>
      <c r="J33" s="2481"/>
      <c r="K33" s="208"/>
      <c r="L33" s="2481"/>
      <c r="M33" s="127"/>
      <c r="O33" s="740"/>
    </row>
    <row r="34" spans="1:18" s="117" customFormat="1" ht="17.100000000000001" customHeight="1" x14ac:dyDescent="0.25">
      <c r="A34" s="122"/>
      <c r="B34" s="126"/>
      <c r="C34" s="126"/>
      <c r="D34" s="124"/>
      <c r="E34" s="107"/>
      <c r="F34" s="124"/>
      <c r="G34" s="123"/>
      <c r="H34" s="2480" t="s">
        <v>1451</v>
      </c>
      <c r="I34" s="2482"/>
      <c r="J34" s="2490"/>
      <c r="K34" s="208"/>
      <c r="L34" s="2490"/>
      <c r="M34" s="127"/>
      <c r="O34" s="740"/>
    </row>
    <row r="35" spans="1:18" s="117" customFormat="1" ht="17.100000000000001" customHeight="1" x14ac:dyDescent="0.2">
      <c r="A35" s="122"/>
      <c r="B35" s="126"/>
      <c r="C35" s="126"/>
      <c r="D35" s="124"/>
      <c r="E35" s="107"/>
      <c r="F35" s="124"/>
      <c r="G35" s="123"/>
      <c r="H35" s="2482"/>
      <c r="I35" s="2482"/>
      <c r="J35" s="2490"/>
      <c r="K35" s="208"/>
      <c r="L35" s="2490"/>
      <c r="M35" s="127"/>
      <c r="O35" s="740"/>
    </row>
    <row r="36" spans="1:18" s="117" customFormat="1" ht="17.100000000000001" customHeight="1" x14ac:dyDescent="0.25">
      <c r="A36" s="122"/>
      <c r="B36" s="130">
        <f>SUM(B37:B46)</f>
        <v>0</v>
      </c>
      <c r="C36" s="141"/>
      <c r="D36" s="128">
        <f>SUM(D37:D46)</f>
        <v>0</v>
      </c>
      <c r="E36" s="129"/>
      <c r="F36" s="128">
        <f>SUM(F37:F46)</f>
        <v>0</v>
      </c>
      <c r="G36" s="123"/>
      <c r="H36" s="2480" t="s">
        <v>392</v>
      </c>
      <c r="I36" s="135"/>
      <c r="J36" s="2483">
        <f>SUM(J37:J46)</f>
        <v>32726430.079999983</v>
      </c>
      <c r="K36" s="2484"/>
      <c r="L36" s="2483">
        <f>SUM(L37:L46)</f>
        <v>34388286.649999999</v>
      </c>
      <c r="M36" s="127"/>
      <c r="O36" s="740"/>
    </row>
    <row r="37" spans="1:18" s="117" customFormat="1" ht="17.100000000000001" customHeight="1" x14ac:dyDescent="0.25">
      <c r="A37" s="122"/>
      <c r="B37" s="132">
        <v>0</v>
      </c>
      <c r="C37" s="139"/>
      <c r="D37" s="131">
        <v>0</v>
      </c>
      <c r="E37" s="107"/>
      <c r="F37" s="131">
        <v>0</v>
      </c>
      <c r="G37" s="123"/>
      <c r="H37" s="2482" t="s">
        <v>393</v>
      </c>
      <c r="I37" s="135">
        <v>13</v>
      </c>
      <c r="J37" s="2485">
        <f>+'Notes II'!I1085</f>
        <v>164402.49</v>
      </c>
      <c r="K37" s="208"/>
      <c r="L37" s="2485">
        <f>+'Notes II'!K1085</f>
        <v>163971.03999999998</v>
      </c>
      <c r="M37" s="127"/>
      <c r="O37" s="740">
        <v>141708</v>
      </c>
      <c r="Q37" s="117">
        <f t="shared" ref="Q37:Q46" si="5">J37-L37</f>
        <v>431.45000000001164</v>
      </c>
      <c r="R37" s="117">
        <f t="shared" ref="R37:R46" si="6">L37-O37</f>
        <v>22263.039999999979</v>
      </c>
    </row>
    <row r="38" spans="1:18" s="117" customFormat="1" ht="17.100000000000001" customHeight="1" x14ac:dyDescent="0.25">
      <c r="A38" s="122"/>
      <c r="B38" s="134">
        <v>0</v>
      </c>
      <c r="C38" s="139"/>
      <c r="D38" s="133">
        <v>0</v>
      </c>
      <c r="E38" s="107"/>
      <c r="F38" s="133">
        <v>0</v>
      </c>
      <c r="G38" s="123"/>
      <c r="H38" s="2482" t="s">
        <v>232</v>
      </c>
      <c r="I38" s="135">
        <v>14</v>
      </c>
      <c r="J38" s="2486">
        <f>'Notes II'!I1109</f>
        <v>0</v>
      </c>
      <c r="K38" s="208"/>
      <c r="L38" s="2486">
        <f>'Notes II'!K1109</f>
        <v>0</v>
      </c>
      <c r="M38" s="127"/>
      <c r="O38" s="740">
        <v>385949</v>
      </c>
      <c r="Q38" s="117">
        <f t="shared" si="5"/>
        <v>0</v>
      </c>
      <c r="R38" s="117">
        <f t="shared" si="6"/>
        <v>-385949</v>
      </c>
    </row>
    <row r="39" spans="1:18" s="117" customFormat="1" ht="17.100000000000001" customHeight="1" x14ac:dyDescent="0.25">
      <c r="A39" s="122"/>
      <c r="B39" s="134">
        <v>0</v>
      </c>
      <c r="C39" s="139"/>
      <c r="D39" s="133">
        <v>0</v>
      </c>
      <c r="E39" s="107"/>
      <c r="F39" s="133">
        <v>0</v>
      </c>
      <c r="G39" s="123"/>
      <c r="H39" s="2482" t="s">
        <v>1873</v>
      </c>
      <c r="I39" s="135">
        <v>15</v>
      </c>
      <c r="J39" s="2486">
        <f>+'Notes II'!I1171</f>
        <v>16068867.309999986</v>
      </c>
      <c r="K39" s="208"/>
      <c r="L39" s="2486">
        <f>+'Notes II'!K1171</f>
        <v>18909435.870000001</v>
      </c>
      <c r="M39" s="127"/>
      <c r="O39" s="740">
        <v>16179288</v>
      </c>
      <c r="Q39" s="117">
        <f t="shared" si="5"/>
        <v>-2840568.5600000154</v>
      </c>
      <c r="R39" s="117">
        <f t="shared" si="6"/>
        <v>2730147.870000001</v>
      </c>
    </row>
    <row r="40" spans="1:18" s="117" customFormat="1" ht="17.100000000000001" customHeight="1" x14ac:dyDescent="0.25">
      <c r="A40" s="122"/>
      <c r="B40" s="134">
        <v>0</v>
      </c>
      <c r="C40" s="139"/>
      <c r="D40" s="133">
        <v>0</v>
      </c>
      <c r="E40" s="107"/>
      <c r="F40" s="133">
        <v>0</v>
      </c>
      <c r="G40" s="123"/>
      <c r="H40" s="2482" t="s">
        <v>394</v>
      </c>
      <c r="I40" s="135">
        <v>16</v>
      </c>
      <c r="J40" s="2486">
        <f>+'Notes II'!I1313</f>
        <v>12080659.279999999</v>
      </c>
      <c r="K40" s="208"/>
      <c r="L40" s="2486">
        <f>+'Notes II'!K1313</f>
        <v>12487502.699999999</v>
      </c>
      <c r="M40" s="127"/>
      <c r="N40" s="142"/>
      <c r="O40" s="740">
        <v>10688892</v>
      </c>
      <c r="Q40" s="117">
        <f t="shared" si="5"/>
        <v>-406843.41999999993</v>
      </c>
      <c r="R40" s="117">
        <f t="shared" si="6"/>
        <v>1798610.6999999993</v>
      </c>
    </row>
    <row r="41" spans="1:18" s="117" customFormat="1" ht="17.100000000000001" hidden="1" customHeight="1" x14ac:dyDescent="0.25">
      <c r="A41" s="1405"/>
      <c r="B41" s="1406">
        <v>0</v>
      </c>
      <c r="C41" s="1615"/>
      <c r="D41" s="1406">
        <v>0</v>
      </c>
      <c r="E41" s="1407"/>
      <c r="F41" s="1406">
        <v>0</v>
      </c>
      <c r="G41" s="123"/>
      <c r="H41" s="2482" t="s">
        <v>1164</v>
      </c>
      <c r="I41" s="135">
        <v>5</v>
      </c>
      <c r="J41" s="2486">
        <v>0</v>
      </c>
      <c r="K41" s="208"/>
      <c r="L41" s="2486">
        <f>'Notes II'!K1332</f>
        <v>0</v>
      </c>
      <c r="M41" s="127"/>
      <c r="N41" s="142"/>
      <c r="O41" s="740">
        <f>'Notes II'!N1332</f>
        <v>0</v>
      </c>
      <c r="Q41" s="117">
        <f t="shared" si="5"/>
        <v>0</v>
      </c>
      <c r="R41" s="117">
        <f t="shared" si="6"/>
        <v>0</v>
      </c>
    </row>
    <row r="42" spans="1:18" s="117" customFormat="1" ht="17.100000000000001" hidden="1" customHeight="1" x14ac:dyDescent="0.25">
      <c r="A42" s="1405"/>
      <c r="B42" s="1406">
        <v>0</v>
      </c>
      <c r="C42" s="1615"/>
      <c r="D42" s="1406">
        <v>0</v>
      </c>
      <c r="E42" s="1407"/>
      <c r="F42" s="1406">
        <v>0</v>
      </c>
      <c r="G42" s="123"/>
      <c r="H42" s="2482" t="s">
        <v>333</v>
      </c>
      <c r="I42" s="135">
        <v>18</v>
      </c>
      <c r="J42" s="2486">
        <f>'Notes II'!I1344</f>
        <v>0</v>
      </c>
      <c r="K42" s="208"/>
      <c r="L42" s="2486">
        <f>'Notes II'!K1344</f>
        <v>0</v>
      </c>
      <c r="M42" s="127"/>
      <c r="N42" s="142"/>
      <c r="O42" s="740">
        <f>'Notes II'!N1344</f>
        <v>0</v>
      </c>
      <c r="Q42" s="117">
        <f t="shared" si="5"/>
        <v>0</v>
      </c>
      <c r="R42" s="117">
        <f t="shared" si="6"/>
        <v>0</v>
      </c>
    </row>
    <row r="43" spans="1:18" s="117" customFormat="1" ht="17.100000000000001" hidden="1" customHeight="1" x14ac:dyDescent="0.25">
      <c r="A43" s="1405"/>
      <c r="B43" s="1406">
        <v>0</v>
      </c>
      <c r="C43" s="1615"/>
      <c r="D43" s="1406">
        <v>0</v>
      </c>
      <c r="E43" s="1407"/>
      <c r="F43" s="1406">
        <v>0</v>
      </c>
      <c r="G43" s="123"/>
      <c r="H43" s="2482" t="s">
        <v>4220</v>
      </c>
      <c r="I43" s="135"/>
      <c r="J43" s="2486">
        <f>'Notes II'!I1358</f>
        <v>-5.8207660913467407E-11</v>
      </c>
      <c r="K43" s="208"/>
      <c r="L43" s="2486">
        <f>'Notes II'!K1358</f>
        <v>0</v>
      </c>
      <c r="M43" s="127"/>
      <c r="N43" s="142"/>
      <c r="O43" s="740">
        <f>'Notes II'!N1358</f>
        <v>0</v>
      </c>
      <c r="Q43" s="117">
        <f t="shared" si="5"/>
        <v>-5.8207660913467407E-11</v>
      </c>
      <c r="R43" s="117">
        <f t="shared" si="6"/>
        <v>0</v>
      </c>
    </row>
    <row r="44" spans="1:18" s="117" customFormat="1" ht="17.100000000000001" hidden="1" customHeight="1" x14ac:dyDescent="0.25">
      <c r="A44" s="1405"/>
      <c r="B44" s="1406">
        <v>0</v>
      </c>
      <c r="C44" s="1615"/>
      <c r="D44" s="1406">
        <v>0</v>
      </c>
      <c r="E44" s="1407"/>
      <c r="F44" s="1406">
        <v>0</v>
      </c>
      <c r="G44" s="123"/>
      <c r="H44" s="2482" t="s">
        <v>781</v>
      </c>
      <c r="I44" s="135"/>
      <c r="J44" s="2486">
        <f>-'Notes I'!I61</f>
        <v>0</v>
      </c>
      <c r="K44" s="208"/>
      <c r="L44" s="2486">
        <f>-'Notes I'!K61</f>
        <v>0</v>
      </c>
      <c r="M44" s="127"/>
      <c r="N44" s="142"/>
      <c r="O44" s="740">
        <f>-'Notes I'!N61</f>
        <v>0</v>
      </c>
      <c r="Q44" s="117">
        <f t="shared" si="5"/>
        <v>0</v>
      </c>
      <c r="R44" s="117">
        <f t="shared" si="6"/>
        <v>0</v>
      </c>
    </row>
    <row r="45" spans="1:18" s="117" customFormat="1" ht="17.100000000000001" customHeight="1" x14ac:dyDescent="0.25">
      <c r="A45" s="1405"/>
      <c r="B45" s="1406">
        <v>0</v>
      </c>
      <c r="C45" s="1615"/>
      <c r="D45" s="1406">
        <v>0</v>
      </c>
      <c r="E45" s="1407"/>
      <c r="F45" s="1406">
        <v>0</v>
      </c>
      <c r="G45" s="123"/>
      <c r="H45" s="2482" t="s">
        <v>395</v>
      </c>
      <c r="I45" s="135">
        <v>7</v>
      </c>
      <c r="J45" s="2486">
        <f>-'Notes I'!I895</f>
        <v>3915357</v>
      </c>
      <c r="K45" s="208"/>
      <c r="L45" s="2486">
        <f>-'Notes I'!K895</f>
        <v>2065666.0399999998</v>
      </c>
      <c r="M45" s="127"/>
      <c r="N45" s="142">
        <f>J45-J16</f>
        <v>3626761.5700000031</v>
      </c>
      <c r="O45" s="740">
        <v>1262139</v>
      </c>
      <c r="Q45" s="117">
        <f t="shared" si="5"/>
        <v>1849690.9600000002</v>
      </c>
      <c r="R45" s="117">
        <f t="shared" si="6"/>
        <v>803527.0399999998</v>
      </c>
    </row>
    <row r="46" spans="1:18" s="117" customFormat="1" ht="17.100000000000001" customHeight="1" x14ac:dyDescent="0.25">
      <c r="A46" s="1405"/>
      <c r="B46" s="1411">
        <v>0</v>
      </c>
      <c r="C46" s="1615"/>
      <c r="D46" s="1411">
        <v>0</v>
      </c>
      <c r="E46" s="1407"/>
      <c r="F46" s="1411">
        <v>0</v>
      </c>
      <c r="G46" s="123"/>
      <c r="H46" s="2482" t="s">
        <v>396</v>
      </c>
      <c r="I46" s="135">
        <v>17</v>
      </c>
      <c r="J46" s="2487">
        <f>+'Notes II'!I1427</f>
        <v>497144</v>
      </c>
      <c r="K46" s="208"/>
      <c r="L46" s="2487">
        <f>+'Notes II'!K1427</f>
        <v>761711</v>
      </c>
      <c r="M46" s="127"/>
      <c r="N46" s="117">
        <f>L45-L16</f>
        <v>1552792.0299999998</v>
      </c>
      <c r="O46" s="740">
        <v>575744</v>
      </c>
      <c r="Q46" s="117">
        <f t="shared" si="5"/>
        <v>-264567</v>
      </c>
      <c r="R46" s="117">
        <f t="shared" si="6"/>
        <v>185967</v>
      </c>
    </row>
    <row r="47" spans="1:18" s="117" customFormat="1" ht="17.100000000000001" customHeight="1" x14ac:dyDescent="0.25">
      <c r="A47" s="122"/>
      <c r="B47" s="966"/>
      <c r="C47" s="139"/>
      <c r="D47" s="965"/>
      <c r="E47" s="107"/>
      <c r="F47" s="965"/>
      <c r="G47" s="123"/>
      <c r="H47" s="2482"/>
      <c r="I47" s="135"/>
      <c r="J47" s="2491"/>
      <c r="K47" s="208"/>
      <c r="L47" s="2491"/>
      <c r="M47" s="127"/>
      <c r="O47" s="740"/>
    </row>
    <row r="48" spans="1:18" s="117" customFormat="1" ht="17.100000000000001" customHeight="1" x14ac:dyDescent="0.25">
      <c r="A48" s="122"/>
      <c r="B48" s="130">
        <f>SUM(B49:B51)</f>
        <v>0</v>
      </c>
      <c r="C48" s="141"/>
      <c r="D48" s="128">
        <f>SUM(D49:D51)</f>
        <v>0</v>
      </c>
      <c r="E48" s="129"/>
      <c r="F48" s="128">
        <f>SUM(F49:F51)</f>
        <v>0</v>
      </c>
      <c r="G48" s="123"/>
      <c r="H48" s="2480" t="s">
        <v>389</v>
      </c>
      <c r="I48" s="135"/>
      <c r="J48" s="2483">
        <f>SUM(J49:J51)</f>
        <v>30263893.849999998</v>
      </c>
      <c r="K48" s="2484"/>
      <c r="L48" s="2483">
        <f>SUM(L49:L51)</f>
        <v>25175006.439999998</v>
      </c>
      <c r="M48" s="127"/>
      <c r="O48" s="740"/>
    </row>
    <row r="49" spans="1:18" s="117" customFormat="1" ht="17.100000000000001" customHeight="1" x14ac:dyDescent="0.25">
      <c r="A49" s="1405"/>
      <c r="B49" s="1412">
        <v>0</v>
      </c>
      <c r="C49" s="1615"/>
      <c r="D49" s="1412">
        <v>0</v>
      </c>
      <c r="E49" s="1407"/>
      <c r="F49" s="1412">
        <v>0</v>
      </c>
      <c r="G49" s="123"/>
      <c r="H49" s="2482" t="s">
        <v>390</v>
      </c>
      <c r="I49" s="135">
        <v>17</v>
      </c>
      <c r="J49" s="2485">
        <f>+'Notes II'!I1435</f>
        <v>13213949.029999997</v>
      </c>
      <c r="K49" s="208"/>
      <c r="L49" s="2485">
        <f>+'Notes II'!K1435</f>
        <v>9611997.6199999992</v>
      </c>
      <c r="M49" s="127"/>
      <c r="O49" s="740">
        <v>1622137</v>
      </c>
      <c r="Q49" s="117">
        <f>J49-L49</f>
        <v>3601951.4099999983</v>
      </c>
      <c r="R49" s="117">
        <f>L49-O49</f>
        <v>7989860.6199999992</v>
      </c>
    </row>
    <row r="50" spans="1:18" s="117" customFormat="1" ht="17.100000000000001" hidden="1" customHeight="1" x14ac:dyDescent="0.25">
      <c r="A50" s="122"/>
      <c r="B50" s="134">
        <v>0</v>
      </c>
      <c r="C50" s="139"/>
      <c r="D50" s="133">
        <v>0</v>
      </c>
      <c r="E50" s="107"/>
      <c r="F50" s="133">
        <v>0</v>
      </c>
      <c r="G50" s="123"/>
      <c r="H50" s="2482" t="s">
        <v>780</v>
      </c>
      <c r="I50" s="135">
        <v>17</v>
      </c>
      <c r="J50" s="2486">
        <f>'Notes II'!I1542</f>
        <v>0</v>
      </c>
      <c r="K50" s="208"/>
      <c r="L50" s="2486">
        <f>'Notes II'!K1542</f>
        <v>0</v>
      </c>
      <c r="M50" s="127"/>
      <c r="O50" s="740">
        <f>'Notes II'!N1542</f>
        <v>0</v>
      </c>
      <c r="Q50" s="117">
        <f>J50-L50</f>
        <v>0</v>
      </c>
      <c r="R50" s="117">
        <f>L50-O50</f>
        <v>0</v>
      </c>
    </row>
    <row r="51" spans="1:18" s="117" customFormat="1" ht="17.100000000000001" customHeight="1" x14ac:dyDescent="0.25">
      <c r="A51" s="122"/>
      <c r="B51" s="137">
        <v>0</v>
      </c>
      <c r="C51" s="139"/>
      <c r="D51" s="136">
        <v>0</v>
      </c>
      <c r="E51" s="107"/>
      <c r="F51" s="136">
        <v>0</v>
      </c>
      <c r="G51" s="123"/>
      <c r="H51" s="2482" t="s">
        <v>391</v>
      </c>
      <c r="I51" s="135">
        <v>18</v>
      </c>
      <c r="J51" s="2487">
        <f>+'Notes II'!I1698</f>
        <v>17049944.82</v>
      </c>
      <c r="K51" s="208"/>
      <c r="L51" s="2487">
        <f>+'Notes II'!K1698</f>
        <v>15563008.82</v>
      </c>
      <c r="M51" s="127"/>
      <c r="O51" s="740">
        <v>3196176</v>
      </c>
      <c r="Q51" s="117">
        <f>J51-L51</f>
        <v>1486936</v>
      </c>
      <c r="R51" s="117">
        <f>L51-O51</f>
        <v>12366832.82</v>
      </c>
    </row>
    <row r="52" spans="1:18" s="117" customFormat="1" ht="17.100000000000001" customHeight="1" x14ac:dyDescent="0.25">
      <c r="A52" s="122"/>
      <c r="B52" s="144"/>
      <c r="C52" s="144"/>
      <c r="D52" s="143"/>
      <c r="E52" s="107"/>
      <c r="F52" s="143"/>
      <c r="G52" s="123"/>
      <c r="H52" s="2482"/>
      <c r="I52" s="135"/>
      <c r="J52" s="206"/>
      <c r="K52" s="208"/>
      <c r="L52" s="206"/>
      <c r="M52" s="127"/>
      <c r="O52" s="740"/>
    </row>
    <row r="53" spans="1:18" s="117" customFormat="1" ht="17.100000000000001" customHeight="1" thickBot="1" x14ac:dyDescent="0.3">
      <c r="A53" s="122"/>
      <c r="B53" s="146">
        <f>+B36+B48</f>
        <v>0</v>
      </c>
      <c r="C53" s="141"/>
      <c r="D53" s="145">
        <f>+D36+D48</f>
        <v>0</v>
      </c>
      <c r="E53" s="129"/>
      <c r="F53" s="145">
        <f>+F36+F48</f>
        <v>0</v>
      </c>
      <c r="G53" s="123"/>
      <c r="H53" s="2480" t="s">
        <v>975</v>
      </c>
      <c r="I53" s="135"/>
      <c r="J53" s="2489">
        <f>+J36+J48-1</f>
        <v>62990322.929999977</v>
      </c>
      <c r="K53" s="2484"/>
      <c r="L53" s="2489">
        <f>+L36+L48+1</f>
        <v>59563294.089999996</v>
      </c>
      <c r="M53" s="127"/>
      <c r="O53" s="742">
        <f>SUM(O36:O52)</f>
        <v>34052033</v>
      </c>
      <c r="Q53" s="742">
        <f>SUM(Q36:Q52)</f>
        <v>3427030.8399999831</v>
      </c>
      <c r="R53" s="742">
        <f>SUM(R36:R52)</f>
        <v>25511260.09</v>
      </c>
    </row>
    <row r="54" spans="1:18" s="117" customFormat="1" ht="17.100000000000001" customHeight="1" thickTop="1" x14ac:dyDescent="0.25">
      <c r="A54" s="122"/>
      <c r="B54" s="144"/>
      <c r="C54" s="144"/>
      <c r="D54" s="143"/>
      <c r="E54" s="107"/>
      <c r="F54" s="143"/>
      <c r="G54" s="123"/>
      <c r="H54" s="2482"/>
      <c r="I54" s="135"/>
      <c r="J54" s="206"/>
      <c r="K54" s="208"/>
      <c r="L54" s="206"/>
      <c r="M54" s="127"/>
      <c r="O54" s="740"/>
    </row>
    <row r="55" spans="1:18" s="117" customFormat="1" ht="17.100000000000001" customHeight="1" thickBot="1" x14ac:dyDescent="0.3">
      <c r="A55" s="122"/>
      <c r="B55" s="146">
        <f>+B32-B53</f>
        <v>0</v>
      </c>
      <c r="C55" s="141"/>
      <c r="D55" s="145">
        <f>+D32-D53</f>
        <v>0</v>
      </c>
      <c r="E55" s="129"/>
      <c r="F55" s="145">
        <f>+F32-F53</f>
        <v>0</v>
      </c>
      <c r="G55" s="123"/>
      <c r="H55" s="2480" t="s">
        <v>1452</v>
      </c>
      <c r="I55" s="135"/>
      <c r="J55" s="2489">
        <f>+J32-J53</f>
        <v>286177332.4799999</v>
      </c>
      <c r="K55" s="2484"/>
      <c r="L55" s="2489">
        <f>+L32-L53</f>
        <v>303217864.52271521</v>
      </c>
      <c r="M55" s="127"/>
      <c r="O55" s="742">
        <f>+O32-O53</f>
        <v>165991138</v>
      </c>
      <c r="Q55" s="742">
        <f>+Q32-Q53</f>
        <v>-17040533.042715296</v>
      </c>
      <c r="R55" s="742">
        <f>+R32-R53</f>
        <v>137226727.52271521</v>
      </c>
    </row>
    <row r="56" spans="1:18" s="117" customFormat="1" ht="17.100000000000001" customHeight="1" thickTop="1" x14ac:dyDescent="0.25">
      <c r="A56" s="122"/>
      <c r="B56" s="144"/>
      <c r="C56" s="144"/>
      <c r="D56" s="143"/>
      <c r="E56" s="107"/>
      <c r="F56" s="143"/>
      <c r="G56" s="123"/>
      <c r="H56" s="2482"/>
      <c r="I56" s="135"/>
      <c r="J56" s="206"/>
      <c r="K56" s="208"/>
      <c r="L56" s="206"/>
      <c r="M56" s="127"/>
      <c r="O56" s="740"/>
    </row>
    <row r="57" spans="1:18" s="117" customFormat="1" ht="17.100000000000001" customHeight="1" x14ac:dyDescent="0.25">
      <c r="A57" s="122"/>
      <c r="B57" s="130">
        <f>SUM(B58:B60)</f>
        <v>0</v>
      </c>
      <c r="C57" s="141"/>
      <c r="D57" s="128">
        <f>SUM(D58:D60)</f>
        <v>0</v>
      </c>
      <c r="E57" s="129"/>
      <c r="F57" s="128">
        <f>SUM(F58:F60)</f>
        <v>0</v>
      </c>
      <c r="G57" s="123"/>
      <c r="H57" s="2480" t="s">
        <v>1453</v>
      </c>
      <c r="I57" s="2482"/>
      <c r="J57" s="2483">
        <f>SUM(J58:J60)</f>
        <v>286177332.7700001</v>
      </c>
      <c r="K57" s="2484"/>
      <c r="L57" s="2483">
        <f>SUM(L58:L60)</f>
        <v>303217864.52000016</v>
      </c>
      <c r="M57" s="127"/>
      <c r="O57" s="740"/>
    </row>
    <row r="58" spans="1:18" s="117" customFormat="1" ht="17.100000000000001" hidden="1" customHeight="1" x14ac:dyDescent="0.25">
      <c r="A58" s="1405"/>
      <c r="B58" s="1412">
        <v>0</v>
      </c>
      <c r="C58" s="1615"/>
      <c r="D58" s="1412">
        <v>0</v>
      </c>
      <c r="E58" s="1407"/>
      <c r="F58" s="1412">
        <v>0</v>
      </c>
      <c r="G58" s="1408"/>
      <c r="H58" s="2482" t="s">
        <v>1461</v>
      </c>
      <c r="I58" s="135"/>
      <c r="J58" s="2485">
        <f>'Notes II'!I1887</f>
        <v>0</v>
      </c>
      <c r="K58" s="208"/>
      <c r="L58" s="2485">
        <f>'Notes II'!K1887</f>
        <v>0</v>
      </c>
      <c r="M58" s="1410"/>
      <c r="O58" s="740">
        <f>'Notes II'!N1887</f>
        <v>0</v>
      </c>
      <c r="Q58" s="117">
        <f>J58-L58</f>
        <v>0</v>
      </c>
      <c r="R58" s="117">
        <f>L58-O58</f>
        <v>0</v>
      </c>
    </row>
    <row r="59" spans="1:18" s="117" customFormat="1" ht="17.100000000000001" hidden="1" customHeight="1" x14ac:dyDescent="0.25">
      <c r="A59" s="1405"/>
      <c r="B59" s="1406">
        <v>0</v>
      </c>
      <c r="C59" s="1615"/>
      <c r="D59" s="1406">
        <v>0</v>
      </c>
      <c r="E59" s="1407"/>
      <c r="F59" s="1406">
        <v>0</v>
      </c>
      <c r="G59" s="1408"/>
      <c r="H59" s="2482" t="s">
        <v>32</v>
      </c>
      <c r="I59" s="135"/>
      <c r="J59" s="2486">
        <f>'Notes II'!I1925</f>
        <v>0</v>
      </c>
      <c r="K59" s="208"/>
      <c r="L59" s="2486">
        <f>'Notes II'!K1925</f>
        <v>0</v>
      </c>
      <c r="M59" s="1410"/>
      <c r="O59" s="740">
        <f>'Notes II'!N1925</f>
        <v>0</v>
      </c>
      <c r="Q59" s="117">
        <f>J59-L59</f>
        <v>0</v>
      </c>
      <c r="R59" s="117">
        <f>L59-O59</f>
        <v>0</v>
      </c>
    </row>
    <row r="60" spans="1:18" s="117" customFormat="1" ht="17.100000000000001" customHeight="1" x14ac:dyDescent="0.25">
      <c r="A60" s="122"/>
      <c r="B60" s="137">
        <v>0</v>
      </c>
      <c r="C60" s="139"/>
      <c r="D60" s="136">
        <v>0</v>
      </c>
      <c r="E60" s="107"/>
      <c r="F60" s="136">
        <v>0</v>
      </c>
      <c r="G60" s="123"/>
      <c r="H60" s="2482" t="s">
        <v>214</v>
      </c>
      <c r="I60" s="135">
        <v>19</v>
      </c>
      <c r="J60" s="2487">
        <f>'Notes II'!I1965</f>
        <v>286177332.7700001</v>
      </c>
      <c r="K60" s="208"/>
      <c r="L60" s="2487">
        <f>'Notes II'!K1965</f>
        <v>303217864.52000016</v>
      </c>
      <c r="M60" s="127"/>
      <c r="O60" s="740">
        <v>165991138</v>
      </c>
      <c r="Q60" s="117">
        <f>J60-L60</f>
        <v>-17040531.75000006</v>
      </c>
      <c r="R60" s="117">
        <f>L60-O60</f>
        <v>137226726.52000016</v>
      </c>
    </row>
    <row r="61" spans="1:18" s="117" customFormat="1" ht="17.100000000000001" customHeight="1" x14ac:dyDescent="0.25">
      <c r="A61" s="122"/>
      <c r="B61" s="139"/>
      <c r="C61" s="139"/>
      <c r="D61" s="138"/>
      <c r="E61" s="107"/>
      <c r="F61" s="138"/>
      <c r="G61" s="123"/>
      <c r="H61" s="2482"/>
      <c r="I61" s="135"/>
      <c r="J61" s="2481"/>
      <c r="K61" s="208"/>
      <c r="L61" s="2481"/>
      <c r="M61" s="127"/>
      <c r="O61" s="740"/>
    </row>
    <row r="62" spans="1:18" s="117" customFormat="1" ht="17.100000000000001" customHeight="1" thickBot="1" x14ac:dyDescent="0.3">
      <c r="A62" s="122"/>
      <c r="B62" s="146">
        <f>+B57</f>
        <v>0</v>
      </c>
      <c r="C62" s="141"/>
      <c r="D62" s="145">
        <f>+D57</f>
        <v>0</v>
      </c>
      <c r="E62" s="129"/>
      <c r="F62" s="145">
        <f>+F57</f>
        <v>0</v>
      </c>
      <c r="G62" s="123"/>
      <c r="H62" s="2480" t="s">
        <v>1454</v>
      </c>
      <c r="I62" s="135"/>
      <c r="J62" s="2489">
        <f>+J57</f>
        <v>286177332.7700001</v>
      </c>
      <c r="K62" s="2484"/>
      <c r="L62" s="2489">
        <f>+L57</f>
        <v>303217864.52000016</v>
      </c>
      <c r="M62" s="127"/>
      <c r="O62" s="742">
        <f>SUM(O57:O61)</f>
        <v>165991138</v>
      </c>
      <c r="Q62" s="742">
        <f>SUM(Q57:Q61)</f>
        <v>-17040531.75000006</v>
      </c>
      <c r="R62" s="742">
        <f>SUM(R57:R61)</f>
        <v>137226726.52000016</v>
      </c>
    </row>
    <row r="63" spans="1:18" s="117" customFormat="1" ht="16.5" customHeight="1" thickTop="1" thickBot="1" x14ac:dyDescent="0.3">
      <c r="A63" s="148"/>
      <c r="B63" s="153"/>
      <c r="C63" s="153"/>
      <c r="D63" s="151"/>
      <c r="E63" s="152"/>
      <c r="F63" s="151"/>
      <c r="G63" s="956"/>
      <c r="H63" s="149"/>
      <c r="I63" s="150"/>
      <c r="J63" s="150"/>
      <c r="K63" s="152"/>
      <c r="L63" s="153"/>
      <c r="M63" s="154"/>
      <c r="O63" s="740"/>
    </row>
    <row r="64" spans="1:18" s="117" customFormat="1" thickTop="1" x14ac:dyDescent="0.2">
      <c r="B64" s="117">
        <f>B55-B62</f>
        <v>0</v>
      </c>
      <c r="D64" s="117">
        <f>D55-D62</f>
        <v>0</v>
      </c>
      <c r="F64" s="117">
        <f>F55-F62</f>
        <v>0</v>
      </c>
      <c r="J64" s="117">
        <f>J55-J62</f>
        <v>-0.29000020027160645</v>
      </c>
      <c r="L64" s="117">
        <f>L55-L62</f>
        <v>2.7150511741638184E-3</v>
      </c>
      <c r="O64" s="117">
        <f>O55-O62</f>
        <v>0</v>
      </c>
      <c r="Q64" s="117">
        <f>Q55-Q62</f>
        <v>-1.2927152365446091</v>
      </c>
      <c r="R64" s="117">
        <f>R55-R62</f>
        <v>1.0027150511741638</v>
      </c>
    </row>
  </sheetData>
  <mergeCells count="5">
    <mergeCell ref="J4:L4"/>
    <mergeCell ref="B4:F4"/>
    <mergeCell ref="B1:L1"/>
    <mergeCell ref="B2:L2"/>
    <mergeCell ref="Q4:R4"/>
  </mergeCells>
  <phoneticPr fontId="0" type="noConversion"/>
  <printOptions horizontalCentered="1"/>
  <pageMargins left="0.39370078740157483" right="0.39370078740157483" top="0.39370078740157483" bottom="0.39370078740157483" header="0.19685039370078741" footer="0.19685039370078741"/>
  <pageSetup paperSize="9" scale="95" firstPageNumber="16" orientation="portrait" useFirstPageNumber="1" r:id="rId1"/>
  <headerFooter alignWithMargins="0">
    <oddFooter>&amp;L
&amp;C&amp;12 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62"/>
  <sheetViews>
    <sheetView view="pageBreakPreview" topLeftCell="G29" zoomScale="85" zoomScaleNormal="90" zoomScaleSheetLayoutView="85" workbookViewId="0">
      <selection activeCell="G20" sqref="G20"/>
    </sheetView>
  </sheetViews>
  <sheetFormatPr defaultColWidth="9.7109375" defaultRowHeight="15.75" x14ac:dyDescent="0.25"/>
  <cols>
    <col min="1" max="1" width="1.7109375" style="24" hidden="1" customWidth="1"/>
    <col min="2" max="2" width="15.7109375" style="25" hidden="1" customWidth="1"/>
    <col min="3" max="3" width="1.7109375" style="25" hidden="1" customWidth="1"/>
    <col min="4" max="4" width="15.7109375" style="25" hidden="1" customWidth="1"/>
    <col min="5" max="5" width="1.7109375" style="25" hidden="1" customWidth="1"/>
    <col min="6" max="6" width="15.7109375" style="25" hidden="1" customWidth="1"/>
    <col min="7" max="7" width="60.7109375" style="24" customWidth="1"/>
    <col min="8" max="8" width="7.7109375" style="26" customWidth="1"/>
    <col min="9" max="9" width="15.7109375" style="25" customWidth="1"/>
    <col min="10" max="10" width="1.7109375" style="25" customWidth="1"/>
    <col min="11" max="11" width="15.7109375" style="25" customWidth="1"/>
    <col min="12" max="12" width="1.7109375" style="24" customWidth="1"/>
    <col min="13" max="13" width="1.85546875" style="52" customWidth="1"/>
    <col min="14" max="14" width="9.7109375" style="52"/>
    <col min="15" max="15" width="18.42578125" style="1655" customWidth="1"/>
    <col min="16" max="16" width="16.28515625" style="52" bestFit="1" customWidth="1"/>
    <col min="17" max="18" width="9.7109375" style="52"/>
    <col min="19" max="16384" width="9.7109375" style="24"/>
  </cols>
  <sheetData>
    <row r="1" spans="1:18" s="155" customFormat="1" ht="21" customHeight="1" x14ac:dyDescent="0.3">
      <c r="B1" s="2776" t="str">
        <f>Parameters!C5</f>
        <v>Mohokare Local Municipality</v>
      </c>
      <c r="C1" s="2776"/>
      <c r="D1" s="2776"/>
      <c r="E1" s="2776"/>
      <c r="F1" s="2777"/>
      <c r="G1" s="2777"/>
      <c r="H1" s="2777"/>
      <c r="I1" s="2777"/>
      <c r="J1" s="2777"/>
      <c r="K1" s="2777"/>
    </row>
    <row r="2" spans="1:18" s="389" customFormat="1" ht="18" customHeight="1" thickBot="1" x14ac:dyDescent="0.3">
      <c r="B2" s="2778" t="str">
        <f>"STATEMENT OF FINANCIAL PERFORMANCE FOR THE YEAR ENDED "&amp;Parameters!C6</f>
        <v>STATEMENT OF FINANCIAL PERFORMANCE FOR THE YEAR ENDED 30 JUNE 2012</v>
      </c>
      <c r="C2" s="2778"/>
      <c r="D2" s="2778"/>
      <c r="E2" s="2778"/>
      <c r="F2" s="2779"/>
      <c r="G2" s="2779"/>
      <c r="H2" s="2779"/>
      <c r="I2" s="2779"/>
      <c r="J2" s="2779"/>
      <c r="K2" s="2779"/>
    </row>
    <row r="3" spans="1:18" s="161" customFormat="1" ht="17.100000000000001" customHeight="1" thickTop="1" x14ac:dyDescent="0.25">
      <c r="A3" s="156"/>
      <c r="B3" s="157"/>
      <c r="C3" s="157"/>
      <c r="D3" s="157"/>
      <c r="E3" s="157"/>
      <c r="F3" s="157"/>
      <c r="G3" s="158"/>
      <c r="H3" s="159"/>
      <c r="I3" s="157"/>
      <c r="J3" s="157"/>
      <c r="K3" s="157"/>
      <c r="L3" s="160"/>
    </row>
    <row r="4" spans="1:18" s="32" customFormat="1" ht="17.100000000000001" customHeight="1" x14ac:dyDescent="0.25">
      <c r="A4" s="27"/>
      <c r="B4" s="2772" t="s">
        <v>243</v>
      </c>
      <c r="C4" s="2772"/>
      <c r="D4" s="2772"/>
      <c r="E4" s="2773"/>
      <c r="F4" s="2773"/>
      <c r="G4" s="2492"/>
      <c r="H4" s="2493"/>
      <c r="I4" s="2780" t="s">
        <v>240</v>
      </c>
      <c r="J4" s="2781"/>
      <c r="K4" s="2781"/>
      <c r="L4" s="31"/>
      <c r="O4" s="1414"/>
    </row>
    <row r="5" spans="1:18" s="32" customFormat="1" ht="17.100000000000001" customHeight="1" x14ac:dyDescent="0.25">
      <c r="A5" s="27"/>
      <c r="B5" s="1413">
        <f>Parameters!C19</f>
        <v>2011</v>
      </c>
      <c r="C5" s="162"/>
      <c r="D5" s="1414" t="str">
        <f>Parameters!C17 &amp; " Original"</f>
        <v>2012 Original</v>
      </c>
      <c r="E5" s="162"/>
      <c r="F5" s="1414" t="str">
        <f>Parameters!C17 &amp; " Adjusted"</f>
        <v>2012 Adjusted</v>
      </c>
      <c r="G5" s="2492"/>
      <c r="H5" s="2493" t="s">
        <v>256</v>
      </c>
      <c r="I5" s="2494">
        <f>Parameters!C17</f>
        <v>2012</v>
      </c>
      <c r="J5" s="2495"/>
      <c r="K5" s="2494">
        <f>Parameters!C19</f>
        <v>2011</v>
      </c>
      <c r="L5" s="31"/>
      <c r="O5" s="165"/>
    </row>
    <row r="6" spans="1:18" s="32" customFormat="1" ht="17.100000000000001" customHeight="1" x14ac:dyDescent="0.25">
      <c r="A6" s="27"/>
      <c r="B6" s="163" t="s">
        <v>255</v>
      </c>
      <c r="C6" s="164"/>
      <c r="D6" s="165" t="s">
        <v>255</v>
      </c>
      <c r="E6" s="164"/>
      <c r="F6" s="165" t="s">
        <v>255</v>
      </c>
      <c r="G6" s="225"/>
      <c r="H6" s="2496"/>
      <c r="I6" s="2497" t="s">
        <v>255</v>
      </c>
      <c r="J6" s="218"/>
      <c r="K6" s="2497" t="s">
        <v>255</v>
      </c>
      <c r="L6" s="31"/>
      <c r="O6" s="125"/>
    </row>
    <row r="7" spans="1:18" s="32" customFormat="1" ht="17.100000000000001" customHeight="1" x14ac:dyDescent="0.25">
      <c r="A7" s="27"/>
      <c r="B7" s="164"/>
      <c r="C7" s="164"/>
      <c r="D7" s="125"/>
      <c r="E7" s="164"/>
      <c r="F7" s="125"/>
      <c r="G7" s="225" t="s">
        <v>247</v>
      </c>
      <c r="H7" s="2496"/>
      <c r="I7" s="218"/>
      <c r="J7" s="218"/>
      <c r="K7" s="218"/>
      <c r="L7" s="31"/>
      <c r="O7" s="125"/>
    </row>
    <row r="8" spans="1:18" s="32" customFormat="1" ht="17.100000000000001" customHeight="1" x14ac:dyDescent="0.25">
      <c r="A8" s="27"/>
      <c r="B8" s="164"/>
      <c r="C8" s="164"/>
      <c r="D8" s="125"/>
      <c r="E8" s="164"/>
      <c r="F8" s="125"/>
      <c r="G8" s="225" t="s">
        <v>2230</v>
      </c>
      <c r="H8" s="2496"/>
      <c r="I8" s="218"/>
      <c r="J8" s="218"/>
      <c r="K8" s="218"/>
      <c r="L8" s="31"/>
      <c r="O8" s="167"/>
    </row>
    <row r="9" spans="1:18" s="32" customFormat="1" ht="17.100000000000001" customHeight="1" x14ac:dyDescent="0.25">
      <c r="A9" s="27"/>
      <c r="B9" s="58">
        <f>'2011 Budget'!J2147+'2011 Budget'!J2149+'2011 Budget'!J2167</f>
        <v>4615026.8299999991</v>
      </c>
      <c r="C9" s="164"/>
      <c r="D9" s="167">
        <f>-'Trial Balance - FPer'!H939</f>
        <v>6846144.1699999999</v>
      </c>
      <c r="E9" s="164"/>
      <c r="F9" s="167">
        <f>-'Trial Balance - FPer'!I939</f>
        <v>6846144.1699999999</v>
      </c>
      <c r="G9" s="59" t="s">
        <v>404</v>
      </c>
      <c r="H9" s="852">
        <v>20</v>
      </c>
      <c r="I9" s="58">
        <f>'Notes II'!I2023</f>
        <v>7231215.04</v>
      </c>
      <c r="J9" s="218"/>
      <c r="K9" s="58">
        <f>'Notes II'!K2023</f>
        <v>6062906.8000000007</v>
      </c>
      <c r="L9" s="31"/>
      <c r="O9" s="658">
        <v>6068130</v>
      </c>
      <c r="R9" s="1130" t="s">
        <v>2730</v>
      </c>
    </row>
    <row r="10" spans="1:18" s="32" customFormat="1" ht="17.100000000000001" hidden="1" customHeight="1" x14ac:dyDescent="0.25">
      <c r="A10" s="674"/>
      <c r="B10" s="658">
        <v>0</v>
      </c>
      <c r="C10" s="660"/>
      <c r="D10" s="658">
        <v>0</v>
      </c>
      <c r="E10" s="660"/>
      <c r="F10" s="658">
        <v>0</v>
      </c>
      <c r="G10" s="59" t="s">
        <v>408</v>
      </c>
      <c r="H10" s="852"/>
      <c r="I10" s="58">
        <v>0</v>
      </c>
      <c r="J10" s="218"/>
      <c r="K10" s="58">
        <v>0</v>
      </c>
      <c r="L10" s="675"/>
      <c r="O10" s="167"/>
      <c r="P10" s="32">
        <f t="shared" ref="P10" si="0">K10-O10</f>
        <v>0</v>
      </c>
      <c r="R10" s="1130" t="s">
        <v>2731</v>
      </c>
    </row>
    <row r="11" spans="1:18" s="32" customFormat="1" ht="17.100000000000001" customHeight="1" x14ac:dyDescent="0.25">
      <c r="A11" s="27"/>
      <c r="B11" s="58">
        <f>'2011 Budget'!J2159</f>
        <v>710462.82</v>
      </c>
      <c r="C11" s="164"/>
      <c r="D11" s="167">
        <f>-'Trial Balance - FPer'!H928</f>
        <v>1210000</v>
      </c>
      <c r="E11" s="164"/>
      <c r="F11" s="167">
        <f>-'Trial Balance - FPer'!I928</f>
        <v>50000</v>
      </c>
      <c r="G11" s="59" t="s">
        <v>248</v>
      </c>
      <c r="H11" s="852"/>
      <c r="I11" s="58">
        <f>-'Trial Balance - FPer'!G928</f>
        <v>157143</v>
      </c>
      <c r="J11" s="218"/>
      <c r="K11" s="58">
        <f>-'Trial Balance - FPer'!C928</f>
        <v>156055.32</v>
      </c>
      <c r="L11" s="31"/>
      <c r="O11" s="167">
        <v>0</v>
      </c>
      <c r="R11" s="1130" t="s">
        <v>2732</v>
      </c>
    </row>
    <row r="12" spans="1:18" s="32" customFormat="1" ht="17.100000000000001" customHeight="1" x14ac:dyDescent="0.25">
      <c r="A12" s="27"/>
      <c r="B12" s="58"/>
      <c r="C12" s="164"/>
      <c r="D12" s="167"/>
      <c r="E12" s="164"/>
      <c r="F12" s="167"/>
      <c r="G12" s="59" t="s">
        <v>6544</v>
      </c>
      <c r="H12" s="852"/>
      <c r="I12" s="58">
        <f>-'Trial Balance - FPer'!G884</f>
        <v>16834.3</v>
      </c>
      <c r="J12" s="218"/>
      <c r="K12" s="58">
        <f>-'Trial Balance - FPer'!C884</f>
        <v>1780205</v>
      </c>
      <c r="L12" s="31"/>
      <c r="O12" s="167"/>
      <c r="R12" s="1130"/>
    </row>
    <row r="13" spans="1:18" s="32" customFormat="1" ht="17.100000000000001" customHeight="1" x14ac:dyDescent="0.25">
      <c r="A13" s="27"/>
      <c r="B13" s="58">
        <v>0</v>
      </c>
      <c r="C13" s="164"/>
      <c r="D13" s="167">
        <f>-'Trial Balance - FPer'!H920</f>
        <v>110</v>
      </c>
      <c r="E13" s="164"/>
      <c r="F13" s="167">
        <f>-'Trial Balance - FPer'!I920</f>
        <v>1000</v>
      </c>
      <c r="G13" s="59" t="s">
        <v>411</v>
      </c>
      <c r="H13" s="852"/>
      <c r="I13" s="58">
        <f>-'Trial Balance - FPer'!G920</f>
        <v>438.6</v>
      </c>
      <c r="J13" s="218"/>
      <c r="K13" s="58">
        <f>-'Trial Balance - FPer'!C920</f>
        <v>4152.66</v>
      </c>
      <c r="L13" s="31"/>
      <c r="O13" s="167">
        <v>0</v>
      </c>
      <c r="R13" s="1130" t="s">
        <v>2733</v>
      </c>
    </row>
    <row r="14" spans="1:18" s="32" customFormat="1" ht="17.100000000000001" hidden="1" customHeight="1" x14ac:dyDescent="0.25">
      <c r="A14" s="27"/>
      <c r="B14" s="58">
        <v>0</v>
      </c>
      <c r="C14" s="164"/>
      <c r="D14" s="167">
        <v>0</v>
      </c>
      <c r="E14" s="164"/>
      <c r="F14" s="167">
        <v>0</v>
      </c>
      <c r="G14" s="59" t="s">
        <v>412</v>
      </c>
      <c r="H14" s="852"/>
      <c r="I14" s="58">
        <v>0</v>
      </c>
      <c r="J14" s="218"/>
      <c r="K14" s="58">
        <v>0</v>
      </c>
      <c r="L14" s="31"/>
      <c r="O14" s="167"/>
      <c r="R14" s="1130" t="s">
        <v>2734</v>
      </c>
    </row>
    <row r="15" spans="1:18" s="32" customFormat="1" ht="17.100000000000001" customHeight="1" x14ac:dyDescent="0.25">
      <c r="A15" s="27"/>
      <c r="B15" s="58">
        <f>SUM('2011 Budget'!J2161,'2011 Budget'!J2163)+'2011 Budget'!J2177</f>
        <v>56240297.850000001</v>
      </c>
      <c r="C15" s="164"/>
      <c r="D15" s="167">
        <f>-'Trial Balance - FPer'!H837</f>
        <v>63839447.019999996</v>
      </c>
      <c r="E15" s="164"/>
      <c r="F15" s="167">
        <f>-'Trial Balance - FPer'!I837</f>
        <v>72711000</v>
      </c>
      <c r="G15" s="59" t="s">
        <v>787</v>
      </c>
      <c r="H15" s="852">
        <v>21</v>
      </c>
      <c r="I15" s="58">
        <f>'Notes II'!I2098</f>
        <v>75357043.420000002</v>
      </c>
      <c r="J15" s="218"/>
      <c r="K15" s="58">
        <f>'Notes II'!K2098</f>
        <v>68189763.920000002</v>
      </c>
      <c r="L15" s="31"/>
      <c r="O15" s="167">
        <v>40790368</v>
      </c>
      <c r="R15" s="1130" t="s">
        <v>2735</v>
      </c>
    </row>
    <row r="16" spans="1:18" s="32" customFormat="1" ht="17.100000000000001" customHeight="1" x14ac:dyDescent="0.25">
      <c r="A16" s="27"/>
      <c r="B16" s="58">
        <v>0</v>
      </c>
      <c r="C16" s="164"/>
      <c r="D16" s="167">
        <f>-'Trial Balance - FPer'!H946</f>
        <v>-28051.51</v>
      </c>
      <c r="E16" s="164"/>
      <c r="F16" s="167">
        <f>-'Trial Balance - FPer'!I946</f>
        <v>-28051.51</v>
      </c>
      <c r="G16" s="59" t="s">
        <v>445</v>
      </c>
      <c r="H16" s="852">
        <v>22</v>
      </c>
      <c r="I16" s="58">
        <f>'Notes II'!I2348</f>
        <v>0</v>
      </c>
      <c r="J16" s="218"/>
      <c r="K16" s="58">
        <f>'Notes II'!K2348</f>
        <v>20580</v>
      </c>
      <c r="L16" s="31"/>
      <c r="O16" s="125">
        <v>0</v>
      </c>
      <c r="R16" s="1130" t="s">
        <v>2736</v>
      </c>
    </row>
    <row r="17" spans="1:18" s="32" customFormat="1" ht="17.100000000000001" customHeight="1" x14ac:dyDescent="0.25">
      <c r="A17" s="27"/>
      <c r="B17" s="164"/>
      <c r="C17" s="164"/>
      <c r="D17" s="125"/>
      <c r="E17" s="164"/>
      <c r="F17" s="125"/>
      <c r="G17" s="225" t="s">
        <v>2231</v>
      </c>
      <c r="H17" s="2496"/>
      <c r="I17" s="218"/>
      <c r="J17" s="218"/>
      <c r="K17" s="218"/>
      <c r="L17" s="31"/>
      <c r="O17" s="167"/>
      <c r="R17" s="1130"/>
    </row>
    <row r="18" spans="1:18" s="32" customFormat="1" ht="17.100000000000001" customHeight="1" x14ac:dyDescent="0.25">
      <c r="A18" s="27"/>
      <c r="B18" s="58">
        <f>'2011 Budget'!J2151+'2011 Budget'!J2169</f>
        <v>23386866.129999999</v>
      </c>
      <c r="C18" s="164"/>
      <c r="D18" s="167">
        <f>-'Trial Balance - FPer'!H1081</f>
        <v>4711933.79</v>
      </c>
      <c r="E18" s="164"/>
      <c r="F18" s="167">
        <f>-'Trial Balance - FPer'!I1081</f>
        <v>7067104.1600000001</v>
      </c>
      <c r="G18" s="59" t="s">
        <v>405</v>
      </c>
      <c r="H18" s="852">
        <v>23</v>
      </c>
      <c r="I18" s="58">
        <f>'Notes II'!I2420</f>
        <v>35847242.30999998</v>
      </c>
      <c r="J18" s="218"/>
      <c r="K18" s="58">
        <f>'Notes II'!K2420</f>
        <v>28275179.93</v>
      </c>
      <c r="L18" s="31"/>
      <c r="O18" s="167">
        <v>25302341</v>
      </c>
      <c r="R18" s="1130" t="s">
        <v>2737</v>
      </c>
    </row>
    <row r="19" spans="1:18" s="32" customFormat="1" ht="17.100000000000001" customHeight="1" x14ac:dyDescent="0.25">
      <c r="A19" s="27"/>
      <c r="B19" s="58">
        <f>'2011 Budget'!J2153</f>
        <v>723384.4</v>
      </c>
      <c r="C19" s="164"/>
      <c r="D19" s="167">
        <f>-'Trial Balance - FPer'!H977</f>
        <v>524607.30000000005</v>
      </c>
      <c r="E19" s="164"/>
      <c r="F19" s="167">
        <f>-'Trial Balance - FPer'!I977</f>
        <v>524607.30000000005</v>
      </c>
      <c r="G19" s="59" t="s">
        <v>406</v>
      </c>
      <c r="H19" s="852">
        <v>24</v>
      </c>
      <c r="I19" s="58">
        <f>'Notes II'!I2446</f>
        <v>663135.83000000007</v>
      </c>
      <c r="J19" s="218"/>
      <c r="K19" s="58">
        <f>'Notes II'!K2446</f>
        <v>656777.32000000007</v>
      </c>
      <c r="L19" s="31"/>
      <c r="O19" s="167">
        <v>399594</v>
      </c>
      <c r="R19" s="1130" t="s">
        <v>2738</v>
      </c>
    </row>
    <row r="20" spans="1:18" s="32" customFormat="1" ht="17.100000000000001" customHeight="1" x14ac:dyDescent="0.25">
      <c r="A20" s="27"/>
      <c r="B20" s="58">
        <f>'2011 Budget'!J2155</f>
        <v>67892.98000000001</v>
      </c>
      <c r="C20" s="164"/>
      <c r="D20" s="32">
        <f>-'Trial Balance - FPer'!H867</f>
        <v>477.95</v>
      </c>
      <c r="E20" s="164"/>
      <c r="F20" s="32">
        <f>-'Trial Balance - FPer'!I867</f>
        <v>15000</v>
      </c>
      <c r="G20" s="59" t="s">
        <v>443</v>
      </c>
      <c r="H20" s="852">
        <v>25</v>
      </c>
      <c r="I20" s="58">
        <f>'Notes II'!I2470</f>
        <v>140676.66</v>
      </c>
      <c r="J20" s="218"/>
      <c r="K20" s="58">
        <f>'Notes II'!K2470</f>
        <v>31636.04</v>
      </c>
      <c r="L20" s="31"/>
      <c r="O20" s="167">
        <v>45186</v>
      </c>
      <c r="R20" s="1130" t="s">
        <v>2739</v>
      </c>
    </row>
    <row r="21" spans="1:18" s="32" customFormat="1" ht="17.100000000000001" customHeight="1" x14ac:dyDescent="0.25">
      <c r="A21" s="27"/>
      <c r="B21" s="58">
        <v>0</v>
      </c>
      <c r="C21" s="164"/>
      <c r="D21" s="167">
        <f>-'Trial Balance - FPer'!H877</f>
        <v>242201.05</v>
      </c>
      <c r="E21" s="164"/>
      <c r="F21" s="167">
        <f>-'Trial Balance - FPer'!I877</f>
        <v>242201.05</v>
      </c>
      <c r="G21" s="59" t="s">
        <v>444</v>
      </c>
      <c r="H21" s="2496">
        <v>25</v>
      </c>
      <c r="I21" s="58">
        <f>'Notes II'!I2485</f>
        <v>273209.25</v>
      </c>
      <c r="J21" s="218"/>
      <c r="K21" s="58">
        <f>'Notes II'!K2483</f>
        <v>226492.75</v>
      </c>
      <c r="L21" s="31"/>
      <c r="O21" s="658">
        <v>225318</v>
      </c>
      <c r="R21" s="1130" t="s">
        <v>2740</v>
      </c>
    </row>
    <row r="22" spans="1:18" s="32" customFormat="1" ht="17.100000000000001" customHeight="1" x14ac:dyDescent="0.25">
      <c r="A22" s="674"/>
      <c r="B22" s="658">
        <f>'2011 Budget'!J2157</f>
        <v>6932.56</v>
      </c>
      <c r="C22" s="660"/>
      <c r="D22" s="658">
        <f>-'Trial Balance - FPer'!H41</f>
        <v>7625.82</v>
      </c>
      <c r="E22" s="660"/>
      <c r="F22" s="658">
        <f>-'Trial Balance - FPer'!I41</f>
        <v>7625.82</v>
      </c>
      <c r="G22" s="59" t="s">
        <v>410</v>
      </c>
      <c r="H22" s="852"/>
      <c r="I22" s="58">
        <f>-SUM('Trial Balance - FPer'!G41)</f>
        <v>2961.77</v>
      </c>
      <c r="J22" s="218"/>
      <c r="K22" s="58">
        <f>-SUM('Trial Balance - FPer'!C41)</f>
        <v>1733.14</v>
      </c>
      <c r="L22" s="31"/>
      <c r="O22" s="658">
        <v>5204</v>
      </c>
      <c r="R22" s="1130" t="s">
        <v>2741</v>
      </c>
    </row>
    <row r="23" spans="1:18" s="32" customFormat="1" ht="17.100000000000001" customHeight="1" x14ac:dyDescent="0.25">
      <c r="A23" s="27"/>
      <c r="B23" s="58">
        <f>'2011 Budget'!J2165</f>
        <v>1081114.29</v>
      </c>
      <c r="C23" s="164"/>
      <c r="D23" s="167">
        <f>-'Trial Balance - FPer'!H912</f>
        <v>265685.12</v>
      </c>
      <c r="E23" s="164"/>
      <c r="F23" s="167">
        <f>-'Trial Balance - FPer'!I912</f>
        <v>765867.5199999999</v>
      </c>
      <c r="G23" s="59" t="s">
        <v>414</v>
      </c>
      <c r="H23" s="852">
        <v>26</v>
      </c>
      <c r="I23" s="58">
        <f>'Notes II'!I2525</f>
        <v>567171.72000000044</v>
      </c>
      <c r="J23" s="218"/>
      <c r="K23" s="58">
        <f>'Notes II'!K2525</f>
        <v>974842.35</v>
      </c>
      <c r="L23" s="31"/>
      <c r="O23" s="658">
        <v>3164589</v>
      </c>
      <c r="R23" s="1130" t="s">
        <v>2742</v>
      </c>
    </row>
    <row r="24" spans="1:18" s="32" customFormat="1" ht="17.100000000000001" hidden="1" customHeight="1" x14ac:dyDescent="0.25">
      <c r="A24" s="674"/>
      <c r="B24" s="658">
        <v>0</v>
      </c>
      <c r="C24" s="660"/>
      <c r="D24" s="658">
        <v>0</v>
      </c>
      <c r="E24" s="660"/>
      <c r="F24" s="658">
        <v>0</v>
      </c>
      <c r="G24" s="59" t="s">
        <v>788</v>
      </c>
      <c r="H24" s="852" t="str">
        <f>LEFT(,2)</f>
        <v/>
      </c>
      <c r="I24" s="58">
        <v>0</v>
      </c>
      <c r="J24" s="218"/>
      <c r="K24" s="58">
        <v>0</v>
      </c>
      <c r="L24" s="675"/>
      <c r="O24" s="848"/>
      <c r="P24" s="32">
        <f t="shared" ref="P24" si="1">K24-O24</f>
        <v>0</v>
      </c>
      <c r="R24" s="1130" t="s">
        <v>2743</v>
      </c>
    </row>
    <row r="25" spans="1:18" s="32" customFormat="1" ht="17.100000000000001" hidden="1" customHeight="1" x14ac:dyDescent="0.25">
      <c r="A25" s="27"/>
      <c r="B25" s="58">
        <v>0</v>
      </c>
      <c r="C25" s="164"/>
      <c r="D25" s="848">
        <v>0</v>
      </c>
      <c r="E25" s="164"/>
      <c r="F25" s="848">
        <v>0</v>
      </c>
      <c r="G25" s="59" t="s">
        <v>415</v>
      </c>
      <c r="H25" s="2496"/>
      <c r="I25" s="58">
        <v>0</v>
      </c>
      <c r="J25" s="218"/>
      <c r="K25" s="58">
        <v>0</v>
      </c>
      <c r="L25" s="31"/>
      <c r="O25" s="1652"/>
      <c r="R25" s="1130" t="s">
        <v>2744</v>
      </c>
    </row>
    <row r="26" spans="1:18" s="32" customFormat="1" ht="17.100000000000001" hidden="1" customHeight="1" x14ac:dyDescent="0.25">
      <c r="A26" s="847"/>
      <c r="B26" s="212">
        <f>SUM(B27:B28)</f>
        <v>0</v>
      </c>
      <c r="C26" s="218"/>
      <c r="D26" s="849">
        <f>SUM(D27:D28)</f>
        <v>0</v>
      </c>
      <c r="E26" s="218"/>
      <c r="F26" s="849">
        <f>SUM(F27:F28)</f>
        <v>0</v>
      </c>
      <c r="G26" s="59" t="s">
        <v>789</v>
      </c>
      <c r="H26" s="852"/>
      <c r="I26" s="2498">
        <f>SUM(I27:I28)</f>
        <v>0</v>
      </c>
      <c r="J26" s="218"/>
      <c r="K26" s="212">
        <f>SUM(K27:K28)</f>
        <v>0</v>
      </c>
      <c r="L26" s="853"/>
      <c r="O26" s="1652"/>
      <c r="R26" s="1130"/>
    </row>
    <row r="27" spans="1:18" s="32" customFormat="1" ht="17.100000000000001" hidden="1" customHeight="1" x14ac:dyDescent="0.25">
      <c r="A27" s="847"/>
      <c r="B27" s="213">
        <v>0</v>
      </c>
      <c r="C27" s="218"/>
      <c r="D27" s="850">
        <v>0</v>
      </c>
      <c r="E27" s="218"/>
      <c r="F27" s="850">
        <v>0</v>
      </c>
      <c r="G27" s="59" t="s">
        <v>790</v>
      </c>
      <c r="H27" s="852"/>
      <c r="I27" s="2485">
        <v>0</v>
      </c>
      <c r="J27" s="218"/>
      <c r="K27" s="213">
        <v>0</v>
      </c>
      <c r="L27" s="853"/>
      <c r="O27" s="1652"/>
      <c r="R27" s="1130" t="s">
        <v>2745</v>
      </c>
    </row>
    <row r="28" spans="1:18" s="32" customFormat="1" ht="17.100000000000001" hidden="1" customHeight="1" x14ac:dyDescent="0.25">
      <c r="A28" s="847"/>
      <c r="B28" s="215">
        <v>0</v>
      </c>
      <c r="C28" s="218"/>
      <c r="D28" s="851">
        <v>0</v>
      </c>
      <c r="E28" s="218"/>
      <c r="F28" s="851">
        <v>0</v>
      </c>
      <c r="G28" s="59" t="s">
        <v>791</v>
      </c>
      <c r="H28" s="852"/>
      <c r="I28" s="2487">
        <v>0</v>
      </c>
      <c r="J28" s="218"/>
      <c r="K28" s="215">
        <v>0</v>
      </c>
      <c r="L28" s="853"/>
      <c r="O28" s="138"/>
      <c r="R28" s="1130" t="s">
        <v>2746</v>
      </c>
    </row>
    <row r="29" spans="1:18" s="32" customFormat="1" ht="17.100000000000001" customHeight="1" x14ac:dyDescent="0.25">
      <c r="A29" s="27"/>
      <c r="B29" s="724"/>
      <c r="C29" s="164"/>
      <c r="D29" s="169"/>
      <c r="E29" s="164"/>
      <c r="F29" s="169"/>
      <c r="G29" s="59"/>
      <c r="H29" s="2496"/>
      <c r="I29" s="2498"/>
      <c r="J29" s="218"/>
      <c r="K29" s="2498"/>
      <c r="L29" s="31"/>
      <c r="O29" s="1653"/>
      <c r="R29" s="1130"/>
    </row>
    <row r="30" spans="1:18" s="32" customFormat="1" ht="17.100000000000001" customHeight="1" thickBot="1" x14ac:dyDescent="0.3">
      <c r="A30" s="27"/>
      <c r="B30" s="170">
        <f>SUM(B7:B26)</f>
        <v>86831977.860000014</v>
      </c>
      <c r="C30" s="171"/>
      <c r="D30" s="172">
        <f>SUM(D7:D26)</f>
        <v>77620180.709999993</v>
      </c>
      <c r="E30" s="171"/>
      <c r="F30" s="172">
        <f>SUM(F7:F26)</f>
        <v>88202498.509999976</v>
      </c>
      <c r="G30" s="225" t="s">
        <v>249</v>
      </c>
      <c r="H30" s="2496"/>
      <c r="I30" s="204">
        <f>SUM(I7:I26)</f>
        <v>120257071.89999998</v>
      </c>
      <c r="J30" s="2499"/>
      <c r="K30" s="204">
        <f>SUM(K7:K26)</f>
        <v>106380325.22999999</v>
      </c>
      <c r="L30" s="31"/>
      <c r="O30" s="167">
        <f>SUM(O9:O16,O18:O23)</f>
        <v>76000730</v>
      </c>
      <c r="R30" s="1130"/>
    </row>
    <row r="31" spans="1:18" s="32" customFormat="1" ht="17.100000000000001" customHeight="1" thickTop="1" x14ac:dyDescent="0.25">
      <c r="A31" s="27"/>
      <c r="B31" s="166"/>
      <c r="C31" s="164"/>
      <c r="D31" s="167"/>
      <c r="E31" s="164"/>
      <c r="F31" s="167"/>
      <c r="G31" s="59"/>
      <c r="H31" s="2496"/>
      <c r="I31" s="58"/>
      <c r="J31" s="218"/>
      <c r="K31" s="58"/>
      <c r="L31" s="31"/>
      <c r="O31" s="167"/>
      <c r="R31" s="1130"/>
    </row>
    <row r="32" spans="1:18" s="32" customFormat="1" ht="17.100000000000001" customHeight="1" x14ac:dyDescent="0.25">
      <c r="A32" s="27"/>
      <c r="B32" s="166"/>
      <c r="C32" s="164"/>
      <c r="D32" s="167"/>
      <c r="E32" s="164"/>
      <c r="F32" s="167"/>
      <c r="G32" s="225" t="s">
        <v>235</v>
      </c>
      <c r="H32" s="2496"/>
      <c r="I32" s="58"/>
      <c r="J32" s="218"/>
      <c r="K32" s="58"/>
      <c r="L32" s="31"/>
      <c r="O32" s="167"/>
      <c r="R32" s="1130"/>
    </row>
    <row r="33" spans="1:18" s="32" customFormat="1" ht="17.100000000000001" customHeight="1" x14ac:dyDescent="0.25">
      <c r="A33" s="27"/>
      <c r="B33" s="58">
        <f>'2011 Budget'!J2184</f>
        <v>33847342.579999998</v>
      </c>
      <c r="C33" s="164"/>
      <c r="D33" s="167">
        <f>'Trial Balance - FPer'!H439</f>
        <v>40327843.95000001</v>
      </c>
      <c r="E33" s="164"/>
      <c r="F33" s="167">
        <f>'Trial Balance - FPer'!I439</f>
        <v>36972009.620000012</v>
      </c>
      <c r="G33" s="59" t="s">
        <v>416</v>
      </c>
      <c r="H33" s="852">
        <v>27</v>
      </c>
      <c r="I33" s="58">
        <f>'Notes II'!I2575</f>
        <v>35362981.040000007</v>
      </c>
      <c r="J33" s="218"/>
      <c r="K33" s="58">
        <f>'Trial Balance - FPer'!C439</f>
        <v>30691492.049999993</v>
      </c>
      <c r="L33" s="31"/>
      <c r="O33" s="167">
        <v>22144204</v>
      </c>
      <c r="R33" s="1130" t="s">
        <v>2747</v>
      </c>
    </row>
    <row r="34" spans="1:18" s="32" customFormat="1" ht="17.100000000000001" customHeight="1" x14ac:dyDescent="0.25">
      <c r="A34" s="27"/>
      <c r="B34" s="58">
        <f>'2011 Budget'!J2186</f>
        <v>2321992.7599999998</v>
      </c>
      <c r="C34" s="164"/>
      <c r="D34" s="167">
        <f>'Trial Balance - FPer'!H958</f>
        <v>2511235.1799999997</v>
      </c>
      <c r="E34" s="164"/>
      <c r="F34" s="167">
        <f>'Trial Balance - FPer'!I958</f>
        <v>2601388.5500000003</v>
      </c>
      <c r="G34" s="59" t="s">
        <v>250</v>
      </c>
      <c r="H34" s="852">
        <v>28</v>
      </c>
      <c r="I34" s="58">
        <f>'Notes II'!I2721</f>
        <v>2599729.3099999996</v>
      </c>
      <c r="J34" s="218"/>
      <c r="K34" s="58">
        <f>'Notes II'!K2721</f>
        <v>2209126</v>
      </c>
      <c r="L34" s="31"/>
      <c r="O34" s="167">
        <v>1914471</v>
      </c>
      <c r="R34" s="1130" t="s">
        <v>2748</v>
      </c>
    </row>
    <row r="35" spans="1:18" s="32" customFormat="1" ht="17.100000000000001" hidden="1" customHeight="1" x14ac:dyDescent="0.25">
      <c r="A35" s="27"/>
      <c r="B35" s="58">
        <v>0</v>
      </c>
      <c r="C35" s="164"/>
      <c r="D35" s="167">
        <v>0</v>
      </c>
      <c r="E35" s="164"/>
      <c r="F35" s="167">
        <v>0</v>
      </c>
      <c r="G35" s="59" t="s">
        <v>417</v>
      </c>
      <c r="H35" s="2496"/>
      <c r="I35" s="58">
        <v>0</v>
      </c>
      <c r="J35" s="218"/>
      <c r="K35" s="58">
        <v>0</v>
      </c>
      <c r="L35" s="31"/>
      <c r="O35" s="167"/>
      <c r="R35" s="1130" t="s">
        <v>2749</v>
      </c>
    </row>
    <row r="36" spans="1:18" s="32" customFormat="1" ht="17.100000000000001" customHeight="1" x14ac:dyDescent="0.25">
      <c r="A36" s="27"/>
      <c r="B36" s="58">
        <v>0</v>
      </c>
      <c r="C36" s="164"/>
      <c r="D36" s="167">
        <v>0</v>
      </c>
      <c r="E36" s="164"/>
      <c r="F36" s="167">
        <v>0</v>
      </c>
      <c r="G36" s="59" t="s">
        <v>792</v>
      </c>
      <c r="H36" s="2496">
        <v>29</v>
      </c>
      <c r="I36" s="58">
        <f>-'PPE Note'!K34</f>
        <v>21215435.489999998</v>
      </c>
      <c r="J36" s="218"/>
      <c r="K36" s="58">
        <f>-'PPE Note'!K105</f>
        <v>21078163.109999999</v>
      </c>
      <c r="L36" s="31"/>
      <c r="O36" s="167"/>
      <c r="R36" s="1130" t="s">
        <v>2750</v>
      </c>
    </row>
    <row r="37" spans="1:18" s="32" customFormat="1" ht="17.100000000000001" customHeight="1" x14ac:dyDescent="0.25">
      <c r="A37" s="27"/>
      <c r="B37" s="58">
        <f>'2011 Budget'!J2200</f>
        <v>1422246.98</v>
      </c>
      <c r="C37" s="164"/>
      <c r="D37" s="167">
        <f>'Trial Balance - FPer'!H33</f>
        <v>1595309.5300000003</v>
      </c>
      <c r="E37" s="164"/>
      <c r="F37" s="167">
        <f>'Trial Balance - FPer'!I33</f>
        <v>1595309.5300000003</v>
      </c>
      <c r="G37" s="59" t="s">
        <v>154</v>
      </c>
      <c r="H37" s="2496">
        <v>30</v>
      </c>
      <c r="I37" s="58">
        <f>'Notes II'!I2802</f>
        <v>32945570.969999999</v>
      </c>
      <c r="J37" s="218"/>
      <c r="K37" s="58">
        <f>'Notes II'!K2802</f>
        <v>15271156.710000001</v>
      </c>
      <c r="L37" s="31"/>
      <c r="O37" s="167">
        <v>0</v>
      </c>
      <c r="R37" s="1130" t="s">
        <v>2751</v>
      </c>
    </row>
    <row r="38" spans="1:18" s="32" customFormat="1" ht="17.100000000000001" customHeight="1" x14ac:dyDescent="0.25">
      <c r="A38" s="27"/>
      <c r="B38" s="58">
        <f>'2011 Budget'!J2188</f>
        <v>1636697.3499999999</v>
      </c>
      <c r="C38" s="164"/>
      <c r="D38" s="167">
        <f>'Trial Balance - FPer'!H1068</f>
        <v>1221259.27</v>
      </c>
      <c r="E38" s="164"/>
      <c r="F38" s="167">
        <f>'Trial Balance - FPer'!I1068</f>
        <v>2614348.35</v>
      </c>
      <c r="G38" s="59" t="s">
        <v>418</v>
      </c>
      <c r="H38" s="2496"/>
      <c r="I38" s="58">
        <f>'Trial Balance - FPer'!G1068+'Trial Balance - FPer'!G1104</f>
        <v>1722910.5400000005</v>
      </c>
      <c r="J38" s="218"/>
      <c r="K38" s="58">
        <f>'Trial Balance - FPer'!C1068</f>
        <v>1024248.8399999999</v>
      </c>
      <c r="L38" s="31"/>
      <c r="O38" s="658">
        <v>1481896</v>
      </c>
      <c r="R38" s="1130" t="s">
        <v>2752</v>
      </c>
    </row>
    <row r="39" spans="1:18" s="32" customFormat="1" ht="17.100000000000001" customHeight="1" x14ac:dyDescent="0.25">
      <c r="A39" s="674"/>
      <c r="B39" s="658">
        <f>'2011 Budget'!J2190</f>
        <v>4797180.18</v>
      </c>
      <c r="C39" s="660"/>
      <c r="D39" s="658">
        <f>'Trial Balance - FPer'!H451</f>
        <v>228565.59999999998</v>
      </c>
      <c r="E39" s="660"/>
      <c r="F39" s="658">
        <f>'Trial Balance - FPer'!I451</f>
        <v>77497.2</v>
      </c>
      <c r="G39" s="59" t="s">
        <v>1455</v>
      </c>
      <c r="H39" s="2496">
        <v>31</v>
      </c>
      <c r="I39" s="58">
        <f>'Notes II'!I2831</f>
        <v>2080323.24</v>
      </c>
      <c r="J39" s="218"/>
      <c r="K39" s="58">
        <f>'Notes II'!K2831</f>
        <v>2436791.37</v>
      </c>
      <c r="L39" s="31"/>
      <c r="O39" s="167">
        <v>357294</v>
      </c>
      <c r="P39" s="32">
        <f>K39-O39</f>
        <v>2079497.37</v>
      </c>
      <c r="R39" s="1130" t="s">
        <v>2753</v>
      </c>
    </row>
    <row r="40" spans="1:18" s="32" customFormat="1" ht="17.100000000000001" customHeight="1" x14ac:dyDescent="0.25">
      <c r="A40" s="27"/>
      <c r="B40" s="58">
        <f>'2011 Budget'!J2192</f>
        <v>4033319.12</v>
      </c>
      <c r="C40" s="164"/>
      <c r="D40" s="167">
        <f>'Trial Balance - FPer'!H15</f>
        <v>493097.25</v>
      </c>
      <c r="E40" s="164"/>
      <c r="F40" s="167">
        <f>'Trial Balance - FPer'!I15</f>
        <v>1425809.18</v>
      </c>
      <c r="G40" s="59" t="s">
        <v>420</v>
      </c>
      <c r="H40" s="2496">
        <v>32</v>
      </c>
      <c r="I40" s="58">
        <f>'Notes II'!I2849</f>
        <v>14183362.850000001</v>
      </c>
      <c r="J40" s="218"/>
      <c r="K40" s="58">
        <f>'Notes II'!K2849</f>
        <v>16136859.409999998</v>
      </c>
      <c r="L40" s="31"/>
      <c r="O40" s="167">
        <v>11891849</v>
      </c>
      <c r="R40" s="1130" t="s">
        <v>2754</v>
      </c>
    </row>
    <row r="41" spans="1:18" s="32" customFormat="1" ht="17.100000000000001" customHeight="1" x14ac:dyDescent="0.25">
      <c r="A41" s="27"/>
      <c r="B41" s="58">
        <v>5200000</v>
      </c>
      <c r="C41" s="164"/>
      <c r="D41" s="167">
        <f>'Trial Balance - FPer'!H780</f>
        <v>5150944.6800000006</v>
      </c>
      <c r="E41" s="164"/>
      <c r="F41" s="167">
        <f>'Trial Balance - FPer'!I780</f>
        <v>5121890</v>
      </c>
      <c r="G41" s="59" t="s">
        <v>421</v>
      </c>
      <c r="H41" s="2496">
        <v>33</v>
      </c>
      <c r="I41" s="58">
        <f>'Notes II'!I2874</f>
        <v>5169265.92</v>
      </c>
      <c r="J41" s="218"/>
      <c r="K41" s="58">
        <f>'Notes II'!K2874</f>
        <v>8020299.459999999</v>
      </c>
      <c r="L41" s="31"/>
      <c r="O41" s="167">
        <v>0</v>
      </c>
      <c r="R41" s="1130" t="s">
        <v>2755</v>
      </c>
    </row>
    <row r="42" spans="1:18" s="32" customFormat="1" ht="17.100000000000001" customHeight="1" x14ac:dyDescent="0.25">
      <c r="A42" s="27"/>
      <c r="B42" s="58">
        <v>0</v>
      </c>
      <c r="C42" s="164"/>
      <c r="D42" s="167">
        <f>'Trial Balance - FPer'!H857</f>
        <v>1417409.6</v>
      </c>
      <c r="E42" s="164"/>
      <c r="F42" s="167">
        <f>'Trial Balance - FPer'!I857</f>
        <v>1417409.6</v>
      </c>
      <c r="G42" s="59" t="s">
        <v>422</v>
      </c>
      <c r="H42" s="2496">
        <v>34</v>
      </c>
      <c r="I42" s="58">
        <f>'Notes II'!I2899</f>
        <v>1091380.58</v>
      </c>
      <c r="J42" s="218"/>
      <c r="K42" s="58">
        <f>'Notes II'!K2899</f>
        <v>4155905.9800000004</v>
      </c>
      <c r="L42" s="31"/>
      <c r="O42" s="658">
        <v>3632085</v>
      </c>
      <c r="R42" s="1130" t="s">
        <v>2756</v>
      </c>
    </row>
    <row r="43" spans="1:18" s="32" customFormat="1" ht="17.100000000000001" hidden="1" customHeight="1" x14ac:dyDescent="0.25">
      <c r="A43" s="674"/>
      <c r="B43" s="658">
        <v>0</v>
      </c>
      <c r="C43" s="660"/>
      <c r="D43" s="658">
        <v>0</v>
      </c>
      <c r="E43" s="660"/>
      <c r="F43" s="658">
        <v>0</v>
      </c>
      <c r="G43" s="59" t="s">
        <v>793</v>
      </c>
      <c r="H43" s="2496">
        <f>'AFS Structure'!C70</f>
        <v>47</v>
      </c>
      <c r="I43" s="58">
        <v>0</v>
      </c>
      <c r="J43" s="218"/>
      <c r="K43" s="58">
        <v>0</v>
      </c>
      <c r="L43" s="675"/>
      <c r="O43" s="167">
        <v>0</v>
      </c>
      <c r="P43" s="32">
        <f t="shared" ref="P43:P45" si="2">K43-O43</f>
        <v>0</v>
      </c>
      <c r="R43" s="1130" t="s">
        <v>2757</v>
      </c>
    </row>
    <row r="44" spans="1:18" s="32" customFormat="1" ht="17.100000000000001" customHeight="1" x14ac:dyDescent="0.25">
      <c r="A44" s="27"/>
      <c r="B44" s="58">
        <f>'2011 Budget'!J2194-B41+'2011 Budget'!J2196</f>
        <v>28707660.119999986</v>
      </c>
      <c r="C44" s="164"/>
      <c r="D44" s="167">
        <f>'Trial Balance - FPer'!H757</f>
        <v>19902195.19000002</v>
      </c>
      <c r="E44" s="164"/>
      <c r="F44" s="167">
        <f>'Trial Balance - FPer'!I757</f>
        <v>15937708.310000002</v>
      </c>
      <c r="G44" s="59" t="s">
        <v>423</v>
      </c>
      <c r="H44" s="2496">
        <v>35</v>
      </c>
      <c r="I44" s="58">
        <f>'Notes II'!I2997</f>
        <v>20795542.219999995</v>
      </c>
      <c r="J44" s="218"/>
      <c r="K44" s="58">
        <f>'Notes II'!K2997</f>
        <v>19176808.199999999</v>
      </c>
      <c r="L44" s="31"/>
      <c r="O44" s="658">
        <f>18646366+4460</f>
        <v>18650826</v>
      </c>
      <c r="P44" s="32">
        <f>K44+K41-O44+83566</f>
        <v>8629847.6599999964</v>
      </c>
      <c r="R44" s="1130" t="s">
        <v>2758</v>
      </c>
    </row>
    <row r="45" spans="1:18" s="32" customFormat="1" ht="17.100000000000001" hidden="1" customHeight="1" x14ac:dyDescent="0.25">
      <c r="A45" s="674"/>
      <c r="B45" s="658">
        <v>0</v>
      </c>
      <c r="C45" s="660"/>
      <c r="D45" s="658">
        <v>0</v>
      </c>
      <c r="E45" s="660"/>
      <c r="F45" s="658">
        <v>0</v>
      </c>
      <c r="G45" s="59" t="s">
        <v>794</v>
      </c>
      <c r="H45" s="2496">
        <f>'AFS Structure'!C72</f>
        <v>49</v>
      </c>
      <c r="I45" s="58">
        <v>0</v>
      </c>
      <c r="J45" s="218"/>
      <c r="K45" s="58">
        <v>0</v>
      </c>
      <c r="L45" s="675"/>
      <c r="O45" s="30"/>
      <c r="P45" s="32">
        <f t="shared" si="2"/>
        <v>0</v>
      </c>
      <c r="R45" s="1130" t="s">
        <v>2759</v>
      </c>
    </row>
    <row r="46" spans="1:18" s="32" customFormat="1" ht="17.100000000000001" customHeight="1" x14ac:dyDescent="0.25">
      <c r="A46" s="27"/>
      <c r="B46" s="257">
        <v>0</v>
      </c>
      <c r="C46" s="29"/>
      <c r="D46" s="30">
        <v>0</v>
      </c>
      <c r="E46" s="29"/>
      <c r="F46" s="30">
        <v>0</v>
      </c>
      <c r="G46" s="2500" t="s">
        <v>1462</v>
      </c>
      <c r="H46" s="2501"/>
      <c r="I46" s="257">
        <f>'Trial Balance - FPer'!G1095</f>
        <v>131102</v>
      </c>
      <c r="J46" s="2502"/>
      <c r="K46" s="257">
        <v>0</v>
      </c>
      <c r="L46" s="31"/>
      <c r="O46" s="30"/>
      <c r="R46" s="1130" t="s">
        <v>2760</v>
      </c>
    </row>
    <row r="47" spans="1:18" s="175" customFormat="1" ht="17.100000000000001" customHeight="1" x14ac:dyDescent="0.25">
      <c r="A47" s="173"/>
      <c r="B47" s="28"/>
      <c r="C47" s="29"/>
      <c r="D47" s="30"/>
      <c r="E47" s="29"/>
      <c r="F47" s="30"/>
      <c r="G47" s="2500"/>
      <c r="H47" s="2501"/>
      <c r="I47" s="257"/>
      <c r="J47" s="2502"/>
      <c r="K47" s="257"/>
      <c r="L47" s="174"/>
      <c r="O47" s="1654"/>
    </row>
    <row r="48" spans="1:18" s="32" customFormat="1" ht="17.100000000000001" customHeight="1" thickBot="1" x14ac:dyDescent="0.3">
      <c r="A48" s="27"/>
      <c r="B48" s="176">
        <f>SUM(B32:B47)</f>
        <v>81966439.089999974</v>
      </c>
      <c r="C48" s="34"/>
      <c r="D48" s="177">
        <f>SUM(D32:D47)</f>
        <v>72847860.25000003</v>
      </c>
      <c r="E48" s="34"/>
      <c r="F48" s="177">
        <f>SUM(F32:F47)</f>
        <v>67763370.340000018</v>
      </c>
      <c r="G48" s="2503" t="s">
        <v>252</v>
      </c>
      <c r="H48" s="2501"/>
      <c r="I48" s="263">
        <f>SUM(I32:I47)</f>
        <v>137297604.16</v>
      </c>
      <c r="J48" s="2504"/>
      <c r="K48" s="263">
        <f>SUM(K32:K47)</f>
        <v>120200851.13000001</v>
      </c>
      <c r="L48" s="31"/>
      <c r="O48" s="676">
        <f>SUM(O33:O44)</f>
        <v>60072625</v>
      </c>
    </row>
    <row r="49" spans="1:15" s="32" customFormat="1" ht="17.100000000000001" hidden="1" customHeight="1" thickTop="1" x14ac:dyDescent="0.2">
      <c r="A49" s="674"/>
      <c r="B49" s="711"/>
      <c r="C49" s="677"/>
      <c r="D49" s="711"/>
      <c r="E49" s="677"/>
      <c r="F49" s="711"/>
      <c r="G49" s="2505"/>
      <c r="H49" s="2506"/>
      <c r="I49" s="262"/>
      <c r="J49" s="2502"/>
      <c r="K49" s="262"/>
      <c r="L49" s="675"/>
      <c r="O49" s="658"/>
    </row>
    <row r="50" spans="1:15" s="32" customFormat="1" ht="17.100000000000001" hidden="1" customHeight="1" x14ac:dyDescent="0.25">
      <c r="A50" s="674"/>
      <c r="B50" s="658"/>
      <c r="C50" s="660"/>
      <c r="D50" s="658"/>
      <c r="E50" s="660"/>
      <c r="F50" s="658"/>
      <c r="G50" s="225" t="s">
        <v>1463</v>
      </c>
      <c r="H50" s="2496"/>
      <c r="I50" s="58"/>
      <c r="J50" s="218"/>
      <c r="K50" s="58"/>
      <c r="L50" s="675"/>
      <c r="O50" s="712"/>
    </row>
    <row r="51" spans="1:15" s="32" customFormat="1" ht="17.100000000000001" hidden="1" customHeight="1" x14ac:dyDescent="0.25">
      <c r="A51" s="674"/>
      <c r="B51" s="712"/>
      <c r="C51" s="713"/>
      <c r="D51" s="712"/>
      <c r="E51" s="713"/>
      <c r="F51" s="712"/>
      <c r="G51" s="2503" t="s">
        <v>1648</v>
      </c>
      <c r="H51" s="2501"/>
      <c r="I51" s="2507"/>
      <c r="J51" s="2504"/>
      <c r="K51" s="2507"/>
      <c r="L51" s="675"/>
      <c r="O51" s="676"/>
    </row>
    <row r="52" spans="1:15" s="32" customFormat="1" ht="17.100000000000001" hidden="1" customHeight="1" x14ac:dyDescent="0.25">
      <c r="A52" s="674"/>
      <c r="B52" s="676"/>
      <c r="C52" s="677"/>
      <c r="D52" s="676"/>
      <c r="E52" s="677"/>
      <c r="F52" s="676"/>
      <c r="G52" s="2505" t="s">
        <v>795</v>
      </c>
      <c r="H52" s="852">
        <f>'AFS Structure'!C73</f>
        <v>50</v>
      </c>
      <c r="I52" s="257">
        <f>'Notes II'!K3094</f>
        <v>0</v>
      </c>
      <c r="J52" s="2502"/>
      <c r="K52" s="257">
        <f>'Notes II'!K3125</f>
        <v>0</v>
      </c>
      <c r="L52" s="675"/>
      <c r="O52" s="676"/>
    </row>
    <row r="53" spans="1:15" s="32" customFormat="1" ht="17.100000000000001" hidden="1" customHeight="1" x14ac:dyDescent="0.25">
      <c r="A53" s="674"/>
      <c r="B53" s="676"/>
      <c r="C53" s="677"/>
      <c r="D53" s="676"/>
      <c r="E53" s="677"/>
      <c r="F53" s="676"/>
      <c r="G53" s="2505"/>
      <c r="H53" s="2506"/>
      <c r="I53" s="257"/>
      <c r="J53" s="2502"/>
      <c r="K53" s="257"/>
      <c r="L53" s="675"/>
      <c r="O53" s="712"/>
    </row>
    <row r="54" spans="1:15" s="32" customFormat="1" ht="17.100000000000001" hidden="1" customHeight="1" x14ac:dyDescent="0.25">
      <c r="A54" s="674"/>
      <c r="B54" s="712"/>
      <c r="C54" s="713"/>
      <c r="D54" s="712"/>
      <c r="E54" s="713"/>
      <c r="F54" s="712"/>
      <c r="G54" s="2503" t="s">
        <v>1649</v>
      </c>
      <c r="H54" s="2501"/>
      <c r="I54" s="2507"/>
      <c r="J54" s="2504"/>
      <c r="K54" s="2507"/>
      <c r="L54" s="675"/>
      <c r="O54" s="676"/>
    </row>
    <row r="55" spans="1:15" s="32" customFormat="1" ht="33.950000000000003" hidden="1" customHeight="1" x14ac:dyDescent="0.25">
      <c r="A55" s="674"/>
      <c r="B55" s="676"/>
      <c r="C55" s="677"/>
      <c r="D55" s="676"/>
      <c r="E55" s="677"/>
      <c r="F55" s="676"/>
      <c r="G55" s="2508" t="s">
        <v>796</v>
      </c>
      <c r="H55" s="852">
        <f>'AFS Structure'!C39</f>
        <v>16</v>
      </c>
      <c r="I55" s="257">
        <f>'Notes II'!I855</f>
        <v>0</v>
      </c>
      <c r="J55" s="2502"/>
      <c r="K55" s="257">
        <f>'Notes II'!K857</f>
        <v>0</v>
      </c>
      <c r="L55" s="675"/>
      <c r="O55" s="30"/>
    </row>
    <row r="56" spans="1:15" s="32" customFormat="1" ht="17.100000000000001" customHeight="1" thickTop="1" thickBot="1" x14ac:dyDescent="0.3">
      <c r="A56" s="27"/>
      <c r="B56" s="28"/>
      <c r="C56" s="29"/>
      <c r="D56" s="30"/>
      <c r="E56" s="29"/>
      <c r="F56" s="30"/>
      <c r="G56" s="2505"/>
      <c r="H56" s="2506"/>
      <c r="I56" s="257"/>
      <c r="J56" s="2502"/>
      <c r="K56" s="257"/>
      <c r="L56" s="31"/>
      <c r="O56" s="1654"/>
    </row>
    <row r="57" spans="1:15" s="32" customFormat="1" ht="17.100000000000001" customHeight="1" thickTop="1" thickBot="1" x14ac:dyDescent="0.3">
      <c r="A57" s="27"/>
      <c r="B57" s="33">
        <f>+B30-B48+B52+B55</f>
        <v>4865538.7700000405</v>
      </c>
      <c r="C57" s="34"/>
      <c r="D57" s="35">
        <f>+D30-D48+D52+D55</f>
        <v>4772320.4599999636</v>
      </c>
      <c r="E57" s="34"/>
      <c r="F57" s="35">
        <f>+F30-F48+F52+F55</f>
        <v>20439128.169999957</v>
      </c>
      <c r="G57" s="2509" t="s">
        <v>694</v>
      </c>
      <c r="H57" s="2501"/>
      <c r="I57" s="2510">
        <f>+I30-I48+I52+I55</f>
        <v>-17040532.26000002</v>
      </c>
      <c r="J57" s="2504"/>
      <c r="K57" s="2510">
        <f>+K30-K48+K52+K55</f>
        <v>-13820525.900000021</v>
      </c>
      <c r="L57" s="31"/>
      <c r="O57" s="161">
        <f>O30-O48</f>
        <v>15928105</v>
      </c>
    </row>
    <row r="58" spans="1:15" s="32" customFormat="1" ht="17.100000000000001" customHeight="1" thickTop="1" x14ac:dyDescent="0.25">
      <c r="A58" s="27"/>
      <c r="B58" s="29"/>
      <c r="C58" s="29"/>
      <c r="D58" s="37"/>
      <c r="E58" s="29"/>
      <c r="F58" s="37"/>
      <c r="G58" s="38"/>
      <c r="H58" s="36"/>
      <c r="I58" s="36"/>
      <c r="J58" s="29"/>
      <c r="K58" s="29"/>
      <c r="L58" s="31"/>
      <c r="O58" s="161"/>
    </row>
    <row r="59" spans="1:15" s="32" customFormat="1" ht="17.100000000000001" customHeight="1" thickBot="1" x14ac:dyDescent="0.3">
      <c r="A59" s="39"/>
      <c r="B59" s="178">
        <v>0</v>
      </c>
      <c r="C59" s="179"/>
      <c r="D59" s="178">
        <v>0</v>
      </c>
      <c r="E59" s="179"/>
      <c r="F59" s="178">
        <v>0</v>
      </c>
      <c r="G59" s="40" t="s">
        <v>446</v>
      </c>
      <c r="H59" s="41"/>
      <c r="I59" s="178">
        <v>-4.76837158203125E-7</v>
      </c>
      <c r="J59" s="179"/>
      <c r="K59" s="2742">
        <v>5.9604644775390625E-8</v>
      </c>
      <c r="L59" s="42"/>
      <c r="O59" s="161"/>
    </row>
    <row r="60" spans="1:15" ht="16.5" thickTop="1" x14ac:dyDescent="0.25"/>
    <row r="61" spans="1:15" x14ac:dyDescent="0.25">
      <c r="F61" s="25">
        <f>F57+'Trial Balance - FPer'!I5</f>
        <v>0</v>
      </c>
      <c r="L61" s="25"/>
      <c r="M61" s="25"/>
      <c r="N61" s="25"/>
      <c r="O61" s="25"/>
    </row>
    <row r="62" spans="1:15" x14ac:dyDescent="0.25">
      <c r="L62" s="25"/>
      <c r="M62" s="25"/>
      <c r="N62" s="25"/>
      <c r="O62" s="25"/>
    </row>
  </sheetData>
  <mergeCells count="4">
    <mergeCell ref="B1:K1"/>
    <mergeCell ref="B2:K2"/>
    <mergeCell ref="B4:F4"/>
    <mergeCell ref="I4:K4"/>
  </mergeCells>
  <phoneticPr fontId="0" type="noConversion"/>
  <conditionalFormatting sqref="I59 K59 F59 B59:D59">
    <cfRule type="cellIs" dxfId="88" priority="4"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94" orientation="portrait" r:id="rId1"/>
  <headerFooter alignWithMargins="0">
    <oddFooter>&amp;C&amp;12 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45"/>
  <sheetViews>
    <sheetView view="pageBreakPreview" zoomScale="70" zoomScaleNormal="100" zoomScaleSheetLayoutView="70" workbookViewId="0">
      <selection activeCell="J25" sqref="J25"/>
    </sheetView>
  </sheetViews>
  <sheetFormatPr defaultColWidth="9.140625" defaultRowHeight="12.75" outlineLevelCol="1" x14ac:dyDescent="0.2"/>
  <cols>
    <col min="1" max="1" width="1.7109375" style="5" customWidth="1"/>
    <col min="2" max="2" width="73.140625" style="5" customWidth="1"/>
    <col min="3" max="4" width="15.7109375" style="44" hidden="1" customWidth="1"/>
    <col min="5" max="5" width="23.28515625" style="44" hidden="1" customWidth="1" outlineLevel="1"/>
    <col min="6" max="9" width="18" style="44" hidden="1" customWidth="1" outlineLevel="1"/>
    <col min="10" max="10" width="20.85546875" style="44" customWidth="1" outlineLevel="1"/>
    <col min="11" max="12" width="20.85546875" style="44" customWidth="1"/>
    <col min="13" max="13" width="1.7109375" style="45" customWidth="1"/>
    <col min="14" max="15" width="9.140625" style="5"/>
    <col min="16" max="16" width="9.140625" style="5" customWidth="1"/>
    <col min="17" max="16384" width="9.140625" style="5"/>
  </cols>
  <sheetData>
    <row r="1" spans="1:30" s="198" customFormat="1" ht="21" customHeight="1" x14ac:dyDescent="0.3">
      <c r="B1" s="2785" t="str">
        <f>Parameters!C5</f>
        <v>Mohokare Local Municipality</v>
      </c>
      <c r="C1" s="2785"/>
      <c r="D1" s="2785"/>
      <c r="E1" s="2785"/>
      <c r="F1" s="2785"/>
      <c r="G1" s="2785"/>
      <c r="H1" s="2785"/>
      <c r="I1" s="2785"/>
      <c r="J1" s="2785"/>
      <c r="K1" s="2785"/>
      <c r="L1" s="2785"/>
      <c r="M1" s="43"/>
      <c r="N1" s="1194"/>
      <c r="O1" s="1194"/>
      <c r="P1" s="1194"/>
      <c r="Q1" s="1194"/>
      <c r="R1" s="1194"/>
      <c r="S1" s="1194"/>
      <c r="T1" s="1194"/>
      <c r="U1" s="1194"/>
      <c r="V1" s="1194"/>
      <c r="W1" s="1194"/>
      <c r="X1" s="1194"/>
      <c r="Y1" s="1194"/>
      <c r="Z1" s="1194"/>
      <c r="AA1" s="1194"/>
      <c r="AB1" s="1194"/>
      <c r="AC1" s="1194"/>
      <c r="AD1" s="1194"/>
    </row>
    <row r="2" spans="1:30" s="18" customFormat="1" ht="18" customHeight="1" thickBot="1" x14ac:dyDescent="0.3">
      <c r="B2" s="2786" t="str">
        <f>"STATEMENT OF CHANGES IN NET ASSETS FOR THE YEAR ENDED "&amp;Parameters!C6</f>
        <v>STATEMENT OF CHANGES IN NET ASSETS FOR THE YEAR ENDED 30 JUNE 2012</v>
      </c>
      <c r="C2" s="2786"/>
      <c r="D2" s="2786"/>
      <c r="E2" s="2786"/>
      <c r="F2" s="2786"/>
      <c r="G2" s="2786"/>
      <c r="H2" s="2786"/>
      <c r="I2" s="2786"/>
      <c r="J2" s="2786"/>
      <c r="K2" s="2786"/>
      <c r="L2" s="2786"/>
      <c r="M2" s="386"/>
      <c r="N2" s="1195"/>
      <c r="O2" s="1195"/>
      <c r="P2" s="1195"/>
      <c r="Q2" s="1195"/>
      <c r="R2" s="1195"/>
      <c r="S2" s="1195"/>
      <c r="T2" s="1195"/>
      <c r="U2" s="1195"/>
      <c r="V2" s="1195"/>
      <c r="W2" s="1195"/>
      <c r="X2" s="1195"/>
      <c r="Y2" s="1195"/>
      <c r="Z2" s="1195"/>
      <c r="AA2" s="1195"/>
      <c r="AB2" s="1195"/>
      <c r="AC2" s="1195"/>
      <c r="AD2" s="1195"/>
    </row>
    <row r="3" spans="1:30" s="46" customFormat="1" ht="15.95" customHeight="1" x14ac:dyDescent="0.2">
      <c r="A3" s="2292"/>
      <c r="B3" s="2782" t="s">
        <v>7</v>
      </c>
      <c r="C3" s="2298"/>
      <c r="D3" s="2298"/>
      <c r="E3" s="2299"/>
      <c r="F3" s="2300"/>
      <c r="G3" s="2300"/>
      <c r="H3" s="2300"/>
      <c r="I3" s="2300"/>
      <c r="J3" s="2301" t="s">
        <v>40</v>
      </c>
      <c r="K3" s="2298" t="s">
        <v>1447</v>
      </c>
      <c r="L3" s="2298"/>
      <c r="M3" s="2293"/>
      <c r="N3" s="1196"/>
      <c r="O3" s="1196"/>
      <c r="P3" s="1196"/>
      <c r="Q3" s="1196"/>
      <c r="R3" s="1196"/>
      <c r="S3" s="1196"/>
      <c r="T3" s="1196"/>
      <c r="U3" s="1196"/>
      <c r="V3" s="1196"/>
      <c r="W3" s="1196"/>
      <c r="X3" s="1196"/>
      <c r="Y3" s="1196"/>
      <c r="Z3" s="1196"/>
      <c r="AA3" s="1196"/>
      <c r="AB3" s="1196"/>
      <c r="AC3" s="1196"/>
      <c r="AD3" s="1196"/>
    </row>
    <row r="4" spans="1:30" s="46" customFormat="1" ht="15.95" customHeight="1" x14ac:dyDescent="0.2">
      <c r="A4" s="2294"/>
      <c r="B4" s="2783"/>
      <c r="C4" s="2302" t="s">
        <v>202</v>
      </c>
      <c r="D4" s="2302" t="s">
        <v>39</v>
      </c>
      <c r="E4" s="2301" t="s">
        <v>33</v>
      </c>
      <c r="F4" s="2301" t="s">
        <v>36</v>
      </c>
      <c r="G4" s="2301" t="s">
        <v>37</v>
      </c>
      <c r="H4" s="2302" t="s">
        <v>18</v>
      </c>
      <c r="I4" s="2301" t="s">
        <v>38</v>
      </c>
      <c r="J4" s="2302" t="s">
        <v>41</v>
      </c>
      <c r="K4" s="2302" t="s">
        <v>40</v>
      </c>
      <c r="L4" s="2302"/>
      <c r="M4" s="2295"/>
      <c r="N4" s="1196"/>
      <c r="O4" s="1196"/>
      <c r="P4" s="1196"/>
      <c r="Q4" s="1196"/>
      <c r="R4" s="1196"/>
      <c r="S4" s="1196"/>
      <c r="T4" s="1196"/>
      <c r="U4" s="1196"/>
      <c r="V4" s="1196"/>
      <c r="W4" s="1196"/>
      <c r="X4" s="1196"/>
      <c r="Y4" s="1196"/>
      <c r="Z4" s="1196"/>
      <c r="AA4" s="1196"/>
      <c r="AB4" s="1196"/>
      <c r="AC4" s="1196"/>
      <c r="AD4" s="1196"/>
    </row>
    <row r="5" spans="1:30" s="46" customFormat="1" ht="15.95" customHeight="1" x14ac:dyDescent="0.2">
      <c r="A5" s="2294"/>
      <c r="B5" s="2783"/>
      <c r="C5" s="2302" t="s">
        <v>596</v>
      </c>
      <c r="D5" s="2302"/>
      <c r="E5" s="2302" t="s">
        <v>34</v>
      </c>
      <c r="F5" s="2302"/>
      <c r="G5" s="2302" t="s">
        <v>42</v>
      </c>
      <c r="H5" s="2302" t="s">
        <v>1058</v>
      </c>
      <c r="I5" s="2302" t="s">
        <v>30</v>
      </c>
      <c r="J5" s="2302" t="s">
        <v>205</v>
      </c>
      <c r="K5" s="2302" t="s">
        <v>1448</v>
      </c>
      <c r="L5" s="2302" t="s">
        <v>234</v>
      </c>
      <c r="M5" s="2295"/>
      <c r="N5" s="1196"/>
      <c r="O5" s="1196"/>
      <c r="P5" s="1196"/>
      <c r="Q5" s="1196"/>
      <c r="R5" s="1196"/>
      <c r="S5" s="1196"/>
      <c r="T5" s="1196"/>
      <c r="U5" s="1196"/>
      <c r="V5" s="1196"/>
      <c r="W5" s="1196"/>
      <c r="X5" s="1196"/>
      <c r="Y5" s="1196"/>
      <c r="Z5" s="1196"/>
      <c r="AA5" s="1196"/>
      <c r="AB5" s="1196"/>
      <c r="AC5" s="1196"/>
      <c r="AD5" s="1196"/>
    </row>
    <row r="6" spans="1:30" s="46" customFormat="1" ht="15.95" customHeight="1" thickBot="1" x14ac:dyDescent="0.25">
      <c r="A6" s="2296"/>
      <c r="B6" s="2784"/>
      <c r="C6" s="2303" t="s">
        <v>5</v>
      </c>
      <c r="D6" s="2303" t="s">
        <v>35</v>
      </c>
      <c r="E6" s="2303" t="s">
        <v>35</v>
      </c>
      <c r="F6" s="2303" t="s">
        <v>35</v>
      </c>
      <c r="G6" s="2303" t="s">
        <v>35</v>
      </c>
      <c r="H6" s="2303" t="s">
        <v>35</v>
      </c>
      <c r="I6" s="2303" t="s">
        <v>35</v>
      </c>
      <c r="J6" s="2303"/>
      <c r="K6" s="2303" t="s">
        <v>1301</v>
      </c>
      <c r="L6" s="2303"/>
      <c r="M6" s="2297"/>
      <c r="N6" s="1196"/>
      <c r="O6" s="1196"/>
      <c r="P6" s="1196"/>
      <c r="Q6" s="1196"/>
      <c r="R6" s="1196"/>
      <c r="S6" s="1196"/>
      <c r="T6" s="1196"/>
      <c r="U6" s="1196"/>
      <c r="V6" s="1196"/>
      <c r="W6" s="1196"/>
      <c r="X6" s="1196"/>
      <c r="Y6" s="1196"/>
      <c r="Z6" s="1196"/>
      <c r="AA6" s="1196"/>
      <c r="AB6" s="1196"/>
      <c r="AC6" s="1196"/>
      <c r="AD6" s="1196"/>
    </row>
    <row r="7" spans="1:30" s="66" customFormat="1" ht="15.95" customHeight="1" x14ac:dyDescent="0.25">
      <c r="A7" s="2283"/>
      <c r="B7" s="2284"/>
      <c r="C7" s="2285" t="s">
        <v>255</v>
      </c>
      <c r="D7" s="2285" t="s">
        <v>255</v>
      </c>
      <c r="E7" s="2285" t="s">
        <v>255</v>
      </c>
      <c r="F7" s="2285" t="s">
        <v>255</v>
      </c>
      <c r="G7" s="2285" t="s">
        <v>255</v>
      </c>
      <c r="H7" s="2285" t="s">
        <v>255</v>
      </c>
      <c r="I7" s="2285" t="s">
        <v>255</v>
      </c>
      <c r="J7" s="2285" t="s">
        <v>255</v>
      </c>
      <c r="K7" s="2285" t="s">
        <v>255</v>
      </c>
      <c r="L7" s="2285" t="s">
        <v>255</v>
      </c>
      <c r="M7" s="180"/>
      <c r="N7" s="1197"/>
      <c r="O7" s="1197"/>
      <c r="P7" s="1197"/>
      <c r="Q7" s="1197"/>
      <c r="R7" s="1197"/>
      <c r="S7" s="1197"/>
      <c r="T7" s="1197"/>
      <c r="U7" s="1197"/>
      <c r="V7" s="1197"/>
      <c r="W7" s="1197"/>
      <c r="X7" s="1197"/>
      <c r="Y7" s="1197"/>
      <c r="Z7" s="1197"/>
      <c r="AA7" s="1197"/>
      <c r="AB7" s="1197"/>
      <c r="AC7" s="1197"/>
      <c r="AD7" s="1197"/>
    </row>
    <row r="8" spans="1:30" s="66" customFormat="1" ht="15.95" customHeight="1" x14ac:dyDescent="0.25">
      <c r="A8" s="184"/>
      <c r="B8" s="2286">
        <f>Parameters!C19</f>
        <v>2011</v>
      </c>
      <c r="C8" s="2287"/>
      <c r="D8" s="2287"/>
      <c r="E8" s="2287"/>
      <c r="F8" s="2287"/>
      <c r="G8" s="2287"/>
      <c r="H8" s="2287"/>
      <c r="I8" s="2287"/>
      <c r="J8" s="2287"/>
      <c r="K8" s="2287"/>
      <c r="L8" s="2287"/>
      <c r="M8" s="182"/>
      <c r="N8" s="1197"/>
      <c r="O8" s="1197"/>
      <c r="P8" s="1197"/>
      <c r="Q8" s="1197"/>
      <c r="R8" s="1197"/>
      <c r="S8" s="1197"/>
      <c r="T8" s="1197"/>
      <c r="U8" s="1197"/>
      <c r="V8" s="1197"/>
      <c r="W8" s="1197"/>
      <c r="X8" s="1197"/>
      <c r="Y8" s="1197"/>
      <c r="Z8" s="1197"/>
      <c r="AA8" s="1197"/>
      <c r="AB8" s="1197"/>
      <c r="AC8" s="1197"/>
      <c r="AD8" s="1197"/>
    </row>
    <row r="9" spans="1:30" s="66" customFormat="1" ht="15.95" customHeight="1" x14ac:dyDescent="0.2">
      <c r="A9" s="184"/>
      <c r="B9" s="185" t="str">
        <f>"Balance at "&amp;Parameters!C15</f>
        <v>Balance at 30 June 2010</v>
      </c>
      <c r="C9" s="186">
        <v>0</v>
      </c>
      <c r="D9" s="186">
        <v>0</v>
      </c>
      <c r="E9" s="186">
        <v>0</v>
      </c>
      <c r="F9" s="186">
        <f>'Notes II'!N1959</f>
        <v>0</v>
      </c>
      <c r="G9" s="186">
        <f>'Notes II'!N1960</f>
        <v>0</v>
      </c>
      <c r="H9" s="186">
        <f>'Notes II'!N1961</f>
        <v>0</v>
      </c>
      <c r="I9" s="186">
        <v>0</v>
      </c>
      <c r="J9" s="186">
        <v>165991138</v>
      </c>
      <c r="K9" s="186">
        <f>SUM(E9:J9)</f>
        <v>165991138</v>
      </c>
      <c r="L9" s="186">
        <f>SUM(C9:D9,K9)</f>
        <v>165991138</v>
      </c>
      <c r="M9" s="183"/>
      <c r="N9" s="1197"/>
      <c r="O9" s="1197"/>
      <c r="P9" s="1197"/>
      <c r="Q9" s="1197"/>
      <c r="R9" s="1197"/>
      <c r="S9" s="1197"/>
      <c r="T9" s="1197"/>
      <c r="U9" s="1197"/>
      <c r="V9" s="1197"/>
      <c r="W9" s="1197"/>
      <c r="X9" s="1197"/>
      <c r="Y9" s="1197"/>
      <c r="Z9" s="1197"/>
      <c r="AA9" s="1197"/>
      <c r="AB9" s="1197"/>
      <c r="AC9" s="1197"/>
      <c r="AD9" s="1197"/>
    </row>
    <row r="10" spans="1:30" s="66" customFormat="1" ht="15.95" customHeight="1" x14ac:dyDescent="0.2">
      <c r="A10" s="184"/>
      <c r="B10" s="185" t="s">
        <v>8184</v>
      </c>
      <c r="C10" s="186"/>
      <c r="D10" s="186"/>
      <c r="E10" s="186"/>
      <c r="F10" s="186"/>
      <c r="G10" s="186"/>
      <c r="H10" s="186"/>
      <c r="I10" s="186"/>
      <c r="J10" s="186">
        <f>SUM('Notes II'!I3206:I3210)</f>
        <v>-507100.94999999925</v>
      </c>
      <c r="K10" s="186">
        <f>SUM(E10:J10)</f>
        <v>-507100.94999999925</v>
      </c>
      <c r="L10" s="186">
        <f>SUM(C10:D10,K10)</f>
        <v>-507100.94999999925</v>
      </c>
      <c r="M10" s="183"/>
      <c r="N10" s="1197"/>
      <c r="O10" s="1197"/>
      <c r="P10" s="1197"/>
      <c r="Q10" s="1197"/>
      <c r="R10" s="1197"/>
      <c r="S10" s="1197"/>
      <c r="T10" s="1197"/>
      <c r="U10" s="1197"/>
      <c r="V10" s="1197" t="s">
        <v>3948</v>
      </c>
      <c r="W10" s="1197"/>
      <c r="X10" s="1197"/>
      <c r="Y10" s="1197"/>
      <c r="Z10" s="1197"/>
      <c r="AA10" s="1197"/>
      <c r="AB10" s="1197"/>
      <c r="AC10" s="1197"/>
      <c r="AD10" s="1197"/>
    </row>
    <row r="11" spans="1:30" s="188" customFormat="1" ht="15.95" customHeight="1" x14ac:dyDescent="0.2">
      <c r="A11" s="184"/>
      <c r="B11" s="185" t="s">
        <v>8183</v>
      </c>
      <c r="C11" s="186"/>
      <c r="D11" s="186">
        <v>0</v>
      </c>
      <c r="E11" s="186">
        <v>0</v>
      </c>
      <c r="F11" s="186">
        <v>0</v>
      </c>
      <c r="G11" s="186">
        <v>0</v>
      </c>
      <c r="H11" s="186">
        <v>0</v>
      </c>
      <c r="I11" s="186">
        <v>0</v>
      </c>
      <c r="J11" s="186">
        <f>SUM('Notes II'!I3219,'Notes II'!I3221:I3225,'Notes II'!I3228:I3233,'Notes II'!I3236)+'Notes II'!I3235</f>
        <v>160582188.40000001</v>
      </c>
      <c r="K11" s="186">
        <f>SUM(E11:J11)</f>
        <v>160582188.40000001</v>
      </c>
      <c r="L11" s="186">
        <f>SUM(C11:D11,K11)</f>
        <v>160582188.40000001</v>
      </c>
      <c r="M11" s="187"/>
      <c r="N11" s="1198"/>
      <c r="O11" s="1198"/>
      <c r="P11" s="1198"/>
      <c r="Q11" s="1198"/>
      <c r="R11" s="1198"/>
      <c r="S11" s="1198"/>
      <c r="T11" s="1198"/>
      <c r="U11" s="1198"/>
      <c r="V11" s="1197" t="s">
        <v>3949</v>
      </c>
      <c r="W11" s="1198"/>
      <c r="X11" s="1198"/>
      <c r="Y11" s="1198"/>
      <c r="Z11" s="1198"/>
      <c r="AA11" s="1198"/>
      <c r="AB11" s="1198"/>
      <c r="AC11" s="1198"/>
      <c r="AD11" s="1198"/>
    </row>
    <row r="12" spans="1:30" s="66" customFormat="1" ht="15.95" customHeight="1" x14ac:dyDescent="0.25">
      <c r="A12" s="184"/>
      <c r="B12" s="1128" t="s">
        <v>447</v>
      </c>
      <c r="C12" s="687">
        <f>SUM(C9:C11)</f>
        <v>0</v>
      </c>
      <c r="D12" s="687">
        <f>SUM(D9:D11)</f>
        <v>0</v>
      </c>
      <c r="E12" s="687">
        <f t="shared" ref="E12:L12" si="0">SUM(E9:E11)</f>
        <v>0</v>
      </c>
      <c r="F12" s="687">
        <f t="shared" si="0"/>
        <v>0</v>
      </c>
      <c r="G12" s="687">
        <f t="shared" si="0"/>
        <v>0</v>
      </c>
      <c r="H12" s="687">
        <f>SUM(H9:H11)</f>
        <v>0</v>
      </c>
      <c r="I12" s="687">
        <f t="shared" si="0"/>
        <v>0</v>
      </c>
      <c r="J12" s="687">
        <f>SUM(J9:J11)</f>
        <v>326066225.45000005</v>
      </c>
      <c r="K12" s="687">
        <f>SUM(K9:K11)</f>
        <v>326066225.45000005</v>
      </c>
      <c r="L12" s="687">
        <f t="shared" si="0"/>
        <v>326066225.45000005</v>
      </c>
      <c r="M12" s="183"/>
      <c r="N12" s="1197"/>
      <c r="O12" s="1197"/>
      <c r="P12" s="1197"/>
      <c r="Q12" s="1197"/>
      <c r="R12" s="1197"/>
      <c r="S12" s="1197"/>
      <c r="T12" s="1197"/>
      <c r="U12" s="1197"/>
      <c r="V12" s="1197"/>
      <c r="W12" s="1197"/>
      <c r="X12" s="1197"/>
      <c r="Y12" s="1197"/>
      <c r="Z12" s="1197"/>
      <c r="AA12" s="1197"/>
      <c r="AB12" s="1197"/>
      <c r="AC12" s="1197"/>
      <c r="AD12" s="1197"/>
    </row>
    <row r="13" spans="1:30" s="66" customFormat="1" ht="15.95" customHeight="1" x14ac:dyDescent="0.2">
      <c r="A13" s="184"/>
      <c r="B13" s="185" t="s">
        <v>448</v>
      </c>
      <c r="C13" s="186"/>
      <c r="D13" s="186"/>
      <c r="E13" s="186"/>
      <c r="F13" s="186"/>
      <c r="G13" s="186"/>
      <c r="H13" s="186"/>
      <c r="I13" s="186"/>
      <c r="J13" s="186">
        <f>'Fin Perform'!K57</f>
        <v>-13820525.900000021</v>
      </c>
      <c r="K13" s="186">
        <f t="shared" ref="K13:K23" si="1">SUM(E13:J13)</f>
        <v>-13820525.900000021</v>
      </c>
      <c r="L13" s="227">
        <f t="shared" ref="L13:L23" si="2">SUM(C13:D13,K13)</f>
        <v>-13820525.900000021</v>
      </c>
      <c r="M13" s="190"/>
      <c r="N13" s="1197"/>
      <c r="O13" s="1197"/>
      <c r="P13" s="1197"/>
      <c r="Q13" s="1197"/>
      <c r="R13" s="1197"/>
      <c r="S13" s="1197"/>
      <c r="T13" s="1197"/>
      <c r="U13" s="1197"/>
      <c r="V13" s="1197"/>
      <c r="W13" s="1197"/>
      <c r="X13" s="1197"/>
      <c r="Y13" s="1197"/>
      <c r="Z13" s="1197"/>
      <c r="AA13" s="1197"/>
      <c r="AB13" s="1197"/>
      <c r="AC13" s="1197"/>
      <c r="AD13" s="1197"/>
    </row>
    <row r="14" spans="1:30" s="66" customFormat="1" ht="14.25" x14ac:dyDescent="0.2">
      <c r="A14" s="184"/>
      <c r="B14" s="2288" t="s">
        <v>6895</v>
      </c>
      <c r="C14" s="186">
        <v>0</v>
      </c>
      <c r="D14" s="186"/>
      <c r="E14" s="186"/>
      <c r="F14" s="186"/>
      <c r="G14" s="186"/>
      <c r="H14" s="186"/>
      <c r="I14" s="186"/>
      <c r="J14" s="186">
        <v>-3907834</v>
      </c>
      <c r="K14" s="186">
        <f>SUM(E14:J14)</f>
        <v>-3907834</v>
      </c>
      <c r="L14" s="227">
        <f>SUM(C14:D14,K14)</f>
        <v>-3907834</v>
      </c>
      <c r="M14" s="2291"/>
      <c r="N14" s="1197"/>
      <c r="O14" s="1197"/>
      <c r="P14" s="1197"/>
      <c r="Q14" s="1197"/>
      <c r="R14" s="1197"/>
      <c r="S14" s="1197"/>
      <c r="T14" s="1197"/>
      <c r="U14" s="1197"/>
      <c r="V14" s="1197"/>
      <c r="W14" s="1197"/>
      <c r="X14" s="1197"/>
      <c r="Y14" s="1197"/>
      <c r="Z14" s="1197"/>
      <c r="AA14" s="1197"/>
      <c r="AB14" s="1197"/>
      <c r="AC14" s="1197"/>
      <c r="AD14" s="1197"/>
    </row>
    <row r="15" spans="1:30" s="66" customFormat="1" ht="15.95" customHeight="1" x14ac:dyDescent="0.2">
      <c r="A15" s="184"/>
      <c r="B15" s="185" t="s">
        <v>1742</v>
      </c>
      <c r="C15" s="186"/>
      <c r="D15" s="186">
        <v>0</v>
      </c>
      <c r="E15" s="186"/>
      <c r="F15" s="186"/>
      <c r="G15" s="186"/>
      <c r="H15" s="186"/>
      <c r="I15" s="186"/>
      <c r="J15" s="186">
        <v>28523647</v>
      </c>
      <c r="K15" s="186">
        <f>SUM(E15:J15)</f>
        <v>28523647</v>
      </c>
      <c r="L15" s="227">
        <f>SUM(C15:D15,K15)</f>
        <v>28523647</v>
      </c>
      <c r="M15" s="2291"/>
      <c r="N15" s="1197"/>
      <c r="O15" s="1197"/>
      <c r="P15" s="1197"/>
      <c r="Q15" s="1197"/>
      <c r="R15" s="1197"/>
      <c r="S15" s="1197"/>
      <c r="T15" s="1197"/>
      <c r="U15" s="1197"/>
      <c r="V15" s="1197"/>
      <c r="W15" s="1197"/>
      <c r="X15" s="1197"/>
      <c r="Y15" s="1197"/>
      <c r="Z15" s="1197"/>
      <c r="AA15" s="1197"/>
      <c r="AB15" s="1197"/>
      <c r="AC15" s="1197"/>
      <c r="AD15" s="1197"/>
    </row>
    <row r="16" spans="1:30" s="66" customFormat="1" ht="15.95" customHeight="1" x14ac:dyDescent="0.2">
      <c r="A16" s="184"/>
      <c r="B16" s="185" t="s">
        <v>6896</v>
      </c>
      <c r="C16" s="186">
        <v>0</v>
      </c>
      <c r="D16" s="186"/>
      <c r="E16" s="186">
        <v>0</v>
      </c>
      <c r="F16" s="186"/>
      <c r="G16" s="186"/>
      <c r="H16" s="186"/>
      <c r="I16" s="186">
        <v>0</v>
      </c>
      <c r="J16" s="186">
        <v>-8021756</v>
      </c>
      <c r="K16" s="186">
        <f t="shared" si="1"/>
        <v>-8021756</v>
      </c>
      <c r="L16" s="227">
        <f t="shared" si="2"/>
        <v>-8021756</v>
      </c>
      <c r="M16" s="190"/>
      <c r="N16" s="1197"/>
      <c r="O16" s="1197"/>
      <c r="P16" s="1197"/>
      <c r="Q16" s="1197" t="s">
        <v>3950</v>
      </c>
      <c r="R16" s="1197"/>
      <c r="S16" s="1197"/>
      <c r="T16" s="1197"/>
      <c r="U16" s="1197" t="s">
        <v>3951</v>
      </c>
      <c r="V16" s="1197" t="s">
        <v>3964</v>
      </c>
      <c r="W16" s="1197"/>
      <c r="X16" s="1197"/>
      <c r="Y16" s="1197"/>
      <c r="Z16" s="1197"/>
      <c r="AA16" s="1197"/>
      <c r="AB16" s="1197"/>
      <c r="AC16" s="1197"/>
      <c r="AD16" s="1197"/>
    </row>
    <row r="17" spans="1:30" s="66" customFormat="1" ht="15.95" customHeight="1" x14ac:dyDescent="0.2">
      <c r="A17" s="184"/>
      <c r="B17" s="185" t="s">
        <v>6897</v>
      </c>
      <c r="C17" s="186">
        <v>0</v>
      </c>
      <c r="D17" s="186"/>
      <c r="E17" s="186">
        <v>0</v>
      </c>
      <c r="F17" s="186"/>
      <c r="G17" s="186"/>
      <c r="H17" s="186"/>
      <c r="I17" s="186">
        <v>0</v>
      </c>
      <c r="J17" s="186">
        <v>-13263569</v>
      </c>
      <c r="K17" s="186">
        <f>SUM(E17:J17)</f>
        <v>-13263569</v>
      </c>
      <c r="L17" s="227">
        <f>SUM(C17:D17,K17)</f>
        <v>-13263569</v>
      </c>
      <c r="M17" s="190"/>
      <c r="N17" s="1197"/>
      <c r="O17" s="1197"/>
      <c r="P17" s="1197"/>
      <c r="Q17" s="1197" t="s">
        <v>3952</v>
      </c>
      <c r="R17" s="1197"/>
      <c r="S17" s="1197"/>
      <c r="T17" s="1197"/>
      <c r="U17" s="1197" t="s">
        <v>3953</v>
      </c>
      <c r="V17" s="1197"/>
      <c r="W17" s="1197"/>
      <c r="X17" s="1197"/>
      <c r="Y17" s="1197"/>
      <c r="Z17" s="1197"/>
      <c r="AA17" s="1197"/>
      <c r="AB17" s="1197"/>
      <c r="AC17" s="1197"/>
      <c r="AD17" s="1197"/>
    </row>
    <row r="18" spans="1:30" s="66" customFormat="1" ht="15.95" customHeight="1" x14ac:dyDescent="0.2">
      <c r="A18" s="184"/>
      <c r="B18" s="185" t="s">
        <v>6898</v>
      </c>
      <c r="C18" s="186"/>
      <c r="D18" s="186"/>
      <c r="E18" s="186"/>
      <c r="F18" s="186"/>
      <c r="G18" s="186">
        <v>0</v>
      </c>
      <c r="H18" s="186"/>
      <c r="I18" s="186"/>
      <c r="J18" s="186">
        <v>-12373362</v>
      </c>
      <c r="K18" s="186">
        <f>SUM(E18:J18)</f>
        <v>-12373362</v>
      </c>
      <c r="L18" s="227">
        <f>SUM(C18:D18,K18)</f>
        <v>-12373362</v>
      </c>
      <c r="M18" s="190"/>
      <c r="N18" s="1197"/>
      <c r="O18" s="1197"/>
      <c r="P18" s="1197"/>
      <c r="Q18" s="1197"/>
      <c r="R18" s="1197"/>
      <c r="S18" s="1197" t="s">
        <v>3957</v>
      </c>
      <c r="T18" s="1197"/>
      <c r="U18" s="1197"/>
      <c r="V18" s="1197"/>
      <c r="W18" s="1197"/>
      <c r="X18" s="1197"/>
      <c r="Y18" s="1197"/>
      <c r="Z18" s="1197"/>
      <c r="AA18" s="1197"/>
      <c r="AB18" s="1197"/>
      <c r="AC18" s="1197"/>
      <c r="AD18" s="1197"/>
    </row>
    <row r="19" spans="1:30" s="66" customFormat="1" ht="15.95" customHeight="1" x14ac:dyDescent="0.2">
      <c r="A19" s="184"/>
      <c r="B19" s="185" t="s">
        <v>6899</v>
      </c>
      <c r="C19" s="186"/>
      <c r="D19" s="186"/>
      <c r="E19" s="186"/>
      <c r="F19" s="186"/>
      <c r="G19" s="186"/>
      <c r="H19" s="186">
        <v>0</v>
      </c>
      <c r="I19" s="186"/>
      <c r="J19" s="186">
        <v>15038.5</v>
      </c>
      <c r="K19" s="186">
        <f>SUM(E19:J19)</f>
        <v>15038.5</v>
      </c>
      <c r="L19" s="227">
        <f>SUM(C19:D19,K19)</f>
        <v>15038.5</v>
      </c>
      <c r="M19" s="190"/>
      <c r="N19" s="1197"/>
      <c r="O19" s="1197"/>
      <c r="P19" s="1197"/>
      <c r="Q19" s="1197"/>
      <c r="R19" s="1197"/>
      <c r="S19" s="1197"/>
      <c r="T19" s="1197" t="s">
        <v>3960</v>
      </c>
      <c r="U19" s="1197"/>
      <c r="V19" s="1197"/>
      <c r="W19" s="1197"/>
      <c r="X19" s="1197"/>
      <c r="Y19" s="1197"/>
      <c r="Z19" s="1197"/>
      <c r="AA19" s="1197"/>
      <c r="AB19" s="1197"/>
      <c r="AC19" s="1197"/>
      <c r="AD19" s="1197"/>
    </row>
    <row r="20" spans="1:30" s="66" customFormat="1" ht="15.95" hidden="1" customHeight="1" x14ac:dyDescent="0.2">
      <c r="A20" s="184"/>
      <c r="B20" s="185" t="s">
        <v>1744</v>
      </c>
      <c r="C20" s="186">
        <v>0</v>
      </c>
      <c r="D20" s="186"/>
      <c r="E20" s="186">
        <v>0</v>
      </c>
      <c r="F20" s="186"/>
      <c r="G20" s="186"/>
      <c r="H20" s="186"/>
      <c r="I20" s="186">
        <v>0</v>
      </c>
      <c r="J20" s="186">
        <f t="shared" ref="J20" si="3">-SUM(E20:I20)</f>
        <v>0</v>
      </c>
      <c r="K20" s="186">
        <f t="shared" si="1"/>
        <v>0</v>
      </c>
      <c r="L20" s="227">
        <f t="shared" si="2"/>
        <v>0</v>
      </c>
      <c r="M20" s="190"/>
      <c r="N20" s="1197"/>
      <c r="O20" s="1197"/>
      <c r="P20" s="1197"/>
      <c r="Q20" s="1197" t="s">
        <v>3954</v>
      </c>
      <c r="R20" s="1197"/>
      <c r="S20" s="1197"/>
      <c r="T20" s="1197"/>
      <c r="U20" s="1197"/>
      <c r="V20" s="1197"/>
      <c r="W20" s="1197"/>
      <c r="X20" s="1197"/>
      <c r="Y20" s="1197"/>
      <c r="Z20" s="1197"/>
      <c r="AA20" s="1197"/>
      <c r="AB20" s="1197"/>
      <c r="AC20" s="1197"/>
      <c r="AD20" s="1197"/>
    </row>
    <row r="21" spans="1:30" s="66" customFormat="1" ht="15.95" hidden="1" customHeight="1" x14ac:dyDescent="0.2">
      <c r="A21" s="184"/>
      <c r="B21" s="185" t="s">
        <v>253</v>
      </c>
      <c r="C21" s="186"/>
      <c r="D21" s="186"/>
      <c r="E21" s="186"/>
      <c r="F21" s="186"/>
      <c r="G21" s="186"/>
      <c r="H21" s="186"/>
      <c r="I21" s="186">
        <v>0</v>
      </c>
      <c r="J21" s="186">
        <v>0</v>
      </c>
      <c r="K21" s="186">
        <f t="shared" si="1"/>
        <v>0</v>
      </c>
      <c r="L21" s="227">
        <f t="shared" si="2"/>
        <v>0</v>
      </c>
      <c r="M21" s="1418"/>
      <c r="N21" s="1197"/>
      <c r="O21" s="1197"/>
      <c r="P21" s="1197"/>
      <c r="Q21" s="1197"/>
      <c r="R21" s="1197"/>
      <c r="S21" s="1197"/>
      <c r="T21" s="1197"/>
      <c r="U21" s="1197" t="s">
        <v>3963</v>
      </c>
      <c r="V21" s="1197"/>
      <c r="W21" s="1197"/>
      <c r="X21" s="1197"/>
      <c r="Y21" s="1197"/>
      <c r="Z21" s="1197"/>
      <c r="AA21" s="1197"/>
      <c r="AB21" s="1197"/>
      <c r="AC21" s="1197"/>
      <c r="AD21" s="1197"/>
    </row>
    <row r="22" spans="1:30" s="66" customFormat="1" ht="15.95" hidden="1" customHeight="1" x14ac:dyDescent="0.2">
      <c r="A22" s="184"/>
      <c r="B22" s="185" t="s">
        <v>254</v>
      </c>
      <c r="C22" s="186"/>
      <c r="D22" s="186">
        <v>0</v>
      </c>
      <c r="E22" s="186"/>
      <c r="F22" s="186">
        <v>0</v>
      </c>
      <c r="G22" s="186">
        <v>0</v>
      </c>
      <c r="H22" s="186">
        <v>0</v>
      </c>
      <c r="I22" s="186">
        <v>0</v>
      </c>
      <c r="J22" s="186">
        <v>0</v>
      </c>
      <c r="K22" s="186">
        <f t="shared" si="1"/>
        <v>0</v>
      </c>
      <c r="L22" s="227">
        <f t="shared" si="2"/>
        <v>0</v>
      </c>
      <c r="M22" s="190"/>
      <c r="N22" s="1197"/>
      <c r="O22" s="1197"/>
      <c r="P22" s="1197"/>
      <c r="Q22" s="1197"/>
      <c r="R22" s="1197" t="s">
        <v>3955</v>
      </c>
      <c r="S22" s="1197" t="s">
        <v>3958</v>
      </c>
      <c r="T22" s="1197" t="s">
        <v>3962</v>
      </c>
      <c r="U22" s="1197"/>
      <c r="V22" s="1197" t="s">
        <v>3965</v>
      </c>
      <c r="W22" s="1197"/>
      <c r="X22" s="1197"/>
      <c r="Y22" s="1197"/>
      <c r="Z22" s="1197"/>
      <c r="AA22" s="1197"/>
      <c r="AB22" s="1197"/>
      <c r="AC22" s="1197"/>
      <c r="AD22" s="1197"/>
    </row>
    <row r="23" spans="1:30" s="66" customFormat="1" ht="15.95" hidden="1" customHeight="1" x14ac:dyDescent="0.2">
      <c r="A23" s="184"/>
      <c r="B23" s="185" t="s">
        <v>450</v>
      </c>
      <c r="C23" s="248"/>
      <c r="D23" s="186">
        <v>0</v>
      </c>
      <c r="E23" s="248"/>
      <c r="F23" s="248">
        <v>0</v>
      </c>
      <c r="G23" s="248">
        <v>0</v>
      </c>
      <c r="H23" s="248">
        <v>0</v>
      </c>
      <c r="I23" s="248"/>
      <c r="J23" s="248">
        <v>0</v>
      </c>
      <c r="K23" s="248">
        <f t="shared" si="1"/>
        <v>0</v>
      </c>
      <c r="L23" s="227">
        <f t="shared" si="2"/>
        <v>0</v>
      </c>
      <c r="M23" s="190"/>
      <c r="N23" s="1197"/>
      <c r="O23" s="1197"/>
      <c r="P23" s="1199"/>
      <c r="Q23" s="1197"/>
      <c r="R23" s="1197" t="s">
        <v>3956</v>
      </c>
      <c r="S23" s="1197" t="s">
        <v>3959</v>
      </c>
      <c r="T23" s="1197" t="s">
        <v>3961</v>
      </c>
      <c r="U23" s="1197"/>
      <c r="V23" s="1197" t="s">
        <v>3966</v>
      </c>
      <c r="W23" s="1197"/>
      <c r="X23" s="1197"/>
      <c r="Y23" s="1197"/>
      <c r="Z23" s="1197"/>
      <c r="AA23" s="1197"/>
      <c r="AB23" s="1197"/>
      <c r="AC23" s="1197"/>
      <c r="AD23" s="1197"/>
    </row>
    <row r="24" spans="1:30" s="66" customFormat="1" ht="15.95" customHeight="1" thickBot="1" x14ac:dyDescent="0.3">
      <c r="A24" s="184"/>
      <c r="B24" s="1128" t="str">
        <f>"Balance at "&amp;Parameters!C13</f>
        <v>Balance at 30 June 2011</v>
      </c>
      <c r="C24" s="690">
        <f>SUM(C12:C23)</f>
        <v>0</v>
      </c>
      <c r="D24" s="690">
        <f>SUM(D12:D23)</f>
        <v>0</v>
      </c>
      <c r="E24" s="690">
        <f t="shared" ref="E24:K24" si="4">SUM(E12:E23)</f>
        <v>0</v>
      </c>
      <c r="F24" s="690">
        <f t="shared" si="4"/>
        <v>0</v>
      </c>
      <c r="G24" s="690">
        <f t="shared" si="4"/>
        <v>0</v>
      </c>
      <c r="H24" s="690">
        <f>SUM(H12:H23)</f>
        <v>0</v>
      </c>
      <c r="I24" s="690">
        <f t="shared" si="4"/>
        <v>0</v>
      </c>
      <c r="J24" s="690">
        <f>SUM(J12:J23)</f>
        <v>303217864.05000001</v>
      </c>
      <c r="K24" s="690">
        <f t="shared" si="4"/>
        <v>303217864.05000001</v>
      </c>
      <c r="L24" s="690">
        <f>SUM(L12:L23)</f>
        <v>303217864.05000001</v>
      </c>
      <c r="M24" s="192"/>
      <c r="N24" s="1197"/>
      <c r="O24" s="1197"/>
      <c r="P24" s="1197"/>
      <c r="Q24" s="1197"/>
      <c r="R24" s="1197"/>
      <c r="S24" s="1197"/>
      <c r="T24" s="1197"/>
      <c r="U24" s="1197"/>
      <c r="V24" s="1197"/>
      <c r="W24" s="1197"/>
      <c r="X24" s="1197"/>
      <c r="Y24" s="1197"/>
      <c r="Z24" s="1197"/>
      <c r="AA24" s="1197"/>
      <c r="AB24" s="1197"/>
      <c r="AC24" s="1197"/>
      <c r="AD24" s="1197"/>
    </row>
    <row r="25" spans="1:30" s="66" customFormat="1" ht="15.95" customHeight="1" thickTop="1" x14ac:dyDescent="0.25">
      <c r="A25" s="181"/>
      <c r="B25" s="113"/>
      <c r="C25" s="193">
        <f>C24-'Notes II'!K1883</f>
        <v>0</v>
      </c>
      <c r="D25" s="193">
        <f>D24-'Notes II'!K1923</f>
        <v>0</v>
      </c>
      <c r="E25" s="193">
        <f>E24-'Notes II'!K1958</f>
        <v>0</v>
      </c>
      <c r="F25" s="193">
        <f>F24-'Notes II'!K1959</f>
        <v>0</v>
      </c>
      <c r="G25" s="193">
        <f>G24-'Notes II'!K1960</f>
        <v>0</v>
      </c>
      <c r="H25" s="193">
        <f>H24-'Notes II'!K1961</f>
        <v>0</v>
      </c>
      <c r="I25" s="193">
        <f>I24-'Notes II'!K1962</f>
        <v>0</v>
      </c>
      <c r="J25" s="2281">
        <f>J24-'Notes II'!K1963</f>
        <v>-0.47000014781951904</v>
      </c>
      <c r="K25" s="2281">
        <f>K24-'Notes II'!K1965</f>
        <v>-0.47000014781951904</v>
      </c>
      <c r="L25" s="2282">
        <f>L24-'Fin Pos'!L57</f>
        <v>-0.47000014781951904</v>
      </c>
      <c r="M25" s="183"/>
      <c r="N25" s="1197"/>
      <c r="O25" s="1197"/>
      <c r="P25" s="1197"/>
      <c r="Q25" s="1197"/>
      <c r="R25" s="1197"/>
      <c r="S25" s="1197"/>
      <c r="T25" s="1197"/>
      <c r="U25" s="1197"/>
      <c r="V25" s="1197"/>
      <c r="W25" s="1197"/>
      <c r="X25" s="1197"/>
      <c r="Y25" s="1197"/>
      <c r="Z25" s="1197"/>
      <c r="AA25" s="1197"/>
      <c r="AB25" s="1197"/>
      <c r="AC25" s="1197"/>
      <c r="AD25" s="1197"/>
    </row>
    <row r="26" spans="1:30" s="66" customFormat="1" ht="15.95" customHeight="1" x14ac:dyDescent="0.25">
      <c r="A26" s="181"/>
      <c r="B26" s="2286">
        <f>Parameters!C17</f>
        <v>2012</v>
      </c>
      <c r="C26" s="186"/>
      <c r="D26" s="186"/>
      <c r="E26" s="186"/>
      <c r="F26" s="186"/>
      <c r="G26" s="186"/>
      <c r="H26" s="186"/>
      <c r="I26" s="186"/>
      <c r="J26" s="186"/>
      <c r="K26" s="186"/>
      <c r="L26" s="186"/>
      <c r="M26" s="187"/>
      <c r="N26" s="1197"/>
      <c r="O26" s="1197"/>
      <c r="P26" s="1197"/>
      <c r="Q26" s="1197"/>
      <c r="R26" s="1197"/>
      <c r="S26" s="1197"/>
      <c r="T26" s="1197"/>
      <c r="U26" s="1197"/>
      <c r="V26" s="1197"/>
      <c r="W26" s="1197"/>
      <c r="X26" s="1197"/>
      <c r="Y26" s="1197"/>
      <c r="Z26" s="1197"/>
      <c r="AA26" s="1197"/>
      <c r="AB26" s="1197"/>
      <c r="AC26" s="1197"/>
      <c r="AD26" s="1197"/>
    </row>
    <row r="27" spans="1:30" s="66" customFormat="1" ht="15.95" customHeight="1" x14ac:dyDescent="0.2">
      <c r="A27" s="181"/>
      <c r="B27" s="185" t="str">
        <f>"Change in Accounting Policy (Note 36)"</f>
        <v>Change in Accounting Policy (Note 36)</v>
      </c>
      <c r="C27" s="186"/>
      <c r="D27" s="186"/>
      <c r="E27" s="186"/>
      <c r="F27" s="186"/>
      <c r="G27" s="186"/>
      <c r="H27" s="186"/>
      <c r="I27" s="186"/>
      <c r="J27" s="186">
        <v>0</v>
      </c>
      <c r="K27" s="186">
        <f>SUM(E27:J27)</f>
        <v>0</v>
      </c>
      <c r="L27" s="186">
        <f>SUM(C27:D27,K27)</f>
        <v>0</v>
      </c>
      <c r="M27" s="187"/>
      <c r="N27" s="1197"/>
      <c r="O27" s="1197"/>
      <c r="P27" s="1197"/>
      <c r="Q27" s="1197"/>
      <c r="R27" s="1197"/>
      <c r="S27" s="1197"/>
      <c r="T27" s="1197"/>
      <c r="U27" s="1197"/>
      <c r="V27" s="1197" t="s">
        <v>3948</v>
      </c>
      <c r="W27" s="1197"/>
      <c r="X27" s="1197"/>
      <c r="Y27" s="1197"/>
      <c r="Z27" s="1197"/>
      <c r="AA27" s="1197"/>
      <c r="AB27" s="1197"/>
      <c r="AC27" s="1197"/>
      <c r="AD27" s="1197"/>
    </row>
    <row r="28" spans="1:30" s="66" customFormat="1" ht="15.95" customHeight="1" x14ac:dyDescent="0.2">
      <c r="A28" s="181"/>
      <c r="B28" s="185" t="str">
        <f>"Correction of Error (Note 36)"</f>
        <v>Correction of Error (Note 36)</v>
      </c>
      <c r="C28" s="186"/>
      <c r="D28" s="186"/>
      <c r="E28" s="186"/>
      <c r="F28" s="186"/>
      <c r="G28" s="186"/>
      <c r="H28" s="186"/>
      <c r="I28" s="186"/>
      <c r="J28" s="186">
        <v>0</v>
      </c>
      <c r="K28" s="186">
        <f>SUM(E28:J28)</f>
        <v>0</v>
      </c>
      <c r="L28" s="186">
        <f>SUM(C28:D28,K28)</f>
        <v>0</v>
      </c>
      <c r="M28" s="187"/>
      <c r="N28" s="1197"/>
      <c r="O28" s="1197"/>
      <c r="P28" s="1197"/>
      <c r="Q28" s="1198"/>
      <c r="R28" s="1198"/>
      <c r="S28" s="1198"/>
      <c r="T28" s="1198"/>
      <c r="U28" s="1198"/>
      <c r="V28" s="1197" t="s">
        <v>3949</v>
      </c>
      <c r="W28" s="1198"/>
      <c r="X28" s="1197"/>
      <c r="Y28" s="1197"/>
      <c r="Z28" s="1197"/>
      <c r="AA28" s="1197"/>
      <c r="AB28" s="1197"/>
      <c r="AC28" s="1197"/>
      <c r="AD28" s="1197"/>
    </row>
    <row r="29" spans="1:30" s="66" customFormat="1" ht="15.95" customHeight="1" x14ac:dyDescent="0.25">
      <c r="A29" s="181"/>
      <c r="B29" s="1128" t="s">
        <v>447</v>
      </c>
      <c r="C29" s="687">
        <f>SUM(C24:C28)</f>
        <v>0</v>
      </c>
      <c r="D29" s="687">
        <f>SUM(D24:D28)</f>
        <v>0</v>
      </c>
      <c r="E29" s="687">
        <f t="shared" ref="E29:L29" si="5">SUM(E24:E28)</f>
        <v>0</v>
      </c>
      <c r="F29" s="687">
        <f t="shared" si="5"/>
        <v>0</v>
      </c>
      <c r="G29" s="687">
        <f t="shared" si="5"/>
        <v>0</v>
      </c>
      <c r="H29" s="687">
        <f>SUM(H24:H28)</f>
        <v>0</v>
      </c>
      <c r="I29" s="687">
        <f t="shared" si="5"/>
        <v>0</v>
      </c>
      <c r="J29" s="687">
        <f>SUM(J24:J28)+1</f>
        <v>303217864.57999986</v>
      </c>
      <c r="K29" s="687">
        <f t="shared" si="5"/>
        <v>303217863.57999986</v>
      </c>
      <c r="L29" s="687">
        <f t="shared" si="5"/>
        <v>303217863.57999986</v>
      </c>
      <c r="M29" s="187"/>
      <c r="N29" s="1197"/>
      <c r="O29" s="1197"/>
      <c r="P29" s="1197"/>
      <c r="Q29" s="1197"/>
      <c r="R29" s="1197"/>
      <c r="S29" s="1197"/>
      <c r="T29" s="1197"/>
      <c r="U29" s="1197"/>
      <c r="V29" s="1197"/>
      <c r="W29" s="1197"/>
      <c r="X29" s="1197"/>
      <c r="Y29" s="1197"/>
      <c r="Z29" s="1197"/>
      <c r="AA29" s="1197"/>
      <c r="AB29" s="1197"/>
      <c r="AC29" s="1197"/>
      <c r="AD29" s="1197"/>
    </row>
    <row r="30" spans="1:30" s="66" customFormat="1" ht="14.25" customHeight="1" x14ac:dyDescent="0.2">
      <c r="A30" s="181"/>
      <c r="B30" s="185" t="s">
        <v>448</v>
      </c>
      <c r="C30" s="186"/>
      <c r="D30" s="186"/>
      <c r="E30" s="186"/>
      <c r="F30" s="186"/>
      <c r="G30" s="186"/>
      <c r="H30" s="186"/>
      <c r="I30" s="186"/>
      <c r="J30" s="186">
        <f>+'Fin Perform'!I57</f>
        <v>-17040532.26000002</v>
      </c>
      <c r="K30" s="186">
        <f t="shared" ref="K30" si="6">SUM(E30:J30)</f>
        <v>-17040532.26000002</v>
      </c>
      <c r="L30" s="186">
        <f t="shared" ref="L30" si="7">SUM(C30:D30,K30)</f>
        <v>-17040532.26000002</v>
      </c>
      <c r="M30" s="187"/>
      <c r="N30" s="1197"/>
      <c r="O30" s="1197"/>
      <c r="P30" s="1197"/>
      <c r="Q30" s="1197"/>
      <c r="R30" s="1197"/>
      <c r="S30" s="1197"/>
      <c r="T30" s="1197"/>
      <c r="U30" s="1197"/>
      <c r="V30" s="1197"/>
      <c r="W30" s="1197"/>
      <c r="X30" s="1197"/>
      <c r="Y30" s="1197"/>
      <c r="Z30" s="1197"/>
      <c r="AA30" s="1197"/>
      <c r="AB30" s="1197"/>
      <c r="AC30" s="1197"/>
      <c r="AD30" s="1197"/>
    </row>
    <row r="31" spans="1:30" s="66" customFormat="1" ht="14.25" hidden="1" customHeight="1" x14ac:dyDescent="0.2">
      <c r="A31" s="1416"/>
      <c r="B31" s="2288" t="s">
        <v>1579</v>
      </c>
      <c r="C31" s="186">
        <v>0</v>
      </c>
      <c r="D31" s="186"/>
      <c r="E31" s="186"/>
      <c r="F31" s="186"/>
      <c r="G31" s="186"/>
      <c r="H31" s="186"/>
      <c r="I31" s="186"/>
      <c r="J31" s="186">
        <v>0</v>
      </c>
      <c r="K31" s="186">
        <f>SUM(E31:J31)</f>
        <v>0</v>
      </c>
      <c r="L31" s="227">
        <f>SUM(C31:D31,K31)</f>
        <v>0</v>
      </c>
      <c r="M31" s="1418"/>
      <c r="N31" s="1197"/>
      <c r="O31" s="1197"/>
      <c r="P31" s="1197"/>
      <c r="Q31" s="1197"/>
      <c r="R31" s="1197"/>
      <c r="S31" s="1197"/>
      <c r="T31" s="1197"/>
      <c r="U31" s="1197"/>
      <c r="V31" s="1197"/>
      <c r="W31" s="1197"/>
      <c r="X31" s="1197"/>
      <c r="Y31" s="1197"/>
      <c r="Z31" s="1197"/>
      <c r="AA31" s="1197"/>
      <c r="AB31" s="1197"/>
      <c r="AC31" s="1197"/>
      <c r="AD31" s="1197"/>
    </row>
    <row r="32" spans="1:30" s="66" customFormat="1" ht="15.95" hidden="1" customHeight="1" x14ac:dyDescent="0.2">
      <c r="A32" s="1416"/>
      <c r="B32" s="185" t="s">
        <v>1742</v>
      </c>
      <c r="C32" s="186"/>
      <c r="D32" s="186">
        <v>0</v>
      </c>
      <c r="E32" s="186"/>
      <c r="F32" s="186"/>
      <c r="G32" s="186"/>
      <c r="H32" s="186"/>
      <c r="I32" s="186"/>
      <c r="J32" s="186">
        <v>0</v>
      </c>
      <c r="K32" s="186">
        <f>SUM(E32:J32)</f>
        <v>0</v>
      </c>
      <c r="L32" s="186">
        <f>SUM(C32:D32,K32)</f>
        <v>0</v>
      </c>
      <c r="M32" s="1420"/>
      <c r="N32" s="1197"/>
      <c r="O32" s="1197"/>
      <c r="P32" s="1197"/>
      <c r="Q32" s="1197"/>
      <c r="R32" s="1197"/>
      <c r="S32" s="1197"/>
      <c r="T32" s="1197"/>
      <c r="U32" s="1197"/>
      <c r="V32" s="1197"/>
      <c r="W32" s="1197"/>
      <c r="X32" s="1197"/>
      <c r="Y32" s="1197"/>
      <c r="Z32" s="1197"/>
      <c r="AA32" s="1197"/>
      <c r="AB32" s="1197"/>
      <c r="AC32" s="1197"/>
      <c r="AD32" s="1197"/>
    </row>
    <row r="33" spans="1:30" s="66" customFormat="1" ht="15.95" hidden="1" customHeight="1" x14ac:dyDescent="0.2">
      <c r="A33" s="181"/>
      <c r="B33" s="185" t="s">
        <v>1741</v>
      </c>
      <c r="C33" s="186">
        <v>0</v>
      </c>
      <c r="D33" s="186"/>
      <c r="E33" s="186">
        <v>0</v>
      </c>
      <c r="F33" s="186"/>
      <c r="G33" s="186"/>
      <c r="H33" s="186"/>
      <c r="I33" s="186">
        <v>0</v>
      </c>
      <c r="J33" s="186">
        <v>0</v>
      </c>
      <c r="K33" s="186">
        <f t="shared" ref="K33" si="8">SUM(E33:J33)</f>
        <v>0</v>
      </c>
      <c r="L33" s="186">
        <f t="shared" ref="L33" si="9">SUM(C33:D33,K33)</f>
        <v>0</v>
      </c>
      <c r="M33" s="187"/>
      <c r="N33" s="1197"/>
      <c r="O33" s="1197"/>
      <c r="P33" s="1197"/>
      <c r="Q33" s="1197" t="s">
        <v>3950</v>
      </c>
      <c r="R33" s="1197"/>
      <c r="S33" s="1197"/>
      <c r="T33" s="1197"/>
      <c r="U33" s="1197" t="s">
        <v>3951</v>
      </c>
      <c r="V33" s="1197" t="s">
        <v>3964</v>
      </c>
      <c r="W33" s="1197"/>
      <c r="X33" s="1197"/>
      <c r="Y33" s="1197"/>
      <c r="Z33" s="1197"/>
      <c r="AA33" s="1197"/>
      <c r="AB33" s="1197"/>
      <c r="AC33" s="1197"/>
      <c r="AD33" s="1197"/>
    </row>
    <row r="34" spans="1:30" s="66" customFormat="1" ht="15.95" hidden="1" customHeight="1" x14ac:dyDescent="0.2">
      <c r="A34" s="181"/>
      <c r="B34" s="185" t="s">
        <v>1743</v>
      </c>
      <c r="C34" s="186">
        <v>0</v>
      </c>
      <c r="D34" s="186"/>
      <c r="E34" s="186">
        <v>0</v>
      </c>
      <c r="F34" s="186"/>
      <c r="G34" s="186"/>
      <c r="H34" s="186"/>
      <c r="I34" s="186">
        <v>0</v>
      </c>
      <c r="J34" s="186">
        <v>0</v>
      </c>
      <c r="K34" s="186">
        <f>SUM(E34:J34)</f>
        <v>0</v>
      </c>
      <c r="L34" s="186">
        <f>SUM(C34:D34,K34)</f>
        <v>0</v>
      </c>
      <c r="M34" s="187"/>
      <c r="N34" s="1197"/>
      <c r="O34" s="1197"/>
      <c r="P34" s="1197"/>
      <c r="Q34" s="1197" t="s">
        <v>3952</v>
      </c>
      <c r="R34" s="1197"/>
      <c r="S34" s="1197"/>
      <c r="T34" s="1197"/>
      <c r="U34" s="1197" t="s">
        <v>3953</v>
      </c>
      <c r="V34" s="1197"/>
      <c r="W34" s="1197"/>
      <c r="X34" s="1197"/>
      <c r="Y34" s="1197"/>
      <c r="Z34" s="1197"/>
      <c r="AA34" s="1197"/>
      <c r="AB34" s="1197"/>
      <c r="AC34" s="1197"/>
      <c r="AD34" s="1197"/>
    </row>
    <row r="35" spans="1:30" s="66" customFormat="1" ht="15.95" hidden="1" customHeight="1" x14ac:dyDescent="0.2">
      <c r="A35" s="181"/>
      <c r="B35" s="185" t="s">
        <v>449</v>
      </c>
      <c r="C35" s="186"/>
      <c r="D35" s="186"/>
      <c r="E35" s="186"/>
      <c r="F35" s="186"/>
      <c r="G35" s="186">
        <v>0</v>
      </c>
      <c r="H35" s="186"/>
      <c r="I35" s="186"/>
      <c r="J35" s="186">
        <f>-SUM(E35:I35)</f>
        <v>0</v>
      </c>
      <c r="K35" s="186">
        <f>SUM(E35:J35)</f>
        <v>0</v>
      </c>
      <c r="L35" s="186">
        <f>SUM(C35:D35,K35)</f>
        <v>0</v>
      </c>
      <c r="M35" s="187"/>
      <c r="N35" s="1197"/>
      <c r="O35" s="1197"/>
      <c r="P35" s="1197"/>
      <c r="Q35" s="1197"/>
      <c r="R35" s="1197"/>
      <c r="S35" s="1197" t="s">
        <v>3957</v>
      </c>
      <c r="T35" s="1197"/>
      <c r="U35" s="1197"/>
      <c r="V35" s="1197"/>
      <c r="W35" s="1197"/>
      <c r="X35" s="1197"/>
      <c r="Y35" s="1197"/>
      <c r="Z35" s="1197"/>
      <c r="AA35" s="1197"/>
      <c r="AB35" s="1197"/>
      <c r="AC35" s="1197"/>
      <c r="AD35" s="1197"/>
    </row>
    <row r="36" spans="1:30" s="66" customFormat="1" ht="15.95" hidden="1" customHeight="1" x14ac:dyDescent="0.2">
      <c r="A36" s="181"/>
      <c r="B36" s="185" t="s">
        <v>1395</v>
      </c>
      <c r="C36" s="186"/>
      <c r="D36" s="186"/>
      <c r="E36" s="186"/>
      <c r="F36" s="186"/>
      <c r="G36" s="186"/>
      <c r="H36" s="186">
        <v>0</v>
      </c>
      <c r="I36" s="186"/>
      <c r="J36" s="186">
        <f t="shared" ref="J36:J37" si="10">-SUM(E36:I36)</f>
        <v>0</v>
      </c>
      <c r="K36" s="186">
        <f>SUM(E36:J36)</f>
        <v>0</v>
      </c>
      <c r="L36" s="186">
        <f>SUM(C36:D36,K36)</f>
        <v>0</v>
      </c>
      <c r="M36" s="187"/>
      <c r="N36" s="1197"/>
      <c r="O36" s="1197"/>
      <c r="P36" s="1197"/>
      <c r="Q36" s="1197"/>
      <c r="R36" s="1197"/>
      <c r="S36" s="1197"/>
      <c r="T36" s="1197" t="s">
        <v>3960</v>
      </c>
      <c r="U36" s="1197"/>
      <c r="V36" s="1197"/>
      <c r="W36" s="1197"/>
      <c r="X36" s="1197"/>
      <c r="Y36" s="1197"/>
      <c r="Z36" s="1197"/>
      <c r="AA36" s="1197"/>
      <c r="AB36" s="1197"/>
      <c r="AC36" s="1197"/>
      <c r="AD36" s="1197"/>
    </row>
    <row r="37" spans="1:30" s="66" customFormat="1" ht="15.95" hidden="1" customHeight="1" x14ac:dyDescent="0.2">
      <c r="A37" s="181"/>
      <c r="B37" s="185" t="s">
        <v>1744</v>
      </c>
      <c r="C37" s="186">
        <v>0</v>
      </c>
      <c r="D37" s="186"/>
      <c r="E37" s="186">
        <v>0</v>
      </c>
      <c r="F37" s="186"/>
      <c r="G37" s="186"/>
      <c r="H37" s="186"/>
      <c r="I37" s="186">
        <v>0</v>
      </c>
      <c r="J37" s="186">
        <f t="shared" si="10"/>
        <v>0</v>
      </c>
      <c r="K37" s="186">
        <f t="shared" ref="K37:K40" si="11">SUM(E37:J37)</f>
        <v>0</v>
      </c>
      <c r="L37" s="186">
        <f t="shared" ref="L37:L40" si="12">SUM(C37:D37,K37)</f>
        <v>0</v>
      </c>
      <c r="M37" s="187"/>
      <c r="N37" s="1197"/>
      <c r="O37" s="1197"/>
      <c r="P37" s="1197"/>
      <c r="Q37" s="1197" t="s">
        <v>3954</v>
      </c>
      <c r="R37" s="1197"/>
      <c r="S37" s="1197"/>
      <c r="T37" s="1197"/>
      <c r="U37" s="1197"/>
      <c r="V37" s="1197"/>
      <c r="W37" s="1197"/>
      <c r="X37" s="1197"/>
      <c r="Y37" s="1197"/>
      <c r="Z37" s="1197"/>
      <c r="AA37" s="1197"/>
      <c r="AB37" s="1197"/>
      <c r="AC37" s="1197"/>
      <c r="AD37" s="1197"/>
    </row>
    <row r="38" spans="1:30" s="66" customFormat="1" ht="15.95" hidden="1" customHeight="1" x14ac:dyDescent="0.2">
      <c r="A38" s="1416"/>
      <c r="B38" s="185" t="s">
        <v>253</v>
      </c>
      <c r="C38" s="186"/>
      <c r="D38" s="186"/>
      <c r="E38" s="186"/>
      <c r="F38" s="186"/>
      <c r="G38" s="186"/>
      <c r="H38" s="186"/>
      <c r="I38" s="186">
        <v>0</v>
      </c>
      <c r="J38" s="186">
        <v>0</v>
      </c>
      <c r="K38" s="186">
        <f t="shared" si="11"/>
        <v>0</v>
      </c>
      <c r="L38" s="186">
        <f t="shared" si="12"/>
        <v>0</v>
      </c>
      <c r="M38" s="1420"/>
      <c r="N38" s="1197"/>
      <c r="O38" s="1197"/>
      <c r="P38" s="1197"/>
      <c r="Q38" s="1197"/>
      <c r="R38" s="1197"/>
      <c r="S38" s="1197"/>
      <c r="T38" s="1197"/>
      <c r="U38" s="1197" t="s">
        <v>3963</v>
      </c>
      <c r="V38" s="1197"/>
      <c r="W38" s="1197"/>
      <c r="X38" s="1197"/>
      <c r="Y38" s="1197"/>
      <c r="Z38" s="1197"/>
      <c r="AA38" s="1197"/>
      <c r="AB38" s="1197"/>
      <c r="AC38" s="1197"/>
      <c r="AD38" s="1197"/>
    </row>
    <row r="39" spans="1:30" s="66" customFormat="1" ht="15.95" hidden="1" customHeight="1" x14ac:dyDescent="0.2">
      <c r="A39" s="181"/>
      <c r="B39" s="185" t="s">
        <v>254</v>
      </c>
      <c r="C39" s="186"/>
      <c r="D39" s="186">
        <v>0</v>
      </c>
      <c r="E39" s="186"/>
      <c r="F39" s="186">
        <v>0</v>
      </c>
      <c r="G39" s="186">
        <v>0</v>
      </c>
      <c r="H39" s="186">
        <v>0</v>
      </c>
      <c r="I39" s="186">
        <v>0</v>
      </c>
      <c r="J39" s="186">
        <v>0</v>
      </c>
      <c r="K39" s="186">
        <f t="shared" si="11"/>
        <v>0</v>
      </c>
      <c r="L39" s="186">
        <f t="shared" si="12"/>
        <v>0</v>
      </c>
      <c r="M39" s="187"/>
      <c r="N39" s="1197"/>
      <c r="O39" s="1197"/>
      <c r="P39" s="1197"/>
      <c r="Q39" s="1197"/>
      <c r="R39" s="1197" t="s">
        <v>3955</v>
      </c>
      <c r="S39" s="1197" t="s">
        <v>3958</v>
      </c>
      <c r="T39" s="1197" t="s">
        <v>3962</v>
      </c>
      <c r="U39" s="1197"/>
      <c r="V39" s="1197" t="s">
        <v>3965</v>
      </c>
      <c r="W39" s="1197"/>
      <c r="X39" s="1197"/>
      <c r="Y39" s="1197"/>
      <c r="Z39" s="1197"/>
      <c r="AA39" s="1197"/>
      <c r="AB39" s="1197"/>
      <c r="AC39" s="1197"/>
      <c r="AD39" s="1197"/>
    </row>
    <row r="40" spans="1:30" s="66" customFormat="1" ht="15.95" hidden="1" customHeight="1" x14ac:dyDescent="0.2">
      <c r="A40" s="181"/>
      <c r="B40" s="185" t="s">
        <v>450</v>
      </c>
      <c r="C40" s="186"/>
      <c r="D40" s="186">
        <v>0</v>
      </c>
      <c r="E40" s="248"/>
      <c r="F40" s="248">
        <v>0</v>
      </c>
      <c r="G40" s="248">
        <v>0</v>
      </c>
      <c r="H40" s="248">
        <v>0</v>
      </c>
      <c r="I40" s="248"/>
      <c r="J40" s="248">
        <v>0</v>
      </c>
      <c r="K40" s="186">
        <f t="shared" si="11"/>
        <v>0</v>
      </c>
      <c r="L40" s="186">
        <f t="shared" si="12"/>
        <v>0</v>
      </c>
      <c r="M40" s="187"/>
      <c r="N40" s="1197"/>
      <c r="O40" s="1197"/>
      <c r="P40" s="1199"/>
      <c r="Q40" s="1197"/>
      <c r="R40" s="1197" t="s">
        <v>3956</v>
      </c>
      <c r="S40" s="1197" t="s">
        <v>3959</v>
      </c>
      <c r="T40" s="1197" t="s">
        <v>3961</v>
      </c>
      <c r="U40" s="1197"/>
      <c r="V40" s="1197" t="s">
        <v>3966</v>
      </c>
      <c r="W40" s="1197"/>
      <c r="X40" s="1197"/>
      <c r="Y40" s="1197"/>
      <c r="Z40" s="1197"/>
      <c r="AA40" s="1197"/>
      <c r="AB40" s="1197"/>
      <c r="AC40" s="1197"/>
      <c r="AD40" s="1197"/>
    </row>
    <row r="41" spans="1:30" s="66" customFormat="1" ht="15.95" customHeight="1" thickBot="1" x14ac:dyDescent="0.3">
      <c r="A41" s="181"/>
      <c r="B41" s="1128" t="str">
        <f>"Balance at "&amp;Parameters!C11</f>
        <v>Balance at 30 June 2012</v>
      </c>
      <c r="C41" s="690">
        <f>SUM(C29:C40)</f>
        <v>0</v>
      </c>
      <c r="D41" s="690">
        <f>SUM(D29:D40)</f>
        <v>0</v>
      </c>
      <c r="E41" s="690">
        <f t="shared" ref="E41:L41" si="13">SUM(E29:E40)</f>
        <v>0</v>
      </c>
      <c r="F41" s="690">
        <f t="shared" si="13"/>
        <v>0</v>
      </c>
      <c r="G41" s="690">
        <f t="shared" si="13"/>
        <v>0</v>
      </c>
      <c r="H41" s="690">
        <f>SUM(H29:H40)</f>
        <v>0</v>
      </c>
      <c r="I41" s="690">
        <f t="shared" si="13"/>
        <v>0</v>
      </c>
      <c r="J41" s="690">
        <f>SUM(J29:J40)</f>
        <v>286177332.31999981</v>
      </c>
      <c r="K41" s="690">
        <f t="shared" si="13"/>
        <v>286177331.31999981</v>
      </c>
      <c r="L41" s="690">
        <f t="shared" si="13"/>
        <v>286177331.31999981</v>
      </c>
      <c r="M41" s="195"/>
      <c r="N41" s="1197"/>
      <c r="O41" s="1197"/>
      <c r="P41" s="1197"/>
      <c r="Q41" s="1197"/>
      <c r="R41" s="1197"/>
      <c r="S41" s="1197"/>
      <c r="T41" s="1197"/>
      <c r="U41" s="1197"/>
      <c r="V41" s="1197"/>
      <c r="W41" s="1197"/>
      <c r="X41" s="1197"/>
      <c r="Y41" s="1197"/>
      <c r="Z41" s="1197"/>
      <c r="AA41" s="1197"/>
      <c r="AB41" s="1197"/>
      <c r="AC41" s="1197"/>
      <c r="AD41" s="1197"/>
    </row>
    <row r="42" spans="1:30" s="66" customFormat="1" ht="15.95" customHeight="1" thickTop="1" thickBot="1" x14ac:dyDescent="0.25">
      <c r="A42" s="196"/>
      <c r="B42" s="2289"/>
      <c r="C42" s="2290">
        <f>C41-'Notes II'!I1883</f>
        <v>0</v>
      </c>
      <c r="D42" s="2290">
        <f>D41-'Notes II'!I1923</f>
        <v>0</v>
      </c>
      <c r="E42" s="2290">
        <f>E41-'Notes II'!I1958</f>
        <v>0</v>
      </c>
      <c r="F42" s="2290">
        <f>F41-'Notes II'!I1959</f>
        <v>0</v>
      </c>
      <c r="G42" s="2290">
        <f>G41-'Notes II'!I1960</f>
        <v>0</v>
      </c>
      <c r="H42" s="2290">
        <f>H41-'Notes II'!I1961</f>
        <v>0</v>
      </c>
      <c r="I42" s="2290">
        <f>I41-'Notes II'!I1962</f>
        <v>0</v>
      </c>
      <c r="J42" s="2530">
        <f>J41-'Notes II'!I1963</f>
        <v>-0.45000028610229492</v>
      </c>
      <c r="K42" s="2530">
        <f>K41-'Notes II'!I1965</f>
        <v>-1.4500002861022949</v>
      </c>
      <c r="L42" s="2530">
        <f>L41-'Fin Pos'!J57</f>
        <v>-1.4500002861022949</v>
      </c>
      <c r="M42" s="197"/>
      <c r="N42" s="1197"/>
      <c r="O42" s="1197"/>
      <c r="P42" s="1197"/>
      <c r="Q42" s="1197"/>
      <c r="R42" s="1197"/>
      <c r="S42" s="1197"/>
      <c r="T42" s="1197"/>
      <c r="U42" s="1197"/>
      <c r="V42" s="1197"/>
      <c r="W42" s="1197"/>
      <c r="X42" s="1197"/>
      <c r="Y42" s="1197"/>
      <c r="Z42" s="1197"/>
      <c r="AA42" s="1197"/>
      <c r="AB42" s="1197"/>
      <c r="AC42" s="1197"/>
      <c r="AD42" s="1197"/>
    </row>
    <row r="43" spans="1:30" s="66" customFormat="1" ht="14.25" x14ac:dyDescent="0.2">
      <c r="C43" s="106"/>
      <c r="D43" s="106"/>
      <c r="E43" s="106"/>
      <c r="F43" s="106"/>
      <c r="G43" s="106"/>
      <c r="H43" s="106"/>
      <c r="I43" s="106"/>
      <c r="J43" s="106"/>
      <c r="K43" s="106"/>
      <c r="L43" s="106"/>
      <c r="M43" s="117"/>
      <c r="N43" s="1197"/>
      <c r="O43" s="1197"/>
      <c r="P43" s="1197"/>
      <c r="Q43" s="1197"/>
      <c r="R43" s="1197"/>
      <c r="S43" s="1197"/>
      <c r="T43" s="1197"/>
      <c r="U43" s="1197"/>
      <c r="V43" s="1197"/>
      <c r="W43" s="1197"/>
      <c r="X43" s="1197"/>
      <c r="Y43" s="1197"/>
      <c r="Z43" s="1197"/>
      <c r="AA43" s="1197"/>
      <c r="AB43" s="1197"/>
      <c r="AC43" s="1197"/>
      <c r="AD43" s="1197"/>
    </row>
    <row r="44" spans="1:30" s="66" customFormat="1" ht="14.25" x14ac:dyDescent="0.2">
      <c r="B44" s="66" t="str">
        <f>"Details on the movement of the Funds and Reserves are set out in Note 36."</f>
        <v>Details on the movement of the Funds and Reserves are set out in Note 36.</v>
      </c>
      <c r="C44" s="106"/>
      <c r="D44" s="106"/>
      <c r="E44" s="106"/>
      <c r="F44" s="106"/>
      <c r="G44" s="106"/>
      <c r="H44" s="106"/>
      <c r="I44" s="106"/>
      <c r="J44" s="106"/>
      <c r="K44" s="106"/>
      <c r="L44" s="106"/>
      <c r="M44" s="117"/>
      <c r="N44" s="1197"/>
      <c r="O44" s="1197"/>
      <c r="P44" s="1197"/>
      <c r="Q44" s="1197"/>
      <c r="R44" s="1197"/>
      <c r="S44" s="1197"/>
      <c r="T44" s="1197"/>
      <c r="U44" s="1197"/>
      <c r="V44" s="1197"/>
      <c r="W44" s="1197"/>
      <c r="X44" s="1197"/>
      <c r="Y44" s="1197"/>
      <c r="Z44" s="1197"/>
      <c r="AA44" s="1197"/>
      <c r="AB44" s="1197"/>
      <c r="AC44" s="1197"/>
      <c r="AD44" s="1197"/>
    </row>
    <row r="45" spans="1:30" s="66" customFormat="1" ht="14.25" x14ac:dyDescent="0.2">
      <c r="C45" s="106"/>
      <c r="D45" s="106"/>
      <c r="E45" s="106"/>
      <c r="F45" s="106"/>
      <c r="G45" s="106"/>
      <c r="H45" s="106"/>
      <c r="I45" s="106"/>
      <c r="J45" s="106"/>
      <c r="K45" s="106"/>
      <c r="L45" s="106"/>
      <c r="M45" s="117"/>
      <c r="N45" s="1197"/>
      <c r="O45" s="1197"/>
      <c r="P45" s="1197"/>
      <c r="Q45" s="1197"/>
      <c r="R45" s="1197"/>
      <c r="S45" s="1197"/>
      <c r="T45" s="1197"/>
      <c r="U45" s="1197"/>
      <c r="V45" s="1197"/>
      <c r="W45" s="1197"/>
      <c r="X45" s="1197"/>
      <c r="Y45" s="1197"/>
      <c r="Z45" s="1197"/>
      <c r="AA45" s="1197"/>
      <c r="AB45" s="1197"/>
      <c r="AC45" s="1197"/>
      <c r="AD45" s="1197"/>
    </row>
  </sheetData>
  <mergeCells count="3">
    <mergeCell ref="B3:B6"/>
    <mergeCell ref="B1:L1"/>
    <mergeCell ref="B2:L2"/>
  </mergeCells>
  <phoneticPr fontId="0" type="noConversion"/>
  <conditionalFormatting sqref="C42:L42 C25:J25">
    <cfRule type="cellIs" dxfId="87" priority="9" stopIfTrue="1" operator="between">
      <formula>0.001</formula>
      <formula>-0.001</formula>
    </cfRule>
  </conditionalFormatting>
  <conditionalFormatting sqref="J25:L25">
    <cfRule type="cellIs" dxfId="86" priority="10" stopIfTrue="1" operator="between">
      <formula>0.001</formula>
      <formula>-0.001</formula>
    </cfRule>
  </conditionalFormatting>
  <conditionalFormatting sqref="K42:L42 E42">
    <cfRule type="cellIs" dxfId="85" priority="8"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70" orientation="portrait" r:id="rId1"/>
  <headerFooter alignWithMargins="0">
    <oddFooter>&amp;C&amp;12 9</oddFooter>
  </headerFooter>
  <ignoredErrors>
    <ignoredError sqref="K11:L11 L9" formulaRange="1"/>
    <ignoredError sqref="K12:L14 K18:L42 L15 K16:K17" formula="1"/>
    <ignoredError sqref="K15 L16:L17"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58"/>
  <sheetViews>
    <sheetView view="pageBreakPreview" topLeftCell="H1" zoomScale="70" zoomScaleNormal="75" zoomScaleSheetLayoutView="70" workbookViewId="0">
      <selection activeCell="T42" sqref="T42"/>
    </sheetView>
  </sheetViews>
  <sheetFormatPr defaultColWidth="9.140625" defaultRowHeight="15" x14ac:dyDescent="0.2"/>
  <cols>
    <col min="1" max="1" width="1.7109375" style="1" hidden="1" customWidth="1"/>
    <col min="2" max="2" width="16.7109375" style="23" hidden="1" customWidth="1"/>
    <col min="3" max="3" width="1.7109375" style="21" hidden="1" customWidth="1"/>
    <col min="4" max="4" width="16.7109375" style="23" hidden="1" customWidth="1"/>
    <col min="5" max="5" width="1.7109375" style="21" hidden="1" customWidth="1"/>
    <col min="6" max="6" width="16.7109375" style="23" hidden="1" customWidth="1"/>
    <col min="7" max="7" width="1.7109375" style="21" hidden="1" customWidth="1"/>
    <col min="8" max="8" width="74" style="1" customWidth="1"/>
    <col min="9" max="9" width="6.7109375" style="1" customWidth="1"/>
    <col min="10" max="10" width="16.7109375" style="23" customWidth="1"/>
    <col min="11" max="11" width="1.7109375" style="21" customWidth="1"/>
    <col min="12" max="12" width="16.7109375" style="23" customWidth="1"/>
    <col min="13" max="13" width="1.7109375" style="1" customWidth="1"/>
    <col min="14" max="14" width="10" style="1" bestFit="1" customWidth="1"/>
    <col min="15" max="15" width="12.42578125" style="1" bestFit="1" customWidth="1"/>
    <col min="16" max="16384" width="9.140625" style="1"/>
  </cols>
  <sheetData>
    <row r="1" spans="1:13" s="198" customFormat="1" ht="21" customHeight="1" x14ac:dyDescent="0.3">
      <c r="B1" s="2785" t="str">
        <f>Parameters!C5</f>
        <v>Mohokare Local Municipality</v>
      </c>
      <c r="C1" s="2785"/>
      <c r="D1" s="2785"/>
      <c r="E1" s="2785"/>
      <c r="F1" s="2785"/>
      <c r="G1" s="2785"/>
      <c r="H1" s="2785"/>
      <c r="I1" s="2785"/>
      <c r="J1" s="2785"/>
      <c r="K1" s="2785"/>
      <c r="L1" s="2785"/>
      <c r="M1" s="47"/>
    </row>
    <row r="2" spans="1:13" s="18" customFormat="1" ht="18" customHeight="1" thickBot="1" x14ac:dyDescent="0.3">
      <c r="B2" s="2787" t="str">
        <f>"CASH FLOW STATEMENT FOR THE YEAR ENDED "&amp;Parameters!C6</f>
        <v>CASH FLOW STATEMENT FOR THE YEAR ENDED 30 JUNE 2012</v>
      </c>
      <c r="C2" s="2787"/>
      <c r="D2" s="2787"/>
      <c r="E2" s="2787"/>
      <c r="F2" s="2787"/>
      <c r="G2" s="2787"/>
      <c r="H2" s="2787"/>
      <c r="I2" s="2787"/>
      <c r="J2" s="2787"/>
      <c r="K2" s="2787"/>
      <c r="L2" s="2787"/>
      <c r="M2" s="390"/>
    </row>
    <row r="3" spans="1:13" s="66" customFormat="1" ht="17.100000000000001" customHeight="1" thickTop="1" x14ac:dyDescent="0.2">
      <c r="A3" s="62"/>
      <c r="B3" s="64"/>
      <c r="C3" s="64"/>
      <c r="D3" s="64"/>
      <c r="E3" s="64"/>
      <c r="F3" s="64"/>
      <c r="G3" s="64"/>
      <c r="H3" s="63"/>
      <c r="I3" s="63"/>
      <c r="J3" s="64"/>
      <c r="K3" s="64"/>
      <c r="L3" s="64"/>
      <c r="M3" s="65"/>
    </row>
    <row r="4" spans="1:13" s="66" customFormat="1" ht="17.100000000000001" customHeight="1" x14ac:dyDescent="0.25">
      <c r="A4" s="67"/>
      <c r="B4" s="2772" t="s">
        <v>243</v>
      </c>
      <c r="C4" s="2772"/>
      <c r="D4" s="2772"/>
      <c r="E4" s="2773"/>
      <c r="F4" s="2773"/>
      <c r="G4" s="107"/>
      <c r="H4" s="68"/>
      <c r="I4" s="68"/>
      <c r="J4" s="2772" t="s">
        <v>240</v>
      </c>
      <c r="K4" s="2773"/>
      <c r="L4" s="2773"/>
      <c r="M4" s="90"/>
    </row>
    <row r="5" spans="1:13" s="66" customFormat="1" ht="17.100000000000001" customHeight="1" x14ac:dyDescent="0.25">
      <c r="A5" s="67"/>
      <c r="B5" s="1209">
        <f>Parameters!C19</f>
        <v>2011</v>
      </c>
      <c r="D5" s="1210" t="str">
        <f>Parameters!C17 &amp; " Original"</f>
        <v>2012 Original</v>
      </c>
      <c r="F5" s="1210" t="str">
        <f>Parameters!C17 &amp; " Adjusted"</f>
        <v>2012 Adjusted</v>
      </c>
      <c r="H5" s="48"/>
      <c r="I5" s="2569"/>
      <c r="J5" s="1263">
        <f>Parameters!C17</f>
        <v>2012</v>
      </c>
      <c r="K5" s="188"/>
      <c r="L5" s="1263">
        <f>Parameters!C19</f>
        <v>2011</v>
      </c>
      <c r="M5" s="2572"/>
    </row>
    <row r="6" spans="1:13" s="66" customFormat="1" ht="17.100000000000001" customHeight="1" x14ac:dyDescent="0.25">
      <c r="A6" s="67"/>
      <c r="B6" s="73" t="s">
        <v>255</v>
      </c>
      <c r="C6" s="1646"/>
      <c r="D6" s="70" t="s">
        <v>255</v>
      </c>
      <c r="E6" s="72"/>
      <c r="F6" s="70" t="s">
        <v>255</v>
      </c>
      <c r="G6" s="72"/>
      <c r="H6" s="48"/>
      <c r="I6" s="48"/>
      <c r="J6" s="237" t="s">
        <v>255</v>
      </c>
      <c r="K6" s="2568"/>
      <c r="L6" s="237" t="s">
        <v>255</v>
      </c>
      <c r="M6" s="2573"/>
    </row>
    <row r="7" spans="1:13" s="66" customFormat="1" ht="17.100000000000001" customHeight="1" x14ac:dyDescent="0.25">
      <c r="A7" s="67"/>
      <c r="B7" s="75"/>
      <c r="C7" s="1646"/>
      <c r="D7" s="69"/>
      <c r="E7" s="72"/>
      <c r="F7" s="69"/>
      <c r="G7" s="72"/>
      <c r="H7" s="50" t="s">
        <v>797</v>
      </c>
      <c r="I7" s="48" t="s">
        <v>256</v>
      </c>
      <c r="J7" s="2574"/>
      <c r="K7" s="2568"/>
      <c r="L7" s="2574"/>
      <c r="M7" s="2573"/>
    </row>
    <row r="8" spans="1:13" s="66" customFormat="1" ht="17.100000000000001" customHeight="1" x14ac:dyDescent="0.25">
      <c r="A8" s="67"/>
      <c r="B8" s="76"/>
      <c r="C8" s="1646"/>
      <c r="D8" s="71"/>
      <c r="E8" s="72"/>
      <c r="F8" s="71"/>
      <c r="G8" s="72"/>
      <c r="H8" s="48"/>
      <c r="I8" s="48"/>
      <c r="J8" s="238"/>
      <c r="K8" s="2568"/>
      <c r="L8" s="238"/>
      <c r="M8" s="2573"/>
    </row>
    <row r="9" spans="1:13" s="66" customFormat="1" ht="17.100000000000001" customHeight="1" x14ac:dyDescent="0.25">
      <c r="A9" s="67"/>
      <c r="B9" s="76"/>
      <c r="C9" s="1646"/>
      <c r="D9" s="71"/>
      <c r="E9" s="1645"/>
      <c r="F9" s="71"/>
      <c r="G9" s="1645"/>
      <c r="H9" s="50" t="s">
        <v>4490</v>
      </c>
      <c r="I9" s="48"/>
      <c r="J9" s="238"/>
      <c r="K9" s="2568"/>
      <c r="L9" s="238"/>
      <c r="M9" s="2573"/>
    </row>
    <row r="10" spans="1:13" s="66" customFormat="1" ht="17.100000000000001" customHeight="1" x14ac:dyDescent="0.25">
      <c r="A10" s="67"/>
      <c r="B10" s="79">
        <v>0</v>
      </c>
      <c r="C10" s="78"/>
      <c r="D10" s="77">
        <v>0</v>
      </c>
      <c r="E10" s="78"/>
      <c r="F10" s="77">
        <v>0</v>
      </c>
      <c r="G10" s="78"/>
      <c r="H10" s="48" t="s">
        <v>7644</v>
      </c>
      <c r="I10" s="2569"/>
      <c r="J10" s="2575">
        <v>126562317</v>
      </c>
      <c r="K10" s="2576"/>
      <c r="L10" s="2577">
        <v>115155264</v>
      </c>
      <c r="M10" s="2573"/>
    </row>
    <row r="11" spans="1:13" s="66" customFormat="1" ht="17.100000000000001" hidden="1" customHeight="1" x14ac:dyDescent="0.25">
      <c r="A11" s="67"/>
      <c r="B11" s="79"/>
      <c r="C11" s="78"/>
      <c r="D11" s="77"/>
      <c r="E11" s="78"/>
      <c r="F11" s="77"/>
      <c r="G11" s="78"/>
      <c r="H11" s="48" t="s">
        <v>1058</v>
      </c>
      <c r="I11" s="2569"/>
      <c r="J11" s="2575"/>
      <c r="K11" s="2576"/>
      <c r="L11" s="2575"/>
      <c r="M11" s="2573"/>
    </row>
    <row r="12" spans="1:13" s="66" customFormat="1" ht="17.100000000000001" hidden="1" customHeight="1" x14ac:dyDescent="0.25">
      <c r="A12" s="67"/>
      <c r="B12" s="79"/>
      <c r="C12" s="78"/>
      <c r="D12" s="77"/>
      <c r="E12" s="78"/>
      <c r="F12" s="77"/>
      <c r="G12" s="78"/>
      <c r="H12" s="48" t="s">
        <v>445</v>
      </c>
      <c r="I12" s="2569"/>
      <c r="J12" s="2575"/>
      <c r="K12" s="2576"/>
      <c r="L12" s="2575"/>
      <c r="M12" s="2573"/>
    </row>
    <row r="13" spans="1:13" s="66" customFormat="1" ht="17.100000000000001" hidden="1" customHeight="1" x14ac:dyDescent="0.25">
      <c r="A13" s="67"/>
      <c r="B13" s="79"/>
      <c r="C13" s="78"/>
      <c r="D13" s="77"/>
      <c r="E13" s="78"/>
      <c r="F13" s="77"/>
      <c r="G13" s="78"/>
      <c r="H13" s="48" t="s">
        <v>405</v>
      </c>
      <c r="I13" s="2569"/>
      <c r="J13" s="2575"/>
      <c r="K13" s="2576"/>
      <c r="L13" s="2575"/>
      <c r="M13" s="2573"/>
    </row>
    <row r="14" spans="1:13" s="66" customFormat="1" ht="17.100000000000001" hidden="1" customHeight="1" x14ac:dyDescent="0.25">
      <c r="A14" s="642"/>
      <c r="B14" s="1421">
        <v>0</v>
      </c>
      <c r="C14" s="1422"/>
      <c r="D14" s="1421">
        <v>0</v>
      </c>
      <c r="E14" s="1422"/>
      <c r="F14" s="1421">
        <v>0</v>
      </c>
      <c r="G14" s="1422"/>
      <c r="H14" s="48" t="s">
        <v>410</v>
      </c>
      <c r="I14" s="2569"/>
      <c r="J14" s="2575"/>
      <c r="K14" s="2576"/>
      <c r="L14" s="2575"/>
      <c r="M14" s="2573"/>
    </row>
    <row r="15" spans="1:13" s="66" customFormat="1" ht="17.100000000000001" hidden="1" customHeight="1" x14ac:dyDescent="0.25">
      <c r="A15" s="642"/>
      <c r="B15" s="1421">
        <v>0</v>
      </c>
      <c r="C15" s="1422"/>
      <c r="D15" s="1421">
        <v>0</v>
      </c>
      <c r="E15" s="1422"/>
      <c r="F15" s="1421">
        <v>0</v>
      </c>
      <c r="G15" s="1422"/>
      <c r="H15" s="48" t="s">
        <v>786</v>
      </c>
      <c r="I15" s="2569"/>
      <c r="J15" s="2575"/>
      <c r="K15" s="2576"/>
      <c r="L15" s="2575"/>
      <c r="M15" s="2573"/>
    </row>
    <row r="16" spans="1:13" s="66" customFormat="1" ht="17.100000000000001" customHeight="1" x14ac:dyDescent="0.25">
      <c r="A16" s="67"/>
      <c r="B16" s="79">
        <v>0</v>
      </c>
      <c r="C16" s="78"/>
      <c r="D16" s="77">
        <v>0</v>
      </c>
      <c r="E16" s="78"/>
      <c r="F16" s="77">
        <v>0</v>
      </c>
      <c r="G16" s="78"/>
      <c r="H16" s="48" t="s">
        <v>4493</v>
      </c>
      <c r="I16" s="2569"/>
      <c r="J16" s="2575">
        <v>413886</v>
      </c>
      <c r="K16" s="2576"/>
      <c r="L16" s="2575">
        <v>258129</v>
      </c>
      <c r="M16" s="2573"/>
    </row>
    <row r="17" spans="1:15" s="66" customFormat="1" ht="17.100000000000001" hidden="1" customHeight="1" x14ac:dyDescent="0.25">
      <c r="A17" s="67"/>
      <c r="B17" s="79"/>
      <c r="C17" s="78"/>
      <c r="D17" s="77"/>
      <c r="E17" s="78"/>
      <c r="F17" s="77"/>
      <c r="G17" s="78"/>
      <c r="H17" s="48" t="s">
        <v>4491</v>
      </c>
      <c r="I17" s="2569"/>
      <c r="J17" s="2575"/>
      <c r="K17" s="2576"/>
      <c r="L17" s="2575"/>
      <c r="M17" s="2573"/>
    </row>
    <row r="18" spans="1:15" s="66" customFormat="1" ht="17.100000000000001" customHeight="1" x14ac:dyDescent="0.25">
      <c r="A18" s="67"/>
      <c r="B18" s="79"/>
      <c r="C18" s="78"/>
      <c r="D18" s="77"/>
      <c r="E18" s="78"/>
      <c r="F18" s="77"/>
      <c r="G18" s="78"/>
      <c r="H18" s="48"/>
      <c r="I18" s="2569"/>
      <c r="J18" s="2575"/>
      <c r="K18" s="2576"/>
      <c r="L18" s="2575"/>
      <c r="M18" s="2573"/>
    </row>
    <row r="19" spans="1:15" s="66" customFormat="1" ht="17.100000000000001" customHeight="1" x14ac:dyDescent="0.25">
      <c r="A19" s="67"/>
      <c r="B19" s="79"/>
      <c r="C19" s="78"/>
      <c r="D19" s="77"/>
      <c r="E19" s="78"/>
      <c r="F19" s="77"/>
      <c r="G19" s="78"/>
      <c r="H19" s="50" t="s">
        <v>4492</v>
      </c>
      <c r="I19" s="2569"/>
      <c r="J19" s="2575"/>
      <c r="K19" s="2576"/>
      <c r="L19" s="2575"/>
      <c r="M19" s="2573"/>
    </row>
    <row r="20" spans="1:15" s="66" customFormat="1" ht="17.100000000000001" customHeight="1" x14ac:dyDescent="0.25">
      <c r="A20" s="67"/>
      <c r="B20" s="79"/>
      <c r="C20" s="78"/>
      <c r="D20" s="77"/>
      <c r="E20" s="78"/>
      <c r="F20" s="77"/>
      <c r="G20" s="78"/>
      <c r="H20" s="48" t="s">
        <v>7645</v>
      </c>
      <c r="I20" s="2569"/>
      <c r="J20" s="2575">
        <v>-110208287</v>
      </c>
      <c r="K20" s="2576"/>
      <c r="L20" s="2575">
        <f>-88814995</f>
        <v>-88814995</v>
      </c>
      <c r="M20" s="2573"/>
    </row>
    <row r="21" spans="1:15" s="66" customFormat="1" ht="17.100000000000001" hidden="1" customHeight="1" x14ac:dyDescent="0.25">
      <c r="A21" s="67"/>
      <c r="B21" s="79"/>
      <c r="C21" s="78"/>
      <c r="D21" s="77">
        <v>0</v>
      </c>
      <c r="E21" s="78"/>
      <c r="F21" s="77"/>
      <c r="G21" s="78"/>
      <c r="H21" s="48" t="s">
        <v>250</v>
      </c>
      <c r="I21" s="2569"/>
      <c r="J21" s="2575"/>
      <c r="K21" s="2576"/>
      <c r="L21" s="2575"/>
      <c r="M21" s="2573"/>
    </row>
    <row r="22" spans="1:15" s="66" customFormat="1" ht="17.100000000000001" customHeight="1" x14ac:dyDescent="0.25">
      <c r="A22" s="67"/>
      <c r="B22" s="81">
        <v>0</v>
      </c>
      <c r="C22" s="78"/>
      <c r="D22" s="80">
        <v>0</v>
      </c>
      <c r="E22" s="78"/>
      <c r="F22" s="80">
        <v>0</v>
      </c>
      <c r="G22" s="78"/>
      <c r="H22" s="48" t="s">
        <v>419</v>
      </c>
      <c r="I22" s="2569"/>
      <c r="J22" s="2578">
        <f>-'Fin Perform'!I39</f>
        <v>-2080323.24</v>
      </c>
      <c r="K22" s="2576"/>
      <c r="L22" s="2579">
        <v>-2436791</v>
      </c>
      <c r="M22" s="2573"/>
    </row>
    <row r="23" spans="1:15" s="66" customFormat="1" ht="17.100000000000001" hidden="1" customHeight="1" x14ac:dyDescent="0.25">
      <c r="A23" s="67"/>
      <c r="B23" s="79">
        <v>0</v>
      </c>
      <c r="C23" s="78"/>
      <c r="D23" s="77">
        <v>0</v>
      </c>
      <c r="E23" s="78"/>
      <c r="F23" s="77">
        <v>0</v>
      </c>
      <c r="G23" s="78"/>
      <c r="H23" s="48" t="s">
        <v>4494</v>
      </c>
      <c r="I23" s="2569"/>
      <c r="J23" s="2575"/>
      <c r="K23" s="2576"/>
      <c r="L23" s="2575"/>
      <c r="M23" s="2573"/>
    </row>
    <row r="24" spans="1:15" s="66" customFormat="1" ht="17.100000000000001" hidden="1" customHeight="1" x14ac:dyDescent="0.25">
      <c r="A24" s="67"/>
      <c r="B24" s="79"/>
      <c r="C24" s="78"/>
      <c r="D24" s="77"/>
      <c r="E24" s="78"/>
      <c r="F24" s="77"/>
      <c r="G24" s="78"/>
      <c r="H24" s="48" t="s">
        <v>4495</v>
      </c>
      <c r="I24" s="2569"/>
      <c r="J24" s="2575"/>
      <c r="K24" s="2576"/>
      <c r="L24" s="2575"/>
      <c r="M24" s="2573"/>
    </row>
    <row r="25" spans="1:15" s="66" customFormat="1" ht="17.100000000000001" customHeight="1" x14ac:dyDescent="0.25">
      <c r="A25" s="67"/>
      <c r="B25" s="79"/>
      <c r="C25" s="78"/>
      <c r="D25" s="82"/>
      <c r="E25" s="78"/>
      <c r="F25" s="82"/>
      <c r="G25" s="78"/>
      <c r="H25" s="48"/>
      <c r="I25" s="2569"/>
      <c r="J25" s="2580"/>
      <c r="K25" s="2576"/>
      <c r="L25" s="2575"/>
      <c r="M25" s="2573"/>
    </row>
    <row r="26" spans="1:15" s="66" customFormat="1" ht="17.100000000000001" customHeight="1" thickBot="1" x14ac:dyDescent="0.3">
      <c r="A26" s="67"/>
      <c r="B26" s="85">
        <f>SUM(B9:B25)</f>
        <v>0</v>
      </c>
      <c r="C26" s="84"/>
      <c r="D26" s="83">
        <f>SUM(D9:D25)</f>
        <v>0</v>
      </c>
      <c r="E26" s="84"/>
      <c r="F26" s="83">
        <f>SUM(F9:F25)</f>
        <v>0</v>
      </c>
      <c r="G26" s="84"/>
      <c r="H26" s="50" t="s">
        <v>4497</v>
      </c>
      <c r="I26" s="2569">
        <v>39</v>
      </c>
      <c r="J26" s="2581">
        <f>SUM(J9:J25)</f>
        <v>14687592.76</v>
      </c>
      <c r="K26" s="2582"/>
      <c r="L26" s="2581">
        <f>SUM(L9:L25)</f>
        <v>24161607</v>
      </c>
      <c r="M26" s="2573"/>
      <c r="N26" s="2571">
        <f>J26-'Notes II'!I3954</f>
        <v>-4.2527151312679052</v>
      </c>
      <c r="O26" s="2571">
        <f>L26-'Notes II'!K3954</f>
        <v>0.2200000211596489</v>
      </c>
    </row>
    <row r="27" spans="1:15" s="66" customFormat="1" ht="17.100000000000001" customHeight="1" thickTop="1" x14ac:dyDescent="0.25">
      <c r="A27" s="67"/>
      <c r="B27" s="87"/>
      <c r="C27" s="78"/>
      <c r="D27" s="86"/>
      <c r="E27" s="78"/>
      <c r="F27" s="86"/>
      <c r="G27" s="78"/>
      <c r="H27" s="48"/>
      <c r="I27" s="2569"/>
      <c r="J27" s="2583"/>
      <c r="K27" s="2576"/>
      <c r="L27" s="2583"/>
      <c r="M27" s="2573"/>
    </row>
    <row r="28" spans="1:15" s="66" customFormat="1" ht="17.100000000000001" customHeight="1" x14ac:dyDescent="0.25">
      <c r="A28" s="67"/>
      <c r="B28" s="87"/>
      <c r="C28" s="78"/>
      <c r="D28" s="86"/>
      <c r="E28" s="78"/>
      <c r="F28" s="86"/>
      <c r="G28" s="78"/>
      <c r="H28" s="50" t="s">
        <v>258</v>
      </c>
      <c r="I28" s="2569"/>
      <c r="J28" s="2583"/>
      <c r="K28" s="2576"/>
      <c r="L28" s="2583"/>
      <c r="M28" s="2573"/>
    </row>
    <row r="29" spans="1:15" s="66" customFormat="1" ht="17.100000000000001" customHeight="1" x14ac:dyDescent="0.25">
      <c r="A29" s="67"/>
      <c r="B29" s="87"/>
      <c r="C29" s="78"/>
      <c r="D29" s="86"/>
      <c r="E29" s="78"/>
      <c r="F29" s="86"/>
      <c r="G29" s="78"/>
      <c r="H29" s="48"/>
      <c r="I29" s="2569"/>
      <c r="J29" s="2583"/>
      <c r="K29" s="2576"/>
      <c r="L29" s="2583"/>
      <c r="M29" s="2573"/>
    </row>
    <row r="30" spans="1:15" s="66" customFormat="1" ht="17.100000000000001" customHeight="1" x14ac:dyDescent="0.25">
      <c r="A30" s="67"/>
      <c r="B30" s="79">
        <v>0</v>
      </c>
      <c r="C30" s="78"/>
      <c r="D30" s="77">
        <v>0</v>
      </c>
      <c r="E30" s="78"/>
      <c r="F30" s="77">
        <v>0</v>
      </c>
      <c r="G30" s="78"/>
      <c r="H30" s="48" t="s">
        <v>799</v>
      </c>
      <c r="I30" s="2569">
        <v>7</v>
      </c>
      <c r="J30" s="2575">
        <v>-20098952</v>
      </c>
      <c r="K30" s="2576"/>
      <c r="L30" s="2575">
        <v>-29980227</v>
      </c>
      <c r="M30" s="2573"/>
    </row>
    <row r="31" spans="1:15" s="66" customFormat="1" ht="17.100000000000001" hidden="1" customHeight="1" x14ac:dyDescent="0.25">
      <c r="A31" s="67"/>
      <c r="B31" s="79">
        <v>0</v>
      </c>
      <c r="C31" s="78"/>
      <c r="D31" s="77">
        <v>0</v>
      </c>
      <c r="E31" s="78"/>
      <c r="F31" s="77">
        <v>0</v>
      </c>
      <c r="G31" s="78"/>
      <c r="H31" s="48" t="s">
        <v>800</v>
      </c>
      <c r="I31" s="2569"/>
      <c r="J31" s="2575"/>
      <c r="K31" s="2576"/>
      <c r="L31" s="2575"/>
      <c r="M31" s="2573"/>
    </row>
    <row r="32" spans="1:15" s="66" customFormat="1" ht="17.100000000000001" hidden="1" customHeight="1" x14ac:dyDescent="0.25">
      <c r="A32" s="642"/>
      <c r="B32" s="1421">
        <v>0</v>
      </c>
      <c r="C32" s="1422"/>
      <c r="D32" s="1421">
        <v>0</v>
      </c>
      <c r="E32" s="1422"/>
      <c r="F32" s="1421">
        <v>0</v>
      </c>
      <c r="G32" s="1422"/>
      <c r="H32" s="48" t="s">
        <v>801</v>
      </c>
      <c r="I32" s="2569"/>
      <c r="J32" s="2575"/>
      <c r="K32" s="2576"/>
      <c r="L32" s="2575"/>
      <c r="M32" s="2573"/>
    </row>
    <row r="33" spans="1:15" s="66" customFormat="1" ht="17.100000000000001" hidden="1" customHeight="1" x14ac:dyDescent="0.25">
      <c r="A33" s="642"/>
      <c r="B33" s="1421">
        <v>0</v>
      </c>
      <c r="C33" s="1422"/>
      <c r="D33" s="1421">
        <v>0</v>
      </c>
      <c r="E33" s="1422"/>
      <c r="F33" s="1421">
        <v>0</v>
      </c>
      <c r="G33" s="1422"/>
      <c r="H33" s="48" t="s">
        <v>4504</v>
      </c>
      <c r="I33" s="2569"/>
      <c r="J33" s="2575"/>
      <c r="K33" s="2576"/>
      <c r="L33" s="2575"/>
      <c r="M33" s="2573"/>
    </row>
    <row r="34" spans="1:15" s="66" customFormat="1" ht="17.100000000000001" customHeight="1" x14ac:dyDescent="0.25">
      <c r="A34" s="67"/>
      <c r="B34" s="79">
        <v>0</v>
      </c>
      <c r="C34" s="78"/>
      <c r="D34" s="77">
        <v>0</v>
      </c>
      <c r="E34" s="78"/>
      <c r="F34" s="77">
        <v>0</v>
      </c>
      <c r="G34" s="78"/>
      <c r="H34" s="48" t="s">
        <v>802</v>
      </c>
      <c r="I34" s="2569"/>
      <c r="J34" s="2575">
        <v>5</v>
      </c>
      <c r="K34" s="2576"/>
      <c r="L34" s="2575">
        <v>740308</v>
      </c>
      <c r="M34" s="2573"/>
    </row>
    <row r="35" spans="1:15" s="66" customFormat="1" ht="17.100000000000001" hidden="1" customHeight="1" x14ac:dyDescent="0.25">
      <c r="A35" s="642"/>
      <c r="B35" s="1421">
        <v>0</v>
      </c>
      <c r="C35" s="1422"/>
      <c r="D35" s="1421">
        <v>0</v>
      </c>
      <c r="E35" s="1422"/>
      <c r="F35" s="1421">
        <v>0</v>
      </c>
      <c r="G35" s="1422"/>
      <c r="H35" s="48" t="s">
        <v>1464</v>
      </c>
      <c r="I35" s="2569"/>
      <c r="J35" s="2575"/>
      <c r="K35" s="2576"/>
      <c r="L35" s="2575"/>
      <c r="M35" s="2573"/>
    </row>
    <row r="36" spans="1:15" s="66" customFormat="1" ht="17.100000000000001" hidden="1" customHeight="1" x14ac:dyDescent="0.25">
      <c r="A36" s="642"/>
      <c r="B36" s="1421">
        <v>0</v>
      </c>
      <c r="C36" s="1422"/>
      <c r="D36" s="1421">
        <v>0</v>
      </c>
      <c r="E36" s="1422"/>
      <c r="F36" s="1421">
        <v>0</v>
      </c>
      <c r="G36" s="1422"/>
      <c r="H36" s="48" t="s">
        <v>1465</v>
      </c>
      <c r="I36" s="2569"/>
      <c r="J36" s="2575"/>
      <c r="K36" s="2576"/>
      <c r="L36" s="2575"/>
      <c r="M36" s="2573"/>
    </row>
    <row r="37" spans="1:15" s="66" customFormat="1" ht="17.100000000000001" hidden="1" customHeight="1" x14ac:dyDescent="0.25">
      <c r="A37" s="67"/>
      <c r="B37" s="79">
        <v>0</v>
      </c>
      <c r="C37" s="78"/>
      <c r="D37" s="77">
        <v>0</v>
      </c>
      <c r="E37" s="78"/>
      <c r="F37" s="77">
        <v>0</v>
      </c>
      <c r="G37" s="78"/>
      <c r="H37" s="48" t="s">
        <v>4505</v>
      </c>
      <c r="I37" s="2569"/>
      <c r="J37" s="2575"/>
      <c r="K37" s="2576"/>
      <c r="L37" s="2575"/>
      <c r="M37" s="2573"/>
    </row>
    <row r="38" spans="1:15" s="66" customFormat="1" ht="17.100000000000001" hidden="1" customHeight="1" x14ac:dyDescent="0.25">
      <c r="A38" s="67"/>
      <c r="B38" s="79">
        <v>0</v>
      </c>
      <c r="C38" s="78"/>
      <c r="D38" s="77">
        <v>0</v>
      </c>
      <c r="E38" s="78"/>
      <c r="F38" s="77">
        <v>0</v>
      </c>
      <c r="G38" s="78"/>
      <c r="H38" s="48" t="s">
        <v>1304</v>
      </c>
      <c r="I38" s="2569"/>
      <c r="J38" s="2575"/>
      <c r="K38" s="2576"/>
      <c r="L38" s="2575"/>
      <c r="M38" s="2573"/>
    </row>
    <row r="39" spans="1:15" s="66" customFormat="1" ht="17.100000000000001" customHeight="1" x14ac:dyDescent="0.25">
      <c r="A39" s="642"/>
      <c r="B39" s="1421">
        <v>0</v>
      </c>
      <c r="C39" s="1422"/>
      <c r="D39" s="1421">
        <v>0</v>
      </c>
      <c r="E39" s="1422"/>
      <c r="F39" s="1421">
        <v>0</v>
      </c>
      <c r="G39" s="1422"/>
      <c r="H39" s="48" t="s">
        <v>1651</v>
      </c>
      <c r="I39" s="2569"/>
      <c r="J39" s="2575">
        <v>0</v>
      </c>
      <c r="K39" s="2576"/>
      <c r="L39" s="2575">
        <v>-95826</v>
      </c>
      <c r="M39" s="2573"/>
    </row>
    <row r="40" spans="1:15" s="66" customFormat="1" ht="17.100000000000001" hidden="1" customHeight="1" x14ac:dyDescent="0.25">
      <c r="A40" s="642"/>
      <c r="B40" s="1421">
        <v>0</v>
      </c>
      <c r="C40" s="1422"/>
      <c r="D40" s="1421">
        <v>0</v>
      </c>
      <c r="E40" s="1422"/>
      <c r="F40" s="1421">
        <v>0</v>
      </c>
      <c r="G40" s="1422"/>
      <c r="H40" s="48" t="s">
        <v>1652</v>
      </c>
      <c r="I40" s="2569"/>
      <c r="J40" s="2575"/>
      <c r="K40" s="2576"/>
      <c r="L40" s="2575"/>
      <c r="M40" s="2573"/>
    </row>
    <row r="41" spans="1:15" s="66" customFormat="1" ht="17.100000000000001" hidden="1" customHeight="1" x14ac:dyDescent="0.25">
      <c r="A41" s="67"/>
      <c r="B41" s="79">
        <v>0</v>
      </c>
      <c r="C41" s="78"/>
      <c r="D41" s="82">
        <v>0</v>
      </c>
      <c r="E41" s="78"/>
      <c r="F41" s="82">
        <v>0</v>
      </c>
      <c r="G41" s="78"/>
      <c r="H41" s="48" t="s">
        <v>1653</v>
      </c>
      <c r="I41" s="2569"/>
      <c r="J41" s="2580"/>
      <c r="K41" s="2576"/>
      <c r="L41" s="2575"/>
      <c r="M41" s="2573"/>
    </row>
    <row r="42" spans="1:15" s="66" customFormat="1" ht="17.100000000000001" customHeight="1" x14ac:dyDescent="0.25">
      <c r="A42" s="67"/>
      <c r="B42" s="81"/>
      <c r="C42" s="89"/>
      <c r="D42" s="88"/>
      <c r="E42" s="89"/>
      <c r="F42" s="88"/>
      <c r="G42" s="89"/>
      <c r="H42" s="50"/>
      <c r="I42" s="2569"/>
      <c r="J42" s="2584"/>
      <c r="K42" s="2584"/>
      <c r="L42" s="2579"/>
      <c r="M42" s="2585"/>
    </row>
    <row r="43" spans="1:15" s="66" customFormat="1" ht="17.100000000000001" customHeight="1" thickBot="1" x14ac:dyDescent="0.3">
      <c r="A43" s="67"/>
      <c r="B43" s="85">
        <f>SUM(B30:B42)</f>
        <v>0</v>
      </c>
      <c r="C43" s="92"/>
      <c r="D43" s="91">
        <f>SUM(D30:D42)</f>
        <v>0</v>
      </c>
      <c r="E43" s="92"/>
      <c r="F43" s="91">
        <f>SUM(F30:F42)</f>
        <v>0</v>
      </c>
      <c r="G43" s="92"/>
      <c r="H43" s="50" t="s">
        <v>4498</v>
      </c>
      <c r="I43" s="2569"/>
      <c r="J43" s="2586">
        <f>SUM(J30:J42)</f>
        <v>-20098947</v>
      </c>
      <c r="K43" s="2587"/>
      <c r="L43" s="2581">
        <f>SUM(L30:L42)</f>
        <v>-29335745</v>
      </c>
      <c r="M43" s="2585"/>
    </row>
    <row r="44" spans="1:15" s="66" customFormat="1" ht="17.100000000000001" customHeight="1" thickTop="1" x14ac:dyDescent="0.25">
      <c r="A44" s="67"/>
      <c r="B44" s="79"/>
      <c r="C44" s="89"/>
      <c r="D44" s="93"/>
      <c r="E44" s="89"/>
      <c r="F44" s="93"/>
      <c r="G44" s="89"/>
      <c r="H44" s="48"/>
      <c r="I44" s="2569"/>
      <c r="J44" s="2588"/>
      <c r="K44" s="2584"/>
      <c r="L44" s="2575"/>
      <c r="M44" s="2585"/>
    </row>
    <row r="45" spans="1:15" s="66" customFormat="1" ht="17.100000000000001" customHeight="1" x14ac:dyDescent="0.25">
      <c r="A45" s="67"/>
      <c r="B45" s="79"/>
      <c r="C45" s="89"/>
      <c r="D45" s="93"/>
      <c r="E45" s="89"/>
      <c r="F45" s="93"/>
      <c r="G45" s="89"/>
      <c r="H45" s="50" t="s">
        <v>259</v>
      </c>
      <c r="I45" s="2569"/>
      <c r="J45" s="2588"/>
      <c r="K45" s="2584"/>
      <c r="L45" s="2575"/>
      <c r="M45" s="2585"/>
    </row>
    <row r="46" spans="1:15" s="66" customFormat="1" ht="17.100000000000001" customHeight="1" x14ac:dyDescent="0.25">
      <c r="A46" s="67"/>
      <c r="B46" s="79"/>
      <c r="C46" s="89"/>
      <c r="D46" s="93"/>
      <c r="E46" s="89"/>
      <c r="F46" s="93"/>
      <c r="G46" s="89"/>
      <c r="H46" s="48"/>
      <c r="I46" s="2569"/>
      <c r="J46" s="2588"/>
      <c r="K46" s="2584"/>
      <c r="L46" s="2575"/>
      <c r="M46" s="2585"/>
    </row>
    <row r="47" spans="1:15" s="66" customFormat="1" ht="17.100000000000001" hidden="1" customHeight="1" x14ac:dyDescent="0.25">
      <c r="A47" s="67"/>
      <c r="B47" s="79">
        <v>0</v>
      </c>
      <c r="C47" s="89"/>
      <c r="D47" s="93">
        <v>0</v>
      </c>
      <c r="E47" s="89"/>
      <c r="F47" s="93">
        <v>0</v>
      </c>
      <c r="G47" s="89"/>
      <c r="H47" s="48" t="s">
        <v>4496</v>
      </c>
      <c r="I47" s="2569"/>
      <c r="J47" s="2588"/>
      <c r="K47" s="2584"/>
      <c r="L47" s="2575"/>
      <c r="M47" s="2585"/>
      <c r="O47" s="94"/>
    </row>
    <row r="48" spans="1:15" s="66" customFormat="1" ht="17.100000000000001" customHeight="1" x14ac:dyDescent="0.25">
      <c r="A48" s="67"/>
      <c r="B48" s="79">
        <v>0</v>
      </c>
      <c r="C48" s="89"/>
      <c r="D48" s="93">
        <v>0</v>
      </c>
      <c r="E48" s="89"/>
      <c r="F48" s="93">
        <v>0</v>
      </c>
      <c r="G48" s="89"/>
      <c r="H48" s="48" t="s">
        <v>8153</v>
      </c>
      <c r="I48" s="2569"/>
      <c r="J48" s="2588">
        <v>3337384</v>
      </c>
      <c r="K48" s="2584"/>
      <c r="L48" s="2575">
        <v>4593703</v>
      </c>
      <c r="M48" s="2585"/>
      <c r="O48" s="94"/>
    </row>
    <row r="49" spans="1:15" s="66" customFormat="1" ht="17.100000000000001" hidden="1" customHeight="1" x14ac:dyDescent="0.25">
      <c r="A49" s="642"/>
      <c r="B49" s="1421">
        <v>0</v>
      </c>
      <c r="C49" s="1424"/>
      <c r="D49" s="1425">
        <v>0</v>
      </c>
      <c r="E49" s="1424"/>
      <c r="F49" s="1425">
        <v>0</v>
      </c>
      <c r="G49" s="1424"/>
      <c r="H49" s="48" t="s">
        <v>1650</v>
      </c>
      <c r="I49" s="2569"/>
      <c r="J49" s="2588"/>
      <c r="K49" s="2584"/>
      <c r="L49" s="2575"/>
      <c r="M49" s="2585"/>
      <c r="O49" s="94"/>
    </row>
    <row r="50" spans="1:15" s="66" customFormat="1" ht="17.100000000000001" customHeight="1" x14ac:dyDescent="0.25">
      <c r="A50" s="67"/>
      <c r="B50" s="79"/>
      <c r="C50" s="89"/>
      <c r="D50" s="93"/>
      <c r="E50" s="89"/>
      <c r="F50" s="93"/>
      <c r="G50" s="89"/>
      <c r="H50" s="48"/>
      <c r="I50" s="2569"/>
      <c r="J50" s="2588"/>
      <c r="K50" s="2584"/>
      <c r="L50" s="2575"/>
      <c r="M50" s="2585"/>
    </row>
    <row r="51" spans="1:15" s="66" customFormat="1" ht="17.100000000000001" customHeight="1" thickBot="1" x14ac:dyDescent="0.3">
      <c r="A51" s="67"/>
      <c r="B51" s="85">
        <f>SUM(B47:B50)</f>
        <v>0</v>
      </c>
      <c r="C51" s="92"/>
      <c r="D51" s="91">
        <f>SUM(D47:D50)</f>
        <v>0</v>
      </c>
      <c r="E51" s="92"/>
      <c r="F51" s="91">
        <f>SUM(F47:F50)</f>
        <v>0</v>
      </c>
      <c r="G51" s="92"/>
      <c r="H51" s="50" t="s">
        <v>4499</v>
      </c>
      <c r="I51" s="2569"/>
      <c r="J51" s="2586">
        <f>SUM(J47:J50)</f>
        <v>3337384</v>
      </c>
      <c r="K51" s="2587"/>
      <c r="L51" s="2581">
        <f>SUM(L47:L50)</f>
        <v>4593703</v>
      </c>
      <c r="M51" s="2585"/>
    </row>
    <row r="52" spans="1:15" s="66" customFormat="1" ht="17.100000000000001" customHeight="1" thickTop="1" x14ac:dyDescent="0.25">
      <c r="A52" s="67"/>
      <c r="B52" s="81"/>
      <c r="C52" s="89"/>
      <c r="D52" s="88"/>
      <c r="E52" s="89"/>
      <c r="F52" s="88"/>
      <c r="G52" s="89"/>
      <c r="H52" s="48"/>
      <c r="I52" s="2569"/>
      <c r="J52" s="2584"/>
      <c r="K52" s="2584"/>
      <c r="L52" s="2579"/>
      <c r="M52" s="2585"/>
    </row>
    <row r="53" spans="1:15" s="66" customFormat="1" ht="17.100000000000001" customHeight="1" thickBot="1" x14ac:dyDescent="0.3">
      <c r="A53" s="67"/>
      <c r="B53" s="96">
        <f>B56-B55</f>
        <v>0</v>
      </c>
      <c r="C53" s="92"/>
      <c r="D53" s="95">
        <f>D56-D55</f>
        <v>0</v>
      </c>
      <c r="E53" s="92"/>
      <c r="F53" s="95">
        <f>F56-F55</f>
        <v>0</v>
      </c>
      <c r="G53" s="92"/>
      <c r="H53" s="50" t="s">
        <v>1468</v>
      </c>
      <c r="I53" s="2569"/>
      <c r="J53" s="96">
        <f>J56-J55</f>
        <v>-2073969.5400000033</v>
      </c>
      <c r="K53" s="2587"/>
      <c r="L53" s="96">
        <f>L56-L55</f>
        <v>-580434.0299999998</v>
      </c>
      <c r="M53" s="2585"/>
    </row>
    <row r="54" spans="1:15" s="66" customFormat="1" ht="17.100000000000001" customHeight="1" thickTop="1" x14ac:dyDescent="0.25">
      <c r="A54" s="67"/>
      <c r="B54" s="98">
        <f>B53-SUM(B26+B43+B51)</f>
        <v>0</v>
      </c>
      <c r="C54" s="89"/>
      <c r="D54" s="97">
        <f>D53-SUM(D26+D43+D51)</f>
        <v>0</v>
      </c>
      <c r="E54" s="89"/>
      <c r="F54" s="97">
        <f>F53-SUM(F26+F43+F51)</f>
        <v>0</v>
      </c>
      <c r="G54" s="89"/>
      <c r="H54" s="50"/>
      <c r="I54" s="2569"/>
      <c r="J54" s="2610">
        <f>J53-SUM(J26+J43+J51)</f>
        <v>0.6999999969266355</v>
      </c>
      <c r="K54" s="2584"/>
      <c r="L54" s="2610">
        <f>L53-SUM(L26+L43+L51)</f>
        <v>0.97000000020489097</v>
      </c>
      <c r="M54" s="2585"/>
    </row>
    <row r="55" spans="1:15" s="66" customFormat="1" ht="17.100000000000001" customHeight="1" x14ac:dyDescent="0.25">
      <c r="A55" s="67"/>
      <c r="B55" s="100">
        <v>0</v>
      </c>
      <c r="C55" s="89"/>
      <c r="D55" s="99">
        <v>0</v>
      </c>
      <c r="E55" s="89"/>
      <c r="F55" s="99">
        <v>0</v>
      </c>
      <c r="G55" s="89"/>
      <c r="H55" s="48" t="s">
        <v>4500</v>
      </c>
      <c r="I55" s="2569"/>
      <c r="J55" s="2589">
        <f>'Notes I'!K898</f>
        <v>-1552792.0299999998</v>
      </c>
      <c r="K55" s="2584"/>
      <c r="L55" s="2590">
        <f>'Notes I'!N898</f>
        <v>-972358</v>
      </c>
      <c r="M55" s="2585"/>
      <c r="O55" s="2571"/>
    </row>
    <row r="56" spans="1:15" s="66" customFormat="1" ht="17.100000000000001" customHeight="1" x14ac:dyDescent="0.25">
      <c r="A56" s="67"/>
      <c r="B56" s="102">
        <v>0</v>
      </c>
      <c r="C56" s="89"/>
      <c r="D56" s="101">
        <v>0</v>
      </c>
      <c r="E56" s="89"/>
      <c r="F56" s="101">
        <v>0</v>
      </c>
      <c r="G56" s="89"/>
      <c r="H56" s="48" t="s">
        <v>4501</v>
      </c>
      <c r="I56" s="2569"/>
      <c r="J56" s="2591">
        <f>'Notes I'!I898</f>
        <v>-3626761.5700000031</v>
      </c>
      <c r="K56" s="2584"/>
      <c r="L56" s="2592">
        <f>'Notes I'!K898</f>
        <v>-1552792.0299999998</v>
      </c>
      <c r="M56" s="2585"/>
      <c r="O56" s="2571"/>
    </row>
    <row r="57" spans="1:15" s="66" customFormat="1" ht="17.100000000000001" customHeight="1" thickBot="1" x14ac:dyDescent="0.3">
      <c r="A57" s="103"/>
      <c r="B57" s="105"/>
      <c r="C57" s="105"/>
      <c r="D57" s="104"/>
      <c r="E57" s="105"/>
      <c r="F57" s="104"/>
      <c r="G57" s="105"/>
      <c r="H57" s="2593"/>
      <c r="I57" s="2594"/>
      <c r="J57" s="2595"/>
      <c r="K57" s="2595"/>
      <c r="L57" s="2595"/>
      <c r="M57" s="2596"/>
    </row>
    <row r="58" spans="1:15" ht="15.75" thickTop="1" x14ac:dyDescent="0.2"/>
  </sheetData>
  <mergeCells count="4">
    <mergeCell ref="J4:L4"/>
    <mergeCell ref="B4:F4"/>
    <mergeCell ref="B1:L1"/>
    <mergeCell ref="B2:L2"/>
  </mergeCells>
  <phoneticPr fontId="0" type="noConversion"/>
  <conditionalFormatting sqref="L54 B54:D54">
    <cfRule type="cellIs" dxfId="84" priority="5" stopIfTrue="1" operator="between">
      <formula>0.001</formula>
      <formula>-0.001</formula>
    </cfRule>
  </conditionalFormatting>
  <conditionalFormatting sqref="J54 F54">
    <cfRule type="cellIs" dxfId="83" priority="6" stopIfTrue="1" operator="between">
      <formula>0.001</formula>
      <formula>-0.001</formula>
    </cfRule>
  </conditionalFormatting>
  <conditionalFormatting sqref="D54">
    <cfRule type="cellIs" dxfId="82"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82" orientation="portrait" r:id="rId1"/>
  <headerFooter alignWithMargins="0">
    <oddFooter>&amp;C&amp;12 10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617"/>
  <sheetViews>
    <sheetView tabSelected="1" view="pageBreakPreview" topLeftCell="A8" zoomScale="75" zoomScaleNormal="70" zoomScaleSheetLayoutView="75" workbookViewId="0">
      <selection activeCell="B16" sqref="B16"/>
    </sheetView>
  </sheetViews>
  <sheetFormatPr defaultRowHeight="15" x14ac:dyDescent="0.25"/>
  <cols>
    <col min="1" max="1" width="5.7109375" style="1127" customWidth="1"/>
    <col min="2" max="2" width="42.7109375" style="1127" customWidth="1"/>
    <col min="3" max="6" width="14.7109375" style="1127" customWidth="1"/>
    <col min="7" max="7" width="16.42578125" style="1127" customWidth="1"/>
    <col min="8" max="8" width="16.140625" style="1127" bestFit="1" customWidth="1"/>
    <col min="9" max="9" width="15.7109375" style="1127" customWidth="1"/>
    <col min="10" max="10" width="14.7109375" style="1127" customWidth="1"/>
    <col min="11" max="11" width="17.42578125" style="1127" bestFit="1" customWidth="1"/>
    <col min="12" max="12" width="9.140625" style="1208" customWidth="1"/>
    <col min="13" max="13" width="15.5703125" style="1208" customWidth="1"/>
    <col min="14" max="14" width="9.140625" style="1208"/>
    <col min="15" max="15" width="32.7109375" style="1111" bestFit="1" customWidth="1"/>
    <col min="16" max="16" width="9.140625" style="1208"/>
    <col min="17" max="17" width="9.140625" style="230"/>
    <col min="18" max="18" width="15.140625" style="50" bestFit="1" customWidth="1"/>
    <col min="19" max="19" width="9.140625" style="230"/>
    <col min="20" max="256" width="9.140625" style="1208"/>
    <col min="257" max="257" width="5.7109375" style="1208" customWidth="1"/>
    <col min="258" max="258" width="40.7109375" style="1208" customWidth="1"/>
    <col min="259" max="267" width="14.7109375" style="1208" customWidth="1"/>
    <col min="268" max="512" width="9.140625" style="1208"/>
    <col min="513" max="513" width="5.7109375" style="1208" customWidth="1"/>
    <col min="514" max="514" width="40.7109375" style="1208" customWidth="1"/>
    <col min="515" max="523" width="14.7109375" style="1208" customWidth="1"/>
    <col min="524" max="768" width="9.140625" style="1208"/>
    <col min="769" max="769" width="5.7109375" style="1208" customWidth="1"/>
    <col min="770" max="770" width="40.7109375" style="1208" customWidth="1"/>
    <col min="771" max="779" width="14.7109375" style="1208" customWidth="1"/>
    <col min="780" max="1024" width="9.140625" style="1208"/>
    <col min="1025" max="1025" width="5.7109375" style="1208" customWidth="1"/>
    <col min="1026" max="1026" width="40.7109375" style="1208" customWidth="1"/>
    <col min="1027" max="1035" width="14.7109375" style="1208" customWidth="1"/>
    <col min="1036" max="1280" width="9.140625" style="1208"/>
    <col min="1281" max="1281" width="5.7109375" style="1208" customWidth="1"/>
    <col min="1282" max="1282" width="40.7109375" style="1208" customWidth="1"/>
    <col min="1283" max="1291" width="14.7109375" style="1208" customWidth="1"/>
    <col min="1292" max="1536" width="9.140625" style="1208"/>
    <col min="1537" max="1537" width="5.7109375" style="1208" customWidth="1"/>
    <col min="1538" max="1538" width="40.7109375" style="1208" customWidth="1"/>
    <col min="1539" max="1547" width="14.7109375" style="1208" customWidth="1"/>
    <col min="1548" max="1792" width="9.140625" style="1208"/>
    <col min="1793" max="1793" width="5.7109375" style="1208" customWidth="1"/>
    <col min="1794" max="1794" width="40.7109375" style="1208" customWidth="1"/>
    <col min="1795" max="1803" width="14.7109375" style="1208" customWidth="1"/>
    <col min="1804" max="2048" width="9.140625" style="1208"/>
    <col min="2049" max="2049" width="5.7109375" style="1208" customWidth="1"/>
    <col min="2050" max="2050" width="40.7109375" style="1208" customWidth="1"/>
    <col min="2051" max="2059" width="14.7109375" style="1208" customWidth="1"/>
    <col min="2060" max="2304" width="9.140625" style="1208"/>
    <col min="2305" max="2305" width="5.7109375" style="1208" customWidth="1"/>
    <col min="2306" max="2306" width="40.7109375" style="1208" customWidth="1"/>
    <col min="2307" max="2315" width="14.7109375" style="1208" customWidth="1"/>
    <col min="2316" max="2560" width="9.140625" style="1208"/>
    <col min="2561" max="2561" width="5.7109375" style="1208" customWidth="1"/>
    <col min="2562" max="2562" width="40.7109375" style="1208" customWidth="1"/>
    <col min="2563" max="2571" width="14.7109375" style="1208" customWidth="1"/>
    <col min="2572" max="2816" width="9.140625" style="1208"/>
    <col min="2817" max="2817" width="5.7109375" style="1208" customWidth="1"/>
    <col min="2818" max="2818" width="40.7109375" style="1208" customWidth="1"/>
    <col min="2819" max="2827" width="14.7109375" style="1208" customWidth="1"/>
    <col min="2828" max="3072" width="9.140625" style="1208"/>
    <col min="3073" max="3073" width="5.7109375" style="1208" customWidth="1"/>
    <col min="3074" max="3074" width="40.7109375" style="1208" customWidth="1"/>
    <col min="3075" max="3083" width="14.7109375" style="1208" customWidth="1"/>
    <col min="3084" max="3328" width="9.140625" style="1208"/>
    <col min="3329" max="3329" width="5.7109375" style="1208" customWidth="1"/>
    <col min="3330" max="3330" width="40.7109375" style="1208" customWidth="1"/>
    <col min="3331" max="3339" width="14.7109375" style="1208" customWidth="1"/>
    <col min="3340" max="3584" width="9.140625" style="1208"/>
    <col min="3585" max="3585" width="5.7109375" style="1208" customWidth="1"/>
    <col min="3586" max="3586" width="40.7109375" style="1208" customWidth="1"/>
    <col min="3587" max="3595" width="14.7109375" style="1208" customWidth="1"/>
    <col min="3596" max="3840" width="9.140625" style="1208"/>
    <col min="3841" max="3841" width="5.7109375" style="1208" customWidth="1"/>
    <col min="3842" max="3842" width="40.7109375" style="1208" customWidth="1"/>
    <col min="3843" max="3851" width="14.7109375" style="1208" customWidth="1"/>
    <col min="3852" max="4096" width="9.140625" style="1208"/>
    <col min="4097" max="4097" width="5.7109375" style="1208" customWidth="1"/>
    <col min="4098" max="4098" width="40.7109375" style="1208" customWidth="1"/>
    <col min="4099" max="4107" width="14.7109375" style="1208" customWidth="1"/>
    <col min="4108" max="4352" width="9.140625" style="1208"/>
    <col min="4353" max="4353" width="5.7109375" style="1208" customWidth="1"/>
    <col min="4354" max="4354" width="40.7109375" style="1208" customWidth="1"/>
    <col min="4355" max="4363" width="14.7109375" style="1208" customWidth="1"/>
    <col min="4364" max="4608" width="9.140625" style="1208"/>
    <col min="4609" max="4609" width="5.7109375" style="1208" customWidth="1"/>
    <col min="4610" max="4610" width="40.7109375" style="1208" customWidth="1"/>
    <col min="4611" max="4619" width="14.7109375" style="1208" customWidth="1"/>
    <col min="4620" max="4864" width="9.140625" style="1208"/>
    <col min="4865" max="4865" width="5.7109375" style="1208" customWidth="1"/>
    <col min="4866" max="4866" width="40.7109375" style="1208" customWidth="1"/>
    <col min="4867" max="4875" width="14.7109375" style="1208" customWidth="1"/>
    <col min="4876" max="5120" width="9.140625" style="1208"/>
    <col min="5121" max="5121" width="5.7109375" style="1208" customWidth="1"/>
    <col min="5122" max="5122" width="40.7109375" style="1208" customWidth="1"/>
    <col min="5123" max="5131" width="14.7109375" style="1208" customWidth="1"/>
    <col min="5132" max="5376" width="9.140625" style="1208"/>
    <col min="5377" max="5377" width="5.7109375" style="1208" customWidth="1"/>
    <col min="5378" max="5378" width="40.7109375" style="1208" customWidth="1"/>
    <col min="5379" max="5387" width="14.7109375" style="1208" customWidth="1"/>
    <col min="5388" max="5632" width="9.140625" style="1208"/>
    <col min="5633" max="5633" width="5.7109375" style="1208" customWidth="1"/>
    <col min="5634" max="5634" width="40.7109375" style="1208" customWidth="1"/>
    <col min="5635" max="5643" width="14.7109375" style="1208" customWidth="1"/>
    <col min="5644" max="5888" width="9.140625" style="1208"/>
    <col min="5889" max="5889" width="5.7109375" style="1208" customWidth="1"/>
    <col min="5890" max="5890" width="40.7109375" style="1208" customWidth="1"/>
    <col min="5891" max="5899" width="14.7109375" style="1208" customWidth="1"/>
    <col min="5900" max="6144" width="9.140625" style="1208"/>
    <col min="6145" max="6145" width="5.7109375" style="1208" customWidth="1"/>
    <col min="6146" max="6146" width="40.7109375" style="1208" customWidth="1"/>
    <col min="6147" max="6155" width="14.7109375" style="1208" customWidth="1"/>
    <col min="6156" max="6400" width="9.140625" style="1208"/>
    <col min="6401" max="6401" width="5.7109375" style="1208" customWidth="1"/>
    <col min="6402" max="6402" width="40.7109375" style="1208" customWidth="1"/>
    <col min="6403" max="6411" width="14.7109375" style="1208" customWidth="1"/>
    <col min="6412" max="6656" width="9.140625" style="1208"/>
    <col min="6657" max="6657" width="5.7109375" style="1208" customWidth="1"/>
    <col min="6658" max="6658" width="40.7109375" style="1208" customWidth="1"/>
    <col min="6659" max="6667" width="14.7109375" style="1208" customWidth="1"/>
    <col min="6668" max="6912" width="9.140625" style="1208"/>
    <col min="6913" max="6913" width="5.7109375" style="1208" customWidth="1"/>
    <col min="6914" max="6914" width="40.7109375" style="1208" customWidth="1"/>
    <col min="6915" max="6923" width="14.7109375" style="1208" customWidth="1"/>
    <col min="6924" max="7168" width="9.140625" style="1208"/>
    <col min="7169" max="7169" width="5.7109375" style="1208" customWidth="1"/>
    <col min="7170" max="7170" width="40.7109375" style="1208" customWidth="1"/>
    <col min="7171" max="7179" width="14.7109375" style="1208" customWidth="1"/>
    <col min="7180" max="7424" width="9.140625" style="1208"/>
    <col min="7425" max="7425" width="5.7109375" style="1208" customWidth="1"/>
    <col min="7426" max="7426" width="40.7109375" style="1208" customWidth="1"/>
    <col min="7427" max="7435" width="14.7109375" style="1208" customWidth="1"/>
    <col min="7436" max="7680" width="9.140625" style="1208"/>
    <col min="7681" max="7681" width="5.7109375" style="1208" customWidth="1"/>
    <col min="7682" max="7682" width="40.7109375" style="1208" customWidth="1"/>
    <col min="7683" max="7691" width="14.7109375" style="1208" customWidth="1"/>
    <col min="7692" max="7936" width="9.140625" style="1208"/>
    <col min="7937" max="7937" width="5.7109375" style="1208" customWidth="1"/>
    <col min="7938" max="7938" width="40.7109375" style="1208" customWidth="1"/>
    <col min="7939" max="7947" width="14.7109375" style="1208" customWidth="1"/>
    <col min="7948" max="8192" width="9.140625" style="1208"/>
    <col min="8193" max="8193" width="5.7109375" style="1208" customWidth="1"/>
    <col min="8194" max="8194" width="40.7109375" style="1208" customWidth="1"/>
    <col min="8195" max="8203" width="14.7109375" style="1208" customWidth="1"/>
    <col min="8204" max="8448" width="9.140625" style="1208"/>
    <col min="8449" max="8449" width="5.7109375" style="1208" customWidth="1"/>
    <col min="8450" max="8450" width="40.7109375" style="1208" customWidth="1"/>
    <col min="8451" max="8459" width="14.7109375" style="1208" customWidth="1"/>
    <col min="8460" max="8704" width="9.140625" style="1208"/>
    <col min="8705" max="8705" width="5.7109375" style="1208" customWidth="1"/>
    <col min="8706" max="8706" width="40.7109375" style="1208" customWidth="1"/>
    <col min="8707" max="8715" width="14.7109375" style="1208" customWidth="1"/>
    <col min="8716" max="8960" width="9.140625" style="1208"/>
    <col min="8961" max="8961" width="5.7109375" style="1208" customWidth="1"/>
    <col min="8962" max="8962" width="40.7109375" style="1208" customWidth="1"/>
    <col min="8963" max="8971" width="14.7109375" style="1208" customWidth="1"/>
    <col min="8972" max="9216" width="9.140625" style="1208"/>
    <col min="9217" max="9217" width="5.7109375" style="1208" customWidth="1"/>
    <col min="9218" max="9218" width="40.7109375" style="1208" customWidth="1"/>
    <col min="9219" max="9227" width="14.7109375" style="1208" customWidth="1"/>
    <col min="9228" max="9472" width="9.140625" style="1208"/>
    <col min="9473" max="9473" width="5.7109375" style="1208" customWidth="1"/>
    <col min="9474" max="9474" width="40.7109375" style="1208" customWidth="1"/>
    <col min="9475" max="9483" width="14.7109375" style="1208" customWidth="1"/>
    <col min="9484" max="9728" width="9.140625" style="1208"/>
    <col min="9729" max="9729" width="5.7109375" style="1208" customWidth="1"/>
    <col min="9730" max="9730" width="40.7109375" style="1208" customWidth="1"/>
    <col min="9731" max="9739" width="14.7109375" style="1208" customWidth="1"/>
    <col min="9740" max="9984" width="9.140625" style="1208"/>
    <col min="9985" max="9985" width="5.7109375" style="1208" customWidth="1"/>
    <col min="9986" max="9986" width="40.7109375" style="1208" customWidth="1"/>
    <col min="9987" max="9995" width="14.7109375" style="1208" customWidth="1"/>
    <col min="9996" max="10240" width="9.140625" style="1208"/>
    <col min="10241" max="10241" width="5.7109375" style="1208" customWidth="1"/>
    <col min="10242" max="10242" width="40.7109375" style="1208" customWidth="1"/>
    <col min="10243" max="10251" width="14.7109375" style="1208" customWidth="1"/>
    <col min="10252" max="10496" width="9.140625" style="1208"/>
    <col min="10497" max="10497" width="5.7109375" style="1208" customWidth="1"/>
    <col min="10498" max="10498" width="40.7109375" style="1208" customWidth="1"/>
    <col min="10499" max="10507" width="14.7109375" style="1208" customWidth="1"/>
    <col min="10508" max="10752" width="9.140625" style="1208"/>
    <col min="10753" max="10753" width="5.7109375" style="1208" customWidth="1"/>
    <col min="10754" max="10754" width="40.7109375" style="1208" customWidth="1"/>
    <col min="10755" max="10763" width="14.7109375" style="1208" customWidth="1"/>
    <col min="10764" max="11008" width="9.140625" style="1208"/>
    <col min="11009" max="11009" width="5.7109375" style="1208" customWidth="1"/>
    <col min="11010" max="11010" width="40.7109375" style="1208" customWidth="1"/>
    <col min="11011" max="11019" width="14.7109375" style="1208" customWidth="1"/>
    <col min="11020" max="11264" width="9.140625" style="1208"/>
    <col min="11265" max="11265" width="5.7109375" style="1208" customWidth="1"/>
    <col min="11266" max="11266" width="40.7109375" style="1208" customWidth="1"/>
    <col min="11267" max="11275" width="14.7109375" style="1208" customWidth="1"/>
    <col min="11276" max="11520" width="9.140625" style="1208"/>
    <col min="11521" max="11521" width="5.7109375" style="1208" customWidth="1"/>
    <col min="11522" max="11522" width="40.7109375" style="1208" customWidth="1"/>
    <col min="11523" max="11531" width="14.7109375" style="1208" customWidth="1"/>
    <col min="11532" max="11776" width="9.140625" style="1208"/>
    <col min="11777" max="11777" width="5.7109375" style="1208" customWidth="1"/>
    <col min="11778" max="11778" width="40.7109375" style="1208" customWidth="1"/>
    <col min="11779" max="11787" width="14.7109375" style="1208" customWidth="1"/>
    <col min="11788" max="12032" width="9.140625" style="1208"/>
    <col min="12033" max="12033" width="5.7109375" style="1208" customWidth="1"/>
    <col min="12034" max="12034" width="40.7109375" style="1208" customWidth="1"/>
    <col min="12035" max="12043" width="14.7109375" style="1208" customWidth="1"/>
    <col min="12044" max="12288" width="9.140625" style="1208"/>
    <col min="12289" max="12289" width="5.7109375" style="1208" customWidth="1"/>
    <col min="12290" max="12290" width="40.7109375" style="1208" customWidth="1"/>
    <col min="12291" max="12299" width="14.7109375" style="1208" customWidth="1"/>
    <col min="12300" max="12544" width="9.140625" style="1208"/>
    <col min="12545" max="12545" width="5.7109375" style="1208" customWidth="1"/>
    <col min="12546" max="12546" width="40.7109375" style="1208" customWidth="1"/>
    <col min="12547" max="12555" width="14.7109375" style="1208" customWidth="1"/>
    <col min="12556" max="12800" width="9.140625" style="1208"/>
    <col min="12801" max="12801" width="5.7109375" style="1208" customWidth="1"/>
    <col min="12802" max="12802" width="40.7109375" style="1208" customWidth="1"/>
    <col min="12803" max="12811" width="14.7109375" style="1208" customWidth="1"/>
    <col min="12812" max="13056" width="9.140625" style="1208"/>
    <col min="13057" max="13057" width="5.7109375" style="1208" customWidth="1"/>
    <col min="13058" max="13058" width="40.7109375" style="1208" customWidth="1"/>
    <col min="13059" max="13067" width="14.7109375" style="1208" customWidth="1"/>
    <col min="13068" max="13312" width="9.140625" style="1208"/>
    <col min="13313" max="13313" width="5.7109375" style="1208" customWidth="1"/>
    <col min="13314" max="13314" width="40.7109375" style="1208" customWidth="1"/>
    <col min="13315" max="13323" width="14.7109375" style="1208" customWidth="1"/>
    <col min="13324" max="13568" width="9.140625" style="1208"/>
    <col min="13569" max="13569" width="5.7109375" style="1208" customWidth="1"/>
    <col min="13570" max="13570" width="40.7109375" style="1208" customWidth="1"/>
    <col min="13571" max="13579" width="14.7109375" style="1208" customWidth="1"/>
    <col min="13580" max="13824" width="9.140625" style="1208"/>
    <col min="13825" max="13825" width="5.7109375" style="1208" customWidth="1"/>
    <col min="13826" max="13826" width="40.7109375" style="1208" customWidth="1"/>
    <col min="13827" max="13835" width="14.7109375" style="1208" customWidth="1"/>
    <col min="13836" max="14080" width="9.140625" style="1208"/>
    <col min="14081" max="14081" width="5.7109375" style="1208" customWidth="1"/>
    <col min="14082" max="14082" width="40.7109375" style="1208" customWidth="1"/>
    <col min="14083" max="14091" width="14.7109375" style="1208" customWidth="1"/>
    <col min="14092" max="14336" width="9.140625" style="1208"/>
    <col min="14337" max="14337" width="5.7109375" style="1208" customWidth="1"/>
    <col min="14338" max="14338" width="40.7109375" style="1208" customWidth="1"/>
    <col min="14339" max="14347" width="14.7109375" style="1208" customWidth="1"/>
    <col min="14348" max="14592" width="9.140625" style="1208"/>
    <col min="14593" max="14593" width="5.7109375" style="1208" customWidth="1"/>
    <col min="14594" max="14594" width="40.7109375" style="1208" customWidth="1"/>
    <col min="14595" max="14603" width="14.7109375" style="1208" customWidth="1"/>
    <col min="14604" max="14848" width="9.140625" style="1208"/>
    <col min="14849" max="14849" width="5.7109375" style="1208" customWidth="1"/>
    <col min="14850" max="14850" width="40.7109375" style="1208" customWidth="1"/>
    <col min="14851" max="14859" width="14.7109375" style="1208" customWidth="1"/>
    <col min="14860" max="15104" width="9.140625" style="1208"/>
    <col min="15105" max="15105" width="5.7109375" style="1208" customWidth="1"/>
    <col min="15106" max="15106" width="40.7109375" style="1208" customWidth="1"/>
    <col min="15107" max="15115" width="14.7109375" style="1208" customWidth="1"/>
    <col min="15116" max="15360" width="9.140625" style="1208"/>
    <col min="15361" max="15361" width="5.7109375" style="1208" customWidth="1"/>
    <col min="15362" max="15362" width="40.7109375" style="1208" customWidth="1"/>
    <col min="15363" max="15371" width="14.7109375" style="1208" customWidth="1"/>
    <col min="15372" max="15616" width="9.140625" style="1208"/>
    <col min="15617" max="15617" width="5.7109375" style="1208" customWidth="1"/>
    <col min="15618" max="15618" width="40.7109375" style="1208" customWidth="1"/>
    <col min="15619" max="15627" width="14.7109375" style="1208" customWidth="1"/>
    <col min="15628" max="15872" width="9.140625" style="1208"/>
    <col min="15873" max="15873" width="5.7109375" style="1208" customWidth="1"/>
    <col min="15874" max="15874" width="40.7109375" style="1208" customWidth="1"/>
    <col min="15875" max="15883" width="14.7109375" style="1208" customWidth="1"/>
    <col min="15884" max="16128" width="9.140625" style="1208"/>
    <col min="16129" max="16129" width="5.7109375" style="1208" customWidth="1"/>
    <col min="16130" max="16130" width="40.7109375" style="1208" customWidth="1"/>
    <col min="16131" max="16139" width="14.7109375" style="1208" customWidth="1"/>
    <col min="16140" max="16384" width="9.140625" style="1208"/>
  </cols>
  <sheetData>
    <row r="1" spans="1:19" s="198" customFormat="1" ht="20.100000000000001" customHeight="1" x14ac:dyDescent="0.3">
      <c r="B1" s="2785" t="str">
        <f>Parameters!C5</f>
        <v>Mohokare Local Municipality</v>
      </c>
      <c r="C1" s="2785"/>
      <c r="D1" s="2785"/>
      <c r="E1" s="2785"/>
      <c r="F1" s="2785"/>
      <c r="G1" s="2785"/>
      <c r="H1" s="2785"/>
      <c r="I1" s="2785"/>
      <c r="J1" s="2785"/>
      <c r="K1" s="47"/>
      <c r="O1" s="1648"/>
      <c r="Q1" s="1426"/>
      <c r="R1" s="1426"/>
      <c r="S1" s="1426"/>
    </row>
    <row r="2" spans="1:19" s="18" customFormat="1" ht="18" customHeight="1" x14ac:dyDescent="0.25">
      <c r="A2" s="1427"/>
      <c r="B2" s="2808" t="str">
        <f>"BUDGET STATEMENT FOR THE YEAR ENDED "&amp;Parameters!C6</f>
        <v>BUDGET STATEMENT FOR THE YEAR ENDED 30 JUNE 2012</v>
      </c>
      <c r="C2" s="2808"/>
      <c r="D2" s="2808"/>
      <c r="E2" s="2808"/>
      <c r="F2" s="2808"/>
      <c r="G2" s="2808"/>
      <c r="H2" s="2808"/>
      <c r="I2" s="2808"/>
      <c r="J2" s="2808"/>
      <c r="K2" s="1428"/>
      <c r="O2" s="1649" t="s">
        <v>4502</v>
      </c>
      <c r="Q2" s="1427"/>
      <c r="R2" s="1427"/>
      <c r="S2" s="1427"/>
    </row>
    <row r="3" spans="1:19" ht="15" hidden="1" customHeight="1" x14ac:dyDescent="0.25">
      <c r="A3" s="1429"/>
      <c r="B3" s="2811" t="s">
        <v>4113</v>
      </c>
      <c r="C3" s="2811"/>
      <c r="D3" s="2811"/>
      <c r="E3" s="2811"/>
      <c r="F3" s="2811"/>
      <c r="G3" s="2811"/>
      <c r="H3" s="2811"/>
      <c r="I3" s="2811"/>
      <c r="J3" s="2811"/>
      <c r="K3" s="2812"/>
    </row>
    <row r="4" spans="1:19" ht="15" hidden="1" customHeight="1" x14ac:dyDescent="0.25">
      <c r="A4" s="1430"/>
      <c r="B4" s="2819" t="s">
        <v>4115</v>
      </c>
      <c r="C4" s="2819"/>
      <c r="D4" s="2819"/>
      <c r="E4" s="2819"/>
      <c r="F4" s="2819"/>
      <c r="G4" s="2819"/>
      <c r="H4" s="2819"/>
      <c r="I4" s="2819"/>
      <c r="J4" s="2819"/>
      <c r="K4" s="2820"/>
    </row>
    <row r="5" spans="1:19" ht="15" hidden="1" customHeight="1" x14ac:dyDescent="0.25">
      <c r="A5" s="1430"/>
      <c r="B5" s="2819" t="s">
        <v>4114</v>
      </c>
      <c r="C5" s="2819"/>
      <c r="D5" s="2819"/>
      <c r="E5" s="2819"/>
      <c r="F5" s="2819"/>
      <c r="G5" s="2819"/>
      <c r="H5" s="2819"/>
      <c r="I5" s="2819"/>
      <c r="J5" s="2819"/>
      <c r="K5" s="2820"/>
    </row>
    <row r="6" spans="1:19" ht="15" hidden="1" customHeight="1" thickBot="1" x14ac:dyDescent="0.3">
      <c r="A6" s="1431"/>
      <c r="B6" s="2821" t="s">
        <v>4116</v>
      </c>
      <c r="C6" s="2821"/>
      <c r="D6" s="2821"/>
      <c r="E6" s="2821"/>
      <c r="F6" s="2821"/>
      <c r="G6" s="2821"/>
      <c r="H6" s="2821"/>
      <c r="I6" s="2821"/>
      <c r="J6" s="2821"/>
      <c r="K6" s="2822"/>
      <c r="Q6" s="48"/>
      <c r="S6" s="48"/>
    </row>
    <row r="7" spans="1:19" ht="15" hidden="1" customHeight="1" x14ac:dyDescent="0.25">
      <c r="A7" s="300"/>
      <c r="B7" s="1133"/>
      <c r="C7" s="297"/>
      <c r="D7" s="297"/>
      <c r="E7" s="1133"/>
      <c r="F7" s="1208"/>
      <c r="G7" s="1208"/>
      <c r="H7" s="1208"/>
      <c r="I7" s="1208"/>
      <c r="J7" s="1208"/>
      <c r="K7" s="1208"/>
      <c r="Q7" s="48"/>
      <c r="S7" s="48"/>
    </row>
    <row r="8" spans="1:19" ht="15" customHeight="1" x14ac:dyDescent="0.25">
      <c r="A8" s="1133"/>
      <c r="B8" s="1331" t="str">
        <f>YearEnd</f>
        <v>30 June 2012</v>
      </c>
      <c r="C8" s="301"/>
      <c r="D8" s="302"/>
      <c r="E8" s="1273"/>
      <c r="F8" s="1273"/>
      <c r="G8" s="1273"/>
      <c r="H8" s="1273"/>
      <c r="I8" s="1273"/>
      <c r="J8" s="1273"/>
      <c r="K8" s="1274"/>
      <c r="Q8" s="48"/>
      <c r="S8" s="48"/>
    </row>
    <row r="9" spans="1:19" ht="15" customHeight="1" thickBot="1" x14ac:dyDescent="0.3">
      <c r="A9" s="300"/>
      <c r="B9" s="1133"/>
      <c r="C9" s="297"/>
      <c r="D9" s="297"/>
      <c r="E9" s="1133"/>
      <c r="F9" s="1208"/>
      <c r="G9" s="1208"/>
      <c r="H9" s="1208"/>
      <c r="I9" s="1208"/>
      <c r="J9" s="1208"/>
      <c r="K9" s="1208"/>
      <c r="Q9" s="48"/>
      <c r="S9" s="48"/>
    </row>
    <row r="10" spans="1:19" ht="15" customHeight="1" x14ac:dyDescent="0.2">
      <c r="A10" s="2793" t="s">
        <v>7</v>
      </c>
      <c r="B10" s="2813"/>
      <c r="C10" s="1432" t="s">
        <v>260</v>
      </c>
      <c r="D10" s="1433" t="s">
        <v>243</v>
      </c>
      <c r="E10" s="2805" t="s">
        <v>4097</v>
      </c>
      <c r="F10" s="1434" t="s">
        <v>4098</v>
      </c>
      <c r="G10" s="1435" t="s">
        <v>240</v>
      </c>
      <c r="H10" s="1436" t="s">
        <v>4099</v>
      </c>
      <c r="I10" s="2805" t="s">
        <v>217</v>
      </c>
      <c r="J10" s="1436" t="s">
        <v>4100</v>
      </c>
      <c r="K10" s="1437" t="s">
        <v>4100</v>
      </c>
      <c r="Q10" s="1208"/>
      <c r="R10" s="1208"/>
      <c r="S10" s="1208"/>
    </row>
    <row r="11" spans="1:19" ht="15" customHeight="1" x14ac:dyDescent="0.2">
      <c r="A11" s="2814"/>
      <c r="B11" s="2815"/>
      <c r="C11" s="1438" t="s">
        <v>234</v>
      </c>
      <c r="D11" s="1439"/>
      <c r="E11" s="2806"/>
      <c r="F11" s="1440"/>
      <c r="G11" s="1440"/>
      <c r="H11" s="1441"/>
      <c r="I11" s="2806"/>
      <c r="J11" s="1441" t="s">
        <v>4101</v>
      </c>
      <c r="K11" s="1442" t="s">
        <v>4101</v>
      </c>
      <c r="Q11" s="1208"/>
      <c r="R11" s="1208"/>
      <c r="S11" s="1208"/>
    </row>
    <row r="12" spans="1:19" ht="15" customHeight="1" thickBot="1" x14ac:dyDescent="0.25">
      <c r="A12" s="2816"/>
      <c r="B12" s="2817"/>
      <c r="C12" s="1443" t="s">
        <v>243</v>
      </c>
      <c r="D12" s="1444" t="s">
        <v>4102</v>
      </c>
      <c r="E12" s="2818"/>
      <c r="F12" s="1445" t="s">
        <v>243</v>
      </c>
      <c r="G12" s="1445" t="s">
        <v>4103</v>
      </c>
      <c r="H12" s="1446" t="s">
        <v>242</v>
      </c>
      <c r="I12" s="2818"/>
      <c r="J12" s="1446" t="s">
        <v>4104</v>
      </c>
      <c r="K12" s="1447" t="s">
        <v>4105</v>
      </c>
      <c r="Q12" s="1208"/>
      <c r="R12" s="1208"/>
      <c r="S12" s="1208"/>
    </row>
    <row r="13" spans="1:19" ht="15" customHeight="1" x14ac:dyDescent="0.25">
      <c r="A13" s="1275"/>
      <c r="B13" s="1276"/>
      <c r="C13" s="303" t="s">
        <v>255</v>
      </c>
      <c r="D13" s="303" t="s">
        <v>255</v>
      </c>
      <c r="E13" s="303" t="s">
        <v>255</v>
      </c>
      <c r="F13" s="303" t="s">
        <v>255</v>
      </c>
      <c r="G13" s="303" t="s">
        <v>255</v>
      </c>
      <c r="H13" s="303" t="s">
        <v>255</v>
      </c>
      <c r="I13" s="303" t="s">
        <v>255</v>
      </c>
      <c r="J13" s="303" t="s">
        <v>255</v>
      </c>
      <c r="K13" s="313" t="s">
        <v>255</v>
      </c>
      <c r="Q13" s="48"/>
      <c r="S13" s="48"/>
    </row>
    <row r="14" spans="1:19" ht="15" customHeight="1" x14ac:dyDescent="0.25">
      <c r="A14" s="315" t="s">
        <v>4117</v>
      </c>
      <c r="B14" s="1112"/>
      <c r="C14" s="1288"/>
      <c r="D14" s="1289"/>
      <c r="E14" s="1286"/>
      <c r="F14" s="1286"/>
      <c r="G14" s="1287"/>
      <c r="H14" s="1287"/>
      <c r="I14" s="1287"/>
      <c r="J14" s="1324"/>
      <c r="K14" s="1325"/>
      <c r="Q14" s="48"/>
      <c r="S14" s="48"/>
    </row>
    <row r="15" spans="1:19" ht="15" customHeight="1" x14ac:dyDescent="0.25">
      <c r="A15" s="315" t="s">
        <v>400</v>
      </c>
      <c r="B15" s="1112"/>
      <c r="C15" s="1288"/>
      <c r="D15" s="1289"/>
      <c r="E15" s="1286"/>
      <c r="F15" s="1286"/>
      <c r="G15" s="1287"/>
      <c r="H15" s="1287"/>
      <c r="I15" s="1287"/>
      <c r="J15" s="1324"/>
      <c r="K15" s="1325"/>
      <c r="Q15" s="48"/>
      <c r="S15" s="48"/>
    </row>
    <row r="16" spans="1:19" ht="15" customHeight="1" x14ac:dyDescent="0.25">
      <c r="A16" s="1283" t="s">
        <v>4219</v>
      </c>
      <c r="B16" s="1112"/>
      <c r="C16" s="1288">
        <f>'Fin Pos'!D10</f>
        <v>0</v>
      </c>
      <c r="D16" s="1289">
        <f t="shared" ref="D16" si="0">F16-E16-C16</f>
        <v>0</v>
      </c>
      <c r="E16" s="1286">
        <v>0</v>
      </c>
      <c r="F16" s="1286">
        <f>'Fin Pos'!F10</f>
        <v>0</v>
      </c>
      <c r="G16" s="1287">
        <f>'Fin Pos'!J10</f>
        <v>626830.1</v>
      </c>
      <c r="H16" s="1287">
        <v>0</v>
      </c>
      <c r="I16" s="1287">
        <f>G16-F16</f>
        <v>626830.1</v>
      </c>
      <c r="J16" s="1324">
        <f t="shared" ref="J16" si="1">IF(AND((F16&gt;0),(G16&gt;0)),(SUM(G16/F16)*100),0)</f>
        <v>0</v>
      </c>
      <c r="K16" s="1325">
        <f t="shared" ref="K16" si="2">IF(AND((C16&gt;0),(G16&gt;0)),(SUM(G16/C16)*100),0)</f>
        <v>0</v>
      </c>
      <c r="Q16" s="48"/>
      <c r="S16" s="48"/>
    </row>
    <row r="17" spans="1:19" ht="15" customHeight="1" x14ac:dyDescent="0.25">
      <c r="A17" s="1283" t="s">
        <v>1460</v>
      </c>
      <c r="B17" s="1112"/>
      <c r="C17" s="1288">
        <f>'Fin Pos'!D11</f>
        <v>0</v>
      </c>
      <c r="D17" s="1289">
        <f t="shared" ref="D17:D24" si="3">F17-E17-C17</f>
        <v>0</v>
      </c>
      <c r="E17" s="1286">
        <v>0</v>
      </c>
      <c r="F17" s="1286">
        <f>'Fin Pos'!F11</f>
        <v>0</v>
      </c>
      <c r="G17" s="1287">
        <f>'Fin Pos'!J11</f>
        <v>4215670</v>
      </c>
      <c r="H17" s="1287">
        <v>0</v>
      </c>
      <c r="I17" s="1287">
        <f t="shared" ref="I17:I24" si="4">G17-F17</f>
        <v>4215670</v>
      </c>
      <c r="J17" s="1324">
        <f t="shared" ref="J17:J24" si="5">IF(AND((F17&gt;0),(G17&gt;0)),(SUM(G17/F17)*100),0)</f>
        <v>0</v>
      </c>
      <c r="K17" s="1325">
        <f t="shared" ref="K17:K24" si="6">IF(AND((C17&gt;0),(G17&gt;0)),(SUM(G17/C17)*100),0)</f>
        <v>0</v>
      </c>
      <c r="Q17" s="48"/>
      <c r="S17" s="48"/>
    </row>
    <row r="18" spans="1:19" ht="15" customHeight="1" x14ac:dyDescent="0.25">
      <c r="A18" s="1283" t="s">
        <v>3969</v>
      </c>
      <c r="B18" s="1112"/>
      <c r="C18" s="1288">
        <f>'Fin Pos'!D12</f>
        <v>0</v>
      </c>
      <c r="D18" s="1289">
        <f t="shared" si="3"/>
        <v>0</v>
      </c>
      <c r="E18" s="1286">
        <v>0</v>
      </c>
      <c r="F18" s="1286">
        <f>'Fin Pos'!F12</f>
        <v>0</v>
      </c>
      <c r="G18" s="1287">
        <f>'Fin Pos'!J12</f>
        <v>862467.0199999999</v>
      </c>
      <c r="H18" s="1287">
        <v>0</v>
      </c>
      <c r="I18" s="1287">
        <f t="shared" si="4"/>
        <v>862467.0199999999</v>
      </c>
      <c r="J18" s="1324">
        <f t="shared" si="5"/>
        <v>0</v>
      </c>
      <c r="K18" s="1325">
        <f t="shared" si="6"/>
        <v>0</v>
      </c>
      <c r="Q18" s="48"/>
      <c r="S18" s="48"/>
    </row>
    <row r="19" spans="1:19" ht="15" customHeight="1" x14ac:dyDescent="0.25">
      <c r="A19" s="1283" t="s">
        <v>3970</v>
      </c>
      <c r="B19" s="1112"/>
      <c r="C19" s="1288">
        <f>'Fin Pos'!D13</f>
        <v>0</v>
      </c>
      <c r="D19" s="1289">
        <f t="shared" si="3"/>
        <v>0</v>
      </c>
      <c r="E19" s="1286">
        <v>0</v>
      </c>
      <c r="F19" s="1286">
        <f>'Fin Pos'!F13</f>
        <v>0</v>
      </c>
      <c r="G19" s="1287">
        <f>'Fin Pos'!J13</f>
        <v>360.42999999970198</v>
      </c>
      <c r="H19" s="1287">
        <v>0</v>
      </c>
      <c r="I19" s="1287">
        <f t="shared" si="4"/>
        <v>360.42999999970198</v>
      </c>
      <c r="J19" s="1324">
        <f t="shared" si="5"/>
        <v>0</v>
      </c>
      <c r="K19" s="1325">
        <f t="shared" si="6"/>
        <v>0</v>
      </c>
      <c r="Q19" s="48"/>
      <c r="S19" s="48"/>
    </row>
    <row r="20" spans="1:19" ht="15" customHeight="1" x14ac:dyDescent="0.25">
      <c r="A20" s="1283" t="s">
        <v>1156</v>
      </c>
      <c r="B20" s="1112"/>
      <c r="C20" s="1288">
        <f>'Fin Pos'!D15</f>
        <v>0</v>
      </c>
      <c r="D20" s="1289">
        <f t="shared" si="3"/>
        <v>0</v>
      </c>
      <c r="E20" s="1286">
        <v>0</v>
      </c>
      <c r="F20" s="1286">
        <f>'Fin Pos'!F15</f>
        <v>0</v>
      </c>
      <c r="G20" s="1287">
        <f>'Fin Pos'!J15</f>
        <v>12367667.560000002</v>
      </c>
      <c r="H20" s="1287">
        <v>0</v>
      </c>
      <c r="I20" s="1287">
        <f t="shared" si="4"/>
        <v>12367667.560000002</v>
      </c>
      <c r="J20" s="1324">
        <f t="shared" si="5"/>
        <v>0</v>
      </c>
      <c r="K20" s="1325">
        <f t="shared" si="6"/>
        <v>0</v>
      </c>
      <c r="Q20" s="48"/>
      <c r="S20" s="48"/>
    </row>
    <row r="21" spans="1:19" ht="15" customHeight="1" x14ac:dyDescent="0.25">
      <c r="A21" s="1283" t="s">
        <v>4217</v>
      </c>
      <c r="B21" s="1112"/>
      <c r="C21" s="1288">
        <f>'Fin Pos'!D16</f>
        <v>0</v>
      </c>
      <c r="D21" s="1289">
        <f t="shared" si="3"/>
        <v>0</v>
      </c>
      <c r="E21" s="1286">
        <v>0</v>
      </c>
      <c r="F21" s="1286">
        <f>'Fin Pos'!F16</f>
        <v>0</v>
      </c>
      <c r="G21" s="1287">
        <f>'Fin Pos'!J16</f>
        <v>288595.42999999691</v>
      </c>
      <c r="H21" s="1287">
        <v>0</v>
      </c>
      <c r="I21" s="1287">
        <f t="shared" si="4"/>
        <v>288595.42999999691</v>
      </c>
      <c r="J21" s="1324">
        <f t="shared" si="5"/>
        <v>0</v>
      </c>
      <c r="K21" s="1325">
        <f t="shared" si="6"/>
        <v>0</v>
      </c>
      <c r="Q21" s="48"/>
      <c r="S21" s="48"/>
    </row>
    <row r="22" spans="1:19" ht="15" customHeight="1" x14ac:dyDescent="0.25">
      <c r="A22" s="1283" t="s">
        <v>665</v>
      </c>
      <c r="B22" s="1112"/>
      <c r="C22" s="1288">
        <f>'Fin Pos'!D17</f>
        <v>0</v>
      </c>
      <c r="D22" s="1289">
        <f t="shared" si="3"/>
        <v>0</v>
      </c>
      <c r="E22" s="1286">
        <v>0</v>
      </c>
      <c r="F22" s="1286">
        <f>'Fin Pos'!F17</f>
        <v>0</v>
      </c>
      <c r="G22" s="1287">
        <f>'Fin Pos'!J14</f>
        <v>1158061.5499999998</v>
      </c>
      <c r="H22" s="1287">
        <v>0</v>
      </c>
      <c r="I22" s="1287">
        <f t="shared" si="4"/>
        <v>1158061.5499999998</v>
      </c>
      <c r="J22" s="1324">
        <f t="shared" si="5"/>
        <v>0</v>
      </c>
      <c r="K22" s="1325">
        <f t="shared" si="6"/>
        <v>0</v>
      </c>
      <c r="Q22" s="48"/>
      <c r="S22" s="48"/>
    </row>
    <row r="23" spans="1:19" ht="15" hidden="1" customHeight="1" x14ac:dyDescent="0.25">
      <c r="A23" s="1283" t="s">
        <v>785</v>
      </c>
      <c r="B23" s="1112"/>
      <c r="C23" s="1288">
        <f>'Fin Pos'!D18</f>
        <v>0</v>
      </c>
      <c r="D23" s="1289">
        <f t="shared" si="3"/>
        <v>0</v>
      </c>
      <c r="E23" s="1286">
        <v>0</v>
      </c>
      <c r="F23" s="1286">
        <f>'Fin Pos'!F18</f>
        <v>0</v>
      </c>
      <c r="G23" s="1287">
        <f>'Fin Pos'!J18</f>
        <v>0</v>
      </c>
      <c r="H23" s="1287">
        <v>0</v>
      </c>
      <c r="I23" s="1287">
        <f t="shared" si="4"/>
        <v>0</v>
      </c>
      <c r="J23" s="1324">
        <f t="shared" si="5"/>
        <v>0</v>
      </c>
      <c r="K23" s="1325">
        <f t="shared" si="6"/>
        <v>0</v>
      </c>
      <c r="Q23" s="48"/>
      <c r="S23" s="48"/>
    </row>
    <row r="24" spans="1:19" ht="15" hidden="1" customHeight="1" x14ac:dyDescent="0.25">
      <c r="A24" s="1283" t="s">
        <v>442</v>
      </c>
      <c r="B24" s="1112"/>
      <c r="C24" s="1288">
        <f>'Fin Pos'!D19</f>
        <v>0</v>
      </c>
      <c r="D24" s="1289">
        <f t="shared" si="3"/>
        <v>0</v>
      </c>
      <c r="E24" s="1286">
        <v>0</v>
      </c>
      <c r="F24" s="1286">
        <f>'Fin Pos'!F19</f>
        <v>0</v>
      </c>
      <c r="G24" s="1287">
        <f>'Fin Pos'!J19</f>
        <v>0</v>
      </c>
      <c r="H24" s="1287">
        <v>0</v>
      </c>
      <c r="I24" s="1287">
        <f t="shared" si="4"/>
        <v>0</v>
      </c>
      <c r="J24" s="1324">
        <f t="shared" si="5"/>
        <v>0</v>
      </c>
      <c r="K24" s="1325">
        <f t="shared" si="6"/>
        <v>0</v>
      </c>
      <c r="Q24" s="48"/>
      <c r="S24" s="48"/>
    </row>
    <row r="25" spans="1:19" ht="15" customHeight="1" x14ac:dyDescent="0.25">
      <c r="A25" s="1283"/>
      <c r="B25" s="1112"/>
      <c r="C25" s="1288"/>
      <c r="D25" s="1289"/>
      <c r="E25" s="1286"/>
      <c r="F25" s="1286"/>
      <c r="G25" s="1287"/>
      <c r="H25" s="1287"/>
      <c r="I25" s="1287"/>
      <c r="J25" s="1324"/>
      <c r="K25" s="1325"/>
      <c r="Q25" s="48"/>
      <c r="S25" s="48"/>
    </row>
    <row r="26" spans="1:19" ht="15" customHeight="1" x14ac:dyDescent="0.25">
      <c r="A26" s="315" t="s">
        <v>397</v>
      </c>
      <c r="B26" s="1112"/>
      <c r="C26" s="1288"/>
      <c r="D26" s="1289"/>
      <c r="E26" s="1286"/>
      <c r="F26" s="1286"/>
      <c r="G26" s="1287"/>
      <c r="H26" s="1287"/>
      <c r="I26" s="1287"/>
      <c r="J26" s="1324"/>
      <c r="K26" s="1325"/>
      <c r="Q26" s="48"/>
      <c r="S26" s="48"/>
    </row>
    <row r="27" spans="1:19" ht="15" customHeight="1" x14ac:dyDescent="0.25">
      <c r="A27" s="1283" t="s">
        <v>398</v>
      </c>
      <c r="B27" s="1112"/>
      <c r="C27" s="1288">
        <f>'Fin Pos'!D22</f>
        <v>0</v>
      </c>
      <c r="D27" s="1289">
        <f t="shared" ref="D27:D35" si="7">F27-E27-C27</f>
        <v>0</v>
      </c>
      <c r="E27" s="1286">
        <v>0</v>
      </c>
      <c r="F27" s="1286">
        <f>'Fin Pos'!F22</f>
        <v>0</v>
      </c>
      <c r="G27" s="1287">
        <f>'Fin Pos'!J22</f>
        <v>308051336.42999989</v>
      </c>
      <c r="H27" s="1287">
        <v>0</v>
      </c>
      <c r="I27" s="1287">
        <f t="shared" ref="I27:I35" si="8">G27-F27</f>
        <v>308051336.42999989</v>
      </c>
      <c r="J27" s="1324">
        <f t="shared" ref="J27:J35" si="9">IF(AND((F27&gt;0),(G27&gt;0)),(SUM(G27/F27)*100),0)</f>
        <v>0</v>
      </c>
      <c r="K27" s="1325">
        <f t="shared" ref="K27:K35" si="10">IF(AND((C27&gt;0),(G27&gt;0)),(SUM(G27/C27)*100),0)</f>
        <v>0</v>
      </c>
      <c r="Q27" s="48"/>
      <c r="S27" s="48"/>
    </row>
    <row r="28" spans="1:19" ht="15" customHeight="1" x14ac:dyDescent="0.25">
      <c r="A28" s="1283" t="s">
        <v>733</v>
      </c>
      <c r="B28" s="1112"/>
      <c r="C28" s="1288">
        <f>'Fin Pos'!D23</f>
        <v>0</v>
      </c>
      <c r="D28" s="1289">
        <f t="shared" si="7"/>
        <v>0</v>
      </c>
      <c r="E28" s="1286">
        <v>0</v>
      </c>
      <c r="F28" s="1286">
        <f>'Fin Pos'!F23</f>
        <v>0</v>
      </c>
      <c r="G28" s="1287">
        <f>'Fin Pos'!J23</f>
        <v>534123.09</v>
      </c>
      <c r="H28" s="1287">
        <v>0</v>
      </c>
      <c r="I28" s="1287">
        <f t="shared" si="8"/>
        <v>534123.09</v>
      </c>
      <c r="J28" s="1324">
        <f t="shared" si="9"/>
        <v>0</v>
      </c>
      <c r="K28" s="1325">
        <f t="shared" si="10"/>
        <v>0</v>
      </c>
      <c r="Q28" s="48"/>
      <c r="S28" s="48"/>
    </row>
    <row r="29" spans="1:19" ht="15" customHeight="1" x14ac:dyDescent="0.25">
      <c r="A29" s="1283" t="s">
        <v>441</v>
      </c>
      <c r="B29" s="1112"/>
      <c r="C29" s="1288">
        <f>'Fin Pos'!D24</f>
        <v>0</v>
      </c>
      <c r="D29" s="1289">
        <f t="shared" si="7"/>
        <v>0</v>
      </c>
      <c r="E29" s="1286">
        <v>0</v>
      </c>
      <c r="F29" s="1286">
        <f>'Fin Pos'!F24</f>
        <v>0</v>
      </c>
      <c r="G29" s="1287">
        <f>'Fin Pos'!J24</f>
        <v>20519205</v>
      </c>
      <c r="H29" s="1287">
        <v>0</v>
      </c>
      <c r="I29" s="1287">
        <f t="shared" si="8"/>
        <v>20519205</v>
      </c>
      <c r="J29" s="1324">
        <f t="shared" si="9"/>
        <v>0</v>
      </c>
      <c r="K29" s="1325">
        <f t="shared" si="10"/>
        <v>0</v>
      </c>
      <c r="Q29" s="48"/>
      <c r="S29" s="48"/>
    </row>
    <row r="30" spans="1:19" ht="15" hidden="1" customHeight="1" x14ac:dyDescent="0.25">
      <c r="A30" s="1283" t="s">
        <v>78</v>
      </c>
      <c r="B30" s="1112"/>
      <c r="C30" s="1288">
        <f>'Fin Pos'!D25</f>
        <v>0</v>
      </c>
      <c r="D30" s="1289">
        <f t="shared" si="7"/>
        <v>0</v>
      </c>
      <c r="E30" s="1286">
        <v>0</v>
      </c>
      <c r="F30" s="1286">
        <f>'Fin Pos'!F25</f>
        <v>0</v>
      </c>
      <c r="G30" s="1287">
        <f>'Fin Pos'!J25</f>
        <v>0</v>
      </c>
      <c r="H30" s="1287">
        <v>0</v>
      </c>
      <c r="I30" s="1287">
        <f t="shared" si="8"/>
        <v>0</v>
      </c>
      <c r="J30" s="1324">
        <f t="shared" si="9"/>
        <v>0</v>
      </c>
      <c r="K30" s="1325">
        <f t="shared" si="10"/>
        <v>0</v>
      </c>
      <c r="Q30" s="48"/>
      <c r="S30" s="48"/>
    </row>
    <row r="31" spans="1:19" ht="15" customHeight="1" x14ac:dyDescent="0.25">
      <c r="A31" s="1283" t="s">
        <v>1627</v>
      </c>
      <c r="B31" s="1112"/>
      <c r="C31" s="1288">
        <f>'Fin Pos'!D26</f>
        <v>0</v>
      </c>
      <c r="D31" s="1289">
        <f t="shared" si="7"/>
        <v>0</v>
      </c>
      <c r="E31" s="1286">
        <v>0</v>
      </c>
      <c r="F31" s="1286">
        <f>'Fin Pos'!F26</f>
        <v>0</v>
      </c>
      <c r="G31" s="1287">
        <f>'Fin Pos'!J26</f>
        <v>430680</v>
      </c>
      <c r="H31" s="1287">
        <v>0</v>
      </c>
      <c r="I31" s="1287">
        <f t="shared" si="8"/>
        <v>430680</v>
      </c>
      <c r="J31" s="1324">
        <f t="shared" si="9"/>
        <v>0</v>
      </c>
      <c r="K31" s="1325">
        <f t="shared" si="10"/>
        <v>0</v>
      </c>
      <c r="Q31" s="48"/>
      <c r="S31" s="48"/>
    </row>
    <row r="32" spans="1:19" ht="15" customHeight="1" x14ac:dyDescent="0.25">
      <c r="A32" s="1283" t="s">
        <v>1450</v>
      </c>
      <c r="B32" s="1112"/>
      <c r="C32" s="1288">
        <f>'Fin Pos'!D27</f>
        <v>0</v>
      </c>
      <c r="D32" s="1289">
        <f t="shared" si="7"/>
        <v>0</v>
      </c>
      <c r="E32" s="1286">
        <v>0</v>
      </c>
      <c r="F32" s="1286">
        <f>'Fin Pos'!F27</f>
        <v>0</v>
      </c>
      <c r="G32" s="1287">
        <f>'Fin Pos'!J27</f>
        <v>112659.79999999999</v>
      </c>
      <c r="H32" s="1287">
        <v>0</v>
      </c>
      <c r="I32" s="1287">
        <f t="shared" si="8"/>
        <v>112659.79999999999</v>
      </c>
      <c r="J32" s="1324">
        <f t="shared" si="9"/>
        <v>0</v>
      </c>
      <c r="K32" s="1325">
        <f t="shared" si="10"/>
        <v>0</v>
      </c>
      <c r="Q32" s="48"/>
      <c r="S32" s="48"/>
    </row>
    <row r="33" spans="1:19" ht="15" hidden="1" customHeight="1" x14ac:dyDescent="0.25">
      <c r="A33" s="1283" t="s">
        <v>782</v>
      </c>
      <c r="B33" s="1112"/>
      <c r="C33" s="1288">
        <f>'Fin Pos'!D28</f>
        <v>0</v>
      </c>
      <c r="D33" s="1289">
        <f t="shared" si="7"/>
        <v>0</v>
      </c>
      <c r="E33" s="1286">
        <v>0</v>
      </c>
      <c r="F33" s="1286">
        <f>'Fin Pos'!F28</f>
        <v>0</v>
      </c>
      <c r="G33" s="1287">
        <f>'Fin Pos'!J28</f>
        <v>0</v>
      </c>
      <c r="H33" s="1287">
        <v>0</v>
      </c>
      <c r="I33" s="1287">
        <f t="shared" si="8"/>
        <v>0</v>
      </c>
      <c r="J33" s="1324">
        <f t="shared" si="9"/>
        <v>0</v>
      </c>
      <c r="K33" s="1325">
        <f t="shared" si="10"/>
        <v>0</v>
      </c>
      <c r="Q33" s="48"/>
      <c r="S33" s="48"/>
    </row>
    <row r="34" spans="1:19" ht="15" hidden="1" customHeight="1" x14ac:dyDescent="0.25">
      <c r="A34" s="1283" t="s">
        <v>783</v>
      </c>
      <c r="B34" s="1112"/>
      <c r="C34" s="1288">
        <f>'Fin Pos'!D29</f>
        <v>0</v>
      </c>
      <c r="D34" s="1289">
        <f t="shared" si="7"/>
        <v>0</v>
      </c>
      <c r="E34" s="1286">
        <v>0</v>
      </c>
      <c r="F34" s="1286">
        <f>'Fin Pos'!F29</f>
        <v>0</v>
      </c>
      <c r="G34" s="1287">
        <f>'Fin Pos'!J29</f>
        <v>0</v>
      </c>
      <c r="H34" s="1287">
        <v>0</v>
      </c>
      <c r="I34" s="1287">
        <f t="shared" si="8"/>
        <v>0</v>
      </c>
      <c r="J34" s="1324">
        <f t="shared" si="9"/>
        <v>0</v>
      </c>
      <c r="K34" s="1325">
        <f t="shared" si="10"/>
        <v>0</v>
      </c>
      <c r="Q34" s="48"/>
      <c r="S34" s="48"/>
    </row>
    <row r="35" spans="1:19" ht="15" hidden="1" customHeight="1" x14ac:dyDescent="0.25">
      <c r="A35" s="1283" t="s">
        <v>399</v>
      </c>
      <c r="B35" s="1112"/>
      <c r="C35" s="1288">
        <f>'Fin Pos'!D30</f>
        <v>0</v>
      </c>
      <c r="D35" s="1289">
        <f t="shared" si="7"/>
        <v>0</v>
      </c>
      <c r="E35" s="1286">
        <v>0</v>
      </c>
      <c r="F35" s="1286">
        <f>'Fin Pos'!F30</f>
        <v>0</v>
      </c>
      <c r="G35" s="1287">
        <f>'Fin Pos'!J30</f>
        <v>0</v>
      </c>
      <c r="H35" s="1287">
        <v>0</v>
      </c>
      <c r="I35" s="1287">
        <f t="shared" si="8"/>
        <v>0</v>
      </c>
      <c r="J35" s="1324">
        <f t="shared" si="9"/>
        <v>0</v>
      </c>
      <c r="K35" s="1325">
        <f t="shared" si="10"/>
        <v>0</v>
      </c>
      <c r="Q35" s="48"/>
      <c r="S35" s="48"/>
    </row>
    <row r="36" spans="1:19" ht="15" customHeight="1" x14ac:dyDescent="0.25">
      <c r="A36" s="1283"/>
      <c r="B36" s="1112"/>
      <c r="C36" s="1288"/>
      <c r="D36" s="1289"/>
      <c r="E36" s="1286"/>
      <c r="F36" s="1286"/>
      <c r="G36" s="1287"/>
      <c r="H36" s="1287"/>
      <c r="I36" s="1287"/>
      <c r="J36" s="1324"/>
      <c r="K36" s="1325"/>
      <c r="Q36" s="48"/>
      <c r="S36" s="48"/>
    </row>
    <row r="37" spans="1:19" ht="15" customHeight="1" x14ac:dyDescent="0.25">
      <c r="A37" s="315" t="s">
        <v>64</v>
      </c>
      <c r="B37" s="1112"/>
      <c r="C37" s="1290">
        <f t="shared" ref="C37" si="11">SUM(C15:C36)</f>
        <v>0</v>
      </c>
      <c r="D37" s="1290">
        <f t="shared" ref="D37:I37" si="12">SUM(D15:D36)</f>
        <v>0</v>
      </c>
      <c r="E37" s="1290">
        <f t="shared" si="12"/>
        <v>0</v>
      </c>
      <c r="F37" s="1290">
        <f t="shared" si="12"/>
        <v>0</v>
      </c>
      <c r="G37" s="1290">
        <f t="shared" si="12"/>
        <v>349167656.40999985</v>
      </c>
      <c r="H37" s="1290">
        <f t="shared" si="12"/>
        <v>0</v>
      </c>
      <c r="I37" s="1290">
        <f t="shared" si="12"/>
        <v>349167656.40999985</v>
      </c>
      <c r="J37" s="1326">
        <f t="shared" ref="J37" si="13">IF(AND((F37&gt;0),(G37&gt;0)),(SUM(G37/F37)*100),0)</f>
        <v>0</v>
      </c>
      <c r="K37" s="1327">
        <f t="shared" ref="K37" si="14">IF(AND((C37&gt;0),(G37&gt;0)),(SUM(G37/C37)*100),0)</f>
        <v>0</v>
      </c>
      <c r="Q37" s="48"/>
      <c r="S37" s="48"/>
    </row>
    <row r="38" spans="1:19" ht="15" customHeight="1" x14ac:dyDescent="0.25">
      <c r="A38" s="1283"/>
      <c r="B38" s="1112"/>
      <c r="C38" s="1288"/>
      <c r="D38" s="1289"/>
      <c r="E38" s="1286"/>
      <c r="F38" s="1286"/>
      <c r="G38" s="1287"/>
      <c r="H38" s="1287"/>
      <c r="I38" s="1287"/>
      <c r="J38" s="1324"/>
      <c r="K38" s="1325"/>
      <c r="Q38" s="48"/>
      <c r="S38" s="48"/>
    </row>
    <row r="39" spans="1:19" ht="15" customHeight="1" x14ac:dyDescent="0.25">
      <c r="A39" s="315" t="s">
        <v>392</v>
      </c>
      <c r="B39" s="1112"/>
      <c r="C39" s="1288"/>
      <c r="D39" s="1289"/>
      <c r="E39" s="1286"/>
      <c r="F39" s="1286"/>
      <c r="G39" s="1287"/>
      <c r="H39" s="1287"/>
      <c r="I39" s="1287"/>
      <c r="J39" s="1324"/>
      <c r="K39" s="1325"/>
      <c r="Q39" s="48"/>
      <c r="S39" s="48"/>
    </row>
    <row r="40" spans="1:19" ht="15" customHeight="1" x14ac:dyDescent="0.25">
      <c r="A40" s="1283" t="s">
        <v>393</v>
      </c>
      <c r="B40" s="1112"/>
      <c r="C40" s="1288">
        <f>'Fin Pos'!D37</f>
        <v>0</v>
      </c>
      <c r="D40" s="1289">
        <f t="shared" ref="D40:D48" si="15">F40-E40-C40</f>
        <v>0</v>
      </c>
      <c r="E40" s="1286">
        <v>0</v>
      </c>
      <c r="F40" s="1286">
        <f>'Fin Pos'!F37</f>
        <v>0</v>
      </c>
      <c r="G40" s="1287">
        <f>'Fin Pos'!J37</f>
        <v>164402.49</v>
      </c>
      <c r="H40" s="1287">
        <v>0</v>
      </c>
      <c r="I40" s="1287">
        <f>G40-F40</f>
        <v>164402.49</v>
      </c>
      <c r="J40" s="1324">
        <f t="shared" ref="J40:J48" si="16">IF(AND((F40&gt;0),(G40&gt;0)),(SUM(G40/F40)*100),0)</f>
        <v>0</v>
      </c>
      <c r="K40" s="1325">
        <f t="shared" ref="K40:K48" si="17">IF(AND((C40&gt;0),(G40&gt;0)),(SUM(G40/C40)*100),0)</f>
        <v>0</v>
      </c>
      <c r="Q40" s="48"/>
      <c r="S40" s="48"/>
    </row>
    <row r="41" spans="1:19" ht="15" hidden="1" customHeight="1" x14ac:dyDescent="0.25">
      <c r="A41" s="1283" t="s">
        <v>232</v>
      </c>
      <c r="B41" s="1112"/>
      <c r="C41" s="1288">
        <f>'Fin Pos'!D38</f>
        <v>0</v>
      </c>
      <c r="D41" s="1289">
        <f t="shared" si="15"/>
        <v>0</v>
      </c>
      <c r="E41" s="1286">
        <v>0</v>
      </c>
      <c r="F41" s="1286">
        <f>'Fin Pos'!F38</f>
        <v>0</v>
      </c>
      <c r="G41" s="1287">
        <f>'Fin Pos'!J38</f>
        <v>0</v>
      </c>
      <c r="H41" s="1287">
        <v>0</v>
      </c>
      <c r="I41" s="1287">
        <f t="shared" ref="I41:I48" si="18">G41-F41</f>
        <v>0</v>
      </c>
      <c r="J41" s="1324">
        <f t="shared" si="16"/>
        <v>0</v>
      </c>
      <c r="K41" s="1325">
        <f t="shared" si="17"/>
        <v>0</v>
      </c>
      <c r="Q41" s="48"/>
      <c r="S41" s="48"/>
    </row>
    <row r="42" spans="1:19" ht="15" customHeight="1" x14ac:dyDescent="0.25">
      <c r="A42" s="1283" t="s">
        <v>1873</v>
      </c>
      <c r="B42" s="1112"/>
      <c r="C42" s="1288">
        <f>'Fin Pos'!D39</f>
        <v>0</v>
      </c>
      <c r="D42" s="1289">
        <f t="shared" si="15"/>
        <v>0</v>
      </c>
      <c r="E42" s="1286">
        <v>0</v>
      </c>
      <c r="F42" s="1286">
        <f>'Fin Pos'!F39</f>
        <v>0</v>
      </c>
      <c r="G42" s="1287">
        <f>'Fin Pos'!J39</f>
        <v>16068867.309999986</v>
      </c>
      <c r="H42" s="1287">
        <v>0</v>
      </c>
      <c r="I42" s="1287">
        <f t="shared" si="18"/>
        <v>16068867.309999986</v>
      </c>
      <c r="J42" s="1324">
        <f t="shared" si="16"/>
        <v>0</v>
      </c>
      <c r="K42" s="1325">
        <f t="shared" si="17"/>
        <v>0</v>
      </c>
      <c r="Q42" s="48"/>
      <c r="S42" s="48"/>
    </row>
    <row r="43" spans="1:19" ht="15" customHeight="1" x14ac:dyDescent="0.25">
      <c r="A43" s="1283" t="s">
        <v>394</v>
      </c>
      <c r="B43" s="1112"/>
      <c r="C43" s="1288">
        <f>'Fin Pos'!D40</f>
        <v>0</v>
      </c>
      <c r="D43" s="1289">
        <f t="shared" si="15"/>
        <v>0</v>
      </c>
      <c r="E43" s="1286">
        <v>0</v>
      </c>
      <c r="F43" s="1286">
        <f>'Fin Pos'!F40</f>
        <v>0</v>
      </c>
      <c r="G43" s="1287">
        <f>'Fin Pos'!J40</f>
        <v>12080659.279999999</v>
      </c>
      <c r="H43" s="1287">
        <v>0</v>
      </c>
      <c r="I43" s="1287">
        <f t="shared" si="18"/>
        <v>12080659.279999999</v>
      </c>
      <c r="J43" s="1324">
        <f t="shared" si="16"/>
        <v>0</v>
      </c>
      <c r="K43" s="1325">
        <f t="shared" si="17"/>
        <v>0</v>
      </c>
      <c r="Q43" s="48"/>
      <c r="S43" s="48"/>
    </row>
    <row r="44" spans="1:19" ht="15" hidden="1" customHeight="1" x14ac:dyDescent="0.25">
      <c r="A44" s="1283" t="s">
        <v>1164</v>
      </c>
      <c r="B44" s="1112"/>
      <c r="C44" s="1288">
        <f>'Fin Pos'!D41</f>
        <v>0</v>
      </c>
      <c r="D44" s="1289">
        <f t="shared" si="15"/>
        <v>0</v>
      </c>
      <c r="E44" s="1286">
        <v>0</v>
      </c>
      <c r="F44" s="1286">
        <f>'Fin Pos'!F41</f>
        <v>0</v>
      </c>
      <c r="G44" s="1287">
        <f>'Fin Pos'!J41</f>
        <v>0</v>
      </c>
      <c r="H44" s="1287">
        <v>0</v>
      </c>
      <c r="I44" s="1287">
        <f t="shared" si="18"/>
        <v>0</v>
      </c>
      <c r="J44" s="1324">
        <f t="shared" si="16"/>
        <v>0</v>
      </c>
      <c r="K44" s="1325">
        <f t="shared" si="17"/>
        <v>0</v>
      </c>
      <c r="Q44" s="48"/>
      <c r="S44" s="48"/>
    </row>
    <row r="45" spans="1:19" ht="15" hidden="1" customHeight="1" x14ac:dyDescent="0.25">
      <c r="A45" s="1283" t="s">
        <v>333</v>
      </c>
      <c r="B45" s="1112"/>
      <c r="C45" s="1288">
        <f>'Fin Pos'!D42</f>
        <v>0</v>
      </c>
      <c r="D45" s="1289">
        <f t="shared" si="15"/>
        <v>0</v>
      </c>
      <c r="E45" s="1286">
        <v>0</v>
      </c>
      <c r="F45" s="1286">
        <f>'Fin Pos'!F42</f>
        <v>0</v>
      </c>
      <c r="G45" s="1287">
        <f>'Fin Pos'!J42</f>
        <v>0</v>
      </c>
      <c r="H45" s="1287">
        <v>0</v>
      </c>
      <c r="I45" s="1287">
        <f t="shared" si="18"/>
        <v>0</v>
      </c>
      <c r="J45" s="1324">
        <f t="shared" si="16"/>
        <v>0</v>
      </c>
      <c r="K45" s="1325">
        <f t="shared" si="17"/>
        <v>0</v>
      </c>
      <c r="Q45" s="48"/>
      <c r="S45" s="48"/>
    </row>
    <row r="46" spans="1:19" ht="15" hidden="1" customHeight="1" x14ac:dyDescent="0.25">
      <c r="A46" s="1283" t="s">
        <v>4220</v>
      </c>
      <c r="B46" s="1112"/>
      <c r="C46" s="1288">
        <f>'Fin Pos'!D43</f>
        <v>0</v>
      </c>
      <c r="D46" s="1289">
        <f t="shared" si="15"/>
        <v>0</v>
      </c>
      <c r="E46" s="1286">
        <v>0</v>
      </c>
      <c r="F46" s="1286">
        <f>'Fin Pos'!F43</f>
        <v>0</v>
      </c>
      <c r="G46" s="1287">
        <f>'Fin Pos'!J43</f>
        <v>-5.8207660913467407E-11</v>
      </c>
      <c r="H46" s="1287">
        <v>0</v>
      </c>
      <c r="I46" s="1287">
        <f t="shared" si="18"/>
        <v>-5.8207660913467407E-11</v>
      </c>
      <c r="J46" s="1324">
        <f t="shared" si="16"/>
        <v>0</v>
      </c>
      <c r="K46" s="1325">
        <f t="shared" si="17"/>
        <v>0</v>
      </c>
      <c r="Q46" s="48"/>
      <c r="S46" s="48"/>
    </row>
    <row r="47" spans="1:19" ht="15" hidden="1" customHeight="1" x14ac:dyDescent="0.25">
      <c r="A47" s="1283" t="s">
        <v>781</v>
      </c>
      <c r="B47" s="1112"/>
      <c r="C47" s="1288">
        <f>'Fin Pos'!D44</f>
        <v>0</v>
      </c>
      <c r="D47" s="1289">
        <f t="shared" si="15"/>
        <v>0</v>
      </c>
      <c r="E47" s="1286">
        <v>0</v>
      </c>
      <c r="F47" s="1286">
        <f>'Fin Pos'!F44</f>
        <v>0</v>
      </c>
      <c r="G47" s="1287">
        <f>'Fin Pos'!J44</f>
        <v>0</v>
      </c>
      <c r="H47" s="1287">
        <v>0</v>
      </c>
      <c r="I47" s="1287">
        <f t="shared" si="18"/>
        <v>0</v>
      </c>
      <c r="J47" s="1324">
        <f t="shared" si="16"/>
        <v>0</v>
      </c>
      <c r="K47" s="1325">
        <f t="shared" si="17"/>
        <v>0</v>
      </c>
      <c r="Q47" s="48"/>
      <c r="S47" s="48"/>
    </row>
    <row r="48" spans="1:19" ht="15" customHeight="1" x14ac:dyDescent="0.25">
      <c r="A48" s="1283" t="s">
        <v>395</v>
      </c>
      <c r="B48" s="1112"/>
      <c r="C48" s="1288">
        <f>'Fin Pos'!D45</f>
        <v>0</v>
      </c>
      <c r="D48" s="1289">
        <f t="shared" si="15"/>
        <v>0</v>
      </c>
      <c r="E48" s="1286">
        <v>0</v>
      </c>
      <c r="F48" s="1286">
        <f>'Fin Pos'!F45</f>
        <v>0</v>
      </c>
      <c r="G48" s="1287">
        <f>'Fin Pos'!J45</f>
        <v>3915357</v>
      </c>
      <c r="H48" s="1287">
        <v>0</v>
      </c>
      <c r="I48" s="1287">
        <f t="shared" si="18"/>
        <v>3915357</v>
      </c>
      <c r="J48" s="1324">
        <f t="shared" si="16"/>
        <v>0</v>
      </c>
      <c r="K48" s="1325">
        <f t="shared" si="17"/>
        <v>0</v>
      </c>
      <c r="Q48" s="48"/>
      <c r="S48" s="48"/>
    </row>
    <row r="49" spans="1:19" ht="15" customHeight="1" x14ac:dyDescent="0.25">
      <c r="A49" s="1283" t="s">
        <v>396</v>
      </c>
      <c r="B49" s="1112"/>
      <c r="C49" s="1288">
        <f>'Fin Pos'!D46</f>
        <v>0</v>
      </c>
      <c r="D49" s="1289">
        <f t="shared" ref="D49" si="19">F49-E49-C49</f>
        <v>0</v>
      </c>
      <c r="E49" s="1286">
        <v>0</v>
      </c>
      <c r="F49" s="1286">
        <f>'Fin Pos'!F46</f>
        <v>0</v>
      </c>
      <c r="G49" s="1287">
        <f>'Fin Pos'!J46</f>
        <v>497144</v>
      </c>
      <c r="H49" s="1287">
        <v>0</v>
      </c>
      <c r="I49" s="1287">
        <f t="shared" ref="I49" si="20">G49-F49</f>
        <v>497144</v>
      </c>
      <c r="J49" s="1324">
        <f t="shared" ref="J49" si="21">IF(AND((F49&gt;0),(G49&gt;0)),(SUM(G49/F49)*100),0)</f>
        <v>0</v>
      </c>
      <c r="K49" s="1325">
        <f t="shared" ref="K49" si="22">IF(AND((C49&gt;0),(G49&gt;0)),(SUM(G49/C49)*100),0)</f>
        <v>0</v>
      </c>
      <c r="Q49" s="48"/>
      <c r="S49" s="48"/>
    </row>
    <row r="50" spans="1:19" ht="15" customHeight="1" x14ac:dyDescent="0.25">
      <c r="A50" s="1283"/>
      <c r="B50" s="1112"/>
      <c r="C50" s="1288"/>
      <c r="D50" s="1289"/>
      <c r="E50" s="1286"/>
      <c r="F50" s="1286"/>
      <c r="G50" s="1287"/>
      <c r="H50" s="1287"/>
      <c r="I50" s="1287"/>
      <c r="J50" s="1324"/>
      <c r="K50" s="1325"/>
      <c r="Q50" s="48"/>
      <c r="S50" s="48"/>
    </row>
    <row r="51" spans="1:19" ht="15" customHeight="1" x14ac:dyDescent="0.25">
      <c r="A51" s="315" t="s">
        <v>389</v>
      </c>
      <c r="B51" s="1112"/>
      <c r="C51" s="1288"/>
      <c r="D51" s="1289"/>
      <c r="E51" s="1286"/>
      <c r="F51" s="1286"/>
      <c r="G51" s="1287"/>
      <c r="H51" s="1287"/>
      <c r="I51" s="1287"/>
      <c r="J51" s="1324"/>
      <c r="K51" s="1325"/>
      <c r="Q51" s="48"/>
      <c r="S51" s="48"/>
    </row>
    <row r="52" spans="1:19" ht="15" customHeight="1" x14ac:dyDescent="0.25">
      <c r="A52" s="1283" t="s">
        <v>390</v>
      </c>
      <c r="B52" s="1112"/>
      <c r="C52" s="1288">
        <f>'Fin Pos'!D49</f>
        <v>0</v>
      </c>
      <c r="D52" s="1289">
        <f t="shared" ref="D52:D54" si="23">F52-E52-C52</f>
        <v>0</v>
      </c>
      <c r="E52" s="1286">
        <v>0</v>
      </c>
      <c r="F52" s="1286">
        <f>'Fin Pos'!F49</f>
        <v>0</v>
      </c>
      <c r="G52" s="1287">
        <f>'Fin Pos'!J49</f>
        <v>13213949.029999997</v>
      </c>
      <c r="H52" s="1287">
        <v>0</v>
      </c>
      <c r="I52" s="1287">
        <f t="shared" ref="I52:I54" si="24">G52-F52</f>
        <v>13213949.029999997</v>
      </c>
      <c r="J52" s="1324">
        <f t="shared" ref="J52:J54" si="25">IF(AND((F52&gt;0),(G52&gt;0)),(SUM(G52/F52)*100),0)</f>
        <v>0</v>
      </c>
      <c r="K52" s="1325">
        <f t="shared" ref="K52:K54" si="26">IF(AND((C52&gt;0),(G52&gt;0)),(SUM(G52/C52)*100),0)</f>
        <v>0</v>
      </c>
      <c r="Q52" s="48"/>
      <c r="S52" s="48"/>
    </row>
    <row r="53" spans="1:19" ht="15" hidden="1" customHeight="1" x14ac:dyDescent="0.25">
      <c r="A53" s="1283" t="s">
        <v>780</v>
      </c>
      <c r="B53" s="1112"/>
      <c r="C53" s="1288">
        <f>'Fin Pos'!D50</f>
        <v>0</v>
      </c>
      <c r="D53" s="1289">
        <f t="shared" si="23"/>
        <v>0</v>
      </c>
      <c r="E53" s="1286">
        <v>0</v>
      </c>
      <c r="F53" s="1286">
        <f>'Fin Pos'!F50</f>
        <v>0</v>
      </c>
      <c r="G53" s="1287">
        <f>'Fin Pos'!J50</f>
        <v>0</v>
      </c>
      <c r="H53" s="1287">
        <v>0</v>
      </c>
      <c r="I53" s="1287">
        <f t="shared" si="24"/>
        <v>0</v>
      </c>
      <c r="J53" s="1324">
        <f t="shared" si="25"/>
        <v>0</v>
      </c>
      <c r="K53" s="1325">
        <f t="shared" si="26"/>
        <v>0</v>
      </c>
      <c r="Q53" s="48"/>
      <c r="S53" s="48"/>
    </row>
    <row r="54" spans="1:19" ht="15" customHeight="1" x14ac:dyDescent="0.25">
      <c r="A54" s="1283" t="s">
        <v>391</v>
      </c>
      <c r="B54" s="1112"/>
      <c r="C54" s="1288">
        <f>'Fin Pos'!D51</f>
        <v>0</v>
      </c>
      <c r="D54" s="1289">
        <f t="shared" si="23"/>
        <v>0</v>
      </c>
      <c r="E54" s="1286">
        <v>0</v>
      </c>
      <c r="F54" s="1286">
        <f>'Fin Pos'!F51</f>
        <v>0</v>
      </c>
      <c r="G54" s="1287">
        <f>'Fin Pos'!J51</f>
        <v>17049944.82</v>
      </c>
      <c r="H54" s="1287">
        <v>0</v>
      </c>
      <c r="I54" s="1287">
        <f t="shared" si="24"/>
        <v>17049944.82</v>
      </c>
      <c r="J54" s="1324">
        <f t="shared" si="25"/>
        <v>0</v>
      </c>
      <c r="K54" s="1325">
        <f t="shared" si="26"/>
        <v>0</v>
      </c>
      <c r="Q54" s="48"/>
      <c r="S54" s="48"/>
    </row>
    <row r="55" spans="1:19" ht="15" customHeight="1" x14ac:dyDescent="0.25">
      <c r="A55" s="1283"/>
      <c r="B55" s="1112"/>
      <c r="C55" s="1288"/>
      <c r="D55" s="1289"/>
      <c r="E55" s="1286"/>
      <c r="F55" s="1286"/>
      <c r="G55" s="1287"/>
      <c r="H55" s="1287"/>
      <c r="I55" s="1287"/>
      <c r="J55" s="1324"/>
      <c r="K55" s="1325"/>
      <c r="Q55" s="48"/>
      <c r="S55" s="48"/>
    </row>
    <row r="56" spans="1:19" ht="15" customHeight="1" x14ac:dyDescent="0.25">
      <c r="A56" s="315" t="s">
        <v>975</v>
      </c>
      <c r="B56" s="1112"/>
      <c r="C56" s="1290">
        <f t="shared" ref="C56" si="27">SUM(C39:C55)</f>
        <v>0</v>
      </c>
      <c r="D56" s="1290">
        <f t="shared" ref="D56:I56" si="28">SUM(D39:D55)</f>
        <v>0</v>
      </c>
      <c r="E56" s="1290">
        <f t="shared" si="28"/>
        <v>0</v>
      </c>
      <c r="F56" s="1290">
        <f t="shared" si="28"/>
        <v>0</v>
      </c>
      <c r="G56" s="1290">
        <f t="shared" si="28"/>
        <v>62990323.929999985</v>
      </c>
      <c r="H56" s="1290">
        <f t="shared" si="28"/>
        <v>0</v>
      </c>
      <c r="I56" s="1290">
        <f t="shared" si="28"/>
        <v>62990323.929999985</v>
      </c>
      <c r="J56" s="1326">
        <f t="shared" ref="J56" si="29">IF(AND((F56&gt;0),(G56&gt;0)),(SUM(G56/F56)*100),0)</f>
        <v>0</v>
      </c>
      <c r="K56" s="1327">
        <f t="shared" ref="K56" si="30">IF(AND((C56&gt;0),(G56&gt;0)),(SUM(G56/C56)*100),0)</f>
        <v>0</v>
      </c>
      <c r="Q56" s="48"/>
      <c r="S56" s="48"/>
    </row>
    <row r="57" spans="1:19" ht="15" customHeight="1" thickBot="1" x14ac:dyDescent="0.3">
      <c r="A57" s="1283"/>
      <c r="B57" s="1112"/>
      <c r="C57" s="1288"/>
      <c r="D57" s="1289"/>
      <c r="E57" s="1286"/>
      <c r="F57" s="1286"/>
      <c r="G57" s="1287"/>
      <c r="H57" s="1287"/>
      <c r="I57" s="1287"/>
      <c r="J57" s="1324"/>
      <c r="K57" s="1325"/>
      <c r="Q57" s="48"/>
      <c r="S57" s="48"/>
    </row>
    <row r="58" spans="1:19" ht="15" customHeight="1" thickTop="1" thickBot="1" x14ac:dyDescent="0.3">
      <c r="A58" s="315" t="s">
        <v>1452</v>
      </c>
      <c r="B58" s="1112"/>
      <c r="C58" s="1334">
        <f t="shared" ref="C58" si="31">SUM(C37-C56)</f>
        <v>0</v>
      </c>
      <c r="D58" s="1335">
        <f t="shared" ref="D58:I58" si="32">SUM(D37-D56)</f>
        <v>0</v>
      </c>
      <c r="E58" s="1336">
        <f t="shared" si="32"/>
        <v>0</v>
      </c>
      <c r="F58" s="1336">
        <f t="shared" si="32"/>
        <v>0</v>
      </c>
      <c r="G58" s="1337">
        <f t="shared" si="32"/>
        <v>286177332.47999984</v>
      </c>
      <c r="H58" s="1337">
        <f t="shared" si="32"/>
        <v>0</v>
      </c>
      <c r="I58" s="1337">
        <f t="shared" si="32"/>
        <v>286177332.47999984</v>
      </c>
      <c r="J58" s="1329">
        <f t="shared" ref="J58" si="33">IF(AND((F58&gt;0),(G58&gt;0)),(SUM(G58/F58)*100),0)</f>
        <v>0</v>
      </c>
      <c r="K58" s="1330">
        <f t="shared" ref="K58" si="34">IF(AND((C58&gt;0),(G58&gt;0)),(SUM(G58/C58)*100),0)</f>
        <v>0</v>
      </c>
      <c r="Q58" s="48"/>
      <c r="S58" s="48"/>
    </row>
    <row r="59" spans="1:19" ht="15" customHeight="1" thickTop="1" x14ac:dyDescent="0.25">
      <c r="A59" s="1283"/>
      <c r="B59" s="1112"/>
      <c r="C59" s="1288"/>
      <c r="D59" s="1289"/>
      <c r="E59" s="1286"/>
      <c r="F59" s="1286"/>
      <c r="G59" s="1287"/>
      <c r="H59" s="1287"/>
      <c r="I59" s="1287"/>
      <c r="J59" s="1324"/>
      <c r="K59" s="1325"/>
      <c r="Q59" s="48"/>
      <c r="S59" s="48"/>
    </row>
    <row r="60" spans="1:19" ht="15" customHeight="1" x14ac:dyDescent="0.25">
      <c r="A60" s="315" t="s">
        <v>4118</v>
      </c>
      <c r="B60" s="1112"/>
      <c r="C60" s="1288"/>
      <c r="D60" s="1289"/>
      <c r="E60" s="1286"/>
      <c r="F60" s="1286"/>
      <c r="G60" s="1287"/>
      <c r="H60" s="1287"/>
      <c r="I60" s="1287"/>
      <c r="J60" s="1324"/>
      <c r="K60" s="1325"/>
      <c r="Q60" s="48"/>
      <c r="S60" s="48"/>
    </row>
    <row r="61" spans="1:19" ht="15" hidden="1" customHeight="1" x14ac:dyDescent="0.25">
      <c r="A61" s="1283" t="s">
        <v>1461</v>
      </c>
      <c r="B61" s="1112"/>
      <c r="C61" s="1288">
        <f>'Fin Pos'!D58</f>
        <v>0</v>
      </c>
      <c r="D61" s="1289">
        <f t="shared" ref="D61:D63" si="35">F61-E61-C61</f>
        <v>0</v>
      </c>
      <c r="E61" s="1286">
        <v>0</v>
      </c>
      <c r="F61" s="1286">
        <f>'Fin Pos'!F58</f>
        <v>0</v>
      </c>
      <c r="G61" s="1287">
        <f>'Fin Pos'!J58</f>
        <v>0</v>
      </c>
      <c r="H61" s="1287">
        <v>0</v>
      </c>
      <c r="I61" s="1287">
        <f t="shared" ref="I61:I63" si="36">G61-F61</f>
        <v>0</v>
      </c>
      <c r="J61" s="1324">
        <f t="shared" ref="J61:J63" si="37">IF(AND((F61&gt;0),(G61&gt;0)),(SUM(G61/F61)*100),0)</f>
        <v>0</v>
      </c>
      <c r="K61" s="1325">
        <f t="shared" ref="K61:K63" si="38">IF(AND((C61&gt;0),(G61&gt;0)),(SUM(G61/C61)*100),0)</f>
        <v>0</v>
      </c>
      <c r="Q61" s="48"/>
      <c r="S61" s="48"/>
    </row>
    <row r="62" spans="1:19" ht="15" hidden="1" customHeight="1" x14ac:dyDescent="0.25">
      <c r="A62" s="1283" t="s">
        <v>32</v>
      </c>
      <c r="B62" s="1112"/>
      <c r="C62" s="1288">
        <f>'Fin Pos'!D59</f>
        <v>0</v>
      </c>
      <c r="D62" s="1289">
        <f t="shared" si="35"/>
        <v>0</v>
      </c>
      <c r="E62" s="1286">
        <v>0</v>
      </c>
      <c r="F62" s="1286">
        <f>'Fin Pos'!F59</f>
        <v>0</v>
      </c>
      <c r="G62" s="1287">
        <f>'Fin Pos'!J59</f>
        <v>0</v>
      </c>
      <c r="H62" s="1287">
        <v>0</v>
      </c>
      <c r="I62" s="1287">
        <f t="shared" si="36"/>
        <v>0</v>
      </c>
      <c r="J62" s="1324">
        <f t="shared" si="37"/>
        <v>0</v>
      </c>
      <c r="K62" s="1325">
        <f t="shared" si="38"/>
        <v>0</v>
      </c>
      <c r="Q62" s="48"/>
      <c r="S62" s="48"/>
    </row>
    <row r="63" spans="1:19" ht="15" customHeight="1" x14ac:dyDescent="0.25">
      <c r="A63" s="1283" t="s">
        <v>214</v>
      </c>
      <c r="B63" s="1112"/>
      <c r="C63" s="1288">
        <f>'Fin Pos'!D60</f>
        <v>0</v>
      </c>
      <c r="D63" s="1289">
        <f t="shared" si="35"/>
        <v>0</v>
      </c>
      <c r="E63" s="1286">
        <v>0</v>
      </c>
      <c r="F63" s="1286">
        <f>'Fin Pos'!F60</f>
        <v>0</v>
      </c>
      <c r="G63" s="1287">
        <f>'Fin Pos'!J60</f>
        <v>286177332.7700001</v>
      </c>
      <c r="H63" s="1287">
        <v>0</v>
      </c>
      <c r="I63" s="1287">
        <f t="shared" si="36"/>
        <v>286177332.7700001</v>
      </c>
      <c r="J63" s="1324">
        <f t="shared" si="37"/>
        <v>0</v>
      </c>
      <c r="K63" s="1325">
        <f t="shared" si="38"/>
        <v>0</v>
      </c>
      <c r="Q63" s="48"/>
      <c r="S63" s="48"/>
    </row>
    <row r="64" spans="1:19" ht="15" customHeight="1" thickBot="1" x14ac:dyDescent="0.3">
      <c r="A64" s="1283"/>
      <c r="B64" s="1112"/>
      <c r="C64" s="1288"/>
      <c r="D64" s="1289"/>
      <c r="E64" s="1286"/>
      <c r="F64" s="1286"/>
      <c r="G64" s="1287"/>
      <c r="H64" s="1287"/>
      <c r="I64" s="1287"/>
      <c r="J64" s="1324"/>
      <c r="K64" s="1325"/>
      <c r="Q64" s="48"/>
      <c r="S64" s="48"/>
    </row>
    <row r="65" spans="1:19" ht="15" customHeight="1" thickTop="1" thickBot="1" x14ac:dyDescent="0.3">
      <c r="A65" s="315" t="s">
        <v>1454</v>
      </c>
      <c r="B65" s="1112"/>
      <c r="C65" s="1334">
        <f t="shared" ref="C65" si="39">SUM(C60:C64)</f>
        <v>0</v>
      </c>
      <c r="D65" s="1334">
        <f t="shared" ref="D65:I65" si="40">SUM(D60:D64)</f>
        <v>0</v>
      </c>
      <c r="E65" s="1334">
        <f t="shared" si="40"/>
        <v>0</v>
      </c>
      <c r="F65" s="1334">
        <f t="shared" si="40"/>
        <v>0</v>
      </c>
      <c r="G65" s="1334">
        <f t="shared" si="40"/>
        <v>286177332.7700001</v>
      </c>
      <c r="H65" s="1334">
        <f t="shared" si="40"/>
        <v>0</v>
      </c>
      <c r="I65" s="1334">
        <f t="shared" si="40"/>
        <v>286177332.7700001</v>
      </c>
      <c r="J65" s="1329">
        <f t="shared" ref="J65" si="41">IF(AND((F65&gt;0),(G65&gt;0)),(SUM(G65/F65)*100),0)</f>
        <v>0</v>
      </c>
      <c r="K65" s="1330">
        <f t="shared" ref="K65" si="42">IF(AND((C65&gt;0),(G65&gt;0)),(SUM(G65/C65)*100),0)</f>
        <v>0</v>
      </c>
      <c r="Q65" s="48"/>
      <c r="S65" s="48"/>
    </row>
    <row r="66" spans="1:19" ht="15" customHeight="1" thickTop="1" x14ac:dyDescent="0.25">
      <c r="A66" s="1283"/>
      <c r="B66" s="1112"/>
      <c r="C66" s="1295">
        <f>C58-C65</f>
        <v>0</v>
      </c>
      <c r="D66" s="1295">
        <f t="shared" ref="D66:I66" si="43">D58-D65</f>
        <v>0</v>
      </c>
      <c r="E66" s="1295">
        <f t="shared" si="43"/>
        <v>0</v>
      </c>
      <c r="F66" s="1295">
        <f t="shared" si="43"/>
        <v>0</v>
      </c>
      <c r="G66" s="2607">
        <f>G58-G65</f>
        <v>-0.29000025987625122</v>
      </c>
      <c r="H66" s="1295">
        <f t="shared" si="43"/>
        <v>0</v>
      </c>
      <c r="I66" s="2607">
        <f t="shared" si="43"/>
        <v>-0.29000025987625122</v>
      </c>
      <c r="J66" s="1324"/>
      <c r="K66" s="1325"/>
      <c r="Q66" s="48"/>
      <c r="S66" s="48"/>
    </row>
    <row r="67" spans="1:19" ht="15" customHeight="1" x14ac:dyDescent="0.25">
      <c r="A67" s="315" t="s">
        <v>4106</v>
      </c>
      <c r="B67" s="1112"/>
      <c r="C67" s="310"/>
      <c r="D67" s="314"/>
      <c r="E67" s="1277"/>
      <c r="F67" s="1111"/>
      <c r="G67" s="1111"/>
      <c r="H67" s="1278"/>
      <c r="I67" s="1278"/>
      <c r="J67" s="1278"/>
      <c r="K67" s="1279"/>
      <c r="Q67" s="48"/>
      <c r="S67" s="48"/>
    </row>
    <row r="68" spans="1:19" ht="15" customHeight="1" x14ac:dyDescent="0.25">
      <c r="A68" s="315" t="s">
        <v>2230</v>
      </c>
      <c r="B68" s="1112"/>
      <c r="C68" s="1280"/>
      <c r="D68" s="1280"/>
      <c r="E68" s="1280"/>
      <c r="F68" s="1280"/>
      <c r="G68" s="1280"/>
      <c r="H68" s="1281"/>
      <c r="I68" s="1281"/>
      <c r="J68" s="1322"/>
      <c r="K68" s="1323"/>
      <c r="Q68" s="48"/>
      <c r="S68" s="48"/>
    </row>
    <row r="69" spans="1:19" ht="15" customHeight="1" x14ac:dyDescent="0.25">
      <c r="A69" s="1283" t="s">
        <v>404</v>
      </c>
      <c r="B69" s="1112"/>
      <c r="C69" s="1288">
        <f>'Fin Perform'!D9</f>
        <v>6846144.1699999999</v>
      </c>
      <c r="D69" s="1289">
        <f t="shared" ref="D69" si="44">F69-E69-C69</f>
        <v>0</v>
      </c>
      <c r="E69" s="1286">
        <v>0</v>
      </c>
      <c r="F69" s="1286">
        <f>'Fin Perform'!F9</f>
        <v>6846144.1699999999</v>
      </c>
      <c r="G69" s="1287">
        <f>'Fin Perform'!I9</f>
        <v>7231215.04</v>
      </c>
      <c r="H69" s="1287">
        <v>0</v>
      </c>
      <c r="I69" s="1287">
        <f>G69-F69</f>
        <v>385070.87000000011</v>
      </c>
      <c r="J69" s="1324">
        <f t="shared" ref="J69:J85" si="45">IF(AND((F69&gt;0),(G69&gt;0)),(SUM(G69/F69)*100),0)</f>
        <v>105.62463863509319</v>
      </c>
      <c r="K69" s="1325">
        <f t="shared" ref="K69:K85" si="46">IF(AND((C69&gt;0),(G69&gt;0)),(SUM(G69/C69)*100),0)</f>
        <v>105.62463863509319</v>
      </c>
      <c r="L69" s="1208" t="s">
        <v>7659</v>
      </c>
      <c r="Q69" s="48"/>
      <c r="S69" s="48"/>
    </row>
    <row r="70" spans="1:19" ht="15" hidden="1" customHeight="1" x14ac:dyDescent="0.25">
      <c r="A70" s="1283" t="s">
        <v>408</v>
      </c>
      <c r="B70" s="1112"/>
      <c r="C70" s="1288">
        <f>'Fin Perform'!D10</f>
        <v>0</v>
      </c>
      <c r="D70" s="1289">
        <f t="shared" ref="D70" si="47">F70-E70-C70</f>
        <v>0</v>
      </c>
      <c r="E70" s="1286">
        <v>0</v>
      </c>
      <c r="F70" s="1286">
        <f>'Fin Perform'!F10</f>
        <v>0</v>
      </c>
      <c r="G70" s="1287">
        <f>'Fin Perform'!I10</f>
        <v>0</v>
      </c>
      <c r="H70" s="1287">
        <v>0</v>
      </c>
      <c r="I70" s="1287">
        <f>G70-F70</f>
        <v>0</v>
      </c>
      <c r="J70" s="1324">
        <f t="shared" si="45"/>
        <v>0</v>
      </c>
      <c r="K70" s="1325">
        <f t="shared" si="46"/>
        <v>0</v>
      </c>
      <c r="Q70" s="48"/>
      <c r="S70" s="48"/>
    </row>
    <row r="71" spans="1:19" ht="15" customHeight="1" x14ac:dyDescent="0.25">
      <c r="A71" s="1283" t="s">
        <v>248</v>
      </c>
      <c r="B71" s="1112"/>
      <c r="C71" s="1288">
        <f>'Fin Perform'!D11</f>
        <v>1210000</v>
      </c>
      <c r="D71" s="1289">
        <f t="shared" ref="D71:D87" si="48">F71-E71-C71</f>
        <v>-1160000</v>
      </c>
      <c r="E71" s="1286">
        <v>0</v>
      </c>
      <c r="F71" s="1286">
        <f>'Fin Perform'!F11</f>
        <v>50000</v>
      </c>
      <c r="G71" s="1287">
        <f>'Fin Perform'!I11</f>
        <v>157143</v>
      </c>
      <c r="H71" s="1287">
        <v>0</v>
      </c>
      <c r="I71" s="1287">
        <f>G71-F71</f>
        <v>107143</v>
      </c>
      <c r="J71" s="1324">
        <f t="shared" si="45"/>
        <v>314.286</v>
      </c>
      <c r="K71" s="1325">
        <f t="shared" si="46"/>
        <v>12.98702479338843</v>
      </c>
      <c r="L71" s="1208" t="s">
        <v>7660</v>
      </c>
      <c r="Q71" s="48"/>
      <c r="S71" s="48"/>
    </row>
    <row r="72" spans="1:19" ht="15" customHeight="1" x14ac:dyDescent="0.25">
      <c r="A72" s="1283" t="s">
        <v>411</v>
      </c>
      <c r="B72" s="1112"/>
      <c r="C72" s="1288">
        <f>'Fin Perform'!D13</f>
        <v>110</v>
      </c>
      <c r="D72" s="1289">
        <f t="shared" si="48"/>
        <v>890</v>
      </c>
      <c r="E72" s="1286">
        <v>0</v>
      </c>
      <c r="F72" s="1286">
        <f>'Fin Perform'!F13</f>
        <v>1000</v>
      </c>
      <c r="G72" s="1287">
        <f>'Fin Perform'!I13</f>
        <v>438.6</v>
      </c>
      <c r="H72" s="1287">
        <v>0</v>
      </c>
      <c r="I72" s="1287">
        <f>G72-F72</f>
        <v>-561.4</v>
      </c>
      <c r="J72" s="1324">
        <f t="shared" si="45"/>
        <v>43.860000000000007</v>
      </c>
      <c r="K72" s="1325">
        <f t="shared" si="46"/>
        <v>398.72727272727275</v>
      </c>
      <c r="Q72" s="48"/>
      <c r="S72" s="48"/>
    </row>
    <row r="73" spans="1:19" ht="15" hidden="1" customHeight="1" x14ac:dyDescent="0.25">
      <c r="A73" s="1283" t="s">
        <v>412</v>
      </c>
      <c r="B73" s="1112"/>
      <c r="C73" s="1288">
        <f>'Fin Perform'!D14</f>
        <v>0</v>
      </c>
      <c r="D73" s="1289">
        <f t="shared" si="48"/>
        <v>0</v>
      </c>
      <c r="E73" s="1286">
        <v>0</v>
      </c>
      <c r="F73" s="1286">
        <f>'Fin Perform'!F14</f>
        <v>0</v>
      </c>
      <c r="G73" s="1287">
        <f>'Fin Perform'!I14</f>
        <v>0</v>
      </c>
      <c r="H73" s="1287">
        <v>0</v>
      </c>
      <c r="I73" s="1287">
        <f>G73-F73</f>
        <v>0</v>
      </c>
      <c r="J73" s="1324">
        <f t="shared" si="45"/>
        <v>0</v>
      </c>
      <c r="K73" s="1325">
        <f t="shared" si="46"/>
        <v>0</v>
      </c>
      <c r="Q73" s="48"/>
      <c r="S73" s="48"/>
    </row>
    <row r="74" spans="1:19" ht="15" customHeight="1" x14ac:dyDescent="0.25">
      <c r="A74" s="1283" t="s">
        <v>787</v>
      </c>
      <c r="B74" s="1112"/>
      <c r="C74" s="1284">
        <f>'Fin Perform'!D15-C110</f>
        <v>63839447.019999996</v>
      </c>
      <c r="D74" s="1285">
        <f t="shared" si="48"/>
        <v>8871552.9800000042</v>
      </c>
      <c r="E74" s="1286">
        <v>0</v>
      </c>
      <c r="F74" s="1286">
        <f>'Fin Perform'!F15-F110</f>
        <v>72711000</v>
      </c>
      <c r="G74" s="1287">
        <f>'Fin Perform'!I15</f>
        <v>75357043.420000002</v>
      </c>
      <c r="H74" s="1287">
        <v>0</v>
      </c>
      <c r="I74" s="1287">
        <f t="shared" ref="I74:I85" si="49">G74-F74</f>
        <v>2646043.4200000018</v>
      </c>
      <c r="J74" s="1324">
        <f t="shared" si="45"/>
        <v>103.63912395648526</v>
      </c>
      <c r="K74" s="1325">
        <f t="shared" si="46"/>
        <v>118.04150401928091</v>
      </c>
      <c r="L74" s="1208" t="s">
        <v>7514</v>
      </c>
      <c r="Q74" s="48"/>
      <c r="S74" s="48"/>
    </row>
    <row r="75" spans="1:19" ht="15" customHeight="1" x14ac:dyDescent="0.25">
      <c r="A75" s="1283" t="s">
        <v>445</v>
      </c>
      <c r="B75" s="1112"/>
      <c r="C75" s="1284">
        <f>'Fin Perform'!D16-C111</f>
        <v>-28051.51</v>
      </c>
      <c r="D75" s="1285">
        <f t="shared" si="48"/>
        <v>0</v>
      </c>
      <c r="E75" s="1286">
        <v>0</v>
      </c>
      <c r="F75" s="1286">
        <f>'Fin Perform'!F16-F111</f>
        <v>-28051.51</v>
      </c>
      <c r="G75" s="1287">
        <f ca="1">'Fin Perform'!I16-G111</f>
        <v>0</v>
      </c>
      <c r="H75" s="1287">
        <v>0</v>
      </c>
      <c r="I75" s="1287">
        <f t="shared" ca="1" si="49"/>
        <v>28051.51</v>
      </c>
      <c r="J75" s="1324">
        <f t="shared" ca="1" si="45"/>
        <v>0</v>
      </c>
      <c r="K75" s="1325">
        <f t="shared" ca="1" si="46"/>
        <v>0</v>
      </c>
      <c r="Q75" s="48"/>
      <c r="S75" s="48"/>
    </row>
    <row r="76" spans="1:19" ht="15" customHeight="1" x14ac:dyDescent="0.25">
      <c r="A76" s="1283"/>
      <c r="B76" s="1112"/>
      <c r="C76" s="1284"/>
      <c r="D76" s="1285"/>
      <c r="E76" s="1286"/>
      <c r="F76" s="1286"/>
      <c r="G76" s="1287"/>
      <c r="H76" s="1287"/>
      <c r="I76" s="1287"/>
      <c r="J76" s="1324"/>
      <c r="K76" s="1325"/>
      <c r="Q76" s="48"/>
      <c r="S76" s="48"/>
    </row>
    <row r="77" spans="1:19" ht="15" customHeight="1" x14ac:dyDescent="0.25">
      <c r="A77" s="315" t="s">
        <v>2231</v>
      </c>
      <c r="B77" s="1112"/>
      <c r="C77" s="1284"/>
      <c r="D77" s="1285"/>
      <c r="E77" s="1286"/>
      <c r="F77" s="1286"/>
      <c r="G77" s="1287"/>
      <c r="H77" s="1287"/>
      <c r="I77" s="1287"/>
      <c r="J77" s="1324"/>
      <c r="K77" s="1325"/>
      <c r="Q77" s="48"/>
      <c r="S77" s="48"/>
    </row>
    <row r="78" spans="1:19" ht="15" customHeight="1" x14ac:dyDescent="0.25">
      <c r="A78" s="1283" t="s">
        <v>405</v>
      </c>
      <c r="B78" s="1112"/>
      <c r="C78" s="1284">
        <f>'Fin Perform'!D18</f>
        <v>4711933.79</v>
      </c>
      <c r="D78" s="1285">
        <f t="shared" ref="D78:D82" si="50">F78-E78-C78</f>
        <v>2355170.37</v>
      </c>
      <c r="E78" s="1286">
        <v>0</v>
      </c>
      <c r="F78" s="1286">
        <f>'Fin Perform'!F18</f>
        <v>7067104.1600000001</v>
      </c>
      <c r="G78" s="1287">
        <f>'Fin Perform'!I18</f>
        <v>35847242.30999998</v>
      </c>
      <c r="H78" s="1287">
        <v>0</v>
      </c>
      <c r="I78" s="1287">
        <f t="shared" ref="I78:I83" si="51">G78-F78</f>
        <v>28780138.14999998</v>
      </c>
      <c r="J78" s="1324">
        <f t="shared" si="45"/>
        <v>507.24089384300203</v>
      </c>
      <c r="K78" s="1325">
        <f t="shared" si="46"/>
        <v>760.77559464179103</v>
      </c>
      <c r="L78" s="1208" t="s">
        <v>7661</v>
      </c>
      <c r="Q78" s="48"/>
      <c r="S78" s="48"/>
    </row>
    <row r="79" spans="1:19" ht="15" customHeight="1" x14ac:dyDescent="0.25">
      <c r="A79" s="1283" t="s">
        <v>406</v>
      </c>
      <c r="B79" s="1112"/>
      <c r="C79" s="1284">
        <f>'Fin Perform'!D19</f>
        <v>524607.30000000005</v>
      </c>
      <c r="D79" s="1285">
        <f t="shared" si="50"/>
        <v>0</v>
      </c>
      <c r="E79" s="1286">
        <v>0</v>
      </c>
      <c r="F79" s="1286">
        <f>'Fin Perform'!F19</f>
        <v>524607.30000000005</v>
      </c>
      <c r="G79" s="1287">
        <f>'Fin Perform'!I19</f>
        <v>663135.83000000007</v>
      </c>
      <c r="H79" s="1287">
        <v>0</v>
      </c>
      <c r="I79" s="1287">
        <f t="shared" si="51"/>
        <v>138528.53000000003</v>
      </c>
      <c r="J79" s="1324">
        <f t="shared" si="45"/>
        <v>126.40613845823343</v>
      </c>
      <c r="K79" s="1325">
        <f t="shared" si="46"/>
        <v>126.40613845823343</v>
      </c>
      <c r="Q79" s="48"/>
      <c r="S79" s="48"/>
    </row>
    <row r="80" spans="1:19" ht="15" customHeight="1" x14ac:dyDescent="0.25">
      <c r="A80" s="1283" t="s">
        <v>443</v>
      </c>
      <c r="B80" s="1112"/>
      <c r="C80" s="1284">
        <f>'Fin Perform'!D20</f>
        <v>477.95</v>
      </c>
      <c r="D80" s="1285">
        <f t="shared" si="50"/>
        <v>14522.05</v>
      </c>
      <c r="E80" s="1286">
        <v>0</v>
      </c>
      <c r="F80" s="1286">
        <f>'Fin Perform'!F20</f>
        <v>15000</v>
      </c>
      <c r="G80" s="1287">
        <f>'Fin Perform'!I20</f>
        <v>140676.66</v>
      </c>
      <c r="H80" s="1287">
        <v>0</v>
      </c>
      <c r="I80" s="1287">
        <f t="shared" si="51"/>
        <v>125676.66</v>
      </c>
      <c r="J80" s="1324">
        <f t="shared" si="45"/>
        <v>937.84439999999995</v>
      </c>
      <c r="K80" s="1325">
        <f t="shared" si="46"/>
        <v>29433.342399832622</v>
      </c>
      <c r="Q80" s="48"/>
      <c r="S80" s="48"/>
    </row>
    <row r="81" spans="1:19" ht="15" customHeight="1" x14ac:dyDescent="0.25">
      <c r="A81" s="1283" t="s">
        <v>444</v>
      </c>
      <c r="B81" s="1112"/>
      <c r="C81" s="1288">
        <f>'Fin Perform'!D21</f>
        <v>242201.05</v>
      </c>
      <c r="D81" s="1289">
        <f t="shared" si="50"/>
        <v>0</v>
      </c>
      <c r="E81" s="1286">
        <v>0</v>
      </c>
      <c r="F81" s="1286">
        <f>'Fin Perform'!F21</f>
        <v>242201.05</v>
      </c>
      <c r="G81" s="1287">
        <f>'Fin Perform'!I21</f>
        <v>273209.25</v>
      </c>
      <c r="H81" s="1287">
        <v>0</v>
      </c>
      <c r="I81" s="1287">
        <f t="shared" si="51"/>
        <v>31008.200000000012</v>
      </c>
      <c r="J81" s="1324">
        <f t="shared" si="45"/>
        <v>112.80266951774156</v>
      </c>
      <c r="K81" s="1325">
        <f t="shared" si="46"/>
        <v>112.80266951774156</v>
      </c>
      <c r="Q81" s="48"/>
      <c r="S81" s="48"/>
    </row>
    <row r="82" spans="1:19" ht="15" customHeight="1" x14ac:dyDescent="0.25">
      <c r="A82" s="1283" t="s">
        <v>410</v>
      </c>
      <c r="B82" s="1112"/>
      <c r="C82" s="1288">
        <f>'Fin Perform'!D22</f>
        <v>7625.82</v>
      </c>
      <c r="D82" s="1289">
        <f t="shared" si="50"/>
        <v>0</v>
      </c>
      <c r="E82" s="1286">
        <v>0</v>
      </c>
      <c r="F82" s="1286">
        <f>'Fin Perform'!F22</f>
        <v>7625.82</v>
      </c>
      <c r="G82" s="1287">
        <f>'Fin Perform'!I22</f>
        <v>2961.77</v>
      </c>
      <c r="H82" s="1287">
        <v>0</v>
      </c>
      <c r="I82" s="1287">
        <f t="shared" si="51"/>
        <v>-4664.0499999999993</v>
      </c>
      <c r="J82" s="1324">
        <f t="shared" si="45"/>
        <v>38.838708492988296</v>
      </c>
      <c r="K82" s="1325">
        <f t="shared" si="46"/>
        <v>38.838708492988296</v>
      </c>
      <c r="Q82" s="48"/>
      <c r="S82" s="48"/>
    </row>
    <row r="83" spans="1:19" ht="15" customHeight="1" x14ac:dyDescent="0.25">
      <c r="A83" s="1283" t="s">
        <v>786</v>
      </c>
      <c r="B83" s="1112"/>
      <c r="C83" s="1288">
        <v>0</v>
      </c>
      <c r="D83" s="1289">
        <v>0</v>
      </c>
      <c r="E83" s="1286">
        <v>0</v>
      </c>
      <c r="F83" s="1286">
        <v>0</v>
      </c>
      <c r="G83" s="1287">
        <f>'Fin Perform'!I12</f>
        <v>16834.3</v>
      </c>
      <c r="H83" s="1287">
        <v>0</v>
      </c>
      <c r="I83" s="1287">
        <f t="shared" si="51"/>
        <v>16834.3</v>
      </c>
      <c r="J83" s="1324">
        <f t="shared" si="45"/>
        <v>0</v>
      </c>
      <c r="K83" s="1325">
        <f t="shared" si="46"/>
        <v>0</v>
      </c>
      <c r="Q83" s="48"/>
      <c r="S83" s="48"/>
    </row>
    <row r="84" spans="1:19" ht="15" customHeight="1" x14ac:dyDescent="0.25">
      <c r="A84" s="1283" t="s">
        <v>414</v>
      </c>
      <c r="B84" s="1112"/>
      <c r="C84" s="1284">
        <f>'Fin Perform'!D23</f>
        <v>265685.12</v>
      </c>
      <c r="D84" s="1285">
        <f t="shared" si="48"/>
        <v>500182.39999999991</v>
      </c>
      <c r="E84" s="1286">
        <v>0</v>
      </c>
      <c r="F84" s="1286">
        <f>'Fin Perform'!F23</f>
        <v>765867.5199999999</v>
      </c>
      <c r="G84" s="1287">
        <f>'Fin Perform'!I23</f>
        <v>567171.72000000044</v>
      </c>
      <c r="H84" s="1287">
        <v>0</v>
      </c>
      <c r="I84" s="1287">
        <f t="shared" si="49"/>
        <v>-198695.79999999946</v>
      </c>
      <c r="J84" s="1324">
        <f t="shared" si="45"/>
        <v>74.056113516865224</v>
      </c>
      <c r="K84" s="1325">
        <f t="shared" si="46"/>
        <v>213.47515434812476</v>
      </c>
      <c r="L84" s="1208" t="s">
        <v>7662</v>
      </c>
      <c r="Q84" s="48"/>
      <c r="S84" s="48"/>
    </row>
    <row r="85" spans="1:19" ht="15" hidden="1" customHeight="1" x14ac:dyDescent="0.25">
      <c r="A85" s="1283" t="s">
        <v>788</v>
      </c>
      <c r="B85" s="1112"/>
      <c r="C85" s="1284">
        <f>'Fin Perform'!D24</f>
        <v>0</v>
      </c>
      <c r="D85" s="1285">
        <f t="shared" si="48"/>
        <v>0</v>
      </c>
      <c r="E85" s="1286">
        <v>0</v>
      </c>
      <c r="F85" s="1286">
        <f>'Fin Perform'!F24</f>
        <v>0</v>
      </c>
      <c r="G85" s="1287">
        <f>'Fin Perform'!I24</f>
        <v>0</v>
      </c>
      <c r="H85" s="1287">
        <v>0</v>
      </c>
      <c r="I85" s="1287">
        <f t="shared" si="49"/>
        <v>0</v>
      </c>
      <c r="J85" s="1324">
        <f t="shared" si="45"/>
        <v>0</v>
      </c>
      <c r="K85" s="1325">
        <f t="shared" si="46"/>
        <v>0</v>
      </c>
      <c r="Q85" s="48"/>
      <c r="S85" s="48"/>
    </row>
    <row r="86" spans="1:19" ht="15" hidden="1" customHeight="1" x14ac:dyDescent="0.25">
      <c r="A86" s="1283" t="s">
        <v>415</v>
      </c>
      <c r="B86" s="1112"/>
      <c r="C86" s="1284">
        <f>'Fin Perform'!D25</f>
        <v>0</v>
      </c>
      <c r="D86" s="1285">
        <f t="shared" si="48"/>
        <v>0</v>
      </c>
      <c r="E86" s="1286">
        <v>0</v>
      </c>
      <c r="F86" s="1286">
        <f>'Fin Perform'!F25</f>
        <v>0</v>
      </c>
      <c r="G86" s="1287">
        <f>'Fin Perform'!I25</f>
        <v>0</v>
      </c>
      <c r="H86" s="1287">
        <v>0</v>
      </c>
      <c r="I86" s="1287">
        <f>G86-F86</f>
        <v>0</v>
      </c>
      <c r="J86" s="1324">
        <f>IF(AND((F86&gt;0),(G86&gt;0)),(SUM(G86/F86)*100),0)</f>
        <v>0</v>
      </c>
      <c r="K86" s="1325">
        <f>IF(AND((C86&gt;0),(G86&gt;0)),(SUM(G86/C86)*100),0)</f>
        <v>0</v>
      </c>
      <c r="Q86" s="48"/>
      <c r="S86" s="48"/>
    </row>
    <row r="87" spans="1:19" ht="15" hidden="1" customHeight="1" x14ac:dyDescent="0.25">
      <c r="A87" s="1283" t="s">
        <v>1304</v>
      </c>
      <c r="B87" s="1112"/>
      <c r="C87" s="1284">
        <f>'Fin Perform'!D26</f>
        <v>0</v>
      </c>
      <c r="D87" s="1285">
        <f t="shared" si="48"/>
        <v>0</v>
      </c>
      <c r="E87" s="1286">
        <v>0</v>
      </c>
      <c r="F87" s="1286">
        <f>'Fin Perform'!F26</f>
        <v>0</v>
      </c>
      <c r="G87" s="1287">
        <f>'Fin Perform'!I26</f>
        <v>0</v>
      </c>
      <c r="H87" s="1287">
        <v>0</v>
      </c>
      <c r="I87" s="1287">
        <f>G87-F87</f>
        <v>0</v>
      </c>
      <c r="J87" s="1324">
        <f t="shared" ref="J87" si="52">IF(AND((F87&gt;0),(G87&gt;0)),(SUM(G87/F87)*100),0)</f>
        <v>0</v>
      </c>
      <c r="K87" s="1325">
        <f t="shared" ref="K87" si="53">IF(AND((C87&gt;0),(G87&gt;0)),(SUM(G87/C87)*100),0)</f>
        <v>0</v>
      </c>
      <c r="Q87" s="48"/>
      <c r="S87" s="48"/>
    </row>
    <row r="88" spans="1:19" ht="15" customHeight="1" x14ac:dyDescent="0.25">
      <c r="A88" s="1283"/>
      <c r="B88" s="1112"/>
      <c r="C88" s="1288"/>
      <c r="D88" s="1289"/>
      <c r="E88" s="1286"/>
      <c r="F88" s="1286"/>
      <c r="G88" s="1287"/>
      <c r="H88" s="1287"/>
      <c r="I88" s="1287"/>
      <c r="J88" s="1324"/>
      <c r="K88" s="1325"/>
      <c r="Q88" s="48"/>
      <c r="S88" s="48"/>
    </row>
    <row r="89" spans="1:19" ht="15" customHeight="1" x14ac:dyDescent="0.25">
      <c r="A89" s="315" t="s">
        <v>249</v>
      </c>
      <c r="B89" s="1112"/>
      <c r="C89" s="1290">
        <f t="shared" ref="C89" si="54">SUM(C68:C88)</f>
        <v>77620180.709999993</v>
      </c>
      <c r="D89" s="1291">
        <f t="shared" ref="D89:I89" si="55">SUM(D68:D88)</f>
        <v>10582317.800000006</v>
      </c>
      <c r="E89" s="1292">
        <f t="shared" si="55"/>
        <v>0</v>
      </c>
      <c r="F89" s="1292">
        <f>SUM(F68:F88)</f>
        <v>88202498.509999976</v>
      </c>
      <c r="G89" s="1293">
        <f t="shared" ca="1" si="55"/>
        <v>120257071.89999996</v>
      </c>
      <c r="H89" s="1293">
        <f t="shared" si="55"/>
        <v>0</v>
      </c>
      <c r="I89" s="1293">
        <f t="shared" ca="1" si="55"/>
        <v>32054573.389999982</v>
      </c>
      <c r="J89" s="1326">
        <f t="shared" ref="J89" ca="1" si="56">IF(AND((F89&gt;0),(G89&gt;0)),(SUM(G89/F89)*100),0)</f>
        <v>136.34202424137203</v>
      </c>
      <c r="K89" s="1327">
        <f t="shared" ref="K89" ca="1" si="57">IF(AND((C89&gt;0),(G89&gt;0)),(SUM(G89/C89)*100),0)</f>
        <v>154.93016223357873</v>
      </c>
      <c r="Q89" s="48"/>
      <c r="S89" s="48"/>
    </row>
    <row r="90" spans="1:19" ht="15" customHeight="1" x14ac:dyDescent="0.25">
      <c r="A90" s="1283"/>
      <c r="B90" s="1112"/>
      <c r="C90" s="1294"/>
      <c r="D90" s="1273"/>
      <c r="E90" s="1294"/>
      <c r="F90" s="1294"/>
      <c r="G90" s="1294"/>
      <c r="H90" s="1294"/>
      <c r="I90" s="1295"/>
      <c r="J90" s="1328"/>
      <c r="K90" s="1325"/>
      <c r="Q90" s="48"/>
      <c r="S90" s="48"/>
    </row>
    <row r="91" spans="1:19" ht="15" customHeight="1" x14ac:dyDescent="0.25">
      <c r="A91" s="315" t="s">
        <v>242</v>
      </c>
      <c r="B91" s="1112"/>
      <c r="C91" s="1280"/>
      <c r="D91" s="1280"/>
      <c r="E91" s="1280"/>
      <c r="F91" s="1280"/>
      <c r="G91" s="1280"/>
      <c r="H91" s="1281"/>
      <c r="I91" s="1281"/>
      <c r="J91" s="1322"/>
      <c r="K91" s="1323"/>
      <c r="Q91" s="48"/>
      <c r="S91" s="48"/>
    </row>
    <row r="92" spans="1:19" ht="15" customHeight="1" x14ac:dyDescent="0.25">
      <c r="A92" s="1283" t="s">
        <v>416</v>
      </c>
      <c r="B92" s="1112"/>
      <c r="C92" s="1284">
        <f>'Fin Perform'!D33</f>
        <v>40327843.95000001</v>
      </c>
      <c r="D92" s="1284">
        <f t="shared" ref="D92:D105" si="58">F92-E92-C92</f>
        <v>-3355834.3299999982</v>
      </c>
      <c r="E92" s="1284">
        <v>0</v>
      </c>
      <c r="F92" s="1286">
        <f>'Fin Perform'!F33</f>
        <v>36972009.620000012</v>
      </c>
      <c r="G92" s="1287">
        <f>'Fin Perform'!I33</f>
        <v>35362981.040000007</v>
      </c>
      <c r="H92" s="1287">
        <f>IF(SUM(G92-F92)&gt;0,SUM(G92-F92),0)</f>
        <v>0</v>
      </c>
      <c r="I92" s="1287">
        <f>G92-F92</f>
        <v>-1609028.5800000057</v>
      </c>
      <c r="J92" s="1324">
        <f t="shared" ref="J92:J105" si="59">IF(AND((F92&gt;0),(G92&gt;0)),(SUM(G92/F92)*100),0)</f>
        <v>95.647981820469923</v>
      </c>
      <c r="K92" s="1325">
        <f t="shared" ref="K92:K105" si="60">IF(AND((C92&gt;0),(G92&gt;0)),(SUM(G92/C92)*100),0)</f>
        <v>87.688746970565475</v>
      </c>
      <c r="Q92" s="48"/>
      <c r="S92" s="48"/>
    </row>
    <row r="93" spans="1:19" ht="15" customHeight="1" x14ac:dyDescent="0.25">
      <c r="A93" s="1283" t="s">
        <v>250</v>
      </c>
      <c r="B93" s="1112"/>
      <c r="C93" s="1284">
        <f>'Fin Perform'!D34</f>
        <v>2511235.1799999997</v>
      </c>
      <c r="D93" s="1284">
        <f t="shared" si="58"/>
        <v>90153.370000000577</v>
      </c>
      <c r="E93" s="1284">
        <v>0</v>
      </c>
      <c r="F93" s="1286">
        <f>'Fin Perform'!F34</f>
        <v>2601388.5500000003</v>
      </c>
      <c r="G93" s="1287">
        <f>'Fin Perform'!I34</f>
        <v>2599729.3099999996</v>
      </c>
      <c r="H93" s="1287">
        <f t="shared" ref="H93:H105" si="61">IF(SUM(G93-F93)&gt;0,SUM(G93-F93),0)</f>
        <v>0</v>
      </c>
      <c r="I93" s="1287">
        <f t="shared" ref="I93:I105" si="62">G93-F93</f>
        <v>-1659.2400000006892</v>
      </c>
      <c r="J93" s="1324">
        <f t="shared" si="59"/>
        <v>99.936217140649717</v>
      </c>
      <c r="K93" s="1325">
        <f t="shared" si="60"/>
        <v>103.52392841199365</v>
      </c>
      <c r="Q93" s="48"/>
      <c r="S93" s="48"/>
    </row>
    <row r="94" spans="1:19" ht="15" hidden="1" customHeight="1" x14ac:dyDescent="0.25">
      <c r="A94" s="1283" t="s">
        <v>417</v>
      </c>
      <c r="B94" s="1112"/>
      <c r="C94" s="1284">
        <f>'Fin Perform'!D35</f>
        <v>0</v>
      </c>
      <c r="D94" s="1284">
        <f t="shared" si="58"/>
        <v>0</v>
      </c>
      <c r="E94" s="1284">
        <v>0</v>
      </c>
      <c r="F94" s="1286">
        <f>'Fin Perform'!F35</f>
        <v>0</v>
      </c>
      <c r="G94" s="1287">
        <f>'Fin Perform'!I35</f>
        <v>0</v>
      </c>
      <c r="H94" s="1287">
        <f t="shared" si="61"/>
        <v>0</v>
      </c>
      <c r="I94" s="1287">
        <f t="shared" si="62"/>
        <v>0</v>
      </c>
      <c r="J94" s="1324">
        <f t="shared" si="59"/>
        <v>0</v>
      </c>
      <c r="K94" s="1325">
        <f t="shared" si="60"/>
        <v>0</v>
      </c>
      <c r="Q94" s="48"/>
      <c r="S94" s="48"/>
    </row>
    <row r="95" spans="1:19" ht="15" customHeight="1" x14ac:dyDescent="0.25">
      <c r="A95" s="1283" t="s">
        <v>792</v>
      </c>
      <c r="B95" s="1112"/>
      <c r="C95" s="1284">
        <f>'Fin Perform'!D36</f>
        <v>0</v>
      </c>
      <c r="D95" s="1284">
        <f t="shared" si="58"/>
        <v>0</v>
      </c>
      <c r="E95" s="1284">
        <v>0</v>
      </c>
      <c r="F95" s="1286">
        <f>'Fin Perform'!F36</f>
        <v>0</v>
      </c>
      <c r="G95" s="1287">
        <f>'Fin Perform'!I36</f>
        <v>21215435.489999998</v>
      </c>
      <c r="H95" s="1287">
        <f t="shared" si="61"/>
        <v>21215435.489999998</v>
      </c>
      <c r="I95" s="1287">
        <f t="shared" si="62"/>
        <v>21215435.489999998</v>
      </c>
      <c r="J95" s="1324">
        <f t="shared" si="59"/>
        <v>0</v>
      </c>
      <c r="K95" s="1325">
        <f t="shared" si="60"/>
        <v>0</v>
      </c>
      <c r="Q95" s="48"/>
      <c r="S95" s="48"/>
    </row>
    <row r="96" spans="1:19" ht="15" customHeight="1" x14ac:dyDescent="0.25">
      <c r="A96" s="1283" t="s">
        <v>154</v>
      </c>
      <c r="B96" s="1112"/>
      <c r="C96" s="1284">
        <f>'Fin Perform'!D37</f>
        <v>1595309.5300000003</v>
      </c>
      <c r="D96" s="1284">
        <f t="shared" si="58"/>
        <v>0</v>
      </c>
      <c r="E96" s="1284">
        <v>0</v>
      </c>
      <c r="F96" s="1286">
        <f>'Fin Perform'!F37</f>
        <v>1595309.5300000003</v>
      </c>
      <c r="G96" s="1287">
        <f>'Fin Perform'!I37</f>
        <v>32945570.969999999</v>
      </c>
      <c r="H96" s="1287">
        <f t="shared" si="61"/>
        <v>31350261.439999998</v>
      </c>
      <c r="I96" s="1287">
        <f t="shared" si="62"/>
        <v>31350261.439999998</v>
      </c>
      <c r="J96" s="1324">
        <f t="shared" si="59"/>
        <v>2065.15226985449</v>
      </c>
      <c r="K96" s="1325">
        <f t="shared" si="60"/>
        <v>2065.15226985449</v>
      </c>
      <c r="L96" s="1208" t="s">
        <v>7663</v>
      </c>
      <c r="Q96" s="48"/>
      <c r="S96" s="48"/>
    </row>
    <row r="97" spans="1:19" ht="15" customHeight="1" x14ac:dyDescent="0.25">
      <c r="A97" s="1283" t="s">
        <v>418</v>
      </c>
      <c r="B97" s="1112"/>
      <c r="C97" s="1284">
        <f>'Fin Perform'!D38</f>
        <v>1221259.27</v>
      </c>
      <c r="D97" s="1284">
        <f t="shared" si="58"/>
        <v>1393089.08</v>
      </c>
      <c r="E97" s="1284">
        <v>0</v>
      </c>
      <c r="F97" s="1286">
        <f>'Fin Perform'!F38</f>
        <v>2614348.35</v>
      </c>
      <c r="G97" s="1287">
        <f>'Fin Perform'!I38</f>
        <v>1722910.5400000005</v>
      </c>
      <c r="H97" s="1287">
        <f t="shared" si="61"/>
        <v>0</v>
      </c>
      <c r="I97" s="1287">
        <f t="shared" si="62"/>
        <v>-891437.80999999959</v>
      </c>
      <c r="J97" s="1324">
        <f t="shared" si="59"/>
        <v>65.902102908359566</v>
      </c>
      <c r="K97" s="1325">
        <f t="shared" si="60"/>
        <v>141.07655780578031</v>
      </c>
    </row>
    <row r="98" spans="1:19" ht="15" customHeight="1" x14ac:dyDescent="0.25">
      <c r="A98" s="1283" t="s">
        <v>1455</v>
      </c>
      <c r="B98" s="1112"/>
      <c r="C98" s="1284">
        <f>'Fin Perform'!D39</f>
        <v>228565.59999999998</v>
      </c>
      <c r="D98" s="1284">
        <f t="shared" si="58"/>
        <v>-151068.39999999997</v>
      </c>
      <c r="E98" s="1284">
        <v>0</v>
      </c>
      <c r="F98" s="1286">
        <f>'Fin Perform'!F39</f>
        <v>77497.2</v>
      </c>
      <c r="G98" s="1287">
        <f>'Fin Perform'!I39</f>
        <v>2080323.24</v>
      </c>
      <c r="H98" s="1287">
        <f t="shared" si="61"/>
        <v>2002826.04</v>
      </c>
      <c r="I98" s="1287">
        <f t="shared" si="62"/>
        <v>2002826.04</v>
      </c>
      <c r="J98" s="1324">
        <f t="shared" si="59"/>
        <v>2684.3850358464565</v>
      </c>
      <c r="K98" s="1325">
        <f t="shared" si="60"/>
        <v>910.16462669798091</v>
      </c>
      <c r="L98" s="1208" t="s">
        <v>7664</v>
      </c>
    </row>
    <row r="99" spans="1:19" ht="15" customHeight="1" x14ac:dyDescent="0.25">
      <c r="A99" s="1283" t="s">
        <v>420</v>
      </c>
      <c r="B99" s="1112"/>
      <c r="C99" s="1284">
        <f>'Fin Perform'!D40</f>
        <v>493097.25</v>
      </c>
      <c r="D99" s="1284">
        <f t="shared" si="58"/>
        <v>932711.92999999993</v>
      </c>
      <c r="E99" s="1284">
        <v>0</v>
      </c>
      <c r="F99" s="1286">
        <f>'Fin Perform'!F40</f>
        <v>1425809.18</v>
      </c>
      <c r="G99" s="1287">
        <f>'Fin Perform'!I40</f>
        <v>14183362.850000001</v>
      </c>
      <c r="H99" s="1287">
        <f t="shared" si="61"/>
        <v>12757553.670000002</v>
      </c>
      <c r="I99" s="1287">
        <f t="shared" si="62"/>
        <v>12757553.670000002</v>
      </c>
      <c r="J99" s="1324">
        <f t="shared" si="59"/>
        <v>994.75883932799491</v>
      </c>
      <c r="K99" s="1325">
        <f t="shared" si="60"/>
        <v>2876.3824681642418</v>
      </c>
    </row>
    <row r="100" spans="1:19" ht="15" customHeight="1" x14ac:dyDescent="0.25">
      <c r="A100" s="1283" t="s">
        <v>421</v>
      </c>
      <c r="B100" s="1112"/>
      <c r="C100" s="1284">
        <f>'Fin Perform'!D41</f>
        <v>5150944.6800000006</v>
      </c>
      <c r="D100" s="1284">
        <f t="shared" si="58"/>
        <v>-29054.680000000633</v>
      </c>
      <c r="E100" s="1284">
        <v>0</v>
      </c>
      <c r="F100" s="1286">
        <f>'Fin Perform'!F41</f>
        <v>5121890</v>
      </c>
      <c r="G100" s="1287">
        <f>'Fin Perform'!I41</f>
        <v>5169265.92</v>
      </c>
      <c r="H100" s="1287">
        <f t="shared" si="61"/>
        <v>47375.919999999925</v>
      </c>
      <c r="I100" s="1287">
        <f t="shared" si="62"/>
        <v>47375.919999999925</v>
      </c>
      <c r="J100" s="1324">
        <f t="shared" si="59"/>
        <v>100.92496949368299</v>
      </c>
      <c r="K100" s="1325">
        <f t="shared" si="60"/>
        <v>100.35568698827493</v>
      </c>
      <c r="Q100" s="48"/>
      <c r="S100" s="48"/>
    </row>
    <row r="101" spans="1:19" ht="15" customHeight="1" x14ac:dyDescent="0.25">
      <c r="A101" s="1283" t="s">
        <v>422</v>
      </c>
      <c r="B101" s="1112"/>
      <c r="C101" s="1284">
        <f>'Fin Perform'!D42</f>
        <v>1417409.6</v>
      </c>
      <c r="D101" s="1284">
        <f t="shared" si="58"/>
        <v>0</v>
      </c>
      <c r="E101" s="1284">
        <v>0</v>
      </c>
      <c r="F101" s="1286">
        <f>'Fin Perform'!F42</f>
        <v>1417409.6</v>
      </c>
      <c r="G101" s="1287">
        <f>'Fin Perform'!I42</f>
        <v>1091380.58</v>
      </c>
      <c r="H101" s="1287">
        <f t="shared" si="61"/>
        <v>0</v>
      </c>
      <c r="I101" s="1287">
        <f t="shared" si="62"/>
        <v>-326029.02</v>
      </c>
      <c r="J101" s="1324">
        <f t="shared" si="59"/>
        <v>76.998249482718322</v>
      </c>
      <c r="K101" s="1325">
        <f t="shared" si="60"/>
        <v>76.998249482718322</v>
      </c>
    </row>
    <row r="102" spans="1:19" ht="15" hidden="1" customHeight="1" x14ac:dyDescent="0.25">
      <c r="A102" s="1283" t="s">
        <v>793</v>
      </c>
      <c r="B102" s="1112"/>
      <c r="C102" s="1284">
        <f>'Fin Perform'!D43</f>
        <v>0</v>
      </c>
      <c r="D102" s="1284">
        <f t="shared" si="58"/>
        <v>0</v>
      </c>
      <c r="E102" s="1284">
        <v>0</v>
      </c>
      <c r="F102" s="1286">
        <f>'Fin Perform'!F43</f>
        <v>0</v>
      </c>
      <c r="G102" s="1287">
        <f>'Fin Perform'!I43</f>
        <v>0</v>
      </c>
      <c r="H102" s="1287">
        <f>IF(SUM(G102-F102)&gt;0,SUM(G102-F102),0)</f>
        <v>0</v>
      </c>
      <c r="I102" s="1287">
        <f>G102-F102</f>
        <v>0</v>
      </c>
      <c r="J102" s="1324">
        <f t="shared" si="59"/>
        <v>0</v>
      </c>
      <c r="K102" s="1325">
        <f t="shared" si="60"/>
        <v>0</v>
      </c>
    </row>
    <row r="103" spans="1:19" ht="15" customHeight="1" x14ac:dyDescent="0.25">
      <c r="A103" s="1283" t="s">
        <v>423</v>
      </c>
      <c r="B103" s="1112"/>
      <c r="C103" s="1284">
        <f>'Fin Perform'!D44</f>
        <v>19902195.19000002</v>
      </c>
      <c r="D103" s="1284">
        <f t="shared" si="58"/>
        <v>-3964486.8800000176</v>
      </c>
      <c r="E103" s="1284">
        <v>0</v>
      </c>
      <c r="F103" s="1286">
        <f>'Fin Perform'!F44</f>
        <v>15937708.310000002</v>
      </c>
      <c r="G103" s="1287">
        <f>'Fin Perform'!I44</f>
        <v>20795542.219999995</v>
      </c>
      <c r="H103" s="1287">
        <f t="shared" si="61"/>
        <v>4857833.9099999927</v>
      </c>
      <c r="I103" s="1287">
        <f t="shared" si="62"/>
        <v>4857833.9099999927</v>
      </c>
      <c r="J103" s="1324">
        <f t="shared" si="59"/>
        <v>130.48012810569497</v>
      </c>
      <c r="K103" s="1325">
        <f t="shared" si="60"/>
        <v>104.48868590359741</v>
      </c>
    </row>
    <row r="104" spans="1:19" ht="15" hidden="1" customHeight="1" x14ac:dyDescent="0.25">
      <c r="A104" s="1283" t="s">
        <v>794</v>
      </c>
      <c r="B104" s="1112"/>
      <c r="C104" s="1284">
        <f>'Fin Perform'!D45</f>
        <v>0</v>
      </c>
      <c r="D104" s="1284">
        <f t="shared" si="58"/>
        <v>0</v>
      </c>
      <c r="E104" s="1284">
        <v>0</v>
      </c>
      <c r="F104" s="1286">
        <f>'Fin Perform'!F45</f>
        <v>0</v>
      </c>
      <c r="G104" s="1287">
        <f>'Fin Perform'!I45</f>
        <v>0</v>
      </c>
      <c r="H104" s="1287">
        <f t="shared" si="61"/>
        <v>0</v>
      </c>
      <c r="I104" s="1287">
        <f t="shared" si="62"/>
        <v>0</v>
      </c>
      <c r="J104" s="1324">
        <f t="shared" si="59"/>
        <v>0</v>
      </c>
      <c r="K104" s="1325">
        <f t="shared" si="60"/>
        <v>0</v>
      </c>
      <c r="Q104" s="48"/>
      <c r="S104" s="48"/>
    </row>
    <row r="105" spans="1:19" ht="15" customHeight="1" x14ac:dyDescent="0.25">
      <c r="A105" s="1283" t="s">
        <v>1462</v>
      </c>
      <c r="B105" s="1112"/>
      <c r="C105" s="1284">
        <f>'Fin Perform'!D46</f>
        <v>0</v>
      </c>
      <c r="D105" s="1284">
        <f t="shared" si="58"/>
        <v>0</v>
      </c>
      <c r="E105" s="1284">
        <v>0</v>
      </c>
      <c r="F105" s="1286">
        <f>'Fin Perform'!F46</f>
        <v>0</v>
      </c>
      <c r="G105" s="1287">
        <f>'Fin Perform'!I46</f>
        <v>131102</v>
      </c>
      <c r="H105" s="1287">
        <f t="shared" si="61"/>
        <v>131102</v>
      </c>
      <c r="I105" s="1287">
        <f t="shared" si="62"/>
        <v>131102</v>
      </c>
      <c r="J105" s="1324">
        <f t="shared" si="59"/>
        <v>0</v>
      </c>
      <c r="K105" s="1325">
        <f t="shared" si="60"/>
        <v>0</v>
      </c>
      <c r="Q105" s="48"/>
      <c r="S105" s="48"/>
    </row>
    <row r="106" spans="1:19" ht="15" customHeight="1" x14ac:dyDescent="0.25">
      <c r="A106" s="1283"/>
      <c r="B106" s="1112"/>
      <c r="C106" s="1296"/>
      <c r="D106" s="1297"/>
      <c r="E106" s="1298"/>
      <c r="F106" s="1298"/>
      <c r="G106" s="1299"/>
      <c r="H106" s="1299"/>
      <c r="I106" s="1299"/>
      <c r="J106" s="1324"/>
      <c r="K106" s="1325"/>
      <c r="Q106" s="48"/>
      <c r="S106" s="48"/>
    </row>
    <row r="107" spans="1:19" ht="15" customHeight="1" x14ac:dyDescent="0.25">
      <c r="A107" s="315" t="s">
        <v>252</v>
      </c>
      <c r="B107" s="1300"/>
      <c r="C107" s="1332">
        <f t="shared" ref="C107" si="63">SUM(C91:C106)</f>
        <v>72847860.25000003</v>
      </c>
      <c r="D107" s="1333">
        <f t="shared" ref="D107:I107" si="64">SUM(D91:D106)</f>
        <v>-5084489.910000016</v>
      </c>
      <c r="E107" s="1292">
        <f t="shared" si="64"/>
        <v>0</v>
      </c>
      <c r="F107" s="1292">
        <f t="shared" si="64"/>
        <v>67763370.340000018</v>
      </c>
      <c r="G107" s="1293">
        <f t="shared" si="64"/>
        <v>137297604.16</v>
      </c>
      <c r="H107" s="1293">
        <f t="shared" si="64"/>
        <v>72362388.469999984</v>
      </c>
      <c r="I107" s="1293">
        <f t="shared" si="64"/>
        <v>69534233.819999978</v>
      </c>
      <c r="J107" s="1326">
        <f t="shared" ref="J107" si="65">IF(AND((F107&gt;0),(G107&gt;0)),(SUM(G107/F107)*100),0)</f>
        <v>202.61330490368871</v>
      </c>
      <c r="K107" s="1327">
        <f t="shared" ref="K107" si="66">IF(AND((C107&gt;0),(G107&gt;0)),(SUM(G107/C107)*100),0)</f>
        <v>188.47170485010909</v>
      </c>
      <c r="Q107" s="48"/>
      <c r="S107" s="48"/>
    </row>
    <row r="108" spans="1:19" ht="15" customHeight="1" x14ac:dyDescent="0.25">
      <c r="A108" s="315"/>
      <c r="B108" s="1300"/>
      <c r="C108" s="1338">
        <f>C107-'Fin Perform'!D48</f>
        <v>0</v>
      </c>
      <c r="D108" s="1339"/>
      <c r="E108" s="1340"/>
      <c r="F108" s="1341">
        <f>F107-'Fin Perform'!F48</f>
        <v>0</v>
      </c>
      <c r="G108" s="1341">
        <f>G107-'Fin Perform'!I48</f>
        <v>0</v>
      </c>
      <c r="H108" s="1342"/>
      <c r="I108" s="1342"/>
      <c r="J108" s="1343"/>
      <c r="K108" s="1344"/>
      <c r="Q108" s="48"/>
      <c r="S108" s="48"/>
    </row>
    <row r="109" spans="1:19" ht="15" customHeight="1" x14ac:dyDescent="0.25">
      <c r="A109" s="315" t="s">
        <v>1448</v>
      </c>
      <c r="B109" s="316"/>
      <c r="C109" s="1294">
        <f>C89-C107</f>
        <v>4772320.4599999636</v>
      </c>
      <c r="D109" s="1274">
        <f t="shared" ref="D109:I109" si="67">D89-D107</f>
        <v>15666807.710000023</v>
      </c>
      <c r="E109" s="1294">
        <f t="shared" si="67"/>
        <v>0</v>
      </c>
      <c r="F109" s="1294">
        <f t="shared" si="67"/>
        <v>20439128.169999957</v>
      </c>
      <c r="G109" s="1295">
        <f t="shared" ca="1" si="67"/>
        <v>-17040532.260000035</v>
      </c>
      <c r="H109" s="1295">
        <f t="shared" si="67"/>
        <v>-72362388.469999984</v>
      </c>
      <c r="I109" s="1295">
        <f t="shared" ca="1" si="67"/>
        <v>-37479660.429999992</v>
      </c>
      <c r="J109" s="1328">
        <f t="shared" ref="J109" ca="1" si="68">IF(AND((F109&gt;0),(G109&gt;0)),(SUM(G109/F109)*100),0)</f>
        <v>0</v>
      </c>
      <c r="K109" s="1325">
        <f t="shared" ref="K109" ca="1" si="69">IF(AND((C109&gt;0),(G109&gt;0)),(SUM(G109/C109)*100),0)</f>
        <v>0</v>
      </c>
      <c r="Q109" s="48"/>
      <c r="S109" s="48"/>
    </row>
    <row r="110" spans="1:19" ht="15" hidden="1" customHeight="1" x14ac:dyDescent="0.25">
      <c r="A110" s="1283" t="s">
        <v>4119</v>
      </c>
      <c r="B110" s="1112"/>
      <c r="C110" s="1294">
        <v>0</v>
      </c>
      <c r="D110" s="1284">
        <f t="shared" ref="D110:D111" si="70">F110-E110-C110</f>
        <v>0</v>
      </c>
      <c r="E110" s="1284">
        <v>0</v>
      </c>
      <c r="F110" s="1295"/>
      <c r="G110" s="1295">
        <v>0</v>
      </c>
      <c r="H110" s="1287">
        <f t="shared" ref="H110:H111" si="71">IF(SUM(G110-F110)&gt;0,SUM(G110-F110),0)</f>
        <v>0</v>
      </c>
      <c r="I110" s="1287">
        <f t="shared" ref="I110:I111" si="72">G110-F110</f>
        <v>0</v>
      </c>
      <c r="J110" s="1324">
        <f t="shared" ref="J110:J111" si="73">IF(AND((F110&gt;0),(G110&gt;0)),(SUM(G110/F110)*100),0)</f>
        <v>0</v>
      </c>
      <c r="K110" s="1325">
        <f t="shared" ref="K110:K111" si="74">IF(AND((C110&gt;0),(G110&gt;0)),(SUM(G110/C110)*100),0)</f>
        <v>0</v>
      </c>
      <c r="Q110" s="48"/>
      <c r="S110" s="48"/>
    </row>
    <row r="111" spans="1:19" ht="15" hidden="1" customHeight="1" x14ac:dyDescent="0.25">
      <c r="A111" s="1283" t="s">
        <v>4120</v>
      </c>
      <c r="B111" s="1112"/>
      <c r="C111" s="1294">
        <v>0</v>
      </c>
      <c r="D111" s="1284">
        <f t="shared" si="70"/>
        <v>0</v>
      </c>
      <c r="E111" s="1284">
        <v>0</v>
      </c>
      <c r="F111" s="1295"/>
      <c r="G111" s="1295">
        <f ca="1">'Notes II'!I2359</f>
        <v>0</v>
      </c>
      <c r="H111" s="1287">
        <f t="shared" ca="1" si="71"/>
        <v>0</v>
      </c>
      <c r="I111" s="1287">
        <f t="shared" ca="1" si="72"/>
        <v>0</v>
      </c>
      <c r="J111" s="1324">
        <f t="shared" ca="1" si="73"/>
        <v>0</v>
      </c>
      <c r="K111" s="1325">
        <f t="shared" ca="1" si="74"/>
        <v>0</v>
      </c>
      <c r="Q111" s="48"/>
      <c r="S111" s="48"/>
    </row>
    <row r="112" spans="1:19" ht="15" customHeight="1" x14ac:dyDescent="0.25">
      <c r="A112" s="1283"/>
      <c r="B112" s="1112"/>
      <c r="C112" s="1294"/>
      <c r="D112" s="1273"/>
      <c r="E112" s="1294"/>
      <c r="F112" s="1295"/>
      <c r="G112" s="1295"/>
      <c r="H112" s="1295"/>
      <c r="I112" s="1295"/>
      <c r="J112" s="1328"/>
      <c r="K112" s="1325"/>
      <c r="Q112" s="48"/>
      <c r="S112" s="48"/>
    </row>
    <row r="113" spans="1:19" ht="30" customHeight="1" x14ac:dyDescent="0.25">
      <c r="A113" s="2809" t="s">
        <v>4121</v>
      </c>
      <c r="B113" s="2810"/>
      <c r="C113" s="1338">
        <f t="shared" ref="C113:I113" si="75">SUM(C109:C112)</f>
        <v>4772320.4599999636</v>
      </c>
      <c r="D113" s="1338">
        <f t="shared" si="75"/>
        <v>15666807.710000023</v>
      </c>
      <c r="E113" s="1338">
        <f t="shared" si="75"/>
        <v>0</v>
      </c>
      <c r="F113" s="1338">
        <f t="shared" si="75"/>
        <v>20439128.169999957</v>
      </c>
      <c r="G113" s="1338">
        <f t="shared" ca="1" si="75"/>
        <v>-17040532.260000035</v>
      </c>
      <c r="H113" s="1338">
        <f t="shared" ca="1" si="75"/>
        <v>-72362388.469999984</v>
      </c>
      <c r="I113" s="1338">
        <f t="shared" ca="1" si="75"/>
        <v>-37479660.429999992</v>
      </c>
      <c r="J113" s="1345">
        <f t="shared" ref="J113" ca="1" si="76">IF(AND((F113&gt;0),(G113&gt;0)),(SUM(G113/F113)*100),0)</f>
        <v>0</v>
      </c>
      <c r="K113" s="1344">
        <f t="shared" ref="K113" ca="1" si="77">IF(AND((C113&gt;0),(G113&gt;0)),(SUM(G113/C113)*100),0)</f>
        <v>0</v>
      </c>
      <c r="Q113" s="48"/>
      <c r="S113" s="48"/>
    </row>
    <row r="114" spans="1:19" ht="15" hidden="1" customHeight="1" x14ac:dyDescent="0.25">
      <c r="A114" s="1283" t="s">
        <v>795</v>
      </c>
      <c r="B114" s="1112"/>
      <c r="C114" s="1295">
        <f>'Fin Perform'!D52</f>
        <v>0</v>
      </c>
      <c r="D114" s="1284">
        <f t="shared" ref="D114:D115" si="78">F114-E114-C114</f>
        <v>0</v>
      </c>
      <c r="E114" s="1284">
        <v>0</v>
      </c>
      <c r="F114" s="1295">
        <f>'Fin Perform'!F52</f>
        <v>0</v>
      </c>
      <c r="G114" s="1295">
        <f>'Fin Perform'!I52</f>
        <v>0</v>
      </c>
      <c r="H114" s="1287">
        <f t="shared" ref="H114:H115" si="79">IF(SUM(G114-F114)&gt;0,SUM(G114-F114),0)</f>
        <v>0</v>
      </c>
      <c r="I114" s="1287">
        <f t="shared" ref="I114:I115" si="80">G114-F114</f>
        <v>0</v>
      </c>
      <c r="J114" s="1324">
        <f t="shared" ref="J114" si="81">IF(AND((F114&gt;0),(G114&gt;0)),(SUM(G114/F114)*100),0)</f>
        <v>0</v>
      </c>
      <c r="K114" s="1325">
        <f t="shared" ref="K114" si="82">IF(AND((C114&gt;0),(G114&gt;0)),(SUM(G114/C114)*100),0)</f>
        <v>0</v>
      </c>
      <c r="Q114" s="48"/>
      <c r="S114" s="48"/>
    </row>
    <row r="115" spans="1:19" ht="15" hidden="1" customHeight="1" x14ac:dyDescent="0.25">
      <c r="A115" s="1283" t="s">
        <v>4122</v>
      </c>
      <c r="B115" s="1112"/>
      <c r="C115" s="1295">
        <f>'Fin Perform'!D55</f>
        <v>0</v>
      </c>
      <c r="D115" s="1284">
        <f t="shared" si="78"/>
        <v>0</v>
      </c>
      <c r="E115" s="1284">
        <v>0</v>
      </c>
      <c r="F115" s="1295">
        <f>'Fin Perform'!F55</f>
        <v>0</v>
      </c>
      <c r="G115" s="1295">
        <f>'Fin Perform'!I55</f>
        <v>0</v>
      </c>
      <c r="H115" s="1287">
        <f t="shared" si="79"/>
        <v>0</v>
      </c>
      <c r="I115" s="1287">
        <f t="shared" si="80"/>
        <v>0</v>
      </c>
      <c r="J115" s="1324">
        <f t="shared" ref="J115" si="83">IF(AND((F115&gt;0),(G115&gt;0)),(SUM(G115/F115)*100),0)</f>
        <v>0</v>
      </c>
      <c r="K115" s="1325">
        <f t="shared" ref="K115" si="84">IF(AND((C115&gt;0),(G115&gt;0)),(SUM(G115/C115)*100),0)</f>
        <v>0</v>
      </c>
      <c r="Q115" s="48"/>
      <c r="S115" s="48"/>
    </row>
    <row r="116" spans="1:19" ht="15" customHeight="1" x14ac:dyDescent="0.25">
      <c r="A116" s="1283"/>
      <c r="B116" s="1112"/>
      <c r="C116" s="1294"/>
      <c r="D116" s="1273"/>
      <c r="E116" s="1294"/>
      <c r="F116" s="1295"/>
      <c r="G116" s="1295"/>
      <c r="H116" s="1295"/>
      <c r="I116" s="1295"/>
      <c r="J116" s="1328"/>
      <c r="K116" s="1325"/>
      <c r="Q116" s="48"/>
      <c r="S116" s="48"/>
    </row>
    <row r="117" spans="1:19" ht="15" customHeight="1" thickBot="1" x14ac:dyDescent="0.3">
      <c r="A117" s="315" t="s">
        <v>4123</v>
      </c>
      <c r="B117" s="316"/>
      <c r="C117" s="756">
        <f>SUM(C113:C116)</f>
        <v>4772320.4599999636</v>
      </c>
      <c r="D117" s="756">
        <f t="shared" ref="D117:I117" si="85">SUM(D113:D116)</f>
        <v>15666807.710000023</v>
      </c>
      <c r="E117" s="756">
        <f t="shared" si="85"/>
        <v>0</v>
      </c>
      <c r="F117" s="756">
        <f t="shared" si="85"/>
        <v>20439128.169999957</v>
      </c>
      <c r="G117" s="756">
        <f t="shared" ca="1" si="85"/>
        <v>-17040532.260000035</v>
      </c>
      <c r="H117" s="756">
        <f t="shared" ca="1" si="85"/>
        <v>-72362388.469999984</v>
      </c>
      <c r="I117" s="756">
        <f t="shared" ca="1" si="85"/>
        <v>-37479660.429999992</v>
      </c>
      <c r="J117" s="1346">
        <f t="shared" ref="J117" ca="1" si="86">IF(AND((F117&gt;0),(G117&gt;0)),(SUM(G117/F117)*100),0)</f>
        <v>0</v>
      </c>
      <c r="K117" s="1347">
        <f t="shared" ref="K117" ca="1" si="87">IF(AND((C117&gt;0),(G117&gt;0)),(SUM(G117/C117)*100),0)</f>
        <v>0</v>
      </c>
      <c r="Q117" s="48"/>
      <c r="S117" s="48"/>
    </row>
    <row r="118" spans="1:19" ht="15" customHeight="1" thickTop="1" x14ac:dyDescent="0.25">
      <c r="A118" s="1283"/>
      <c r="B118" s="1112"/>
      <c r="C118" s="2305">
        <f>C117-'Fin Perform'!D57</f>
        <v>0</v>
      </c>
      <c r="D118" s="1273"/>
      <c r="E118" s="1294"/>
      <c r="F118" s="1295">
        <f>F117-'Fin Perform'!F57</f>
        <v>0</v>
      </c>
      <c r="G118" s="1295">
        <f ca="1">G117-'Fin Perform'!I57</f>
        <v>0</v>
      </c>
      <c r="H118" s="1295"/>
      <c r="I118" s="1295"/>
      <c r="J118" s="1328"/>
      <c r="K118" s="1325"/>
      <c r="Q118" s="48"/>
      <c r="S118" s="48"/>
    </row>
    <row r="119" spans="1:19" ht="15" customHeight="1" x14ac:dyDescent="0.25">
      <c r="A119" s="315" t="s">
        <v>4126</v>
      </c>
      <c r="B119" s="1112"/>
      <c r="C119" s="310"/>
      <c r="D119" s="314"/>
      <c r="E119" s="1277"/>
      <c r="F119" s="1111"/>
      <c r="G119" s="1111"/>
      <c r="H119" s="1278"/>
      <c r="I119" s="1278"/>
      <c r="J119" s="1328"/>
      <c r="K119" s="1325"/>
      <c r="Q119" s="48"/>
      <c r="S119" s="48"/>
    </row>
    <row r="120" spans="1:19" ht="15" customHeight="1" x14ac:dyDescent="0.25">
      <c r="A120" s="1283" t="str">
        <f>'APPENDIX E(2)'!A9</f>
        <v>Executive and Council</v>
      </c>
      <c r="B120" s="1112"/>
      <c r="C120" s="1294">
        <v>0</v>
      </c>
      <c r="D120" s="1273">
        <f t="shared" ref="D120" si="88">F120-E120-C120</f>
        <v>0</v>
      </c>
      <c r="E120" s="1294">
        <v>0</v>
      </c>
      <c r="F120" s="1286">
        <f>'APPENDIX E(2)'!E9</f>
        <v>0</v>
      </c>
      <c r="G120" s="1295">
        <f>'APPENDIX E(2)'!D9</f>
        <v>0</v>
      </c>
      <c r="H120" s="1287">
        <f>IF(SUM(G120-F120)&gt;0,SUM(G120-F120),0)</f>
        <v>0</v>
      </c>
      <c r="I120" s="1287">
        <f>G120-F120</f>
        <v>0</v>
      </c>
      <c r="J120" s="1324">
        <f t="shared" ref="J120" si="89">IF(AND((F120&gt;0),(G120&gt;0)),(SUM(G120/F120)*100),0)</f>
        <v>0</v>
      </c>
      <c r="K120" s="1325">
        <f t="shared" ref="K120" si="90">IF(AND((C120&gt;0),(G120&gt;0)),(SUM(G120/C120)*100),0)</f>
        <v>0</v>
      </c>
      <c r="Q120" s="48"/>
      <c r="S120" s="48"/>
    </row>
    <row r="121" spans="1:19" ht="15" customHeight="1" x14ac:dyDescent="0.25">
      <c r="A121" s="1283" t="str">
        <f>'APPENDIX E(2)'!A10</f>
        <v>Finance and Administration</v>
      </c>
      <c r="B121" s="1112"/>
      <c r="C121" s="1294">
        <f>F121</f>
        <v>0</v>
      </c>
      <c r="D121" s="1273">
        <f t="shared" ref="D121:D133" si="91">F121-E121-C121</f>
        <v>0</v>
      </c>
      <c r="E121" s="1294">
        <v>0</v>
      </c>
      <c r="F121" s="1286">
        <f>'APPENDIX E(2)'!E10</f>
        <v>0</v>
      </c>
      <c r="G121" s="1295">
        <f>'APPENDIX E(2)'!D10</f>
        <v>0</v>
      </c>
      <c r="H121" s="1287">
        <f t="shared" ref="H121:H133" si="92">IF(SUM(G121-F121)&gt;0,SUM(G121-F121),0)</f>
        <v>0</v>
      </c>
      <c r="I121" s="1287">
        <f t="shared" ref="I121:I133" si="93">G121-F121</f>
        <v>0</v>
      </c>
      <c r="J121" s="1324">
        <f t="shared" ref="J121:J133" si="94">IF(AND((F121&gt;0),(G121&gt;0)),(SUM(G121/F121)*100),0)</f>
        <v>0</v>
      </c>
      <c r="K121" s="1325">
        <f t="shared" ref="K121:K133" si="95">IF(AND((C121&gt;0),(G121&gt;0)),(SUM(G121/C121)*100),0)</f>
        <v>0</v>
      </c>
      <c r="Q121" s="48"/>
      <c r="S121" s="48"/>
    </row>
    <row r="122" spans="1:19" ht="15" customHeight="1" x14ac:dyDescent="0.25">
      <c r="A122" s="1283" t="str">
        <f>'APPENDIX E(2)'!A11</f>
        <v>Planning and Development</v>
      </c>
      <c r="B122" s="1112"/>
      <c r="C122" s="1294">
        <f t="shared" ref="C122:C132" si="96">F122</f>
        <v>0</v>
      </c>
      <c r="D122" s="1273">
        <f t="shared" si="91"/>
        <v>0</v>
      </c>
      <c r="E122" s="1294">
        <v>0</v>
      </c>
      <c r="F122" s="1286">
        <f>'APPENDIX E(2)'!E11</f>
        <v>0</v>
      </c>
      <c r="G122" s="1295">
        <f>'APPENDIX E(2)'!D11</f>
        <v>0</v>
      </c>
      <c r="H122" s="1287">
        <f t="shared" si="92"/>
        <v>0</v>
      </c>
      <c r="I122" s="1287">
        <f t="shared" si="93"/>
        <v>0</v>
      </c>
      <c r="J122" s="1324">
        <f t="shared" si="94"/>
        <v>0</v>
      </c>
      <c r="K122" s="1325">
        <f t="shared" si="95"/>
        <v>0</v>
      </c>
      <c r="Q122" s="48"/>
      <c r="S122" s="48"/>
    </row>
    <row r="123" spans="1:19" ht="15" customHeight="1" x14ac:dyDescent="0.25">
      <c r="A123" s="1283" t="str">
        <f>'APPENDIX E(2)'!A12</f>
        <v>Health</v>
      </c>
      <c r="B123" s="1112"/>
      <c r="C123" s="1294">
        <f t="shared" si="96"/>
        <v>0</v>
      </c>
      <c r="D123" s="1273">
        <f t="shared" si="91"/>
        <v>0</v>
      </c>
      <c r="E123" s="1294">
        <v>0</v>
      </c>
      <c r="F123" s="1286">
        <f>'APPENDIX E(2)'!E12</f>
        <v>0</v>
      </c>
      <c r="G123" s="1295">
        <f>'APPENDIX E(2)'!D12</f>
        <v>0</v>
      </c>
      <c r="H123" s="1287">
        <f t="shared" si="92"/>
        <v>0</v>
      </c>
      <c r="I123" s="1287">
        <f t="shared" si="93"/>
        <v>0</v>
      </c>
      <c r="J123" s="1324">
        <f t="shared" si="94"/>
        <v>0</v>
      </c>
      <c r="K123" s="1325">
        <f t="shared" si="95"/>
        <v>0</v>
      </c>
      <c r="Q123" s="48"/>
      <c r="S123" s="48"/>
    </row>
    <row r="124" spans="1:19" ht="15" customHeight="1" x14ac:dyDescent="0.25">
      <c r="A124" s="1283" t="str">
        <f>'APPENDIX E(2)'!A13</f>
        <v>Community and Social Services</v>
      </c>
      <c r="B124" s="1112"/>
      <c r="C124" s="1294">
        <f t="shared" si="96"/>
        <v>0</v>
      </c>
      <c r="D124" s="1273">
        <f t="shared" si="91"/>
        <v>0</v>
      </c>
      <c r="E124" s="1294">
        <v>0</v>
      </c>
      <c r="F124" s="1286">
        <f>'APPENDIX E(2)'!E13</f>
        <v>0</v>
      </c>
      <c r="G124" s="1295">
        <f>'APPENDIX E(2)'!D13</f>
        <v>0</v>
      </c>
      <c r="H124" s="1287">
        <f t="shared" si="92"/>
        <v>0</v>
      </c>
      <c r="I124" s="1287">
        <f t="shared" si="93"/>
        <v>0</v>
      </c>
      <c r="J124" s="1324">
        <f t="shared" si="94"/>
        <v>0</v>
      </c>
      <c r="K124" s="1325">
        <f t="shared" si="95"/>
        <v>0</v>
      </c>
      <c r="Q124" s="48"/>
      <c r="S124" s="48"/>
    </row>
    <row r="125" spans="1:19" ht="15" customHeight="1" x14ac:dyDescent="0.25">
      <c r="A125" s="1283" t="str">
        <f>'APPENDIX E(2)'!A14</f>
        <v>Housing</v>
      </c>
      <c r="B125" s="1112"/>
      <c r="C125" s="1294">
        <f t="shared" si="96"/>
        <v>0</v>
      </c>
      <c r="D125" s="1273">
        <f t="shared" si="91"/>
        <v>0</v>
      </c>
      <c r="E125" s="1294">
        <v>0</v>
      </c>
      <c r="F125" s="1286">
        <f>'APPENDIX E(2)'!E14</f>
        <v>0</v>
      </c>
      <c r="G125" s="1295">
        <f>'APPENDIX E(2)'!D14</f>
        <v>0</v>
      </c>
      <c r="H125" s="1287">
        <f t="shared" si="92"/>
        <v>0</v>
      </c>
      <c r="I125" s="1287">
        <f t="shared" si="93"/>
        <v>0</v>
      </c>
      <c r="J125" s="1324">
        <f t="shared" si="94"/>
        <v>0</v>
      </c>
      <c r="K125" s="1325">
        <f t="shared" si="95"/>
        <v>0</v>
      </c>
      <c r="Q125" s="48"/>
      <c r="S125" s="48"/>
    </row>
    <row r="126" spans="1:19" ht="15" customHeight="1" x14ac:dyDescent="0.25">
      <c r="A126" s="1283" t="str">
        <f>'APPENDIX E(2)'!A15</f>
        <v>Public Safety</v>
      </c>
      <c r="B126" s="1112"/>
      <c r="C126" s="1294">
        <f t="shared" si="96"/>
        <v>0</v>
      </c>
      <c r="D126" s="1273">
        <f t="shared" si="91"/>
        <v>0</v>
      </c>
      <c r="E126" s="1294">
        <v>0</v>
      </c>
      <c r="F126" s="1286">
        <f>'APPENDIX E(2)'!E15</f>
        <v>0</v>
      </c>
      <c r="G126" s="1295">
        <f>'APPENDIX E(2)'!D15</f>
        <v>0</v>
      </c>
      <c r="H126" s="1287">
        <f t="shared" si="92"/>
        <v>0</v>
      </c>
      <c r="I126" s="1287">
        <f t="shared" si="93"/>
        <v>0</v>
      </c>
      <c r="J126" s="1324">
        <f t="shared" si="94"/>
        <v>0</v>
      </c>
      <c r="K126" s="1325">
        <f t="shared" si="95"/>
        <v>0</v>
      </c>
      <c r="Q126" s="48"/>
      <c r="S126" s="48"/>
    </row>
    <row r="127" spans="1:19" ht="15" customHeight="1" x14ac:dyDescent="0.25">
      <c r="A127" s="1283" t="str">
        <f>'APPENDIX E(2)'!A16</f>
        <v>Sport and Recreation</v>
      </c>
      <c r="B127" s="1112"/>
      <c r="C127" s="1294">
        <f t="shared" si="96"/>
        <v>0</v>
      </c>
      <c r="D127" s="1273">
        <f t="shared" si="91"/>
        <v>0</v>
      </c>
      <c r="E127" s="1294">
        <v>0</v>
      </c>
      <c r="F127" s="1286">
        <f>'APPENDIX E(2)'!E16</f>
        <v>0</v>
      </c>
      <c r="G127" s="1295">
        <f>'APPENDIX E(2)'!D16</f>
        <v>0</v>
      </c>
      <c r="H127" s="1287">
        <f t="shared" si="92"/>
        <v>0</v>
      </c>
      <c r="I127" s="1287">
        <f t="shared" si="93"/>
        <v>0</v>
      </c>
      <c r="J127" s="1324">
        <f t="shared" si="94"/>
        <v>0</v>
      </c>
      <c r="K127" s="1325">
        <f t="shared" si="95"/>
        <v>0</v>
      </c>
    </row>
    <row r="128" spans="1:19" ht="15" customHeight="1" x14ac:dyDescent="0.25">
      <c r="A128" s="1283" t="str">
        <f>'APPENDIX E(2)'!A17</f>
        <v>Environmental Protection</v>
      </c>
      <c r="B128" s="1112"/>
      <c r="C128" s="1294">
        <f t="shared" si="96"/>
        <v>0</v>
      </c>
      <c r="D128" s="1273">
        <f t="shared" si="91"/>
        <v>0</v>
      </c>
      <c r="E128" s="1294">
        <v>0</v>
      </c>
      <c r="F128" s="1286">
        <f>'APPENDIX E(2)'!E17</f>
        <v>0</v>
      </c>
      <c r="G128" s="1295">
        <f>'APPENDIX E(2)'!D17</f>
        <v>0</v>
      </c>
      <c r="H128" s="1287">
        <f t="shared" si="92"/>
        <v>0</v>
      </c>
      <c r="I128" s="1287">
        <f t="shared" si="93"/>
        <v>0</v>
      </c>
      <c r="J128" s="1324">
        <f t="shared" si="94"/>
        <v>0</v>
      </c>
      <c r="K128" s="1325">
        <f t="shared" si="95"/>
        <v>0</v>
      </c>
      <c r="Q128" s="48"/>
      <c r="S128" s="48"/>
    </row>
    <row r="129" spans="1:19" ht="15" customHeight="1" x14ac:dyDescent="0.25">
      <c r="A129" s="1283" t="str">
        <f>'APPENDIX E(2)'!A18</f>
        <v>Waste Management</v>
      </c>
      <c r="B129" s="1112"/>
      <c r="C129" s="1294">
        <f>F129</f>
        <v>9616947</v>
      </c>
      <c r="D129" s="1273">
        <f t="shared" si="91"/>
        <v>0</v>
      </c>
      <c r="E129" s="1294">
        <v>0</v>
      </c>
      <c r="F129" s="1286">
        <f>'APPENDIX E(2)'!E18</f>
        <v>9616947</v>
      </c>
      <c r="G129" s="1295">
        <f>'APPENDIX E(2)'!D18</f>
        <v>8124886</v>
      </c>
      <c r="H129" s="1287">
        <f t="shared" si="92"/>
        <v>0</v>
      </c>
      <c r="I129" s="1287">
        <f t="shared" si="93"/>
        <v>-1492061</v>
      </c>
      <c r="J129" s="1324">
        <f t="shared" si="94"/>
        <v>84.485086587250606</v>
      </c>
      <c r="K129" s="1325">
        <f t="shared" si="95"/>
        <v>84.485086587250606</v>
      </c>
      <c r="Q129" s="48"/>
      <c r="S129" s="48"/>
    </row>
    <row r="130" spans="1:19" ht="15" customHeight="1" x14ac:dyDescent="0.25">
      <c r="A130" s="1283" t="str">
        <f>'APPENDIX E(2)'!A19</f>
        <v>Roads and Transport</v>
      </c>
      <c r="B130" s="1112"/>
      <c r="C130" s="1294">
        <f t="shared" si="96"/>
        <v>8990000</v>
      </c>
      <c r="D130" s="1273">
        <f t="shared" si="91"/>
        <v>0</v>
      </c>
      <c r="E130" s="1294">
        <v>0</v>
      </c>
      <c r="F130" s="1286">
        <f>'APPENDIX E(2)'!E19</f>
        <v>8990000</v>
      </c>
      <c r="G130" s="1295">
        <f>'APPENDIX E(2)'!D19</f>
        <v>11131874</v>
      </c>
      <c r="H130" s="1287">
        <f t="shared" si="92"/>
        <v>2141874</v>
      </c>
      <c r="I130" s="1287">
        <f t="shared" si="93"/>
        <v>2141874</v>
      </c>
      <c r="J130" s="1324">
        <f t="shared" si="94"/>
        <v>123.8250723025584</v>
      </c>
      <c r="K130" s="1325">
        <f t="shared" si="95"/>
        <v>123.8250723025584</v>
      </c>
    </row>
    <row r="131" spans="1:19" ht="15" customHeight="1" x14ac:dyDescent="0.25">
      <c r="A131" s="1283" t="str">
        <f>'APPENDIX E(2)'!A20</f>
        <v>Water</v>
      </c>
      <c r="B131" s="1112"/>
      <c r="C131" s="1294">
        <f t="shared" si="96"/>
        <v>4300000</v>
      </c>
      <c r="D131" s="1273">
        <f t="shared" si="91"/>
        <v>0</v>
      </c>
      <c r="E131" s="1294">
        <v>0</v>
      </c>
      <c r="F131" s="1286">
        <f>'APPENDIX E(2)'!E20</f>
        <v>4300000</v>
      </c>
      <c r="G131" s="1295">
        <f>'APPENDIX E(2)'!D20</f>
        <v>857035</v>
      </c>
      <c r="H131" s="1287">
        <f t="shared" si="92"/>
        <v>0</v>
      </c>
      <c r="I131" s="1287">
        <f t="shared" si="93"/>
        <v>-3442965</v>
      </c>
      <c r="J131" s="1324">
        <f t="shared" si="94"/>
        <v>19.931046511627905</v>
      </c>
      <c r="K131" s="1325">
        <f t="shared" si="95"/>
        <v>19.931046511627905</v>
      </c>
    </row>
    <row r="132" spans="1:19" ht="15" customHeight="1" x14ac:dyDescent="0.25">
      <c r="A132" s="1283" t="str">
        <f>'APPENDIX E(2)'!A21</f>
        <v>Electricity</v>
      </c>
      <c r="B132" s="1112"/>
      <c r="C132" s="1294">
        <f t="shared" si="96"/>
        <v>1210000</v>
      </c>
      <c r="D132" s="1273">
        <f t="shared" si="91"/>
        <v>0</v>
      </c>
      <c r="E132" s="1294">
        <v>0</v>
      </c>
      <c r="F132" s="1286">
        <f>'APPENDIX E(2)'!E21</f>
        <v>1210000</v>
      </c>
      <c r="G132" s="1295">
        <f>'APPENDIX E(2)'!D21</f>
        <v>1214789.1000000001</v>
      </c>
      <c r="H132" s="1287">
        <f t="shared" si="92"/>
        <v>4789.1000000000931</v>
      </c>
      <c r="I132" s="1287">
        <f t="shared" si="93"/>
        <v>4789.1000000000931</v>
      </c>
      <c r="J132" s="1324">
        <f t="shared" si="94"/>
        <v>100.39579338842977</v>
      </c>
      <c r="K132" s="1325">
        <f t="shared" si="95"/>
        <v>100.39579338842977</v>
      </c>
      <c r="Q132" s="48"/>
      <c r="S132" s="48"/>
    </row>
    <row r="133" spans="1:19" ht="15" customHeight="1" x14ac:dyDescent="0.25">
      <c r="A133" s="1283" t="str">
        <f>'APPENDIX E(2)'!A22</f>
        <v>Other</v>
      </c>
      <c r="B133" s="1112"/>
      <c r="C133" s="1294">
        <v>0</v>
      </c>
      <c r="D133" s="1273">
        <f t="shared" si="91"/>
        <v>0</v>
      </c>
      <c r="E133" s="1294">
        <v>0</v>
      </c>
      <c r="F133" s="1286">
        <f>'APPENDIX E(2)'!E22</f>
        <v>0</v>
      </c>
      <c r="G133" s="1295">
        <f>'APPENDIX E(2)'!D22</f>
        <v>0</v>
      </c>
      <c r="H133" s="1287">
        <f t="shared" si="92"/>
        <v>0</v>
      </c>
      <c r="I133" s="1287">
        <f t="shared" si="93"/>
        <v>0</v>
      </c>
      <c r="J133" s="1324">
        <f t="shared" si="94"/>
        <v>0</v>
      </c>
      <c r="K133" s="1325">
        <f t="shared" si="95"/>
        <v>0</v>
      </c>
    </row>
    <row r="134" spans="1:19" ht="15" customHeight="1" thickBot="1" x14ac:dyDescent="0.3">
      <c r="A134" s="1283"/>
      <c r="B134" s="1300"/>
      <c r="C134" s="1294"/>
      <c r="D134" s="1273"/>
      <c r="E134" s="1286"/>
      <c r="F134" s="1286"/>
      <c r="G134" s="1287"/>
      <c r="H134" s="1287"/>
      <c r="I134" s="1287"/>
      <c r="J134" s="1324"/>
      <c r="K134" s="1325"/>
      <c r="Q134" s="48"/>
      <c r="S134" s="48"/>
    </row>
    <row r="135" spans="1:19" ht="15" customHeight="1" thickTop="1" thickBot="1" x14ac:dyDescent="0.3">
      <c r="A135" s="315" t="s">
        <v>4109</v>
      </c>
      <c r="B135" s="316"/>
      <c r="C135" s="317">
        <f t="shared" ref="C135:I135" si="97">SUM(C119:C134)</f>
        <v>24116947</v>
      </c>
      <c r="D135" s="318">
        <f t="shared" si="97"/>
        <v>0</v>
      </c>
      <c r="E135" s="317">
        <f t="shared" si="97"/>
        <v>0</v>
      </c>
      <c r="F135" s="317">
        <f t="shared" si="97"/>
        <v>24116947</v>
      </c>
      <c r="G135" s="319">
        <f t="shared" si="97"/>
        <v>21328584.100000001</v>
      </c>
      <c r="H135" s="319">
        <f t="shared" si="97"/>
        <v>2146663.1</v>
      </c>
      <c r="I135" s="319">
        <f t="shared" si="97"/>
        <v>-2788362.9</v>
      </c>
      <c r="J135" s="1329">
        <f t="shared" ref="J135" si="98">IF(AND((F135&gt;0),(G135&gt;0)),(SUM(G135/F135)*100),0)</f>
        <v>88.438159689118194</v>
      </c>
      <c r="K135" s="1330">
        <f t="shared" ref="K135" si="99">IF(AND((C135&gt;0),(G135&gt;0)),(SUM(G135/C135)*100),0)</f>
        <v>88.438159689118194</v>
      </c>
      <c r="Q135" s="48"/>
      <c r="S135" s="48"/>
    </row>
    <row r="136" spans="1:19" ht="15" customHeight="1" thickTop="1" x14ac:dyDescent="0.25">
      <c r="A136" s="1283"/>
      <c r="B136" s="1112"/>
      <c r="C136" s="1294"/>
      <c r="D136" s="1294"/>
      <c r="E136" s="1294"/>
      <c r="F136" s="1294">
        <f>F135-'APPENDIX E(2)'!E24</f>
        <v>0</v>
      </c>
      <c r="G136" s="1294">
        <f>G135-'APPENDIX E(2)'!D24</f>
        <v>0</v>
      </c>
      <c r="H136" s="1295"/>
      <c r="I136" s="1295"/>
      <c r="J136" s="1328"/>
      <c r="K136" s="1325"/>
    </row>
    <row r="137" spans="1:19" ht="15" customHeight="1" x14ac:dyDescent="0.25">
      <c r="A137" s="315" t="s">
        <v>4127</v>
      </c>
      <c r="B137" s="1112"/>
      <c r="C137" s="310"/>
      <c r="D137" s="314"/>
      <c r="E137" s="1277"/>
      <c r="F137" s="1111"/>
      <c r="G137" s="1111"/>
      <c r="H137" s="1278"/>
      <c r="I137" s="1278"/>
      <c r="J137" s="1328"/>
      <c r="K137" s="1325"/>
    </row>
    <row r="138" spans="1:19" ht="15" customHeight="1" x14ac:dyDescent="0.25">
      <c r="A138" s="315" t="s">
        <v>4128</v>
      </c>
      <c r="B138" s="1112"/>
      <c r="C138" s="1280"/>
      <c r="D138" s="1280"/>
      <c r="E138" s="1280"/>
      <c r="F138" s="1280"/>
      <c r="G138" s="1280"/>
      <c r="H138" s="1281"/>
      <c r="I138" s="1281"/>
      <c r="J138" s="1322"/>
      <c r="K138" s="1323"/>
    </row>
    <row r="139" spans="1:19" ht="15" customHeight="1" x14ac:dyDescent="0.25">
      <c r="A139" s="1283" t="s">
        <v>4136</v>
      </c>
      <c r="B139" s="1112"/>
      <c r="C139" s="1294">
        <f>'Cash Flow'!D10</f>
        <v>0</v>
      </c>
      <c r="D139" s="1273">
        <f t="shared" ref="D139:D147" si="100">F139-E139-C139</f>
        <v>0</v>
      </c>
      <c r="E139" s="1294">
        <v>0</v>
      </c>
      <c r="F139" s="1286">
        <f>'Cash Flow'!F10</f>
        <v>0</v>
      </c>
      <c r="G139" s="1286">
        <f>'Cash Flow'!J10</f>
        <v>126562317</v>
      </c>
      <c r="H139" s="1287">
        <f>IF(SUM(G139-F139)&gt;0,SUM(G139-F139),0)</f>
        <v>126562317</v>
      </c>
      <c r="I139" s="1287">
        <f>G139-F139</f>
        <v>126562317</v>
      </c>
      <c r="J139" s="1324">
        <f t="shared" ref="J139:J147" si="101">IF(AND((F139&gt;0),(G139&gt;0)),(SUM(G139/F139)*100),0)</f>
        <v>0</v>
      </c>
      <c r="K139" s="1325">
        <f t="shared" ref="K139:K147" si="102">IF(AND((C139&gt;0),(G139&gt;0)),(SUM(G139/C139)*100),0)</f>
        <v>0</v>
      </c>
    </row>
    <row r="140" spans="1:19" ht="15" customHeight="1" x14ac:dyDescent="0.25">
      <c r="A140" s="1283" t="s">
        <v>4137</v>
      </c>
      <c r="B140" s="1112"/>
      <c r="C140" s="1294">
        <f>'Cash Flow'!D20</f>
        <v>0</v>
      </c>
      <c r="D140" s="1273">
        <f t="shared" si="100"/>
        <v>0</v>
      </c>
      <c r="E140" s="1294">
        <v>0</v>
      </c>
      <c r="F140" s="1286">
        <f>'Cash Flow'!F20</f>
        <v>0</v>
      </c>
      <c r="G140" s="1286">
        <f>'Cash Flow'!J20</f>
        <v>-110208287</v>
      </c>
      <c r="H140" s="1287">
        <f t="shared" ref="H140:H147" si="103">IF(SUM(G140-F140)&gt;0,SUM(G140-F140),0)</f>
        <v>0</v>
      </c>
      <c r="I140" s="1287">
        <f t="shared" ref="I140:I147" si="104">G140-F140</f>
        <v>-110208287</v>
      </c>
      <c r="J140" s="1324">
        <f t="shared" si="101"/>
        <v>0</v>
      </c>
      <c r="K140" s="1325">
        <f t="shared" si="102"/>
        <v>0</v>
      </c>
    </row>
    <row r="141" spans="1:19" ht="15" customHeight="1" x14ac:dyDescent="0.25">
      <c r="A141" s="1283" t="s">
        <v>65</v>
      </c>
      <c r="B141" s="1112"/>
      <c r="C141" s="1294">
        <f>'Cash Flow'!D14</f>
        <v>0</v>
      </c>
      <c r="D141" s="1273">
        <f>F141-E141-C141</f>
        <v>0</v>
      </c>
      <c r="E141" s="1294">
        <v>0</v>
      </c>
      <c r="F141" s="1286">
        <f>'Cash Flow'!F14</f>
        <v>0</v>
      </c>
      <c r="G141" s="1286">
        <f>'Cash Flow'!J14</f>
        <v>0</v>
      </c>
      <c r="H141" s="1287">
        <f>IF(SUM(G141-F141)&gt;0,SUM(G141-F141),0)</f>
        <v>0</v>
      </c>
      <c r="I141" s="1287">
        <f>G141-F141</f>
        <v>0</v>
      </c>
      <c r="J141" s="1324">
        <f>IF(AND((F141&gt;0),(G141&gt;0)),(SUM(G141/F141)*100),0)</f>
        <v>0</v>
      </c>
      <c r="K141" s="1325">
        <f>IF(AND((C141&gt;0),(G141&gt;0)),(SUM(G141/C141)*100),0)</f>
        <v>0</v>
      </c>
    </row>
    <row r="142" spans="1:19" ht="15" customHeight="1" x14ac:dyDescent="0.25">
      <c r="A142" s="1283" t="s">
        <v>798</v>
      </c>
      <c r="B142" s="1112"/>
      <c r="C142" s="1294">
        <f>'Cash Flow'!D15</f>
        <v>0</v>
      </c>
      <c r="D142" s="1273">
        <f>F142-E142-C142</f>
        <v>0</v>
      </c>
      <c r="E142" s="1294">
        <v>0</v>
      </c>
      <c r="F142" s="1286">
        <f>'Cash Flow'!F15</f>
        <v>0</v>
      </c>
      <c r="G142" s="1286">
        <f>'Cash Flow'!J15</f>
        <v>0</v>
      </c>
      <c r="H142" s="1287">
        <f>IF(SUM(G142-F142)&gt;0,SUM(G142-F142),0)</f>
        <v>0</v>
      </c>
      <c r="I142" s="1287">
        <f>G142-F142</f>
        <v>0</v>
      </c>
      <c r="J142" s="1324">
        <f>IF(AND((F142&gt;0),(G142&gt;0)),(SUM(G142/F142)*100),0)</f>
        <v>0</v>
      </c>
      <c r="K142" s="1325">
        <f>IF(AND((C142&gt;0),(G142&gt;0)),(SUM(G142/C142)*100),0)</f>
        <v>0</v>
      </c>
    </row>
    <row r="143" spans="1:19" ht="15" customHeight="1" x14ac:dyDescent="0.25">
      <c r="A143" s="1283" t="s">
        <v>227</v>
      </c>
      <c r="B143" s="1112"/>
      <c r="C143" s="1294">
        <f>'Cash Flow'!D16</f>
        <v>0</v>
      </c>
      <c r="D143" s="1273">
        <f>F143-E143-C143</f>
        <v>0</v>
      </c>
      <c r="E143" s="1294">
        <v>0</v>
      </c>
      <c r="F143" s="1286">
        <f>'Cash Flow'!F16</f>
        <v>0</v>
      </c>
      <c r="G143" s="1286">
        <f>'Cash Flow'!J16</f>
        <v>413886</v>
      </c>
      <c r="H143" s="1287">
        <f>IF(SUM(G143-F143)&gt;0,SUM(G143-F143),0)</f>
        <v>413886</v>
      </c>
      <c r="I143" s="1287">
        <f>G143-F143</f>
        <v>413886</v>
      </c>
      <c r="J143" s="1324">
        <f>IF(AND((F143&gt;0),(G143&gt;0)),(SUM(G143/F143)*100),0)</f>
        <v>0</v>
      </c>
      <c r="K143" s="1325">
        <f>IF(AND((C143&gt;0),(G143&gt;0)),(SUM(G143/C143)*100),0)</f>
        <v>0</v>
      </c>
    </row>
    <row r="144" spans="1:19" ht="15" customHeight="1" x14ac:dyDescent="0.25">
      <c r="A144" s="1283" t="s">
        <v>257</v>
      </c>
      <c r="B144" s="1112"/>
      <c r="C144" s="1294">
        <f>'Cash Flow'!D22</f>
        <v>0</v>
      </c>
      <c r="D144" s="1273">
        <f>F144-E144-C144</f>
        <v>0</v>
      </c>
      <c r="E144" s="1294">
        <v>0</v>
      </c>
      <c r="F144" s="1286">
        <f>'Cash Flow'!F22</f>
        <v>0</v>
      </c>
      <c r="G144" s="1286">
        <f>'Cash Flow'!J22</f>
        <v>-2080323.24</v>
      </c>
      <c r="H144" s="1287">
        <f>IF(SUM(G144-F144)&gt;0,SUM(G144-F144),0)</f>
        <v>0</v>
      </c>
      <c r="I144" s="1287">
        <f>G144-F144</f>
        <v>-2080323.24</v>
      </c>
      <c r="J144" s="1324">
        <f>IF(AND((F144&gt;0),(G144&gt;0)),(SUM(G144/F144)*100),0)</f>
        <v>0</v>
      </c>
      <c r="K144" s="1325">
        <f>IF(AND((C144&gt;0),(G144&gt;0)),(SUM(G144/C144)*100),0)</f>
        <v>0</v>
      </c>
    </row>
    <row r="145" spans="1:19" ht="15" customHeight="1" x14ac:dyDescent="0.25">
      <c r="A145" s="1283"/>
      <c r="B145" s="1112"/>
      <c r="C145" s="1284"/>
      <c r="D145" s="1285"/>
      <c r="E145" s="1286"/>
      <c r="F145" s="1286"/>
      <c r="G145" s="1287"/>
      <c r="H145" s="1287"/>
      <c r="I145" s="1287"/>
      <c r="J145" s="1324"/>
      <c r="K145" s="1325"/>
    </row>
    <row r="146" spans="1:19" ht="15" customHeight="1" x14ac:dyDescent="0.25">
      <c r="A146" s="315" t="s">
        <v>4129</v>
      </c>
      <c r="B146" s="1112"/>
      <c r="C146" s="1284"/>
      <c r="D146" s="1285"/>
      <c r="E146" s="1286"/>
      <c r="F146" s="1286"/>
      <c r="G146" s="1287"/>
      <c r="H146" s="1287"/>
      <c r="I146" s="1287"/>
      <c r="J146" s="1324"/>
      <c r="K146" s="1325"/>
    </row>
    <row r="147" spans="1:19" ht="15" customHeight="1" x14ac:dyDescent="0.25">
      <c r="A147" s="1283" t="s">
        <v>799</v>
      </c>
      <c r="B147" s="1112"/>
      <c r="C147" s="1294">
        <f>'Cash Flow'!D30</f>
        <v>0</v>
      </c>
      <c r="D147" s="1273">
        <f t="shared" si="100"/>
        <v>0</v>
      </c>
      <c r="E147" s="1294">
        <v>0</v>
      </c>
      <c r="F147" s="1286">
        <f>'Cash Flow'!F30</f>
        <v>0</v>
      </c>
      <c r="G147" s="1295">
        <f>'Cash Flow'!J30</f>
        <v>-20098952</v>
      </c>
      <c r="H147" s="1287">
        <f t="shared" si="103"/>
        <v>0</v>
      </c>
      <c r="I147" s="1287">
        <f t="shared" si="104"/>
        <v>-20098952</v>
      </c>
      <c r="J147" s="1324">
        <f t="shared" si="101"/>
        <v>0</v>
      </c>
      <c r="K147" s="1325">
        <f t="shared" si="102"/>
        <v>0</v>
      </c>
    </row>
    <row r="148" spans="1:19" ht="15" customHeight="1" x14ac:dyDescent="0.25">
      <c r="A148" s="1283" t="s">
        <v>800</v>
      </c>
      <c r="B148" s="1112"/>
      <c r="C148" s="1294">
        <f>'Cash Flow'!D31</f>
        <v>0</v>
      </c>
      <c r="D148" s="1273">
        <f t="shared" ref="D148:D156" si="105">F148-E148-C148</f>
        <v>0</v>
      </c>
      <c r="E148" s="1294">
        <v>0</v>
      </c>
      <c r="F148" s="1286">
        <f>'Cash Flow'!F31</f>
        <v>0</v>
      </c>
      <c r="G148" s="1295">
        <f>'Cash Flow'!J31</f>
        <v>0</v>
      </c>
      <c r="H148" s="1287">
        <f t="shared" ref="H148:H156" si="106">IF(SUM(G148-F148)&gt;0,SUM(G148-F148),0)</f>
        <v>0</v>
      </c>
      <c r="I148" s="1287">
        <f t="shared" ref="I148:I156" si="107">G148-F148</f>
        <v>0</v>
      </c>
      <c r="J148" s="1324">
        <f t="shared" ref="J148:J156" si="108">IF(AND((F148&gt;0),(G148&gt;0)),(SUM(G148/F148)*100),0)</f>
        <v>0</v>
      </c>
      <c r="K148" s="1325">
        <f t="shared" ref="K148:K156" si="109">IF(AND((C148&gt;0),(G148&gt;0)),(SUM(G148/C148)*100),0)</f>
        <v>0</v>
      </c>
    </row>
    <row r="149" spans="1:19" ht="15" customHeight="1" x14ac:dyDescent="0.25">
      <c r="A149" s="1283" t="s">
        <v>801</v>
      </c>
      <c r="B149" s="1112"/>
      <c r="C149" s="1294">
        <f>'Cash Flow'!D32</f>
        <v>0</v>
      </c>
      <c r="D149" s="1273">
        <f t="shared" si="105"/>
        <v>0</v>
      </c>
      <c r="E149" s="1294">
        <v>0</v>
      </c>
      <c r="F149" s="1286">
        <f>'Cash Flow'!F32</f>
        <v>0</v>
      </c>
      <c r="G149" s="1295">
        <f>'Cash Flow'!J32</f>
        <v>0</v>
      </c>
      <c r="H149" s="1287">
        <f t="shared" si="106"/>
        <v>0</v>
      </c>
      <c r="I149" s="1287">
        <f t="shared" si="107"/>
        <v>0</v>
      </c>
      <c r="J149" s="1324">
        <f t="shared" si="108"/>
        <v>0</v>
      </c>
      <c r="K149" s="1325">
        <f t="shared" si="109"/>
        <v>0</v>
      </c>
    </row>
    <row r="150" spans="1:19" ht="15" customHeight="1" x14ac:dyDescent="0.25">
      <c r="A150" s="1283" t="s">
        <v>802</v>
      </c>
      <c r="B150" s="1112"/>
      <c r="C150" s="1294">
        <f>'Cash Flow'!D34</f>
        <v>0</v>
      </c>
      <c r="D150" s="1273">
        <f t="shared" si="105"/>
        <v>0</v>
      </c>
      <c r="E150" s="1294">
        <v>0</v>
      </c>
      <c r="F150" s="1286">
        <f>'Cash Flow'!F34</f>
        <v>0</v>
      </c>
      <c r="G150" s="1295">
        <f>'Cash Flow'!J34</f>
        <v>5</v>
      </c>
      <c r="H150" s="1287">
        <f t="shared" si="106"/>
        <v>5</v>
      </c>
      <c r="I150" s="1287">
        <f t="shared" si="107"/>
        <v>5</v>
      </c>
      <c r="J150" s="1324">
        <f t="shared" si="108"/>
        <v>0</v>
      </c>
      <c r="K150" s="1325">
        <f t="shared" si="109"/>
        <v>0</v>
      </c>
    </row>
    <row r="151" spans="1:19" ht="15" customHeight="1" x14ac:dyDescent="0.25">
      <c r="A151" s="1283" t="s">
        <v>1464</v>
      </c>
      <c r="B151" s="1112"/>
      <c r="C151" s="1294">
        <f>'Cash Flow'!D35</f>
        <v>0</v>
      </c>
      <c r="D151" s="1273">
        <f t="shared" si="105"/>
        <v>0</v>
      </c>
      <c r="E151" s="1294">
        <v>0</v>
      </c>
      <c r="F151" s="1286">
        <f>'Cash Flow'!F35</f>
        <v>0</v>
      </c>
      <c r="G151" s="1295">
        <f>'Cash Flow'!J35</f>
        <v>0</v>
      </c>
      <c r="H151" s="1287">
        <f t="shared" si="106"/>
        <v>0</v>
      </c>
      <c r="I151" s="1287">
        <f t="shared" si="107"/>
        <v>0</v>
      </c>
      <c r="J151" s="1324">
        <f t="shared" si="108"/>
        <v>0</v>
      </c>
      <c r="K151" s="1325">
        <f t="shared" si="109"/>
        <v>0</v>
      </c>
    </row>
    <row r="152" spans="1:19" ht="15" customHeight="1" x14ac:dyDescent="0.25">
      <c r="A152" s="1283" t="s">
        <v>1465</v>
      </c>
      <c r="B152" s="1112"/>
      <c r="C152" s="1294">
        <f>'Cash Flow'!D36</f>
        <v>0</v>
      </c>
      <c r="D152" s="1273">
        <f t="shared" si="105"/>
        <v>0</v>
      </c>
      <c r="E152" s="1294">
        <v>0</v>
      </c>
      <c r="F152" s="1286">
        <f>'Cash Flow'!F36</f>
        <v>0</v>
      </c>
      <c r="G152" s="1295">
        <f>'Cash Flow'!J36</f>
        <v>0</v>
      </c>
      <c r="H152" s="1287">
        <f t="shared" si="106"/>
        <v>0</v>
      </c>
      <c r="I152" s="1287">
        <f t="shared" si="107"/>
        <v>0</v>
      </c>
      <c r="J152" s="1324">
        <f t="shared" si="108"/>
        <v>0</v>
      </c>
      <c r="K152" s="1325">
        <f t="shared" si="109"/>
        <v>0</v>
      </c>
    </row>
    <row r="153" spans="1:19" ht="15" customHeight="1" x14ac:dyDescent="0.25">
      <c r="A153" s="1283" t="s">
        <v>1304</v>
      </c>
      <c r="B153" s="1112"/>
      <c r="C153" s="1294">
        <f>'Cash Flow'!D38</f>
        <v>0</v>
      </c>
      <c r="D153" s="1273">
        <f t="shared" si="105"/>
        <v>0</v>
      </c>
      <c r="E153" s="1294">
        <v>0</v>
      </c>
      <c r="F153" s="1286">
        <f>'Cash Flow'!F38</f>
        <v>0</v>
      </c>
      <c r="G153" s="1295">
        <f>'Cash Flow'!J38</f>
        <v>0</v>
      </c>
      <c r="H153" s="1287">
        <f t="shared" si="106"/>
        <v>0</v>
      </c>
      <c r="I153" s="1287">
        <f t="shared" si="107"/>
        <v>0</v>
      </c>
      <c r="J153" s="1324">
        <f t="shared" si="108"/>
        <v>0</v>
      </c>
      <c r="K153" s="1325">
        <f t="shared" si="109"/>
        <v>0</v>
      </c>
    </row>
    <row r="154" spans="1:19" ht="15" customHeight="1" x14ac:dyDescent="0.25">
      <c r="A154" s="1283" t="s">
        <v>1651</v>
      </c>
      <c r="B154" s="1112"/>
      <c r="C154" s="1294">
        <f>'Cash Flow'!D39</f>
        <v>0</v>
      </c>
      <c r="D154" s="1273">
        <f t="shared" si="105"/>
        <v>0</v>
      </c>
      <c r="E154" s="1294">
        <v>0</v>
      </c>
      <c r="F154" s="1286">
        <f>'Cash Flow'!F39</f>
        <v>0</v>
      </c>
      <c r="G154" s="1295">
        <f>'Cash Flow'!J39</f>
        <v>0</v>
      </c>
      <c r="H154" s="1287">
        <f t="shared" si="106"/>
        <v>0</v>
      </c>
      <c r="I154" s="1287">
        <f t="shared" si="107"/>
        <v>0</v>
      </c>
      <c r="J154" s="1324">
        <f t="shared" si="108"/>
        <v>0</v>
      </c>
      <c r="K154" s="1325">
        <f t="shared" si="109"/>
        <v>0</v>
      </c>
    </row>
    <row r="155" spans="1:19" ht="15" customHeight="1" x14ac:dyDescent="0.25">
      <c r="A155" s="1283" t="s">
        <v>1652</v>
      </c>
      <c r="B155" s="1112"/>
      <c r="C155" s="1294">
        <f>'Cash Flow'!D40</f>
        <v>0</v>
      </c>
      <c r="D155" s="1273">
        <f t="shared" si="105"/>
        <v>0</v>
      </c>
      <c r="E155" s="1294">
        <v>0</v>
      </c>
      <c r="F155" s="1286">
        <f>'Cash Flow'!F40</f>
        <v>0</v>
      </c>
      <c r="G155" s="1295">
        <f>'Cash Flow'!J40</f>
        <v>0</v>
      </c>
      <c r="H155" s="1287">
        <f t="shared" si="106"/>
        <v>0</v>
      </c>
      <c r="I155" s="1287">
        <f t="shared" si="107"/>
        <v>0</v>
      </c>
      <c r="J155" s="1324">
        <f t="shared" si="108"/>
        <v>0</v>
      </c>
      <c r="K155" s="1325">
        <f t="shared" si="109"/>
        <v>0</v>
      </c>
    </row>
    <row r="156" spans="1:19" ht="15" customHeight="1" x14ac:dyDescent="0.25">
      <c r="A156" s="1283" t="s">
        <v>1653</v>
      </c>
      <c r="B156" s="1112"/>
      <c r="C156" s="1294">
        <f>'Cash Flow'!D41</f>
        <v>0</v>
      </c>
      <c r="D156" s="1273">
        <f t="shared" si="105"/>
        <v>0</v>
      </c>
      <c r="E156" s="1294">
        <v>0</v>
      </c>
      <c r="F156" s="1286">
        <f>'Cash Flow'!F41</f>
        <v>0</v>
      </c>
      <c r="G156" s="1295">
        <f>'Cash Flow'!J41</f>
        <v>0</v>
      </c>
      <c r="H156" s="1287">
        <f t="shared" si="106"/>
        <v>0</v>
      </c>
      <c r="I156" s="1287">
        <f t="shared" si="107"/>
        <v>0</v>
      </c>
      <c r="J156" s="1324">
        <f t="shared" si="108"/>
        <v>0</v>
      </c>
      <c r="K156" s="1325">
        <f t="shared" si="109"/>
        <v>0</v>
      </c>
    </row>
    <row r="157" spans="1:19" ht="15" customHeight="1" x14ac:dyDescent="0.25">
      <c r="A157" s="1283"/>
      <c r="B157" s="1112"/>
      <c r="C157" s="1294"/>
      <c r="D157" s="1273"/>
      <c r="E157" s="1294"/>
      <c r="F157" s="1286"/>
      <c r="G157" s="1295"/>
      <c r="H157" s="1287"/>
      <c r="I157" s="1287"/>
      <c r="J157" s="1324"/>
      <c r="K157" s="1325"/>
    </row>
    <row r="158" spans="1:19" ht="15" customHeight="1" x14ac:dyDescent="0.25">
      <c r="A158" s="315" t="s">
        <v>4130</v>
      </c>
      <c r="B158" s="1112"/>
      <c r="C158" s="1284"/>
      <c r="D158" s="1285"/>
      <c r="E158" s="1286"/>
      <c r="F158" s="1286"/>
      <c r="G158" s="1287"/>
      <c r="H158" s="1287"/>
      <c r="I158" s="1287"/>
      <c r="J158" s="1324"/>
      <c r="K158" s="1325"/>
      <c r="Q158" s="48"/>
      <c r="S158" s="48"/>
    </row>
    <row r="159" spans="1:19" ht="15" customHeight="1" x14ac:dyDescent="0.25">
      <c r="A159" s="1283" t="s">
        <v>1466</v>
      </c>
      <c r="B159" s="1112"/>
      <c r="C159" s="1294">
        <f>'Cash Flow'!D47</f>
        <v>0</v>
      </c>
      <c r="D159" s="1273">
        <f t="shared" ref="D159:D161" si="110">F159-E159-C159</f>
        <v>0</v>
      </c>
      <c r="E159" s="1294">
        <v>0</v>
      </c>
      <c r="F159" s="1286">
        <f>'Cash Flow'!F47</f>
        <v>0</v>
      </c>
      <c r="G159" s="1295">
        <f>'Cash Flow'!J47</f>
        <v>0</v>
      </c>
      <c r="H159" s="1287">
        <f t="shared" ref="H159:H161" si="111">IF(SUM(G159-F159)&gt;0,SUM(G159-F159),0)</f>
        <v>0</v>
      </c>
      <c r="I159" s="1287">
        <f t="shared" ref="I159:I161" si="112">G159-F159</f>
        <v>0</v>
      </c>
      <c r="J159" s="1324">
        <f t="shared" ref="J159:J161" si="113">IF(AND((F159&gt;0),(G159&gt;0)),(SUM(G159/F159)*100),0)</f>
        <v>0</v>
      </c>
      <c r="K159" s="1325">
        <f t="shared" ref="K159:K161" si="114">IF(AND((C159&gt;0),(G159&gt;0)),(SUM(G159/C159)*100),0)</f>
        <v>0</v>
      </c>
      <c r="Q159" s="48"/>
      <c r="S159" s="48"/>
    </row>
    <row r="160" spans="1:19" ht="15" customHeight="1" x14ac:dyDescent="0.25">
      <c r="A160" s="1283" t="s">
        <v>1467</v>
      </c>
      <c r="B160" s="1112"/>
      <c r="C160" s="1294">
        <f>'Cash Flow'!D48</f>
        <v>0</v>
      </c>
      <c r="D160" s="1273">
        <f t="shared" si="110"/>
        <v>0</v>
      </c>
      <c r="E160" s="1294">
        <v>0</v>
      </c>
      <c r="F160" s="1286">
        <f>'Cash Flow'!F48</f>
        <v>0</v>
      </c>
      <c r="G160" s="1295">
        <f>'Cash Flow'!J48</f>
        <v>3337384</v>
      </c>
      <c r="H160" s="1287">
        <f t="shared" si="111"/>
        <v>3337384</v>
      </c>
      <c r="I160" s="1287">
        <f t="shared" si="112"/>
        <v>3337384</v>
      </c>
      <c r="J160" s="1324">
        <f t="shared" si="113"/>
        <v>0</v>
      </c>
      <c r="K160" s="1325">
        <f t="shared" si="114"/>
        <v>0</v>
      </c>
    </row>
    <row r="161" spans="1:19" ht="15" customHeight="1" x14ac:dyDescent="0.25">
      <c r="A161" s="1283" t="s">
        <v>1650</v>
      </c>
      <c r="B161" s="1112"/>
      <c r="C161" s="1294">
        <f>'Cash Flow'!D49</f>
        <v>0</v>
      </c>
      <c r="D161" s="1273">
        <f t="shared" si="110"/>
        <v>0</v>
      </c>
      <c r="E161" s="1294">
        <v>0</v>
      </c>
      <c r="F161" s="1286">
        <f>'Cash Flow'!F49</f>
        <v>0</v>
      </c>
      <c r="G161" s="1295">
        <f>'Cash Flow'!J49</f>
        <v>0</v>
      </c>
      <c r="H161" s="1287">
        <f t="shared" si="111"/>
        <v>0</v>
      </c>
      <c r="I161" s="1287">
        <f t="shared" si="112"/>
        <v>0</v>
      </c>
      <c r="J161" s="1324">
        <f t="shared" si="113"/>
        <v>0</v>
      </c>
      <c r="K161" s="1325">
        <f t="shared" si="114"/>
        <v>0</v>
      </c>
    </row>
    <row r="162" spans="1:19" ht="15" customHeight="1" thickBot="1" x14ac:dyDescent="0.3">
      <c r="A162" s="1283"/>
      <c r="B162" s="1300"/>
      <c r="C162" s="1294"/>
      <c r="D162" s="1273"/>
      <c r="E162" s="1286"/>
      <c r="F162" s="1286"/>
      <c r="G162" s="1287"/>
      <c r="H162" s="1287"/>
      <c r="I162" s="1287"/>
      <c r="J162" s="1324"/>
      <c r="K162" s="1325"/>
    </row>
    <row r="163" spans="1:19" ht="15" customHeight="1" thickTop="1" thickBot="1" x14ac:dyDescent="0.3">
      <c r="A163" s="315" t="s">
        <v>4131</v>
      </c>
      <c r="B163" s="316"/>
      <c r="C163" s="317">
        <f t="shared" ref="C163" si="115">SUM(C137:C162)</f>
        <v>0</v>
      </c>
      <c r="D163" s="318">
        <f t="shared" ref="D163:I163" si="116">SUM(D137:D162)</f>
        <v>0</v>
      </c>
      <c r="E163" s="317">
        <f t="shared" si="116"/>
        <v>0</v>
      </c>
      <c r="F163" s="317">
        <f t="shared" si="116"/>
        <v>0</v>
      </c>
      <c r="G163" s="319">
        <f t="shared" si="116"/>
        <v>-2073970.2400000002</v>
      </c>
      <c r="H163" s="319">
        <f t="shared" si="116"/>
        <v>130313592</v>
      </c>
      <c r="I163" s="319">
        <f t="shared" si="116"/>
        <v>-2073970.2400000002</v>
      </c>
      <c r="J163" s="1329">
        <f t="shared" ref="J163" si="117">IF(AND((F163&gt;0),(G163&gt;0)),(SUM(G163/F163)*100),0)</f>
        <v>0</v>
      </c>
      <c r="K163" s="1330">
        <f t="shared" ref="K163" si="118">IF(AND((C163&gt;0),(G163&gt;0)),(SUM(G163/C163)*100),0)</f>
        <v>0</v>
      </c>
    </row>
    <row r="164" spans="1:19" ht="15" customHeight="1" thickTop="1" x14ac:dyDescent="0.25">
      <c r="A164" s="1351"/>
      <c r="B164" s="1352"/>
      <c r="C164" s="1353">
        <f>C163-'Cash Flow'!D53</f>
        <v>0</v>
      </c>
      <c r="D164" s="1353"/>
      <c r="E164" s="1353"/>
      <c r="F164" s="1353">
        <f>F163-'Cash Flow'!F53</f>
        <v>0</v>
      </c>
      <c r="G164" s="2648">
        <f>G163-'Cash Flow'!J53</f>
        <v>-0.6999999969266355</v>
      </c>
      <c r="H164" s="1354"/>
      <c r="I164" s="1354"/>
      <c r="J164" s="1355"/>
      <c r="K164" s="1356"/>
    </row>
    <row r="165" spans="1:19" ht="15" customHeight="1" x14ac:dyDescent="0.25">
      <c r="A165" s="1359"/>
      <c r="B165" s="1357"/>
      <c r="C165" s="1358"/>
      <c r="D165" s="1358"/>
      <c r="E165" s="1357"/>
      <c r="F165" s="1357"/>
      <c r="G165" s="1357"/>
      <c r="H165" s="1357"/>
      <c r="I165" s="1357"/>
      <c r="J165" s="1357"/>
      <c r="K165" s="1360"/>
    </row>
    <row r="166" spans="1:19" ht="15" hidden="1" customHeight="1" x14ac:dyDescent="0.2">
      <c r="A166" s="1448" t="s">
        <v>4160</v>
      </c>
      <c r="B166" s="229"/>
      <c r="C166" s="297"/>
      <c r="D166" s="297"/>
      <c r="E166" s="1133"/>
      <c r="F166" s="1133"/>
      <c r="G166" s="1133"/>
      <c r="H166" s="1133"/>
      <c r="I166" s="1133"/>
      <c r="J166" s="1133"/>
      <c r="K166" s="1363"/>
      <c r="Q166" s="1208"/>
      <c r="R166" s="1208"/>
      <c r="S166" s="1208"/>
    </row>
    <row r="167" spans="1:19" ht="15" hidden="1" customHeight="1" x14ac:dyDescent="0.2">
      <c r="A167" s="2823" t="s">
        <v>4132</v>
      </c>
      <c r="B167" s="2788"/>
      <c r="C167" s="2788"/>
      <c r="D167" s="2788"/>
      <c r="E167" s="2788"/>
      <c r="F167" s="2788"/>
      <c r="G167" s="2788"/>
      <c r="H167" s="2788"/>
      <c r="I167" s="2788"/>
      <c r="J167" s="2788"/>
      <c r="K167" s="2789"/>
      <c r="Q167" s="1208"/>
      <c r="R167" s="1208"/>
      <c r="S167" s="1208"/>
    </row>
    <row r="168" spans="1:19" ht="15" hidden="1" customHeight="1" x14ac:dyDescent="0.2">
      <c r="A168" s="1283"/>
      <c r="B168" s="1368"/>
      <c r="C168" s="1310"/>
      <c r="D168" s="1285"/>
      <c r="E168" s="1273"/>
      <c r="F168" s="1273"/>
      <c r="G168" s="1273"/>
      <c r="H168" s="1273"/>
      <c r="I168" s="1273"/>
      <c r="J168" s="1310"/>
      <c r="K168" s="1367"/>
      <c r="Q168" s="1208"/>
      <c r="R168" s="1208"/>
      <c r="S168" s="1208"/>
    </row>
    <row r="169" spans="1:19" ht="15" hidden="1" customHeight="1" x14ac:dyDescent="0.2">
      <c r="A169" s="1283" t="s">
        <v>4223</v>
      </c>
      <c r="B169" s="1368"/>
      <c r="C169" s="1310"/>
      <c r="D169" s="1285"/>
      <c r="E169" s="1273"/>
      <c r="F169" s="1273"/>
      <c r="G169" s="1273"/>
      <c r="H169" s="1273"/>
      <c r="I169" s="1273"/>
      <c r="J169" s="1310"/>
      <c r="K169" s="1367"/>
      <c r="M169" s="1369">
        <f>IF(K16&lt;&gt;10%,SUM(G16-(C16*1.1),0))</f>
        <v>626830.1</v>
      </c>
      <c r="Q169" s="1208"/>
      <c r="R169" s="1208"/>
      <c r="S169" s="1208"/>
    </row>
    <row r="170" spans="1:19" ht="15" hidden="1" customHeight="1" x14ac:dyDescent="0.2">
      <c r="A170" s="1365"/>
      <c r="B170" s="2788" t="s">
        <v>4221</v>
      </c>
      <c r="C170" s="2788"/>
      <c r="D170" s="2788"/>
      <c r="E170" s="2788"/>
      <c r="F170" s="2788"/>
      <c r="G170" s="2788"/>
      <c r="H170" s="2788"/>
      <c r="I170" s="2788"/>
      <c r="J170" s="2788"/>
      <c r="K170" s="2789"/>
      <c r="Q170" s="1208"/>
      <c r="R170" s="1208"/>
      <c r="S170" s="1208"/>
    </row>
    <row r="171" spans="1:19" ht="15" hidden="1" customHeight="1" x14ac:dyDescent="0.2">
      <c r="A171" s="1283" t="s">
        <v>4162</v>
      </c>
      <c r="B171" s="1368"/>
      <c r="C171" s="1310"/>
      <c r="D171" s="1285"/>
      <c r="E171" s="1273"/>
      <c r="F171" s="1273"/>
      <c r="G171" s="1273"/>
      <c r="H171" s="1273"/>
      <c r="I171" s="1273"/>
      <c r="J171" s="1310"/>
      <c r="K171" s="1367"/>
      <c r="M171" s="1369">
        <f>IF(K17&lt;&gt;10%,SUM(G17-(C17*1.1),0))</f>
        <v>4215670</v>
      </c>
      <c r="Q171" s="1208"/>
      <c r="R171" s="1208"/>
      <c r="S171" s="1208"/>
    </row>
    <row r="172" spans="1:19" ht="15" hidden="1" customHeight="1" x14ac:dyDescent="0.2">
      <c r="A172" s="1365"/>
      <c r="B172" s="2788" t="s">
        <v>4221</v>
      </c>
      <c r="C172" s="2788"/>
      <c r="D172" s="2788"/>
      <c r="E172" s="2788"/>
      <c r="F172" s="2788"/>
      <c r="G172" s="2788"/>
      <c r="H172" s="2788"/>
      <c r="I172" s="2788"/>
      <c r="J172" s="2788"/>
      <c r="K172" s="2789"/>
      <c r="Q172" s="1208"/>
      <c r="R172" s="1208"/>
      <c r="S172" s="1208"/>
    </row>
    <row r="173" spans="1:19" ht="15" hidden="1" customHeight="1" x14ac:dyDescent="0.2">
      <c r="A173" s="1283" t="s">
        <v>4163</v>
      </c>
      <c r="B173" s="1368"/>
      <c r="C173" s="1310"/>
      <c r="D173" s="1285"/>
      <c r="E173" s="1273"/>
      <c r="F173" s="1273"/>
      <c r="G173" s="1273"/>
      <c r="H173" s="1273"/>
      <c r="I173" s="1273"/>
      <c r="J173" s="1310"/>
      <c r="K173" s="1367"/>
      <c r="M173" s="1369">
        <f>IF(K18&lt;&gt;10%,SUM(G18-(C18*1.1),0))</f>
        <v>862467.0199999999</v>
      </c>
      <c r="Q173" s="1208"/>
      <c r="R173" s="1208"/>
      <c r="S173" s="1208"/>
    </row>
    <row r="174" spans="1:19" ht="15" hidden="1" customHeight="1" x14ac:dyDescent="0.2">
      <c r="A174" s="1365"/>
      <c r="B174" s="2788" t="s">
        <v>4221</v>
      </c>
      <c r="C174" s="2788"/>
      <c r="D174" s="2788"/>
      <c r="E174" s="2788"/>
      <c r="F174" s="2788"/>
      <c r="G174" s="2788"/>
      <c r="H174" s="2788"/>
      <c r="I174" s="2788"/>
      <c r="J174" s="2788"/>
      <c r="K174" s="2789"/>
      <c r="Q174" s="1208"/>
      <c r="R174" s="1208"/>
      <c r="S174" s="1208"/>
    </row>
    <row r="175" spans="1:19" ht="15" hidden="1" customHeight="1" x14ac:dyDescent="0.2">
      <c r="A175" s="1283" t="s">
        <v>4164</v>
      </c>
      <c r="B175" s="1368"/>
      <c r="C175" s="1310"/>
      <c r="D175" s="1285"/>
      <c r="E175" s="1273"/>
      <c r="F175" s="1273"/>
      <c r="G175" s="1273"/>
      <c r="H175" s="1273"/>
      <c r="I175" s="1273"/>
      <c r="J175" s="1310"/>
      <c r="K175" s="1367"/>
      <c r="M175" s="1369">
        <f>IF(K19&lt;&gt;10%,SUM(G19-(C19*1.1),0))</f>
        <v>360.42999999970198</v>
      </c>
      <c r="Q175" s="1208"/>
      <c r="R175" s="1208"/>
      <c r="S175" s="1208"/>
    </row>
    <row r="176" spans="1:19" ht="15" hidden="1" customHeight="1" x14ac:dyDescent="0.2">
      <c r="A176" s="1365"/>
      <c r="B176" s="2788" t="s">
        <v>4221</v>
      </c>
      <c r="C176" s="2788"/>
      <c r="D176" s="2788"/>
      <c r="E176" s="2788"/>
      <c r="F176" s="2788"/>
      <c r="G176" s="2788"/>
      <c r="H176" s="2788"/>
      <c r="I176" s="2788"/>
      <c r="J176" s="2788"/>
      <c r="K176" s="2789"/>
      <c r="Q176" s="1208"/>
      <c r="R176" s="1208"/>
      <c r="S176" s="1208"/>
    </row>
    <row r="177" spans="1:19" ht="15" hidden="1" customHeight="1" x14ac:dyDescent="0.2">
      <c r="A177" s="1283" t="s">
        <v>4165</v>
      </c>
      <c r="B177" s="1368"/>
      <c r="C177" s="1310"/>
      <c r="D177" s="1285"/>
      <c r="E177" s="1273"/>
      <c r="F177" s="1273"/>
      <c r="G177" s="1273"/>
      <c r="H177" s="1273"/>
      <c r="I177" s="1273"/>
      <c r="J177" s="1310"/>
      <c r="K177" s="1367"/>
      <c r="M177" s="1369">
        <f>IF(K20&lt;&gt;10%,SUM(G20-(C20*1.1),0))</f>
        <v>12367667.560000002</v>
      </c>
      <c r="Q177" s="1208"/>
      <c r="R177" s="1208"/>
      <c r="S177" s="1208"/>
    </row>
    <row r="178" spans="1:19" ht="15" hidden="1" customHeight="1" x14ac:dyDescent="0.2">
      <c r="A178" s="1365"/>
      <c r="B178" s="2788" t="s">
        <v>4221</v>
      </c>
      <c r="C178" s="2788"/>
      <c r="D178" s="2788"/>
      <c r="E178" s="2788"/>
      <c r="F178" s="2788"/>
      <c r="G178" s="2788"/>
      <c r="H178" s="2788"/>
      <c r="I178" s="2788"/>
      <c r="J178" s="2788"/>
      <c r="K178" s="2789"/>
      <c r="Q178" s="1208"/>
      <c r="R178" s="1208"/>
      <c r="S178" s="1208"/>
    </row>
    <row r="179" spans="1:19" ht="15" hidden="1" customHeight="1" x14ac:dyDescent="0.2">
      <c r="A179" s="1283" t="s">
        <v>2024</v>
      </c>
      <c r="B179" s="1368"/>
      <c r="C179" s="1310"/>
      <c r="D179" s="1285"/>
      <c r="E179" s="1273"/>
      <c r="F179" s="1273"/>
      <c r="G179" s="1273"/>
      <c r="H179" s="1273"/>
      <c r="I179" s="1273"/>
      <c r="J179" s="1310"/>
      <c r="K179" s="1367"/>
      <c r="M179" s="1369">
        <f>IF(K21&lt;&gt;10%,SUM(G21-(C21*1.1),0))</f>
        <v>288595.42999999691</v>
      </c>
      <c r="Q179" s="1208"/>
      <c r="R179" s="1208"/>
      <c r="S179" s="1208"/>
    </row>
    <row r="180" spans="1:19" ht="15" hidden="1" customHeight="1" x14ac:dyDescent="0.2">
      <c r="A180" s="1365"/>
      <c r="B180" s="2788" t="s">
        <v>4221</v>
      </c>
      <c r="C180" s="2788"/>
      <c r="D180" s="2788"/>
      <c r="E180" s="2788"/>
      <c r="F180" s="2788"/>
      <c r="G180" s="2788"/>
      <c r="H180" s="2788"/>
      <c r="I180" s="2788"/>
      <c r="J180" s="2788"/>
      <c r="K180" s="2789"/>
      <c r="Q180" s="1208"/>
      <c r="R180" s="1208"/>
      <c r="S180" s="1208"/>
    </row>
    <row r="181" spans="1:19" ht="15" hidden="1" customHeight="1" x14ac:dyDescent="0.2">
      <c r="A181" s="1283" t="s">
        <v>4222</v>
      </c>
      <c r="B181" s="1368"/>
      <c r="C181" s="1310"/>
      <c r="D181" s="1285"/>
      <c r="E181" s="1273"/>
      <c r="F181" s="1273"/>
      <c r="G181" s="1273"/>
      <c r="H181" s="1273"/>
      <c r="I181" s="1273"/>
      <c r="J181" s="1310"/>
      <c r="K181" s="1367"/>
      <c r="M181" s="1369">
        <f>IF(K22&lt;&gt;10%,SUM(G22-(C22*1.1),0))</f>
        <v>1158061.5499999998</v>
      </c>
      <c r="Q181" s="1208"/>
      <c r="R181" s="1208"/>
      <c r="S181" s="1208"/>
    </row>
    <row r="182" spans="1:19" ht="15" hidden="1" customHeight="1" x14ac:dyDescent="0.2">
      <c r="A182" s="1365"/>
      <c r="B182" s="2788" t="s">
        <v>4221</v>
      </c>
      <c r="C182" s="2788"/>
      <c r="D182" s="2788"/>
      <c r="E182" s="2788"/>
      <c r="F182" s="2788"/>
      <c r="G182" s="2788"/>
      <c r="H182" s="2788"/>
      <c r="I182" s="2788"/>
      <c r="J182" s="2788"/>
      <c r="K182" s="2789"/>
      <c r="Q182" s="1208"/>
      <c r="R182" s="1208"/>
      <c r="S182" s="1208"/>
    </row>
    <row r="183" spans="1:19" ht="15" hidden="1" customHeight="1" x14ac:dyDescent="0.2">
      <c r="A183" s="1283" t="s">
        <v>4166</v>
      </c>
      <c r="B183" s="1368"/>
      <c r="C183" s="1310"/>
      <c r="D183" s="1285"/>
      <c r="E183" s="1273"/>
      <c r="F183" s="1273"/>
      <c r="G183" s="1273"/>
      <c r="H183" s="1273"/>
      <c r="I183" s="1273"/>
      <c r="J183" s="1310"/>
      <c r="K183" s="1367"/>
      <c r="M183" s="1369">
        <f>IF(K23&lt;&gt;10%,SUM(G23-(C23*1.1),0))</f>
        <v>0</v>
      </c>
      <c r="Q183" s="1208"/>
      <c r="R183" s="1208"/>
      <c r="S183" s="1208"/>
    </row>
    <row r="184" spans="1:19" ht="15" hidden="1" customHeight="1" x14ac:dyDescent="0.2">
      <c r="A184" s="1365"/>
      <c r="B184" s="2788" t="s">
        <v>4221</v>
      </c>
      <c r="C184" s="2788"/>
      <c r="D184" s="2788"/>
      <c r="E184" s="2788"/>
      <c r="F184" s="2788"/>
      <c r="G184" s="2788"/>
      <c r="H184" s="2788"/>
      <c r="I184" s="2788"/>
      <c r="J184" s="2788"/>
      <c r="K184" s="2789"/>
      <c r="Q184" s="1208"/>
      <c r="R184" s="1208"/>
      <c r="S184" s="1208"/>
    </row>
    <row r="185" spans="1:19" ht="15" hidden="1" customHeight="1" x14ac:dyDescent="0.2">
      <c r="A185" s="1283" t="s">
        <v>4167</v>
      </c>
      <c r="B185" s="1368"/>
      <c r="C185" s="1310"/>
      <c r="D185" s="1285"/>
      <c r="E185" s="1273"/>
      <c r="F185" s="1273"/>
      <c r="G185" s="1273"/>
      <c r="H185" s="1273"/>
      <c r="I185" s="1273"/>
      <c r="J185" s="1310"/>
      <c r="K185" s="1367"/>
      <c r="M185" s="1369">
        <f>IF(K24&lt;&gt;10%,SUM(G24-(C24*1.1),0))</f>
        <v>0</v>
      </c>
      <c r="Q185" s="1208"/>
      <c r="R185" s="1208"/>
      <c r="S185" s="1208"/>
    </row>
    <row r="186" spans="1:19" ht="15" hidden="1" customHeight="1" x14ac:dyDescent="0.2">
      <c r="A186" s="1365"/>
      <c r="B186" s="2788" t="s">
        <v>4221</v>
      </c>
      <c r="C186" s="2788"/>
      <c r="D186" s="2788"/>
      <c r="E186" s="2788"/>
      <c r="F186" s="2788"/>
      <c r="G186" s="2788"/>
      <c r="H186" s="2788"/>
      <c r="I186" s="2788"/>
      <c r="J186" s="2788"/>
      <c r="K186" s="2789"/>
      <c r="Q186" s="1208"/>
      <c r="R186" s="1208"/>
      <c r="S186" s="1208"/>
    </row>
    <row r="187" spans="1:19" ht="15" hidden="1" customHeight="1" x14ac:dyDescent="0.2">
      <c r="A187" s="1283" t="s">
        <v>4168</v>
      </c>
      <c r="B187" s="1368"/>
      <c r="C187" s="1310"/>
      <c r="D187" s="1285"/>
      <c r="E187" s="1273"/>
      <c r="F187" s="1273"/>
      <c r="G187" s="1273"/>
      <c r="H187" s="1273"/>
      <c r="I187" s="1273"/>
      <c r="J187" s="1310"/>
      <c r="K187" s="1367"/>
      <c r="M187" s="1369">
        <f>IF(K27&lt;&gt;10%,SUM(G27-(C27*1.1),0))</f>
        <v>308051336.42999989</v>
      </c>
      <c r="Q187" s="1208"/>
      <c r="R187" s="1208"/>
      <c r="S187" s="1208"/>
    </row>
    <row r="188" spans="1:19" ht="15" hidden="1" customHeight="1" x14ac:dyDescent="0.2">
      <c r="A188" s="1365"/>
      <c r="B188" s="2788" t="s">
        <v>4221</v>
      </c>
      <c r="C188" s="2788"/>
      <c r="D188" s="2788"/>
      <c r="E188" s="2788"/>
      <c r="F188" s="2788"/>
      <c r="G188" s="2788"/>
      <c r="H188" s="2788"/>
      <c r="I188" s="2788"/>
      <c r="J188" s="2788"/>
      <c r="K188" s="2789"/>
      <c r="Q188" s="1208"/>
      <c r="R188" s="1208"/>
      <c r="S188" s="1208"/>
    </row>
    <row r="189" spans="1:19" ht="15" hidden="1" customHeight="1" x14ac:dyDescent="0.2">
      <c r="A189" s="1283" t="s">
        <v>4169</v>
      </c>
      <c r="B189" s="1368"/>
      <c r="C189" s="1310"/>
      <c r="D189" s="1285"/>
      <c r="E189" s="1273"/>
      <c r="F189" s="1273"/>
      <c r="G189" s="1273"/>
      <c r="H189" s="1273"/>
      <c r="I189" s="1273"/>
      <c r="J189" s="1310"/>
      <c r="K189" s="1367"/>
      <c r="M189" s="1369">
        <f>IF(K28&lt;&gt;10%,SUM(G28-(C28*1.1),0))</f>
        <v>534123.09</v>
      </c>
      <c r="Q189" s="1208"/>
      <c r="R189" s="1208"/>
      <c r="S189" s="1208"/>
    </row>
    <row r="190" spans="1:19" ht="15" hidden="1" customHeight="1" x14ac:dyDescent="0.2">
      <c r="A190" s="1365"/>
      <c r="B190" s="2788" t="s">
        <v>4221</v>
      </c>
      <c r="C190" s="2788"/>
      <c r="D190" s="2788"/>
      <c r="E190" s="2788"/>
      <c r="F190" s="2788"/>
      <c r="G190" s="2788"/>
      <c r="H190" s="2788"/>
      <c r="I190" s="2788"/>
      <c r="J190" s="2788"/>
      <c r="K190" s="2789"/>
      <c r="Q190" s="1208"/>
      <c r="R190" s="1208"/>
      <c r="S190" s="1208"/>
    </row>
    <row r="191" spans="1:19" ht="15" hidden="1" customHeight="1" x14ac:dyDescent="0.2">
      <c r="A191" s="1283" t="s">
        <v>4170</v>
      </c>
      <c r="B191" s="1368"/>
      <c r="C191" s="1310"/>
      <c r="D191" s="1285"/>
      <c r="E191" s="1273"/>
      <c r="F191" s="1273"/>
      <c r="G191" s="1273"/>
      <c r="H191" s="1273"/>
      <c r="I191" s="1273"/>
      <c r="J191" s="1310"/>
      <c r="K191" s="1367"/>
      <c r="M191" s="1369">
        <f>IF(K29&lt;&gt;10%,SUM(G29-(C29*1.1),0))</f>
        <v>20519205</v>
      </c>
      <c r="Q191" s="1208"/>
      <c r="R191" s="1208"/>
      <c r="S191" s="1208"/>
    </row>
    <row r="192" spans="1:19" ht="15" hidden="1" customHeight="1" x14ac:dyDescent="0.2">
      <c r="A192" s="1365"/>
      <c r="B192" s="2788" t="s">
        <v>4221</v>
      </c>
      <c r="C192" s="2788"/>
      <c r="D192" s="2788"/>
      <c r="E192" s="2788"/>
      <c r="F192" s="2788"/>
      <c r="G192" s="2788"/>
      <c r="H192" s="2788"/>
      <c r="I192" s="2788"/>
      <c r="J192" s="2788"/>
      <c r="K192" s="2789"/>
      <c r="Q192" s="1208"/>
      <c r="R192" s="1208"/>
      <c r="S192" s="1208"/>
    </row>
    <row r="193" spans="1:19" ht="15" hidden="1" customHeight="1" x14ac:dyDescent="0.2">
      <c r="A193" s="1283" t="s">
        <v>4171</v>
      </c>
      <c r="B193" s="1368"/>
      <c r="C193" s="1310"/>
      <c r="D193" s="1285"/>
      <c r="E193" s="1273"/>
      <c r="F193" s="1273"/>
      <c r="G193" s="1273"/>
      <c r="H193" s="1273"/>
      <c r="I193" s="1273"/>
      <c r="J193" s="1310"/>
      <c r="K193" s="1367"/>
      <c r="M193" s="1369">
        <f>IF(K30&lt;&gt;10%,SUM(G30-(C30*1.1),0))</f>
        <v>0</v>
      </c>
      <c r="Q193" s="1208"/>
      <c r="R193" s="1208"/>
      <c r="S193" s="1208"/>
    </row>
    <row r="194" spans="1:19" ht="15" hidden="1" customHeight="1" x14ac:dyDescent="0.2">
      <c r="A194" s="1365"/>
      <c r="B194" s="2788" t="s">
        <v>4221</v>
      </c>
      <c r="C194" s="2788"/>
      <c r="D194" s="2788"/>
      <c r="E194" s="2788"/>
      <c r="F194" s="2788"/>
      <c r="G194" s="2788"/>
      <c r="H194" s="2788"/>
      <c r="I194" s="2788"/>
      <c r="J194" s="2788"/>
      <c r="K194" s="2789"/>
      <c r="Q194" s="1208"/>
      <c r="R194" s="1208"/>
      <c r="S194" s="1208"/>
    </row>
    <row r="195" spans="1:19" ht="15" hidden="1" customHeight="1" x14ac:dyDescent="0.2">
      <c r="A195" s="1283" t="s">
        <v>4172</v>
      </c>
      <c r="B195" s="1368"/>
      <c r="C195" s="1310"/>
      <c r="D195" s="1285"/>
      <c r="E195" s="1273"/>
      <c r="F195" s="1273"/>
      <c r="G195" s="1273"/>
      <c r="H195" s="1273"/>
      <c r="I195" s="1273"/>
      <c r="J195" s="1310"/>
      <c r="K195" s="1367"/>
      <c r="M195" s="1369">
        <f>IF(K31&lt;&gt;10%,SUM(G31-(C31*1.1),0))</f>
        <v>430680</v>
      </c>
      <c r="Q195" s="1208"/>
      <c r="R195" s="1208"/>
      <c r="S195" s="1208"/>
    </row>
    <row r="196" spans="1:19" ht="15" hidden="1" customHeight="1" x14ac:dyDescent="0.2">
      <c r="A196" s="1365"/>
      <c r="B196" s="2788" t="s">
        <v>4221</v>
      </c>
      <c r="C196" s="2788"/>
      <c r="D196" s="2788"/>
      <c r="E196" s="2788"/>
      <c r="F196" s="2788"/>
      <c r="G196" s="2788"/>
      <c r="H196" s="2788"/>
      <c r="I196" s="2788"/>
      <c r="J196" s="2788"/>
      <c r="K196" s="2789"/>
      <c r="Q196" s="1208"/>
      <c r="R196" s="1208"/>
      <c r="S196" s="1208"/>
    </row>
    <row r="197" spans="1:19" ht="15" hidden="1" customHeight="1" x14ac:dyDescent="0.2">
      <c r="A197" s="1283" t="s">
        <v>4173</v>
      </c>
      <c r="B197" s="1368"/>
      <c r="C197" s="1310"/>
      <c r="D197" s="1285"/>
      <c r="E197" s="1273"/>
      <c r="F197" s="1273"/>
      <c r="G197" s="1273"/>
      <c r="H197" s="1273"/>
      <c r="I197" s="1273"/>
      <c r="J197" s="1310"/>
      <c r="K197" s="1367"/>
      <c r="M197" s="1369">
        <f>IF(K32&lt;&gt;10%,SUM(G32-(C32*1.1),0))</f>
        <v>112659.79999999999</v>
      </c>
      <c r="Q197" s="1208"/>
      <c r="R197" s="1208"/>
      <c r="S197" s="1208"/>
    </row>
    <row r="198" spans="1:19" ht="15" hidden="1" customHeight="1" x14ac:dyDescent="0.2">
      <c r="A198" s="1365"/>
      <c r="B198" s="2788" t="s">
        <v>4221</v>
      </c>
      <c r="C198" s="2788"/>
      <c r="D198" s="2788"/>
      <c r="E198" s="2788"/>
      <c r="F198" s="2788"/>
      <c r="G198" s="2788"/>
      <c r="H198" s="2788"/>
      <c r="I198" s="2788"/>
      <c r="J198" s="2788"/>
      <c r="K198" s="2789"/>
      <c r="Q198" s="1208"/>
      <c r="R198" s="1208"/>
      <c r="S198" s="1208"/>
    </row>
    <row r="199" spans="1:19" ht="15" hidden="1" customHeight="1" x14ac:dyDescent="0.2">
      <c r="A199" s="1283" t="s">
        <v>4174</v>
      </c>
      <c r="B199" s="1368"/>
      <c r="C199" s="1310"/>
      <c r="D199" s="1285"/>
      <c r="E199" s="1273"/>
      <c r="F199" s="1273"/>
      <c r="G199" s="1273"/>
      <c r="H199" s="1273"/>
      <c r="I199" s="1273"/>
      <c r="J199" s="1310"/>
      <c r="K199" s="1367"/>
      <c r="M199" s="1369">
        <f>IF(K33&lt;&gt;10%,SUM(G33-(C33*1.1),0))</f>
        <v>0</v>
      </c>
      <c r="Q199" s="1208"/>
      <c r="R199" s="1208"/>
      <c r="S199" s="1208"/>
    </row>
    <row r="200" spans="1:19" ht="15" hidden="1" customHeight="1" x14ac:dyDescent="0.2">
      <c r="A200" s="1365"/>
      <c r="B200" s="2788" t="s">
        <v>4221</v>
      </c>
      <c r="C200" s="2788"/>
      <c r="D200" s="2788"/>
      <c r="E200" s="2788"/>
      <c r="F200" s="2788"/>
      <c r="G200" s="2788"/>
      <c r="H200" s="2788"/>
      <c r="I200" s="2788"/>
      <c r="J200" s="2788"/>
      <c r="K200" s="2789"/>
      <c r="Q200" s="1208"/>
      <c r="R200" s="1208"/>
      <c r="S200" s="1208"/>
    </row>
    <row r="201" spans="1:19" ht="15" hidden="1" customHeight="1" x14ac:dyDescent="0.2">
      <c r="A201" s="1283" t="s">
        <v>4175</v>
      </c>
      <c r="B201" s="1368"/>
      <c r="C201" s="1310"/>
      <c r="D201" s="1285"/>
      <c r="E201" s="1273"/>
      <c r="F201" s="1273"/>
      <c r="G201" s="1273"/>
      <c r="H201" s="1273"/>
      <c r="I201" s="1273"/>
      <c r="J201" s="1310"/>
      <c r="K201" s="1367"/>
      <c r="M201" s="1369">
        <f>IF(K34&lt;&gt;10%,SUM(G34-(C34*1.1),0))</f>
        <v>0</v>
      </c>
      <c r="Q201" s="1208"/>
      <c r="R201" s="1208"/>
      <c r="S201" s="1208"/>
    </row>
    <row r="202" spans="1:19" ht="15" hidden="1" customHeight="1" x14ac:dyDescent="0.2">
      <c r="A202" s="1365"/>
      <c r="B202" s="2788" t="s">
        <v>4221</v>
      </c>
      <c r="C202" s="2788"/>
      <c r="D202" s="2788"/>
      <c r="E202" s="2788"/>
      <c r="F202" s="2788"/>
      <c r="G202" s="2788"/>
      <c r="H202" s="2788"/>
      <c r="I202" s="2788"/>
      <c r="J202" s="2788"/>
      <c r="K202" s="2789"/>
      <c r="Q202" s="1208"/>
      <c r="R202" s="1208"/>
      <c r="S202" s="1208"/>
    </row>
    <row r="203" spans="1:19" ht="15" hidden="1" customHeight="1" x14ac:dyDescent="0.2">
      <c r="A203" s="1283" t="s">
        <v>4176</v>
      </c>
      <c r="B203" s="1368"/>
      <c r="C203" s="1310"/>
      <c r="D203" s="1285"/>
      <c r="E203" s="1273"/>
      <c r="F203" s="1273"/>
      <c r="G203" s="1273"/>
      <c r="H203" s="1273"/>
      <c r="I203" s="1273"/>
      <c r="J203" s="1310"/>
      <c r="K203" s="1367"/>
      <c r="M203" s="1369">
        <f>IF(K35&lt;&gt;10%,SUM(G35-(C35*1.1),0))</f>
        <v>0</v>
      </c>
      <c r="Q203" s="1208"/>
      <c r="R203" s="1208"/>
      <c r="S203" s="1208"/>
    </row>
    <row r="204" spans="1:19" ht="15" hidden="1" customHeight="1" x14ac:dyDescent="0.2">
      <c r="A204" s="1365"/>
      <c r="B204" s="2788" t="s">
        <v>4221</v>
      </c>
      <c r="C204" s="2788"/>
      <c r="D204" s="2788"/>
      <c r="E204" s="2788"/>
      <c r="F204" s="2788"/>
      <c r="G204" s="2788"/>
      <c r="H204" s="2788"/>
      <c r="I204" s="2788"/>
      <c r="J204" s="2788"/>
      <c r="K204" s="2789"/>
      <c r="Q204" s="1208"/>
      <c r="R204" s="1208"/>
      <c r="S204" s="1208"/>
    </row>
    <row r="205" spans="1:19" ht="15" hidden="1" customHeight="1" x14ac:dyDescent="0.2">
      <c r="A205" s="1283" t="s">
        <v>4177</v>
      </c>
      <c r="B205" s="1368"/>
      <c r="C205" s="1310"/>
      <c r="D205" s="1285"/>
      <c r="E205" s="1273"/>
      <c r="F205" s="1273"/>
      <c r="G205" s="1273"/>
      <c r="H205" s="1273"/>
      <c r="I205" s="1273"/>
      <c r="J205" s="1310"/>
      <c r="K205" s="1367"/>
      <c r="M205" s="1369">
        <f>IF(K40&lt;&gt;10%,SUM(G40-(C40*1.1),0))</f>
        <v>164402.49</v>
      </c>
      <c r="Q205" s="1208"/>
      <c r="R205" s="1208"/>
      <c r="S205" s="1208"/>
    </row>
    <row r="206" spans="1:19" ht="15" hidden="1" customHeight="1" x14ac:dyDescent="0.2">
      <c r="A206" s="1365"/>
      <c r="B206" s="2788" t="s">
        <v>4221</v>
      </c>
      <c r="C206" s="2788"/>
      <c r="D206" s="2788"/>
      <c r="E206" s="2788"/>
      <c r="F206" s="2788"/>
      <c r="G206" s="2788"/>
      <c r="H206" s="2788"/>
      <c r="I206" s="2788"/>
      <c r="J206" s="2788"/>
      <c r="K206" s="2789"/>
      <c r="Q206" s="1208"/>
      <c r="R206" s="1208"/>
      <c r="S206" s="1208"/>
    </row>
    <row r="207" spans="1:19" ht="15" hidden="1" customHeight="1" x14ac:dyDescent="0.2">
      <c r="A207" s="1283" t="s">
        <v>4178</v>
      </c>
      <c r="B207" s="1368"/>
      <c r="C207" s="1310"/>
      <c r="D207" s="1285"/>
      <c r="E207" s="1273"/>
      <c r="F207" s="1273"/>
      <c r="G207" s="1273"/>
      <c r="H207" s="1273"/>
      <c r="I207" s="1273"/>
      <c r="J207" s="1310"/>
      <c r="K207" s="1367"/>
      <c r="M207" s="1369">
        <f>IF(K41&lt;&gt;10%,SUM(G41-(C41*1.1),0))</f>
        <v>0</v>
      </c>
      <c r="Q207" s="1208"/>
      <c r="R207" s="1208"/>
      <c r="S207" s="1208"/>
    </row>
    <row r="208" spans="1:19" ht="15" hidden="1" customHeight="1" x14ac:dyDescent="0.2">
      <c r="A208" s="1365"/>
      <c r="B208" s="2788" t="s">
        <v>4221</v>
      </c>
      <c r="C208" s="2788"/>
      <c r="D208" s="2788"/>
      <c r="E208" s="2788"/>
      <c r="F208" s="2788"/>
      <c r="G208" s="2788"/>
      <c r="H208" s="2788"/>
      <c r="I208" s="2788"/>
      <c r="J208" s="2788"/>
      <c r="K208" s="2789"/>
      <c r="Q208" s="1208"/>
      <c r="R208" s="1208"/>
      <c r="S208" s="1208"/>
    </row>
    <row r="209" spans="1:19" ht="15" hidden="1" customHeight="1" x14ac:dyDescent="0.2">
      <c r="A209" s="1283" t="s">
        <v>4179</v>
      </c>
      <c r="B209" s="1368"/>
      <c r="C209" s="1310"/>
      <c r="D209" s="1285"/>
      <c r="E209" s="1273"/>
      <c r="F209" s="1273"/>
      <c r="G209" s="1273"/>
      <c r="H209" s="1273"/>
      <c r="I209" s="1273"/>
      <c r="J209" s="1310"/>
      <c r="K209" s="1367"/>
      <c r="M209" s="1369">
        <f>IF(K42&lt;&gt;10%,SUM(G42-(C42*1.1),0))</f>
        <v>16068867.309999986</v>
      </c>
      <c r="Q209" s="1208"/>
      <c r="R209" s="1208"/>
      <c r="S209" s="1208"/>
    </row>
    <row r="210" spans="1:19" ht="15" hidden="1" customHeight="1" x14ac:dyDescent="0.2">
      <c r="A210" s="1365"/>
      <c r="B210" s="2788" t="s">
        <v>4221</v>
      </c>
      <c r="C210" s="2788"/>
      <c r="D210" s="2788"/>
      <c r="E210" s="2788"/>
      <c r="F210" s="2788"/>
      <c r="G210" s="2788"/>
      <c r="H210" s="2788"/>
      <c r="I210" s="2788"/>
      <c r="J210" s="2788"/>
      <c r="K210" s="2789"/>
      <c r="Q210" s="1208"/>
      <c r="R210" s="1208"/>
      <c r="S210" s="1208"/>
    </row>
    <row r="211" spans="1:19" ht="15" hidden="1" customHeight="1" x14ac:dyDescent="0.2">
      <c r="A211" s="1283" t="s">
        <v>4180</v>
      </c>
      <c r="B211" s="1368"/>
      <c r="C211" s="1310"/>
      <c r="D211" s="1285"/>
      <c r="E211" s="1273"/>
      <c r="F211" s="1273"/>
      <c r="G211" s="1273"/>
      <c r="H211" s="1273"/>
      <c r="I211" s="1273"/>
      <c r="J211" s="1310"/>
      <c r="K211" s="1367"/>
      <c r="M211" s="1369">
        <f>IF(K43&lt;&gt;10%,SUM(G43-(C43*1.1),0))</f>
        <v>12080659.279999999</v>
      </c>
      <c r="Q211" s="1208"/>
      <c r="R211" s="1208"/>
      <c r="S211" s="1208"/>
    </row>
    <row r="212" spans="1:19" ht="15" hidden="1" customHeight="1" x14ac:dyDescent="0.2">
      <c r="A212" s="1365"/>
      <c r="B212" s="2788" t="s">
        <v>4221</v>
      </c>
      <c r="C212" s="2788"/>
      <c r="D212" s="2788"/>
      <c r="E212" s="2788"/>
      <c r="F212" s="2788"/>
      <c r="G212" s="2788"/>
      <c r="H212" s="2788"/>
      <c r="I212" s="2788"/>
      <c r="J212" s="2788"/>
      <c r="K212" s="2789"/>
      <c r="Q212" s="1208"/>
      <c r="R212" s="1208"/>
      <c r="S212" s="1208"/>
    </row>
    <row r="213" spans="1:19" ht="15" hidden="1" customHeight="1" x14ac:dyDescent="0.2">
      <c r="A213" s="1283" t="s">
        <v>4181</v>
      </c>
      <c r="B213" s="1368"/>
      <c r="C213" s="1310"/>
      <c r="D213" s="1285"/>
      <c r="E213" s="1273"/>
      <c r="F213" s="1273"/>
      <c r="G213" s="1273"/>
      <c r="H213" s="1273"/>
      <c r="I213" s="1273"/>
      <c r="J213" s="1310"/>
      <c r="K213" s="1367"/>
      <c r="M213" s="1369">
        <f>IF(K44&lt;&gt;10%,SUM(G44-(C44*1.1),0))</f>
        <v>0</v>
      </c>
      <c r="Q213" s="1208"/>
      <c r="R213" s="1208"/>
      <c r="S213" s="1208"/>
    </row>
    <row r="214" spans="1:19" ht="15" hidden="1" customHeight="1" x14ac:dyDescent="0.2">
      <c r="A214" s="1365"/>
      <c r="B214" s="2788" t="s">
        <v>4221</v>
      </c>
      <c r="C214" s="2788"/>
      <c r="D214" s="2788"/>
      <c r="E214" s="2788"/>
      <c r="F214" s="2788"/>
      <c r="G214" s="2788"/>
      <c r="H214" s="2788"/>
      <c r="I214" s="2788"/>
      <c r="J214" s="2788"/>
      <c r="K214" s="2789"/>
      <c r="Q214" s="1208"/>
      <c r="R214" s="1208"/>
      <c r="S214" s="1208"/>
    </row>
    <row r="215" spans="1:19" ht="15" hidden="1" customHeight="1" x14ac:dyDescent="0.2">
      <c r="A215" s="1283" t="s">
        <v>2265</v>
      </c>
      <c r="B215" s="1368"/>
      <c r="C215" s="1310"/>
      <c r="D215" s="1285"/>
      <c r="E215" s="1273"/>
      <c r="F215" s="1273"/>
      <c r="G215" s="1273"/>
      <c r="H215" s="1273"/>
      <c r="I215" s="1273"/>
      <c r="J215" s="1310"/>
      <c r="K215" s="1367"/>
      <c r="M215" s="1369">
        <f>IF(K45&lt;&gt;10%,SUM(G45-(C45*1.1),0))</f>
        <v>0</v>
      </c>
      <c r="Q215" s="1208"/>
      <c r="R215" s="1208"/>
      <c r="S215" s="1208"/>
    </row>
    <row r="216" spans="1:19" ht="15" hidden="1" customHeight="1" x14ac:dyDescent="0.2">
      <c r="A216" s="1365"/>
      <c r="B216" s="2788" t="s">
        <v>4221</v>
      </c>
      <c r="C216" s="2788"/>
      <c r="D216" s="2788"/>
      <c r="E216" s="2788"/>
      <c r="F216" s="2788"/>
      <c r="G216" s="2788"/>
      <c r="H216" s="2788"/>
      <c r="I216" s="2788"/>
      <c r="J216" s="2788"/>
      <c r="K216" s="2789"/>
      <c r="Q216" s="1208"/>
      <c r="R216" s="1208"/>
      <c r="S216" s="1208"/>
    </row>
    <row r="217" spans="1:19" ht="15" hidden="1" customHeight="1" x14ac:dyDescent="0.2">
      <c r="A217" s="1283" t="s">
        <v>4224</v>
      </c>
      <c r="B217" s="1368"/>
      <c r="C217" s="1310"/>
      <c r="D217" s="1285"/>
      <c r="E217" s="1273"/>
      <c r="F217" s="1273"/>
      <c r="G217" s="1273"/>
      <c r="H217" s="1273"/>
      <c r="I217" s="1273"/>
      <c r="J217" s="1310"/>
      <c r="K217" s="1367"/>
      <c r="M217" s="1369">
        <f>IF(K46&lt;&gt;10%,SUM(G46-(C46*1.1),0))</f>
        <v>-5.8207660913467407E-11</v>
      </c>
      <c r="Q217" s="1208"/>
      <c r="R217" s="1208"/>
      <c r="S217" s="1208"/>
    </row>
    <row r="218" spans="1:19" ht="15" hidden="1" customHeight="1" x14ac:dyDescent="0.2">
      <c r="A218" s="1365"/>
      <c r="B218" s="2788" t="s">
        <v>4221</v>
      </c>
      <c r="C218" s="2788"/>
      <c r="D218" s="2788"/>
      <c r="E218" s="2788"/>
      <c r="F218" s="2788"/>
      <c r="G218" s="2788"/>
      <c r="H218" s="2788"/>
      <c r="I218" s="2788"/>
      <c r="J218" s="2788"/>
      <c r="K218" s="2789"/>
      <c r="Q218" s="1208"/>
      <c r="R218" s="1208"/>
      <c r="S218" s="1208"/>
    </row>
    <row r="219" spans="1:19" ht="15" hidden="1" customHeight="1" x14ac:dyDescent="0.2">
      <c r="A219" s="1283" t="s">
        <v>4183</v>
      </c>
      <c r="B219" s="1368"/>
      <c r="C219" s="1310"/>
      <c r="D219" s="1285"/>
      <c r="E219" s="1273"/>
      <c r="F219" s="1273"/>
      <c r="G219" s="1273"/>
      <c r="H219" s="1273"/>
      <c r="I219" s="1273"/>
      <c r="J219" s="1310"/>
      <c r="K219" s="1367"/>
      <c r="M219" s="1369">
        <f>IF(K47&lt;&gt;10%,SUM(G47-(C47*1.1),0))</f>
        <v>0</v>
      </c>
      <c r="Q219" s="1208"/>
      <c r="R219" s="1208"/>
      <c r="S219" s="1208"/>
    </row>
    <row r="220" spans="1:19" ht="15" hidden="1" customHeight="1" x14ac:dyDescent="0.2">
      <c r="A220" s="1365"/>
      <c r="B220" s="2788" t="s">
        <v>4221</v>
      </c>
      <c r="C220" s="2788"/>
      <c r="D220" s="2788"/>
      <c r="E220" s="2788"/>
      <c r="F220" s="2788"/>
      <c r="G220" s="2788"/>
      <c r="H220" s="2788"/>
      <c r="I220" s="2788"/>
      <c r="J220" s="2788"/>
      <c r="K220" s="2789"/>
      <c r="Q220" s="1208"/>
      <c r="R220" s="1208"/>
      <c r="S220" s="1208"/>
    </row>
    <row r="221" spans="1:19" ht="15" hidden="1" customHeight="1" x14ac:dyDescent="0.2">
      <c r="A221" s="1283" t="s">
        <v>4184</v>
      </c>
      <c r="B221" s="1368"/>
      <c r="C221" s="1310"/>
      <c r="D221" s="1285"/>
      <c r="E221" s="1273"/>
      <c r="F221" s="1273"/>
      <c r="G221" s="1273"/>
      <c r="H221" s="1273"/>
      <c r="I221" s="1273"/>
      <c r="J221" s="1310"/>
      <c r="K221" s="1367"/>
      <c r="M221" s="1369">
        <f>IF(K48&lt;&gt;10%,SUM(G48-(C48*1.1),0))</f>
        <v>3915357</v>
      </c>
      <c r="Q221" s="1208"/>
      <c r="R221" s="1208"/>
      <c r="S221" s="1208"/>
    </row>
    <row r="222" spans="1:19" ht="15" hidden="1" customHeight="1" x14ac:dyDescent="0.2">
      <c r="A222" s="1365"/>
      <c r="B222" s="2788" t="s">
        <v>4221</v>
      </c>
      <c r="C222" s="2788"/>
      <c r="D222" s="2788"/>
      <c r="E222" s="2788"/>
      <c r="F222" s="2788"/>
      <c r="G222" s="2788"/>
      <c r="H222" s="2788"/>
      <c r="I222" s="2788"/>
      <c r="J222" s="2788"/>
      <c r="K222" s="2789"/>
      <c r="Q222" s="1208"/>
      <c r="R222" s="1208"/>
      <c r="S222" s="1208"/>
    </row>
    <row r="223" spans="1:19" ht="15" hidden="1" customHeight="1" x14ac:dyDescent="0.2">
      <c r="A223" s="1283" t="s">
        <v>4185</v>
      </c>
      <c r="B223" s="1368"/>
      <c r="C223" s="1310"/>
      <c r="D223" s="1285"/>
      <c r="E223" s="1273"/>
      <c r="F223" s="1273"/>
      <c r="G223" s="1273"/>
      <c r="H223" s="1273"/>
      <c r="I223" s="1273"/>
      <c r="J223" s="1310"/>
      <c r="K223" s="1367"/>
      <c r="M223" s="1369">
        <f>IF(K49&lt;&gt;10%,SUM(G49-(C49*1.1),0))</f>
        <v>497144</v>
      </c>
      <c r="Q223" s="1208"/>
      <c r="R223" s="1208"/>
      <c r="S223" s="1208"/>
    </row>
    <row r="224" spans="1:19" ht="15" hidden="1" customHeight="1" x14ac:dyDescent="0.2">
      <c r="A224" s="1365"/>
      <c r="B224" s="2788" t="s">
        <v>4221</v>
      </c>
      <c r="C224" s="2788"/>
      <c r="D224" s="2788"/>
      <c r="E224" s="2788"/>
      <c r="F224" s="2788"/>
      <c r="G224" s="2788"/>
      <c r="H224" s="2788"/>
      <c r="I224" s="2788"/>
      <c r="J224" s="2788"/>
      <c r="K224" s="2789"/>
      <c r="Q224" s="1208"/>
      <c r="R224" s="1208"/>
      <c r="S224" s="1208"/>
    </row>
    <row r="225" spans="1:19" ht="15" hidden="1" customHeight="1" x14ac:dyDescent="0.2">
      <c r="A225" s="1283" t="s">
        <v>4186</v>
      </c>
      <c r="B225" s="1368"/>
      <c r="C225" s="1310"/>
      <c r="D225" s="1285"/>
      <c r="E225" s="1273"/>
      <c r="F225" s="1273"/>
      <c r="G225" s="1273"/>
      <c r="H225" s="1273"/>
      <c r="I225" s="1273"/>
      <c r="J225" s="1310"/>
      <c r="K225" s="1367"/>
      <c r="M225" s="1369">
        <f>IF(K52&lt;&gt;10%,SUM(G52-(C52*1.1),0))</f>
        <v>13213949.029999997</v>
      </c>
      <c r="Q225" s="1208"/>
      <c r="R225" s="1208"/>
      <c r="S225" s="1208"/>
    </row>
    <row r="226" spans="1:19" ht="15" hidden="1" customHeight="1" x14ac:dyDescent="0.2">
      <c r="A226" s="1365"/>
      <c r="B226" s="2788" t="s">
        <v>4221</v>
      </c>
      <c r="C226" s="2788"/>
      <c r="D226" s="2788"/>
      <c r="E226" s="2788"/>
      <c r="F226" s="2788"/>
      <c r="G226" s="2788"/>
      <c r="H226" s="2788"/>
      <c r="I226" s="2788"/>
      <c r="J226" s="2788"/>
      <c r="K226" s="2789"/>
      <c r="Q226" s="1208"/>
      <c r="R226" s="1208"/>
      <c r="S226" s="1208"/>
    </row>
    <row r="227" spans="1:19" ht="15" hidden="1" customHeight="1" x14ac:dyDescent="0.2">
      <c r="A227" s="1283" t="s">
        <v>4187</v>
      </c>
      <c r="B227" s="1368"/>
      <c r="C227" s="1310"/>
      <c r="D227" s="1285"/>
      <c r="E227" s="1273"/>
      <c r="F227" s="1273"/>
      <c r="G227" s="1273"/>
      <c r="H227" s="1273"/>
      <c r="I227" s="1273"/>
      <c r="J227" s="1310"/>
      <c r="K227" s="1367"/>
      <c r="M227" s="1369">
        <f>IF(K53&lt;&gt;10%,SUM(G53-(C53*1.1),0))</f>
        <v>0</v>
      </c>
      <c r="Q227" s="1208"/>
      <c r="R227" s="1208"/>
      <c r="S227" s="1208"/>
    </row>
    <row r="228" spans="1:19" ht="15" hidden="1" customHeight="1" x14ac:dyDescent="0.2">
      <c r="A228" s="1365"/>
      <c r="B228" s="2788" t="s">
        <v>4221</v>
      </c>
      <c r="C228" s="2788"/>
      <c r="D228" s="2788"/>
      <c r="E228" s="2788"/>
      <c r="F228" s="2788"/>
      <c r="G228" s="2788"/>
      <c r="H228" s="2788"/>
      <c r="I228" s="2788"/>
      <c r="J228" s="2788"/>
      <c r="K228" s="2789"/>
      <c r="Q228" s="1208"/>
      <c r="R228" s="1208"/>
      <c r="S228" s="1208"/>
    </row>
    <row r="229" spans="1:19" ht="15" hidden="1" customHeight="1" x14ac:dyDescent="0.2">
      <c r="A229" s="1283" t="s">
        <v>4188</v>
      </c>
      <c r="B229" s="1368"/>
      <c r="C229" s="1310"/>
      <c r="D229" s="1285"/>
      <c r="E229" s="1273"/>
      <c r="F229" s="1273"/>
      <c r="G229" s="1273"/>
      <c r="H229" s="1273"/>
      <c r="I229" s="1273"/>
      <c r="J229" s="1310"/>
      <c r="K229" s="1367"/>
      <c r="M229" s="1369">
        <f>IF(K54&lt;&gt;10%,SUM(G54-(C54*1.1),0))</f>
        <v>17049944.82</v>
      </c>
      <c r="Q229" s="1208"/>
      <c r="R229" s="1208"/>
      <c r="S229" s="1208"/>
    </row>
    <row r="230" spans="1:19" ht="15" hidden="1" customHeight="1" x14ac:dyDescent="0.2">
      <c r="A230" s="1365"/>
      <c r="B230" s="2788" t="s">
        <v>4221</v>
      </c>
      <c r="C230" s="2788"/>
      <c r="D230" s="2788"/>
      <c r="E230" s="2788"/>
      <c r="F230" s="2788"/>
      <c r="G230" s="2788"/>
      <c r="H230" s="2788"/>
      <c r="I230" s="2788"/>
      <c r="J230" s="2788"/>
      <c r="K230" s="2789"/>
      <c r="Q230" s="1208"/>
      <c r="R230" s="1208"/>
      <c r="S230" s="1208"/>
    </row>
    <row r="231" spans="1:19" ht="15" hidden="1" customHeight="1" x14ac:dyDescent="0.2">
      <c r="A231" s="1283" t="s">
        <v>4189</v>
      </c>
      <c r="B231" s="1368"/>
      <c r="C231" s="1310"/>
      <c r="D231" s="1285"/>
      <c r="E231" s="1273"/>
      <c r="F231" s="1273"/>
      <c r="G231" s="1273"/>
      <c r="H231" s="1273"/>
      <c r="I231" s="1273"/>
      <c r="J231" s="1310"/>
      <c r="K231" s="1367"/>
      <c r="M231" s="1369">
        <f>IF(K61&lt;&gt;10%,SUM(G61-(C61*1.1),0))</f>
        <v>0</v>
      </c>
      <c r="Q231" s="1208"/>
      <c r="R231" s="1208"/>
      <c r="S231" s="1208"/>
    </row>
    <row r="232" spans="1:19" ht="15" hidden="1" customHeight="1" x14ac:dyDescent="0.2">
      <c r="A232" s="1365"/>
      <c r="B232" s="2788" t="s">
        <v>4221</v>
      </c>
      <c r="C232" s="2788"/>
      <c r="D232" s="2788"/>
      <c r="E232" s="2788"/>
      <c r="F232" s="2788"/>
      <c r="G232" s="2788"/>
      <c r="H232" s="2788"/>
      <c r="I232" s="2788"/>
      <c r="J232" s="2788"/>
      <c r="K232" s="2789"/>
      <c r="Q232" s="1208"/>
      <c r="R232" s="1208"/>
      <c r="S232" s="1208"/>
    </row>
    <row r="233" spans="1:19" ht="15" hidden="1" customHeight="1" x14ac:dyDescent="0.2">
      <c r="A233" s="1283" t="s">
        <v>4190</v>
      </c>
      <c r="B233" s="1368"/>
      <c r="C233" s="1310"/>
      <c r="D233" s="1285"/>
      <c r="E233" s="1273"/>
      <c r="F233" s="1273"/>
      <c r="G233" s="1273"/>
      <c r="H233" s="1273"/>
      <c r="I233" s="1273"/>
      <c r="J233" s="1310"/>
      <c r="K233" s="1367"/>
      <c r="M233" s="1369">
        <f>IF(K62&lt;&gt;10%,SUM(G62-(C62*1.1),0))</f>
        <v>0</v>
      </c>
      <c r="Q233" s="1208"/>
      <c r="R233" s="1208"/>
      <c r="S233" s="1208"/>
    </row>
    <row r="234" spans="1:19" ht="15" hidden="1" customHeight="1" x14ac:dyDescent="0.2">
      <c r="A234" s="1365"/>
      <c r="B234" s="2788" t="s">
        <v>4221</v>
      </c>
      <c r="C234" s="2788"/>
      <c r="D234" s="2788"/>
      <c r="E234" s="2788"/>
      <c r="F234" s="2788"/>
      <c r="G234" s="2788"/>
      <c r="H234" s="2788"/>
      <c r="I234" s="2788"/>
      <c r="J234" s="2788"/>
      <c r="K234" s="2789"/>
      <c r="Q234" s="1208"/>
      <c r="R234" s="1208"/>
      <c r="S234" s="1208"/>
    </row>
    <row r="235" spans="1:19" ht="15" hidden="1" customHeight="1" x14ac:dyDescent="0.2">
      <c r="A235" s="1283" t="s">
        <v>4191</v>
      </c>
      <c r="B235" s="1368"/>
      <c r="C235" s="1310"/>
      <c r="D235" s="1285"/>
      <c r="E235" s="1273"/>
      <c r="F235" s="1273"/>
      <c r="G235" s="1273"/>
      <c r="H235" s="1273"/>
      <c r="I235" s="1273"/>
      <c r="J235" s="1310"/>
      <c r="K235" s="1367"/>
      <c r="M235" s="1369">
        <f>IF(K63&lt;&gt;10%,SUM(G63-(C63*1.1),0))</f>
        <v>286177332.7700001</v>
      </c>
      <c r="Q235" s="1208"/>
      <c r="R235" s="1208"/>
      <c r="S235" s="1208"/>
    </row>
    <row r="236" spans="1:19" ht="15" hidden="1" customHeight="1" x14ac:dyDescent="0.2">
      <c r="A236" s="1365"/>
      <c r="B236" s="2788" t="s">
        <v>4221</v>
      </c>
      <c r="C236" s="2788"/>
      <c r="D236" s="2788"/>
      <c r="E236" s="2788"/>
      <c r="F236" s="2788"/>
      <c r="G236" s="2788"/>
      <c r="H236" s="2788"/>
      <c r="I236" s="2788"/>
      <c r="J236" s="2788"/>
      <c r="K236" s="2789"/>
      <c r="Q236" s="1208"/>
      <c r="R236" s="1208"/>
      <c r="S236" s="1208"/>
    </row>
    <row r="237" spans="1:19" ht="15" hidden="1" customHeight="1" x14ac:dyDescent="0.2">
      <c r="A237" s="1283"/>
      <c r="B237" s="1368"/>
      <c r="C237" s="1310"/>
      <c r="D237" s="1285"/>
      <c r="E237" s="1273"/>
      <c r="F237" s="1273"/>
      <c r="G237" s="1273"/>
      <c r="H237" s="1273"/>
      <c r="I237" s="1273"/>
      <c r="J237" s="1310"/>
      <c r="K237" s="1367"/>
      <c r="Q237" s="1208"/>
      <c r="R237" s="1208"/>
      <c r="S237" s="1208"/>
    </row>
    <row r="238" spans="1:19" ht="15" customHeight="1" x14ac:dyDescent="0.2">
      <c r="A238" s="1448" t="s">
        <v>4192</v>
      </c>
      <c r="B238" s="229"/>
      <c r="C238" s="297"/>
      <c r="D238" s="297"/>
      <c r="E238" s="1133"/>
      <c r="F238" s="1133"/>
      <c r="G238" s="1133"/>
      <c r="H238" s="1133"/>
      <c r="I238" s="1133"/>
      <c r="J238" s="1133"/>
      <c r="K238" s="1363"/>
      <c r="M238" s="1369"/>
      <c r="Q238" s="1208"/>
      <c r="R238" s="1208"/>
      <c r="S238" s="1208"/>
    </row>
    <row r="239" spans="1:19" ht="15" customHeight="1" x14ac:dyDescent="0.2">
      <c r="A239" s="2823" t="s">
        <v>4133</v>
      </c>
      <c r="B239" s="2788"/>
      <c r="C239" s="2788"/>
      <c r="D239" s="2788"/>
      <c r="E239" s="2788"/>
      <c r="F239" s="2788"/>
      <c r="G239" s="2788"/>
      <c r="H239" s="2788"/>
      <c r="I239" s="2788"/>
      <c r="J239" s="2788"/>
      <c r="K239" s="2789"/>
      <c r="Q239" s="1208"/>
      <c r="R239" s="1208"/>
      <c r="S239" s="1208"/>
    </row>
    <row r="240" spans="1:19" ht="15" customHeight="1" x14ac:dyDescent="0.2">
      <c r="A240" s="1283"/>
      <c r="B240" s="1368"/>
      <c r="C240" s="1310"/>
      <c r="D240" s="1285"/>
      <c r="E240" s="1273"/>
      <c r="F240" s="1273"/>
      <c r="G240" s="1273"/>
      <c r="H240" s="1273"/>
      <c r="I240" s="1273"/>
      <c r="J240" s="1310"/>
      <c r="K240" s="1367"/>
      <c r="M240" s="1369"/>
      <c r="Q240" s="1208"/>
      <c r="R240" s="1208"/>
      <c r="S240" s="1208"/>
    </row>
    <row r="241" spans="1:19" ht="15" customHeight="1" x14ac:dyDescent="0.2">
      <c r="A241" s="1448" t="s">
        <v>4193</v>
      </c>
      <c r="B241" s="229"/>
      <c r="C241" s="297"/>
      <c r="D241" s="297"/>
      <c r="E241" s="1133"/>
      <c r="F241" s="1133"/>
      <c r="G241" s="1133"/>
      <c r="H241" s="1133"/>
      <c r="I241" s="1133"/>
      <c r="J241" s="1133"/>
      <c r="K241" s="1363"/>
      <c r="Q241" s="1208"/>
      <c r="R241" s="1208"/>
      <c r="S241" s="1208"/>
    </row>
    <row r="242" spans="1:19" ht="15" customHeight="1" x14ac:dyDescent="0.2">
      <c r="A242" s="2823" t="s">
        <v>4134</v>
      </c>
      <c r="B242" s="2788"/>
      <c r="C242" s="2788"/>
      <c r="D242" s="2788"/>
      <c r="E242" s="2788"/>
      <c r="F242" s="2788"/>
      <c r="G242" s="2788"/>
      <c r="H242" s="2788"/>
      <c r="I242" s="2788"/>
      <c r="J242" s="2788"/>
      <c r="K242" s="2789"/>
      <c r="M242" s="1369"/>
      <c r="Q242" s="1208"/>
      <c r="R242" s="1208"/>
      <c r="S242" s="1208"/>
    </row>
    <row r="243" spans="1:19" ht="15" customHeight="1" x14ac:dyDescent="0.2">
      <c r="A243" s="1283"/>
      <c r="B243" s="1368"/>
      <c r="C243" s="1310"/>
      <c r="D243" s="1285"/>
      <c r="E243" s="1273"/>
      <c r="F243" s="1273"/>
      <c r="G243" s="1273"/>
      <c r="H243" s="1273"/>
      <c r="I243" s="1273"/>
      <c r="J243" s="1310"/>
      <c r="K243" s="1367"/>
      <c r="Q243" s="1208"/>
      <c r="R243" s="1208"/>
      <c r="S243" s="1208"/>
    </row>
    <row r="244" spans="1:19" ht="15" hidden="1" customHeight="1" x14ac:dyDescent="0.2">
      <c r="A244" s="1448" t="s">
        <v>4194</v>
      </c>
      <c r="B244" s="229"/>
      <c r="C244" s="297"/>
      <c r="D244" s="297"/>
      <c r="E244" s="1133"/>
      <c r="F244" s="1133"/>
      <c r="G244" s="1133"/>
      <c r="H244" s="1133"/>
      <c r="I244" s="1133"/>
      <c r="J244" s="1133"/>
      <c r="K244" s="1363"/>
      <c r="M244" s="1369"/>
      <c r="Q244" s="1208"/>
      <c r="R244" s="1208"/>
      <c r="S244" s="1208"/>
    </row>
    <row r="245" spans="1:19" ht="15" hidden="1" customHeight="1" x14ac:dyDescent="0.2">
      <c r="A245" s="2823" t="s">
        <v>4135</v>
      </c>
      <c r="B245" s="2788"/>
      <c r="C245" s="2788"/>
      <c r="D245" s="2788"/>
      <c r="E245" s="2788"/>
      <c r="F245" s="2788"/>
      <c r="G245" s="2788"/>
      <c r="H245" s="2788"/>
      <c r="I245" s="2788"/>
      <c r="J245" s="2788"/>
      <c r="K245" s="2789"/>
      <c r="Q245" s="1208"/>
      <c r="R245" s="1208"/>
      <c r="S245" s="1208"/>
    </row>
    <row r="246" spans="1:19" ht="15" hidden="1" customHeight="1" x14ac:dyDescent="0.2">
      <c r="A246" s="1283"/>
      <c r="B246" s="1368"/>
      <c r="C246" s="1310"/>
      <c r="D246" s="1285"/>
      <c r="E246" s="1273"/>
      <c r="F246" s="1273"/>
      <c r="G246" s="1273"/>
      <c r="H246" s="1273"/>
      <c r="I246" s="1273"/>
      <c r="J246" s="1310"/>
      <c r="K246" s="1367"/>
      <c r="M246" s="1369"/>
      <c r="Q246" s="1208"/>
      <c r="R246" s="1208"/>
      <c r="S246" s="1208"/>
    </row>
    <row r="247" spans="1:19" ht="15" hidden="1" customHeight="1" x14ac:dyDescent="0.2">
      <c r="A247" s="1368" t="s">
        <v>4195</v>
      </c>
      <c r="B247" s="1368"/>
      <c r="C247" s="1310"/>
      <c r="D247" s="1285"/>
      <c r="E247" s="1273"/>
      <c r="F247" s="1273"/>
      <c r="G247" s="1273"/>
      <c r="H247" s="1273"/>
      <c r="I247" s="1273"/>
      <c r="J247" s="1310"/>
      <c r="K247" s="1367"/>
      <c r="M247" s="1369">
        <f>IF(K139&lt;&gt;10%,SUM(G139-(C139*1.1),0))</f>
        <v>126562317</v>
      </c>
      <c r="Q247" s="1208"/>
      <c r="R247" s="1208"/>
      <c r="S247" s="1208"/>
    </row>
    <row r="248" spans="1:19" ht="15" hidden="1" customHeight="1" x14ac:dyDescent="0.2">
      <c r="A248" s="1365"/>
      <c r="B248" s="2788" t="s">
        <v>4221</v>
      </c>
      <c r="C248" s="2788"/>
      <c r="D248" s="2788"/>
      <c r="E248" s="2788"/>
      <c r="F248" s="2788"/>
      <c r="G248" s="2788"/>
      <c r="H248" s="2788"/>
      <c r="I248" s="2788"/>
      <c r="J248" s="2788"/>
      <c r="K248" s="2789"/>
      <c r="Q248" s="1208"/>
      <c r="R248" s="1208"/>
      <c r="S248" s="1208"/>
    </row>
    <row r="249" spans="1:19" ht="15" hidden="1" customHeight="1" x14ac:dyDescent="0.2">
      <c r="A249" s="1368" t="s">
        <v>4196</v>
      </c>
      <c r="B249" s="1368"/>
      <c r="C249" s="1310"/>
      <c r="D249" s="1285"/>
      <c r="E249" s="1273"/>
      <c r="F249" s="1273"/>
      <c r="G249" s="1273"/>
      <c r="H249" s="1273"/>
      <c r="I249" s="1273"/>
      <c r="J249" s="1310"/>
      <c r="K249" s="1367"/>
      <c r="M249" s="1369">
        <f>IF(K140&lt;&gt;10%,SUM(G140-(C140*1.1),0))</f>
        <v>-110208287</v>
      </c>
      <c r="Q249" s="1208"/>
      <c r="R249" s="1208"/>
      <c r="S249" s="1208"/>
    </row>
    <row r="250" spans="1:19" ht="15" hidden="1" customHeight="1" x14ac:dyDescent="0.2">
      <c r="A250" s="1365"/>
      <c r="B250" s="2788" t="s">
        <v>4221</v>
      </c>
      <c r="C250" s="2788"/>
      <c r="D250" s="2788"/>
      <c r="E250" s="2788"/>
      <c r="F250" s="2788"/>
      <c r="G250" s="2788"/>
      <c r="H250" s="2788"/>
      <c r="I250" s="2788"/>
      <c r="J250" s="2788"/>
      <c r="K250" s="2789"/>
      <c r="Q250" s="1208"/>
      <c r="R250" s="1208"/>
      <c r="S250" s="1208"/>
    </row>
    <row r="251" spans="1:19" ht="15" hidden="1" customHeight="1" x14ac:dyDescent="0.2">
      <c r="A251" s="1368" t="s">
        <v>4197</v>
      </c>
      <c r="B251" s="1368"/>
      <c r="C251" s="1310"/>
      <c r="D251" s="1285"/>
      <c r="E251" s="1273"/>
      <c r="F251" s="1273"/>
      <c r="G251" s="1273"/>
      <c r="H251" s="1273"/>
      <c r="I251" s="1273"/>
      <c r="J251" s="1310"/>
      <c r="K251" s="1367"/>
      <c r="M251" s="1369">
        <f>IF(K141&lt;&gt;10%,SUM(G141-(C141*1.1),0))</f>
        <v>0</v>
      </c>
      <c r="Q251" s="1208"/>
      <c r="R251" s="1208"/>
      <c r="S251" s="1208"/>
    </row>
    <row r="252" spans="1:19" ht="15" hidden="1" customHeight="1" x14ac:dyDescent="0.2">
      <c r="A252" s="1365"/>
      <c r="B252" s="2788" t="s">
        <v>4221</v>
      </c>
      <c r="C252" s="2788"/>
      <c r="D252" s="2788"/>
      <c r="E252" s="2788"/>
      <c r="F252" s="2788"/>
      <c r="G252" s="2788"/>
      <c r="H252" s="2788"/>
      <c r="I252" s="2788"/>
      <c r="J252" s="2788"/>
      <c r="K252" s="2789"/>
      <c r="Q252" s="1208"/>
      <c r="R252" s="1208"/>
      <c r="S252" s="1208"/>
    </row>
    <row r="253" spans="1:19" ht="15" hidden="1" customHeight="1" x14ac:dyDescent="0.2">
      <c r="A253" s="1368" t="s">
        <v>4198</v>
      </c>
      <c r="B253" s="1368"/>
      <c r="C253" s="1310"/>
      <c r="D253" s="1285"/>
      <c r="E253" s="1273"/>
      <c r="F253" s="1273"/>
      <c r="G253" s="1273"/>
      <c r="H253" s="1273"/>
      <c r="I253" s="1273"/>
      <c r="J253" s="1310"/>
      <c r="K253" s="1367"/>
      <c r="M253" s="1369">
        <f>IF(K142&lt;&gt;10%,SUM(G142-(C142*1.1),0))</f>
        <v>0</v>
      </c>
      <c r="Q253" s="1208"/>
      <c r="R253" s="1208"/>
      <c r="S253" s="1208"/>
    </row>
    <row r="254" spans="1:19" ht="15" hidden="1" customHeight="1" x14ac:dyDescent="0.2">
      <c r="A254" s="1365"/>
      <c r="B254" s="2788" t="s">
        <v>4221</v>
      </c>
      <c r="C254" s="2788"/>
      <c r="D254" s="2788"/>
      <c r="E254" s="2788"/>
      <c r="F254" s="2788"/>
      <c r="G254" s="2788"/>
      <c r="H254" s="2788"/>
      <c r="I254" s="2788"/>
      <c r="J254" s="2788"/>
      <c r="K254" s="2789"/>
      <c r="Q254" s="1208"/>
      <c r="R254" s="1208"/>
      <c r="S254" s="1208"/>
    </row>
    <row r="255" spans="1:19" ht="15" hidden="1" customHeight="1" x14ac:dyDescent="0.2">
      <c r="A255" s="1368" t="s">
        <v>4199</v>
      </c>
      <c r="B255" s="1368"/>
      <c r="C255" s="1310"/>
      <c r="D255" s="1285"/>
      <c r="E255" s="1273"/>
      <c r="F255" s="1273"/>
      <c r="G255" s="1273"/>
      <c r="H255" s="1273"/>
      <c r="I255" s="1273"/>
      <c r="J255" s="1310"/>
      <c r="K255" s="1367"/>
      <c r="M255" s="1369">
        <f>IF(K143&lt;&gt;10%,SUM(G143-(C143*1.1),0))</f>
        <v>413886</v>
      </c>
      <c r="Q255" s="1208"/>
      <c r="R255" s="1208"/>
      <c r="S255" s="1208"/>
    </row>
    <row r="256" spans="1:19" ht="15" hidden="1" customHeight="1" x14ac:dyDescent="0.2">
      <c r="A256" s="1365"/>
      <c r="B256" s="2788" t="s">
        <v>4221</v>
      </c>
      <c r="C256" s="2788"/>
      <c r="D256" s="2788"/>
      <c r="E256" s="2788"/>
      <c r="F256" s="2788"/>
      <c r="G256" s="2788"/>
      <c r="H256" s="2788"/>
      <c r="I256" s="2788"/>
      <c r="J256" s="2788"/>
      <c r="K256" s="2789"/>
      <c r="Q256" s="1208"/>
      <c r="R256" s="1208"/>
      <c r="S256" s="1208"/>
    </row>
    <row r="257" spans="1:19" ht="15" hidden="1" customHeight="1" x14ac:dyDescent="0.2">
      <c r="A257" s="1368" t="s">
        <v>4200</v>
      </c>
      <c r="B257" s="1368"/>
      <c r="C257" s="1310"/>
      <c r="D257" s="1285"/>
      <c r="E257" s="1273"/>
      <c r="F257" s="1273"/>
      <c r="G257" s="1273"/>
      <c r="H257" s="1273"/>
      <c r="I257" s="1273"/>
      <c r="J257" s="1310"/>
      <c r="K257" s="1367"/>
      <c r="M257" s="1369">
        <f>IF(K144&lt;&gt;10%,SUM(G144-(C144*1.1),0))</f>
        <v>-2080323.24</v>
      </c>
      <c r="Q257" s="1208"/>
      <c r="R257" s="1208"/>
      <c r="S257" s="1208"/>
    </row>
    <row r="258" spans="1:19" ht="15" hidden="1" customHeight="1" x14ac:dyDescent="0.2">
      <c r="A258" s="1365"/>
      <c r="B258" s="2788" t="s">
        <v>4221</v>
      </c>
      <c r="C258" s="2788"/>
      <c r="D258" s="2788"/>
      <c r="E258" s="2788"/>
      <c r="F258" s="2788"/>
      <c r="G258" s="2788"/>
      <c r="H258" s="2788"/>
      <c r="I258" s="2788"/>
      <c r="J258" s="2788"/>
      <c r="K258" s="2789"/>
      <c r="Q258" s="1208"/>
      <c r="R258" s="1208"/>
      <c r="S258" s="1208"/>
    </row>
    <row r="259" spans="1:19" ht="15" hidden="1" customHeight="1" x14ac:dyDescent="0.2">
      <c r="A259" s="1368" t="s">
        <v>4201</v>
      </c>
      <c r="B259" s="1368"/>
      <c r="C259" s="1310"/>
      <c r="D259" s="1285"/>
      <c r="E259" s="1273"/>
      <c r="F259" s="1273"/>
      <c r="G259" s="1273"/>
      <c r="H259" s="1273"/>
      <c r="I259" s="1273"/>
      <c r="J259" s="1310"/>
      <c r="K259" s="1367"/>
      <c r="M259" s="1369">
        <f>IF(K147&lt;&gt;10%,SUM(G147-(C147*1.1),0))</f>
        <v>-20098952</v>
      </c>
      <c r="Q259" s="1208"/>
      <c r="R259" s="1208"/>
      <c r="S259" s="1208"/>
    </row>
    <row r="260" spans="1:19" ht="15" hidden="1" customHeight="1" x14ac:dyDescent="0.2">
      <c r="A260" s="1365"/>
      <c r="B260" s="2788" t="s">
        <v>4221</v>
      </c>
      <c r="C260" s="2788"/>
      <c r="D260" s="2788"/>
      <c r="E260" s="2788"/>
      <c r="F260" s="2788"/>
      <c r="G260" s="2788"/>
      <c r="H260" s="2788"/>
      <c r="I260" s="2788"/>
      <c r="J260" s="2788"/>
      <c r="K260" s="2789"/>
      <c r="Q260" s="1208"/>
      <c r="R260" s="1208"/>
      <c r="S260" s="1208"/>
    </row>
    <row r="261" spans="1:19" ht="15" hidden="1" customHeight="1" x14ac:dyDescent="0.2">
      <c r="A261" s="1368" t="s">
        <v>4202</v>
      </c>
      <c r="B261" s="1368"/>
      <c r="C261" s="1310"/>
      <c r="D261" s="1285"/>
      <c r="E261" s="1273"/>
      <c r="F261" s="1273"/>
      <c r="G261" s="1273"/>
      <c r="H261" s="1273"/>
      <c r="I261" s="1273"/>
      <c r="J261" s="1310"/>
      <c r="K261" s="1367"/>
      <c r="M261" s="1369">
        <f>IF(K148&lt;&gt;10%,SUM(G148-(C148*1.1),0))</f>
        <v>0</v>
      </c>
      <c r="Q261" s="1208"/>
      <c r="R261" s="1208"/>
      <c r="S261" s="1208"/>
    </row>
    <row r="262" spans="1:19" ht="15" hidden="1" customHeight="1" x14ac:dyDescent="0.2">
      <c r="A262" s="1365"/>
      <c r="B262" s="2788" t="s">
        <v>4221</v>
      </c>
      <c r="C262" s="2788"/>
      <c r="D262" s="2788"/>
      <c r="E262" s="2788"/>
      <c r="F262" s="2788"/>
      <c r="G262" s="2788"/>
      <c r="H262" s="2788"/>
      <c r="I262" s="2788"/>
      <c r="J262" s="2788"/>
      <c r="K262" s="2789"/>
      <c r="Q262" s="1208"/>
      <c r="R262" s="1208"/>
      <c r="S262" s="1208"/>
    </row>
    <row r="263" spans="1:19" ht="15" hidden="1" customHeight="1" x14ac:dyDescent="0.2">
      <c r="A263" s="1368" t="s">
        <v>4203</v>
      </c>
      <c r="B263" s="1368"/>
      <c r="C263" s="1310"/>
      <c r="D263" s="1285"/>
      <c r="E263" s="1273"/>
      <c r="F263" s="1273"/>
      <c r="G263" s="1273"/>
      <c r="H263" s="1273"/>
      <c r="I263" s="1273"/>
      <c r="J263" s="1310"/>
      <c r="K263" s="1367"/>
      <c r="M263" s="1369">
        <f>IF(K149&lt;&gt;10%,SUM(G149-(C149*1.1),0))</f>
        <v>0</v>
      </c>
      <c r="Q263" s="1208"/>
      <c r="R263" s="1208"/>
      <c r="S263" s="1208"/>
    </row>
    <row r="264" spans="1:19" ht="15" hidden="1" customHeight="1" x14ac:dyDescent="0.2">
      <c r="A264" s="1365"/>
      <c r="B264" s="2788" t="s">
        <v>4221</v>
      </c>
      <c r="C264" s="2788"/>
      <c r="D264" s="2788"/>
      <c r="E264" s="2788"/>
      <c r="F264" s="2788"/>
      <c r="G264" s="2788"/>
      <c r="H264" s="2788"/>
      <c r="I264" s="2788"/>
      <c r="J264" s="2788"/>
      <c r="K264" s="2789"/>
      <c r="Q264" s="1208"/>
      <c r="R264" s="1208"/>
      <c r="S264" s="1208"/>
    </row>
    <row r="265" spans="1:19" ht="15" hidden="1" customHeight="1" x14ac:dyDescent="0.2">
      <c r="A265" s="1368" t="s">
        <v>4204</v>
      </c>
      <c r="B265" s="1368"/>
      <c r="C265" s="1310"/>
      <c r="D265" s="1285"/>
      <c r="E265" s="1273"/>
      <c r="F265" s="1273"/>
      <c r="G265" s="1273"/>
      <c r="H265" s="1273"/>
      <c r="I265" s="1273"/>
      <c r="J265" s="1310"/>
      <c r="K265" s="1367"/>
      <c r="M265" s="1369">
        <f>IF(K150&lt;&gt;10%,SUM(G150-(C150*1.1),0))</f>
        <v>5</v>
      </c>
      <c r="Q265" s="1208"/>
      <c r="R265" s="1208"/>
      <c r="S265" s="1208"/>
    </row>
    <row r="266" spans="1:19" ht="15" hidden="1" customHeight="1" x14ac:dyDescent="0.2">
      <c r="A266" s="1365"/>
      <c r="B266" s="2788" t="s">
        <v>4221</v>
      </c>
      <c r="C266" s="2788"/>
      <c r="D266" s="2788"/>
      <c r="E266" s="2788"/>
      <c r="F266" s="2788"/>
      <c r="G266" s="2788"/>
      <c r="H266" s="2788"/>
      <c r="I266" s="2788"/>
      <c r="J266" s="2788"/>
      <c r="K266" s="2789"/>
      <c r="Q266" s="1208"/>
      <c r="R266" s="1208"/>
      <c r="S266" s="1208"/>
    </row>
    <row r="267" spans="1:19" ht="15" hidden="1" customHeight="1" x14ac:dyDescent="0.2">
      <c r="A267" s="1368" t="s">
        <v>4205</v>
      </c>
      <c r="B267" s="1368"/>
      <c r="C267" s="1310"/>
      <c r="D267" s="1285"/>
      <c r="E267" s="1273"/>
      <c r="F267" s="1273"/>
      <c r="G267" s="1273"/>
      <c r="H267" s="1273"/>
      <c r="I267" s="1273"/>
      <c r="J267" s="1310"/>
      <c r="K267" s="1367"/>
      <c r="M267" s="1369">
        <f>IF(K151&lt;&gt;10%,SUM(G151-(C151*1.1),0))</f>
        <v>0</v>
      </c>
      <c r="Q267" s="1208"/>
      <c r="R267" s="1208"/>
      <c r="S267" s="1208"/>
    </row>
    <row r="268" spans="1:19" ht="15" hidden="1" customHeight="1" x14ac:dyDescent="0.2">
      <c r="A268" s="1365"/>
      <c r="B268" s="2788" t="s">
        <v>4221</v>
      </c>
      <c r="C268" s="2788"/>
      <c r="D268" s="2788"/>
      <c r="E268" s="2788"/>
      <c r="F268" s="2788"/>
      <c r="G268" s="2788"/>
      <c r="H268" s="2788"/>
      <c r="I268" s="2788"/>
      <c r="J268" s="2788"/>
      <c r="K268" s="2789"/>
      <c r="Q268" s="1208"/>
      <c r="R268" s="1208"/>
      <c r="S268" s="1208"/>
    </row>
    <row r="269" spans="1:19" ht="15" hidden="1" customHeight="1" x14ac:dyDescent="0.2">
      <c r="A269" s="1368" t="s">
        <v>4206</v>
      </c>
      <c r="B269" s="1368"/>
      <c r="C269" s="1310"/>
      <c r="D269" s="1285"/>
      <c r="E269" s="1273"/>
      <c r="F269" s="1273"/>
      <c r="G269" s="1273"/>
      <c r="H269" s="1273"/>
      <c r="I269" s="1273"/>
      <c r="J269" s="1310"/>
      <c r="K269" s="1367"/>
      <c r="M269" s="1369">
        <f>IF(K152&lt;&gt;10%,SUM(G152-(C152*1.1),0))</f>
        <v>0</v>
      </c>
      <c r="Q269" s="1208"/>
      <c r="R269" s="1208"/>
      <c r="S269" s="1208"/>
    </row>
    <row r="270" spans="1:19" ht="15" hidden="1" customHeight="1" x14ac:dyDescent="0.2">
      <c r="A270" s="1365"/>
      <c r="B270" s="2788" t="s">
        <v>4221</v>
      </c>
      <c r="C270" s="2788"/>
      <c r="D270" s="2788"/>
      <c r="E270" s="2788"/>
      <c r="F270" s="2788"/>
      <c r="G270" s="2788"/>
      <c r="H270" s="2788"/>
      <c r="I270" s="2788"/>
      <c r="J270" s="2788"/>
      <c r="K270" s="2789"/>
      <c r="Q270" s="1208"/>
      <c r="R270" s="1208"/>
      <c r="S270" s="1208"/>
    </row>
    <row r="271" spans="1:19" ht="15" hidden="1" customHeight="1" x14ac:dyDescent="0.2">
      <c r="A271" s="1368" t="s">
        <v>4207</v>
      </c>
      <c r="B271" s="1368"/>
      <c r="C271" s="1310"/>
      <c r="D271" s="1285"/>
      <c r="E271" s="1273"/>
      <c r="F271" s="1273"/>
      <c r="G271" s="1273"/>
      <c r="H271" s="1273"/>
      <c r="I271" s="1273"/>
      <c r="J271" s="1310"/>
      <c r="K271" s="1367"/>
      <c r="M271" s="1369">
        <f>IF(K153&lt;&gt;10%,SUM(G153-(C153*1.1),0))</f>
        <v>0</v>
      </c>
      <c r="Q271" s="1208"/>
      <c r="R271" s="1208"/>
      <c r="S271" s="1208"/>
    </row>
    <row r="272" spans="1:19" ht="15" hidden="1" customHeight="1" x14ac:dyDescent="0.2">
      <c r="A272" s="1365"/>
      <c r="B272" s="2788" t="s">
        <v>4221</v>
      </c>
      <c r="C272" s="2788"/>
      <c r="D272" s="2788"/>
      <c r="E272" s="2788"/>
      <c r="F272" s="2788"/>
      <c r="G272" s="2788"/>
      <c r="H272" s="2788"/>
      <c r="I272" s="2788"/>
      <c r="J272" s="2788"/>
      <c r="K272" s="2789"/>
      <c r="Q272" s="1208"/>
      <c r="R272" s="1208"/>
      <c r="S272" s="1208"/>
    </row>
    <row r="273" spans="1:19" ht="15" hidden="1" customHeight="1" x14ac:dyDescent="0.2">
      <c r="A273" s="1368" t="s">
        <v>4208</v>
      </c>
      <c r="B273" s="1368"/>
      <c r="C273" s="1310"/>
      <c r="D273" s="1285"/>
      <c r="E273" s="1273"/>
      <c r="F273" s="1273"/>
      <c r="G273" s="1273"/>
      <c r="H273" s="1273"/>
      <c r="I273" s="1273"/>
      <c r="J273" s="1310"/>
      <c r="K273" s="1367"/>
      <c r="M273" s="1369">
        <f>IF(K154&lt;&gt;10%,SUM(G154-(C154*1.1),0))</f>
        <v>0</v>
      </c>
      <c r="Q273" s="1208"/>
      <c r="R273" s="1208"/>
      <c r="S273" s="1208"/>
    </row>
    <row r="274" spans="1:19" ht="15" hidden="1" customHeight="1" x14ac:dyDescent="0.2">
      <c r="A274" s="1365"/>
      <c r="B274" s="2788" t="s">
        <v>4221</v>
      </c>
      <c r="C274" s="2788"/>
      <c r="D274" s="2788"/>
      <c r="E274" s="2788"/>
      <c r="F274" s="2788"/>
      <c r="G274" s="2788"/>
      <c r="H274" s="2788"/>
      <c r="I274" s="2788"/>
      <c r="J274" s="2788"/>
      <c r="K274" s="2789"/>
      <c r="Q274" s="1208"/>
      <c r="R274" s="1208"/>
      <c r="S274" s="1208"/>
    </row>
    <row r="275" spans="1:19" ht="15" hidden="1" customHeight="1" x14ac:dyDescent="0.2">
      <c r="A275" s="1368" t="s">
        <v>4209</v>
      </c>
      <c r="B275" s="1368"/>
      <c r="C275" s="1310"/>
      <c r="D275" s="1285"/>
      <c r="E275" s="1273"/>
      <c r="F275" s="1273"/>
      <c r="G275" s="1273"/>
      <c r="H275" s="1273"/>
      <c r="I275" s="1273"/>
      <c r="J275" s="1310"/>
      <c r="K275" s="1367"/>
      <c r="M275" s="1369">
        <f>IF(K155&lt;&gt;10%,SUM(G155-(C155*1.1),0))</f>
        <v>0</v>
      </c>
      <c r="Q275" s="1208"/>
      <c r="R275" s="1208"/>
      <c r="S275" s="1208"/>
    </row>
    <row r="276" spans="1:19" ht="15" hidden="1" customHeight="1" x14ac:dyDescent="0.2">
      <c r="A276" s="1365"/>
      <c r="B276" s="2788" t="s">
        <v>4221</v>
      </c>
      <c r="C276" s="2788"/>
      <c r="D276" s="2788"/>
      <c r="E276" s="2788"/>
      <c r="F276" s="2788"/>
      <c r="G276" s="2788"/>
      <c r="H276" s="2788"/>
      <c r="I276" s="2788"/>
      <c r="J276" s="2788"/>
      <c r="K276" s="2789"/>
      <c r="Q276" s="1208"/>
      <c r="R276" s="1208"/>
      <c r="S276" s="1208"/>
    </row>
    <row r="277" spans="1:19" ht="15" hidden="1" customHeight="1" x14ac:dyDescent="0.2">
      <c r="A277" s="1368" t="s">
        <v>4210</v>
      </c>
      <c r="B277" s="1368"/>
      <c r="C277" s="1310"/>
      <c r="D277" s="1285"/>
      <c r="E277" s="1273"/>
      <c r="F277" s="1273"/>
      <c r="G277" s="1273"/>
      <c r="H277" s="1273"/>
      <c r="I277" s="1273"/>
      <c r="J277" s="1310"/>
      <c r="K277" s="1367"/>
      <c r="M277" s="1369">
        <f>IF(K156&lt;&gt;10%,SUM(G156-(C156*1.1),0))</f>
        <v>0</v>
      </c>
      <c r="Q277" s="1208"/>
      <c r="R277" s="1208"/>
      <c r="S277" s="1208"/>
    </row>
    <row r="278" spans="1:19" ht="15" hidden="1" customHeight="1" x14ac:dyDescent="0.2">
      <c r="A278" s="1365"/>
      <c r="B278" s="2788" t="s">
        <v>4221</v>
      </c>
      <c r="C278" s="2788"/>
      <c r="D278" s="2788"/>
      <c r="E278" s="2788"/>
      <c r="F278" s="2788"/>
      <c r="G278" s="2788"/>
      <c r="H278" s="2788"/>
      <c r="I278" s="2788"/>
      <c r="J278" s="2788"/>
      <c r="K278" s="2789"/>
      <c r="Q278" s="1208"/>
      <c r="R278" s="1208"/>
      <c r="S278" s="1208"/>
    </row>
    <row r="279" spans="1:19" ht="15" hidden="1" customHeight="1" x14ac:dyDescent="0.2">
      <c r="A279" s="1368" t="s">
        <v>4211</v>
      </c>
      <c r="B279" s="1368"/>
      <c r="C279" s="1310"/>
      <c r="D279" s="1285"/>
      <c r="E279" s="1273"/>
      <c r="F279" s="1273"/>
      <c r="G279" s="1273"/>
      <c r="H279" s="1273"/>
      <c r="I279" s="1273"/>
      <c r="J279" s="1310"/>
      <c r="K279" s="1367"/>
      <c r="M279" s="1369">
        <f>IF(K159&lt;&gt;10%,SUM(G159-(C159*1.1),0))</f>
        <v>0</v>
      </c>
      <c r="Q279" s="1208"/>
      <c r="R279" s="1208"/>
      <c r="S279" s="1208"/>
    </row>
    <row r="280" spans="1:19" ht="15" hidden="1" customHeight="1" x14ac:dyDescent="0.2">
      <c r="A280" s="1365"/>
      <c r="B280" s="2788" t="s">
        <v>4221</v>
      </c>
      <c r="C280" s="2788"/>
      <c r="D280" s="2788"/>
      <c r="E280" s="2788"/>
      <c r="F280" s="2788"/>
      <c r="G280" s="2788"/>
      <c r="H280" s="2788"/>
      <c r="I280" s="2788"/>
      <c r="J280" s="2788"/>
      <c r="K280" s="2789"/>
      <c r="Q280" s="1208"/>
      <c r="R280" s="1208"/>
      <c r="S280" s="1208"/>
    </row>
    <row r="281" spans="1:19" ht="15" hidden="1" customHeight="1" x14ac:dyDescent="0.2">
      <c r="A281" s="1368" t="s">
        <v>4212</v>
      </c>
      <c r="B281" s="1368"/>
      <c r="C281" s="1310"/>
      <c r="D281" s="1285"/>
      <c r="E281" s="1273"/>
      <c r="F281" s="1273"/>
      <c r="G281" s="1273"/>
      <c r="H281" s="1273"/>
      <c r="I281" s="1273"/>
      <c r="J281" s="1310"/>
      <c r="K281" s="1367"/>
      <c r="M281" s="1369">
        <f>IF(K160&lt;&gt;10%,SUM(G160-(C160*1.1),0))</f>
        <v>3337384</v>
      </c>
      <c r="Q281" s="1208"/>
      <c r="R281" s="1208"/>
      <c r="S281" s="1208"/>
    </row>
    <row r="282" spans="1:19" ht="15" hidden="1" customHeight="1" x14ac:dyDescent="0.2">
      <c r="A282" s="1365"/>
      <c r="B282" s="2788" t="s">
        <v>4221</v>
      </c>
      <c r="C282" s="2788"/>
      <c r="D282" s="2788"/>
      <c r="E282" s="2788"/>
      <c r="F282" s="2788"/>
      <c r="G282" s="2788"/>
      <c r="H282" s="2788"/>
      <c r="I282" s="2788"/>
      <c r="J282" s="2788"/>
      <c r="K282" s="2789"/>
      <c r="Q282" s="1208"/>
      <c r="R282" s="1208"/>
      <c r="S282" s="1208"/>
    </row>
    <row r="283" spans="1:19" ht="15" hidden="1" customHeight="1" x14ac:dyDescent="0.2">
      <c r="A283" s="1368" t="s">
        <v>4213</v>
      </c>
      <c r="B283" s="1368"/>
      <c r="C283" s="1310"/>
      <c r="D283" s="1285"/>
      <c r="E283" s="1273"/>
      <c r="F283" s="1273"/>
      <c r="G283" s="1273"/>
      <c r="H283" s="1273"/>
      <c r="I283" s="1273"/>
      <c r="J283" s="1310"/>
      <c r="K283" s="1367"/>
      <c r="M283" s="1369">
        <f>IF(K161&lt;&gt;10%,SUM(G161-(C161*1.1),0))</f>
        <v>0</v>
      </c>
      <c r="Q283" s="1208"/>
      <c r="R283" s="1208"/>
      <c r="S283" s="1208"/>
    </row>
    <row r="284" spans="1:19" ht="15" hidden="1" customHeight="1" x14ac:dyDescent="0.2">
      <c r="A284" s="1365"/>
      <c r="B284" s="2788" t="s">
        <v>4221</v>
      </c>
      <c r="C284" s="2788"/>
      <c r="D284" s="2788"/>
      <c r="E284" s="2788"/>
      <c r="F284" s="2788"/>
      <c r="G284" s="2788"/>
      <c r="H284" s="2788"/>
      <c r="I284" s="2788"/>
      <c r="J284" s="2788"/>
      <c r="K284" s="2789"/>
      <c r="Q284" s="1208"/>
      <c r="R284" s="1208"/>
      <c r="S284" s="1208"/>
    </row>
    <row r="285" spans="1:19" ht="15" hidden="1" customHeight="1" x14ac:dyDescent="0.2">
      <c r="A285" s="1368" t="s">
        <v>4214</v>
      </c>
      <c r="B285" s="1368"/>
      <c r="C285" s="1310"/>
      <c r="D285" s="1285"/>
      <c r="E285" s="1273"/>
      <c r="F285" s="1273"/>
      <c r="G285" s="1273"/>
      <c r="H285" s="1273"/>
      <c r="I285" s="1273"/>
      <c r="J285" s="1310"/>
      <c r="K285" s="1367"/>
      <c r="M285" s="1369">
        <f>IF(K163&lt;&gt;10%,SUM(G163-(C163*1.1),0))</f>
        <v>-2073970.2400000002</v>
      </c>
      <c r="Q285" s="1208"/>
      <c r="R285" s="1208"/>
      <c r="S285" s="1208"/>
    </row>
    <row r="286" spans="1:19" ht="15" hidden="1" customHeight="1" x14ac:dyDescent="0.2">
      <c r="A286" s="1365"/>
      <c r="B286" s="2788" t="s">
        <v>4221</v>
      </c>
      <c r="C286" s="2788"/>
      <c r="D286" s="2788"/>
      <c r="E286" s="2788"/>
      <c r="F286" s="2788"/>
      <c r="G286" s="2788"/>
      <c r="H286" s="2788"/>
      <c r="I286" s="2788"/>
      <c r="J286" s="2788"/>
      <c r="K286" s="2789"/>
      <c r="Q286" s="1208"/>
      <c r="R286" s="1208"/>
      <c r="S286" s="1208"/>
    </row>
    <row r="287" spans="1:19" ht="15" customHeight="1" thickBot="1" x14ac:dyDescent="0.25">
      <c r="A287" s="1366"/>
      <c r="B287" s="1361"/>
      <c r="C287" s="1364"/>
      <c r="D287" s="1364"/>
      <c r="E287" s="1361"/>
      <c r="F287" s="1361"/>
      <c r="G287" s="1361"/>
      <c r="H287" s="1361"/>
      <c r="I287" s="1361"/>
      <c r="J287" s="1361"/>
      <c r="K287" s="1362"/>
      <c r="Q287" s="1208"/>
      <c r="R287" s="1208"/>
      <c r="S287" s="1208"/>
    </row>
    <row r="288" spans="1:19" ht="15" customHeight="1" x14ac:dyDescent="0.25">
      <c r="A288" s="300"/>
      <c r="B288" s="1133"/>
      <c r="C288" s="297"/>
      <c r="D288" s="297"/>
      <c r="E288" s="1133"/>
      <c r="F288" s="1208"/>
      <c r="G288" s="1208"/>
      <c r="H288" s="1208"/>
      <c r="I288" s="1208"/>
      <c r="J288" s="1208"/>
      <c r="K288" s="1208"/>
      <c r="Q288" s="48"/>
      <c r="S288" s="48"/>
    </row>
    <row r="289" spans="1:19" ht="15" customHeight="1" x14ac:dyDescent="0.25">
      <c r="A289" s="1133"/>
      <c r="B289" s="1331" t="str">
        <f>PriorYear</f>
        <v>30 June 2011</v>
      </c>
      <c r="C289" s="301"/>
      <c r="D289" s="302"/>
      <c r="E289" s="1273"/>
      <c r="F289" s="1273"/>
      <c r="G289" s="1273"/>
      <c r="H289" s="1273"/>
      <c r="I289" s="1273"/>
      <c r="J289" s="1273"/>
      <c r="K289" s="1274"/>
      <c r="Q289" s="48"/>
      <c r="S289" s="48"/>
    </row>
    <row r="290" spans="1:19" ht="15" customHeight="1" thickBot="1" x14ac:dyDescent="0.3">
      <c r="A290" s="300"/>
      <c r="B290" s="1133"/>
      <c r="C290" s="297"/>
      <c r="D290" s="297"/>
      <c r="E290" s="1133"/>
      <c r="F290" s="1208"/>
      <c r="G290" s="1208"/>
      <c r="H290" s="1208"/>
      <c r="I290" s="1208"/>
      <c r="J290" s="1208"/>
      <c r="K290" s="1208"/>
      <c r="Q290" s="48"/>
      <c r="S290" s="48"/>
    </row>
    <row r="291" spans="1:19" ht="15" customHeight="1" x14ac:dyDescent="0.2">
      <c r="A291" s="2824" t="s">
        <v>7</v>
      </c>
      <c r="B291" s="2825"/>
      <c r="C291" s="2649" t="s">
        <v>260</v>
      </c>
      <c r="D291" s="2650" t="s">
        <v>243</v>
      </c>
      <c r="E291" s="2830" t="s">
        <v>4097</v>
      </c>
      <c r="F291" s="2651" t="s">
        <v>4098</v>
      </c>
      <c r="G291" s="2652" t="s">
        <v>240</v>
      </c>
      <c r="H291" s="2653" t="s">
        <v>4099</v>
      </c>
      <c r="I291" s="2830" t="s">
        <v>217</v>
      </c>
      <c r="J291" s="2653" t="s">
        <v>4100</v>
      </c>
      <c r="K291" s="2654" t="s">
        <v>4100</v>
      </c>
      <c r="Q291" s="1208"/>
      <c r="R291" s="1208"/>
      <c r="S291" s="1208"/>
    </row>
    <row r="292" spans="1:19" ht="15" customHeight="1" x14ac:dyDescent="0.2">
      <c r="A292" s="2826"/>
      <c r="B292" s="2827"/>
      <c r="C292" s="2655" t="s">
        <v>234</v>
      </c>
      <c r="D292" s="2656"/>
      <c r="E292" s="2831"/>
      <c r="F292" s="2657"/>
      <c r="G292" s="2657"/>
      <c r="H292" s="2658"/>
      <c r="I292" s="2831"/>
      <c r="J292" s="2658" t="s">
        <v>4101</v>
      </c>
      <c r="K292" s="2659" t="s">
        <v>4101</v>
      </c>
      <c r="Q292" s="1208"/>
      <c r="R292" s="1208"/>
      <c r="S292" s="1208"/>
    </row>
    <row r="293" spans="1:19" ht="15" customHeight="1" thickBot="1" x14ac:dyDescent="0.25">
      <c r="A293" s="2828"/>
      <c r="B293" s="2829"/>
      <c r="C293" s="2660" t="s">
        <v>243</v>
      </c>
      <c r="D293" s="2661" t="s">
        <v>4102</v>
      </c>
      <c r="E293" s="2832"/>
      <c r="F293" s="2662" t="s">
        <v>243</v>
      </c>
      <c r="G293" s="2662" t="s">
        <v>4103</v>
      </c>
      <c r="H293" s="2663" t="s">
        <v>242</v>
      </c>
      <c r="I293" s="2832"/>
      <c r="J293" s="2663" t="s">
        <v>4104</v>
      </c>
      <c r="K293" s="2664" t="s">
        <v>4105</v>
      </c>
      <c r="Q293" s="1208"/>
      <c r="R293" s="1208"/>
      <c r="S293" s="1208"/>
    </row>
    <row r="294" spans="1:19" ht="15" customHeight="1" x14ac:dyDescent="0.25">
      <c r="A294" s="1275"/>
      <c r="B294" s="1276"/>
      <c r="C294" s="303" t="s">
        <v>255</v>
      </c>
      <c r="D294" s="303" t="s">
        <v>255</v>
      </c>
      <c r="E294" s="303" t="s">
        <v>255</v>
      </c>
      <c r="F294" s="303" t="s">
        <v>255</v>
      </c>
      <c r="G294" s="303" t="s">
        <v>255</v>
      </c>
      <c r="H294" s="303" t="s">
        <v>255</v>
      </c>
      <c r="I294" s="303" t="s">
        <v>255</v>
      </c>
      <c r="J294" s="303" t="s">
        <v>255</v>
      </c>
      <c r="K294" s="313" t="s">
        <v>255</v>
      </c>
      <c r="Q294" s="48"/>
      <c r="S294" s="48"/>
    </row>
    <row r="295" spans="1:19" ht="15" customHeight="1" x14ac:dyDescent="0.25">
      <c r="A295" s="315" t="s">
        <v>4117</v>
      </c>
      <c r="B295" s="1112"/>
      <c r="C295" s="1288"/>
      <c r="D295" s="1289"/>
      <c r="E295" s="1286"/>
      <c r="F295" s="1286"/>
      <c r="G295" s="1287"/>
      <c r="H295" s="1287"/>
      <c r="I295" s="1287"/>
      <c r="J295" s="1324"/>
      <c r="K295" s="1325"/>
      <c r="Q295" s="48"/>
      <c r="S295" s="48"/>
    </row>
    <row r="296" spans="1:19" ht="15" customHeight="1" x14ac:dyDescent="0.25">
      <c r="A296" s="315" t="s">
        <v>400</v>
      </c>
      <c r="B296" s="1112"/>
      <c r="C296" s="1288"/>
      <c r="D296" s="1289"/>
      <c r="E296" s="1286"/>
      <c r="F296" s="1286"/>
      <c r="G296" s="1287"/>
      <c r="H296" s="1287"/>
      <c r="I296" s="1287"/>
      <c r="J296" s="1324"/>
      <c r="K296" s="1325"/>
      <c r="Q296" s="48"/>
      <c r="S296" s="48"/>
    </row>
    <row r="297" spans="1:19" ht="15" customHeight="1" x14ac:dyDescent="0.25">
      <c r="A297" s="1283" t="s">
        <v>4219</v>
      </c>
      <c r="B297" s="1112"/>
      <c r="C297" s="1288">
        <v>0</v>
      </c>
      <c r="D297" s="1289">
        <f t="shared" ref="D297:D305" si="119">F297-E297-C297</f>
        <v>0</v>
      </c>
      <c r="E297" s="1286">
        <v>0</v>
      </c>
      <c r="F297" s="1286">
        <f>'Fin Pos'!B10</f>
        <v>0</v>
      </c>
      <c r="G297" s="1287">
        <f>'Fin Pos'!L10</f>
        <v>511904</v>
      </c>
      <c r="H297" s="1287">
        <v>0</v>
      </c>
      <c r="I297" s="1287">
        <f>G297-F297</f>
        <v>511904</v>
      </c>
      <c r="J297" s="1324">
        <f t="shared" ref="J297" si="120">IF(AND((F297&gt;0),(G297&gt;0)),(SUM(G297/F297)*100),0)</f>
        <v>0</v>
      </c>
      <c r="K297" s="1325">
        <f t="shared" ref="K297:K305" si="121">IF(AND((C297&gt;0),(G297&gt;0)),(SUM(G297/C297)*100),0)</f>
        <v>0</v>
      </c>
      <c r="Q297" s="48"/>
      <c r="S297" s="48"/>
    </row>
    <row r="298" spans="1:19" ht="15" customHeight="1" x14ac:dyDescent="0.25">
      <c r="A298" s="1283" t="s">
        <v>1460</v>
      </c>
      <c r="B298" s="1112"/>
      <c r="C298" s="1288">
        <v>0</v>
      </c>
      <c r="D298" s="1289">
        <f t="shared" si="119"/>
        <v>0</v>
      </c>
      <c r="E298" s="1286">
        <v>0</v>
      </c>
      <c r="F298" s="1286">
        <f>'Fin Pos'!B11</f>
        <v>0</v>
      </c>
      <c r="G298" s="1287">
        <f>'Fin Pos'!L11</f>
        <v>4215670</v>
      </c>
      <c r="H298" s="1287">
        <v>0</v>
      </c>
      <c r="I298" s="1287">
        <f t="shared" ref="I298:I305" si="122">G298-F298</f>
        <v>4215670</v>
      </c>
      <c r="J298" s="1324">
        <f t="shared" ref="J298:J305" si="123">IF(AND((F298&gt;0),(G298&gt;0)),(SUM(G298/F298)*100),0)</f>
        <v>0</v>
      </c>
      <c r="K298" s="1325">
        <f t="shared" si="121"/>
        <v>0</v>
      </c>
      <c r="Q298" s="48"/>
      <c r="S298" s="48"/>
    </row>
    <row r="299" spans="1:19" ht="15" customHeight="1" x14ac:dyDescent="0.25">
      <c r="A299" s="1283" t="s">
        <v>3969</v>
      </c>
      <c r="B299" s="1112"/>
      <c r="C299" s="1288">
        <v>0</v>
      </c>
      <c r="D299" s="1289">
        <f t="shared" si="119"/>
        <v>0</v>
      </c>
      <c r="E299" s="1286">
        <v>0</v>
      </c>
      <c r="F299" s="1286">
        <f>'Fin Pos'!B12</f>
        <v>0</v>
      </c>
      <c r="G299" s="1287">
        <f>'Fin Pos'!L12</f>
        <v>5886949.312715169</v>
      </c>
      <c r="H299" s="1287">
        <v>0</v>
      </c>
      <c r="I299" s="1287">
        <f t="shared" si="122"/>
        <v>5886949.312715169</v>
      </c>
      <c r="J299" s="1324">
        <f t="shared" si="123"/>
        <v>0</v>
      </c>
      <c r="K299" s="1325">
        <f t="shared" si="121"/>
        <v>0</v>
      </c>
      <c r="Q299" s="48"/>
      <c r="S299" s="48"/>
    </row>
    <row r="300" spans="1:19" ht="15" customHeight="1" x14ac:dyDescent="0.25">
      <c r="A300" s="1283" t="s">
        <v>3970</v>
      </c>
      <c r="B300" s="1112"/>
      <c r="C300" s="1288">
        <v>0</v>
      </c>
      <c r="D300" s="1289">
        <f t="shared" si="119"/>
        <v>0</v>
      </c>
      <c r="E300" s="1286">
        <v>0</v>
      </c>
      <c r="F300" s="1286">
        <f>'Fin Pos'!B13</f>
        <v>0</v>
      </c>
      <c r="G300" s="1287">
        <f>'Fin Pos'!L13</f>
        <v>4126580.5</v>
      </c>
      <c r="H300" s="1287">
        <v>0</v>
      </c>
      <c r="I300" s="1287">
        <f t="shared" si="122"/>
        <v>4126580.5</v>
      </c>
      <c r="J300" s="1324">
        <f t="shared" si="123"/>
        <v>0</v>
      </c>
      <c r="K300" s="1325">
        <f t="shared" si="121"/>
        <v>0</v>
      </c>
      <c r="Q300" s="48"/>
      <c r="S300" s="48"/>
    </row>
    <row r="301" spans="1:19" ht="15" customHeight="1" x14ac:dyDescent="0.25">
      <c r="A301" s="1283" t="s">
        <v>1156</v>
      </c>
      <c r="B301" s="1112"/>
      <c r="C301" s="1288">
        <v>0</v>
      </c>
      <c r="D301" s="1289">
        <f t="shared" si="119"/>
        <v>0</v>
      </c>
      <c r="E301" s="1286">
        <v>0</v>
      </c>
      <c r="F301" s="1286">
        <f>'Fin Pos'!B15</f>
        <v>0</v>
      </c>
      <c r="G301" s="1287">
        <f>'Fin Pos'!L15</f>
        <v>15183263.100000001</v>
      </c>
      <c r="H301" s="1287">
        <v>0</v>
      </c>
      <c r="I301" s="1287">
        <f t="shared" si="122"/>
        <v>15183263.100000001</v>
      </c>
      <c r="J301" s="1324">
        <f t="shared" si="123"/>
        <v>0</v>
      </c>
      <c r="K301" s="1325">
        <f t="shared" si="121"/>
        <v>0</v>
      </c>
      <c r="Q301" s="48"/>
      <c r="S301" s="48"/>
    </row>
    <row r="302" spans="1:19" ht="15" customHeight="1" x14ac:dyDescent="0.25">
      <c r="A302" s="1283" t="s">
        <v>4217</v>
      </c>
      <c r="B302" s="1112"/>
      <c r="C302" s="1288">
        <v>0</v>
      </c>
      <c r="D302" s="1289">
        <f t="shared" si="119"/>
        <v>0</v>
      </c>
      <c r="E302" s="1286">
        <v>0</v>
      </c>
      <c r="F302" s="1286">
        <f>'Fin Pos'!B16</f>
        <v>0</v>
      </c>
      <c r="G302" s="1287">
        <f>'Fin Pos'!L16</f>
        <v>512874.01</v>
      </c>
      <c r="H302" s="1287">
        <v>0</v>
      </c>
      <c r="I302" s="1287">
        <f t="shared" si="122"/>
        <v>512874.01</v>
      </c>
      <c r="J302" s="1324">
        <f t="shared" si="123"/>
        <v>0</v>
      </c>
      <c r="K302" s="1325">
        <f t="shared" si="121"/>
        <v>0</v>
      </c>
      <c r="Q302" s="48"/>
      <c r="S302" s="48"/>
    </row>
    <row r="303" spans="1:19" ht="15" customHeight="1" x14ac:dyDescent="0.25">
      <c r="A303" s="1283" t="s">
        <v>665</v>
      </c>
      <c r="B303" s="1112"/>
      <c r="C303" s="1288">
        <v>0</v>
      </c>
      <c r="D303" s="1289">
        <f t="shared" si="119"/>
        <v>0</v>
      </c>
      <c r="E303" s="1286">
        <v>0</v>
      </c>
      <c r="F303" s="1286">
        <f>'Fin Pos'!B17</f>
        <v>0</v>
      </c>
      <c r="G303" s="1287">
        <f>'Fin Pos'!L14</f>
        <v>1156845.1300000001</v>
      </c>
      <c r="H303" s="1287">
        <v>0</v>
      </c>
      <c r="I303" s="1287">
        <f t="shared" si="122"/>
        <v>1156845.1300000001</v>
      </c>
      <c r="J303" s="1324">
        <f t="shared" si="123"/>
        <v>0</v>
      </c>
      <c r="K303" s="1325">
        <f t="shared" si="121"/>
        <v>0</v>
      </c>
      <c r="Q303" s="48"/>
      <c r="S303" s="48"/>
    </row>
    <row r="304" spans="1:19" ht="15" customHeight="1" x14ac:dyDescent="0.25">
      <c r="A304" s="1283" t="s">
        <v>785</v>
      </c>
      <c r="B304" s="1112"/>
      <c r="C304" s="1288">
        <v>0</v>
      </c>
      <c r="D304" s="1289">
        <f t="shared" si="119"/>
        <v>0</v>
      </c>
      <c r="E304" s="1286">
        <v>0</v>
      </c>
      <c r="F304" s="1286">
        <f>'Fin Pos'!B18</f>
        <v>0</v>
      </c>
      <c r="G304" s="1287">
        <f>'Fin Pos'!L18</f>
        <v>0</v>
      </c>
      <c r="H304" s="1287">
        <v>0</v>
      </c>
      <c r="I304" s="1287">
        <f t="shared" si="122"/>
        <v>0</v>
      </c>
      <c r="J304" s="1324">
        <f t="shared" si="123"/>
        <v>0</v>
      </c>
      <c r="K304" s="1325">
        <f t="shared" si="121"/>
        <v>0</v>
      </c>
      <c r="Q304" s="48"/>
      <c r="S304" s="48"/>
    </row>
    <row r="305" spans="1:19" ht="15" customHeight="1" x14ac:dyDescent="0.25">
      <c r="A305" s="1283" t="s">
        <v>442</v>
      </c>
      <c r="B305" s="1112"/>
      <c r="C305" s="1288">
        <v>0</v>
      </c>
      <c r="D305" s="1289">
        <f t="shared" si="119"/>
        <v>0</v>
      </c>
      <c r="E305" s="1286">
        <v>0</v>
      </c>
      <c r="F305" s="1286">
        <f>'Fin Pos'!B19</f>
        <v>0</v>
      </c>
      <c r="G305" s="1287">
        <f>'Fin Pos'!L19</f>
        <v>0</v>
      </c>
      <c r="H305" s="1287">
        <v>0</v>
      </c>
      <c r="I305" s="1287">
        <f t="shared" si="122"/>
        <v>0</v>
      </c>
      <c r="J305" s="1324">
        <f t="shared" si="123"/>
        <v>0</v>
      </c>
      <c r="K305" s="1325">
        <f t="shared" si="121"/>
        <v>0</v>
      </c>
      <c r="Q305" s="48"/>
      <c r="S305" s="48"/>
    </row>
    <row r="306" spans="1:19" ht="15" customHeight="1" x14ac:dyDescent="0.25">
      <c r="A306" s="1283"/>
      <c r="B306" s="1112"/>
      <c r="C306" s="1288"/>
      <c r="D306" s="1289"/>
      <c r="E306" s="1286"/>
      <c r="F306" s="1286"/>
      <c r="G306" s="1287"/>
      <c r="H306" s="1287"/>
      <c r="I306" s="1287"/>
      <c r="J306" s="1324"/>
      <c r="K306" s="1325"/>
      <c r="Q306" s="48"/>
      <c r="S306" s="48"/>
    </row>
    <row r="307" spans="1:19" ht="15" customHeight="1" x14ac:dyDescent="0.25">
      <c r="A307" s="315" t="s">
        <v>397</v>
      </c>
      <c r="B307" s="1112"/>
      <c r="C307" s="1288"/>
      <c r="D307" s="1289"/>
      <c r="E307" s="1286"/>
      <c r="F307" s="1286"/>
      <c r="G307" s="1287"/>
      <c r="H307" s="1287"/>
      <c r="I307" s="1287"/>
      <c r="J307" s="1324"/>
      <c r="K307" s="1325"/>
      <c r="Q307" s="48"/>
      <c r="S307" s="48"/>
    </row>
    <row r="308" spans="1:19" ht="15" customHeight="1" x14ac:dyDescent="0.25">
      <c r="A308" s="1283" t="s">
        <v>398</v>
      </c>
      <c r="B308" s="1112"/>
      <c r="C308" s="1288">
        <v>0</v>
      </c>
      <c r="D308" s="1289">
        <f t="shared" ref="D308:D316" si="124">F308-E308-C308</f>
        <v>0</v>
      </c>
      <c r="E308" s="1286">
        <v>0</v>
      </c>
      <c r="F308" s="1286">
        <f>'Fin Pos'!B22</f>
        <v>0</v>
      </c>
      <c r="G308" s="1287">
        <f>'Fin Pos'!L22</f>
        <v>309452918.97000003</v>
      </c>
      <c r="H308" s="1287">
        <v>0</v>
      </c>
      <c r="I308" s="1287">
        <f t="shared" ref="I308:I316" si="125">G308-F308</f>
        <v>309452918.97000003</v>
      </c>
      <c r="J308" s="1324">
        <f t="shared" ref="J308:J316" si="126">IF(AND((F308&gt;0),(G308&gt;0)),(SUM(G308/F308)*100),0)</f>
        <v>0</v>
      </c>
      <c r="K308" s="1325">
        <f t="shared" ref="K308:K316" si="127">IF(AND((C308&gt;0),(G308&gt;0)),(SUM(G308/C308)*100),0)</f>
        <v>0</v>
      </c>
      <c r="Q308" s="48"/>
      <c r="S308" s="48"/>
    </row>
    <row r="309" spans="1:19" ht="15" customHeight="1" x14ac:dyDescent="0.25">
      <c r="A309" s="1283" t="s">
        <v>733</v>
      </c>
      <c r="B309" s="1112"/>
      <c r="C309" s="1288">
        <v>0</v>
      </c>
      <c r="D309" s="1289">
        <f t="shared" si="124"/>
        <v>0</v>
      </c>
      <c r="E309" s="1286">
        <v>0</v>
      </c>
      <c r="F309" s="1286">
        <f>'Fin Pos'!B23</f>
        <v>0</v>
      </c>
      <c r="G309" s="1287">
        <f>'Fin Pos'!L23</f>
        <v>534123.09</v>
      </c>
      <c r="H309" s="1287">
        <v>0</v>
      </c>
      <c r="I309" s="1287">
        <f t="shared" si="125"/>
        <v>534123.09</v>
      </c>
      <c r="J309" s="1324">
        <f t="shared" si="126"/>
        <v>0</v>
      </c>
      <c r="K309" s="1325">
        <f t="shared" si="127"/>
        <v>0</v>
      </c>
      <c r="Q309" s="48"/>
      <c r="S309" s="48"/>
    </row>
    <row r="310" spans="1:19" ht="15" customHeight="1" x14ac:dyDescent="0.25">
      <c r="A310" s="1283" t="s">
        <v>441</v>
      </c>
      <c r="B310" s="1112"/>
      <c r="C310" s="1288">
        <v>0</v>
      </c>
      <c r="D310" s="1289">
        <f t="shared" si="124"/>
        <v>0</v>
      </c>
      <c r="E310" s="1286">
        <v>0</v>
      </c>
      <c r="F310" s="1286">
        <f>'Fin Pos'!B24</f>
        <v>0</v>
      </c>
      <c r="G310" s="1287">
        <f>'Fin Pos'!L24</f>
        <v>20519205</v>
      </c>
      <c r="H310" s="1287">
        <v>0</v>
      </c>
      <c r="I310" s="1287">
        <f t="shared" si="125"/>
        <v>20519205</v>
      </c>
      <c r="J310" s="1324">
        <f t="shared" si="126"/>
        <v>0</v>
      </c>
      <c r="K310" s="1325">
        <f t="shared" si="127"/>
        <v>0</v>
      </c>
      <c r="Q310" s="48"/>
      <c r="S310" s="48"/>
    </row>
    <row r="311" spans="1:19" ht="15" customHeight="1" x14ac:dyDescent="0.25">
      <c r="A311" s="1283" t="s">
        <v>78</v>
      </c>
      <c r="B311" s="1112"/>
      <c r="C311" s="1288">
        <v>0</v>
      </c>
      <c r="D311" s="1289">
        <f t="shared" si="124"/>
        <v>0</v>
      </c>
      <c r="E311" s="1286">
        <v>0</v>
      </c>
      <c r="F311" s="1286">
        <f>'Fin Pos'!B25</f>
        <v>0</v>
      </c>
      <c r="G311" s="1287">
        <f>'Fin Pos'!L25</f>
        <v>0</v>
      </c>
      <c r="H311" s="1287">
        <v>0</v>
      </c>
      <c r="I311" s="1287">
        <f t="shared" si="125"/>
        <v>0</v>
      </c>
      <c r="J311" s="1324">
        <f t="shared" si="126"/>
        <v>0</v>
      </c>
      <c r="K311" s="1325">
        <f t="shared" si="127"/>
        <v>0</v>
      </c>
      <c r="Q311" s="48"/>
      <c r="S311" s="48"/>
    </row>
    <row r="312" spans="1:19" ht="15" customHeight="1" x14ac:dyDescent="0.25">
      <c r="A312" s="1283" t="s">
        <v>1627</v>
      </c>
      <c r="B312" s="1112"/>
      <c r="C312" s="1288">
        <v>0</v>
      </c>
      <c r="D312" s="1289">
        <f t="shared" si="124"/>
        <v>0</v>
      </c>
      <c r="E312" s="1286">
        <v>0</v>
      </c>
      <c r="F312" s="1286">
        <f>'Fin Pos'!B26</f>
        <v>0</v>
      </c>
      <c r="G312" s="1287">
        <f>'Fin Pos'!L26</f>
        <v>585000</v>
      </c>
      <c r="H312" s="1287">
        <v>0</v>
      </c>
      <c r="I312" s="1287">
        <f t="shared" si="125"/>
        <v>585000</v>
      </c>
      <c r="J312" s="1324">
        <f t="shared" si="126"/>
        <v>0</v>
      </c>
      <c r="K312" s="1325">
        <f t="shared" si="127"/>
        <v>0</v>
      </c>
      <c r="Q312" s="48"/>
      <c r="S312" s="48"/>
    </row>
    <row r="313" spans="1:19" ht="15" customHeight="1" x14ac:dyDescent="0.25">
      <c r="A313" s="1283" t="s">
        <v>1450</v>
      </c>
      <c r="B313" s="1112"/>
      <c r="C313" s="1288">
        <v>0</v>
      </c>
      <c r="D313" s="1289">
        <f t="shared" si="124"/>
        <v>0</v>
      </c>
      <c r="E313" s="1286">
        <v>0</v>
      </c>
      <c r="F313" s="1286">
        <f>'Fin Pos'!B27</f>
        <v>0</v>
      </c>
      <c r="G313" s="1287">
        <f>'Fin Pos'!L27</f>
        <v>95825.5</v>
      </c>
      <c r="H313" s="1287">
        <v>0</v>
      </c>
      <c r="I313" s="1287">
        <f t="shared" si="125"/>
        <v>95825.5</v>
      </c>
      <c r="J313" s="1324">
        <f t="shared" si="126"/>
        <v>0</v>
      </c>
      <c r="K313" s="1325">
        <f t="shared" si="127"/>
        <v>0</v>
      </c>
      <c r="Q313" s="48"/>
      <c r="S313" s="48"/>
    </row>
    <row r="314" spans="1:19" ht="15" customHeight="1" x14ac:dyDescent="0.25">
      <c r="A314" s="1283" t="s">
        <v>782</v>
      </c>
      <c r="B314" s="1112"/>
      <c r="C314" s="1288">
        <v>0</v>
      </c>
      <c r="D314" s="1289">
        <f t="shared" si="124"/>
        <v>0</v>
      </c>
      <c r="E314" s="1286">
        <v>0</v>
      </c>
      <c r="F314" s="1286">
        <f>'Fin Pos'!B28</f>
        <v>0</v>
      </c>
      <c r="G314" s="1287">
        <f>'Fin Pos'!L28</f>
        <v>0</v>
      </c>
      <c r="H314" s="1287">
        <v>0</v>
      </c>
      <c r="I314" s="1287">
        <f t="shared" si="125"/>
        <v>0</v>
      </c>
      <c r="J314" s="1324">
        <f t="shared" si="126"/>
        <v>0</v>
      </c>
      <c r="K314" s="1325">
        <f t="shared" si="127"/>
        <v>0</v>
      </c>
      <c r="Q314" s="48"/>
      <c r="S314" s="48"/>
    </row>
    <row r="315" spans="1:19" ht="15" customHeight="1" x14ac:dyDescent="0.25">
      <c r="A315" s="1283" t="s">
        <v>783</v>
      </c>
      <c r="B315" s="1112"/>
      <c r="C315" s="1288">
        <v>0</v>
      </c>
      <c r="D315" s="1289">
        <f t="shared" si="124"/>
        <v>0</v>
      </c>
      <c r="E315" s="1286">
        <v>0</v>
      </c>
      <c r="F315" s="1286">
        <f>'Fin Pos'!B29</f>
        <v>0</v>
      </c>
      <c r="G315" s="1287">
        <f>'Fin Pos'!L29</f>
        <v>0</v>
      </c>
      <c r="H315" s="1287">
        <v>0</v>
      </c>
      <c r="I315" s="1287">
        <f t="shared" si="125"/>
        <v>0</v>
      </c>
      <c r="J315" s="1324">
        <f t="shared" si="126"/>
        <v>0</v>
      </c>
      <c r="K315" s="1325">
        <f t="shared" si="127"/>
        <v>0</v>
      </c>
      <c r="Q315" s="48"/>
      <c r="S315" s="48"/>
    </row>
    <row r="316" spans="1:19" ht="15" customHeight="1" x14ac:dyDescent="0.25">
      <c r="A316" s="1283" t="s">
        <v>399</v>
      </c>
      <c r="B316" s="1112"/>
      <c r="C316" s="1288">
        <v>0</v>
      </c>
      <c r="D316" s="1289">
        <f t="shared" si="124"/>
        <v>0</v>
      </c>
      <c r="E316" s="1286">
        <v>0</v>
      </c>
      <c r="F316" s="1286">
        <f>'Fin Pos'!B30</f>
        <v>0</v>
      </c>
      <c r="G316" s="1287">
        <f>'Fin Pos'!L30</f>
        <v>0</v>
      </c>
      <c r="H316" s="1287">
        <v>0</v>
      </c>
      <c r="I316" s="1287">
        <f t="shared" si="125"/>
        <v>0</v>
      </c>
      <c r="J316" s="1324">
        <f t="shared" si="126"/>
        <v>0</v>
      </c>
      <c r="K316" s="1325">
        <f t="shared" si="127"/>
        <v>0</v>
      </c>
      <c r="Q316" s="48"/>
      <c r="S316" s="48"/>
    </row>
    <row r="317" spans="1:19" ht="15" customHeight="1" x14ac:dyDescent="0.25">
      <c r="A317" s="1283"/>
      <c r="B317" s="1112"/>
      <c r="C317" s="1288"/>
      <c r="D317" s="1289"/>
      <c r="E317" s="1286"/>
      <c r="F317" s="1286"/>
      <c r="G317" s="1287"/>
      <c r="H317" s="1287"/>
      <c r="I317" s="1287"/>
      <c r="J317" s="1324"/>
      <c r="K317" s="1325"/>
      <c r="Q317" s="48"/>
      <c r="S317" s="48"/>
    </row>
    <row r="318" spans="1:19" ht="15" customHeight="1" x14ac:dyDescent="0.25">
      <c r="A318" s="315" t="s">
        <v>64</v>
      </c>
      <c r="B318" s="1112"/>
      <c r="C318" s="1290">
        <f>SUM(C296:C317)</f>
        <v>0</v>
      </c>
      <c r="D318" s="1290">
        <f t="shared" ref="D318:I318" si="128">SUM(D296:D317)</f>
        <v>0</v>
      </c>
      <c r="E318" s="1290">
        <f t="shared" si="128"/>
        <v>0</v>
      </c>
      <c r="F318" s="1290">
        <f t="shared" si="128"/>
        <v>0</v>
      </c>
      <c r="G318" s="1290">
        <f t="shared" si="128"/>
        <v>362781158.61271518</v>
      </c>
      <c r="H318" s="1290">
        <f t="shared" si="128"/>
        <v>0</v>
      </c>
      <c r="I318" s="1290">
        <f t="shared" si="128"/>
        <v>362781158.61271518</v>
      </c>
      <c r="J318" s="1326">
        <f t="shared" ref="J318" si="129">IF(AND((F318&gt;0),(G318&gt;0)),(SUM(G318/F318)*100),0)</f>
        <v>0</v>
      </c>
      <c r="K318" s="1327">
        <f t="shared" ref="K318" si="130">IF(AND((C318&gt;0),(G318&gt;0)),(SUM(G318/C318)*100),0)</f>
        <v>0</v>
      </c>
      <c r="Q318" s="48"/>
      <c r="S318" s="48"/>
    </row>
    <row r="319" spans="1:19" ht="15" customHeight="1" x14ac:dyDescent="0.25">
      <c r="A319" s="1283"/>
      <c r="B319" s="1112"/>
      <c r="C319" s="1288"/>
      <c r="D319" s="1289"/>
      <c r="E319" s="1286"/>
      <c r="F319" s="1286"/>
      <c r="G319" s="1287"/>
      <c r="H319" s="1287"/>
      <c r="I319" s="1287"/>
      <c r="J319" s="1324"/>
      <c r="K319" s="1325"/>
      <c r="Q319" s="48"/>
      <c r="S319" s="48"/>
    </row>
    <row r="320" spans="1:19" ht="15" customHeight="1" x14ac:dyDescent="0.25">
      <c r="A320" s="315" t="s">
        <v>392</v>
      </c>
      <c r="B320" s="1112"/>
      <c r="C320" s="1288"/>
      <c r="D320" s="1289"/>
      <c r="E320" s="1286"/>
      <c r="F320" s="1286"/>
      <c r="G320" s="1287"/>
      <c r="H320" s="1287"/>
      <c r="I320" s="1287"/>
      <c r="J320" s="1324"/>
      <c r="K320" s="1325"/>
      <c r="Q320" s="48"/>
      <c r="S320" s="48"/>
    </row>
    <row r="321" spans="1:19" ht="15" customHeight="1" x14ac:dyDescent="0.25">
      <c r="A321" s="1283" t="s">
        <v>393</v>
      </c>
      <c r="B321" s="1112"/>
      <c r="C321" s="1288">
        <v>0</v>
      </c>
      <c r="D321" s="1289">
        <f t="shared" ref="D321:D330" si="131">F321-E321-C321</f>
        <v>0</v>
      </c>
      <c r="E321" s="1286">
        <v>0</v>
      </c>
      <c r="F321" s="1286">
        <f>'Fin Pos'!B37</f>
        <v>0</v>
      </c>
      <c r="G321" s="1287">
        <f>'Fin Pos'!L37</f>
        <v>163971.03999999998</v>
      </c>
      <c r="H321" s="1287">
        <v>0</v>
      </c>
      <c r="I321" s="1287">
        <f>G321-F321</f>
        <v>163971.03999999998</v>
      </c>
      <c r="J321" s="1324">
        <f t="shared" ref="J321:J330" si="132">IF(AND((F321&gt;0),(G321&gt;0)),(SUM(G321/F321)*100),0)</f>
        <v>0</v>
      </c>
      <c r="K321" s="1325">
        <f t="shared" ref="K321:K330" si="133">IF(AND((C321&gt;0),(G321&gt;0)),(SUM(G321/C321)*100),0)</f>
        <v>0</v>
      </c>
      <c r="Q321" s="48"/>
      <c r="S321" s="48"/>
    </row>
    <row r="322" spans="1:19" ht="15" customHeight="1" x14ac:dyDescent="0.25">
      <c r="A322" s="1283" t="s">
        <v>232</v>
      </c>
      <c r="B322" s="1112"/>
      <c r="C322" s="1288">
        <v>0</v>
      </c>
      <c r="D322" s="1289">
        <f t="shared" si="131"/>
        <v>0</v>
      </c>
      <c r="E322" s="1286">
        <v>0</v>
      </c>
      <c r="F322" s="1286">
        <f>'Fin Pos'!B38</f>
        <v>0</v>
      </c>
      <c r="G322" s="1287">
        <f>'Fin Pos'!L38</f>
        <v>0</v>
      </c>
      <c r="H322" s="1287">
        <v>0</v>
      </c>
      <c r="I322" s="1287">
        <f t="shared" ref="I322:I330" si="134">G322-F322</f>
        <v>0</v>
      </c>
      <c r="J322" s="1324">
        <f t="shared" si="132"/>
        <v>0</v>
      </c>
      <c r="K322" s="1325">
        <f t="shared" si="133"/>
        <v>0</v>
      </c>
      <c r="Q322" s="48"/>
      <c r="S322" s="48"/>
    </row>
    <row r="323" spans="1:19" ht="15" customHeight="1" x14ac:dyDescent="0.25">
      <c r="A323" s="1283" t="s">
        <v>1873</v>
      </c>
      <c r="B323" s="1112"/>
      <c r="C323" s="1288">
        <v>0</v>
      </c>
      <c r="D323" s="1289">
        <f t="shared" si="131"/>
        <v>0</v>
      </c>
      <c r="E323" s="1286">
        <v>0</v>
      </c>
      <c r="F323" s="1286">
        <f>'Fin Pos'!B39</f>
        <v>0</v>
      </c>
      <c r="G323" s="1287">
        <f>'Fin Pos'!L39</f>
        <v>18909435.870000001</v>
      </c>
      <c r="H323" s="1287">
        <v>0</v>
      </c>
      <c r="I323" s="1287">
        <f t="shared" si="134"/>
        <v>18909435.870000001</v>
      </c>
      <c r="J323" s="1324">
        <f t="shared" si="132"/>
        <v>0</v>
      </c>
      <c r="K323" s="1325">
        <f t="shared" si="133"/>
        <v>0</v>
      </c>
      <c r="Q323" s="48"/>
      <c r="S323" s="48"/>
    </row>
    <row r="324" spans="1:19" ht="15" customHeight="1" x14ac:dyDescent="0.25">
      <c r="A324" s="1283" t="s">
        <v>394</v>
      </c>
      <c r="B324" s="1112"/>
      <c r="C324" s="1288">
        <v>0</v>
      </c>
      <c r="D324" s="1289">
        <f t="shared" si="131"/>
        <v>0</v>
      </c>
      <c r="E324" s="1286">
        <v>0</v>
      </c>
      <c r="F324" s="1286">
        <f>'Fin Pos'!B40</f>
        <v>0</v>
      </c>
      <c r="G324" s="1287">
        <f>'Fin Pos'!L40</f>
        <v>12487502.699999999</v>
      </c>
      <c r="H324" s="1287">
        <v>0</v>
      </c>
      <c r="I324" s="1287">
        <f t="shared" si="134"/>
        <v>12487502.699999999</v>
      </c>
      <c r="J324" s="1324">
        <f t="shared" si="132"/>
        <v>0</v>
      </c>
      <c r="K324" s="1325">
        <f t="shared" si="133"/>
        <v>0</v>
      </c>
      <c r="Q324" s="48"/>
      <c r="S324" s="48"/>
    </row>
    <row r="325" spans="1:19" ht="15" customHeight="1" x14ac:dyDescent="0.25">
      <c r="A325" s="1283" t="s">
        <v>1164</v>
      </c>
      <c r="B325" s="1112"/>
      <c r="C325" s="1288">
        <v>0</v>
      </c>
      <c r="D325" s="1289">
        <f t="shared" si="131"/>
        <v>0</v>
      </c>
      <c r="E325" s="1286">
        <v>0</v>
      </c>
      <c r="F325" s="1286">
        <f>'Fin Pos'!B41</f>
        <v>0</v>
      </c>
      <c r="G325" s="1287">
        <f>'Fin Pos'!L41</f>
        <v>0</v>
      </c>
      <c r="H325" s="1287">
        <v>0</v>
      </c>
      <c r="I325" s="1287">
        <f t="shared" si="134"/>
        <v>0</v>
      </c>
      <c r="J325" s="1324">
        <f t="shared" si="132"/>
        <v>0</v>
      </c>
      <c r="K325" s="1325">
        <f t="shared" si="133"/>
        <v>0</v>
      </c>
      <c r="Q325" s="48"/>
      <c r="S325" s="48"/>
    </row>
    <row r="326" spans="1:19" ht="15" customHeight="1" x14ac:dyDescent="0.25">
      <c r="A326" s="1283" t="s">
        <v>333</v>
      </c>
      <c r="B326" s="1112"/>
      <c r="C326" s="1288">
        <v>0</v>
      </c>
      <c r="D326" s="1289">
        <f t="shared" si="131"/>
        <v>0</v>
      </c>
      <c r="E326" s="1286">
        <v>0</v>
      </c>
      <c r="F326" s="1286">
        <f>'Fin Pos'!B42</f>
        <v>0</v>
      </c>
      <c r="G326" s="1287">
        <f>'Fin Pos'!L42</f>
        <v>0</v>
      </c>
      <c r="H326" s="1287">
        <v>0</v>
      </c>
      <c r="I326" s="1287">
        <f t="shared" si="134"/>
        <v>0</v>
      </c>
      <c r="J326" s="1324">
        <f t="shared" si="132"/>
        <v>0</v>
      </c>
      <c r="K326" s="1325">
        <f t="shared" si="133"/>
        <v>0</v>
      </c>
      <c r="Q326" s="48"/>
      <c r="S326" s="48"/>
    </row>
    <row r="327" spans="1:19" ht="15" customHeight="1" x14ac:dyDescent="0.25">
      <c r="A327" s="1283" t="s">
        <v>3971</v>
      </c>
      <c r="B327" s="1112"/>
      <c r="C327" s="1288">
        <v>0</v>
      </c>
      <c r="D327" s="1289">
        <f t="shared" si="131"/>
        <v>0</v>
      </c>
      <c r="E327" s="1286">
        <v>0</v>
      </c>
      <c r="F327" s="1286">
        <f>'Fin Pos'!B43</f>
        <v>0</v>
      </c>
      <c r="G327" s="1287">
        <f>'Fin Pos'!L43</f>
        <v>0</v>
      </c>
      <c r="H327" s="1287">
        <v>0</v>
      </c>
      <c r="I327" s="1287">
        <f t="shared" si="134"/>
        <v>0</v>
      </c>
      <c r="J327" s="1324">
        <f t="shared" si="132"/>
        <v>0</v>
      </c>
      <c r="K327" s="1325">
        <f t="shared" si="133"/>
        <v>0</v>
      </c>
      <c r="Q327" s="48"/>
      <c r="S327" s="48"/>
    </row>
    <row r="328" spans="1:19" ht="15" customHeight="1" x14ac:dyDescent="0.25">
      <c r="A328" s="1283" t="s">
        <v>781</v>
      </c>
      <c r="B328" s="1112"/>
      <c r="C328" s="1288">
        <v>0</v>
      </c>
      <c r="D328" s="1289">
        <f t="shared" si="131"/>
        <v>0</v>
      </c>
      <c r="E328" s="1286">
        <v>0</v>
      </c>
      <c r="F328" s="1286">
        <f>'Fin Pos'!B44</f>
        <v>0</v>
      </c>
      <c r="G328" s="1287">
        <f>'Fin Pos'!L44</f>
        <v>0</v>
      </c>
      <c r="H328" s="1287">
        <v>0</v>
      </c>
      <c r="I328" s="1287">
        <f t="shared" si="134"/>
        <v>0</v>
      </c>
      <c r="J328" s="1324">
        <f t="shared" si="132"/>
        <v>0</v>
      </c>
      <c r="K328" s="1325">
        <f t="shared" si="133"/>
        <v>0</v>
      </c>
      <c r="Q328" s="48"/>
      <c r="S328" s="48"/>
    </row>
    <row r="329" spans="1:19" ht="15" customHeight="1" x14ac:dyDescent="0.25">
      <c r="A329" s="1283" t="s">
        <v>395</v>
      </c>
      <c r="B329" s="1112"/>
      <c r="C329" s="1288">
        <v>0</v>
      </c>
      <c r="D329" s="1289">
        <f t="shared" si="131"/>
        <v>0</v>
      </c>
      <c r="E329" s="1286">
        <v>0</v>
      </c>
      <c r="F329" s="1286">
        <f>'Fin Pos'!B45</f>
        <v>0</v>
      </c>
      <c r="G329" s="1287">
        <f>'Fin Pos'!L45</f>
        <v>2065666.0399999998</v>
      </c>
      <c r="H329" s="1287">
        <v>0</v>
      </c>
      <c r="I329" s="1287">
        <f t="shared" si="134"/>
        <v>2065666.0399999998</v>
      </c>
      <c r="J329" s="1324">
        <f t="shared" si="132"/>
        <v>0</v>
      </c>
      <c r="K329" s="1325">
        <f t="shared" si="133"/>
        <v>0</v>
      </c>
      <c r="Q329" s="48"/>
      <c r="S329" s="48"/>
    </row>
    <row r="330" spans="1:19" ht="15" customHeight="1" x14ac:dyDescent="0.25">
      <c r="A330" s="1283" t="s">
        <v>396</v>
      </c>
      <c r="B330" s="1112"/>
      <c r="C330" s="1288">
        <v>0</v>
      </c>
      <c r="D330" s="1289">
        <f t="shared" si="131"/>
        <v>0</v>
      </c>
      <c r="E330" s="1286">
        <v>0</v>
      </c>
      <c r="F330" s="1286">
        <f>'Fin Pos'!B46</f>
        <v>0</v>
      </c>
      <c r="G330" s="1287">
        <f>'Fin Pos'!L46</f>
        <v>761711</v>
      </c>
      <c r="H330" s="1287">
        <v>0</v>
      </c>
      <c r="I330" s="1287">
        <f t="shared" si="134"/>
        <v>761711</v>
      </c>
      <c r="J330" s="1324">
        <f t="shared" si="132"/>
        <v>0</v>
      </c>
      <c r="K330" s="1325">
        <f t="shared" si="133"/>
        <v>0</v>
      </c>
      <c r="Q330" s="48"/>
      <c r="S330" s="48"/>
    </row>
    <row r="331" spans="1:19" ht="15" customHeight="1" x14ac:dyDescent="0.25">
      <c r="A331" s="1283"/>
      <c r="B331" s="1112"/>
      <c r="C331" s="1288"/>
      <c r="D331" s="1289"/>
      <c r="E331" s="1286"/>
      <c r="F331" s="1286"/>
      <c r="G331" s="1287"/>
      <c r="H331" s="1287"/>
      <c r="I331" s="1287"/>
      <c r="J331" s="1324"/>
      <c r="K331" s="1325"/>
      <c r="Q331" s="48"/>
      <c r="S331" s="48"/>
    </row>
    <row r="332" spans="1:19" ht="15" customHeight="1" x14ac:dyDescent="0.25">
      <c r="A332" s="315" t="s">
        <v>389</v>
      </c>
      <c r="B332" s="1112"/>
      <c r="C332" s="1288"/>
      <c r="D332" s="1289"/>
      <c r="E332" s="1286"/>
      <c r="F332" s="1286"/>
      <c r="G332" s="1287"/>
      <c r="H332" s="1287"/>
      <c r="I332" s="1287"/>
      <c r="J332" s="1324"/>
      <c r="K332" s="1325"/>
      <c r="Q332" s="48"/>
      <c r="S332" s="48"/>
    </row>
    <row r="333" spans="1:19" ht="15" customHeight="1" x14ac:dyDescent="0.25">
      <c r="A333" s="1283" t="s">
        <v>390</v>
      </c>
      <c r="B333" s="1112"/>
      <c r="C333" s="1288">
        <v>0</v>
      </c>
      <c r="D333" s="1289">
        <f t="shared" ref="D333:D335" si="135">F333-E333-C333</f>
        <v>0</v>
      </c>
      <c r="E333" s="1286">
        <v>0</v>
      </c>
      <c r="F333" s="1286">
        <f>'Fin Pos'!B49</f>
        <v>0</v>
      </c>
      <c r="G333" s="1287">
        <f>'Fin Pos'!L49</f>
        <v>9611997.6199999992</v>
      </c>
      <c r="H333" s="1287">
        <v>0</v>
      </c>
      <c r="I333" s="1287">
        <f t="shared" ref="I333:I335" si="136">G333-F333</f>
        <v>9611997.6199999992</v>
      </c>
      <c r="J333" s="1324">
        <f t="shared" ref="J333:J335" si="137">IF(AND((F333&gt;0),(G333&gt;0)),(SUM(G333/F333)*100),0)</f>
        <v>0</v>
      </c>
      <c r="K333" s="1325">
        <f t="shared" ref="K333:K335" si="138">IF(AND((C333&gt;0),(G333&gt;0)),(SUM(G333/C333)*100),0)</f>
        <v>0</v>
      </c>
      <c r="Q333" s="48"/>
      <c r="S333" s="48"/>
    </row>
    <row r="334" spans="1:19" ht="15" customHeight="1" x14ac:dyDescent="0.25">
      <c r="A334" s="1283" t="s">
        <v>780</v>
      </c>
      <c r="B334" s="1112"/>
      <c r="C334" s="1288">
        <v>0</v>
      </c>
      <c r="D334" s="1289">
        <f t="shared" si="135"/>
        <v>0</v>
      </c>
      <c r="E334" s="1286">
        <v>0</v>
      </c>
      <c r="F334" s="1286">
        <f>'Fin Pos'!B50</f>
        <v>0</v>
      </c>
      <c r="G334" s="1287">
        <f>'Fin Pos'!L50</f>
        <v>0</v>
      </c>
      <c r="H334" s="1287">
        <v>0</v>
      </c>
      <c r="I334" s="1287">
        <f t="shared" si="136"/>
        <v>0</v>
      </c>
      <c r="J334" s="1324">
        <f t="shared" si="137"/>
        <v>0</v>
      </c>
      <c r="K334" s="1325">
        <f t="shared" si="138"/>
        <v>0</v>
      </c>
      <c r="Q334" s="48"/>
      <c r="S334" s="48"/>
    </row>
    <row r="335" spans="1:19" ht="15" customHeight="1" x14ac:dyDescent="0.25">
      <c r="A335" s="1283" t="s">
        <v>391</v>
      </c>
      <c r="B335" s="1112"/>
      <c r="C335" s="1288">
        <v>0</v>
      </c>
      <c r="D335" s="1289">
        <f t="shared" si="135"/>
        <v>0</v>
      </c>
      <c r="E335" s="1286">
        <v>0</v>
      </c>
      <c r="F335" s="1286">
        <f>'Fin Pos'!B51</f>
        <v>0</v>
      </c>
      <c r="G335" s="1287">
        <f>'Fin Pos'!L51</f>
        <v>15563008.82</v>
      </c>
      <c r="H335" s="1287">
        <v>0</v>
      </c>
      <c r="I335" s="1287">
        <f t="shared" si="136"/>
        <v>15563008.82</v>
      </c>
      <c r="J335" s="1324">
        <f t="shared" si="137"/>
        <v>0</v>
      </c>
      <c r="K335" s="1325">
        <f t="shared" si="138"/>
        <v>0</v>
      </c>
      <c r="Q335" s="48"/>
      <c r="S335" s="48"/>
    </row>
    <row r="336" spans="1:19" ht="15" customHeight="1" x14ac:dyDescent="0.25">
      <c r="A336" s="1283"/>
      <c r="B336" s="1112"/>
      <c r="C336" s="1288"/>
      <c r="D336" s="1289"/>
      <c r="E336" s="1286"/>
      <c r="F336" s="1286"/>
      <c r="G336" s="1287"/>
      <c r="H336" s="1287"/>
      <c r="I336" s="1287"/>
      <c r="J336" s="1324"/>
      <c r="K336" s="1325"/>
      <c r="Q336" s="48"/>
      <c r="S336" s="48"/>
    </row>
    <row r="337" spans="1:19" ht="15" customHeight="1" x14ac:dyDescent="0.25">
      <c r="A337" s="315" t="s">
        <v>975</v>
      </c>
      <c r="B337" s="1112"/>
      <c r="C337" s="1290">
        <f>SUM(C320:C336)</f>
        <v>0</v>
      </c>
      <c r="D337" s="1290">
        <f t="shared" ref="D337:I337" si="139">SUM(D320:D336)</f>
        <v>0</v>
      </c>
      <c r="E337" s="1290">
        <f t="shared" si="139"/>
        <v>0</v>
      </c>
      <c r="F337" s="1290">
        <f t="shared" si="139"/>
        <v>0</v>
      </c>
      <c r="G337" s="1290">
        <f t="shared" si="139"/>
        <v>59563293.089999996</v>
      </c>
      <c r="H337" s="1290">
        <f t="shared" si="139"/>
        <v>0</v>
      </c>
      <c r="I337" s="1290">
        <f t="shared" si="139"/>
        <v>59563293.089999996</v>
      </c>
      <c r="J337" s="1326">
        <f t="shared" ref="J337" si="140">IF(AND((F337&gt;0),(G337&gt;0)),(SUM(G337/F337)*100),0)</f>
        <v>0</v>
      </c>
      <c r="K337" s="1327">
        <f t="shared" ref="K337" si="141">IF(AND((C337&gt;0),(G337&gt;0)),(SUM(G337/C337)*100),0)</f>
        <v>0</v>
      </c>
      <c r="Q337" s="48"/>
      <c r="S337" s="48"/>
    </row>
    <row r="338" spans="1:19" ht="15" customHeight="1" thickBot="1" x14ac:dyDescent="0.3">
      <c r="A338" s="1283"/>
      <c r="B338" s="1112"/>
      <c r="C338" s="1288"/>
      <c r="D338" s="1289"/>
      <c r="E338" s="1286"/>
      <c r="F338" s="1286"/>
      <c r="G338" s="1287"/>
      <c r="H338" s="1287"/>
      <c r="I338" s="1287"/>
      <c r="J338" s="1324"/>
      <c r="K338" s="1325"/>
      <c r="Q338" s="48"/>
      <c r="S338" s="48"/>
    </row>
    <row r="339" spans="1:19" ht="15" customHeight="1" thickTop="1" thickBot="1" x14ac:dyDescent="0.3">
      <c r="A339" s="315" t="s">
        <v>1452</v>
      </c>
      <c r="B339" s="1112"/>
      <c r="C339" s="1334">
        <f>SUM(C318-C337)</f>
        <v>0</v>
      </c>
      <c r="D339" s="1335">
        <f t="shared" ref="D339:I339" si="142">SUM(D318-D337)</f>
        <v>0</v>
      </c>
      <c r="E339" s="1336">
        <f t="shared" si="142"/>
        <v>0</v>
      </c>
      <c r="F339" s="1336">
        <f t="shared" si="142"/>
        <v>0</v>
      </c>
      <c r="G339" s="1337">
        <f t="shared" si="142"/>
        <v>303217865.52271521</v>
      </c>
      <c r="H339" s="1337">
        <f t="shared" si="142"/>
        <v>0</v>
      </c>
      <c r="I339" s="1337">
        <f t="shared" si="142"/>
        <v>303217865.52271521</v>
      </c>
      <c r="J339" s="1329">
        <f t="shared" ref="J339" si="143">IF(AND((F339&gt;0),(G339&gt;0)),(SUM(G339/F339)*100),0)</f>
        <v>0</v>
      </c>
      <c r="K339" s="1330">
        <f t="shared" ref="K339" si="144">IF(AND((C339&gt;0),(G339&gt;0)),(SUM(G339/C339)*100),0)</f>
        <v>0</v>
      </c>
      <c r="Q339" s="48"/>
      <c r="S339" s="48"/>
    </row>
    <row r="340" spans="1:19" ht="15" customHeight="1" thickTop="1" x14ac:dyDescent="0.25">
      <c r="A340" s="1283"/>
      <c r="B340" s="1112"/>
      <c r="C340" s="1288"/>
      <c r="D340" s="1289"/>
      <c r="E340" s="1286"/>
      <c r="F340" s="1286"/>
      <c r="G340" s="1287"/>
      <c r="H340" s="1287"/>
      <c r="I340" s="1287"/>
      <c r="J340" s="1324"/>
      <c r="K340" s="1325"/>
      <c r="Q340" s="48"/>
      <c r="S340" s="48"/>
    </row>
    <row r="341" spans="1:19" ht="15" customHeight="1" x14ac:dyDescent="0.25">
      <c r="A341" s="315" t="s">
        <v>4118</v>
      </c>
      <c r="B341" s="1112"/>
      <c r="C341" s="1288"/>
      <c r="D341" s="1289"/>
      <c r="E341" s="1286"/>
      <c r="F341" s="1286"/>
      <c r="G341" s="1287"/>
      <c r="H341" s="1287"/>
      <c r="I341" s="1287"/>
      <c r="J341" s="1324"/>
      <c r="K341" s="1325"/>
      <c r="Q341" s="48"/>
      <c r="S341" s="48"/>
    </row>
    <row r="342" spans="1:19" ht="15" customHeight="1" x14ac:dyDescent="0.25">
      <c r="A342" s="1283" t="s">
        <v>1461</v>
      </c>
      <c r="B342" s="1112"/>
      <c r="C342" s="1288">
        <v>0</v>
      </c>
      <c r="D342" s="1289">
        <f t="shared" ref="D342:D344" si="145">F342-E342-C342</f>
        <v>0</v>
      </c>
      <c r="E342" s="1286">
        <v>0</v>
      </c>
      <c r="F342" s="1286">
        <f>'Fin Pos'!B58</f>
        <v>0</v>
      </c>
      <c r="G342" s="1287">
        <f>'Fin Pos'!L58</f>
        <v>0</v>
      </c>
      <c r="H342" s="1287">
        <v>0</v>
      </c>
      <c r="I342" s="1287">
        <f t="shared" ref="I342:I344" si="146">G342-F342</f>
        <v>0</v>
      </c>
      <c r="J342" s="1324">
        <f t="shared" ref="J342:J344" si="147">IF(AND((F342&gt;0),(G342&gt;0)),(SUM(G342/F342)*100),0)</f>
        <v>0</v>
      </c>
      <c r="K342" s="1325">
        <f t="shared" ref="K342:K344" si="148">IF(AND((C342&gt;0),(G342&gt;0)),(SUM(G342/C342)*100),0)</f>
        <v>0</v>
      </c>
      <c r="Q342" s="48"/>
      <c r="S342" s="48"/>
    </row>
    <row r="343" spans="1:19" ht="15" customHeight="1" x14ac:dyDescent="0.25">
      <c r="A343" s="1283" t="s">
        <v>32</v>
      </c>
      <c r="B343" s="1112"/>
      <c r="C343" s="1288">
        <v>0</v>
      </c>
      <c r="D343" s="1289">
        <f t="shared" si="145"/>
        <v>0</v>
      </c>
      <c r="E343" s="1286">
        <v>0</v>
      </c>
      <c r="F343" s="1286">
        <f>'Fin Pos'!B59</f>
        <v>0</v>
      </c>
      <c r="G343" s="1287">
        <f>'Fin Pos'!L59</f>
        <v>0</v>
      </c>
      <c r="H343" s="1287">
        <v>0</v>
      </c>
      <c r="I343" s="1287">
        <f t="shared" si="146"/>
        <v>0</v>
      </c>
      <c r="J343" s="1324">
        <f t="shared" si="147"/>
        <v>0</v>
      </c>
      <c r="K343" s="1325">
        <f t="shared" si="148"/>
        <v>0</v>
      </c>
      <c r="Q343" s="48"/>
      <c r="S343" s="48"/>
    </row>
    <row r="344" spans="1:19" ht="15" customHeight="1" x14ac:dyDescent="0.25">
      <c r="A344" s="1283" t="s">
        <v>214</v>
      </c>
      <c r="B344" s="1112"/>
      <c r="C344" s="1288">
        <v>0</v>
      </c>
      <c r="D344" s="1289">
        <f t="shared" si="145"/>
        <v>0</v>
      </c>
      <c r="E344" s="1286">
        <v>0</v>
      </c>
      <c r="F344" s="1286">
        <f>'Fin Pos'!B60</f>
        <v>0</v>
      </c>
      <c r="G344" s="1287">
        <f>'Fin Pos'!L60</f>
        <v>303217864.52000016</v>
      </c>
      <c r="H344" s="1287">
        <v>0</v>
      </c>
      <c r="I344" s="1287">
        <f t="shared" si="146"/>
        <v>303217864.52000016</v>
      </c>
      <c r="J344" s="1324">
        <f t="shared" si="147"/>
        <v>0</v>
      </c>
      <c r="K344" s="1325">
        <f t="shared" si="148"/>
        <v>0</v>
      </c>
      <c r="Q344" s="48"/>
      <c r="S344" s="48"/>
    </row>
    <row r="345" spans="1:19" ht="15" customHeight="1" thickBot="1" x14ac:dyDescent="0.3">
      <c r="A345" s="1283"/>
      <c r="B345" s="1112"/>
      <c r="C345" s="1288"/>
      <c r="D345" s="1289"/>
      <c r="E345" s="1286"/>
      <c r="F345" s="1286"/>
      <c r="G345" s="1287"/>
      <c r="H345" s="1287"/>
      <c r="I345" s="1287"/>
      <c r="J345" s="1324"/>
      <c r="K345" s="1325"/>
      <c r="Q345" s="48"/>
      <c r="S345" s="48"/>
    </row>
    <row r="346" spans="1:19" ht="15" customHeight="1" thickTop="1" thickBot="1" x14ac:dyDescent="0.3">
      <c r="A346" s="315" t="s">
        <v>1454</v>
      </c>
      <c r="B346" s="1112"/>
      <c r="C346" s="1334">
        <f>SUM(C341:C345)</f>
        <v>0</v>
      </c>
      <c r="D346" s="1334">
        <f t="shared" ref="D346:I346" si="149">SUM(D341:D345)</f>
        <v>0</v>
      </c>
      <c r="E346" s="1334">
        <f t="shared" si="149"/>
        <v>0</v>
      </c>
      <c r="F346" s="1334">
        <f t="shared" si="149"/>
        <v>0</v>
      </c>
      <c r="G346" s="1334">
        <f t="shared" si="149"/>
        <v>303217864.52000016</v>
      </c>
      <c r="H346" s="1334">
        <f t="shared" si="149"/>
        <v>0</v>
      </c>
      <c r="I346" s="1334">
        <f t="shared" si="149"/>
        <v>303217864.52000016</v>
      </c>
      <c r="J346" s="1329">
        <f t="shared" ref="J346" si="150">IF(AND((F346&gt;0),(G346&gt;0)),(SUM(G346/F346)*100),0)</f>
        <v>0</v>
      </c>
      <c r="K346" s="1330">
        <f t="shared" ref="K346" si="151">IF(AND((C346&gt;0),(G346&gt;0)),(SUM(G346/C346)*100),0)</f>
        <v>0</v>
      </c>
      <c r="Q346" s="48"/>
      <c r="S346" s="48"/>
    </row>
    <row r="347" spans="1:19" ht="15" customHeight="1" thickTop="1" x14ac:dyDescent="0.25">
      <c r="A347" s="1283"/>
      <c r="B347" s="1112"/>
      <c r="C347" s="1295">
        <f>C339-C346</f>
        <v>0</v>
      </c>
      <c r="D347" s="1295">
        <f t="shared" ref="D347:I347" si="152">D339-D346</f>
        <v>0</v>
      </c>
      <c r="E347" s="1295">
        <f t="shared" si="152"/>
        <v>0</v>
      </c>
      <c r="F347" s="1295">
        <f t="shared" si="152"/>
        <v>0</v>
      </c>
      <c r="G347" s="2607">
        <f t="shared" si="152"/>
        <v>1.0027150511741638</v>
      </c>
      <c r="H347" s="1295">
        <f t="shared" si="152"/>
        <v>0</v>
      </c>
      <c r="I347" s="2607">
        <f t="shared" si="152"/>
        <v>1.0027150511741638</v>
      </c>
      <c r="J347" s="1324"/>
      <c r="K347" s="1325"/>
      <c r="Q347" s="48"/>
      <c r="S347" s="48"/>
    </row>
    <row r="348" spans="1:19" ht="15" customHeight="1" x14ac:dyDescent="0.25">
      <c r="A348" s="315" t="s">
        <v>4106</v>
      </c>
      <c r="B348" s="1112"/>
      <c r="C348" s="310"/>
      <c r="D348" s="314"/>
      <c r="E348" s="1277"/>
      <c r="F348" s="1111"/>
      <c r="G348" s="1111"/>
      <c r="H348" s="1278"/>
      <c r="I348" s="1278"/>
      <c r="J348" s="1278"/>
      <c r="K348" s="1279"/>
      <c r="Q348" s="48"/>
      <c r="S348" s="48"/>
    </row>
    <row r="349" spans="1:19" ht="15" customHeight="1" x14ac:dyDescent="0.25">
      <c r="A349" s="315" t="s">
        <v>2230</v>
      </c>
      <c r="B349" s="1112"/>
      <c r="C349" s="1280"/>
      <c r="D349" s="1280"/>
      <c r="E349" s="1280"/>
      <c r="F349" s="1280"/>
      <c r="G349" s="1280"/>
      <c r="H349" s="1281"/>
      <c r="I349" s="1281"/>
      <c r="J349" s="1322"/>
      <c r="K349" s="1323"/>
      <c r="Q349" s="48"/>
      <c r="S349" s="48"/>
    </row>
    <row r="350" spans="1:19" ht="15" customHeight="1" x14ac:dyDescent="0.25">
      <c r="A350" s="1283" t="s">
        <v>404</v>
      </c>
      <c r="B350" s="1112"/>
      <c r="C350" s="1288">
        <f>F350</f>
        <v>4615026.8299999991</v>
      </c>
      <c r="D350" s="1289">
        <f t="shared" ref="D350:D356" si="153">F350-E350-C350</f>
        <v>0</v>
      </c>
      <c r="E350" s="1286">
        <v>0</v>
      </c>
      <c r="F350" s="1286">
        <f>'Fin Perform'!B9</f>
        <v>4615026.8299999991</v>
      </c>
      <c r="G350" s="1287">
        <f>'Fin Perform'!K9</f>
        <v>6062906.8000000007</v>
      </c>
      <c r="H350" s="1287">
        <v>0</v>
      </c>
      <c r="I350" s="1287">
        <f>G350-F350</f>
        <v>1447879.9700000016</v>
      </c>
      <c r="J350" s="1324">
        <f t="shared" ref="J350:J356" si="154">IF(AND((F350&gt;0),(G350&gt;0)),(SUM(G350/F350)*100),0)</f>
        <v>131.37316473629258</v>
      </c>
      <c r="K350" s="1325">
        <f t="shared" ref="K350:K356" si="155">IF(AND((C350&gt;0),(G350&gt;0)),(SUM(G350/C350)*100),0)</f>
        <v>131.37316473629258</v>
      </c>
      <c r="Q350" s="48"/>
      <c r="S350" s="48"/>
    </row>
    <row r="351" spans="1:19" ht="15" customHeight="1" x14ac:dyDescent="0.25">
      <c r="A351" s="1283" t="s">
        <v>408</v>
      </c>
      <c r="B351" s="1112"/>
      <c r="C351" s="1288">
        <f t="shared" ref="C351:C368" si="156">F351</f>
        <v>0</v>
      </c>
      <c r="D351" s="1289">
        <f t="shared" si="153"/>
        <v>0</v>
      </c>
      <c r="E351" s="1286">
        <v>0</v>
      </c>
      <c r="F351" s="1286">
        <f>'Fin Perform'!B10</f>
        <v>0</v>
      </c>
      <c r="G351" s="1287">
        <f>'Fin Perform'!K10</f>
        <v>0</v>
      </c>
      <c r="H351" s="1287">
        <v>0</v>
      </c>
      <c r="I351" s="1287">
        <f>G351-F351</f>
        <v>0</v>
      </c>
      <c r="J351" s="1324">
        <f t="shared" si="154"/>
        <v>0</v>
      </c>
      <c r="K351" s="1325">
        <f t="shared" si="155"/>
        <v>0</v>
      </c>
      <c r="Q351" s="48"/>
      <c r="S351" s="48"/>
    </row>
    <row r="352" spans="1:19" ht="15" customHeight="1" x14ac:dyDescent="0.25">
      <c r="A352" s="1283" t="s">
        <v>248</v>
      </c>
      <c r="B352" s="1112"/>
      <c r="C352" s="1288">
        <f t="shared" si="156"/>
        <v>710462.82</v>
      </c>
      <c r="D352" s="1289">
        <f t="shared" si="153"/>
        <v>0</v>
      </c>
      <c r="E352" s="1286">
        <v>0</v>
      </c>
      <c r="F352" s="1286">
        <f>'Fin Perform'!B11</f>
        <v>710462.82</v>
      </c>
      <c r="G352" s="1287">
        <f>'Fin Perform'!K11</f>
        <v>156055.32</v>
      </c>
      <c r="H352" s="1287">
        <v>0</v>
      </c>
      <c r="I352" s="1287">
        <f>G352-F352</f>
        <v>-554407.5</v>
      </c>
      <c r="J352" s="1324">
        <f t="shared" si="154"/>
        <v>21.96530425054474</v>
      </c>
      <c r="K352" s="1325">
        <f t="shared" si="155"/>
        <v>21.96530425054474</v>
      </c>
      <c r="Q352" s="48"/>
      <c r="S352" s="48"/>
    </row>
    <row r="353" spans="1:19" ht="15" customHeight="1" x14ac:dyDescent="0.25">
      <c r="A353" s="1283" t="s">
        <v>411</v>
      </c>
      <c r="B353" s="1112"/>
      <c r="C353" s="1288">
        <f t="shared" si="156"/>
        <v>0</v>
      </c>
      <c r="D353" s="1289">
        <f t="shared" si="153"/>
        <v>0</v>
      </c>
      <c r="E353" s="1286">
        <v>0</v>
      </c>
      <c r="F353" s="1286">
        <f>'Fin Perform'!B13</f>
        <v>0</v>
      </c>
      <c r="G353" s="1287">
        <f>'Fin Perform'!K13</f>
        <v>4152.66</v>
      </c>
      <c r="H353" s="1287">
        <v>0</v>
      </c>
      <c r="I353" s="1287">
        <f>G353-F353</f>
        <v>4152.66</v>
      </c>
      <c r="J353" s="1324">
        <f t="shared" si="154"/>
        <v>0</v>
      </c>
      <c r="K353" s="1325">
        <f t="shared" si="155"/>
        <v>0</v>
      </c>
      <c r="Q353" s="48"/>
      <c r="S353" s="48"/>
    </row>
    <row r="354" spans="1:19" ht="15" customHeight="1" x14ac:dyDescent="0.25">
      <c r="A354" s="1283" t="s">
        <v>412</v>
      </c>
      <c r="B354" s="1112"/>
      <c r="C354" s="1288">
        <f t="shared" si="156"/>
        <v>0</v>
      </c>
      <c r="D354" s="1289">
        <f t="shared" si="153"/>
        <v>0</v>
      </c>
      <c r="E354" s="1286">
        <v>0</v>
      </c>
      <c r="F354" s="1286">
        <f>'Fin Perform'!B14</f>
        <v>0</v>
      </c>
      <c r="G354" s="1287">
        <f>'Fin Perform'!K14</f>
        <v>0</v>
      </c>
      <c r="H354" s="1287">
        <v>0</v>
      </c>
      <c r="I354" s="1287">
        <f>G354-F354</f>
        <v>0</v>
      </c>
      <c r="J354" s="1324">
        <f t="shared" si="154"/>
        <v>0</v>
      </c>
      <c r="K354" s="1325">
        <f t="shared" si="155"/>
        <v>0</v>
      </c>
      <c r="Q354" s="48"/>
      <c r="S354" s="48"/>
    </row>
    <row r="355" spans="1:19" ht="15" customHeight="1" x14ac:dyDescent="0.25">
      <c r="A355" s="1283" t="s">
        <v>787</v>
      </c>
      <c r="B355" s="1112"/>
      <c r="C355" s="1288">
        <f t="shared" si="156"/>
        <v>56240297.850000001</v>
      </c>
      <c r="D355" s="1285">
        <f t="shared" si="153"/>
        <v>0</v>
      </c>
      <c r="E355" s="1286">
        <v>0</v>
      </c>
      <c r="F355" s="1286">
        <f>'Fin Perform'!B15-F391</f>
        <v>56240297.850000001</v>
      </c>
      <c r="G355" s="1287">
        <f>'Fin Perform'!K15-G391</f>
        <v>52882209.82</v>
      </c>
      <c r="H355" s="1287">
        <v>0</v>
      </c>
      <c r="I355" s="1287">
        <f t="shared" ref="I355:I356" si="157">G355-F355</f>
        <v>-3358088.0300000012</v>
      </c>
      <c r="J355" s="1324">
        <f t="shared" si="154"/>
        <v>94.029035836622981</v>
      </c>
      <c r="K355" s="1325">
        <f t="shared" si="155"/>
        <v>94.029035836622981</v>
      </c>
      <c r="Q355" s="48"/>
      <c r="S355" s="48"/>
    </row>
    <row r="356" spans="1:19" ht="15" customHeight="1" x14ac:dyDescent="0.25">
      <c r="A356" s="1283" t="s">
        <v>445</v>
      </c>
      <c r="B356" s="1112"/>
      <c r="C356" s="1288">
        <f t="shared" si="156"/>
        <v>0</v>
      </c>
      <c r="D356" s="1285">
        <f t="shared" si="153"/>
        <v>0</v>
      </c>
      <c r="E356" s="1286">
        <v>0</v>
      </c>
      <c r="F356" s="1286">
        <f>'Fin Perform'!B16-F392</f>
        <v>0</v>
      </c>
      <c r="G356" s="1287">
        <f ca="1">'Fin Perform'!K16-G392</f>
        <v>20580</v>
      </c>
      <c r="H356" s="1287">
        <v>0</v>
      </c>
      <c r="I356" s="1287">
        <f t="shared" ca="1" si="157"/>
        <v>20580</v>
      </c>
      <c r="J356" s="1324">
        <f t="shared" ca="1" si="154"/>
        <v>0</v>
      </c>
      <c r="K356" s="1325">
        <f t="shared" ca="1" si="155"/>
        <v>0</v>
      </c>
      <c r="Q356" s="48"/>
      <c r="S356" s="48"/>
    </row>
    <row r="357" spans="1:19" ht="15" customHeight="1" x14ac:dyDescent="0.25">
      <c r="A357" s="1283"/>
      <c r="B357" s="1112"/>
      <c r="C357" s="1288">
        <f t="shared" si="156"/>
        <v>0</v>
      </c>
      <c r="D357" s="1285"/>
      <c r="E357" s="1286"/>
      <c r="F357" s="1286"/>
      <c r="G357" s="1287"/>
      <c r="H357" s="1287"/>
      <c r="I357" s="1287"/>
      <c r="J357" s="1324"/>
      <c r="K357" s="1325"/>
      <c r="Q357" s="48"/>
      <c r="S357" s="48"/>
    </row>
    <row r="358" spans="1:19" ht="15" customHeight="1" x14ac:dyDescent="0.25">
      <c r="A358" s="315" t="s">
        <v>2231</v>
      </c>
      <c r="B358" s="1112"/>
      <c r="C358" s="1288">
        <f t="shared" si="156"/>
        <v>0</v>
      </c>
      <c r="D358" s="1285"/>
      <c r="E358" s="1286"/>
      <c r="F358" s="1286"/>
      <c r="G358" s="1287"/>
      <c r="H358" s="1287"/>
      <c r="I358" s="1287"/>
      <c r="J358" s="1324"/>
      <c r="K358" s="1325"/>
      <c r="Q358" s="48"/>
      <c r="S358" s="48"/>
    </row>
    <row r="359" spans="1:19" ht="15" customHeight="1" x14ac:dyDescent="0.25">
      <c r="A359" s="1283" t="s">
        <v>405</v>
      </c>
      <c r="B359" s="1112"/>
      <c r="C359" s="1288">
        <f t="shared" si="156"/>
        <v>23386866.129999999</v>
      </c>
      <c r="D359" s="1285">
        <f t="shared" ref="D359:D368" si="158">F359-E359-C359</f>
        <v>0</v>
      </c>
      <c r="E359" s="1286">
        <v>0</v>
      </c>
      <c r="F359" s="1286">
        <f>'Fin Perform'!B18</f>
        <v>23386866.129999999</v>
      </c>
      <c r="G359" s="1287">
        <f>'Fin Perform'!K18</f>
        <v>28275179.93</v>
      </c>
      <c r="H359" s="1287">
        <v>0</v>
      </c>
      <c r="I359" s="1287">
        <f t="shared" ref="I359:I366" si="159">G359-F359</f>
        <v>4888313.8000000007</v>
      </c>
      <c r="J359" s="1324">
        <f t="shared" ref="J359:J366" si="160">IF(AND((F359&gt;0),(G359&gt;0)),(SUM(G359/F359)*100),0)</f>
        <v>120.90196169434353</v>
      </c>
      <c r="K359" s="1325">
        <f t="shared" ref="K359:K366" si="161">IF(AND((C359&gt;0),(G359&gt;0)),(SUM(G359/C359)*100),0)</f>
        <v>120.90196169434353</v>
      </c>
      <c r="Q359" s="48"/>
      <c r="S359" s="48"/>
    </row>
    <row r="360" spans="1:19" ht="15" customHeight="1" x14ac:dyDescent="0.25">
      <c r="A360" s="1283" t="s">
        <v>406</v>
      </c>
      <c r="B360" s="1112"/>
      <c r="C360" s="1288">
        <f t="shared" si="156"/>
        <v>723384.4</v>
      </c>
      <c r="D360" s="1285">
        <f t="shared" si="158"/>
        <v>0</v>
      </c>
      <c r="E360" s="1286">
        <v>0</v>
      </c>
      <c r="F360" s="1286">
        <f>'Fin Perform'!B19</f>
        <v>723384.4</v>
      </c>
      <c r="G360" s="1287">
        <f>'Fin Perform'!K19</f>
        <v>656777.32000000007</v>
      </c>
      <c r="H360" s="1287">
        <v>0</v>
      </c>
      <c r="I360" s="1287">
        <f t="shared" si="159"/>
        <v>-66607.079999999958</v>
      </c>
      <c r="J360" s="1324">
        <f t="shared" si="160"/>
        <v>90.792297981543427</v>
      </c>
      <c r="K360" s="1325">
        <f t="shared" si="161"/>
        <v>90.792297981543427</v>
      </c>
      <c r="Q360" s="48"/>
      <c r="S360" s="48"/>
    </row>
    <row r="361" spans="1:19" ht="15" customHeight="1" x14ac:dyDescent="0.25">
      <c r="A361" s="1283" t="s">
        <v>443</v>
      </c>
      <c r="B361" s="1112"/>
      <c r="C361" s="1288">
        <f t="shared" si="156"/>
        <v>67892.98000000001</v>
      </c>
      <c r="D361" s="1285">
        <f t="shared" si="158"/>
        <v>0</v>
      </c>
      <c r="E361" s="1286">
        <v>0</v>
      </c>
      <c r="F361" s="1286">
        <f>'Fin Perform'!B20</f>
        <v>67892.98000000001</v>
      </c>
      <c r="G361" s="1287">
        <f>'Fin Perform'!K20</f>
        <v>31636.04</v>
      </c>
      <c r="H361" s="1287">
        <v>0</v>
      </c>
      <c r="I361" s="1287">
        <f t="shared" si="159"/>
        <v>-36256.94000000001</v>
      </c>
      <c r="J361" s="1324">
        <f t="shared" si="160"/>
        <v>46.596923570006787</v>
      </c>
      <c r="K361" s="1325">
        <f t="shared" si="161"/>
        <v>46.596923570006787</v>
      </c>
      <c r="Q361" s="48"/>
      <c r="S361" s="48"/>
    </row>
    <row r="362" spans="1:19" ht="15" customHeight="1" x14ac:dyDescent="0.25">
      <c r="A362" s="1283" t="s">
        <v>444</v>
      </c>
      <c r="B362" s="1112"/>
      <c r="C362" s="1288">
        <f t="shared" si="156"/>
        <v>0</v>
      </c>
      <c r="D362" s="1289">
        <f t="shared" si="158"/>
        <v>0</v>
      </c>
      <c r="E362" s="1286">
        <v>0</v>
      </c>
      <c r="F362" s="1286">
        <f>'Fin Perform'!B21</f>
        <v>0</v>
      </c>
      <c r="G362" s="1287">
        <f>'Fin Perform'!K21</f>
        <v>226492.75</v>
      </c>
      <c r="H362" s="1287">
        <v>0</v>
      </c>
      <c r="I362" s="1287">
        <f t="shared" si="159"/>
        <v>226492.75</v>
      </c>
      <c r="J362" s="1324">
        <f t="shared" si="160"/>
        <v>0</v>
      </c>
      <c r="K362" s="1325">
        <f t="shared" si="161"/>
        <v>0</v>
      </c>
      <c r="Q362" s="48"/>
      <c r="S362" s="48"/>
    </row>
    <row r="363" spans="1:19" ht="15" customHeight="1" x14ac:dyDescent="0.25">
      <c r="A363" s="1283" t="s">
        <v>410</v>
      </c>
      <c r="B363" s="1112"/>
      <c r="C363" s="1288">
        <f t="shared" si="156"/>
        <v>6932.56</v>
      </c>
      <c r="D363" s="1289">
        <f t="shared" si="158"/>
        <v>0</v>
      </c>
      <c r="E363" s="1286">
        <v>0</v>
      </c>
      <c r="F363" s="1286">
        <f>'Fin Perform'!B22</f>
        <v>6932.56</v>
      </c>
      <c r="G363" s="1287">
        <f>'Fin Perform'!K22</f>
        <v>1733.14</v>
      </c>
      <c r="H363" s="1287">
        <v>0</v>
      </c>
      <c r="I363" s="1287">
        <f t="shared" si="159"/>
        <v>-5199.42</v>
      </c>
      <c r="J363" s="1324">
        <f t="shared" si="160"/>
        <v>25</v>
      </c>
      <c r="K363" s="1325">
        <f t="shared" si="161"/>
        <v>25</v>
      </c>
      <c r="Q363" s="48"/>
      <c r="S363" s="48"/>
    </row>
    <row r="364" spans="1:19" ht="15" customHeight="1" x14ac:dyDescent="0.25">
      <c r="A364" s="1283" t="s">
        <v>786</v>
      </c>
      <c r="B364" s="1112"/>
      <c r="C364" s="1288">
        <v>0</v>
      </c>
      <c r="D364" s="1289">
        <v>0</v>
      </c>
      <c r="E364" s="1286">
        <v>0</v>
      </c>
      <c r="F364" s="1286">
        <v>0</v>
      </c>
      <c r="G364" s="1287">
        <f>'Fin Perform'!K12</f>
        <v>1780205</v>
      </c>
      <c r="H364" s="1287">
        <v>0</v>
      </c>
      <c r="I364" s="1287">
        <f t="shared" si="159"/>
        <v>1780205</v>
      </c>
      <c r="J364" s="1324">
        <f t="shared" si="160"/>
        <v>0</v>
      </c>
      <c r="K364" s="1325">
        <f t="shared" si="161"/>
        <v>0</v>
      </c>
      <c r="Q364" s="48"/>
      <c r="S364" s="48"/>
    </row>
    <row r="365" spans="1:19" ht="15" customHeight="1" x14ac:dyDescent="0.25">
      <c r="A365" s="1283" t="s">
        <v>414</v>
      </c>
      <c r="B365" s="1112"/>
      <c r="C365" s="1288">
        <f t="shared" si="156"/>
        <v>1081114.29</v>
      </c>
      <c r="D365" s="1285">
        <f t="shared" si="158"/>
        <v>0</v>
      </c>
      <c r="E365" s="1286">
        <v>0</v>
      </c>
      <c r="F365" s="1286">
        <f>'Fin Perform'!B23</f>
        <v>1081114.29</v>
      </c>
      <c r="G365" s="1287">
        <f>'Fin Perform'!K23</f>
        <v>974842.35</v>
      </c>
      <c r="H365" s="1287">
        <v>0</v>
      </c>
      <c r="I365" s="1287">
        <f t="shared" si="159"/>
        <v>-106271.94000000006</v>
      </c>
      <c r="J365" s="1324">
        <f t="shared" si="160"/>
        <v>90.170147505866368</v>
      </c>
      <c r="K365" s="1325">
        <f t="shared" si="161"/>
        <v>90.170147505866368</v>
      </c>
      <c r="Q365" s="48"/>
      <c r="S365" s="48"/>
    </row>
    <row r="366" spans="1:19" ht="15" customHeight="1" x14ac:dyDescent="0.25">
      <c r="A366" s="1283" t="s">
        <v>788</v>
      </c>
      <c r="B366" s="1112"/>
      <c r="C366" s="1288">
        <f t="shared" si="156"/>
        <v>0</v>
      </c>
      <c r="D366" s="1285">
        <f t="shared" si="158"/>
        <v>0</v>
      </c>
      <c r="E366" s="1286">
        <v>0</v>
      </c>
      <c r="F366" s="1286">
        <f>'Fin Perform'!B24</f>
        <v>0</v>
      </c>
      <c r="G366" s="1287">
        <f>'Fin Perform'!K24</f>
        <v>0</v>
      </c>
      <c r="H366" s="1287">
        <v>0</v>
      </c>
      <c r="I366" s="1287">
        <f t="shared" si="159"/>
        <v>0</v>
      </c>
      <c r="J366" s="1324">
        <f t="shared" si="160"/>
        <v>0</v>
      </c>
      <c r="K366" s="1325">
        <f t="shared" si="161"/>
        <v>0</v>
      </c>
      <c r="Q366" s="48"/>
      <c r="S366" s="48"/>
    </row>
    <row r="367" spans="1:19" ht="15" customHeight="1" x14ac:dyDescent="0.25">
      <c r="A367" s="1283" t="s">
        <v>415</v>
      </c>
      <c r="B367" s="1112"/>
      <c r="C367" s="1288">
        <f t="shared" si="156"/>
        <v>0</v>
      </c>
      <c r="D367" s="1285">
        <f t="shared" si="158"/>
        <v>0</v>
      </c>
      <c r="E367" s="1286">
        <v>0</v>
      </c>
      <c r="F367" s="1286">
        <f>'Fin Perform'!B25</f>
        <v>0</v>
      </c>
      <c r="G367" s="1287">
        <f>'Fin Perform'!K25</f>
        <v>0</v>
      </c>
      <c r="H367" s="1287">
        <v>0</v>
      </c>
      <c r="I367" s="1287">
        <f>G367-F367</f>
        <v>0</v>
      </c>
      <c r="J367" s="1324">
        <f>IF(AND((F367&gt;0),(G367&gt;0)),(SUM(G367/F367)*100),0)</f>
        <v>0</v>
      </c>
      <c r="K367" s="1325">
        <f>IF(AND((C367&gt;0),(G367&gt;0)),(SUM(G367/C367)*100),0)</f>
        <v>0</v>
      </c>
      <c r="Q367" s="48"/>
      <c r="S367" s="48"/>
    </row>
    <row r="368" spans="1:19" ht="15" customHeight="1" x14ac:dyDescent="0.25">
      <c r="A368" s="1283" t="s">
        <v>1304</v>
      </c>
      <c r="B368" s="1112"/>
      <c r="C368" s="1288">
        <f t="shared" si="156"/>
        <v>0</v>
      </c>
      <c r="D368" s="1285">
        <f t="shared" si="158"/>
        <v>0</v>
      </c>
      <c r="E368" s="1286">
        <v>0</v>
      </c>
      <c r="F368" s="1286">
        <f>'Fin Perform'!B26</f>
        <v>0</v>
      </c>
      <c r="G368" s="1287">
        <f>'Fin Perform'!K26</f>
        <v>0</v>
      </c>
      <c r="H368" s="1287">
        <v>0</v>
      </c>
      <c r="I368" s="1287">
        <f>G368-F368</f>
        <v>0</v>
      </c>
      <c r="J368" s="1324">
        <f t="shared" ref="J368" si="162">IF(AND((F368&gt;0),(G368&gt;0)),(SUM(G368/F368)*100),0)</f>
        <v>0</v>
      </c>
      <c r="K368" s="1325">
        <f t="shared" ref="K368" si="163">IF(AND((C368&gt;0),(G368&gt;0)),(SUM(G368/C368)*100),0)</f>
        <v>0</v>
      </c>
      <c r="Q368" s="48"/>
      <c r="S368" s="48"/>
    </row>
    <row r="369" spans="1:19" ht="15" customHeight="1" x14ac:dyDescent="0.25">
      <c r="A369" s="1283"/>
      <c r="B369" s="1112"/>
      <c r="C369" s="1288"/>
      <c r="D369" s="1289"/>
      <c r="E369" s="1286"/>
      <c r="F369" s="1286"/>
      <c r="G369" s="1287"/>
      <c r="H369" s="1287"/>
      <c r="I369" s="1287"/>
      <c r="J369" s="1324"/>
      <c r="K369" s="1325"/>
      <c r="Q369" s="48"/>
      <c r="S369" s="48"/>
    </row>
    <row r="370" spans="1:19" ht="15" customHeight="1" x14ac:dyDescent="0.25">
      <c r="A370" s="315" t="s">
        <v>249</v>
      </c>
      <c r="B370" s="1112"/>
      <c r="C370" s="1290">
        <f t="shared" ref="C370:I370" si="164">SUM(C349:C369)</f>
        <v>86831977.860000014</v>
      </c>
      <c r="D370" s="1291">
        <f t="shared" si="164"/>
        <v>0</v>
      </c>
      <c r="E370" s="1292">
        <f t="shared" si="164"/>
        <v>0</v>
      </c>
      <c r="F370" s="1292">
        <f t="shared" si="164"/>
        <v>86831977.860000014</v>
      </c>
      <c r="G370" s="1293">
        <f t="shared" ca="1" si="164"/>
        <v>91072771.129999995</v>
      </c>
      <c r="H370" s="1293">
        <f t="shared" si="164"/>
        <v>0</v>
      </c>
      <c r="I370" s="1293">
        <f t="shared" ca="1" si="164"/>
        <v>4240793.2700000005</v>
      </c>
      <c r="J370" s="1326">
        <f t="shared" ref="J370" ca="1" si="165">IF(AND((F370&gt;0),(G370&gt;0)),(SUM(G370/F370)*100),0)</f>
        <v>104.88390725918677</v>
      </c>
      <c r="K370" s="1327">
        <f t="shared" ref="K370" ca="1" si="166">IF(AND((C370&gt;0),(G370&gt;0)),(SUM(G370/C370)*100),0)</f>
        <v>104.88390725918677</v>
      </c>
      <c r="Q370" s="48"/>
      <c r="S370" s="48"/>
    </row>
    <row r="371" spans="1:19" ht="15" customHeight="1" x14ac:dyDescent="0.25">
      <c r="A371" s="1283"/>
      <c r="B371" s="1112"/>
      <c r="C371" s="1294"/>
      <c r="D371" s="1273"/>
      <c r="E371" s="1294"/>
      <c r="F371" s="1294"/>
      <c r="G371" s="1294"/>
      <c r="H371" s="1294"/>
      <c r="I371" s="1295"/>
      <c r="J371" s="1328"/>
      <c r="K371" s="1325"/>
      <c r="Q371" s="48"/>
      <c r="S371" s="48"/>
    </row>
    <row r="372" spans="1:19" ht="15" customHeight="1" x14ac:dyDescent="0.25">
      <c r="A372" s="315" t="s">
        <v>242</v>
      </c>
      <c r="B372" s="1112"/>
      <c r="C372" s="1280"/>
      <c r="D372" s="1280"/>
      <c r="E372" s="1280"/>
      <c r="F372" s="1280"/>
      <c r="G372" s="1280"/>
      <c r="H372" s="1281"/>
      <c r="I372" s="1281"/>
      <c r="J372" s="1322"/>
      <c r="K372" s="1323"/>
      <c r="Q372" s="48"/>
      <c r="S372" s="48"/>
    </row>
    <row r="373" spans="1:19" ht="15" customHeight="1" x14ac:dyDescent="0.25">
      <c r="A373" s="1283" t="s">
        <v>416</v>
      </c>
      <c r="B373" s="1112"/>
      <c r="C373" s="1284">
        <f>F373</f>
        <v>33847342.579999998</v>
      </c>
      <c r="D373" s="1284">
        <f t="shared" ref="D373:D386" si="167">F373-E373-C373</f>
        <v>0</v>
      </c>
      <c r="E373" s="1284">
        <v>0</v>
      </c>
      <c r="F373" s="1286">
        <f>'Fin Perform'!B33</f>
        <v>33847342.579999998</v>
      </c>
      <c r="G373" s="1287">
        <f>'Fin Perform'!K33</f>
        <v>30691492.049999993</v>
      </c>
      <c r="H373" s="1287">
        <f>IF(SUM(G373-F373)&gt;0,SUM(G373-F373),0)</f>
        <v>0</v>
      </c>
      <c r="I373" s="1287">
        <f>G373-F373</f>
        <v>-3155850.5300000049</v>
      </c>
      <c r="J373" s="1324">
        <f t="shared" ref="J373:J386" si="168">IF(AND((F373&gt;0),(G373&gt;0)),(SUM(G373/F373)*100),0)</f>
        <v>90.676223628070701</v>
      </c>
      <c r="K373" s="1325">
        <f t="shared" ref="K373:K386" si="169">IF(AND((C373&gt;0),(G373&gt;0)),(SUM(G373/C373)*100),0)</f>
        <v>90.676223628070701</v>
      </c>
      <c r="Q373" s="48"/>
      <c r="S373" s="48"/>
    </row>
    <row r="374" spans="1:19" ht="15" customHeight="1" x14ac:dyDescent="0.25">
      <c r="A374" s="1283" t="s">
        <v>250</v>
      </c>
      <c r="B374" s="1112"/>
      <c r="C374" s="1284">
        <f t="shared" ref="C374:C386" si="170">F374</f>
        <v>2321992.7599999998</v>
      </c>
      <c r="D374" s="1284">
        <f t="shared" si="167"/>
        <v>0</v>
      </c>
      <c r="E374" s="1284">
        <v>0</v>
      </c>
      <c r="F374" s="1286">
        <f>'Fin Perform'!B34</f>
        <v>2321992.7599999998</v>
      </c>
      <c r="G374" s="1287">
        <f>'Fin Perform'!K34</f>
        <v>2209126</v>
      </c>
      <c r="H374" s="1287">
        <f t="shared" ref="H374:H382" si="171">IF(SUM(G374-F374)&gt;0,SUM(G374-F374),0)</f>
        <v>0</v>
      </c>
      <c r="I374" s="1287">
        <f t="shared" ref="I374:I382" si="172">G374-F374</f>
        <v>-112866.75999999978</v>
      </c>
      <c r="J374" s="1324">
        <f t="shared" si="168"/>
        <v>95.139228599489698</v>
      </c>
      <c r="K374" s="1325">
        <f t="shared" si="169"/>
        <v>95.139228599489698</v>
      </c>
      <c r="Q374" s="48"/>
      <c r="S374" s="48"/>
    </row>
    <row r="375" spans="1:19" ht="15" customHeight="1" x14ac:dyDescent="0.25">
      <c r="A375" s="1283" t="s">
        <v>417</v>
      </c>
      <c r="B375" s="1112"/>
      <c r="C375" s="1284">
        <f t="shared" si="170"/>
        <v>0</v>
      </c>
      <c r="D375" s="1284">
        <f t="shared" si="167"/>
        <v>0</v>
      </c>
      <c r="E375" s="1284">
        <v>0</v>
      </c>
      <c r="F375" s="1286">
        <f>'Fin Perform'!B35</f>
        <v>0</v>
      </c>
      <c r="G375" s="1287">
        <f>'Fin Perform'!K35</f>
        <v>0</v>
      </c>
      <c r="H375" s="1287">
        <f t="shared" si="171"/>
        <v>0</v>
      </c>
      <c r="I375" s="1287">
        <f t="shared" si="172"/>
        <v>0</v>
      </c>
      <c r="J375" s="1324">
        <f t="shared" si="168"/>
        <v>0</v>
      </c>
      <c r="K375" s="1325">
        <f t="shared" si="169"/>
        <v>0</v>
      </c>
      <c r="Q375" s="48"/>
      <c r="S375" s="48"/>
    </row>
    <row r="376" spans="1:19" ht="15" customHeight="1" x14ac:dyDescent="0.25">
      <c r="A376" s="1283" t="s">
        <v>792</v>
      </c>
      <c r="B376" s="1112"/>
      <c r="C376" s="1284">
        <f t="shared" si="170"/>
        <v>0</v>
      </c>
      <c r="D376" s="1284">
        <f t="shared" si="167"/>
        <v>0</v>
      </c>
      <c r="E376" s="1284">
        <v>0</v>
      </c>
      <c r="F376" s="1286">
        <f>'Fin Perform'!B36</f>
        <v>0</v>
      </c>
      <c r="G376" s="1287">
        <f>'Fin Perform'!K36</f>
        <v>21078163.109999999</v>
      </c>
      <c r="H376" s="1287">
        <f t="shared" si="171"/>
        <v>21078163.109999999</v>
      </c>
      <c r="I376" s="1287">
        <f t="shared" si="172"/>
        <v>21078163.109999999</v>
      </c>
      <c r="J376" s="1324">
        <f t="shared" si="168"/>
        <v>0</v>
      </c>
      <c r="K376" s="1325">
        <f t="shared" si="169"/>
        <v>0</v>
      </c>
      <c r="Q376" s="48"/>
      <c r="S376" s="48"/>
    </row>
    <row r="377" spans="1:19" ht="15" customHeight="1" x14ac:dyDescent="0.25">
      <c r="A377" s="1283" t="s">
        <v>154</v>
      </c>
      <c r="B377" s="1112"/>
      <c r="C377" s="1284">
        <f t="shared" si="170"/>
        <v>1422246.98</v>
      </c>
      <c r="D377" s="1284">
        <f t="shared" si="167"/>
        <v>0</v>
      </c>
      <c r="E377" s="1284">
        <v>0</v>
      </c>
      <c r="F377" s="1286">
        <f>'Fin Perform'!B37</f>
        <v>1422246.98</v>
      </c>
      <c r="G377" s="1287">
        <f>'Fin Perform'!K37</f>
        <v>15271156.710000001</v>
      </c>
      <c r="H377" s="1287">
        <f t="shared" si="171"/>
        <v>13848909.73</v>
      </c>
      <c r="I377" s="1287">
        <f t="shared" si="172"/>
        <v>13848909.73</v>
      </c>
      <c r="J377" s="1324">
        <f t="shared" si="168"/>
        <v>1073.7345148027666</v>
      </c>
      <c r="K377" s="1325">
        <f t="shared" si="169"/>
        <v>1073.7345148027666</v>
      </c>
      <c r="Q377" s="48"/>
      <c r="S377" s="48"/>
    </row>
    <row r="378" spans="1:19" ht="15" customHeight="1" x14ac:dyDescent="0.25">
      <c r="A378" s="1283" t="s">
        <v>418</v>
      </c>
      <c r="B378" s="1112"/>
      <c r="C378" s="1284">
        <f t="shared" si="170"/>
        <v>1636697.3499999999</v>
      </c>
      <c r="D378" s="1284">
        <f t="shared" si="167"/>
        <v>0</v>
      </c>
      <c r="E378" s="1284">
        <v>0</v>
      </c>
      <c r="F378" s="1286">
        <f>'Fin Perform'!B38</f>
        <v>1636697.3499999999</v>
      </c>
      <c r="G378" s="1287">
        <f>'Fin Perform'!K38</f>
        <v>1024248.8399999999</v>
      </c>
      <c r="H378" s="1287">
        <f t="shared" si="171"/>
        <v>0</v>
      </c>
      <c r="I378" s="1287">
        <f t="shared" si="172"/>
        <v>-612448.51</v>
      </c>
      <c r="J378" s="1324">
        <f t="shared" si="168"/>
        <v>62.580222299498431</v>
      </c>
      <c r="K378" s="1325">
        <f t="shared" si="169"/>
        <v>62.580222299498431</v>
      </c>
    </row>
    <row r="379" spans="1:19" ht="15" customHeight="1" x14ac:dyDescent="0.25">
      <c r="A379" s="1283" t="s">
        <v>1455</v>
      </c>
      <c r="B379" s="1112"/>
      <c r="C379" s="1284">
        <f t="shared" si="170"/>
        <v>4797180.18</v>
      </c>
      <c r="D379" s="1284">
        <f t="shared" si="167"/>
        <v>0</v>
      </c>
      <c r="E379" s="1284">
        <v>0</v>
      </c>
      <c r="F379" s="1286">
        <f>'Fin Perform'!B39</f>
        <v>4797180.18</v>
      </c>
      <c r="G379" s="1287">
        <f>'Fin Perform'!K39</f>
        <v>2436791.37</v>
      </c>
      <c r="H379" s="1287">
        <f t="shared" si="171"/>
        <v>0</v>
      </c>
      <c r="I379" s="1287">
        <f t="shared" si="172"/>
        <v>-2360388.8099999996</v>
      </c>
      <c r="J379" s="1324">
        <f t="shared" si="168"/>
        <v>50.796327812727696</v>
      </c>
      <c r="K379" s="1325">
        <f t="shared" si="169"/>
        <v>50.796327812727696</v>
      </c>
    </row>
    <row r="380" spans="1:19" ht="15" customHeight="1" x14ac:dyDescent="0.25">
      <c r="A380" s="1283" t="s">
        <v>420</v>
      </c>
      <c r="B380" s="1112"/>
      <c r="C380" s="1284">
        <f t="shared" si="170"/>
        <v>4033319.12</v>
      </c>
      <c r="D380" s="1284">
        <f t="shared" si="167"/>
        <v>0</v>
      </c>
      <c r="E380" s="1284">
        <v>0</v>
      </c>
      <c r="F380" s="1286">
        <f>'Fin Perform'!B40</f>
        <v>4033319.12</v>
      </c>
      <c r="G380" s="1287">
        <f>'Fin Perform'!K40</f>
        <v>16136859.409999998</v>
      </c>
      <c r="H380" s="1287">
        <f t="shared" si="171"/>
        <v>12103540.289999999</v>
      </c>
      <c r="I380" s="1287">
        <f t="shared" si="172"/>
        <v>12103540.289999999</v>
      </c>
      <c r="J380" s="1324">
        <f t="shared" si="168"/>
        <v>400.08883328825215</v>
      </c>
      <c r="K380" s="1325">
        <f t="shared" si="169"/>
        <v>400.08883328825215</v>
      </c>
    </row>
    <row r="381" spans="1:19" ht="15" customHeight="1" x14ac:dyDescent="0.25">
      <c r="A381" s="1283" t="s">
        <v>421</v>
      </c>
      <c r="B381" s="1112"/>
      <c r="C381" s="1284">
        <f t="shared" si="170"/>
        <v>5200000</v>
      </c>
      <c r="D381" s="1284">
        <f t="shared" si="167"/>
        <v>0</v>
      </c>
      <c r="E381" s="1284">
        <v>0</v>
      </c>
      <c r="F381" s="1286">
        <f>'Fin Perform'!B41</f>
        <v>5200000</v>
      </c>
      <c r="G381" s="1287">
        <f>'Fin Perform'!K41</f>
        <v>8020299.459999999</v>
      </c>
      <c r="H381" s="1287">
        <f t="shared" si="171"/>
        <v>2820299.459999999</v>
      </c>
      <c r="I381" s="1287">
        <f t="shared" si="172"/>
        <v>2820299.459999999</v>
      </c>
      <c r="J381" s="1324">
        <f t="shared" si="168"/>
        <v>154.23652807692307</v>
      </c>
      <c r="K381" s="1325">
        <f t="shared" si="169"/>
        <v>154.23652807692307</v>
      </c>
      <c r="Q381" s="48"/>
      <c r="S381" s="48"/>
    </row>
    <row r="382" spans="1:19" ht="15" customHeight="1" x14ac:dyDescent="0.25">
      <c r="A382" s="1283" t="s">
        <v>422</v>
      </c>
      <c r="B382" s="1112"/>
      <c r="C382" s="1284">
        <f t="shared" si="170"/>
        <v>0</v>
      </c>
      <c r="D382" s="1284">
        <f t="shared" si="167"/>
        <v>0</v>
      </c>
      <c r="E382" s="1284">
        <v>0</v>
      </c>
      <c r="F382" s="1286">
        <f>'Fin Perform'!B42</f>
        <v>0</v>
      </c>
      <c r="G382" s="1287">
        <f>'Fin Perform'!K42</f>
        <v>4155905.9800000004</v>
      </c>
      <c r="H382" s="1287">
        <f t="shared" si="171"/>
        <v>4155905.9800000004</v>
      </c>
      <c r="I382" s="1287">
        <f t="shared" si="172"/>
        <v>4155905.9800000004</v>
      </c>
      <c r="J382" s="1324">
        <f t="shared" si="168"/>
        <v>0</v>
      </c>
      <c r="K382" s="1325">
        <f t="shared" si="169"/>
        <v>0</v>
      </c>
    </row>
    <row r="383" spans="1:19" ht="15" customHeight="1" x14ac:dyDescent="0.25">
      <c r="A383" s="1283" t="s">
        <v>793</v>
      </c>
      <c r="B383" s="1112"/>
      <c r="C383" s="1284">
        <f t="shared" si="170"/>
        <v>0</v>
      </c>
      <c r="D383" s="1284">
        <f t="shared" si="167"/>
        <v>0</v>
      </c>
      <c r="E383" s="1284">
        <v>0</v>
      </c>
      <c r="F383" s="1286">
        <f>'Fin Perform'!B43</f>
        <v>0</v>
      </c>
      <c r="G383" s="1287">
        <f>'Fin Perform'!K43</f>
        <v>0</v>
      </c>
      <c r="H383" s="1287">
        <f>IF(SUM(G383-F383)&gt;0,SUM(G383-F383),0)</f>
        <v>0</v>
      </c>
      <c r="I383" s="1287">
        <f>G383-F383</f>
        <v>0</v>
      </c>
      <c r="J383" s="1324">
        <f t="shared" si="168"/>
        <v>0</v>
      </c>
      <c r="K383" s="1325">
        <f t="shared" si="169"/>
        <v>0</v>
      </c>
    </row>
    <row r="384" spans="1:19" ht="15" customHeight="1" x14ac:dyDescent="0.25">
      <c r="A384" s="1283" t="s">
        <v>423</v>
      </c>
      <c r="B384" s="1112"/>
      <c r="C384" s="1284">
        <f t="shared" si="170"/>
        <v>28707660.119999986</v>
      </c>
      <c r="D384" s="1284">
        <f t="shared" si="167"/>
        <v>0</v>
      </c>
      <c r="E384" s="1284">
        <v>0</v>
      </c>
      <c r="F384" s="1286">
        <f>'Fin Perform'!B44</f>
        <v>28707660.119999986</v>
      </c>
      <c r="G384" s="1287">
        <f>'Fin Perform'!K44</f>
        <v>19176808.199999999</v>
      </c>
      <c r="H384" s="1287">
        <f t="shared" ref="H384:H386" si="173">IF(SUM(G384-F384)&gt;0,SUM(G384-F384),0)</f>
        <v>0</v>
      </c>
      <c r="I384" s="1287">
        <f t="shared" ref="I384:I386" si="174">G384-F384</f>
        <v>-9530851.9199999869</v>
      </c>
      <c r="J384" s="1324">
        <f t="shared" si="168"/>
        <v>66.800317824021974</v>
      </c>
      <c r="K384" s="1325">
        <f t="shared" si="169"/>
        <v>66.800317824021974</v>
      </c>
    </row>
    <row r="385" spans="1:19" ht="15" customHeight="1" x14ac:dyDescent="0.25">
      <c r="A385" s="1283" t="s">
        <v>794</v>
      </c>
      <c r="B385" s="1112"/>
      <c r="C385" s="1284">
        <f t="shared" si="170"/>
        <v>0</v>
      </c>
      <c r="D385" s="1284">
        <f t="shared" si="167"/>
        <v>0</v>
      </c>
      <c r="E385" s="1284">
        <v>0</v>
      </c>
      <c r="F385" s="1286">
        <f>'Fin Perform'!B45</f>
        <v>0</v>
      </c>
      <c r="G385" s="1287">
        <f>'Fin Perform'!K45</f>
        <v>0</v>
      </c>
      <c r="H385" s="1287">
        <f t="shared" si="173"/>
        <v>0</v>
      </c>
      <c r="I385" s="1287">
        <f t="shared" si="174"/>
        <v>0</v>
      </c>
      <c r="J385" s="1324">
        <f t="shared" si="168"/>
        <v>0</v>
      </c>
      <c r="K385" s="1325">
        <f t="shared" si="169"/>
        <v>0</v>
      </c>
      <c r="Q385" s="48"/>
      <c r="S385" s="48"/>
    </row>
    <row r="386" spans="1:19" ht="15" customHeight="1" x14ac:dyDescent="0.25">
      <c r="A386" s="1283" t="s">
        <v>1462</v>
      </c>
      <c r="B386" s="1112"/>
      <c r="C386" s="1284">
        <f t="shared" si="170"/>
        <v>0</v>
      </c>
      <c r="D386" s="1284">
        <f t="shared" si="167"/>
        <v>0</v>
      </c>
      <c r="E386" s="1284">
        <v>0</v>
      </c>
      <c r="F386" s="1286">
        <f>'Fin Perform'!B46</f>
        <v>0</v>
      </c>
      <c r="G386" s="1287">
        <f>'Fin Perform'!K46</f>
        <v>0</v>
      </c>
      <c r="H386" s="1287">
        <f t="shared" si="173"/>
        <v>0</v>
      </c>
      <c r="I386" s="1287">
        <f t="shared" si="174"/>
        <v>0</v>
      </c>
      <c r="J386" s="1324">
        <f t="shared" si="168"/>
        <v>0</v>
      </c>
      <c r="K386" s="1325">
        <f t="shared" si="169"/>
        <v>0</v>
      </c>
      <c r="Q386" s="48"/>
      <c r="S386" s="48"/>
    </row>
    <row r="387" spans="1:19" ht="15" customHeight="1" x14ac:dyDescent="0.25">
      <c r="A387" s="1283"/>
      <c r="B387" s="1112"/>
      <c r="C387" s="1296"/>
      <c r="D387" s="1297"/>
      <c r="E387" s="1298"/>
      <c r="F387" s="1298"/>
      <c r="G387" s="1299"/>
      <c r="H387" s="1299"/>
      <c r="I387" s="1299"/>
      <c r="J387" s="1324"/>
      <c r="K387" s="1325"/>
      <c r="Q387" s="48"/>
      <c r="S387" s="48"/>
    </row>
    <row r="388" spans="1:19" ht="15" customHeight="1" x14ac:dyDescent="0.25">
      <c r="A388" s="315" t="s">
        <v>252</v>
      </c>
      <c r="B388" s="1300"/>
      <c r="C388" s="1332">
        <f>SUM(C372:C387)</f>
        <v>81966439.089999974</v>
      </c>
      <c r="D388" s="1333">
        <f t="shared" ref="D388:I388" si="175">SUM(D372:D387)</f>
        <v>0</v>
      </c>
      <c r="E388" s="1292">
        <f t="shared" si="175"/>
        <v>0</v>
      </c>
      <c r="F388" s="1292">
        <f t="shared" si="175"/>
        <v>81966439.089999974</v>
      </c>
      <c r="G388" s="1293">
        <f t="shared" si="175"/>
        <v>120200851.13000001</v>
      </c>
      <c r="H388" s="1293">
        <f t="shared" si="175"/>
        <v>54006818.570000008</v>
      </c>
      <c r="I388" s="1293">
        <f t="shared" si="175"/>
        <v>38234412.040000007</v>
      </c>
      <c r="J388" s="1326">
        <f t="shared" ref="J388" si="176">IF(AND((F388&gt;0),(G388&gt;0)),(SUM(G388/F388)*100),0)</f>
        <v>146.64642317573205</v>
      </c>
      <c r="K388" s="1327">
        <f t="shared" ref="K388" si="177">IF(AND((C388&gt;0),(G388&gt;0)),(SUM(G388/C388)*100),0)</f>
        <v>146.64642317573205</v>
      </c>
      <c r="Q388" s="48"/>
      <c r="S388" s="48"/>
    </row>
    <row r="389" spans="1:19" ht="15" customHeight="1" x14ac:dyDescent="0.25">
      <c r="A389" s="315"/>
      <c r="B389" s="1300"/>
      <c r="C389" s="1338"/>
      <c r="D389" s="1339"/>
      <c r="E389" s="1340"/>
      <c r="F389" s="1341">
        <f>F388-'Fin Perform'!B48</f>
        <v>0</v>
      </c>
      <c r="G389" s="1341">
        <f>G388-'Fin Perform'!K48</f>
        <v>0</v>
      </c>
      <c r="H389" s="1342"/>
      <c r="I389" s="1342"/>
      <c r="J389" s="1343"/>
      <c r="K389" s="1344"/>
      <c r="Q389" s="48"/>
      <c r="S389" s="48"/>
    </row>
    <row r="390" spans="1:19" ht="15" customHeight="1" x14ac:dyDescent="0.25">
      <c r="A390" s="315" t="s">
        <v>1448</v>
      </c>
      <c r="B390" s="316"/>
      <c r="C390" s="1294">
        <f>C370-C388</f>
        <v>4865538.7700000405</v>
      </c>
      <c r="D390" s="1274">
        <f t="shared" ref="D390:I390" si="178">D370-D388</f>
        <v>0</v>
      </c>
      <c r="E390" s="1294">
        <f t="shared" si="178"/>
        <v>0</v>
      </c>
      <c r="F390" s="1294">
        <f t="shared" si="178"/>
        <v>4865538.7700000405</v>
      </c>
      <c r="G390" s="1295">
        <f t="shared" ca="1" si="178"/>
        <v>-29128080.000000015</v>
      </c>
      <c r="H390" s="1295">
        <f t="shared" si="178"/>
        <v>-54006818.570000008</v>
      </c>
      <c r="I390" s="1295">
        <f t="shared" ca="1" si="178"/>
        <v>-33993618.770000003</v>
      </c>
      <c r="J390" s="1328">
        <f t="shared" ref="J390" ca="1" si="179">IF(AND((F390&gt;0),(G390&gt;0)),(SUM(G390/F390)*100),0)</f>
        <v>0</v>
      </c>
      <c r="K390" s="1325">
        <f t="shared" ref="K390:K392" ca="1" si="180">IF(AND((C390&gt;0),(G390&gt;0)),(SUM(G390/C390)*100),0)</f>
        <v>0</v>
      </c>
      <c r="Q390" s="48"/>
      <c r="S390" s="48"/>
    </row>
    <row r="391" spans="1:19" ht="15" customHeight="1" x14ac:dyDescent="0.25">
      <c r="A391" s="1283" t="s">
        <v>4119</v>
      </c>
      <c r="B391" s="1112"/>
      <c r="C391" s="1294">
        <v>0</v>
      </c>
      <c r="D391" s="1284">
        <f t="shared" ref="D391:D392" si="181">F391-E391-C391</f>
        <v>0</v>
      </c>
      <c r="E391" s="1284">
        <v>0</v>
      </c>
      <c r="F391" s="1295"/>
      <c r="G391" s="1295">
        <f>'Notes II'!K2096</f>
        <v>15307554.1</v>
      </c>
      <c r="H391" s="1287">
        <f t="shared" ref="H391:H392" si="182">IF(SUM(G391-F391)&gt;0,SUM(G391-F391),0)</f>
        <v>15307554.1</v>
      </c>
      <c r="I391" s="1287">
        <f t="shared" ref="I391:I392" si="183">G391-F391</f>
        <v>15307554.1</v>
      </c>
      <c r="J391" s="1324">
        <f t="shared" ref="J391:J392" si="184">IF(AND((F391&gt;0),(G391&gt;0)),(SUM(G391/F391)*100),0)</f>
        <v>0</v>
      </c>
      <c r="K391" s="1325">
        <f t="shared" si="180"/>
        <v>0</v>
      </c>
      <c r="Q391" s="48"/>
      <c r="S391" s="48"/>
    </row>
    <row r="392" spans="1:19" ht="15" customHeight="1" x14ac:dyDescent="0.25">
      <c r="A392" s="1283" t="s">
        <v>4120</v>
      </c>
      <c r="B392" s="1112"/>
      <c r="C392" s="1294">
        <v>0</v>
      </c>
      <c r="D392" s="1284">
        <f t="shared" si="181"/>
        <v>0</v>
      </c>
      <c r="E392" s="1284">
        <v>0</v>
      </c>
      <c r="F392" s="1295"/>
      <c r="G392" s="1295">
        <f ca="1">'Notes II'!K2359</f>
        <v>0</v>
      </c>
      <c r="H392" s="1287">
        <f t="shared" ca="1" si="182"/>
        <v>0</v>
      </c>
      <c r="I392" s="1287">
        <f t="shared" ca="1" si="183"/>
        <v>0</v>
      </c>
      <c r="J392" s="1324">
        <f t="shared" ca="1" si="184"/>
        <v>0</v>
      </c>
      <c r="K392" s="1325">
        <f t="shared" ca="1" si="180"/>
        <v>0</v>
      </c>
      <c r="Q392" s="48"/>
      <c r="S392" s="48"/>
    </row>
    <row r="393" spans="1:19" ht="15" customHeight="1" x14ac:dyDescent="0.25">
      <c r="A393" s="1283"/>
      <c r="B393" s="1112"/>
      <c r="C393" s="1294"/>
      <c r="D393" s="1273"/>
      <c r="E393" s="1294"/>
      <c r="F393" s="1295"/>
      <c r="G393" s="1295"/>
      <c r="H393" s="1295"/>
      <c r="I393" s="1295"/>
      <c r="J393" s="1328"/>
      <c r="K393" s="1325"/>
      <c r="Q393" s="48"/>
      <c r="S393" s="48"/>
    </row>
    <row r="394" spans="1:19" ht="30" customHeight="1" x14ac:dyDescent="0.25">
      <c r="A394" s="2809" t="s">
        <v>4121</v>
      </c>
      <c r="B394" s="2833"/>
      <c r="C394" s="1338">
        <f t="shared" ref="C394:I394" si="185">SUM(C390:C393)</f>
        <v>4865538.7700000405</v>
      </c>
      <c r="D394" s="1338">
        <f t="shared" si="185"/>
        <v>0</v>
      </c>
      <c r="E394" s="1338">
        <f t="shared" si="185"/>
        <v>0</v>
      </c>
      <c r="F394" s="1338">
        <f t="shared" si="185"/>
        <v>4865538.7700000405</v>
      </c>
      <c r="G394" s="1338">
        <f t="shared" ca="1" si="185"/>
        <v>-13820525.900000015</v>
      </c>
      <c r="H394" s="1338">
        <f t="shared" ca="1" si="185"/>
        <v>-38699264.470000006</v>
      </c>
      <c r="I394" s="1338">
        <f t="shared" ca="1" si="185"/>
        <v>-18686064.670000002</v>
      </c>
      <c r="J394" s="1345">
        <f t="shared" ref="J394" ca="1" si="186">IF(AND((F394&gt;0),(G394&gt;0)),(SUM(G394/F394)*100),0)</f>
        <v>0</v>
      </c>
      <c r="K394" s="1344">
        <f t="shared" ref="K394:K396" ca="1" si="187">IF(AND((C394&gt;0),(G394&gt;0)),(SUM(G394/C394)*100),0)</f>
        <v>0</v>
      </c>
      <c r="Q394" s="48"/>
      <c r="S394" s="48"/>
    </row>
    <row r="395" spans="1:19" ht="15" customHeight="1" x14ac:dyDescent="0.25">
      <c r="A395" s="1283" t="s">
        <v>795</v>
      </c>
      <c r="B395" s="1112"/>
      <c r="C395" s="1294">
        <v>0</v>
      </c>
      <c r="D395" s="1284">
        <f t="shared" ref="D395:D396" si="188">F395-E395-C395</f>
        <v>0</v>
      </c>
      <c r="E395" s="1284">
        <v>0</v>
      </c>
      <c r="F395" s="1295">
        <f>'Fin Perform'!B52</f>
        <v>0</v>
      </c>
      <c r="G395" s="1295">
        <f>'Fin Perform'!K52</f>
        <v>0</v>
      </c>
      <c r="H395" s="1287">
        <f t="shared" ref="H395:H396" si="189">IF(SUM(G395-F395)&gt;0,SUM(G395-F395),0)</f>
        <v>0</v>
      </c>
      <c r="I395" s="1287">
        <f t="shared" ref="I395:I396" si="190">G395-F395</f>
        <v>0</v>
      </c>
      <c r="J395" s="1324">
        <f t="shared" ref="J395" si="191">IF(AND((F395&gt;0),(G395&gt;0)),(SUM(G395/F395)*100),0)</f>
        <v>0</v>
      </c>
      <c r="K395" s="1325">
        <f t="shared" si="187"/>
        <v>0</v>
      </c>
      <c r="Q395" s="48"/>
      <c r="S395" s="48"/>
    </row>
    <row r="396" spans="1:19" ht="15" customHeight="1" x14ac:dyDescent="0.25">
      <c r="A396" s="1283" t="s">
        <v>4122</v>
      </c>
      <c r="B396" s="1112"/>
      <c r="C396" s="1294">
        <v>0</v>
      </c>
      <c r="D396" s="1284">
        <f t="shared" si="188"/>
        <v>0</v>
      </c>
      <c r="E396" s="1284">
        <v>0</v>
      </c>
      <c r="F396" s="1295">
        <f>'Fin Perform'!B55</f>
        <v>0</v>
      </c>
      <c r="G396" s="1295">
        <f>'Fin Perform'!K55</f>
        <v>0</v>
      </c>
      <c r="H396" s="1287">
        <f t="shared" si="189"/>
        <v>0</v>
      </c>
      <c r="I396" s="1287">
        <f t="shared" si="190"/>
        <v>0</v>
      </c>
      <c r="J396" s="1324">
        <f t="shared" ref="J396" si="192">IF(AND((F396&gt;0),(G396&gt;0)),(SUM(G396/F396)*100),0)</f>
        <v>0</v>
      </c>
      <c r="K396" s="1325">
        <f t="shared" si="187"/>
        <v>0</v>
      </c>
      <c r="Q396" s="48"/>
      <c r="S396" s="48"/>
    </row>
    <row r="397" spans="1:19" ht="15" customHeight="1" x14ac:dyDescent="0.25">
      <c r="A397" s="1283"/>
      <c r="B397" s="1112"/>
      <c r="C397" s="1294"/>
      <c r="D397" s="1273"/>
      <c r="E397" s="1294"/>
      <c r="F397" s="1295"/>
      <c r="G397" s="1295"/>
      <c r="H397" s="1295"/>
      <c r="I397" s="1295"/>
      <c r="J397" s="1328"/>
      <c r="K397" s="1325"/>
      <c r="Q397" s="48"/>
      <c r="S397" s="48"/>
    </row>
    <row r="398" spans="1:19" ht="15" customHeight="1" thickBot="1" x14ac:dyDescent="0.3">
      <c r="A398" s="315" t="s">
        <v>4123</v>
      </c>
      <c r="B398" s="316"/>
      <c r="C398" s="756">
        <f>SUM(C394:C397)</f>
        <v>4865538.7700000405</v>
      </c>
      <c r="D398" s="756">
        <f t="shared" ref="D398:I398" si="193">SUM(D394:D397)</f>
        <v>0</v>
      </c>
      <c r="E398" s="756">
        <f t="shared" si="193"/>
        <v>0</v>
      </c>
      <c r="F398" s="756">
        <f t="shared" si="193"/>
        <v>4865538.7700000405</v>
      </c>
      <c r="G398" s="756">
        <f t="shared" ca="1" si="193"/>
        <v>-13820525.900000015</v>
      </c>
      <c r="H398" s="756">
        <f t="shared" ca="1" si="193"/>
        <v>-38699264.470000006</v>
      </c>
      <c r="I398" s="756">
        <f t="shared" ca="1" si="193"/>
        <v>-18686064.670000002</v>
      </c>
      <c r="J398" s="1346">
        <f t="shared" ref="J398" ca="1" si="194">IF(AND((F398&gt;0),(G398&gt;0)),(SUM(G398/F398)*100),0)</f>
        <v>0</v>
      </c>
      <c r="K398" s="1347">
        <f t="shared" ref="K398" ca="1" si="195">IF(AND((C398&gt;0),(G398&gt;0)),(SUM(G398/C398)*100),0)</f>
        <v>0</v>
      </c>
      <c r="Q398" s="48"/>
      <c r="S398" s="48"/>
    </row>
    <row r="399" spans="1:19" ht="15" customHeight="1" thickTop="1" x14ac:dyDescent="0.25">
      <c r="A399" s="1283"/>
      <c r="B399" s="1112"/>
      <c r="C399" s="1294"/>
      <c r="D399" s="1273"/>
      <c r="E399" s="1294"/>
      <c r="F399" s="1295">
        <f>F398-'Fin Perform'!B57</f>
        <v>0</v>
      </c>
      <c r="G399" s="1295">
        <f ca="1">G398-'Fin Perform'!K57</f>
        <v>0</v>
      </c>
      <c r="H399" s="1295"/>
      <c r="I399" s="1295"/>
      <c r="J399" s="1328"/>
      <c r="K399" s="1325"/>
      <c r="Q399" s="48"/>
      <c r="S399" s="48"/>
    </row>
    <row r="400" spans="1:19" ht="15" hidden="1" customHeight="1" x14ac:dyDescent="0.25">
      <c r="A400" s="315" t="s">
        <v>4126</v>
      </c>
      <c r="B400" s="1112"/>
      <c r="C400" s="310"/>
      <c r="D400" s="314"/>
      <c r="E400" s="1277"/>
      <c r="F400" s="1111"/>
      <c r="G400" s="1111"/>
      <c r="H400" s="1278"/>
      <c r="I400" s="1278"/>
      <c r="J400" s="1328"/>
      <c r="K400" s="1325"/>
      <c r="Q400" s="48"/>
      <c r="S400" s="48"/>
    </row>
    <row r="401" spans="1:19" ht="15" hidden="1" customHeight="1" x14ac:dyDescent="0.25">
      <c r="A401" s="1283" t="str">
        <f>'APPENDIX E(2)'!A33</f>
        <v>Executive and Council</v>
      </c>
      <c r="B401" s="1112"/>
      <c r="C401" s="1294">
        <v>0</v>
      </c>
      <c r="D401" s="1273">
        <f t="shared" ref="D401:D414" si="196">F401-E401-C401</f>
        <v>0</v>
      </c>
      <c r="E401" s="1294">
        <v>0</v>
      </c>
      <c r="F401" s="1286">
        <f>'APPENDIX E(2)'!E33</f>
        <v>0</v>
      </c>
      <c r="G401" s="1295">
        <f>'APPENDIX E(2)'!D33</f>
        <v>0</v>
      </c>
      <c r="H401" s="1287">
        <f>IF(SUM(G401-F401)&gt;0,SUM(G401-F401),0)</f>
        <v>0</v>
      </c>
      <c r="I401" s="1287">
        <f>G401-F401</f>
        <v>0</v>
      </c>
      <c r="J401" s="1324">
        <f t="shared" ref="J401:J414" si="197">IF(AND((F401&gt;0),(G401&gt;0)),(SUM(G401/F401)*100),0)</f>
        <v>0</v>
      </c>
      <c r="K401" s="1325">
        <f t="shared" ref="K401:K414" si="198">IF(AND((C401&gt;0),(G401&gt;0)),(SUM(G401/C401)*100),0)</f>
        <v>0</v>
      </c>
      <c r="Q401" s="48"/>
      <c r="S401" s="48"/>
    </row>
    <row r="402" spans="1:19" ht="15" hidden="1" customHeight="1" x14ac:dyDescent="0.25">
      <c r="A402" s="1283" t="str">
        <f>'APPENDIX E(2)'!A34</f>
        <v>Finance and Administration</v>
      </c>
      <c r="B402" s="1112"/>
      <c r="C402" s="1294">
        <v>0</v>
      </c>
      <c r="D402" s="1273">
        <f t="shared" si="196"/>
        <v>0</v>
      </c>
      <c r="E402" s="1294">
        <v>0</v>
      </c>
      <c r="F402" s="1286">
        <f>'APPENDIX E(2)'!E34</f>
        <v>0</v>
      </c>
      <c r="G402" s="1295">
        <f>'APPENDIX E(2)'!D34</f>
        <v>0</v>
      </c>
      <c r="H402" s="1287">
        <f t="shared" ref="H402:H414" si="199">IF(SUM(G402-F402)&gt;0,SUM(G402-F402),0)</f>
        <v>0</v>
      </c>
      <c r="I402" s="1287">
        <f t="shared" ref="I402:I414" si="200">G402-F402</f>
        <v>0</v>
      </c>
      <c r="J402" s="1324">
        <f t="shared" si="197"/>
        <v>0</v>
      </c>
      <c r="K402" s="1325">
        <f t="shared" si="198"/>
        <v>0</v>
      </c>
      <c r="Q402" s="48"/>
      <c r="S402" s="48"/>
    </row>
    <row r="403" spans="1:19" ht="15" hidden="1" customHeight="1" x14ac:dyDescent="0.25">
      <c r="A403" s="1283" t="str">
        <f>'APPENDIX E(2)'!A35</f>
        <v>Planning and Development</v>
      </c>
      <c r="B403" s="1112"/>
      <c r="C403" s="1294">
        <v>0</v>
      </c>
      <c r="D403" s="1273">
        <f t="shared" si="196"/>
        <v>0</v>
      </c>
      <c r="E403" s="1294">
        <v>0</v>
      </c>
      <c r="F403" s="1286">
        <f>'APPENDIX E(2)'!E35</f>
        <v>0</v>
      </c>
      <c r="G403" s="1295">
        <f>'APPENDIX E(2)'!D35</f>
        <v>0</v>
      </c>
      <c r="H403" s="1287">
        <f t="shared" si="199"/>
        <v>0</v>
      </c>
      <c r="I403" s="1287">
        <f t="shared" si="200"/>
        <v>0</v>
      </c>
      <c r="J403" s="1324">
        <f t="shared" si="197"/>
        <v>0</v>
      </c>
      <c r="K403" s="1325">
        <f t="shared" si="198"/>
        <v>0</v>
      </c>
      <c r="Q403" s="48"/>
      <c r="S403" s="48"/>
    </row>
    <row r="404" spans="1:19" ht="15" hidden="1" customHeight="1" x14ac:dyDescent="0.25">
      <c r="A404" s="1283" t="str">
        <f>'APPENDIX E(2)'!A36</f>
        <v>Health</v>
      </c>
      <c r="B404" s="1112"/>
      <c r="C404" s="1294">
        <v>0</v>
      </c>
      <c r="D404" s="1273">
        <f t="shared" si="196"/>
        <v>0</v>
      </c>
      <c r="E404" s="1294">
        <v>0</v>
      </c>
      <c r="F404" s="1286">
        <f>'APPENDIX E(2)'!E36</f>
        <v>0</v>
      </c>
      <c r="G404" s="1295">
        <f>'APPENDIX E(2)'!D36</f>
        <v>0</v>
      </c>
      <c r="H404" s="1287">
        <f t="shared" si="199"/>
        <v>0</v>
      </c>
      <c r="I404" s="1287">
        <f t="shared" si="200"/>
        <v>0</v>
      </c>
      <c r="J404" s="1324">
        <f t="shared" si="197"/>
        <v>0</v>
      </c>
      <c r="K404" s="1325">
        <f t="shared" si="198"/>
        <v>0</v>
      </c>
      <c r="Q404" s="48"/>
      <c r="S404" s="48"/>
    </row>
    <row r="405" spans="1:19" ht="15" hidden="1" customHeight="1" x14ac:dyDescent="0.25">
      <c r="A405" s="1283" t="str">
        <f>'APPENDIX E(2)'!A37</f>
        <v>Community and Social Services</v>
      </c>
      <c r="B405" s="1112"/>
      <c r="C405" s="1294">
        <v>0</v>
      </c>
      <c r="D405" s="1273">
        <f t="shared" si="196"/>
        <v>0</v>
      </c>
      <c r="E405" s="1294">
        <v>0</v>
      </c>
      <c r="F405" s="1286">
        <f>'APPENDIX E(2)'!E37</f>
        <v>0</v>
      </c>
      <c r="G405" s="1295">
        <f>'APPENDIX E(2)'!D37</f>
        <v>0</v>
      </c>
      <c r="H405" s="1287">
        <f t="shared" si="199"/>
        <v>0</v>
      </c>
      <c r="I405" s="1287">
        <f t="shared" si="200"/>
        <v>0</v>
      </c>
      <c r="J405" s="1324">
        <f t="shared" si="197"/>
        <v>0</v>
      </c>
      <c r="K405" s="1325">
        <f t="shared" si="198"/>
        <v>0</v>
      </c>
      <c r="Q405" s="48"/>
      <c r="S405" s="48"/>
    </row>
    <row r="406" spans="1:19" ht="15" hidden="1" customHeight="1" x14ac:dyDescent="0.25">
      <c r="A406" s="1283" t="str">
        <f>'APPENDIX E(2)'!A38</f>
        <v>Housing</v>
      </c>
      <c r="B406" s="1112"/>
      <c r="C406" s="1294">
        <v>0</v>
      </c>
      <c r="D406" s="1273">
        <f t="shared" si="196"/>
        <v>0</v>
      </c>
      <c r="E406" s="1294">
        <v>0</v>
      </c>
      <c r="F406" s="1286">
        <f>'APPENDIX E(2)'!E38</f>
        <v>0</v>
      </c>
      <c r="G406" s="1295">
        <f>'APPENDIX E(2)'!D38</f>
        <v>0</v>
      </c>
      <c r="H406" s="1287">
        <f t="shared" si="199"/>
        <v>0</v>
      </c>
      <c r="I406" s="1287">
        <f t="shared" si="200"/>
        <v>0</v>
      </c>
      <c r="J406" s="1324">
        <f t="shared" si="197"/>
        <v>0</v>
      </c>
      <c r="K406" s="1325">
        <f t="shared" si="198"/>
        <v>0</v>
      </c>
      <c r="Q406" s="48"/>
      <c r="S406" s="48"/>
    </row>
    <row r="407" spans="1:19" ht="15" hidden="1" customHeight="1" x14ac:dyDescent="0.25">
      <c r="A407" s="1283" t="str">
        <f>'APPENDIX E(2)'!A39</f>
        <v>Public Safety</v>
      </c>
      <c r="B407" s="1112"/>
      <c r="C407" s="1294">
        <v>0</v>
      </c>
      <c r="D407" s="1273">
        <f t="shared" si="196"/>
        <v>0</v>
      </c>
      <c r="E407" s="1294">
        <v>0</v>
      </c>
      <c r="F407" s="1286">
        <f>'APPENDIX E(2)'!E39</f>
        <v>0</v>
      </c>
      <c r="G407" s="1295">
        <f>'APPENDIX E(2)'!D39</f>
        <v>0</v>
      </c>
      <c r="H407" s="1287">
        <f t="shared" si="199"/>
        <v>0</v>
      </c>
      <c r="I407" s="1287">
        <f t="shared" si="200"/>
        <v>0</v>
      </c>
      <c r="J407" s="1324">
        <f t="shared" si="197"/>
        <v>0</v>
      </c>
      <c r="K407" s="1325">
        <f t="shared" si="198"/>
        <v>0</v>
      </c>
      <c r="Q407" s="48"/>
      <c r="S407" s="48"/>
    </row>
    <row r="408" spans="1:19" ht="15" hidden="1" customHeight="1" x14ac:dyDescent="0.25">
      <c r="A408" s="1283" t="str">
        <f>'APPENDIX E(2)'!A40</f>
        <v>Sport and Recreation</v>
      </c>
      <c r="B408" s="1112"/>
      <c r="C408" s="1294">
        <v>0</v>
      </c>
      <c r="D408" s="1273">
        <f t="shared" si="196"/>
        <v>0</v>
      </c>
      <c r="E408" s="1294">
        <v>0</v>
      </c>
      <c r="F408" s="1286">
        <f>'APPENDIX E(2)'!E40</f>
        <v>0</v>
      </c>
      <c r="G408" s="1295">
        <f>'APPENDIX E(2)'!D40</f>
        <v>0</v>
      </c>
      <c r="H408" s="1287">
        <f t="shared" si="199"/>
        <v>0</v>
      </c>
      <c r="I408" s="1287">
        <f t="shared" si="200"/>
        <v>0</v>
      </c>
      <c r="J408" s="1324">
        <f t="shared" si="197"/>
        <v>0</v>
      </c>
      <c r="K408" s="1325">
        <f t="shared" si="198"/>
        <v>0</v>
      </c>
    </row>
    <row r="409" spans="1:19" ht="15" hidden="1" customHeight="1" x14ac:dyDescent="0.25">
      <c r="A409" s="1283" t="str">
        <f>'APPENDIX E(2)'!A41</f>
        <v>Environmental Protection</v>
      </c>
      <c r="B409" s="1112"/>
      <c r="C409" s="1294">
        <v>0</v>
      </c>
      <c r="D409" s="1273">
        <f t="shared" si="196"/>
        <v>0</v>
      </c>
      <c r="E409" s="1294">
        <v>0</v>
      </c>
      <c r="F409" s="1286">
        <f>'APPENDIX E(2)'!E41</f>
        <v>0</v>
      </c>
      <c r="G409" s="1295">
        <f>'APPENDIX E(2)'!D41</f>
        <v>0</v>
      </c>
      <c r="H409" s="1287">
        <f t="shared" si="199"/>
        <v>0</v>
      </c>
      <c r="I409" s="1287">
        <f t="shared" si="200"/>
        <v>0</v>
      </c>
      <c r="J409" s="1324">
        <f t="shared" si="197"/>
        <v>0</v>
      </c>
      <c r="K409" s="1325">
        <f t="shared" si="198"/>
        <v>0</v>
      </c>
      <c r="Q409" s="48"/>
      <c r="S409" s="48"/>
    </row>
    <row r="410" spans="1:19" ht="15" hidden="1" customHeight="1" x14ac:dyDescent="0.25">
      <c r="A410" s="1283" t="str">
        <f>'APPENDIX E(2)'!A42</f>
        <v>Waste Management</v>
      </c>
      <c r="B410" s="1112"/>
      <c r="C410" s="1294">
        <v>0</v>
      </c>
      <c r="D410" s="1273">
        <f t="shared" si="196"/>
        <v>0</v>
      </c>
      <c r="E410" s="1294">
        <v>0</v>
      </c>
      <c r="F410" s="1286">
        <f>'APPENDIX E(2)'!E42</f>
        <v>0</v>
      </c>
      <c r="G410" s="1295">
        <f>'APPENDIX E(2)'!D42</f>
        <v>0</v>
      </c>
      <c r="H410" s="1287">
        <f t="shared" si="199"/>
        <v>0</v>
      </c>
      <c r="I410" s="1287">
        <f t="shared" si="200"/>
        <v>0</v>
      </c>
      <c r="J410" s="1324">
        <f t="shared" si="197"/>
        <v>0</v>
      </c>
      <c r="K410" s="1325">
        <f t="shared" si="198"/>
        <v>0</v>
      </c>
      <c r="Q410" s="48"/>
      <c r="S410" s="48"/>
    </row>
    <row r="411" spans="1:19" ht="15" hidden="1" customHeight="1" x14ac:dyDescent="0.25">
      <c r="A411" s="1283" t="str">
        <f>'APPENDIX E(2)'!A43</f>
        <v>Roads and Transport</v>
      </c>
      <c r="B411" s="1112"/>
      <c r="C411" s="1294">
        <v>0</v>
      </c>
      <c r="D411" s="1273">
        <f t="shared" si="196"/>
        <v>0</v>
      </c>
      <c r="E411" s="1294">
        <v>0</v>
      </c>
      <c r="F411" s="1286">
        <f>'APPENDIX E(2)'!E43</f>
        <v>0</v>
      </c>
      <c r="G411" s="1295">
        <f>'APPENDIX E(2)'!D43</f>
        <v>0</v>
      </c>
      <c r="H411" s="1287">
        <f t="shared" si="199"/>
        <v>0</v>
      </c>
      <c r="I411" s="1287">
        <f t="shared" si="200"/>
        <v>0</v>
      </c>
      <c r="J411" s="1324">
        <f t="shared" si="197"/>
        <v>0</v>
      </c>
      <c r="K411" s="1325">
        <f t="shared" si="198"/>
        <v>0</v>
      </c>
    </row>
    <row r="412" spans="1:19" ht="15" hidden="1" customHeight="1" x14ac:dyDescent="0.25">
      <c r="A412" s="1283" t="str">
        <f>'APPENDIX E(2)'!A44</f>
        <v>Water</v>
      </c>
      <c r="B412" s="1112"/>
      <c r="C412" s="1294">
        <v>0</v>
      </c>
      <c r="D412" s="1273">
        <f t="shared" si="196"/>
        <v>0</v>
      </c>
      <c r="E412" s="1294">
        <v>0</v>
      </c>
      <c r="F412" s="1286">
        <f>'APPENDIX E(2)'!E44</f>
        <v>0</v>
      </c>
      <c r="G412" s="1295">
        <f>'APPENDIX E(2)'!D44</f>
        <v>0</v>
      </c>
      <c r="H412" s="1287">
        <f t="shared" si="199"/>
        <v>0</v>
      </c>
      <c r="I412" s="1287">
        <f t="shared" si="200"/>
        <v>0</v>
      </c>
      <c r="J412" s="1324">
        <f t="shared" si="197"/>
        <v>0</v>
      </c>
      <c r="K412" s="1325">
        <f t="shared" si="198"/>
        <v>0</v>
      </c>
    </row>
    <row r="413" spans="1:19" ht="15" hidden="1" customHeight="1" x14ac:dyDescent="0.25">
      <c r="A413" s="1283" t="str">
        <f>'APPENDIX E(2)'!A45</f>
        <v>Electricity</v>
      </c>
      <c r="B413" s="1112"/>
      <c r="C413" s="1294">
        <v>0</v>
      </c>
      <c r="D413" s="1273">
        <f t="shared" si="196"/>
        <v>0</v>
      </c>
      <c r="E413" s="1294">
        <v>0</v>
      </c>
      <c r="F413" s="1286">
        <f>'APPENDIX E(2)'!E45</f>
        <v>0</v>
      </c>
      <c r="G413" s="1295">
        <f>'APPENDIX E(2)'!D45</f>
        <v>0</v>
      </c>
      <c r="H413" s="1287">
        <f t="shared" si="199"/>
        <v>0</v>
      </c>
      <c r="I413" s="1287">
        <f t="shared" si="200"/>
        <v>0</v>
      </c>
      <c r="J413" s="1324">
        <f t="shared" si="197"/>
        <v>0</v>
      </c>
      <c r="K413" s="1325">
        <f t="shared" si="198"/>
        <v>0</v>
      </c>
      <c r="Q413" s="48"/>
      <c r="S413" s="48"/>
    </row>
    <row r="414" spans="1:19" ht="15" hidden="1" customHeight="1" x14ac:dyDescent="0.25">
      <c r="A414" s="1283" t="str">
        <f>'APPENDIX E(2)'!A46</f>
        <v>Other</v>
      </c>
      <c r="B414" s="1112"/>
      <c r="C414" s="1294">
        <v>0</v>
      </c>
      <c r="D414" s="1273">
        <f t="shared" si="196"/>
        <v>0</v>
      </c>
      <c r="E414" s="1294">
        <v>0</v>
      </c>
      <c r="F414" s="1286">
        <f>'APPENDIX E(2)'!E46</f>
        <v>0</v>
      </c>
      <c r="G414" s="1295">
        <f>'APPENDIX E(2)'!D46</f>
        <v>0</v>
      </c>
      <c r="H414" s="1287">
        <f t="shared" si="199"/>
        <v>0</v>
      </c>
      <c r="I414" s="1287">
        <f t="shared" si="200"/>
        <v>0</v>
      </c>
      <c r="J414" s="1324">
        <f t="shared" si="197"/>
        <v>0</v>
      </c>
      <c r="K414" s="1325">
        <f t="shared" si="198"/>
        <v>0</v>
      </c>
    </row>
    <row r="415" spans="1:19" ht="15" hidden="1" customHeight="1" thickBot="1" x14ac:dyDescent="0.3">
      <c r="A415" s="1283"/>
      <c r="B415" s="1300"/>
      <c r="C415" s="1294"/>
      <c r="D415" s="1273"/>
      <c r="E415" s="1286"/>
      <c r="F415" s="1286"/>
      <c r="G415" s="1287"/>
      <c r="H415" s="1287"/>
      <c r="I415" s="1287"/>
      <c r="J415" s="1324"/>
      <c r="K415" s="1325"/>
      <c r="Q415" s="48"/>
      <c r="S415" s="48"/>
    </row>
    <row r="416" spans="1:19" ht="15" hidden="1" customHeight="1" thickTop="1" thickBot="1" x14ac:dyDescent="0.3">
      <c r="A416" s="315" t="s">
        <v>4109</v>
      </c>
      <c r="B416" s="316"/>
      <c r="C416" s="317">
        <f t="shared" ref="C416:I416" si="201">SUM(C400:C415)</f>
        <v>0</v>
      </c>
      <c r="D416" s="318">
        <f t="shared" si="201"/>
        <v>0</v>
      </c>
      <c r="E416" s="317">
        <f t="shared" si="201"/>
        <v>0</v>
      </c>
      <c r="F416" s="317">
        <f t="shared" si="201"/>
        <v>0</v>
      </c>
      <c r="G416" s="319">
        <f t="shared" si="201"/>
        <v>0</v>
      </c>
      <c r="H416" s="319">
        <f t="shared" si="201"/>
        <v>0</v>
      </c>
      <c r="I416" s="319">
        <f t="shared" si="201"/>
        <v>0</v>
      </c>
      <c r="J416" s="1329">
        <f t="shared" ref="J416" si="202">IF(AND((F416&gt;0),(G416&gt;0)),(SUM(G416/F416)*100),0)</f>
        <v>0</v>
      </c>
      <c r="K416" s="1330">
        <f t="shared" ref="K416" si="203">IF(AND((C416&gt;0),(G416&gt;0)),(SUM(G416/C416)*100),0)</f>
        <v>0</v>
      </c>
      <c r="Q416" s="48"/>
      <c r="S416" s="48"/>
    </row>
    <row r="417" spans="1:11" ht="15" hidden="1" customHeight="1" thickTop="1" x14ac:dyDescent="0.25">
      <c r="A417" s="1283"/>
      <c r="B417" s="1112"/>
      <c r="C417" s="1294"/>
      <c r="D417" s="1294"/>
      <c r="E417" s="1294"/>
      <c r="F417" s="1294">
        <f>F416-'APPENDIX E(2)'!E48</f>
        <v>0</v>
      </c>
      <c r="G417" s="1294">
        <f>G416-'APPENDIX E(2)'!D48</f>
        <v>0</v>
      </c>
      <c r="H417" s="1295"/>
      <c r="I417" s="1295"/>
      <c r="J417" s="1328"/>
      <c r="K417" s="1325"/>
    </row>
    <row r="418" spans="1:11" ht="15" customHeight="1" x14ac:dyDescent="0.25">
      <c r="A418" s="315" t="s">
        <v>4127</v>
      </c>
      <c r="B418" s="1112"/>
      <c r="C418" s="310"/>
      <c r="D418" s="314"/>
      <c r="E418" s="1277"/>
      <c r="F418" s="1111"/>
      <c r="G418" s="1111"/>
      <c r="H418" s="1278"/>
      <c r="I418" s="1278"/>
      <c r="J418" s="1328"/>
      <c r="K418" s="1325"/>
    </row>
    <row r="419" spans="1:11" ht="15" customHeight="1" x14ac:dyDescent="0.25">
      <c r="A419" s="315" t="s">
        <v>4128</v>
      </c>
      <c r="B419" s="1112"/>
      <c r="C419" s="1280"/>
      <c r="D419" s="1280"/>
      <c r="E419" s="1280"/>
      <c r="F419" s="1280"/>
      <c r="G419" s="1280"/>
      <c r="H419" s="1281"/>
      <c r="I419" s="1281"/>
      <c r="J419" s="1322"/>
      <c r="K419" s="1323"/>
    </row>
    <row r="420" spans="1:11" ht="15" customHeight="1" x14ac:dyDescent="0.25">
      <c r="A420" s="1283" t="s">
        <v>4136</v>
      </c>
      <c r="B420" s="1112"/>
      <c r="C420" s="1294">
        <v>0</v>
      </c>
      <c r="D420" s="1273">
        <f t="shared" ref="D420:D421" si="204">F420-E420-C420</f>
        <v>0</v>
      </c>
      <c r="E420" s="1294">
        <v>0</v>
      </c>
      <c r="F420" s="1286">
        <f>'Cash Flow'!B10</f>
        <v>0</v>
      </c>
      <c r="G420" s="1286">
        <f>'Cash Flow'!L10</f>
        <v>115155264</v>
      </c>
      <c r="H420" s="1287">
        <f>IF(SUM(G420-F420)&gt;0,SUM(G420-F420),0)</f>
        <v>115155264</v>
      </c>
      <c r="I420" s="1287">
        <f>G420-F420</f>
        <v>115155264</v>
      </c>
      <c r="J420" s="1324">
        <f t="shared" ref="J420:J421" si="205">IF(AND((F420&gt;0),(G420&gt;0)),(SUM(G420/F420)*100),0)</f>
        <v>0</v>
      </c>
      <c r="K420" s="1325">
        <f t="shared" ref="K420:K421" si="206">IF(AND((C420&gt;0),(G420&gt;0)),(SUM(G420/C420)*100),0)</f>
        <v>0</v>
      </c>
    </row>
    <row r="421" spans="1:11" ht="15" customHeight="1" x14ac:dyDescent="0.25">
      <c r="A421" s="1283" t="s">
        <v>4137</v>
      </c>
      <c r="B421" s="1112"/>
      <c r="C421" s="1294">
        <v>0</v>
      </c>
      <c r="D421" s="1273">
        <f t="shared" si="204"/>
        <v>0</v>
      </c>
      <c r="E421" s="1294">
        <v>0</v>
      </c>
      <c r="F421" s="1286">
        <f>'Cash Flow'!B20</f>
        <v>0</v>
      </c>
      <c r="G421" s="1286">
        <f>'Cash Flow'!L20+727790</f>
        <v>-88087205</v>
      </c>
      <c r="H421" s="1287">
        <f t="shared" ref="H421" si="207">IF(SUM(G421-F421)&gt;0,SUM(G421-F421),0)</f>
        <v>0</v>
      </c>
      <c r="I421" s="1287">
        <f t="shared" ref="I421" si="208">G421-F421</f>
        <v>-88087205</v>
      </c>
      <c r="J421" s="1324">
        <f t="shared" si="205"/>
        <v>0</v>
      </c>
      <c r="K421" s="1325">
        <f t="shared" si="206"/>
        <v>0</v>
      </c>
    </row>
    <row r="422" spans="1:11" ht="15" customHeight="1" x14ac:dyDescent="0.25">
      <c r="A422" s="1283" t="s">
        <v>65</v>
      </c>
      <c r="B422" s="1112"/>
      <c r="C422" s="1294">
        <v>0</v>
      </c>
      <c r="D422" s="1273">
        <f>F422-E422-C422</f>
        <v>0</v>
      </c>
      <c r="E422" s="1294">
        <v>0</v>
      </c>
      <c r="F422" s="1286">
        <f>'Cash Flow'!B14</f>
        <v>0</v>
      </c>
      <c r="G422" s="1286">
        <f>'Cash Flow'!L14</f>
        <v>0</v>
      </c>
      <c r="H422" s="1287">
        <f>IF(SUM(G422-F422)&gt;0,SUM(G422-F422),0)</f>
        <v>0</v>
      </c>
      <c r="I422" s="1287">
        <f>G422-F422</f>
        <v>0</v>
      </c>
      <c r="J422" s="1324">
        <f>IF(AND((F422&gt;0),(G422&gt;0)),(SUM(G422/F422)*100),0)</f>
        <v>0</v>
      </c>
      <c r="K422" s="1325">
        <f>IF(AND((C422&gt;0),(G422&gt;0)),(SUM(G422/C422)*100),0)</f>
        <v>0</v>
      </c>
    </row>
    <row r="423" spans="1:11" ht="15" customHeight="1" x14ac:dyDescent="0.25">
      <c r="A423" s="1283" t="s">
        <v>798</v>
      </c>
      <c r="B423" s="1112"/>
      <c r="C423" s="1294">
        <v>0</v>
      </c>
      <c r="D423" s="1273">
        <f>F423-E423-C423</f>
        <v>0</v>
      </c>
      <c r="E423" s="1294">
        <v>0</v>
      </c>
      <c r="F423" s="1286">
        <f>'Cash Flow'!B15</f>
        <v>0</v>
      </c>
      <c r="G423" s="1286">
        <f>'Cash Flow'!L15</f>
        <v>0</v>
      </c>
      <c r="H423" s="1287">
        <f>IF(SUM(G423-F423)&gt;0,SUM(G423-F423),0)</f>
        <v>0</v>
      </c>
      <c r="I423" s="1287">
        <f>G423-F423</f>
        <v>0</v>
      </c>
      <c r="J423" s="1324">
        <f>IF(AND((F423&gt;0),(G423&gt;0)),(SUM(G423/F423)*100),0)</f>
        <v>0</v>
      </c>
      <c r="K423" s="1325">
        <f>IF(AND((C423&gt;0),(G423&gt;0)),(SUM(G423/C423)*100),0)</f>
        <v>0</v>
      </c>
    </row>
    <row r="424" spans="1:11" ht="15" customHeight="1" x14ac:dyDescent="0.25">
      <c r="A424" s="1283" t="s">
        <v>227</v>
      </c>
      <c r="B424" s="1112"/>
      <c r="C424" s="1294">
        <v>0</v>
      </c>
      <c r="D424" s="1273">
        <f>F424-E424-C424</f>
        <v>0</v>
      </c>
      <c r="E424" s="1294">
        <v>0</v>
      </c>
      <c r="F424" s="1286">
        <f>'Cash Flow'!B16</f>
        <v>0</v>
      </c>
      <c r="G424" s="1286">
        <f>'Cash Flow'!L16</f>
        <v>258129</v>
      </c>
      <c r="H424" s="1287">
        <f>IF(SUM(G424-F424)&gt;0,SUM(G424-F424),0)</f>
        <v>258129</v>
      </c>
      <c r="I424" s="1287">
        <f>G424-F424</f>
        <v>258129</v>
      </c>
      <c r="J424" s="1324">
        <f>IF(AND((F424&gt;0),(G424&gt;0)),(SUM(G424/F424)*100),0)</f>
        <v>0</v>
      </c>
      <c r="K424" s="1325">
        <f>IF(AND((C424&gt;0),(G424&gt;0)),(SUM(G424/C424)*100),0)</f>
        <v>0</v>
      </c>
    </row>
    <row r="425" spans="1:11" ht="15" customHeight="1" x14ac:dyDescent="0.25">
      <c r="A425" s="1283" t="s">
        <v>257</v>
      </c>
      <c r="B425" s="1112"/>
      <c r="C425" s="1294">
        <v>0</v>
      </c>
      <c r="D425" s="1273">
        <f>F425-E425-C425</f>
        <v>0</v>
      </c>
      <c r="E425" s="1294">
        <v>0</v>
      </c>
      <c r="F425" s="1286">
        <f>'Cash Flow'!B22</f>
        <v>0</v>
      </c>
      <c r="G425" s="1286">
        <f>'Cash Flow'!L22</f>
        <v>-2436791</v>
      </c>
      <c r="H425" s="1287">
        <f>IF(SUM(G425-F425)&gt;0,SUM(G425-F425),0)</f>
        <v>0</v>
      </c>
      <c r="I425" s="1287">
        <f>G425-F425</f>
        <v>-2436791</v>
      </c>
      <c r="J425" s="1324">
        <f>IF(AND((F425&gt;0),(G425&gt;0)),(SUM(G425/F425)*100),0)</f>
        <v>0</v>
      </c>
      <c r="K425" s="1325">
        <f>IF(AND((C425&gt;0),(G425&gt;0)),(SUM(G425/C425)*100),0)</f>
        <v>0</v>
      </c>
    </row>
    <row r="426" spans="1:11" ht="15" customHeight="1" x14ac:dyDescent="0.25">
      <c r="A426" s="1283"/>
      <c r="B426" s="1112"/>
      <c r="C426" s="1284"/>
      <c r="D426" s="1285"/>
      <c r="E426" s="1286"/>
      <c r="F426" s="1286"/>
      <c r="G426" s="1287"/>
      <c r="H426" s="1287"/>
      <c r="I426" s="1287"/>
      <c r="J426" s="1324"/>
      <c r="K426" s="1325"/>
    </row>
    <row r="427" spans="1:11" ht="15" customHeight="1" x14ac:dyDescent="0.25">
      <c r="A427" s="315" t="s">
        <v>4129</v>
      </c>
      <c r="B427" s="1112"/>
      <c r="C427" s="1284"/>
      <c r="D427" s="1285"/>
      <c r="E427" s="1286"/>
      <c r="F427" s="1286"/>
      <c r="G427" s="1287"/>
      <c r="H427" s="1287"/>
      <c r="I427" s="1287"/>
      <c r="J427" s="1324"/>
      <c r="K427" s="1325"/>
    </row>
    <row r="428" spans="1:11" ht="15" customHeight="1" x14ac:dyDescent="0.25">
      <c r="A428" s="1283" t="s">
        <v>799</v>
      </c>
      <c r="B428" s="1112"/>
      <c r="C428" s="1294">
        <v>0</v>
      </c>
      <c r="D428" s="1273">
        <f t="shared" ref="D428:D437" si="209">F428-E428-C428</f>
        <v>0</v>
      </c>
      <c r="E428" s="1294">
        <v>0</v>
      </c>
      <c r="F428" s="1286">
        <f>'Cash Flow'!B30</f>
        <v>0</v>
      </c>
      <c r="G428" s="1295">
        <f>'Cash Flow'!L30</f>
        <v>-29980227</v>
      </c>
      <c r="H428" s="1287">
        <f t="shared" ref="H428" si="210">IF(SUM(G428-F428)&gt;0,SUM(G428-F428),0)</f>
        <v>0</v>
      </c>
      <c r="I428" s="1287">
        <f t="shared" ref="I428:I437" si="211">G428-F428</f>
        <v>-29980227</v>
      </c>
      <c r="J428" s="1324">
        <f t="shared" ref="J428:J437" si="212">IF(AND((F428&gt;0),(G428&gt;0)),(SUM(G428/F428)*100),0)</f>
        <v>0</v>
      </c>
      <c r="K428" s="1325">
        <f t="shared" ref="K428:K437" si="213">IF(AND((C428&gt;0),(G428&gt;0)),(SUM(G428/C428)*100),0)</f>
        <v>0</v>
      </c>
    </row>
    <row r="429" spans="1:11" ht="15" customHeight="1" x14ac:dyDescent="0.25">
      <c r="A429" s="1283" t="s">
        <v>800</v>
      </c>
      <c r="B429" s="1112"/>
      <c r="C429" s="1294">
        <v>0</v>
      </c>
      <c r="D429" s="1273">
        <f t="shared" si="209"/>
        <v>0</v>
      </c>
      <c r="E429" s="1294">
        <v>0</v>
      </c>
      <c r="F429" s="1286">
        <f>'Cash Flow'!B31</f>
        <v>0</v>
      </c>
      <c r="G429" s="1295">
        <f>'Cash Flow'!L31</f>
        <v>0</v>
      </c>
      <c r="H429" s="1287">
        <f t="shared" ref="H429:H437" si="214">IF(SUM(G429-F429)&gt;0,SUM(G429-F429),0)</f>
        <v>0</v>
      </c>
      <c r="I429" s="1287">
        <f t="shared" si="211"/>
        <v>0</v>
      </c>
      <c r="J429" s="1324">
        <f t="shared" si="212"/>
        <v>0</v>
      </c>
      <c r="K429" s="1325">
        <f t="shared" si="213"/>
        <v>0</v>
      </c>
    </row>
    <row r="430" spans="1:11" ht="15" customHeight="1" x14ac:dyDescent="0.25">
      <c r="A430" s="1283" t="s">
        <v>801</v>
      </c>
      <c r="B430" s="1112"/>
      <c r="C430" s="1294">
        <v>0</v>
      </c>
      <c r="D430" s="1273">
        <f t="shared" si="209"/>
        <v>0</v>
      </c>
      <c r="E430" s="1294">
        <v>0</v>
      </c>
      <c r="F430" s="1286">
        <f>'Cash Flow'!B32</f>
        <v>0</v>
      </c>
      <c r="G430" s="1295">
        <f>'Cash Flow'!L32</f>
        <v>0</v>
      </c>
      <c r="H430" s="1287">
        <f t="shared" si="214"/>
        <v>0</v>
      </c>
      <c r="I430" s="1287">
        <f t="shared" si="211"/>
        <v>0</v>
      </c>
      <c r="J430" s="1324">
        <f t="shared" si="212"/>
        <v>0</v>
      </c>
      <c r="K430" s="1325">
        <f t="shared" si="213"/>
        <v>0</v>
      </c>
    </row>
    <row r="431" spans="1:11" ht="15" customHeight="1" x14ac:dyDescent="0.25">
      <c r="A431" s="1283" t="s">
        <v>802</v>
      </c>
      <c r="B431" s="1112"/>
      <c r="C431" s="1294">
        <v>0</v>
      </c>
      <c r="D431" s="1273">
        <f t="shared" si="209"/>
        <v>0</v>
      </c>
      <c r="E431" s="1294">
        <v>0</v>
      </c>
      <c r="F431" s="1286">
        <f>'Cash Flow'!B34</f>
        <v>0</v>
      </c>
      <c r="G431" s="1295">
        <f>'Cash Flow'!L34</f>
        <v>740308</v>
      </c>
      <c r="H431" s="1287">
        <f t="shared" si="214"/>
        <v>740308</v>
      </c>
      <c r="I431" s="1287">
        <f t="shared" si="211"/>
        <v>740308</v>
      </c>
      <c r="J431" s="1324">
        <f t="shared" si="212"/>
        <v>0</v>
      </c>
      <c r="K431" s="1325">
        <f t="shared" si="213"/>
        <v>0</v>
      </c>
    </row>
    <row r="432" spans="1:11" ht="15" customHeight="1" x14ac:dyDescent="0.25">
      <c r="A432" s="1283" t="s">
        <v>1464</v>
      </c>
      <c r="B432" s="1112"/>
      <c r="C432" s="1294">
        <v>0</v>
      </c>
      <c r="D432" s="1273">
        <f t="shared" si="209"/>
        <v>0</v>
      </c>
      <c r="E432" s="1294">
        <v>0</v>
      </c>
      <c r="F432" s="1286">
        <f>'Cash Flow'!B35</f>
        <v>0</v>
      </c>
      <c r="G432" s="1295">
        <f>'Cash Flow'!L35</f>
        <v>0</v>
      </c>
      <c r="H432" s="1287">
        <f t="shared" si="214"/>
        <v>0</v>
      </c>
      <c r="I432" s="1287">
        <f t="shared" si="211"/>
        <v>0</v>
      </c>
      <c r="J432" s="1324">
        <f t="shared" si="212"/>
        <v>0</v>
      </c>
      <c r="K432" s="1325">
        <f t="shared" si="213"/>
        <v>0</v>
      </c>
    </row>
    <row r="433" spans="1:19" ht="15" customHeight="1" x14ac:dyDescent="0.25">
      <c r="A433" s="1283" t="s">
        <v>1465</v>
      </c>
      <c r="B433" s="1112"/>
      <c r="C433" s="1294">
        <v>0</v>
      </c>
      <c r="D433" s="1273">
        <f t="shared" si="209"/>
        <v>0</v>
      </c>
      <c r="E433" s="1294">
        <v>0</v>
      </c>
      <c r="F433" s="1286">
        <f>'Cash Flow'!B36</f>
        <v>0</v>
      </c>
      <c r="G433" s="1295">
        <f>'Cash Flow'!L36</f>
        <v>0</v>
      </c>
      <c r="H433" s="1287">
        <f t="shared" si="214"/>
        <v>0</v>
      </c>
      <c r="I433" s="1287">
        <f t="shared" si="211"/>
        <v>0</v>
      </c>
      <c r="J433" s="1324">
        <f t="shared" si="212"/>
        <v>0</v>
      </c>
      <c r="K433" s="1325">
        <f t="shared" si="213"/>
        <v>0</v>
      </c>
    </row>
    <row r="434" spans="1:19" ht="15" customHeight="1" x14ac:dyDescent="0.25">
      <c r="A434" s="1283" t="s">
        <v>1304</v>
      </c>
      <c r="B434" s="1112"/>
      <c r="C434" s="1294">
        <v>0</v>
      </c>
      <c r="D434" s="1273">
        <f t="shared" si="209"/>
        <v>0</v>
      </c>
      <c r="E434" s="1294">
        <v>0</v>
      </c>
      <c r="F434" s="1286">
        <f>'Cash Flow'!B38</f>
        <v>0</v>
      </c>
      <c r="G434" s="1295">
        <f>'Cash Flow'!L38</f>
        <v>0</v>
      </c>
      <c r="H434" s="1287">
        <f t="shared" si="214"/>
        <v>0</v>
      </c>
      <c r="I434" s="1287">
        <f t="shared" si="211"/>
        <v>0</v>
      </c>
      <c r="J434" s="1324">
        <f t="shared" si="212"/>
        <v>0</v>
      </c>
      <c r="K434" s="1325">
        <f t="shared" si="213"/>
        <v>0</v>
      </c>
    </row>
    <row r="435" spans="1:19" ht="15" customHeight="1" x14ac:dyDescent="0.25">
      <c r="A435" s="1283" t="s">
        <v>1651</v>
      </c>
      <c r="B435" s="1112"/>
      <c r="C435" s="1294">
        <v>0</v>
      </c>
      <c r="D435" s="1273">
        <f t="shared" si="209"/>
        <v>0</v>
      </c>
      <c r="E435" s="1294">
        <v>0</v>
      </c>
      <c r="F435" s="1286">
        <f>'Cash Flow'!B39</f>
        <v>0</v>
      </c>
      <c r="G435" s="1295">
        <f>'Cash Flow'!L39</f>
        <v>-95826</v>
      </c>
      <c r="H435" s="1287">
        <f t="shared" si="214"/>
        <v>0</v>
      </c>
      <c r="I435" s="1287">
        <f t="shared" si="211"/>
        <v>-95826</v>
      </c>
      <c r="J435" s="1324">
        <f t="shared" si="212"/>
        <v>0</v>
      </c>
      <c r="K435" s="1325">
        <f t="shared" si="213"/>
        <v>0</v>
      </c>
    </row>
    <row r="436" spans="1:19" ht="15" customHeight="1" x14ac:dyDescent="0.25">
      <c r="A436" s="1283" t="s">
        <v>1652</v>
      </c>
      <c r="B436" s="1112"/>
      <c r="C436" s="1294">
        <v>0</v>
      </c>
      <c r="D436" s="1273">
        <f t="shared" si="209"/>
        <v>0</v>
      </c>
      <c r="E436" s="1294">
        <v>0</v>
      </c>
      <c r="F436" s="1286">
        <f>'Cash Flow'!B40</f>
        <v>0</v>
      </c>
      <c r="G436" s="1295">
        <f>'Cash Flow'!L40</f>
        <v>0</v>
      </c>
      <c r="H436" s="1287">
        <f t="shared" si="214"/>
        <v>0</v>
      </c>
      <c r="I436" s="1287">
        <f t="shared" si="211"/>
        <v>0</v>
      </c>
      <c r="J436" s="1324">
        <f t="shared" si="212"/>
        <v>0</v>
      </c>
      <c r="K436" s="1325">
        <f t="shared" si="213"/>
        <v>0</v>
      </c>
    </row>
    <row r="437" spans="1:19" ht="15" customHeight="1" x14ac:dyDescent="0.25">
      <c r="A437" s="1283" t="s">
        <v>1653</v>
      </c>
      <c r="B437" s="1112"/>
      <c r="C437" s="1294">
        <v>0</v>
      </c>
      <c r="D437" s="1273">
        <f t="shared" si="209"/>
        <v>0</v>
      </c>
      <c r="E437" s="1294">
        <v>0</v>
      </c>
      <c r="F437" s="1286">
        <f>'Cash Flow'!B41</f>
        <v>0</v>
      </c>
      <c r="G437" s="1295">
        <f>'Cash Flow'!L41</f>
        <v>0</v>
      </c>
      <c r="H437" s="1287">
        <f t="shared" si="214"/>
        <v>0</v>
      </c>
      <c r="I437" s="1287">
        <f t="shared" si="211"/>
        <v>0</v>
      </c>
      <c r="J437" s="1324">
        <f t="shared" si="212"/>
        <v>0</v>
      </c>
      <c r="K437" s="1325">
        <f t="shared" si="213"/>
        <v>0</v>
      </c>
    </row>
    <row r="438" spans="1:19" ht="15" customHeight="1" x14ac:dyDescent="0.25">
      <c r="A438" s="1283"/>
      <c r="B438" s="1112"/>
      <c r="C438" s="1294"/>
      <c r="D438" s="1273"/>
      <c r="E438" s="1294"/>
      <c r="F438" s="1286"/>
      <c r="G438" s="1295"/>
      <c r="H438" s="1287"/>
      <c r="I438" s="1287"/>
      <c r="J438" s="1324"/>
      <c r="K438" s="1325"/>
    </row>
    <row r="439" spans="1:19" ht="15" customHeight="1" x14ac:dyDescent="0.25">
      <c r="A439" s="315" t="s">
        <v>4130</v>
      </c>
      <c r="B439" s="1112"/>
      <c r="C439" s="1284"/>
      <c r="D439" s="1285"/>
      <c r="E439" s="1286"/>
      <c r="F439" s="1286"/>
      <c r="G439" s="1287"/>
      <c r="H439" s="1287"/>
      <c r="I439" s="1287"/>
      <c r="J439" s="1324"/>
      <c r="K439" s="1325"/>
      <c r="Q439" s="48"/>
      <c r="S439" s="48"/>
    </row>
    <row r="440" spans="1:19" ht="15" customHeight="1" x14ac:dyDescent="0.25">
      <c r="A440" s="1283" t="s">
        <v>1466</v>
      </c>
      <c r="B440" s="1112"/>
      <c r="C440" s="1294">
        <v>0</v>
      </c>
      <c r="D440" s="1273">
        <f t="shared" ref="D440:D442" si="215">F440-E440-C440</f>
        <v>0</v>
      </c>
      <c r="E440" s="1294">
        <v>0</v>
      </c>
      <c r="F440" s="1286">
        <f>'Cash Flow'!B47</f>
        <v>0</v>
      </c>
      <c r="G440" s="1295">
        <f>'Cash Flow'!L47</f>
        <v>0</v>
      </c>
      <c r="H440" s="1287">
        <f t="shared" ref="H440:H442" si="216">IF(SUM(G440-F440)&gt;0,SUM(G440-F440),0)</f>
        <v>0</v>
      </c>
      <c r="I440" s="1287">
        <f t="shared" ref="I440:I442" si="217">G440-F440</f>
        <v>0</v>
      </c>
      <c r="J440" s="1324">
        <f t="shared" ref="J440:J442" si="218">IF(AND((F440&gt;0),(G440&gt;0)),(SUM(G440/F440)*100),0)</f>
        <v>0</v>
      </c>
      <c r="K440" s="1325">
        <f t="shared" ref="K440:K442" si="219">IF(AND((C440&gt;0),(G440&gt;0)),(SUM(G440/C440)*100),0)</f>
        <v>0</v>
      </c>
      <c r="Q440" s="48"/>
      <c r="S440" s="48"/>
    </row>
    <row r="441" spans="1:19" ht="15" customHeight="1" x14ac:dyDescent="0.25">
      <c r="A441" s="1283" t="s">
        <v>1467</v>
      </c>
      <c r="B441" s="1112"/>
      <c r="C441" s="1294">
        <v>0</v>
      </c>
      <c r="D441" s="1273">
        <f t="shared" si="215"/>
        <v>0</v>
      </c>
      <c r="E441" s="1294">
        <v>0</v>
      </c>
      <c r="F441" s="1286">
        <f>'Cash Flow'!B48</f>
        <v>0</v>
      </c>
      <c r="G441" s="1295">
        <f>'Cash Flow'!L48</f>
        <v>4593703</v>
      </c>
      <c r="H441" s="1287">
        <f t="shared" si="216"/>
        <v>4593703</v>
      </c>
      <c r="I441" s="1287">
        <f t="shared" si="217"/>
        <v>4593703</v>
      </c>
      <c r="J441" s="1324">
        <f t="shared" si="218"/>
        <v>0</v>
      </c>
      <c r="K441" s="1325">
        <f t="shared" si="219"/>
        <v>0</v>
      </c>
    </row>
    <row r="442" spans="1:19" ht="15" customHeight="1" x14ac:dyDescent="0.25">
      <c r="A442" s="1283" t="s">
        <v>1650</v>
      </c>
      <c r="B442" s="1112"/>
      <c r="C442" s="1294">
        <v>0</v>
      </c>
      <c r="D442" s="1273">
        <f t="shared" si="215"/>
        <v>0</v>
      </c>
      <c r="E442" s="1294">
        <v>0</v>
      </c>
      <c r="F442" s="1286">
        <f>'Cash Flow'!B49</f>
        <v>0</v>
      </c>
      <c r="G442" s="1295">
        <f>'Cash Flow'!L49</f>
        <v>0</v>
      </c>
      <c r="H442" s="1287">
        <f t="shared" si="216"/>
        <v>0</v>
      </c>
      <c r="I442" s="1287">
        <f t="shared" si="217"/>
        <v>0</v>
      </c>
      <c r="J442" s="1324">
        <f t="shared" si="218"/>
        <v>0</v>
      </c>
      <c r="K442" s="1325">
        <f t="shared" si="219"/>
        <v>0</v>
      </c>
    </row>
    <row r="443" spans="1:19" ht="15" customHeight="1" thickBot="1" x14ac:dyDescent="0.3">
      <c r="A443" s="1283"/>
      <c r="B443" s="1300"/>
      <c r="C443" s="1294"/>
      <c r="D443" s="1273"/>
      <c r="E443" s="1286"/>
      <c r="F443" s="1286"/>
      <c r="G443" s="1287"/>
      <c r="H443" s="1287"/>
      <c r="I443" s="1287"/>
      <c r="J443" s="1324"/>
      <c r="K443" s="1325"/>
    </row>
    <row r="444" spans="1:19" ht="15" customHeight="1" thickTop="1" thickBot="1" x14ac:dyDescent="0.3">
      <c r="A444" s="315" t="s">
        <v>4131</v>
      </c>
      <c r="B444" s="316"/>
      <c r="C444" s="317">
        <f t="shared" ref="C444:I444" si="220">SUM(C418:C443)</f>
        <v>0</v>
      </c>
      <c r="D444" s="318">
        <f t="shared" si="220"/>
        <v>0</v>
      </c>
      <c r="E444" s="317">
        <f t="shared" si="220"/>
        <v>0</v>
      </c>
      <c r="F444" s="317">
        <f t="shared" si="220"/>
        <v>0</v>
      </c>
      <c r="G444" s="319">
        <f t="shared" si="220"/>
        <v>147355</v>
      </c>
      <c r="H444" s="319">
        <f t="shared" si="220"/>
        <v>120747404</v>
      </c>
      <c r="I444" s="319">
        <f t="shared" si="220"/>
        <v>147355</v>
      </c>
      <c r="J444" s="1329">
        <f t="shared" ref="J444" si="221">IF(AND((F444&gt;0),(G444&gt;0)),(SUM(G444/F444)*100),0)</f>
        <v>0</v>
      </c>
      <c r="K444" s="1330">
        <f t="shared" ref="K444" si="222">IF(AND((C444&gt;0),(G444&gt;0)),(SUM(G444/C444)*100),0)</f>
        <v>0</v>
      </c>
    </row>
    <row r="445" spans="1:19" ht="15" customHeight="1" thickTop="1" x14ac:dyDescent="0.25">
      <c r="A445" s="1351"/>
      <c r="B445" s="1352"/>
      <c r="C445" s="1353"/>
      <c r="D445" s="1353"/>
      <c r="E445" s="1353"/>
      <c r="F445" s="1353">
        <f>F444-'Cash Flow'!B53</f>
        <v>0</v>
      </c>
      <c r="G445" s="2648">
        <f>G444-'Cash Flow'!L53</f>
        <v>727789.0299999998</v>
      </c>
      <c r="H445" s="1354"/>
      <c r="I445" s="1354"/>
      <c r="J445" s="1355"/>
      <c r="K445" s="1356"/>
    </row>
    <row r="446" spans="1:19" ht="15" customHeight="1" x14ac:dyDescent="0.25">
      <c r="A446" s="1359"/>
      <c r="B446" s="1357"/>
      <c r="C446" s="1358"/>
      <c r="D446" s="1358"/>
      <c r="E446" s="1357"/>
      <c r="F446" s="1357"/>
      <c r="G446" s="1357"/>
      <c r="H446" s="1357"/>
      <c r="I446" s="1357"/>
      <c r="J446" s="1357"/>
      <c r="K446" s="1360"/>
    </row>
    <row r="447" spans="1:19" ht="15" hidden="1" customHeight="1" x14ac:dyDescent="0.2">
      <c r="A447" s="1448" t="s">
        <v>4160</v>
      </c>
      <c r="B447" s="229"/>
      <c r="C447" s="297"/>
      <c r="D447" s="297"/>
      <c r="E447" s="1133"/>
      <c r="F447" s="1133"/>
      <c r="G447" s="1133"/>
      <c r="H447" s="1133"/>
      <c r="I447" s="1133"/>
      <c r="J447" s="1133"/>
      <c r="K447" s="1363"/>
      <c r="Q447" s="1208"/>
      <c r="R447" s="1208"/>
      <c r="S447" s="1208"/>
    </row>
    <row r="448" spans="1:19" ht="15" hidden="1" customHeight="1" x14ac:dyDescent="0.2">
      <c r="A448" s="2823" t="s">
        <v>4132</v>
      </c>
      <c r="B448" s="2788"/>
      <c r="C448" s="2788"/>
      <c r="D448" s="2788"/>
      <c r="E448" s="2788"/>
      <c r="F448" s="2788"/>
      <c r="G448" s="2788"/>
      <c r="H448" s="2788"/>
      <c r="I448" s="2788"/>
      <c r="J448" s="2788"/>
      <c r="K448" s="2789"/>
      <c r="Q448" s="1208"/>
      <c r="R448" s="1208"/>
      <c r="S448" s="1208"/>
    </row>
    <row r="449" spans="1:19" ht="15" hidden="1" customHeight="1" x14ac:dyDescent="0.2">
      <c r="A449" s="1283"/>
      <c r="B449" s="1368"/>
      <c r="C449" s="1310"/>
      <c r="D449" s="1285"/>
      <c r="E449" s="1273"/>
      <c r="F449" s="1273"/>
      <c r="G449" s="1273"/>
      <c r="H449" s="1273"/>
      <c r="I449" s="1273"/>
      <c r="J449" s="1310"/>
      <c r="K449" s="1367"/>
      <c r="Q449" s="1208"/>
      <c r="R449" s="1208"/>
      <c r="S449" s="1208"/>
    </row>
    <row r="450" spans="1:19" ht="15" hidden="1" customHeight="1" x14ac:dyDescent="0.2">
      <c r="A450" s="1283" t="s">
        <v>4161</v>
      </c>
      <c r="B450" s="1368"/>
      <c r="C450" s="1310"/>
      <c r="D450" s="1285"/>
      <c r="E450" s="1273"/>
      <c r="F450" s="1273"/>
      <c r="G450" s="1273"/>
      <c r="H450" s="1273"/>
      <c r="I450" s="1273"/>
      <c r="J450" s="1310"/>
      <c r="K450" s="1367"/>
      <c r="M450" s="1369">
        <f>IF(K297&lt;&gt;10%,SUM(G297-(C297*1.1),0))</f>
        <v>511904</v>
      </c>
      <c r="Q450" s="1208"/>
      <c r="R450" s="1208"/>
      <c r="S450" s="1208"/>
    </row>
    <row r="451" spans="1:19" ht="15" hidden="1" customHeight="1" x14ac:dyDescent="0.2">
      <c r="A451" s="1365"/>
      <c r="B451" s="2788" t="s">
        <v>4221</v>
      </c>
      <c r="C451" s="2788"/>
      <c r="D451" s="2788"/>
      <c r="E451" s="2788"/>
      <c r="F451" s="2788"/>
      <c r="G451" s="2788"/>
      <c r="H451" s="2788"/>
      <c r="I451" s="2788"/>
      <c r="J451" s="2788"/>
      <c r="K451" s="2789"/>
      <c r="Q451" s="1208"/>
      <c r="R451" s="1208"/>
      <c r="S451" s="1208"/>
    </row>
    <row r="452" spans="1:19" ht="15" hidden="1" customHeight="1" x14ac:dyDescent="0.2">
      <c r="A452" s="1283" t="s">
        <v>4162</v>
      </c>
      <c r="B452" s="1368"/>
      <c r="C452" s="1310"/>
      <c r="D452" s="1285"/>
      <c r="E452" s="1273"/>
      <c r="F452" s="1273"/>
      <c r="G452" s="1273"/>
      <c r="H452" s="1273"/>
      <c r="I452" s="1273"/>
      <c r="J452" s="1310"/>
      <c r="K452" s="1367"/>
      <c r="M452" s="1369">
        <f>IF(K298&lt;&gt;10%,SUM(G298-(C298*1.1),0))</f>
        <v>4215670</v>
      </c>
      <c r="Q452" s="1208"/>
      <c r="R452" s="1208"/>
      <c r="S452" s="1208"/>
    </row>
    <row r="453" spans="1:19" ht="15" hidden="1" customHeight="1" x14ac:dyDescent="0.2">
      <c r="A453" s="1365"/>
      <c r="B453" s="2788" t="s">
        <v>4221</v>
      </c>
      <c r="C453" s="2788"/>
      <c r="D453" s="2788"/>
      <c r="E453" s="2788"/>
      <c r="F453" s="2788"/>
      <c r="G453" s="2788"/>
      <c r="H453" s="2788"/>
      <c r="I453" s="2788"/>
      <c r="J453" s="2788"/>
      <c r="K453" s="2789"/>
      <c r="Q453" s="1208"/>
      <c r="R453" s="1208"/>
      <c r="S453" s="1208"/>
    </row>
    <row r="454" spans="1:19" ht="15" hidden="1" customHeight="1" x14ac:dyDescent="0.2">
      <c r="A454" s="1283" t="s">
        <v>4163</v>
      </c>
      <c r="B454" s="1368"/>
      <c r="C454" s="1310"/>
      <c r="D454" s="1285"/>
      <c r="E454" s="1273"/>
      <c r="F454" s="1273"/>
      <c r="G454" s="1273"/>
      <c r="H454" s="1273"/>
      <c r="I454" s="1273"/>
      <c r="J454" s="1310"/>
      <c r="K454" s="1367"/>
      <c r="M454" s="1369">
        <f>IF(K299&lt;&gt;10%,SUM(G299-(C299*1.1),0))</f>
        <v>5886949.312715169</v>
      </c>
      <c r="Q454" s="1208"/>
      <c r="R454" s="1208"/>
      <c r="S454" s="1208"/>
    </row>
    <row r="455" spans="1:19" ht="15" hidden="1" customHeight="1" x14ac:dyDescent="0.2">
      <c r="A455" s="1365"/>
      <c r="B455" s="2788" t="s">
        <v>4221</v>
      </c>
      <c r="C455" s="2788"/>
      <c r="D455" s="2788"/>
      <c r="E455" s="2788"/>
      <c r="F455" s="2788"/>
      <c r="G455" s="2788"/>
      <c r="H455" s="2788"/>
      <c r="I455" s="2788"/>
      <c r="J455" s="2788"/>
      <c r="K455" s="2789"/>
      <c r="Q455" s="1208"/>
      <c r="R455" s="1208"/>
      <c r="S455" s="1208"/>
    </row>
    <row r="456" spans="1:19" ht="15" hidden="1" customHeight="1" x14ac:dyDescent="0.2">
      <c r="A456" s="1283" t="s">
        <v>4164</v>
      </c>
      <c r="B456" s="1368"/>
      <c r="C456" s="1310"/>
      <c r="D456" s="1285"/>
      <c r="E456" s="1273"/>
      <c r="F456" s="1273"/>
      <c r="G456" s="1273"/>
      <c r="H456" s="1273"/>
      <c r="I456" s="1273"/>
      <c r="J456" s="1310"/>
      <c r="K456" s="1367"/>
      <c r="M456" s="1369">
        <f>IF(K300&lt;&gt;10%,SUM(G300-(C300*1.1),0))</f>
        <v>4126580.5</v>
      </c>
      <c r="Q456" s="1208"/>
      <c r="R456" s="1208"/>
      <c r="S456" s="1208"/>
    </row>
    <row r="457" spans="1:19" ht="15" hidden="1" customHeight="1" x14ac:dyDescent="0.2">
      <c r="A457" s="1365"/>
      <c r="B457" s="2788" t="s">
        <v>4221</v>
      </c>
      <c r="C457" s="2788"/>
      <c r="D457" s="2788"/>
      <c r="E457" s="2788"/>
      <c r="F457" s="2788"/>
      <c r="G457" s="2788"/>
      <c r="H457" s="2788"/>
      <c r="I457" s="2788"/>
      <c r="J457" s="2788"/>
      <c r="K457" s="2789"/>
      <c r="Q457" s="1208"/>
      <c r="R457" s="1208"/>
      <c r="S457" s="1208"/>
    </row>
    <row r="458" spans="1:19" ht="15" hidden="1" customHeight="1" x14ac:dyDescent="0.2">
      <c r="A458" s="1283" t="s">
        <v>4165</v>
      </c>
      <c r="B458" s="1368"/>
      <c r="C458" s="1310"/>
      <c r="D458" s="1285"/>
      <c r="E458" s="1273"/>
      <c r="F458" s="1273"/>
      <c r="G458" s="1273"/>
      <c r="H458" s="1273"/>
      <c r="I458" s="1273"/>
      <c r="J458" s="1310"/>
      <c r="K458" s="1367"/>
      <c r="M458" s="1369">
        <f>IF(K301&lt;&gt;10%,SUM(G301-(C301*1.1),0))</f>
        <v>15183263.100000001</v>
      </c>
      <c r="Q458" s="1208"/>
      <c r="R458" s="1208"/>
      <c r="S458" s="1208"/>
    </row>
    <row r="459" spans="1:19" ht="15" hidden="1" customHeight="1" x14ac:dyDescent="0.2">
      <c r="A459" s="1365"/>
      <c r="B459" s="2788" t="s">
        <v>4221</v>
      </c>
      <c r="C459" s="2788"/>
      <c r="D459" s="2788"/>
      <c r="E459" s="2788"/>
      <c r="F459" s="2788"/>
      <c r="G459" s="2788"/>
      <c r="H459" s="2788"/>
      <c r="I459" s="2788"/>
      <c r="J459" s="2788"/>
      <c r="K459" s="2789"/>
      <c r="Q459" s="1208"/>
      <c r="R459" s="1208"/>
      <c r="S459" s="1208"/>
    </row>
    <row r="460" spans="1:19" ht="15" hidden="1" customHeight="1" x14ac:dyDescent="0.2">
      <c r="A460" s="1283" t="s">
        <v>2024</v>
      </c>
      <c r="B460" s="1368"/>
      <c r="C460" s="1310"/>
      <c r="D460" s="1285"/>
      <c r="E460" s="1273"/>
      <c r="F460" s="1273"/>
      <c r="G460" s="1273"/>
      <c r="H460" s="1273"/>
      <c r="I460" s="1273"/>
      <c r="J460" s="1310"/>
      <c r="K460" s="1367"/>
      <c r="M460" s="1369">
        <f>IF(K302&lt;&gt;10%,SUM(G302-(C302*1.1),0))</f>
        <v>512874.01</v>
      </c>
      <c r="Q460" s="1208"/>
      <c r="R460" s="1208"/>
      <c r="S460" s="1208"/>
    </row>
    <row r="461" spans="1:19" ht="15" hidden="1" customHeight="1" x14ac:dyDescent="0.2">
      <c r="A461" s="1365"/>
      <c r="B461" s="2788" t="s">
        <v>4221</v>
      </c>
      <c r="C461" s="2788"/>
      <c r="D461" s="2788"/>
      <c r="E461" s="2788"/>
      <c r="F461" s="2788"/>
      <c r="G461" s="2788"/>
      <c r="H461" s="2788"/>
      <c r="I461" s="2788"/>
      <c r="J461" s="2788"/>
      <c r="K461" s="2789"/>
      <c r="Q461" s="1208"/>
      <c r="R461" s="1208"/>
      <c r="S461" s="1208"/>
    </row>
    <row r="462" spans="1:19" ht="15" hidden="1" customHeight="1" x14ac:dyDescent="0.2">
      <c r="A462" s="1283" t="s">
        <v>4222</v>
      </c>
      <c r="B462" s="1368"/>
      <c r="C462" s="1310"/>
      <c r="D462" s="1285"/>
      <c r="E462" s="1273"/>
      <c r="F462" s="1273"/>
      <c r="G462" s="1273"/>
      <c r="H462" s="1273"/>
      <c r="I462" s="1273"/>
      <c r="J462" s="1310"/>
      <c r="K462" s="1367"/>
      <c r="M462" s="1369">
        <f>IF(K303&lt;&gt;10%,SUM(G303-(C303*1.1),0))</f>
        <v>1156845.1300000001</v>
      </c>
      <c r="Q462" s="1208"/>
      <c r="R462" s="1208"/>
      <c r="S462" s="1208"/>
    </row>
    <row r="463" spans="1:19" ht="15" hidden="1" customHeight="1" x14ac:dyDescent="0.2">
      <c r="A463" s="1365"/>
      <c r="B463" s="2788" t="s">
        <v>4221</v>
      </c>
      <c r="C463" s="2788"/>
      <c r="D463" s="2788"/>
      <c r="E463" s="2788"/>
      <c r="F463" s="2788"/>
      <c r="G463" s="2788"/>
      <c r="H463" s="2788"/>
      <c r="I463" s="2788"/>
      <c r="J463" s="2788"/>
      <c r="K463" s="2789"/>
      <c r="Q463" s="1208"/>
      <c r="R463" s="1208"/>
      <c r="S463" s="1208"/>
    </row>
    <row r="464" spans="1:19" ht="15" hidden="1" customHeight="1" x14ac:dyDescent="0.2">
      <c r="A464" s="1283" t="s">
        <v>4166</v>
      </c>
      <c r="B464" s="1368"/>
      <c r="C464" s="1310"/>
      <c r="D464" s="1285"/>
      <c r="E464" s="1273"/>
      <c r="F464" s="1273"/>
      <c r="G464" s="1273"/>
      <c r="H464" s="1273"/>
      <c r="I464" s="1273"/>
      <c r="J464" s="1310"/>
      <c r="K464" s="1367"/>
      <c r="M464" s="1369">
        <f>IF(K304&lt;&gt;10%,SUM(G304-(C304*1.1),0))</f>
        <v>0</v>
      </c>
      <c r="Q464" s="1208"/>
      <c r="R464" s="1208"/>
      <c r="S464" s="1208"/>
    </row>
    <row r="465" spans="1:19" ht="15" hidden="1" customHeight="1" x14ac:dyDescent="0.2">
      <c r="A465" s="1365"/>
      <c r="B465" s="2788" t="s">
        <v>4221</v>
      </c>
      <c r="C465" s="2788"/>
      <c r="D465" s="2788"/>
      <c r="E465" s="2788"/>
      <c r="F465" s="2788"/>
      <c r="G465" s="2788"/>
      <c r="H465" s="2788"/>
      <c r="I465" s="2788"/>
      <c r="J465" s="2788"/>
      <c r="K465" s="2789"/>
      <c r="Q465" s="1208"/>
      <c r="R465" s="1208"/>
      <c r="S465" s="1208"/>
    </row>
    <row r="466" spans="1:19" ht="15" hidden="1" customHeight="1" x14ac:dyDescent="0.2">
      <c r="A466" s="1283" t="s">
        <v>4167</v>
      </c>
      <c r="B466" s="1368"/>
      <c r="C466" s="1310"/>
      <c r="D466" s="1285"/>
      <c r="E466" s="1273"/>
      <c r="F466" s="1273"/>
      <c r="G466" s="1273"/>
      <c r="H466" s="1273"/>
      <c r="I466" s="1273"/>
      <c r="J466" s="1310"/>
      <c r="K466" s="1367"/>
      <c r="M466" s="1369">
        <f>IF(K305&lt;&gt;10%,SUM(G305-(C305*1.1),0))</f>
        <v>0</v>
      </c>
      <c r="Q466" s="1208"/>
      <c r="R466" s="1208"/>
      <c r="S466" s="1208"/>
    </row>
    <row r="467" spans="1:19" ht="15" hidden="1" customHeight="1" x14ac:dyDescent="0.2">
      <c r="A467" s="1365"/>
      <c r="B467" s="2788" t="s">
        <v>4221</v>
      </c>
      <c r="C467" s="2788"/>
      <c r="D467" s="2788"/>
      <c r="E467" s="2788"/>
      <c r="F467" s="2788"/>
      <c r="G467" s="2788"/>
      <c r="H467" s="2788"/>
      <c r="I467" s="2788"/>
      <c r="J467" s="2788"/>
      <c r="K467" s="2789"/>
      <c r="Q467" s="1208"/>
      <c r="R467" s="1208"/>
      <c r="S467" s="1208"/>
    </row>
    <row r="468" spans="1:19" ht="15" hidden="1" customHeight="1" x14ac:dyDescent="0.2">
      <c r="A468" s="1283" t="s">
        <v>4168</v>
      </c>
      <c r="B468" s="1368"/>
      <c r="C468" s="1310"/>
      <c r="D468" s="1285"/>
      <c r="E468" s="1273"/>
      <c r="F468" s="1273"/>
      <c r="G468" s="1273"/>
      <c r="H468" s="1273"/>
      <c r="I468" s="1273"/>
      <c r="J468" s="1310"/>
      <c r="K468" s="1367"/>
      <c r="M468" s="1369">
        <f>IF(K308&lt;&gt;10%,SUM(G308-(C308*1.1),0))</f>
        <v>309452918.97000003</v>
      </c>
      <c r="Q468" s="1208"/>
      <c r="R468" s="1208"/>
      <c r="S468" s="1208"/>
    </row>
    <row r="469" spans="1:19" ht="15" hidden="1" customHeight="1" x14ac:dyDescent="0.2">
      <c r="A469" s="1365"/>
      <c r="B469" s="2788" t="s">
        <v>4221</v>
      </c>
      <c r="C469" s="2788"/>
      <c r="D469" s="2788"/>
      <c r="E469" s="2788"/>
      <c r="F469" s="2788"/>
      <c r="G469" s="2788"/>
      <c r="H469" s="2788"/>
      <c r="I469" s="2788"/>
      <c r="J469" s="2788"/>
      <c r="K469" s="2789"/>
      <c r="Q469" s="1208"/>
      <c r="R469" s="1208"/>
      <c r="S469" s="1208"/>
    </row>
    <row r="470" spans="1:19" ht="15" hidden="1" customHeight="1" x14ac:dyDescent="0.2">
      <c r="A470" s="1283" t="s">
        <v>4169</v>
      </c>
      <c r="B470" s="1368"/>
      <c r="C470" s="1310"/>
      <c r="D470" s="1285"/>
      <c r="E470" s="1273"/>
      <c r="F470" s="1273"/>
      <c r="G470" s="1273"/>
      <c r="H470" s="1273"/>
      <c r="I470" s="1273"/>
      <c r="J470" s="1310"/>
      <c r="K470" s="1367"/>
      <c r="M470" s="1369">
        <f>IF(K309&lt;&gt;10%,SUM(G309-(C309*1.1),0))</f>
        <v>534123.09</v>
      </c>
      <c r="Q470" s="1208"/>
      <c r="R470" s="1208"/>
      <c r="S470" s="1208"/>
    </row>
    <row r="471" spans="1:19" ht="15" hidden="1" customHeight="1" x14ac:dyDescent="0.2">
      <c r="A471" s="1365"/>
      <c r="B471" s="2788" t="s">
        <v>4221</v>
      </c>
      <c r="C471" s="2788"/>
      <c r="D471" s="2788"/>
      <c r="E471" s="2788"/>
      <c r="F471" s="2788"/>
      <c r="G471" s="2788"/>
      <c r="H471" s="2788"/>
      <c r="I471" s="2788"/>
      <c r="J471" s="2788"/>
      <c r="K471" s="2789"/>
      <c r="Q471" s="1208"/>
      <c r="R471" s="1208"/>
      <c r="S471" s="1208"/>
    </row>
    <row r="472" spans="1:19" ht="15" hidden="1" customHeight="1" x14ac:dyDescent="0.2">
      <c r="A472" s="1283" t="s">
        <v>4170</v>
      </c>
      <c r="B472" s="1368"/>
      <c r="C472" s="1310"/>
      <c r="D472" s="1285"/>
      <c r="E472" s="1273"/>
      <c r="F472" s="1273"/>
      <c r="G472" s="1273"/>
      <c r="H472" s="1273"/>
      <c r="I472" s="1273"/>
      <c r="J472" s="1310"/>
      <c r="K472" s="1367"/>
      <c r="M472" s="1369">
        <f>IF(K310&lt;&gt;10%,SUM(G310-(C310*1.1),0))</f>
        <v>20519205</v>
      </c>
      <c r="Q472" s="1208"/>
      <c r="R472" s="1208"/>
      <c r="S472" s="1208"/>
    </row>
    <row r="473" spans="1:19" ht="15" hidden="1" customHeight="1" x14ac:dyDescent="0.2">
      <c r="A473" s="1365"/>
      <c r="B473" s="2788" t="s">
        <v>4221</v>
      </c>
      <c r="C473" s="2788"/>
      <c r="D473" s="2788"/>
      <c r="E473" s="2788"/>
      <c r="F473" s="2788"/>
      <c r="G473" s="2788"/>
      <c r="H473" s="2788"/>
      <c r="I473" s="2788"/>
      <c r="J473" s="2788"/>
      <c r="K473" s="2789"/>
      <c r="Q473" s="1208"/>
      <c r="R473" s="1208"/>
      <c r="S473" s="1208"/>
    </row>
    <row r="474" spans="1:19" ht="15" hidden="1" customHeight="1" x14ac:dyDescent="0.2">
      <c r="A474" s="1283" t="s">
        <v>4171</v>
      </c>
      <c r="B474" s="1368"/>
      <c r="C474" s="1310"/>
      <c r="D474" s="1285"/>
      <c r="E474" s="1273"/>
      <c r="F474" s="1273"/>
      <c r="G474" s="1273"/>
      <c r="H474" s="1273"/>
      <c r="I474" s="1273"/>
      <c r="J474" s="1310"/>
      <c r="K474" s="1367"/>
      <c r="M474" s="1369">
        <f>IF(K311&lt;&gt;10%,SUM(G311-(C311*1.1),0))</f>
        <v>0</v>
      </c>
      <c r="Q474" s="1208"/>
      <c r="R474" s="1208"/>
      <c r="S474" s="1208"/>
    </row>
    <row r="475" spans="1:19" ht="15" hidden="1" customHeight="1" x14ac:dyDescent="0.2">
      <c r="A475" s="1365"/>
      <c r="B475" s="2788" t="s">
        <v>4221</v>
      </c>
      <c r="C475" s="2788"/>
      <c r="D475" s="2788"/>
      <c r="E475" s="2788"/>
      <c r="F475" s="2788"/>
      <c r="G475" s="2788"/>
      <c r="H475" s="2788"/>
      <c r="I475" s="2788"/>
      <c r="J475" s="2788"/>
      <c r="K475" s="2789"/>
      <c r="Q475" s="1208"/>
      <c r="R475" s="1208"/>
      <c r="S475" s="1208"/>
    </row>
    <row r="476" spans="1:19" ht="15" hidden="1" customHeight="1" x14ac:dyDescent="0.2">
      <c r="A476" s="1283" t="s">
        <v>4172</v>
      </c>
      <c r="B476" s="1368"/>
      <c r="C476" s="1310"/>
      <c r="D476" s="1285"/>
      <c r="E476" s="1273"/>
      <c r="F476" s="1273"/>
      <c r="G476" s="1273"/>
      <c r="H476" s="1273"/>
      <c r="I476" s="1273"/>
      <c r="J476" s="1310"/>
      <c r="K476" s="1367"/>
      <c r="M476" s="1369">
        <f>IF(K312&lt;&gt;10%,SUM(G312-(C312*1.1),0))</f>
        <v>585000</v>
      </c>
      <c r="Q476" s="1208"/>
      <c r="R476" s="1208"/>
      <c r="S476" s="1208"/>
    </row>
    <row r="477" spans="1:19" ht="15" hidden="1" customHeight="1" x14ac:dyDescent="0.2">
      <c r="A477" s="1365"/>
      <c r="B477" s="2788" t="s">
        <v>4221</v>
      </c>
      <c r="C477" s="2788"/>
      <c r="D477" s="2788"/>
      <c r="E477" s="2788"/>
      <c r="F477" s="2788"/>
      <c r="G477" s="2788"/>
      <c r="H477" s="2788"/>
      <c r="I477" s="2788"/>
      <c r="J477" s="2788"/>
      <c r="K477" s="2789"/>
      <c r="Q477" s="1208"/>
      <c r="R477" s="1208"/>
      <c r="S477" s="1208"/>
    </row>
    <row r="478" spans="1:19" ht="15" hidden="1" customHeight="1" x14ac:dyDescent="0.2">
      <c r="A478" s="1283" t="s">
        <v>4173</v>
      </c>
      <c r="B478" s="1368"/>
      <c r="C478" s="1310"/>
      <c r="D478" s="1285"/>
      <c r="E478" s="1273"/>
      <c r="F478" s="1273"/>
      <c r="G478" s="1273"/>
      <c r="H478" s="1273"/>
      <c r="I478" s="1273"/>
      <c r="J478" s="1310"/>
      <c r="K478" s="1367"/>
      <c r="M478" s="1369">
        <f>IF(K313&lt;&gt;10%,SUM(G313-(C313*1.1),0))</f>
        <v>95825.5</v>
      </c>
      <c r="Q478" s="1208"/>
      <c r="R478" s="1208"/>
      <c r="S478" s="1208"/>
    </row>
    <row r="479" spans="1:19" ht="15" hidden="1" customHeight="1" x14ac:dyDescent="0.2">
      <c r="A479" s="1365"/>
      <c r="B479" s="2788" t="s">
        <v>4221</v>
      </c>
      <c r="C479" s="2788"/>
      <c r="D479" s="2788"/>
      <c r="E479" s="2788"/>
      <c r="F479" s="2788"/>
      <c r="G479" s="2788"/>
      <c r="H479" s="2788"/>
      <c r="I479" s="2788"/>
      <c r="J479" s="2788"/>
      <c r="K479" s="2789"/>
      <c r="Q479" s="1208"/>
      <c r="R479" s="1208"/>
      <c r="S479" s="1208"/>
    </row>
    <row r="480" spans="1:19" ht="15" hidden="1" customHeight="1" x14ac:dyDescent="0.2">
      <c r="A480" s="1283" t="s">
        <v>4174</v>
      </c>
      <c r="B480" s="1368"/>
      <c r="C480" s="1310"/>
      <c r="D480" s="1285"/>
      <c r="E480" s="1273"/>
      <c r="F480" s="1273"/>
      <c r="G480" s="1273"/>
      <c r="H480" s="1273"/>
      <c r="I480" s="1273"/>
      <c r="J480" s="1310"/>
      <c r="K480" s="1367"/>
      <c r="M480" s="1369">
        <f>IF(K314&lt;&gt;10%,SUM(G314-(C314*1.1),0))</f>
        <v>0</v>
      </c>
      <c r="Q480" s="1208"/>
      <c r="R480" s="1208"/>
      <c r="S480" s="1208"/>
    </row>
    <row r="481" spans="1:19" ht="15" hidden="1" customHeight="1" x14ac:dyDescent="0.2">
      <c r="A481" s="1365"/>
      <c r="B481" s="2788" t="s">
        <v>4221</v>
      </c>
      <c r="C481" s="2788"/>
      <c r="D481" s="2788"/>
      <c r="E481" s="2788"/>
      <c r="F481" s="2788"/>
      <c r="G481" s="2788"/>
      <c r="H481" s="2788"/>
      <c r="I481" s="2788"/>
      <c r="J481" s="2788"/>
      <c r="K481" s="2789"/>
      <c r="Q481" s="1208"/>
      <c r="R481" s="1208"/>
      <c r="S481" s="1208"/>
    </row>
    <row r="482" spans="1:19" ht="15" hidden="1" customHeight="1" x14ac:dyDescent="0.2">
      <c r="A482" s="1283" t="s">
        <v>4175</v>
      </c>
      <c r="B482" s="1368"/>
      <c r="C482" s="1310"/>
      <c r="D482" s="1285"/>
      <c r="E482" s="1273"/>
      <c r="F482" s="1273"/>
      <c r="G482" s="1273"/>
      <c r="H482" s="1273"/>
      <c r="I482" s="1273"/>
      <c r="J482" s="1310"/>
      <c r="K482" s="1367"/>
      <c r="M482" s="1369">
        <f>IF(K315&lt;&gt;10%,SUM(G315-(C315*1.1),0))</f>
        <v>0</v>
      </c>
      <c r="Q482" s="1208"/>
      <c r="R482" s="1208"/>
      <c r="S482" s="1208"/>
    </row>
    <row r="483" spans="1:19" ht="15" hidden="1" customHeight="1" x14ac:dyDescent="0.2">
      <c r="A483" s="1365"/>
      <c r="B483" s="2788" t="s">
        <v>4221</v>
      </c>
      <c r="C483" s="2788"/>
      <c r="D483" s="2788"/>
      <c r="E483" s="2788"/>
      <c r="F483" s="2788"/>
      <c r="G483" s="2788"/>
      <c r="H483" s="2788"/>
      <c r="I483" s="2788"/>
      <c r="J483" s="2788"/>
      <c r="K483" s="2789"/>
      <c r="Q483" s="1208"/>
      <c r="R483" s="1208"/>
      <c r="S483" s="1208"/>
    </row>
    <row r="484" spans="1:19" ht="15" hidden="1" customHeight="1" x14ac:dyDescent="0.2">
      <c r="A484" s="1283" t="s">
        <v>4176</v>
      </c>
      <c r="B484" s="1368"/>
      <c r="C484" s="1310"/>
      <c r="D484" s="1285"/>
      <c r="E484" s="1273"/>
      <c r="F484" s="1273"/>
      <c r="G484" s="1273"/>
      <c r="H484" s="1273"/>
      <c r="I484" s="1273"/>
      <c r="J484" s="1310"/>
      <c r="K484" s="1367"/>
      <c r="M484" s="1369">
        <f>IF(K316&lt;&gt;10%,SUM(G316-(C316*1.1),0))</f>
        <v>0</v>
      </c>
      <c r="Q484" s="1208"/>
      <c r="R484" s="1208"/>
      <c r="S484" s="1208"/>
    </row>
    <row r="485" spans="1:19" ht="15" hidden="1" customHeight="1" x14ac:dyDescent="0.2">
      <c r="A485" s="1365"/>
      <c r="B485" s="2788" t="s">
        <v>4221</v>
      </c>
      <c r="C485" s="2788"/>
      <c r="D485" s="2788"/>
      <c r="E485" s="2788"/>
      <c r="F485" s="2788"/>
      <c r="G485" s="2788"/>
      <c r="H485" s="2788"/>
      <c r="I485" s="2788"/>
      <c r="J485" s="2788"/>
      <c r="K485" s="2789"/>
      <c r="Q485" s="1208"/>
      <c r="R485" s="1208"/>
      <c r="S485" s="1208"/>
    </row>
    <row r="486" spans="1:19" ht="15" hidden="1" customHeight="1" x14ac:dyDescent="0.2">
      <c r="A486" s="1283" t="s">
        <v>4177</v>
      </c>
      <c r="B486" s="1368"/>
      <c r="C486" s="1310"/>
      <c r="D486" s="1285"/>
      <c r="E486" s="1273"/>
      <c r="F486" s="1273"/>
      <c r="G486" s="1273"/>
      <c r="H486" s="1273"/>
      <c r="I486" s="1273"/>
      <c r="J486" s="1310"/>
      <c r="K486" s="1367"/>
      <c r="M486" s="1369">
        <f>IF(K321&lt;&gt;10%,SUM(G321-(C321*1.1),0))</f>
        <v>163971.03999999998</v>
      </c>
      <c r="Q486" s="1208"/>
      <c r="R486" s="1208"/>
      <c r="S486" s="1208"/>
    </row>
    <row r="487" spans="1:19" ht="15" hidden="1" customHeight="1" x14ac:dyDescent="0.2">
      <c r="A487" s="1365"/>
      <c r="B487" s="2788" t="s">
        <v>4221</v>
      </c>
      <c r="C487" s="2788"/>
      <c r="D487" s="2788"/>
      <c r="E487" s="2788"/>
      <c r="F487" s="2788"/>
      <c r="G487" s="2788"/>
      <c r="H487" s="2788"/>
      <c r="I487" s="2788"/>
      <c r="J487" s="2788"/>
      <c r="K487" s="2789"/>
      <c r="Q487" s="1208"/>
      <c r="R487" s="1208"/>
      <c r="S487" s="1208"/>
    </row>
    <row r="488" spans="1:19" ht="15" hidden="1" customHeight="1" x14ac:dyDescent="0.2">
      <c r="A488" s="1283" t="s">
        <v>4178</v>
      </c>
      <c r="B488" s="1368"/>
      <c r="C488" s="1310"/>
      <c r="D488" s="1285"/>
      <c r="E488" s="1273"/>
      <c r="F488" s="1273"/>
      <c r="G488" s="1273"/>
      <c r="H488" s="1273"/>
      <c r="I488" s="1273"/>
      <c r="J488" s="1310"/>
      <c r="K488" s="1367"/>
      <c r="M488" s="1369">
        <f>IF(K322&lt;&gt;10%,SUM(G322-(C322*1.1),0))</f>
        <v>0</v>
      </c>
      <c r="Q488" s="1208"/>
      <c r="R488" s="1208"/>
      <c r="S488" s="1208"/>
    </row>
    <row r="489" spans="1:19" ht="15" hidden="1" customHeight="1" x14ac:dyDescent="0.2">
      <c r="A489" s="1365"/>
      <c r="B489" s="2788" t="s">
        <v>4221</v>
      </c>
      <c r="C489" s="2788"/>
      <c r="D489" s="2788"/>
      <c r="E489" s="2788"/>
      <c r="F489" s="2788"/>
      <c r="G489" s="2788"/>
      <c r="H489" s="2788"/>
      <c r="I489" s="2788"/>
      <c r="J489" s="2788"/>
      <c r="K489" s="2789"/>
      <c r="Q489" s="1208"/>
      <c r="R489" s="1208"/>
      <c r="S489" s="1208"/>
    </row>
    <row r="490" spans="1:19" ht="15" hidden="1" customHeight="1" x14ac:dyDescent="0.2">
      <c r="A490" s="1283" t="s">
        <v>4179</v>
      </c>
      <c r="B490" s="1368"/>
      <c r="C490" s="1310"/>
      <c r="D490" s="1285"/>
      <c r="E490" s="1273"/>
      <c r="F490" s="1273"/>
      <c r="G490" s="1273"/>
      <c r="H490" s="1273"/>
      <c r="I490" s="1273"/>
      <c r="J490" s="1310"/>
      <c r="K490" s="1367"/>
      <c r="M490" s="1369">
        <f>IF(K323&lt;&gt;10%,SUM(G323-(C323*1.1),0))</f>
        <v>18909435.870000001</v>
      </c>
      <c r="Q490" s="1208"/>
      <c r="R490" s="1208"/>
      <c r="S490" s="1208"/>
    </row>
    <row r="491" spans="1:19" ht="15" hidden="1" customHeight="1" x14ac:dyDescent="0.2">
      <c r="A491" s="1365"/>
      <c r="B491" s="2788" t="s">
        <v>4221</v>
      </c>
      <c r="C491" s="2788"/>
      <c r="D491" s="2788"/>
      <c r="E491" s="2788"/>
      <c r="F491" s="2788"/>
      <c r="G491" s="2788"/>
      <c r="H491" s="2788"/>
      <c r="I491" s="2788"/>
      <c r="J491" s="2788"/>
      <c r="K491" s="2789"/>
      <c r="Q491" s="1208"/>
      <c r="R491" s="1208"/>
      <c r="S491" s="1208"/>
    </row>
    <row r="492" spans="1:19" ht="15" hidden="1" customHeight="1" x14ac:dyDescent="0.2">
      <c r="A492" s="1283" t="s">
        <v>4180</v>
      </c>
      <c r="B492" s="1368"/>
      <c r="C492" s="1310"/>
      <c r="D492" s="1285"/>
      <c r="E492" s="1273"/>
      <c r="F492" s="1273"/>
      <c r="G492" s="1273"/>
      <c r="H492" s="1273"/>
      <c r="I492" s="1273"/>
      <c r="J492" s="1310"/>
      <c r="K492" s="1367"/>
      <c r="M492" s="1369">
        <f>IF(K324&lt;&gt;10%,SUM(G324-(C324*1.1),0))</f>
        <v>12487502.699999999</v>
      </c>
      <c r="Q492" s="1208"/>
      <c r="R492" s="1208"/>
      <c r="S492" s="1208"/>
    </row>
    <row r="493" spans="1:19" ht="15" hidden="1" customHeight="1" x14ac:dyDescent="0.2">
      <c r="A493" s="1365"/>
      <c r="B493" s="2788" t="s">
        <v>4221</v>
      </c>
      <c r="C493" s="2788"/>
      <c r="D493" s="2788"/>
      <c r="E493" s="2788"/>
      <c r="F493" s="2788"/>
      <c r="G493" s="2788"/>
      <c r="H493" s="2788"/>
      <c r="I493" s="2788"/>
      <c r="J493" s="2788"/>
      <c r="K493" s="2789"/>
      <c r="Q493" s="1208"/>
      <c r="R493" s="1208"/>
      <c r="S493" s="1208"/>
    </row>
    <row r="494" spans="1:19" ht="15" hidden="1" customHeight="1" x14ac:dyDescent="0.2">
      <c r="A494" s="1283" t="s">
        <v>4181</v>
      </c>
      <c r="B494" s="1368"/>
      <c r="C494" s="1310"/>
      <c r="D494" s="1285"/>
      <c r="E494" s="1273"/>
      <c r="F494" s="1273"/>
      <c r="G494" s="1273"/>
      <c r="H494" s="1273"/>
      <c r="I494" s="1273"/>
      <c r="J494" s="1310"/>
      <c r="K494" s="1367"/>
      <c r="M494" s="1369">
        <f>IF(K325&lt;&gt;10%,SUM(G325-(C325*1.1),0))</f>
        <v>0</v>
      </c>
      <c r="Q494" s="1208"/>
      <c r="R494" s="1208"/>
      <c r="S494" s="1208"/>
    </row>
    <row r="495" spans="1:19" ht="15" hidden="1" customHeight="1" x14ac:dyDescent="0.2">
      <c r="A495" s="1365"/>
      <c r="B495" s="2788" t="s">
        <v>4221</v>
      </c>
      <c r="C495" s="2788"/>
      <c r="D495" s="2788"/>
      <c r="E495" s="2788"/>
      <c r="F495" s="2788"/>
      <c r="G495" s="2788"/>
      <c r="H495" s="2788"/>
      <c r="I495" s="2788"/>
      <c r="J495" s="2788"/>
      <c r="K495" s="2789"/>
      <c r="Q495" s="1208"/>
      <c r="R495" s="1208"/>
      <c r="S495" s="1208"/>
    </row>
    <row r="496" spans="1:19" ht="15" hidden="1" customHeight="1" x14ac:dyDescent="0.2">
      <c r="A496" s="1283" t="s">
        <v>2265</v>
      </c>
      <c r="B496" s="1368"/>
      <c r="C496" s="1310"/>
      <c r="D496" s="1285"/>
      <c r="E496" s="1273"/>
      <c r="F496" s="1273"/>
      <c r="G496" s="1273"/>
      <c r="H496" s="1273"/>
      <c r="I496" s="1273"/>
      <c r="J496" s="1310"/>
      <c r="K496" s="1367"/>
      <c r="M496" s="1369">
        <f>IF(K326&lt;&gt;10%,SUM(G326-(C326*1.1),0))</f>
        <v>0</v>
      </c>
      <c r="Q496" s="1208"/>
      <c r="R496" s="1208"/>
      <c r="S496" s="1208"/>
    </row>
    <row r="497" spans="1:19" ht="15" hidden="1" customHeight="1" x14ac:dyDescent="0.2">
      <c r="A497" s="1365"/>
      <c r="B497" s="2788" t="s">
        <v>4221</v>
      </c>
      <c r="C497" s="2788"/>
      <c r="D497" s="2788"/>
      <c r="E497" s="2788"/>
      <c r="F497" s="2788"/>
      <c r="G497" s="2788"/>
      <c r="H497" s="2788"/>
      <c r="I497" s="2788"/>
      <c r="J497" s="2788"/>
      <c r="K497" s="2789"/>
      <c r="Q497" s="1208"/>
      <c r="R497" s="1208"/>
      <c r="S497" s="1208"/>
    </row>
    <row r="498" spans="1:19" ht="15" hidden="1" customHeight="1" x14ac:dyDescent="0.2">
      <c r="A498" s="1283" t="s">
        <v>4182</v>
      </c>
      <c r="B498" s="1368"/>
      <c r="C498" s="1310"/>
      <c r="D498" s="1285"/>
      <c r="E498" s="1273"/>
      <c r="F498" s="1273"/>
      <c r="G498" s="1273"/>
      <c r="H498" s="1273"/>
      <c r="I498" s="1273"/>
      <c r="J498" s="1310"/>
      <c r="K498" s="1367"/>
      <c r="M498" s="1369">
        <f>IF(K327&lt;&gt;10%,SUM(G327-(C327*1.1),0))</f>
        <v>0</v>
      </c>
      <c r="Q498" s="1208"/>
      <c r="R498" s="1208"/>
      <c r="S498" s="1208"/>
    </row>
    <row r="499" spans="1:19" ht="15" hidden="1" customHeight="1" x14ac:dyDescent="0.2">
      <c r="A499" s="1365"/>
      <c r="B499" s="2788" t="s">
        <v>4221</v>
      </c>
      <c r="C499" s="2788"/>
      <c r="D499" s="2788"/>
      <c r="E499" s="2788"/>
      <c r="F499" s="2788"/>
      <c r="G499" s="2788"/>
      <c r="H499" s="2788"/>
      <c r="I499" s="2788"/>
      <c r="J499" s="2788"/>
      <c r="K499" s="2789"/>
      <c r="Q499" s="1208"/>
      <c r="R499" s="1208"/>
      <c r="S499" s="1208"/>
    </row>
    <row r="500" spans="1:19" ht="15" hidden="1" customHeight="1" x14ac:dyDescent="0.2">
      <c r="A500" s="1283" t="s">
        <v>4183</v>
      </c>
      <c r="B500" s="1368"/>
      <c r="C500" s="1310"/>
      <c r="D500" s="1285"/>
      <c r="E500" s="1273"/>
      <c r="F500" s="1273"/>
      <c r="G500" s="1273"/>
      <c r="H500" s="1273"/>
      <c r="I500" s="1273"/>
      <c r="J500" s="1310"/>
      <c r="K500" s="1367"/>
      <c r="M500" s="1369">
        <f>IF(K328&lt;&gt;10%,SUM(G328-(C328*1.1),0))</f>
        <v>0</v>
      </c>
      <c r="Q500" s="1208"/>
      <c r="R500" s="1208"/>
      <c r="S500" s="1208"/>
    </row>
    <row r="501" spans="1:19" ht="15" hidden="1" customHeight="1" x14ac:dyDescent="0.2">
      <c r="A501" s="1365"/>
      <c r="B501" s="2788" t="s">
        <v>4221</v>
      </c>
      <c r="C501" s="2788"/>
      <c r="D501" s="2788"/>
      <c r="E501" s="2788"/>
      <c r="F501" s="2788"/>
      <c r="G501" s="2788"/>
      <c r="H501" s="2788"/>
      <c r="I501" s="2788"/>
      <c r="J501" s="2788"/>
      <c r="K501" s="2789"/>
      <c r="Q501" s="1208"/>
      <c r="R501" s="1208"/>
      <c r="S501" s="1208"/>
    </row>
    <row r="502" spans="1:19" ht="15" hidden="1" customHeight="1" x14ac:dyDescent="0.2">
      <c r="A502" s="1283" t="s">
        <v>4184</v>
      </c>
      <c r="B502" s="1368"/>
      <c r="C502" s="1310"/>
      <c r="D502" s="1285"/>
      <c r="E502" s="1273"/>
      <c r="F502" s="1273"/>
      <c r="G502" s="1273"/>
      <c r="H502" s="1273"/>
      <c r="I502" s="1273"/>
      <c r="J502" s="1310"/>
      <c r="K502" s="1367"/>
      <c r="M502" s="1369">
        <f>IF(K329&lt;&gt;10%,SUM(G329-(C329*1.1),0))</f>
        <v>2065666.0399999998</v>
      </c>
      <c r="Q502" s="1208"/>
      <c r="R502" s="1208"/>
      <c r="S502" s="1208"/>
    </row>
    <row r="503" spans="1:19" ht="15" hidden="1" customHeight="1" x14ac:dyDescent="0.2">
      <c r="A503" s="1365"/>
      <c r="B503" s="2788" t="s">
        <v>4221</v>
      </c>
      <c r="C503" s="2788"/>
      <c r="D503" s="2788"/>
      <c r="E503" s="2788"/>
      <c r="F503" s="2788"/>
      <c r="G503" s="2788"/>
      <c r="H503" s="2788"/>
      <c r="I503" s="2788"/>
      <c r="J503" s="2788"/>
      <c r="K503" s="2789"/>
      <c r="Q503" s="1208"/>
      <c r="R503" s="1208"/>
      <c r="S503" s="1208"/>
    </row>
    <row r="504" spans="1:19" ht="15" hidden="1" customHeight="1" x14ac:dyDescent="0.2">
      <c r="A504" s="1283" t="s">
        <v>4185</v>
      </c>
      <c r="B504" s="1368"/>
      <c r="C504" s="1310"/>
      <c r="D504" s="1285"/>
      <c r="E504" s="1273"/>
      <c r="F504" s="1273"/>
      <c r="G504" s="1273"/>
      <c r="H504" s="1273"/>
      <c r="I504" s="1273"/>
      <c r="J504" s="1310"/>
      <c r="K504" s="1367"/>
      <c r="M504" s="1369">
        <f>IF(K330&lt;&gt;10%,SUM(G330-(C330*1.1),0))</f>
        <v>761711</v>
      </c>
      <c r="Q504" s="1208"/>
      <c r="R504" s="1208"/>
      <c r="S504" s="1208"/>
    </row>
    <row r="505" spans="1:19" ht="15" hidden="1" customHeight="1" x14ac:dyDescent="0.2">
      <c r="A505" s="1365"/>
      <c r="B505" s="2788" t="s">
        <v>4221</v>
      </c>
      <c r="C505" s="2788"/>
      <c r="D505" s="2788"/>
      <c r="E505" s="2788"/>
      <c r="F505" s="2788"/>
      <c r="G505" s="2788"/>
      <c r="H505" s="2788"/>
      <c r="I505" s="2788"/>
      <c r="J505" s="2788"/>
      <c r="K505" s="2789"/>
      <c r="Q505" s="1208"/>
      <c r="R505" s="1208"/>
      <c r="S505" s="1208"/>
    </row>
    <row r="506" spans="1:19" ht="15" hidden="1" customHeight="1" x14ac:dyDescent="0.2">
      <c r="A506" s="1283" t="s">
        <v>4186</v>
      </c>
      <c r="B506" s="1368"/>
      <c r="C506" s="1310"/>
      <c r="D506" s="1285"/>
      <c r="E506" s="1273"/>
      <c r="F506" s="1273"/>
      <c r="G506" s="1273"/>
      <c r="H506" s="1273"/>
      <c r="I506" s="1273"/>
      <c r="J506" s="1310"/>
      <c r="K506" s="1367"/>
      <c r="M506" s="1369">
        <f>IF(K333&lt;&gt;10%,SUM(G333-(C333*1.1),0))</f>
        <v>9611997.6199999992</v>
      </c>
      <c r="Q506" s="1208"/>
      <c r="R506" s="1208"/>
      <c r="S506" s="1208"/>
    </row>
    <row r="507" spans="1:19" ht="15" hidden="1" customHeight="1" x14ac:dyDescent="0.2">
      <c r="A507" s="1365"/>
      <c r="B507" s="2788" t="s">
        <v>4221</v>
      </c>
      <c r="C507" s="2788"/>
      <c r="D507" s="2788"/>
      <c r="E507" s="2788"/>
      <c r="F507" s="2788"/>
      <c r="G507" s="2788"/>
      <c r="H507" s="2788"/>
      <c r="I507" s="2788"/>
      <c r="J507" s="2788"/>
      <c r="K507" s="2789"/>
      <c r="Q507" s="1208"/>
      <c r="R507" s="1208"/>
      <c r="S507" s="1208"/>
    </row>
    <row r="508" spans="1:19" ht="15" hidden="1" customHeight="1" x14ac:dyDescent="0.2">
      <c r="A508" s="1283" t="s">
        <v>4187</v>
      </c>
      <c r="B508" s="1368"/>
      <c r="C508" s="1310"/>
      <c r="D508" s="1285"/>
      <c r="E508" s="1273"/>
      <c r="F508" s="1273"/>
      <c r="G508" s="1273"/>
      <c r="H508" s="1273"/>
      <c r="I508" s="1273"/>
      <c r="J508" s="1310"/>
      <c r="K508" s="1367"/>
      <c r="M508" s="1369">
        <f>IF(K334&lt;&gt;10%,SUM(G334-(C334*1.1),0))</f>
        <v>0</v>
      </c>
      <c r="Q508" s="1208"/>
      <c r="R508" s="1208"/>
      <c r="S508" s="1208"/>
    </row>
    <row r="509" spans="1:19" ht="15" hidden="1" customHeight="1" x14ac:dyDescent="0.2">
      <c r="A509" s="1365"/>
      <c r="B509" s="2788" t="s">
        <v>4221</v>
      </c>
      <c r="C509" s="2788"/>
      <c r="D509" s="2788"/>
      <c r="E509" s="2788"/>
      <c r="F509" s="2788"/>
      <c r="G509" s="2788"/>
      <c r="H509" s="2788"/>
      <c r="I509" s="2788"/>
      <c r="J509" s="2788"/>
      <c r="K509" s="2789"/>
      <c r="Q509" s="1208"/>
      <c r="R509" s="1208"/>
      <c r="S509" s="1208"/>
    </row>
    <row r="510" spans="1:19" ht="15" hidden="1" customHeight="1" x14ac:dyDescent="0.2">
      <c r="A510" s="1283" t="s">
        <v>4188</v>
      </c>
      <c r="B510" s="1368"/>
      <c r="C510" s="1310"/>
      <c r="D510" s="1285"/>
      <c r="E510" s="1273"/>
      <c r="F510" s="1273"/>
      <c r="G510" s="1273"/>
      <c r="H510" s="1273"/>
      <c r="I510" s="1273"/>
      <c r="J510" s="1310"/>
      <c r="K510" s="1367"/>
      <c r="M510" s="1369">
        <f>IF(K335&lt;&gt;10%,SUM(G335-(C335*1.1),0))</f>
        <v>15563008.82</v>
      </c>
      <c r="Q510" s="1208"/>
      <c r="R510" s="1208"/>
      <c r="S510" s="1208"/>
    </row>
    <row r="511" spans="1:19" ht="15" hidden="1" customHeight="1" x14ac:dyDescent="0.2">
      <c r="A511" s="1365"/>
      <c r="B511" s="2788" t="s">
        <v>4221</v>
      </c>
      <c r="C511" s="2788"/>
      <c r="D511" s="2788"/>
      <c r="E511" s="2788"/>
      <c r="F511" s="2788"/>
      <c r="G511" s="2788"/>
      <c r="H511" s="2788"/>
      <c r="I511" s="2788"/>
      <c r="J511" s="2788"/>
      <c r="K511" s="2789"/>
      <c r="Q511" s="1208"/>
      <c r="R511" s="1208"/>
      <c r="S511" s="1208"/>
    </row>
    <row r="512" spans="1:19" ht="15" hidden="1" customHeight="1" x14ac:dyDescent="0.2">
      <c r="A512" s="1283" t="s">
        <v>4189</v>
      </c>
      <c r="B512" s="1368"/>
      <c r="C512" s="1310"/>
      <c r="D512" s="1285"/>
      <c r="E512" s="1273"/>
      <c r="F512" s="1273"/>
      <c r="G512" s="1273"/>
      <c r="H512" s="1273"/>
      <c r="I512" s="1273"/>
      <c r="J512" s="1310"/>
      <c r="K512" s="1367"/>
      <c r="M512" s="1369">
        <f>IF(K342&lt;&gt;10%,SUM(G342-(C342*1.1),0))</f>
        <v>0</v>
      </c>
      <c r="Q512" s="1208"/>
      <c r="R512" s="1208"/>
      <c r="S512" s="1208"/>
    </row>
    <row r="513" spans="1:19" ht="15" hidden="1" customHeight="1" x14ac:dyDescent="0.2">
      <c r="A513" s="1365"/>
      <c r="B513" s="2788" t="s">
        <v>4221</v>
      </c>
      <c r="C513" s="2788"/>
      <c r="D513" s="2788"/>
      <c r="E513" s="2788"/>
      <c r="F513" s="2788"/>
      <c r="G513" s="2788"/>
      <c r="H513" s="2788"/>
      <c r="I513" s="2788"/>
      <c r="J513" s="2788"/>
      <c r="K513" s="2789"/>
      <c r="Q513" s="1208"/>
      <c r="R513" s="1208"/>
      <c r="S513" s="1208"/>
    </row>
    <row r="514" spans="1:19" ht="15" hidden="1" customHeight="1" x14ac:dyDescent="0.2">
      <c r="A514" s="1283" t="s">
        <v>4190</v>
      </c>
      <c r="B514" s="1368"/>
      <c r="C514" s="1310"/>
      <c r="D514" s="1285"/>
      <c r="E514" s="1273"/>
      <c r="F514" s="1273"/>
      <c r="G514" s="1273"/>
      <c r="H514" s="1273"/>
      <c r="I514" s="1273"/>
      <c r="J514" s="1310"/>
      <c r="K514" s="1367"/>
      <c r="M514" s="1369">
        <f>IF(K343&lt;&gt;10%,SUM(G343-(C343*1.1),0))</f>
        <v>0</v>
      </c>
      <c r="Q514" s="1208"/>
      <c r="R514" s="1208"/>
      <c r="S514" s="1208"/>
    </row>
    <row r="515" spans="1:19" ht="15" hidden="1" customHeight="1" x14ac:dyDescent="0.2">
      <c r="A515" s="1365"/>
      <c r="B515" s="2788" t="s">
        <v>4221</v>
      </c>
      <c r="C515" s="2788"/>
      <c r="D515" s="2788"/>
      <c r="E515" s="2788"/>
      <c r="F515" s="2788"/>
      <c r="G515" s="2788"/>
      <c r="H515" s="2788"/>
      <c r="I515" s="2788"/>
      <c r="J515" s="2788"/>
      <c r="K515" s="2789"/>
      <c r="Q515" s="1208"/>
      <c r="R515" s="1208"/>
      <c r="S515" s="1208"/>
    </row>
    <row r="516" spans="1:19" ht="15" hidden="1" customHeight="1" x14ac:dyDescent="0.2">
      <c r="A516" s="1283" t="s">
        <v>4191</v>
      </c>
      <c r="B516" s="1368"/>
      <c r="C516" s="1310"/>
      <c r="D516" s="1285"/>
      <c r="E516" s="1273"/>
      <c r="F516" s="1273"/>
      <c r="G516" s="1273"/>
      <c r="H516" s="1273"/>
      <c r="I516" s="1273"/>
      <c r="J516" s="1310"/>
      <c r="K516" s="1367"/>
      <c r="M516" s="1369">
        <f>IF(K344&lt;&gt;10%,SUM(G344-(C344*1.1),0))</f>
        <v>303217864.52000016</v>
      </c>
      <c r="Q516" s="1208"/>
      <c r="R516" s="1208"/>
      <c r="S516" s="1208"/>
    </row>
    <row r="517" spans="1:19" ht="15" hidden="1" customHeight="1" x14ac:dyDescent="0.2">
      <c r="A517" s="1365"/>
      <c r="B517" s="2788" t="s">
        <v>4221</v>
      </c>
      <c r="C517" s="2788"/>
      <c r="D517" s="2788"/>
      <c r="E517" s="2788"/>
      <c r="F517" s="2788"/>
      <c r="G517" s="2788"/>
      <c r="H517" s="2788"/>
      <c r="I517" s="2788"/>
      <c r="J517" s="2788"/>
      <c r="K517" s="2789"/>
      <c r="Q517" s="1208"/>
      <c r="R517" s="1208"/>
      <c r="S517" s="1208"/>
    </row>
    <row r="518" spans="1:19" ht="15" customHeight="1" x14ac:dyDescent="0.2">
      <c r="A518" s="1283"/>
      <c r="B518" s="1368"/>
      <c r="C518" s="1310"/>
      <c r="D518" s="1285"/>
      <c r="E518" s="1273"/>
      <c r="F518" s="1273"/>
      <c r="G518" s="1273"/>
      <c r="H518" s="1273"/>
      <c r="I518" s="1273"/>
      <c r="J518" s="1310"/>
      <c r="K518" s="1367"/>
      <c r="Q518" s="1208"/>
      <c r="R518" s="1208"/>
      <c r="S518" s="1208"/>
    </row>
    <row r="519" spans="1:19" ht="15" customHeight="1" x14ac:dyDescent="0.2">
      <c r="A519" s="1448" t="s">
        <v>4192</v>
      </c>
      <c r="B519" s="229"/>
      <c r="C519" s="297"/>
      <c r="D519" s="297"/>
      <c r="E519" s="1133"/>
      <c r="F519" s="1133"/>
      <c r="G519" s="1133"/>
      <c r="H519" s="1133"/>
      <c r="I519" s="1133"/>
      <c r="J519" s="1133"/>
      <c r="K519" s="1363"/>
      <c r="M519" s="1369"/>
      <c r="Q519" s="1208"/>
      <c r="R519" s="1208"/>
      <c r="S519" s="1208"/>
    </row>
    <row r="520" spans="1:19" ht="15" customHeight="1" x14ac:dyDescent="0.2">
      <c r="A520" s="2823" t="s">
        <v>4133</v>
      </c>
      <c r="B520" s="2788"/>
      <c r="C520" s="2788"/>
      <c r="D520" s="2788"/>
      <c r="E520" s="2788"/>
      <c r="F520" s="2788"/>
      <c r="G520" s="2788"/>
      <c r="H520" s="2788"/>
      <c r="I520" s="2788"/>
      <c r="J520" s="2788"/>
      <c r="K520" s="2789"/>
      <c r="Q520" s="1208"/>
      <c r="R520" s="1208"/>
      <c r="S520" s="1208"/>
    </row>
    <row r="521" spans="1:19" ht="15" customHeight="1" x14ac:dyDescent="0.2">
      <c r="A521" s="1283"/>
      <c r="B521" s="1368"/>
      <c r="C521" s="1310"/>
      <c r="D521" s="1285"/>
      <c r="E521" s="1273"/>
      <c r="F521" s="1273"/>
      <c r="G521" s="1273"/>
      <c r="H521" s="1273"/>
      <c r="I521" s="1273"/>
      <c r="J521" s="1310"/>
      <c r="K521" s="1367"/>
      <c r="M521" s="1369"/>
      <c r="Q521" s="1208"/>
      <c r="R521" s="1208"/>
      <c r="S521" s="1208"/>
    </row>
    <row r="522" spans="1:19" ht="15" customHeight="1" x14ac:dyDescent="0.2">
      <c r="A522" s="1448" t="s">
        <v>4193</v>
      </c>
      <c r="B522" s="229"/>
      <c r="C522" s="297"/>
      <c r="D522" s="297"/>
      <c r="E522" s="1133"/>
      <c r="F522" s="1133"/>
      <c r="G522" s="1133"/>
      <c r="H522" s="1133"/>
      <c r="I522" s="1133"/>
      <c r="J522" s="1133"/>
      <c r="K522" s="1363"/>
      <c r="Q522" s="1208"/>
      <c r="R522" s="1208"/>
      <c r="S522" s="1208"/>
    </row>
    <row r="523" spans="1:19" ht="15" customHeight="1" x14ac:dyDescent="0.2">
      <c r="A523" s="2823" t="s">
        <v>4134</v>
      </c>
      <c r="B523" s="2788"/>
      <c r="C523" s="2788"/>
      <c r="D523" s="2788"/>
      <c r="E523" s="2788"/>
      <c r="F523" s="2788"/>
      <c r="G523" s="2788"/>
      <c r="H523" s="2788"/>
      <c r="I523" s="2788"/>
      <c r="J523" s="2788"/>
      <c r="K523" s="2789"/>
      <c r="M523" s="1369"/>
      <c r="Q523" s="1208"/>
      <c r="R523" s="1208"/>
      <c r="S523" s="1208"/>
    </row>
    <row r="524" spans="1:19" ht="15" customHeight="1" x14ac:dyDescent="0.2">
      <c r="A524" s="1283"/>
      <c r="B524" s="1368"/>
      <c r="C524" s="1310"/>
      <c r="D524" s="1285"/>
      <c r="E524" s="1273"/>
      <c r="F524" s="1273"/>
      <c r="G524" s="1273"/>
      <c r="H524" s="1273"/>
      <c r="I524" s="1273"/>
      <c r="J524" s="1310"/>
      <c r="K524" s="1367"/>
      <c r="Q524" s="1208"/>
      <c r="R524" s="1208"/>
      <c r="S524" s="1208"/>
    </row>
    <row r="525" spans="1:19" ht="15" hidden="1" customHeight="1" x14ac:dyDescent="0.2">
      <c r="A525" s="1448" t="s">
        <v>4194</v>
      </c>
      <c r="B525" s="229"/>
      <c r="C525" s="297"/>
      <c r="D525" s="297"/>
      <c r="E525" s="1133"/>
      <c r="F525" s="1133"/>
      <c r="G525" s="1133"/>
      <c r="H525" s="1133"/>
      <c r="I525" s="1133"/>
      <c r="J525" s="1133"/>
      <c r="K525" s="1363"/>
      <c r="M525" s="1369"/>
      <c r="Q525" s="1208"/>
      <c r="R525" s="1208"/>
      <c r="S525" s="1208"/>
    </row>
    <row r="526" spans="1:19" ht="15" hidden="1" customHeight="1" x14ac:dyDescent="0.2">
      <c r="A526" s="2823" t="s">
        <v>4135</v>
      </c>
      <c r="B526" s="2788"/>
      <c r="C526" s="2788"/>
      <c r="D526" s="2788"/>
      <c r="E526" s="2788"/>
      <c r="F526" s="2788"/>
      <c r="G526" s="2788"/>
      <c r="H526" s="2788"/>
      <c r="I526" s="2788"/>
      <c r="J526" s="2788"/>
      <c r="K526" s="2789"/>
      <c r="Q526" s="1208"/>
      <c r="R526" s="1208"/>
      <c r="S526" s="1208"/>
    </row>
    <row r="527" spans="1:19" ht="15" hidden="1" customHeight="1" x14ac:dyDescent="0.2">
      <c r="A527" s="1283"/>
      <c r="B527" s="1368"/>
      <c r="C527" s="1310"/>
      <c r="D527" s="1285"/>
      <c r="E527" s="1273"/>
      <c r="F527" s="1273"/>
      <c r="G527" s="1273"/>
      <c r="H527" s="1273"/>
      <c r="I527" s="1273"/>
      <c r="J527" s="1310"/>
      <c r="K527" s="1367"/>
      <c r="M527" s="1369"/>
      <c r="Q527" s="1208"/>
      <c r="R527" s="1208"/>
      <c r="S527" s="1208"/>
    </row>
    <row r="528" spans="1:19" ht="15" hidden="1" customHeight="1" x14ac:dyDescent="0.2">
      <c r="A528" s="1368" t="s">
        <v>4195</v>
      </c>
      <c r="B528" s="1368"/>
      <c r="C528" s="1310"/>
      <c r="D528" s="1285"/>
      <c r="E528" s="1273"/>
      <c r="F528" s="1273"/>
      <c r="G528" s="1273"/>
      <c r="H528" s="1273"/>
      <c r="I528" s="1273"/>
      <c r="J528" s="1310"/>
      <c r="K528" s="1367"/>
      <c r="M528" s="1369">
        <f>IF(K420&lt;&gt;10%,SUM(G420-(C420*1.1),0))</f>
        <v>115155264</v>
      </c>
      <c r="Q528" s="1208"/>
      <c r="R528" s="1208"/>
      <c r="S528" s="1208"/>
    </row>
    <row r="529" spans="1:19" ht="15" hidden="1" customHeight="1" x14ac:dyDescent="0.2">
      <c r="A529" s="1365"/>
      <c r="B529" s="2788" t="s">
        <v>4221</v>
      </c>
      <c r="C529" s="2788"/>
      <c r="D529" s="2788"/>
      <c r="E529" s="2788"/>
      <c r="F529" s="2788"/>
      <c r="G529" s="2788"/>
      <c r="H529" s="2788"/>
      <c r="I529" s="2788"/>
      <c r="J529" s="2788"/>
      <c r="K529" s="2789"/>
      <c r="Q529" s="1208"/>
      <c r="R529" s="1208"/>
      <c r="S529" s="1208"/>
    </row>
    <row r="530" spans="1:19" ht="15" hidden="1" customHeight="1" x14ac:dyDescent="0.2">
      <c r="A530" s="1368" t="s">
        <v>4196</v>
      </c>
      <c r="B530" s="1368"/>
      <c r="C530" s="1310"/>
      <c r="D530" s="1285"/>
      <c r="E530" s="1273"/>
      <c r="F530" s="1273"/>
      <c r="G530" s="1273"/>
      <c r="H530" s="1273"/>
      <c r="I530" s="1273"/>
      <c r="J530" s="1310"/>
      <c r="K530" s="1367"/>
      <c r="M530" s="1369">
        <f>IF(K421&lt;&gt;10%,SUM(G421-(C421*1.1),0))</f>
        <v>-88087205</v>
      </c>
      <c r="Q530" s="1208"/>
      <c r="R530" s="1208"/>
      <c r="S530" s="1208"/>
    </row>
    <row r="531" spans="1:19" ht="15" hidden="1" customHeight="1" x14ac:dyDescent="0.2">
      <c r="A531" s="1365"/>
      <c r="B531" s="2788" t="s">
        <v>4221</v>
      </c>
      <c r="C531" s="2788"/>
      <c r="D531" s="2788"/>
      <c r="E531" s="2788"/>
      <c r="F531" s="2788"/>
      <c r="G531" s="2788"/>
      <c r="H531" s="2788"/>
      <c r="I531" s="2788"/>
      <c r="J531" s="2788"/>
      <c r="K531" s="2789"/>
      <c r="Q531" s="1208"/>
      <c r="R531" s="1208"/>
      <c r="S531" s="1208"/>
    </row>
    <row r="532" spans="1:19" ht="15" hidden="1" customHeight="1" x14ac:dyDescent="0.2">
      <c r="A532" s="1368" t="s">
        <v>4197</v>
      </c>
      <c r="B532" s="1368"/>
      <c r="C532" s="1310"/>
      <c r="D532" s="1285"/>
      <c r="E532" s="1273"/>
      <c r="F532" s="1273"/>
      <c r="G532" s="1273"/>
      <c r="H532" s="1273"/>
      <c r="I532" s="1273"/>
      <c r="J532" s="1310"/>
      <c r="K532" s="1367"/>
      <c r="M532" s="1369">
        <f>IF(K422&lt;&gt;10%,SUM(G422-(C422*1.1),0))</f>
        <v>0</v>
      </c>
      <c r="Q532" s="1208"/>
      <c r="R532" s="1208"/>
      <c r="S532" s="1208"/>
    </row>
    <row r="533" spans="1:19" ht="15" hidden="1" customHeight="1" x14ac:dyDescent="0.2">
      <c r="A533" s="1365"/>
      <c r="B533" s="2788" t="s">
        <v>4221</v>
      </c>
      <c r="C533" s="2788"/>
      <c r="D533" s="2788"/>
      <c r="E533" s="2788"/>
      <c r="F533" s="2788"/>
      <c r="G533" s="2788"/>
      <c r="H533" s="2788"/>
      <c r="I533" s="2788"/>
      <c r="J533" s="2788"/>
      <c r="K533" s="2789"/>
      <c r="Q533" s="1208"/>
      <c r="R533" s="1208"/>
      <c r="S533" s="1208"/>
    </row>
    <row r="534" spans="1:19" ht="15" hidden="1" customHeight="1" x14ac:dyDescent="0.2">
      <c r="A534" s="1368" t="s">
        <v>4198</v>
      </c>
      <c r="B534" s="1368"/>
      <c r="C534" s="1310"/>
      <c r="D534" s="1285"/>
      <c r="E534" s="1273"/>
      <c r="F534" s="1273"/>
      <c r="G534" s="1273"/>
      <c r="H534" s="1273"/>
      <c r="I534" s="1273"/>
      <c r="J534" s="1310"/>
      <c r="K534" s="1367"/>
      <c r="M534" s="1369">
        <f>IF(K423&lt;&gt;10%,SUM(G423-(C423*1.1),0))</f>
        <v>0</v>
      </c>
      <c r="Q534" s="1208"/>
      <c r="R534" s="1208"/>
      <c r="S534" s="1208"/>
    </row>
    <row r="535" spans="1:19" ht="15" hidden="1" customHeight="1" x14ac:dyDescent="0.2">
      <c r="A535" s="1365"/>
      <c r="B535" s="2788" t="s">
        <v>4221</v>
      </c>
      <c r="C535" s="2788"/>
      <c r="D535" s="2788"/>
      <c r="E535" s="2788"/>
      <c r="F535" s="2788"/>
      <c r="G535" s="2788"/>
      <c r="H535" s="2788"/>
      <c r="I535" s="2788"/>
      <c r="J535" s="2788"/>
      <c r="K535" s="2789"/>
      <c r="Q535" s="1208"/>
      <c r="R535" s="1208"/>
      <c r="S535" s="1208"/>
    </row>
    <row r="536" spans="1:19" ht="15" hidden="1" customHeight="1" x14ac:dyDescent="0.2">
      <c r="A536" s="1368" t="s">
        <v>4199</v>
      </c>
      <c r="B536" s="1368"/>
      <c r="C536" s="1310"/>
      <c r="D536" s="1285"/>
      <c r="E536" s="1273"/>
      <c r="F536" s="1273"/>
      <c r="G536" s="1273"/>
      <c r="H536" s="1273"/>
      <c r="I536" s="1273"/>
      <c r="J536" s="1310"/>
      <c r="K536" s="1367"/>
      <c r="M536" s="1369">
        <f>IF(K424&lt;&gt;10%,SUM(G424-(C424*1.1),0))</f>
        <v>258129</v>
      </c>
      <c r="Q536" s="1208"/>
      <c r="R536" s="1208"/>
      <c r="S536" s="1208"/>
    </row>
    <row r="537" spans="1:19" ht="15" hidden="1" customHeight="1" x14ac:dyDescent="0.2">
      <c r="A537" s="1365"/>
      <c r="B537" s="2788" t="s">
        <v>4221</v>
      </c>
      <c r="C537" s="2788"/>
      <c r="D537" s="2788"/>
      <c r="E537" s="2788"/>
      <c r="F537" s="2788"/>
      <c r="G537" s="2788"/>
      <c r="H537" s="2788"/>
      <c r="I537" s="2788"/>
      <c r="J537" s="2788"/>
      <c r="K537" s="2789"/>
      <c r="Q537" s="1208"/>
      <c r="R537" s="1208"/>
      <c r="S537" s="1208"/>
    </row>
    <row r="538" spans="1:19" ht="15" hidden="1" customHeight="1" x14ac:dyDescent="0.2">
      <c r="A538" s="1368" t="s">
        <v>4200</v>
      </c>
      <c r="B538" s="1368"/>
      <c r="C538" s="1310"/>
      <c r="D538" s="1285"/>
      <c r="E538" s="1273"/>
      <c r="F538" s="1273"/>
      <c r="G538" s="1273"/>
      <c r="H538" s="1273"/>
      <c r="I538" s="1273"/>
      <c r="J538" s="1310"/>
      <c r="K538" s="1367"/>
      <c r="M538" s="1369">
        <f>IF(K425&lt;&gt;10%,SUM(G425-(C425*1.1),0))</f>
        <v>-2436791</v>
      </c>
      <c r="Q538" s="1208"/>
      <c r="R538" s="1208"/>
      <c r="S538" s="1208"/>
    </row>
    <row r="539" spans="1:19" ht="15" hidden="1" customHeight="1" x14ac:dyDescent="0.2">
      <c r="A539" s="1365"/>
      <c r="B539" s="2788" t="s">
        <v>4221</v>
      </c>
      <c r="C539" s="2788"/>
      <c r="D539" s="2788"/>
      <c r="E539" s="2788"/>
      <c r="F539" s="2788"/>
      <c r="G539" s="2788"/>
      <c r="H539" s="2788"/>
      <c r="I539" s="2788"/>
      <c r="J539" s="2788"/>
      <c r="K539" s="2789"/>
      <c r="Q539" s="1208"/>
      <c r="R539" s="1208"/>
      <c r="S539" s="1208"/>
    </row>
    <row r="540" spans="1:19" ht="15" hidden="1" customHeight="1" x14ac:dyDescent="0.2">
      <c r="A540" s="1368" t="s">
        <v>4201</v>
      </c>
      <c r="B540" s="1368"/>
      <c r="C540" s="1310"/>
      <c r="D540" s="1285"/>
      <c r="E540" s="1273"/>
      <c r="F540" s="1273"/>
      <c r="G540" s="1273"/>
      <c r="H540" s="1273"/>
      <c r="I540" s="1273"/>
      <c r="J540" s="1310"/>
      <c r="K540" s="1367"/>
      <c r="M540" s="1369">
        <f>IF(K428&lt;&gt;10%,SUM(G428-(C428*1.1),0))</f>
        <v>-29980227</v>
      </c>
      <c r="Q540" s="1208"/>
      <c r="R540" s="1208"/>
      <c r="S540" s="1208"/>
    </row>
    <row r="541" spans="1:19" ht="15" hidden="1" customHeight="1" x14ac:dyDescent="0.2">
      <c r="A541" s="1365"/>
      <c r="B541" s="2788" t="s">
        <v>4221</v>
      </c>
      <c r="C541" s="2788"/>
      <c r="D541" s="2788"/>
      <c r="E541" s="2788"/>
      <c r="F541" s="2788"/>
      <c r="G541" s="2788"/>
      <c r="H541" s="2788"/>
      <c r="I541" s="2788"/>
      <c r="J541" s="2788"/>
      <c r="K541" s="2789"/>
      <c r="Q541" s="1208"/>
      <c r="R541" s="1208"/>
      <c r="S541" s="1208"/>
    </row>
    <row r="542" spans="1:19" ht="15" hidden="1" customHeight="1" x14ac:dyDescent="0.2">
      <c r="A542" s="1368" t="s">
        <v>4202</v>
      </c>
      <c r="B542" s="1368"/>
      <c r="C542" s="1310"/>
      <c r="D542" s="1285"/>
      <c r="E542" s="1273"/>
      <c r="F542" s="1273"/>
      <c r="G542" s="1273"/>
      <c r="H542" s="1273"/>
      <c r="I542" s="1273"/>
      <c r="J542" s="1310"/>
      <c r="K542" s="1367"/>
      <c r="M542" s="1369">
        <f>IF(K429&lt;&gt;10%,SUM(G429-(C429*1.1),0))</f>
        <v>0</v>
      </c>
      <c r="Q542" s="1208"/>
      <c r="R542" s="1208"/>
      <c r="S542" s="1208"/>
    </row>
    <row r="543" spans="1:19" ht="15" hidden="1" customHeight="1" x14ac:dyDescent="0.2">
      <c r="A543" s="1365"/>
      <c r="B543" s="2788" t="s">
        <v>4221</v>
      </c>
      <c r="C543" s="2788"/>
      <c r="D543" s="2788"/>
      <c r="E543" s="2788"/>
      <c r="F543" s="2788"/>
      <c r="G543" s="2788"/>
      <c r="H543" s="2788"/>
      <c r="I543" s="2788"/>
      <c r="J543" s="2788"/>
      <c r="K543" s="2789"/>
      <c r="Q543" s="1208"/>
      <c r="R543" s="1208"/>
      <c r="S543" s="1208"/>
    </row>
    <row r="544" spans="1:19" ht="15" hidden="1" customHeight="1" x14ac:dyDescent="0.2">
      <c r="A544" s="1368" t="s">
        <v>4203</v>
      </c>
      <c r="B544" s="1368"/>
      <c r="C544" s="1310"/>
      <c r="D544" s="1285"/>
      <c r="E544" s="1273"/>
      <c r="F544" s="1273"/>
      <c r="G544" s="1273"/>
      <c r="H544" s="1273"/>
      <c r="I544" s="1273"/>
      <c r="J544" s="1310"/>
      <c r="K544" s="1367"/>
      <c r="M544" s="1369">
        <f>IF(K430&lt;&gt;10%,SUM(G430-(C430*1.1),0))</f>
        <v>0</v>
      </c>
      <c r="Q544" s="1208"/>
      <c r="R544" s="1208"/>
      <c r="S544" s="1208"/>
    </row>
    <row r="545" spans="1:19" ht="15" hidden="1" customHeight="1" x14ac:dyDescent="0.2">
      <c r="A545" s="1365"/>
      <c r="B545" s="2788" t="s">
        <v>4221</v>
      </c>
      <c r="C545" s="2788"/>
      <c r="D545" s="2788"/>
      <c r="E545" s="2788"/>
      <c r="F545" s="2788"/>
      <c r="G545" s="2788"/>
      <c r="H545" s="2788"/>
      <c r="I545" s="2788"/>
      <c r="J545" s="2788"/>
      <c r="K545" s="2789"/>
      <c r="Q545" s="1208"/>
      <c r="R545" s="1208"/>
      <c r="S545" s="1208"/>
    </row>
    <row r="546" spans="1:19" ht="15" hidden="1" customHeight="1" x14ac:dyDescent="0.2">
      <c r="A546" s="1368" t="s">
        <v>4204</v>
      </c>
      <c r="B546" s="1368"/>
      <c r="C546" s="1310"/>
      <c r="D546" s="1285"/>
      <c r="E546" s="1273"/>
      <c r="F546" s="1273"/>
      <c r="G546" s="1273"/>
      <c r="H546" s="1273"/>
      <c r="I546" s="1273"/>
      <c r="J546" s="1310"/>
      <c r="K546" s="1367"/>
      <c r="M546" s="1369">
        <f>IF(K431&lt;&gt;10%,SUM(G431-(C431*1.1),0))</f>
        <v>740308</v>
      </c>
      <c r="Q546" s="1208"/>
      <c r="R546" s="1208"/>
      <c r="S546" s="1208"/>
    </row>
    <row r="547" spans="1:19" ht="15" hidden="1" customHeight="1" x14ac:dyDescent="0.2">
      <c r="A547" s="1365"/>
      <c r="B547" s="2788" t="s">
        <v>4221</v>
      </c>
      <c r="C547" s="2788"/>
      <c r="D547" s="2788"/>
      <c r="E547" s="2788"/>
      <c r="F547" s="2788"/>
      <c r="G547" s="2788"/>
      <c r="H547" s="2788"/>
      <c r="I547" s="2788"/>
      <c r="J547" s="2788"/>
      <c r="K547" s="2789"/>
      <c r="Q547" s="1208"/>
      <c r="R547" s="1208"/>
      <c r="S547" s="1208"/>
    </row>
    <row r="548" spans="1:19" ht="15" hidden="1" customHeight="1" x14ac:dyDescent="0.2">
      <c r="A548" s="1368" t="s">
        <v>4205</v>
      </c>
      <c r="B548" s="1368"/>
      <c r="C548" s="1310"/>
      <c r="D548" s="1285"/>
      <c r="E548" s="1273"/>
      <c r="F548" s="1273"/>
      <c r="G548" s="1273"/>
      <c r="H548" s="1273"/>
      <c r="I548" s="1273"/>
      <c r="J548" s="1310"/>
      <c r="K548" s="1367"/>
      <c r="M548" s="1369">
        <f>IF(K432&lt;&gt;10%,SUM(G432-(C432*1.1),0))</f>
        <v>0</v>
      </c>
      <c r="Q548" s="1208"/>
      <c r="R548" s="1208"/>
      <c r="S548" s="1208"/>
    </row>
    <row r="549" spans="1:19" ht="15" hidden="1" customHeight="1" x14ac:dyDescent="0.2">
      <c r="A549" s="1365"/>
      <c r="B549" s="2788" t="s">
        <v>4221</v>
      </c>
      <c r="C549" s="2788"/>
      <c r="D549" s="2788"/>
      <c r="E549" s="2788"/>
      <c r="F549" s="2788"/>
      <c r="G549" s="2788"/>
      <c r="H549" s="2788"/>
      <c r="I549" s="2788"/>
      <c r="J549" s="2788"/>
      <c r="K549" s="2789"/>
      <c r="Q549" s="1208"/>
      <c r="R549" s="1208"/>
      <c r="S549" s="1208"/>
    </row>
    <row r="550" spans="1:19" ht="15" hidden="1" customHeight="1" x14ac:dyDescent="0.2">
      <c r="A550" s="1368" t="s">
        <v>4206</v>
      </c>
      <c r="B550" s="1368"/>
      <c r="C550" s="1310"/>
      <c r="D550" s="1285"/>
      <c r="E550" s="1273"/>
      <c r="F550" s="1273"/>
      <c r="G550" s="1273"/>
      <c r="H550" s="1273"/>
      <c r="I550" s="1273"/>
      <c r="J550" s="1310"/>
      <c r="K550" s="1367"/>
      <c r="M550" s="1369">
        <f>IF(K433&lt;&gt;10%,SUM(G433-(C433*1.1),0))</f>
        <v>0</v>
      </c>
      <c r="Q550" s="1208"/>
      <c r="R550" s="1208"/>
      <c r="S550" s="1208"/>
    </row>
    <row r="551" spans="1:19" ht="15" hidden="1" customHeight="1" x14ac:dyDescent="0.2">
      <c r="A551" s="1365"/>
      <c r="B551" s="2788" t="s">
        <v>4221</v>
      </c>
      <c r="C551" s="2788"/>
      <c r="D551" s="2788"/>
      <c r="E551" s="2788"/>
      <c r="F551" s="2788"/>
      <c r="G551" s="2788"/>
      <c r="H551" s="2788"/>
      <c r="I551" s="2788"/>
      <c r="J551" s="2788"/>
      <c r="K551" s="2789"/>
      <c r="Q551" s="1208"/>
      <c r="R551" s="1208"/>
      <c r="S551" s="1208"/>
    </row>
    <row r="552" spans="1:19" ht="15" hidden="1" customHeight="1" x14ac:dyDescent="0.2">
      <c r="A552" s="1368" t="s">
        <v>4207</v>
      </c>
      <c r="B552" s="1368"/>
      <c r="C552" s="1310"/>
      <c r="D552" s="1285"/>
      <c r="E552" s="1273"/>
      <c r="F552" s="1273"/>
      <c r="G552" s="1273"/>
      <c r="H552" s="1273"/>
      <c r="I552" s="1273"/>
      <c r="J552" s="1310"/>
      <c r="K552" s="1367"/>
      <c r="M552" s="1369">
        <f>IF(K434&lt;&gt;10%,SUM(G434-(C434*1.1),0))</f>
        <v>0</v>
      </c>
      <c r="Q552" s="1208"/>
      <c r="R552" s="1208"/>
      <c r="S552" s="1208"/>
    </row>
    <row r="553" spans="1:19" ht="15" hidden="1" customHeight="1" x14ac:dyDescent="0.2">
      <c r="A553" s="1365"/>
      <c r="B553" s="2788" t="s">
        <v>4221</v>
      </c>
      <c r="C553" s="2788"/>
      <c r="D553" s="2788"/>
      <c r="E553" s="2788"/>
      <c r="F553" s="2788"/>
      <c r="G553" s="2788"/>
      <c r="H553" s="2788"/>
      <c r="I553" s="2788"/>
      <c r="J553" s="2788"/>
      <c r="K553" s="2789"/>
      <c r="Q553" s="1208"/>
      <c r="R553" s="1208"/>
      <c r="S553" s="1208"/>
    </row>
    <row r="554" spans="1:19" ht="15" hidden="1" customHeight="1" x14ac:dyDescent="0.2">
      <c r="A554" s="1368" t="s">
        <v>4208</v>
      </c>
      <c r="B554" s="1368"/>
      <c r="C554" s="1310"/>
      <c r="D554" s="1285"/>
      <c r="E554" s="1273"/>
      <c r="F554" s="1273"/>
      <c r="G554" s="1273"/>
      <c r="H554" s="1273"/>
      <c r="I554" s="1273"/>
      <c r="J554" s="1310"/>
      <c r="K554" s="1367"/>
      <c r="M554" s="1369">
        <f>IF(K435&lt;&gt;10%,SUM(G435-(C435*1.1),0))</f>
        <v>-95826</v>
      </c>
      <c r="Q554" s="1208"/>
      <c r="R554" s="1208"/>
      <c r="S554" s="1208"/>
    </row>
    <row r="555" spans="1:19" ht="15" hidden="1" customHeight="1" x14ac:dyDescent="0.2">
      <c r="A555" s="1365"/>
      <c r="B555" s="2788" t="s">
        <v>4221</v>
      </c>
      <c r="C555" s="2788"/>
      <c r="D555" s="2788"/>
      <c r="E555" s="2788"/>
      <c r="F555" s="2788"/>
      <c r="G555" s="2788"/>
      <c r="H555" s="2788"/>
      <c r="I555" s="2788"/>
      <c r="J555" s="2788"/>
      <c r="K555" s="2789"/>
      <c r="Q555" s="1208"/>
      <c r="R555" s="1208"/>
      <c r="S555" s="1208"/>
    </row>
    <row r="556" spans="1:19" ht="15" hidden="1" customHeight="1" x14ac:dyDescent="0.2">
      <c r="A556" s="1368" t="s">
        <v>4209</v>
      </c>
      <c r="B556" s="1368"/>
      <c r="C556" s="1310"/>
      <c r="D556" s="1285"/>
      <c r="E556" s="1273"/>
      <c r="F556" s="1273"/>
      <c r="G556" s="1273"/>
      <c r="H556" s="1273"/>
      <c r="I556" s="1273"/>
      <c r="J556" s="1310"/>
      <c r="K556" s="1367"/>
      <c r="M556" s="1369">
        <f>IF(K436&lt;&gt;10%,SUM(G436-(C436*1.1),0))</f>
        <v>0</v>
      </c>
      <c r="Q556" s="1208"/>
      <c r="R556" s="1208"/>
      <c r="S556" s="1208"/>
    </row>
    <row r="557" spans="1:19" ht="15" hidden="1" customHeight="1" x14ac:dyDescent="0.2">
      <c r="A557" s="1365"/>
      <c r="B557" s="2788" t="s">
        <v>4221</v>
      </c>
      <c r="C557" s="2788"/>
      <c r="D557" s="2788"/>
      <c r="E557" s="2788"/>
      <c r="F557" s="2788"/>
      <c r="G557" s="2788"/>
      <c r="H557" s="2788"/>
      <c r="I557" s="2788"/>
      <c r="J557" s="2788"/>
      <c r="K557" s="2789"/>
      <c r="Q557" s="1208"/>
      <c r="R557" s="1208"/>
      <c r="S557" s="1208"/>
    </row>
    <row r="558" spans="1:19" ht="15" hidden="1" customHeight="1" x14ac:dyDescent="0.2">
      <c r="A558" s="1368" t="s">
        <v>4210</v>
      </c>
      <c r="B558" s="1368"/>
      <c r="C558" s="1310"/>
      <c r="D558" s="1285"/>
      <c r="E558" s="1273"/>
      <c r="F558" s="1273"/>
      <c r="G558" s="1273"/>
      <c r="H558" s="1273"/>
      <c r="I558" s="1273"/>
      <c r="J558" s="1310"/>
      <c r="K558" s="1367"/>
      <c r="M558" s="1369">
        <f>IF(K437&lt;&gt;10%,SUM(G437-(C437*1.1),0))</f>
        <v>0</v>
      </c>
      <c r="Q558" s="1208"/>
      <c r="R558" s="1208"/>
      <c r="S558" s="1208"/>
    </row>
    <row r="559" spans="1:19" ht="15" hidden="1" customHeight="1" x14ac:dyDescent="0.2">
      <c r="A559" s="1365"/>
      <c r="B559" s="2788" t="s">
        <v>4221</v>
      </c>
      <c r="C559" s="2788"/>
      <c r="D559" s="2788"/>
      <c r="E559" s="2788"/>
      <c r="F559" s="2788"/>
      <c r="G559" s="2788"/>
      <c r="H559" s="2788"/>
      <c r="I559" s="2788"/>
      <c r="J559" s="2788"/>
      <c r="K559" s="2789"/>
      <c r="Q559" s="1208"/>
      <c r="R559" s="1208"/>
      <c r="S559" s="1208"/>
    </row>
    <row r="560" spans="1:19" ht="15" hidden="1" customHeight="1" x14ac:dyDescent="0.2">
      <c r="A560" s="1368" t="s">
        <v>4211</v>
      </c>
      <c r="B560" s="1368"/>
      <c r="C560" s="1310"/>
      <c r="D560" s="1285"/>
      <c r="E560" s="1273"/>
      <c r="F560" s="1273"/>
      <c r="G560" s="1273"/>
      <c r="H560" s="1273"/>
      <c r="I560" s="1273"/>
      <c r="J560" s="1310"/>
      <c r="K560" s="1367"/>
      <c r="M560" s="1369">
        <f>IF(K440&lt;&gt;10%,SUM(G440-(C440*1.1),0))</f>
        <v>0</v>
      </c>
      <c r="Q560" s="1208"/>
      <c r="R560" s="1208"/>
      <c r="S560" s="1208"/>
    </row>
    <row r="561" spans="1:19" ht="15" hidden="1" customHeight="1" x14ac:dyDescent="0.2">
      <c r="A561" s="1365"/>
      <c r="B561" s="2788" t="s">
        <v>4221</v>
      </c>
      <c r="C561" s="2788"/>
      <c r="D561" s="2788"/>
      <c r="E561" s="2788"/>
      <c r="F561" s="2788"/>
      <c r="G561" s="2788"/>
      <c r="H561" s="2788"/>
      <c r="I561" s="2788"/>
      <c r="J561" s="2788"/>
      <c r="K561" s="2789"/>
      <c r="Q561" s="1208"/>
      <c r="R561" s="1208"/>
      <c r="S561" s="1208"/>
    </row>
    <row r="562" spans="1:19" ht="15" hidden="1" customHeight="1" x14ac:dyDescent="0.2">
      <c r="A562" s="1368" t="s">
        <v>4212</v>
      </c>
      <c r="B562" s="1368"/>
      <c r="C562" s="1310"/>
      <c r="D562" s="1285"/>
      <c r="E562" s="1273"/>
      <c r="F562" s="1273"/>
      <c r="G562" s="1273"/>
      <c r="H562" s="1273"/>
      <c r="I562" s="1273"/>
      <c r="J562" s="1310"/>
      <c r="K562" s="1367"/>
      <c r="M562" s="1369">
        <f>IF(K441&lt;&gt;10%,SUM(G441-(C441*1.1),0))</f>
        <v>4593703</v>
      </c>
      <c r="Q562" s="1208"/>
      <c r="R562" s="1208"/>
      <c r="S562" s="1208"/>
    </row>
    <row r="563" spans="1:19" ht="15" hidden="1" customHeight="1" x14ac:dyDescent="0.2">
      <c r="A563" s="1365"/>
      <c r="B563" s="2788" t="s">
        <v>4221</v>
      </c>
      <c r="C563" s="2788"/>
      <c r="D563" s="2788"/>
      <c r="E563" s="2788"/>
      <c r="F563" s="2788"/>
      <c r="G563" s="2788"/>
      <c r="H563" s="2788"/>
      <c r="I563" s="2788"/>
      <c r="J563" s="2788"/>
      <c r="K563" s="2789"/>
      <c r="Q563" s="1208"/>
      <c r="R563" s="1208"/>
      <c r="S563" s="1208"/>
    </row>
    <row r="564" spans="1:19" ht="15" hidden="1" customHeight="1" x14ac:dyDescent="0.2">
      <c r="A564" s="1368" t="s">
        <v>4213</v>
      </c>
      <c r="B564" s="1368"/>
      <c r="C564" s="1310"/>
      <c r="D564" s="1285"/>
      <c r="E564" s="1273"/>
      <c r="F564" s="1273"/>
      <c r="G564" s="1273"/>
      <c r="H564" s="1273"/>
      <c r="I564" s="1273"/>
      <c r="J564" s="1310"/>
      <c r="K564" s="1367"/>
      <c r="M564" s="1369">
        <f>IF(K442&lt;&gt;10%,SUM(G442-(C442*1.1),0))</f>
        <v>0</v>
      </c>
      <c r="Q564" s="1208"/>
      <c r="R564" s="1208"/>
      <c r="S564" s="1208"/>
    </row>
    <row r="565" spans="1:19" ht="15" hidden="1" customHeight="1" x14ac:dyDescent="0.2">
      <c r="A565" s="1365"/>
      <c r="B565" s="2788" t="s">
        <v>4221</v>
      </c>
      <c r="C565" s="2788"/>
      <c r="D565" s="2788"/>
      <c r="E565" s="2788"/>
      <c r="F565" s="2788"/>
      <c r="G565" s="2788"/>
      <c r="H565" s="2788"/>
      <c r="I565" s="2788"/>
      <c r="J565" s="2788"/>
      <c r="K565" s="2789"/>
      <c r="Q565" s="1208"/>
      <c r="R565" s="1208"/>
      <c r="S565" s="1208"/>
    </row>
    <row r="566" spans="1:19" ht="15" hidden="1" customHeight="1" x14ac:dyDescent="0.2">
      <c r="A566" s="1368" t="s">
        <v>4214</v>
      </c>
      <c r="B566" s="1368"/>
      <c r="C566" s="1310"/>
      <c r="D566" s="1285"/>
      <c r="E566" s="1273"/>
      <c r="F566" s="1273"/>
      <c r="G566" s="1273"/>
      <c r="H566" s="1273"/>
      <c r="I566" s="1273"/>
      <c r="J566" s="1310"/>
      <c r="K566" s="1367"/>
      <c r="M566" s="1369">
        <f>IF(K444&lt;&gt;10%,SUM(G444-(C444*1.1),0))</f>
        <v>147355</v>
      </c>
      <c r="Q566" s="1208"/>
      <c r="R566" s="1208"/>
      <c r="S566" s="1208"/>
    </row>
    <row r="567" spans="1:19" ht="15" hidden="1" customHeight="1" x14ac:dyDescent="0.2">
      <c r="A567" s="1365"/>
      <c r="B567" s="2788" t="s">
        <v>4221</v>
      </c>
      <c r="C567" s="2788"/>
      <c r="D567" s="2788"/>
      <c r="E567" s="2788"/>
      <c r="F567" s="2788"/>
      <c r="G567" s="2788"/>
      <c r="H567" s="2788"/>
      <c r="I567" s="2788"/>
      <c r="J567" s="2788"/>
      <c r="K567" s="2789"/>
      <c r="Q567" s="1208"/>
      <c r="R567" s="1208"/>
      <c r="S567" s="1208"/>
    </row>
    <row r="568" spans="1:19" ht="15" customHeight="1" thickBot="1" x14ac:dyDescent="0.25">
      <c r="A568" s="1366"/>
      <c r="B568" s="1361"/>
      <c r="C568" s="1364"/>
      <c r="D568" s="1364"/>
      <c r="E568" s="1361"/>
      <c r="F568" s="1361"/>
      <c r="G568" s="1361"/>
      <c r="H568" s="1361"/>
      <c r="I568" s="1361"/>
      <c r="J568" s="1361"/>
      <c r="K568" s="1362"/>
      <c r="Q568" s="1208"/>
      <c r="R568" s="1208"/>
      <c r="S568" s="1208"/>
    </row>
    <row r="569" spans="1:19" ht="15" customHeight="1" x14ac:dyDescent="0.25">
      <c r="A569" s="1208"/>
      <c r="B569" s="1208"/>
      <c r="C569" s="1208"/>
      <c r="D569" s="1208"/>
      <c r="E569" s="1208"/>
      <c r="F569" s="1208"/>
      <c r="G569" s="1208"/>
      <c r="H569" s="1208"/>
      <c r="I569" s="1208"/>
      <c r="J569" s="1208"/>
      <c r="K569" s="1208"/>
    </row>
    <row r="570" spans="1:19" ht="15" customHeight="1" x14ac:dyDescent="0.25">
      <c r="A570" s="1272" t="s">
        <v>4110</v>
      </c>
      <c r="B570" s="1208"/>
      <c r="C570" s="301"/>
      <c r="D570" s="302"/>
      <c r="E570" s="1273"/>
      <c r="F570" s="1273"/>
      <c r="G570" s="1273"/>
      <c r="H570" s="1273"/>
      <c r="I570" s="1273"/>
      <c r="J570" s="1273"/>
      <c r="K570" s="1274"/>
    </row>
    <row r="571" spans="1:19" ht="15" customHeight="1" thickBot="1" x14ac:dyDescent="0.3">
      <c r="A571" s="300"/>
      <c r="B571" s="1133"/>
      <c r="C571" s="297"/>
      <c r="D571" s="297"/>
      <c r="E571" s="1133"/>
      <c r="F571" s="1208"/>
      <c r="G571" s="1208"/>
      <c r="H571" s="1208"/>
      <c r="I571" s="1208"/>
      <c r="J571" s="1208"/>
      <c r="K571" s="1208"/>
    </row>
    <row r="572" spans="1:19" ht="15" customHeight="1" x14ac:dyDescent="0.25">
      <c r="A572" s="2793" t="s">
        <v>7</v>
      </c>
      <c r="B572" s="2794"/>
      <c r="C572" s="2794"/>
      <c r="D572" s="2794"/>
      <c r="E572" s="2794"/>
      <c r="F572" s="2794"/>
      <c r="G572" s="2794"/>
      <c r="H572" s="2795"/>
      <c r="I572" s="2802" t="str">
        <f>Parameters!C25</f>
        <v>2011/12</v>
      </c>
      <c r="J572" s="2805"/>
      <c r="K572" s="2790" t="str">
        <f>Parameters!C27</f>
        <v>2010/11</v>
      </c>
    </row>
    <row r="573" spans="1:19" ht="15" customHeight="1" x14ac:dyDescent="0.25">
      <c r="A573" s="2796"/>
      <c r="B573" s="2797"/>
      <c r="C573" s="2797"/>
      <c r="D573" s="2797"/>
      <c r="E573" s="2797"/>
      <c r="F573" s="2797"/>
      <c r="G573" s="2797"/>
      <c r="H573" s="2798"/>
      <c r="I573" s="2803"/>
      <c r="J573" s="2806"/>
      <c r="K573" s="2791"/>
    </row>
    <row r="574" spans="1:19" ht="15" customHeight="1" thickBot="1" x14ac:dyDescent="0.3">
      <c r="A574" s="2799"/>
      <c r="B574" s="2800"/>
      <c r="C574" s="2800"/>
      <c r="D574" s="2800"/>
      <c r="E574" s="2800"/>
      <c r="F574" s="2800"/>
      <c r="G574" s="2800"/>
      <c r="H574" s="2801"/>
      <c r="I574" s="2804"/>
      <c r="J574" s="2807"/>
      <c r="K574" s="2792"/>
    </row>
    <row r="575" spans="1:19" ht="15" customHeight="1" x14ac:dyDescent="0.25">
      <c r="A575" s="1283"/>
      <c r="B575" s="1133"/>
      <c r="C575" s="232"/>
      <c r="D575" s="232"/>
      <c r="E575" s="232"/>
      <c r="F575" s="232"/>
      <c r="G575" s="232"/>
      <c r="H575" s="1266"/>
      <c r="I575" s="303" t="s">
        <v>255</v>
      </c>
      <c r="J575" s="303"/>
      <c r="K575" s="313" t="s">
        <v>255</v>
      </c>
    </row>
    <row r="576" spans="1:19" ht="15" customHeight="1" x14ac:dyDescent="0.25">
      <c r="A576" s="315"/>
      <c r="B576" s="1133"/>
      <c r="C576" s="1304"/>
      <c r="D576" s="1304"/>
      <c r="E576" s="1304"/>
      <c r="F576" s="1304"/>
      <c r="G576" s="1304"/>
      <c r="H576" s="1305"/>
      <c r="I576" s="1281"/>
      <c r="J576" s="1281"/>
      <c r="K576" s="1282"/>
    </row>
    <row r="577" spans="1:11" ht="15" customHeight="1" x14ac:dyDescent="0.25">
      <c r="A577" s="315" t="s">
        <v>4111</v>
      </c>
      <c r="B577" s="1133"/>
      <c r="C577" s="297"/>
      <c r="D577" s="311"/>
      <c r="E577" s="1306"/>
      <c r="F577" s="1133"/>
      <c r="G577" s="1133"/>
      <c r="H577" s="1112"/>
      <c r="I577" s="1307">
        <f>'Fin Perform'!I57</f>
        <v>-17040532.26000002</v>
      </c>
      <c r="J577" s="1308"/>
      <c r="K577" s="1309">
        <f>'Fin Perform'!K57</f>
        <v>-13820525.900000021</v>
      </c>
    </row>
    <row r="578" spans="1:11" ht="15" customHeight="1" x14ac:dyDescent="0.25">
      <c r="A578" s="315"/>
      <c r="B578" s="1133"/>
      <c r="C578" s="1304"/>
      <c r="D578" s="1304"/>
      <c r="E578" s="1304"/>
      <c r="F578" s="1304"/>
      <c r="G578" s="1304"/>
      <c r="H578" s="1305"/>
      <c r="I578" s="1281"/>
      <c r="J578" s="1281"/>
      <c r="K578" s="1282"/>
    </row>
    <row r="579" spans="1:11" ht="15" customHeight="1" x14ac:dyDescent="0.25">
      <c r="A579" s="315" t="s">
        <v>2230</v>
      </c>
      <c r="B579" s="1133"/>
      <c r="C579" s="1304"/>
      <c r="D579" s="1304"/>
      <c r="E579" s="1304"/>
      <c r="F579" s="1304"/>
      <c r="G579" s="1304"/>
      <c r="H579" s="1305"/>
      <c r="I579" s="1281"/>
      <c r="J579" s="1281"/>
      <c r="K579" s="1282"/>
    </row>
    <row r="580" spans="1:11" ht="15" customHeight="1" x14ac:dyDescent="0.25">
      <c r="A580" s="1283" t="s">
        <v>404</v>
      </c>
      <c r="B580" s="1133"/>
      <c r="C580" s="1312"/>
      <c r="D580" s="1289"/>
      <c r="E580" s="1273"/>
      <c r="F580" s="1273"/>
      <c r="G580" s="1273"/>
      <c r="H580" s="1311"/>
      <c r="I580" s="1287">
        <f>'Fin Perform'!F9-'Fin Perform'!I9</f>
        <v>-385070.87000000011</v>
      </c>
      <c r="J580" s="1313"/>
      <c r="K580" s="1314">
        <f>'Fin Perform'!B9-'Fin Perform'!K9</f>
        <v>-1447879.9700000016</v>
      </c>
    </row>
    <row r="581" spans="1:11" ht="15" customHeight="1" x14ac:dyDescent="0.25">
      <c r="A581" s="1283" t="s">
        <v>408</v>
      </c>
      <c r="B581" s="1133"/>
      <c r="C581" s="1312"/>
      <c r="D581" s="1289"/>
      <c r="E581" s="1273"/>
      <c r="F581" s="1273"/>
      <c r="G581" s="1273"/>
      <c r="H581" s="1311"/>
      <c r="I581" s="1287">
        <f>'Fin Perform'!F10-'Fin Perform'!I10</f>
        <v>0</v>
      </c>
      <c r="J581" s="1313"/>
      <c r="K581" s="1314">
        <f>'Fin Perform'!B10-'Fin Perform'!K10</f>
        <v>0</v>
      </c>
    </row>
    <row r="582" spans="1:11" ht="15" customHeight="1" x14ac:dyDescent="0.25">
      <c r="A582" s="1283" t="s">
        <v>248</v>
      </c>
      <c r="B582" s="1133"/>
      <c r="C582" s="1312"/>
      <c r="D582" s="1289"/>
      <c r="E582" s="1273"/>
      <c r="F582" s="1273"/>
      <c r="G582" s="1273"/>
      <c r="H582" s="1311"/>
      <c r="I582" s="1287">
        <f>'Fin Perform'!F11-'Fin Perform'!I11</f>
        <v>-107143</v>
      </c>
      <c r="J582" s="1313"/>
      <c r="K582" s="1314">
        <f>'Fin Perform'!B11-'Fin Perform'!K11</f>
        <v>554407.5</v>
      </c>
    </row>
    <row r="583" spans="1:11" ht="15" customHeight="1" x14ac:dyDescent="0.25">
      <c r="A583" s="1283" t="s">
        <v>411</v>
      </c>
      <c r="B583" s="1133"/>
      <c r="C583" s="1312"/>
      <c r="D583" s="1289"/>
      <c r="E583" s="1273"/>
      <c r="F583" s="1273"/>
      <c r="G583" s="1273"/>
      <c r="H583" s="1311"/>
      <c r="I583" s="1287">
        <f>'Fin Perform'!F13-'Fin Perform'!I13</f>
        <v>561.4</v>
      </c>
      <c r="J583" s="1313"/>
      <c r="K583" s="1314">
        <f>'Fin Perform'!B13-'Fin Perform'!K13</f>
        <v>-4152.66</v>
      </c>
    </row>
    <row r="584" spans="1:11" ht="15" customHeight="1" x14ac:dyDescent="0.25">
      <c r="A584" s="1283" t="s">
        <v>4107</v>
      </c>
      <c r="B584" s="1133"/>
      <c r="C584" s="1312"/>
      <c r="D584" s="1289"/>
      <c r="E584" s="1273"/>
      <c r="F584" s="1273"/>
      <c r="G584" s="1273"/>
      <c r="H584" s="1311"/>
      <c r="I584" s="1287">
        <f>'Fin Perform'!F14-'Fin Perform'!I14</f>
        <v>0</v>
      </c>
      <c r="J584" s="1313"/>
      <c r="K584" s="1314">
        <f>'Fin Perform'!B14-'Fin Perform'!K14</f>
        <v>0</v>
      </c>
    </row>
    <row r="585" spans="1:11" ht="15" customHeight="1" x14ac:dyDescent="0.25">
      <c r="A585" s="1283" t="s">
        <v>787</v>
      </c>
      <c r="B585" s="1133"/>
      <c r="C585" s="1310"/>
      <c r="D585" s="1285"/>
      <c r="E585" s="1273"/>
      <c r="F585" s="1273"/>
      <c r="G585" s="1273"/>
      <c r="H585" s="1311"/>
      <c r="I585" s="1287">
        <f>'Fin Perform'!F15-'Fin Perform'!I15</f>
        <v>-2646043.4200000018</v>
      </c>
      <c r="J585" s="1308"/>
      <c r="K585" s="1314">
        <f>'Fin Perform'!B15-'Fin Perform'!K15</f>
        <v>-11949466.07</v>
      </c>
    </row>
    <row r="586" spans="1:11" ht="15" customHeight="1" x14ac:dyDescent="0.25">
      <c r="A586" s="1283" t="s">
        <v>445</v>
      </c>
      <c r="B586" s="1133"/>
      <c r="C586" s="1310"/>
      <c r="D586" s="1285"/>
      <c r="E586" s="1273"/>
      <c r="F586" s="1273"/>
      <c r="G586" s="1273"/>
      <c r="H586" s="1311"/>
      <c r="I586" s="1287">
        <f>'Fin Perform'!F16-'Fin Perform'!I16</f>
        <v>-28051.51</v>
      </c>
      <c r="J586" s="1308"/>
      <c r="K586" s="1314">
        <f>'Fin Perform'!B16-'Fin Perform'!K16</f>
        <v>-20580</v>
      </c>
    </row>
    <row r="587" spans="1:11" ht="15" customHeight="1" x14ac:dyDescent="0.25">
      <c r="A587" s="1283"/>
      <c r="B587" s="1133"/>
      <c r="C587" s="1310"/>
      <c r="D587" s="1285"/>
      <c r="E587" s="1273"/>
      <c r="F587" s="1273"/>
      <c r="G587" s="1273"/>
      <c r="H587" s="1311"/>
      <c r="I587" s="1287"/>
      <c r="J587" s="1308"/>
      <c r="K587" s="1314"/>
    </row>
    <row r="588" spans="1:11" ht="15" customHeight="1" x14ac:dyDescent="0.25">
      <c r="A588" s="315" t="s">
        <v>2231</v>
      </c>
      <c r="B588" s="1133"/>
      <c r="C588" s="1310"/>
      <c r="D588" s="1285"/>
      <c r="E588" s="1273"/>
      <c r="F588" s="1273"/>
      <c r="G588" s="1273"/>
      <c r="H588" s="1311"/>
      <c r="I588" s="1287"/>
      <c r="J588" s="1308"/>
      <c r="K588" s="1314"/>
    </row>
    <row r="589" spans="1:11" ht="15" customHeight="1" x14ac:dyDescent="0.25">
      <c r="A589" s="1283" t="s">
        <v>405</v>
      </c>
      <c r="B589" s="1133"/>
      <c r="C589" s="1310"/>
      <c r="D589" s="1285"/>
      <c r="E589" s="1273"/>
      <c r="F589" s="1273"/>
      <c r="G589" s="1273"/>
      <c r="H589" s="1311"/>
      <c r="I589" s="1287">
        <f>'Fin Perform'!F18-'Fin Perform'!I18</f>
        <v>-28780138.14999998</v>
      </c>
      <c r="J589" s="1308"/>
      <c r="K589" s="1314">
        <f>'Fin Perform'!B18-'Fin Perform'!K18</f>
        <v>-4888313.8000000007</v>
      </c>
    </row>
    <row r="590" spans="1:11" ht="15" customHeight="1" x14ac:dyDescent="0.25">
      <c r="A590" s="1283" t="s">
        <v>406</v>
      </c>
      <c r="B590" s="1133"/>
      <c r="C590" s="1310"/>
      <c r="D590" s="1285"/>
      <c r="E590" s="1273"/>
      <c r="F590" s="1273"/>
      <c r="G590" s="1273"/>
      <c r="H590" s="1311"/>
      <c r="I590" s="1287">
        <f>'Fin Perform'!F19-'Fin Perform'!I19</f>
        <v>-138528.53000000003</v>
      </c>
      <c r="J590" s="1308"/>
      <c r="K590" s="1314">
        <f>'Fin Perform'!B19-'Fin Perform'!K19</f>
        <v>66607.079999999958</v>
      </c>
    </row>
    <row r="591" spans="1:11" ht="15" customHeight="1" x14ac:dyDescent="0.25">
      <c r="A591" s="1283" t="s">
        <v>443</v>
      </c>
      <c r="B591" s="1133"/>
      <c r="C591" s="1310"/>
      <c r="D591" s="1285"/>
      <c r="E591" s="1273"/>
      <c r="F591" s="1273"/>
      <c r="G591" s="1273"/>
      <c r="H591" s="1311"/>
      <c r="I591" s="1287">
        <f>'Fin Perform'!F20-'Fin Perform'!I20</f>
        <v>-125676.66</v>
      </c>
      <c r="J591" s="1308"/>
      <c r="K591" s="1314">
        <f>'Fin Perform'!B20-'Fin Perform'!K20</f>
        <v>36256.94000000001</v>
      </c>
    </row>
    <row r="592" spans="1:11" ht="15" customHeight="1" x14ac:dyDescent="0.25">
      <c r="A592" s="1283" t="s">
        <v>444</v>
      </c>
      <c r="B592" s="1133"/>
      <c r="C592" s="1312"/>
      <c r="D592" s="1289"/>
      <c r="E592" s="1273"/>
      <c r="F592" s="1273"/>
      <c r="G592" s="1273"/>
      <c r="H592" s="1311"/>
      <c r="I592" s="1287">
        <f>'Fin Perform'!F21-'Fin Perform'!I21</f>
        <v>-31008.200000000012</v>
      </c>
      <c r="J592" s="1313"/>
      <c r="K592" s="1314">
        <f>'Fin Perform'!B21-'Fin Perform'!K21</f>
        <v>-226492.75</v>
      </c>
    </row>
    <row r="593" spans="1:19" ht="15" customHeight="1" x14ac:dyDescent="0.25">
      <c r="A593" s="1283" t="s">
        <v>410</v>
      </c>
      <c r="B593" s="1133"/>
      <c r="C593" s="1312"/>
      <c r="D593" s="1289"/>
      <c r="E593" s="1273"/>
      <c r="F593" s="1273"/>
      <c r="G593" s="1273"/>
      <c r="H593" s="1311"/>
      <c r="I593" s="1287">
        <f>'Fin Perform'!F22-'Fin Perform'!I22</f>
        <v>4664.0499999999993</v>
      </c>
      <c r="J593" s="1313"/>
      <c r="K593" s="1314">
        <f>'Fin Perform'!B22-'Fin Perform'!K22</f>
        <v>5199.42</v>
      </c>
    </row>
    <row r="594" spans="1:19" ht="15" customHeight="1" x14ac:dyDescent="0.25">
      <c r="A594" s="1283" t="s">
        <v>786</v>
      </c>
      <c r="B594" s="1133"/>
      <c r="C594" s="1312"/>
      <c r="D594" s="1289"/>
      <c r="E594" s="1273"/>
      <c r="F594" s="1273"/>
      <c r="G594" s="1273"/>
      <c r="H594" s="1311"/>
      <c r="I594" s="1287">
        <v>0</v>
      </c>
      <c r="J594" s="1313"/>
      <c r="K594" s="1314">
        <v>0</v>
      </c>
    </row>
    <row r="595" spans="1:19" ht="15" customHeight="1" x14ac:dyDescent="0.25">
      <c r="A595" s="1283" t="s">
        <v>4108</v>
      </c>
      <c r="B595" s="1133"/>
      <c r="C595" s="1310"/>
      <c r="D595" s="1285"/>
      <c r="E595" s="1273"/>
      <c r="F595" s="1273"/>
      <c r="G595" s="1273"/>
      <c r="H595" s="1311"/>
      <c r="I595" s="1287">
        <f>'Fin Perform'!F23-'Fin Perform'!I23</f>
        <v>198695.79999999946</v>
      </c>
      <c r="J595" s="1308"/>
      <c r="K595" s="1314">
        <f>'Fin Perform'!B23-'Fin Perform'!K23</f>
        <v>106271.94000000006</v>
      </c>
    </row>
    <row r="596" spans="1:19" ht="15" customHeight="1" x14ac:dyDescent="0.25">
      <c r="A596" s="1283" t="s">
        <v>788</v>
      </c>
      <c r="B596" s="1133"/>
      <c r="C596" s="1310"/>
      <c r="D596" s="1285"/>
      <c r="E596" s="1273"/>
      <c r="F596" s="1273"/>
      <c r="G596" s="1273"/>
      <c r="H596" s="1311"/>
      <c r="I596" s="1287">
        <f>'Fin Perform'!F24-'Fin Perform'!I24</f>
        <v>0</v>
      </c>
      <c r="J596" s="1308"/>
      <c r="K596" s="1314">
        <f>'Fin Perform'!B24-'Fin Perform'!K24</f>
        <v>0</v>
      </c>
    </row>
    <row r="597" spans="1:19" ht="15" customHeight="1" x14ac:dyDescent="0.25">
      <c r="A597" s="1283" t="s">
        <v>415</v>
      </c>
      <c r="B597" s="1133"/>
      <c r="C597" s="1310"/>
      <c r="D597" s="1285"/>
      <c r="E597" s="1273"/>
      <c r="F597" s="1273"/>
      <c r="G597" s="1273"/>
      <c r="H597" s="1311"/>
      <c r="I597" s="1287">
        <f>'Fin Perform'!F25-'Fin Perform'!I25</f>
        <v>0</v>
      </c>
      <c r="J597" s="1308"/>
      <c r="K597" s="1314">
        <f>'Fin Perform'!B25-'Fin Perform'!K25</f>
        <v>0</v>
      </c>
    </row>
    <row r="598" spans="1:19" ht="15" customHeight="1" x14ac:dyDescent="0.25">
      <c r="A598" s="1283" t="s">
        <v>1304</v>
      </c>
      <c r="B598" s="1133"/>
      <c r="C598" s="1310"/>
      <c r="D598" s="1285"/>
      <c r="E598" s="1273"/>
      <c r="F598" s="1273"/>
      <c r="G598" s="1273"/>
      <c r="H598" s="1311"/>
      <c r="I598" s="1287">
        <f>'Fin Perform'!F26-'Fin Perform'!I26</f>
        <v>0</v>
      </c>
      <c r="J598" s="1308"/>
      <c r="K598" s="1314">
        <f>'Fin Perform'!B26-'Fin Perform'!K26</f>
        <v>0</v>
      </c>
    </row>
    <row r="599" spans="1:19" ht="15" customHeight="1" x14ac:dyDescent="0.25">
      <c r="A599" s="1283"/>
      <c r="B599" s="1133"/>
      <c r="C599" s="1274"/>
      <c r="D599" s="1273"/>
      <c r="E599" s="1274"/>
      <c r="F599" s="1274"/>
      <c r="G599" s="1274"/>
      <c r="H599" s="1315"/>
      <c r="I599" s="1295"/>
      <c r="J599" s="1295"/>
      <c r="K599" s="1316"/>
    </row>
    <row r="600" spans="1:19" ht="15" customHeight="1" x14ac:dyDescent="0.25">
      <c r="A600" s="315" t="s">
        <v>242</v>
      </c>
      <c r="B600" s="1133"/>
      <c r="C600" s="1304"/>
      <c r="D600" s="1304"/>
      <c r="E600" s="1304"/>
      <c r="F600" s="1304"/>
      <c r="G600" s="1304"/>
      <c r="H600" s="1305"/>
      <c r="I600" s="1281"/>
      <c r="J600" s="1281"/>
      <c r="K600" s="1282"/>
    </row>
    <row r="601" spans="1:19" ht="15" customHeight="1" x14ac:dyDescent="0.25">
      <c r="A601" s="1283" t="s">
        <v>416</v>
      </c>
      <c r="B601" s="1133"/>
      <c r="C601" s="1310"/>
      <c r="D601" s="1310"/>
      <c r="E601" s="1310"/>
      <c r="F601" s="1273"/>
      <c r="G601" s="1273"/>
      <c r="H601" s="1311"/>
      <c r="I601" s="1287">
        <f>'Fin Perform'!I33-'Fin Perform'!F33</f>
        <v>-1609028.5800000057</v>
      </c>
      <c r="J601" s="1308"/>
      <c r="K601" s="1317">
        <f>'Fin Perform'!K33-'Fin Perform'!B33</f>
        <v>-3155850.5300000049</v>
      </c>
    </row>
    <row r="602" spans="1:19" ht="15" customHeight="1" x14ac:dyDescent="0.25">
      <c r="A602" s="1283" t="s">
        <v>250</v>
      </c>
      <c r="B602" s="1133"/>
      <c r="C602" s="1310"/>
      <c r="D602" s="1310"/>
      <c r="E602" s="1310"/>
      <c r="F602" s="1273"/>
      <c r="G602" s="1273"/>
      <c r="H602" s="1311"/>
      <c r="I602" s="1287">
        <f>'Fin Perform'!I34-'Fin Perform'!F34</f>
        <v>-1659.2400000006892</v>
      </c>
      <c r="J602" s="1308"/>
      <c r="K602" s="1317">
        <f>'Fin Perform'!K34-'Fin Perform'!B34</f>
        <v>-112866.75999999978</v>
      </c>
    </row>
    <row r="603" spans="1:19" ht="15" customHeight="1" x14ac:dyDescent="0.25">
      <c r="A603" s="1283" t="s">
        <v>417</v>
      </c>
      <c r="B603" s="1133"/>
      <c r="C603" s="1310"/>
      <c r="D603" s="1310"/>
      <c r="E603" s="1310"/>
      <c r="F603" s="1273"/>
      <c r="G603" s="1273"/>
      <c r="H603" s="1311"/>
      <c r="I603" s="1287">
        <f>'Fin Perform'!I35-'Fin Perform'!F35</f>
        <v>0</v>
      </c>
      <c r="J603" s="1308"/>
      <c r="K603" s="1317">
        <f>'Fin Perform'!K35-'Fin Perform'!B35</f>
        <v>0</v>
      </c>
    </row>
    <row r="604" spans="1:19" ht="15" customHeight="1" x14ac:dyDescent="0.25">
      <c r="A604" s="1283" t="s">
        <v>792</v>
      </c>
      <c r="B604" s="1133"/>
      <c r="C604" s="1310"/>
      <c r="D604" s="1310"/>
      <c r="E604" s="1310"/>
      <c r="F604" s="1273"/>
      <c r="G604" s="1273"/>
      <c r="H604" s="1311"/>
      <c r="I604" s="1287">
        <f>'Fin Perform'!I36-'Fin Perform'!F36</f>
        <v>21215435.489999998</v>
      </c>
      <c r="J604" s="1308"/>
      <c r="K604" s="1317">
        <f>'Fin Perform'!K36-'Fin Perform'!B36</f>
        <v>21078163.109999999</v>
      </c>
    </row>
    <row r="605" spans="1:19" ht="15" customHeight="1" x14ac:dyDescent="0.25">
      <c r="A605" s="1283" t="s">
        <v>154</v>
      </c>
      <c r="B605" s="1133"/>
      <c r="C605" s="1310"/>
      <c r="D605" s="1310"/>
      <c r="E605" s="1310"/>
      <c r="F605" s="1273"/>
      <c r="G605" s="1273"/>
      <c r="H605" s="1311"/>
      <c r="I605" s="1287">
        <f>'Fin Perform'!I37-'Fin Perform'!F37</f>
        <v>31350261.439999998</v>
      </c>
      <c r="J605" s="1308"/>
      <c r="K605" s="1317">
        <f>'Fin Perform'!K37-'Fin Perform'!B37</f>
        <v>13848909.73</v>
      </c>
      <c r="Q605" s="48"/>
      <c r="S605" s="48"/>
    </row>
    <row r="606" spans="1:19" ht="15" customHeight="1" x14ac:dyDescent="0.25">
      <c r="A606" s="1283" t="s">
        <v>418</v>
      </c>
      <c r="B606" s="1133"/>
      <c r="C606" s="1310"/>
      <c r="D606" s="1310"/>
      <c r="E606" s="1310"/>
      <c r="F606" s="1273"/>
      <c r="G606" s="1273"/>
      <c r="H606" s="1311"/>
      <c r="I606" s="1287">
        <f>'Fin Perform'!I38-'Fin Perform'!F38</f>
        <v>-891437.80999999959</v>
      </c>
      <c r="J606" s="1308"/>
      <c r="K606" s="1317">
        <f>'Fin Perform'!K38-'Fin Perform'!B38</f>
        <v>-612448.51</v>
      </c>
      <c r="Q606" s="48"/>
      <c r="S606" s="48"/>
    </row>
    <row r="607" spans="1:19" ht="15" customHeight="1" x14ac:dyDescent="0.25">
      <c r="A607" s="1283" t="s">
        <v>1455</v>
      </c>
      <c r="B607" s="1133"/>
      <c r="C607" s="1310"/>
      <c r="D607" s="1310"/>
      <c r="E607" s="1310"/>
      <c r="F607" s="1273"/>
      <c r="G607" s="1273"/>
      <c r="H607" s="1311"/>
      <c r="I607" s="1287">
        <f>'Fin Perform'!I39-'Fin Perform'!F39</f>
        <v>2002826.04</v>
      </c>
      <c r="J607" s="1308"/>
      <c r="K607" s="1317">
        <f>'Fin Perform'!K39-'Fin Perform'!B39</f>
        <v>-2360388.8099999996</v>
      </c>
      <c r="Q607" s="48"/>
      <c r="S607" s="48"/>
    </row>
    <row r="608" spans="1:19" ht="15" customHeight="1" x14ac:dyDescent="0.25">
      <c r="A608" s="1283" t="s">
        <v>420</v>
      </c>
      <c r="B608" s="1133"/>
      <c r="C608" s="1310"/>
      <c r="D608" s="1310"/>
      <c r="E608" s="1310"/>
      <c r="F608" s="1273"/>
      <c r="G608" s="1273"/>
      <c r="H608" s="1311"/>
      <c r="I608" s="1287">
        <f>'Fin Perform'!I40-'Fin Perform'!F40</f>
        <v>12757553.670000002</v>
      </c>
      <c r="J608" s="1308"/>
      <c r="K608" s="1317">
        <f>'Fin Perform'!K40-'Fin Perform'!B40</f>
        <v>12103540.289999999</v>
      </c>
      <c r="Q608" s="48"/>
      <c r="S608" s="48"/>
    </row>
    <row r="609" spans="1:19" ht="15" customHeight="1" x14ac:dyDescent="0.25">
      <c r="A609" s="1283" t="s">
        <v>421</v>
      </c>
      <c r="B609" s="1133"/>
      <c r="C609" s="1310"/>
      <c r="D609" s="1310"/>
      <c r="E609" s="1310"/>
      <c r="F609" s="1273"/>
      <c r="G609" s="1273"/>
      <c r="H609" s="1311"/>
      <c r="I609" s="1287">
        <f>'Fin Perform'!I41-'Fin Perform'!F41</f>
        <v>47375.919999999925</v>
      </c>
      <c r="J609" s="1308"/>
      <c r="K609" s="1317">
        <f>'Fin Perform'!K41-'Fin Perform'!B41</f>
        <v>2820299.459999999</v>
      </c>
      <c r="Q609" s="48"/>
      <c r="S609" s="48"/>
    </row>
    <row r="610" spans="1:19" ht="15" customHeight="1" x14ac:dyDescent="0.25">
      <c r="A610" s="1283" t="s">
        <v>422</v>
      </c>
      <c r="B610" s="1133"/>
      <c r="C610" s="1310"/>
      <c r="D610" s="1310"/>
      <c r="E610" s="1310"/>
      <c r="F610" s="1273"/>
      <c r="G610" s="1273"/>
      <c r="H610" s="1311"/>
      <c r="I610" s="1287">
        <f>'Fin Perform'!I42-'Fin Perform'!F42</f>
        <v>-326029.02</v>
      </c>
      <c r="J610" s="1308"/>
      <c r="K610" s="1317">
        <f>'Fin Perform'!K42-'Fin Perform'!B42</f>
        <v>4155905.9800000004</v>
      </c>
      <c r="Q610" s="48"/>
      <c r="S610" s="48"/>
    </row>
    <row r="611" spans="1:19" ht="15" customHeight="1" x14ac:dyDescent="0.25">
      <c r="A611" s="1283" t="s">
        <v>793</v>
      </c>
      <c r="B611" s="1133"/>
      <c r="C611" s="1310"/>
      <c r="D611" s="1310"/>
      <c r="E611" s="1310"/>
      <c r="F611" s="1273"/>
      <c r="G611" s="1273"/>
      <c r="H611" s="1311"/>
      <c r="I611" s="1287">
        <f>'Fin Perform'!I43-'Fin Perform'!F43</f>
        <v>0</v>
      </c>
      <c r="J611" s="1308"/>
      <c r="K611" s="1317">
        <f>'Fin Perform'!K43-'Fin Perform'!B43</f>
        <v>0</v>
      </c>
    </row>
    <row r="612" spans="1:19" ht="15" customHeight="1" x14ac:dyDescent="0.25">
      <c r="A612" s="1283" t="s">
        <v>423</v>
      </c>
      <c r="B612" s="1133"/>
      <c r="C612" s="1310"/>
      <c r="D612" s="1310"/>
      <c r="E612" s="1310"/>
      <c r="F612" s="1273"/>
      <c r="G612" s="1273"/>
      <c r="H612" s="1311"/>
      <c r="I612" s="1287">
        <f>'Fin Perform'!I44-'Fin Perform'!F44</f>
        <v>4857833.9099999927</v>
      </c>
      <c r="J612" s="1308"/>
      <c r="K612" s="1317">
        <f>'Fin Perform'!K44-'Fin Perform'!B44</f>
        <v>-9530851.9199999869</v>
      </c>
    </row>
    <row r="613" spans="1:19" ht="15" customHeight="1" x14ac:dyDescent="0.25">
      <c r="A613" s="1283" t="s">
        <v>794</v>
      </c>
      <c r="B613" s="1133"/>
      <c r="C613" s="1310"/>
      <c r="D613" s="1310"/>
      <c r="E613" s="1310"/>
      <c r="F613" s="1273"/>
      <c r="G613" s="1273"/>
      <c r="H613" s="1311"/>
      <c r="I613" s="1287">
        <f>'Fin Perform'!I45-'Fin Perform'!F45</f>
        <v>0</v>
      </c>
      <c r="J613" s="1308"/>
      <c r="K613" s="1317">
        <f>'Fin Perform'!K45-'Fin Perform'!B45</f>
        <v>0</v>
      </c>
    </row>
    <row r="614" spans="1:19" ht="15" customHeight="1" x14ac:dyDescent="0.25">
      <c r="A614" s="1283" t="s">
        <v>1462</v>
      </c>
      <c r="B614" s="1133"/>
      <c r="C614" s="1310"/>
      <c r="D614" s="1310"/>
      <c r="E614" s="1310"/>
      <c r="F614" s="1273"/>
      <c r="G614" s="1273"/>
      <c r="H614" s="1311"/>
      <c r="I614" s="1287">
        <f>'Fin Perform'!I46-'Fin Perform'!F46</f>
        <v>131102</v>
      </c>
      <c r="J614" s="1308"/>
      <c r="K614" s="1317">
        <f>'Fin Perform'!K46-'Fin Perform'!B46</f>
        <v>0</v>
      </c>
      <c r="Q614" s="48"/>
      <c r="S614" s="48"/>
    </row>
    <row r="615" spans="1:19" ht="15" customHeight="1" x14ac:dyDescent="0.25">
      <c r="A615" s="1283"/>
      <c r="B615" s="1133"/>
      <c r="C615" s="1312"/>
      <c r="D615" s="1289"/>
      <c r="E615" s="1273"/>
      <c r="F615" s="1273"/>
      <c r="G615" s="1273"/>
      <c r="H615" s="1311"/>
      <c r="I615" s="1299"/>
      <c r="J615" s="1313"/>
      <c r="K615" s="1314"/>
      <c r="Q615" s="48"/>
      <c r="S615" s="48"/>
    </row>
    <row r="616" spans="1:19" ht="15" customHeight="1" thickBot="1" x14ac:dyDescent="0.3">
      <c r="A616" s="315" t="s">
        <v>4112</v>
      </c>
      <c r="B616" s="234"/>
      <c r="C616" s="1304"/>
      <c r="D616" s="1304"/>
      <c r="E616" s="1304"/>
      <c r="F616" s="1304"/>
      <c r="G616" s="1304"/>
      <c r="H616" s="1305"/>
      <c r="I616" s="1301">
        <f>SUM(I577:I615)</f>
        <v>20455962.469999976</v>
      </c>
      <c r="J616" s="1280"/>
      <c r="K616" s="757">
        <f>SUM(K577:K615)</f>
        <v>6645743.7699999865</v>
      </c>
      <c r="Q616" s="50"/>
      <c r="S616" s="50"/>
    </row>
    <row r="617" spans="1:19" ht="15" customHeight="1" thickTop="1" thickBot="1" x14ac:dyDescent="0.3">
      <c r="A617" s="1302"/>
      <c r="B617" s="1318"/>
      <c r="C617" s="1319"/>
      <c r="D617" s="1320"/>
      <c r="E617" s="1319"/>
      <c r="F617" s="1319"/>
      <c r="G617" s="1319"/>
      <c r="H617" s="1321"/>
      <c r="I617" s="1303"/>
      <c r="J617" s="1303"/>
      <c r="K617" s="1303"/>
      <c r="Q617" s="48"/>
      <c r="S617" s="48"/>
    </row>
  </sheetData>
  <mergeCells count="134">
    <mergeCell ref="B561:K561"/>
    <mergeCell ref="B563:K563"/>
    <mergeCell ref="B565:K565"/>
    <mergeCell ref="B567:K567"/>
    <mergeCell ref="B551:K551"/>
    <mergeCell ref="B553:K553"/>
    <mergeCell ref="B555:K555"/>
    <mergeCell ref="B557:K557"/>
    <mergeCell ref="B559:K559"/>
    <mergeCell ref="B541:K541"/>
    <mergeCell ref="B543:K543"/>
    <mergeCell ref="B545:K545"/>
    <mergeCell ref="B547:K547"/>
    <mergeCell ref="B549:K549"/>
    <mergeCell ref="B531:K531"/>
    <mergeCell ref="B533:K533"/>
    <mergeCell ref="B535:K535"/>
    <mergeCell ref="B537:K537"/>
    <mergeCell ref="B539:K539"/>
    <mergeCell ref="B517:K517"/>
    <mergeCell ref="A520:K520"/>
    <mergeCell ref="A523:K523"/>
    <mergeCell ref="A526:K526"/>
    <mergeCell ref="B529:K529"/>
    <mergeCell ref="B507:K507"/>
    <mergeCell ref="B509:K509"/>
    <mergeCell ref="B511:K511"/>
    <mergeCell ref="B513:K513"/>
    <mergeCell ref="B515:K515"/>
    <mergeCell ref="B497:K497"/>
    <mergeCell ref="B499:K499"/>
    <mergeCell ref="B501:K501"/>
    <mergeCell ref="B503:K503"/>
    <mergeCell ref="B505:K505"/>
    <mergeCell ref="B487:K487"/>
    <mergeCell ref="B489:K489"/>
    <mergeCell ref="B491:K491"/>
    <mergeCell ref="B493:K493"/>
    <mergeCell ref="B495:K495"/>
    <mergeCell ref="B477:K477"/>
    <mergeCell ref="B479:K479"/>
    <mergeCell ref="B481:K481"/>
    <mergeCell ref="B483:K483"/>
    <mergeCell ref="B485:K485"/>
    <mergeCell ref="B467:K467"/>
    <mergeCell ref="B469:K469"/>
    <mergeCell ref="B471:K471"/>
    <mergeCell ref="B473:K473"/>
    <mergeCell ref="B475:K475"/>
    <mergeCell ref="B457:K457"/>
    <mergeCell ref="B459:K459"/>
    <mergeCell ref="B461:K461"/>
    <mergeCell ref="B463:K463"/>
    <mergeCell ref="B465:K465"/>
    <mergeCell ref="A394:B394"/>
    <mergeCell ref="A448:K448"/>
    <mergeCell ref="B451:K451"/>
    <mergeCell ref="B453:K453"/>
    <mergeCell ref="B455:K455"/>
    <mergeCell ref="A167:K167"/>
    <mergeCell ref="A239:K239"/>
    <mergeCell ref="A242:K242"/>
    <mergeCell ref="A245:K245"/>
    <mergeCell ref="A291:B293"/>
    <mergeCell ref="E291:E293"/>
    <mergeCell ref="I291:I293"/>
    <mergeCell ref="B188:K188"/>
    <mergeCell ref="B190:K190"/>
    <mergeCell ref="B170:K170"/>
    <mergeCell ref="B172:K172"/>
    <mergeCell ref="B174:K174"/>
    <mergeCell ref="B176:K176"/>
    <mergeCell ref="B178:K178"/>
    <mergeCell ref="B180:K180"/>
    <mergeCell ref="B182:K182"/>
    <mergeCell ref="B184:K184"/>
    <mergeCell ref="B186:K186"/>
    <mergeCell ref="B218:K218"/>
    <mergeCell ref="B220:K220"/>
    <mergeCell ref="B222:K222"/>
    <mergeCell ref="B192:K192"/>
    <mergeCell ref="B194:K194"/>
    <mergeCell ref="B198:K198"/>
    <mergeCell ref="B1:J1"/>
    <mergeCell ref="B2:J2"/>
    <mergeCell ref="A113:B113"/>
    <mergeCell ref="B3:K3"/>
    <mergeCell ref="A10:B12"/>
    <mergeCell ref="E10:E12"/>
    <mergeCell ref="I10:I12"/>
    <mergeCell ref="B4:K4"/>
    <mergeCell ref="B5:K5"/>
    <mergeCell ref="B6:K6"/>
    <mergeCell ref="K572:K574"/>
    <mergeCell ref="A572:H574"/>
    <mergeCell ref="I572:I574"/>
    <mergeCell ref="J572:J574"/>
    <mergeCell ref="B200:K200"/>
    <mergeCell ref="B202:K202"/>
    <mergeCell ref="B204:K204"/>
    <mergeCell ref="B228:K228"/>
    <mergeCell ref="B230:K230"/>
    <mergeCell ref="B232:K232"/>
    <mergeCell ref="B256:K256"/>
    <mergeCell ref="B258:K258"/>
    <mergeCell ref="B248:K248"/>
    <mergeCell ref="B250:K250"/>
    <mergeCell ref="B252:K252"/>
    <mergeCell ref="B254:K254"/>
    <mergeCell ref="B224:K224"/>
    <mergeCell ref="B226:K226"/>
    <mergeCell ref="B206:K206"/>
    <mergeCell ref="B208:K208"/>
    <mergeCell ref="B210:K210"/>
    <mergeCell ref="B212:K212"/>
    <mergeCell ref="B214:K214"/>
    <mergeCell ref="B216:K216"/>
    <mergeCell ref="B272:K272"/>
    <mergeCell ref="B274:K274"/>
    <mergeCell ref="B286:K286"/>
    <mergeCell ref="B276:K276"/>
    <mergeCell ref="B278:K278"/>
    <mergeCell ref="B280:K280"/>
    <mergeCell ref="B282:K282"/>
    <mergeCell ref="B284:K284"/>
    <mergeCell ref="B196:K196"/>
    <mergeCell ref="B234:K234"/>
    <mergeCell ref="B236:K236"/>
    <mergeCell ref="B260:K260"/>
    <mergeCell ref="B262:K262"/>
    <mergeCell ref="B264:K264"/>
    <mergeCell ref="B266:K266"/>
    <mergeCell ref="B268:K268"/>
    <mergeCell ref="B270:K270"/>
  </mergeCells>
  <conditionalFormatting sqref="F108:G108 F90:G90 F136:G136 C66:I66 F118:G118 F164:G164">
    <cfRule type="cellIs" dxfId="81" priority="42" stopIfTrue="1" operator="between">
      <formula>0.001</formula>
      <formula>-0.001</formula>
    </cfRule>
  </conditionalFormatting>
  <conditionalFormatting sqref="G599">
    <cfRule type="cellIs" dxfId="80" priority="30" stopIfTrue="1" operator="between">
      <formula>0.001</formula>
      <formula>-0.001</formula>
    </cfRule>
  </conditionalFormatting>
  <conditionalFormatting sqref="G617">
    <cfRule type="cellIs" dxfId="79" priority="29" stopIfTrue="1" operator="between">
      <formula>0.001</formula>
      <formula>-0.001</formula>
    </cfRule>
  </conditionalFormatting>
  <conditionalFormatting sqref="F599">
    <cfRule type="cellIs" dxfId="78" priority="28" stopIfTrue="1" operator="between">
      <formula>0.001</formula>
      <formula>-0.001</formula>
    </cfRule>
  </conditionalFormatting>
  <conditionalFormatting sqref="F617">
    <cfRule type="cellIs" dxfId="77" priority="27" stopIfTrue="1" operator="between">
      <formula>0.001</formula>
      <formula>-0.001</formula>
    </cfRule>
  </conditionalFormatting>
  <conditionalFormatting sqref="I617">
    <cfRule type="cellIs" dxfId="76" priority="22" stopIfTrue="1" operator="between">
      <formula>0.001</formula>
      <formula>-0.001</formula>
    </cfRule>
  </conditionalFormatting>
  <conditionalFormatting sqref="K617">
    <cfRule type="cellIs" dxfId="75" priority="21" stopIfTrue="1" operator="between">
      <formula>0.001</formula>
      <formula>-0.001</formula>
    </cfRule>
  </conditionalFormatting>
  <conditionalFormatting sqref="F389:G389 F371:G371 F417:G417 C347:I347 F399:G399 F445:G445">
    <cfRule type="cellIs" dxfId="74" priority="3" stopIfTrue="1" operator="between">
      <formula>0.001</formula>
      <formula>-0.001</formula>
    </cfRule>
  </conditionalFormatting>
  <conditionalFormatting sqref="C108">
    <cfRule type="cellIs" dxfId="73" priority="2" stopIfTrue="1" operator="between">
      <formula>0.001</formula>
      <formula>-0.001</formula>
    </cfRule>
  </conditionalFormatting>
  <conditionalFormatting sqref="C118">
    <cfRule type="cellIs" dxfId="72" priority="1"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72" orientation="landscape" r:id="rId1"/>
  <headerFooter>
    <oddFooter xml:space="preserve">&amp;C
</oddFooter>
  </headerFooter>
  <rowBreaks count="7" manualBreakCount="7">
    <brk id="66" max="10" man="1"/>
    <brk id="118" max="10" man="1"/>
    <brk id="165" max="10" man="1"/>
    <brk id="319" max="10" man="1"/>
    <brk id="370" max="10" man="1"/>
    <brk id="426" max="10" man="1"/>
    <brk id="569" max="10"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1060"/>
  <sheetViews>
    <sheetView view="pageBreakPreview" topLeftCell="A832" zoomScale="70" zoomScaleNormal="75" zoomScaleSheetLayoutView="70" workbookViewId="0">
      <selection activeCell="N889" sqref="N889"/>
    </sheetView>
  </sheetViews>
  <sheetFormatPr defaultColWidth="9.140625" defaultRowHeight="15" x14ac:dyDescent="0.25"/>
  <cols>
    <col min="1" max="1" width="4.7109375" style="1166" customWidth="1"/>
    <col min="2" max="2" width="40.7109375" style="48" customWidth="1"/>
    <col min="3" max="3" width="16.7109375" style="48" customWidth="1"/>
    <col min="4" max="4" width="1.7109375" style="57" customWidth="1"/>
    <col min="5" max="5" width="16.7109375" style="48" customWidth="1"/>
    <col min="6" max="6" width="1.7109375" style="57" customWidth="1"/>
    <col min="7" max="7" width="16.7109375" style="57" customWidth="1"/>
    <col min="8" max="8" width="1.7109375" style="57" customWidth="1"/>
    <col min="9" max="9" width="17.28515625" style="208" customWidth="1"/>
    <col min="10" max="10" width="1.7109375" style="208" customWidth="1"/>
    <col min="11" max="11" width="17.28515625" style="208" customWidth="1"/>
    <col min="12" max="12" width="1.7109375" style="48" customWidth="1"/>
    <col min="13" max="13" width="20.7109375" style="1133" customWidth="1"/>
    <col min="14" max="15" width="17.7109375" style="1147" customWidth="1"/>
    <col min="16" max="16" width="17.140625" style="1097" customWidth="1"/>
    <col min="17" max="17" width="14.42578125" style="1098" customWidth="1"/>
    <col min="18" max="18" width="17.140625" style="1098" customWidth="1"/>
    <col min="19" max="19" width="14.42578125" style="1098" customWidth="1"/>
    <col min="20" max="20" width="17.28515625" style="1098" customWidth="1"/>
    <col min="21" max="21" width="14.42578125" style="1098" customWidth="1"/>
    <col min="22" max="22" width="4.28515625" style="48" customWidth="1"/>
    <col min="23" max="23" width="15.140625" style="1128" bestFit="1" customWidth="1"/>
    <col min="24" max="16384" width="9.140625" style="48"/>
  </cols>
  <sheetData>
    <row r="1" spans="1:23" ht="20.100000000000001" customHeight="1" x14ac:dyDescent="0.25">
      <c r="A1" s="2857" t="str">
        <f>Parameters!C5</f>
        <v>Mohokare Local Municipality</v>
      </c>
      <c r="B1" s="2858"/>
      <c r="C1" s="2858"/>
      <c r="D1" s="2858"/>
      <c r="E1" s="2858"/>
      <c r="F1" s="2858"/>
      <c r="G1" s="2858"/>
      <c r="H1" s="2858"/>
      <c r="I1" s="2858"/>
      <c r="J1" s="2858"/>
      <c r="K1" s="2858"/>
      <c r="L1" s="2858"/>
    </row>
    <row r="2" spans="1:23" ht="18" customHeight="1" x14ac:dyDescent="0.25">
      <c r="A2" s="2859" t="str">
        <f>"NOTES TO THE FINANCIAL STATEMENTS FOR THE YEAR ENDED "&amp;Parameters!C6</f>
        <v>NOTES TO THE FINANCIAL STATEMENTS FOR THE YEAR ENDED 30 JUNE 2012</v>
      </c>
      <c r="B2" s="2860"/>
      <c r="C2" s="2860"/>
      <c r="D2" s="2860"/>
      <c r="E2" s="2860"/>
      <c r="F2" s="2860"/>
      <c r="G2" s="2860"/>
      <c r="H2" s="2860"/>
      <c r="I2" s="2860"/>
      <c r="J2" s="2860"/>
      <c r="K2" s="2860"/>
      <c r="L2" s="2860"/>
      <c r="M2" s="232" t="s">
        <v>803</v>
      </c>
      <c r="N2" s="1193">
        <f>Parameters!C21</f>
        <v>2010</v>
      </c>
      <c r="O2" s="1419"/>
      <c r="P2" s="1099" t="s">
        <v>497</v>
      </c>
      <c r="Q2" s="1100" t="s">
        <v>2761</v>
      </c>
      <c r="R2" s="1100" t="s">
        <v>497</v>
      </c>
      <c r="S2" s="1100" t="s">
        <v>2761</v>
      </c>
      <c r="T2" s="1100" t="s">
        <v>497</v>
      </c>
      <c r="U2" s="1100" t="s">
        <v>2761</v>
      </c>
      <c r="W2" s="1128" t="s">
        <v>2881</v>
      </c>
    </row>
    <row r="3" spans="1:23" ht="15.6" customHeight="1" x14ac:dyDescent="0.25">
      <c r="A3" s="1165"/>
    </row>
    <row r="4" spans="1:23" ht="15.6" customHeight="1" x14ac:dyDescent="0.25">
      <c r="A4" s="1165"/>
      <c r="D4" s="48"/>
      <c r="F4" s="48"/>
      <c r="H4" s="49"/>
      <c r="I4" s="1190">
        <f>Parameters!C17</f>
        <v>2012</v>
      </c>
      <c r="J4" s="53"/>
      <c r="K4" s="135">
        <f>Parameters!C19</f>
        <v>2011</v>
      </c>
      <c r="L4" s="49"/>
    </row>
    <row r="5" spans="1:23" ht="15.6" customHeight="1" x14ac:dyDescent="0.25">
      <c r="I5" s="237" t="s">
        <v>255</v>
      </c>
      <c r="J5" s="238"/>
      <c r="K5" s="237" t="s">
        <v>255</v>
      </c>
      <c r="L5" s="210"/>
    </row>
    <row r="6" spans="1:23" ht="15.6" customHeight="1" x14ac:dyDescent="0.25">
      <c r="I6" s="237"/>
      <c r="J6" s="238"/>
      <c r="K6" s="237"/>
      <c r="L6" s="210"/>
    </row>
    <row r="7" spans="1:23" ht="15.6" customHeight="1" x14ac:dyDescent="0.25">
      <c r="A7" s="1647" t="s">
        <v>91</v>
      </c>
      <c r="B7" s="50" t="s">
        <v>805</v>
      </c>
      <c r="C7" s="50"/>
      <c r="D7" s="219"/>
      <c r="E7" s="50"/>
      <c r="F7" s="219"/>
      <c r="G7" s="219"/>
      <c r="H7" s="219"/>
      <c r="O7" s="1212"/>
      <c r="W7" s="1128" t="s">
        <v>3520</v>
      </c>
    </row>
    <row r="8" spans="1:23" ht="15.6" customHeight="1" x14ac:dyDescent="0.25">
      <c r="A8" s="1167"/>
      <c r="O8" s="1212"/>
    </row>
    <row r="9" spans="1:23" ht="60" customHeight="1" x14ac:dyDescent="0.25">
      <c r="B9" s="2861" t="s">
        <v>6418</v>
      </c>
      <c r="C9" s="2861"/>
      <c r="D9" s="2861"/>
      <c r="E9" s="2861"/>
      <c r="F9" s="2861"/>
      <c r="G9" s="2861"/>
      <c r="H9" s="2861"/>
      <c r="I9" s="2861"/>
      <c r="J9" s="2861"/>
      <c r="K9" s="2861"/>
      <c r="L9" s="201"/>
      <c r="M9" s="1213" t="s">
        <v>1941</v>
      </c>
      <c r="N9" s="1133"/>
      <c r="O9" s="1133"/>
    </row>
    <row r="10" spans="1:23" ht="15.6" customHeight="1" x14ac:dyDescent="0.25">
      <c r="A10" s="1167"/>
      <c r="O10" s="1212"/>
    </row>
    <row r="11" spans="1:23" s="767" customFormat="1" ht="62.1" hidden="1" customHeight="1" x14ac:dyDescent="0.25">
      <c r="A11" s="634"/>
      <c r="B11" s="2862" t="s">
        <v>3972</v>
      </c>
      <c r="C11" s="2863"/>
      <c r="D11" s="2863"/>
      <c r="E11" s="2863"/>
      <c r="F11" s="2863"/>
      <c r="G11" s="2863"/>
      <c r="H11" s="2863"/>
      <c r="I11" s="2863"/>
      <c r="J11" s="2863"/>
      <c r="K11" s="2863"/>
      <c r="L11" s="625"/>
      <c r="M11" s="1135" t="s">
        <v>1884</v>
      </c>
      <c r="N11" s="1135"/>
      <c r="O11" s="1211"/>
      <c r="P11" s="1098"/>
      <c r="Q11" s="1098"/>
      <c r="R11" s="1098"/>
      <c r="S11" s="1098"/>
      <c r="T11" s="1098"/>
      <c r="U11" s="1098"/>
      <c r="V11" s="185"/>
      <c r="W11" s="1128"/>
    </row>
    <row r="12" spans="1:23" ht="13.5" hidden="1" customHeight="1" x14ac:dyDescent="0.25">
      <c r="A12" s="634"/>
      <c r="B12" s="1449"/>
      <c r="C12" s="1450"/>
      <c r="D12" s="1450"/>
      <c r="E12" s="1450"/>
      <c r="F12" s="1450"/>
      <c r="G12" s="1450"/>
      <c r="H12" s="1450"/>
      <c r="I12" s="1450"/>
      <c r="J12" s="1450"/>
      <c r="K12" s="1450"/>
      <c r="L12" s="625"/>
      <c r="N12" s="1133"/>
      <c r="O12" s="1212"/>
      <c r="P12" s="1102"/>
      <c r="Q12" s="1102"/>
      <c r="R12" s="1102"/>
      <c r="S12" s="1102"/>
      <c r="T12" s="1102"/>
      <c r="U12" s="1102"/>
      <c r="V12" s="185"/>
    </row>
    <row r="13" spans="1:23" ht="15.6" hidden="1" customHeight="1" x14ac:dyDescent="0.25">
      <c r="I13" s="200"/>
      <c r="J13" s="200"/>
      <c r="K13" s="200"/>
      <c r="L13" s="210"/>
      <c r="M13" s="1147"/>
      <c r="N13" s="1134"/>
      <c r="O13" s="1134"/>
      <c r="T13" s="1102"/>
      <c r="U13" s="1102"/>
    </row>
    <row r="14" spans="1:23" ht="15.6" customHeight="1" x14ac:dyDescent="0.25">
      <c r="A14" s="1647" t="s">
        <v>3847</v>
      </c>
      <c r="B14" s="2480" t="s">
        <v>8144</v>
      </c>
      <c r="C14" s="50"/>
      <c r="I14" s="199"/>
      <c r="J14" s="199"/>
      <c r="K14" s="199"/>
      <c r="M14" s="1214" t="s">
        <v>2232</v>
      </c>
      <c r="N14" s="1134"/>
      <c r="O14" s="1134"/>
      <c r="T14" s="1102"/>
      <c r="U14" s="1102"/>
      <c r="W14" s="1128" t="s">
        <v>3520</v>
      </c>
    </row>
    <row r="15" spans="1:23" ht="15.6" customHeight="1" x14ac:dyDescent="0.25">
      <c r="A15" s="1153"/>
      <c r="B15" s="50"/>
      <c r="C15" s="50"/>
      <c r="I15" s="199"/>
      <c r="J15" s="199"/>
      <c r="K15" s="199"/>
      <c r="M15" s="1147"/>
      <c r="N15" s="1134"/>
      <c r="O15" s="1134"/>
      <c r="T15" s="1102"/>
      <c r="U15" s="1102"/>
    </row>
    <row r="16" spans="1:23" ht="15.6" hidden="1" customHeight="1" x14ac:dyDescent="0.25">
      <c r="B16" s="841" t="s">
        <v>15</v>
      </c>
      <c r="C16" s="841"/>
      <c r="E16" s="841"/>
      <c r="I16" s="2043">
        <v>0</v>
      </c>
      <c r="J16" s="58"/>
      <c r="K16" s="2043">
        <v>0</v>
      </c>
      <c r="L16" s="59"/>
      <c r="M16" s="1147"/>
      <c r="N16" s="1134"/>
      <c r="O16" s="1134"/>
      <c r="P16" s="1097" t="s">
        <v>2762</v>
      </c>
      <c r="Q16" s="1098" t="s">
        <v>2763</v>
      </c>
      <c r="R16" s="1097" t="s">
        <v>2764</v>
      </c>
      <c r="S16" s="1098" t="s">
        <v>2765</v>
      </c>
      <c r="T16" s="1102"/>
      <c r="U16" s="1102"/>
    </row>
    <row r="17" spans="1:21" ht="15.6" customHeight="1" x14ac:dyDescent="0.25">
      <c r="B17" s="841" t="s">
        <v>84</v>
      </c>
      <c r="C17" s="841"/>
      <c r="E17" s="841"/>
      <c r="I17" s="58">
        <f>'Trial Balance - FPos'!F288-I18-I20</f>
        <v>246950.08</v>
      </c>
      <c r="J17" s="58"/>
      <c r="K17" s="58">
        <f>'Trial Balance - FPos'!C288</f>
        <v>511904</v>
      </c>
      <c r="L17" s="59"/>
      <c r="M17" s="1147"/>
      <c r="N17" s="1134"/>
      <c r="O17" s="1134"/>
      <c r="P17" s="1097" t="s">
        <v>2766</v>
      </c>
      <c r="Q17" s="1098" t="s">
        <v>2763</v>
      </c>
      <c r="R17" s="1098" t="s">
        <v>2767</v>
      </c>
      <c r="S17" s="1098" t="s">
        <v>2765</v>
      </c>
      <c r="T17" s="1102"/>
      <c r="U17" s="1102"/>
    </row>
    <row r="18" spans="1:21" ht="15.6" customHeight="1" x14ac:dyDescent="0.25">
      <c r="B18" s="841" t="s">
        <v>85</v>
      </c>
      <c r="C18" s="841"/>
      <c r="E18" s="841"/>
      <c r="I18" s="58">
        <v>365638.31</v>
      </c>
      <c r="J18" s="58"/>
      <c r="K18" s="58">
        <v>0</v>
      </c>
      <c r="L18" s="59"/>
      <c r="M18" s="1147"/>
      <c r="N18" s="1134"/>
      <c r="O18" s="1134"/>
      <c r="P18" s="1097" t="s">
        <v>2768</v>
      </c>
      <c r="Q18" s="1098" t="s">
        <v>2763</v>
      </c>
      <c r="R18" s="1098" t="s">
        <v>2769</v>
      </c>
      <c r="S18" s="1098" t="s">
        <v>2765</v>
      </c>
      <c r="T18" s="1102"/>
      <c r="U18" s="1102"/>
    </row>
    <row r="19" spans="1:21" ht="15.6" hidden="1" customHeight="1" x14ac:dyDescent="0.25">
      <c r="B19" s="841" t="s">
        <v>1714</v>
      </c>
      <c r="C19" s="841"/>
      <c r="E19" s="841"/>
      <c r="I19" s="58">
        <v>0</v>
      </c>
      <c r="J19" s="58"/>
      <c r="K19" s="58">
        <v>0</v>
      </c>
      <c r="L19" s="59"/>
      <c r="M19" s="1147"/>
      <c r="N19" s="1134"/>
      <c r="O19" s="1134"/>
      <c r="P19" s="1097" t="s">
        <v>2770</v>
      </c>
      <c r="Q19" s="1098" t="s">
        <v>2763</v>
      </c>
      <c r="R19" s="1098" t="s">
        <v>2771</v>
      </c>
      <c r="S19" s="1098" t="s">
        <v>2765</v>
      </c>
      <c r="T19" s="1102"/>
      <c r="U19" s="1102"/>
    </row>
    <row r="20" spans="1:21" ht="15.6" customHeight="1" x14ac:dyDescent="0.25">
      <c r="B20" s="841" t="s">
        <v>86</v>
      </c>
      <c r="C20" s="841"/>
      <c r="E20" s="841"/>
      <c r="I20" s="58">
        <v>14241.71</v>
      </c>
      <c r="J20" s="58"/>
      <c r="K20" s="58">
        <v>0</v>
      </c>
      <c r="L20" s="59"/>
      <c r="M20" s="1147"/>
      <c r="N20" s="1134"/>
      <c r="O20" s="1134"/>
      <c r="P20" s="1097" t="s">
        <v>2772</v>
      </c>
      <c r="Q20" s="1098" t="s">
        <v>2763</v>
      </c>
      <c r="R20" s="1098" t="s">
        <v>2773</v>
      </c>
      <c r="S20" s="1098" t="s">
        <v>2765</v>
      </c>
      <c r="T20" s="1102"/>
      <c r="U20" s="1102"/>
    </row>
    <row r="21" spans="1:21" ht="15.6" customHeight="1" x14ac:dyDescent="0.25">
      <c r="B21" s="841"/>
      <c r="C21" s="841"/>
      <c r="E21" s="841"/>
      <c r="I21" s="58"/>
      <c r="J21" s="58"/>
      <c r="K21" s="58"/>
      <c r="L21" s="59"/>
      <c r="M21" s="1147"/>
      <c r="N21" s="1134"/>
      <c r="O21" s="1134"/>
      <c r="T21" s="1102"/>
      <c r="U21" s="1102"/>
    </row>
    <row r="22" spans="1:21" ht="15.6" customHeight="1" thickBot="1" x14ac:dyDescent="0.3">
      <c r="B22" s="50" t="s">
        <v>4225</v>
      </c>
      <c r="C22" s="50"/>
      <c r="I22" s="204">
        <f>SUM(I16:I21)</f>
        <v>626830.1</v>
      </c>
      <c r="J22" s="58"/>
      <c r="K22" s="204">
        <f>SUM(K16:K21)</f>
        <v>511904</v>
      </c>
      <c r="L22" s="59"/>
      <c r="M22" s="1215" t="s">
        <v>2233</v>
      </c>
      <c r="N22" s="283">
        <v>0</v>
      </c>
      <c r="O22" s="1134"/>
      <c r="P22" s="1098"/>
      <c r="T22" s="1098" t="s">
        <v>2774</v>
      </c>
      <c r="U22" s="1098" t="s">
        <v>2775</v>
      </c>
    </row>
    <row r="23" spans="1:21" ht="15.6" customHeight="1" thickTop="1" x14ac:dyDescent="0.25">
      <c r="I23" s="217">
        <v>0</v>
      </c>
      <c r="J23" s="218"/>
      <c r="K23" s="217">
        <v>0</v>
      </c>
      <c r="M23" s="1147"/>
      <c r="N23" s="1134"/>
      <c r="O23" s="1134"/>
      <c r="T23" s="1102"/>
      <c r="U23" s="1102"/>
    </row>
    <row r="24" spans="1:21" ht="15" customHeight="1" x14ac:dyDescent="0.25">
      <c r="B24" s="2839" t="s">
        <v>8197</v>
      </c>
      <c r="C24" s="2839"/>
      <c r="D24" s="2839"/>
      <c r="E24" s="2839"/>
      <c r="F24" s="2839"/>
      <c r="G24" s="2839"/>
      <c r="I24" s="253">
        <f>'Notes II'!I2953</f>
        <v>405213.79</v>
      </c>
      <c r="J24" s="253"/>
      <c r="K24" s="253">
        <v>0</v>
      </c>
      <c r="M24" s="1216" t="s">
        <v>2301</v>
      </c>
      <c r="O24" s="1133"/>
      <c r="P24" s="1103"/>
      <c r="S24" s="1102"/>
      <c r="T24" s="1102"/>
      <c r="U24" s="1102"/>
    </row>
    <row r="25" spans="1:21" ht="15.6" hidden="1" customHeight="1" x14ac:dyDescent="0.25">
      <c r="A25" s="1172"/>
      <c r="B25" s="2855" t="s">
        <v>1904</v>
      </c>
      <c r="C25" s="2855"/>
      <c r="D25" s="2855"/>
      <c r="E25" s="2855"/>
      <c r="F25" s="2855"/>
      <c r="G25" s="2855"/>
      <c r="H25" s="2864"/>
      <c r="I25" s="2864"/>
      <c r="J25" s="2864"/>
      <c r="K25" s="2864"/>
      <c r="L25" s="771"/>
      <c r="M25" s="1147"/>
      <c r="O25" s="1134"/>
      <c r="T25" s="1102"/>
      <c r="U25" s="1102"/>
    </row>
    <row r="26" spans="1:21" ht="15.6" hidden="1" customHeight="1" x14ac:dyDescent="0.25">
      <c r="A26" s="1172"/>
      <c r="B26" s="2855" t="s">
        <v>1905</v>
      </c>
      <c r="C26" s="2855"/>
      <c r="D26" s="2855"/>
      <c r="E26" s="2855"/>
      <c r="F26" s="2855"/>
      <c r="G26" s="2855"/>
      <c r="H26" s="2864"/>
      <c r="I26" s="2864"/>
      <c r="J26" s="2864"/>
      <c r="K26" s="2864"/>
      <c r="L26" s="771"/>
      <c r="M26" s="1147"/>
      <c r="O26" s="1134"/>
      <c r="T26" s="1102"/>
      <c r="U26" s="1102"/>
    </row>
    <row r="27" spans="1:21" ht="15.6" hidden="1" customHeight="1" x14ac:dyDescent="0.25">
      <c r="A27" s="1172"/>
      <c r="B27" s="2855" t="s">
        <v>1906</v>
      </c>
      <c r="C27" s="2855"/>
      <c r="D27" s="2855"/>
      <c r="E27" s="2855"/>
      <c r="F27" s="2855"/>
      <c r="G27" s="2855"/>
      <c r="H27" s="2864"/>
      <c r="I27" s="2864"/>
      <c r="J27" s="2864"/>
      <c r="K27" s="2864"/>
      <c r="L27" s="771"/>
      <c r="M27" s="1147"/>
      <c r="O27" s="1134"/>
      <c r="T27" s="1102"/>
      <c r="U27" s="1102"/>
    </row>
    <row r="28" spans="1:21" ht="46.5" hidden="1" customHeight="1" x14ac:dyDescent="0.25">
      <c r="A28" s="1172"/>
      <c r="B28" s="2855" t="s">
        <v>3973</v>
      </c>
      <c r="C28" s="2855"/>
      <c r="D28" s="2855"/>
      <c r="E28" s="2855"/>
      <c r="F28" s="2855"/>
      <c r="G28" s="2855"/>
      <c r="H28" s="769"/>
      <c r="I28" s="773"/>
      <c r="J28" s="773"/>
      <c r="K28" s="773"/>
      <c r="L28" s="767"/>
      <c r="M28" s="1216"/>
      <c r="O28" s="1133"/>
      <c r="P28" s="1103"/>
      <c r="S28" s="1102"/>
      <c r="T28" s="1102"/>
      <c r="U28" s="1102"/>
    </row>
    <row r="29" spans="1:21" ht="15.6" hidden="1" customHeight="1" x14ac:dyDescent="0.25">
      <c r="A29" s="1172"/>
      <c r="B29" s="767"/>
      <c r="C29" s="767"/>
      <c r="D29" s="769"/>
      <c r="E29" s="767"/>
      <c r="F29" s="769"/>
      <c r="G29" s="769"/>
      <c r="H29" s="769"/>
      <c r="I29" s="779"/>
      <c r="J29" s="779"/>
      <c r="K29" s="779"/>
      <c r="L29" s="777"/>
      <c r="M29" s="1147"/>
      <c r="N29" s="1471"/>
      <c r="O29" s="1134"/>
      <c r="P29" s="1101"/>
      <c r="Q29" s="1102"/>
      <c r="R29" s="1102"/>
      <c r="S29" s="1102"/>
      <c r="T29" s="1102"/>
      <c r="U29" s="1102"/>
    </row>
    <row r="30" spans="1:21" ht="46.5" customHeight="1" x14ac:dyDescent="0.25">
      <c r="B30" s="2839" t="s">
        <v>7548</v>
      </c>
      <c r="C30" s="2839"/>
      <c r="D30" s="2839"/>
      <c r="E30" s="2839"/>
      <c r="F30" s="2839"/>
      <c r="G30" s="2839"/>
      <c r="I30" s="199"/>
      <c r="J30" s="57"/>
      <c r="K30" s="199"/>
      <c r="O30" s="1133"/>
      <c r="P30" s="1103"/>
      <c r="S30" s="1102"/>
      <c r="T30" s="1102"/>
      <c r="U30" s="1102"/>
    </row>
    <row r="31" spans="1:21" ht="15.6" customHeight="1" x14ac:dyDescent="0.25">
      <c r="I31" s="58"/>
      <c r="J31" s="58"/>
      <c r="K31" s="58"/>
      <c r="L31" s="59"/>
      <c r="M31" s="1147"/>
      <c r="N31" s="1471"/>
      <c r="O31" s="1134"/>
      <c r="P31" s="1101"/>
      <c r="Q31" s="1102"/>
      <c r="R31" s="1102"/>
      <c r="S31" s="1102"/>
      <c r="T31" s="1102"/>
      <c r="U31" s="1102"/>
    </row>
    <row r="32" spans="1:21" ht="46.5" hidden="1" customHeight="1" x14ac:dyDescent="0.25">
      <c r="B32" s="2865" t="s">
        <v>7317</v>
      </c>
      <c r="C32" s="2865"/>
      <c r="D32" s="2865"/>
      <c r="E32" s="2865"/>
      <c r="F32" s="2865"/>
      <c r="G32" s="2865"/>
      <c r="I32" s="199"/>
      <c r="J32" s="57"/>
      <c r="K32" s="199"/>
      <c r="O32" s="1133"/>
      <c r="P32" s="1103"/>
      <c r="S32" s="1102"/>
      <c r="T32" s="1102"/>
      <c r="U32" s="1102"/>
    </row>
    <row r="33" spans="1:21" ht="15.6" hidden="1" customHeight="1" x14ac:dyDescent="0.25">
      <c r="I33" s="58"/>
      <c r="J33" s="58"/>
      <c r="K33" s="58"/>
      <c r="L33" s="59"/>
      <c r="M33" s="1147"/>
      <c r="N33" s="1471"/>
      <c r="O33" s="1134"/>
      <c r="P33" s="1101"/>
      <c r="Q33" s="1102"/>
      <c r="R33" s="1102"/>
      <c r="S33" s="1102"/>
      <c r="T33" s="1102"/>
      <c r="U33" s="1102"/>
    </row>
    <row r="34" spans="1:21" ht="30.95" hidden="1" customHeight="1" x14ac:dyDescent="0.25">
      <c r="A34" s="1169"/>
      <c r="B34" s="2840" t="str">
        <f>"The cost of Inventories recognised as an expense includes R39 335 ("&amp;Parameters!C19&amp;": R39 335) in respect of write downs of Inventory to Net Realisable Value for the following reasons:"</f>
        <v>The cost of Inventories recognised as an expense includes R39 335 (2011: R39 335) in respect of write downs of Inventory to Net Realisable Value for the following reasons:</v>
      </c>
      <c r="C34" s="2840"/>
      <c r="D34" s="2840"/>
      <c r="E34" s="2840"/>
      <c r="F34" s="2840"/>
      <c r="G34" s="2840"/>
      <c r="H34" s="626"/>
      <c r="I34" s="286"/>
      <c r="J34" s="626"/>
      <c r="K34" s="286"/>
      <c r="L34" s="625"/>
      <c r="M34" s="1217" t="s">
        <v>2234</v>
      </c>
      <c r="O34" s="1133"/>
      <c r="P34" s="1103"/>
      <c r="S34" s="1102"/>
      <c r="T34" s="1102"/>
      <c r="U34" s="1102"/>
    </row>
    <row r="35" spans="1:21" ht="30.95" customHeight="1" x14ac:dyDescent="0.25">
      <c r="B35" s="2839" t="s">
        <v>1358</v>
      </c>
      <c r="C35" s="2839"/>
      <c r="D35" s="2839"/>
      <c r="E35" s="2839"/>
      <c r="F35" s="2839"/>
      <c r="G35" s="2839"/>
      <c r="H35" s="56"/>
      <c r="I35" s="56"/>
      <c r="J35" s="56"/>
      <c r="K35" s="56"/>
      <c r="L35" s="59"/>
      <c r="M35" s="1217" t="s">
        <v>2234</v>
      </c>
      <c r="O35" s="1133"/>
      <c r="P35" s="1103"/>
      <c r="S35" s="1102"/>
      <c r="T35" s="1102"/>
      <c r="U35" s="1102"/>
    </row>
    <row r="36" spans="1:21" ht="15.6" customHeight="1" x14ac:dyDescent="0.25">
      <c r="I36" s="199"/>
      <c r="J36" s="57"/>
      <c r="K36" s="199"/>
      <c r="O36" s="1133"/>
      <c r="P36" s="1103"/>
      <c r="S36" s="1102"/>
      <c r="T36" s="1102"/>
      <c r="U36" s="1102"/>
    </row>
    <row r="37" spans="1:21" ht="44.25" customHeight="1" x14ac:dyDescent="0.25">
      <c r="B37" s="2839" t="s">
        <v>6450</v>
      </c>
      <c r="C37" s="2839"/>
      <c r="D37" s="2839"/>
      <c r="E37" s="2839"/>
      <c r="F37" s="2839"/>
      <c r="G37" s="2839"/>
      <c r="I37" s="199"/>
      <c r="J37" s="57"/>
      <c r="K37" s="199"/>
      <c r="O37" s="1133"/>
      <c r="P37" s="1103"/>
      <c r="S37" s="1102"/>
      <c r="T37" s="1102"/>
      <c r="U37" s="1102"/>
    </row>
    <row r="38" spans="1:21" ht="15.6" customHeight="1" x14ac:dyDescent="0.25">
      <c r="I38" s="199"/>
      <c r="J38" s="57"/>
      <c r="K38" s="199"/>
      <c r="O38" s="1133"/>
      <c r="P38" s="1103"/>
      <c r="S38" s="1102"/>
      <c r="T38" s="1102"/>
      <c r="U38" s="1102"/>
    </row>
    <row r="39" spans="1:21" ht="46.5" hidden="1" customHeight="1" x14ac:dyDescent="0.25">
      <c r="A39" s="1169"/>
      <c r="B39" s="2854" t="str">
        <f>"Inventory to the value of R0,61 million ("&amp;Parameters!C19&amp;": R1,62 million) was written off during the year.  The cost of Inventories recognised as an expense during the period, in respect of both Continuing and Discontinued Operations, was R17,3 million ("&amp;Parameters!C19&amp;": R14,97 million)."</f>
        <v>Inventory to the value of R0,61 million (2011: R1,62 million) was written off during the year.  The cost of Inventories recognised as an expense during the period, in respect of both Continuing and Discontinued Operations, was R17,3 million (2011: R14,97 million).</v>
      </c>
      <c r="C39" s="2854"/>
      <c r="D39" s="2854"/>
      <c r="E39" s="2854"/>
      <c r="F39" s="2854"/>
      <c r="G39" s="2854"/>
      <c r="H39" s="626"/>
      <c r="I39" s="286"/>
      <c r="J39" s="626"/>
      <c r="K39" s="286"/>
      <c r="L39" s="625"/>
      <c r="M39" s="1217" t="s">
        <v>1942</v>
      </c>
      <c r="O39" s="1133"/>
      <c r="P39" s="1103"/>
      <c r="S39" s="1102"/>
      <c r="T39" s="1102"/>
      <c r="U39" s="1102"/>
    </row>
    <row r="40" spans="1:21" ht="30.95" hidden="1" customHeight="1" x14ac:dyDescent="0.25">
      <c r="B40" s="2839" t="str">
        <f>"The cost of Inventories recognised as an expense during the period was R10 289 ("&amp;Parameters!C19&amp;": R10 289) million."</f>
        <v>The cost of Inventories recognised as an expense during the period was R10 289 (2011: R10 289) million.</v>
      </c>
      <c r="C40" s="2839"/>
      <c r="D40" s="2839"/>
      <c r="E40" s="2839"/>
      <c r="F40" s="2839"/>
      <c r="G40" s="2839"/>
      <c r="I40" s="199"/>
      <c r="J40" s="57"/>
      <c r="K40" s="199"/>
      <c r="M40" s="1217" t="s">
        <v>1942</v>
      </c>
      <c r="O40" s="1133"/>
      <c r="P40" s="1103"/>
      <c r="S40" s="1102"/>
      <c r="T40" s="1102"/>
      <c r="U40" s="1102"/>
    </row>
    <row r="41" spans="1:21" ht="15.6" hidden="1" customHeight="1" x14ac:dyDescent="0.25">
      <c r="I41" s="199"/>
      <c r="J41" s="57"/>
      <c r="K41" s="199"/>
      <c r="O41" s="1133"/>
      <c r="P41" s="1103"/>
      <c r="S41" s="1102"/>
      <c r="T41" s="1102"/>
      <c r="U41" s="1102"/>
    </row>
    <row r="42" spans="1:21" ht="62.1" hidden="1" customHeight="1" x14ac:dyDescent="0.25">
      <c r="A42" s="1170"/>
      <c r="B42" s="2841" t="str">
        <f>"General Expenses in the Statement of Financial Performance include R2,34 million ("&amp;Parameters!C19&amp;": R1,86 million) in respect of write-downs of Inventory to net realisable value, and has been reduced by R0.5 million ("&amp;Parameters!C19&amp;": R0.4 million) in respect of the reversal of such write-downs.  Previous write-downs have been reversed as a result of increased sales prices in certain markets (see Note "&amp;'AFS Structure'!C71&amp;")."</f>
        <v>General Expenses in the Statement of Financial Performance include R2,34 million (2011: R1,86 million) in respect of write-downs of Inventory to net realisable value, and has been reduced by R0.5 million (2011: R0.4 million) in respect of the reversal of such write-downs.  Previous write-downs have been reversed as a result of increased sales prices in certain markets (see Note 48).</v>
      </c>
      <c r="C42" s="2841"/>
      <c r="D42" s="2841"/>
      <c r="E42" s="2841"/>
      <c r="F42" s="2841"/>
      <c r="G42" s="2841"/>
      <c r="H42" s="746"/>
      <c r="I42" s="748"/>
      <c r="J42" s="748"/>
      <c r="K42" s="748"/>
      <c r="L42" s="755"/>
      <c r="M42" s="1217" t="s">
        <v>2235</v>
      </c>
      <c r="O42" s="1133"/>
      <c r="P42" s="1103"/>
      <c r="S42" s="1102"/>
      <c r="T42" s="1102"/>
      <c r="U42" s="1102"/>
    </row>
    <row r="43" spans="1:21" ht="15.6" hidden="1" customHeight="1" x14ac:dyDescent="0.25">
      <c r="A43" s="1170"/>
      <c r="B43" s="745"/>
      <c r="C43" s="745"/>
      <c r="D43" s="746"/>
      <c r="E43" s="745"/>
      <c r="F43" s="746"/>
      <c r="G43" s="746"/>
      <c r="H43" s="746"/>
      <c r="I43" s="751"/>
      <c r="J43" s="751"/>
      <c r="K43" s="751"/>
      <c r="L43" s="752"/>
      <c r="O43" s="1133"/>
      <c r="P43" s="1103"/>
      <c r="S43" s="1102"/>
      <c r="T43" s="1102"/>
      <c r="U43" s="1102"/>
    </row>
    <row r="44" spans="1:21" ht="30.95" hidden="1" customHeight="1" x14ac:dyDescent="0.25">
      <c r="B44" s="2839" t="str">
        <f>"Inventories of R1 715 ("&amp;Parameters!C19&amp;": R1 715) million are expected to be utilised only after more than twelve months."</f>
        <v>Inventories of R1 715 (2011: R1 715) million are expected to be utilised only after more than twelve months.</v>
      </c>
      <c r="C44" s="2839"/>
      <c r="D44" s="2839"/>
      <c r="E44" s="2839"/>
      <c r="F44" s="2839"/>
      <c r="G44" s="2839"/>
      <c r="I44" s="199"/>
      <c r="J44" s="57"/>
      <c r="K44" s="199"/>
      <c r="M44" s="1217" t="s">
        <v>1943</v>
      </c>
      <c r="O44" s="1133"/>
      <c r="P44" s="1103"/>
      <c r="S44" s="1102"/>
      <c r="T44" s="1102"/>
      <c r="U44" s="1102"/>
    </row>
    <row r="45" spans="1:21" ht="15.6" hidden="1" customHeight="1" x14ac:dyDescent="0.25">
      <c r="I45" s="206"/>
      <c r="J45" s="206"/>
      <c r="K45" s="206"/>
      <c r="L45" s="207"/>
      <c r="O45" s="1133"/>
      <c r="P45" s="1103"/>
      <c r="S45" s="1102"/>
      <c r="T45" s="1102"/>
      <c r="U45" s="1102"/>
    </row>
    <row r="46" spans="1:21" ht="30.95" hidden="1" customHeight="1" x14ac:dyDescent="0.25">
      <c r="B46" s="2840" t="str">
        <f>"Inventories of R3 863 ("&amp;Parameters!C19&amp;": R3 863) million are held as spare parts for infrastructure assets and have been transferred to Property, Plant and Equipment."</f>
        <v>Inventories of R3 863 (2011: R3 863) million are held as spare parts for infrastructure assets and have been transferred to Property, Plant and Equipment.</v>
      </c>
      <c r="C46" s="2840"/>
      <c r="D46" s="2840"/>
      <c r="E46" s="2840"/>
      <c r="F46" s="2840"/>
      <c r="G46" s="2840"/>
      <c r="I46" s="199"/>
      <c r="J46" s="57"/>
      <c r="K46" s="199"/>
      <c r="M46" s="1217" t="s">
        <v>1945</v>
      </c>
      <c r="O46" s="1133"/>
      <c r="P46" s="1103"/>
      <c r="S46" s="1102"/>
      <c r="T46" s="1102"/>
      <c r="U46" s="1102"/>
    </row>
    <row r="47" spans="1:21" ht="15.6" hidden="1" customHeight="1" x14ac:dyDescent="0.25">
      <c r="I47" s="199"/>
      <c r="J47" s="57"/>
      <c r="K47" s="199"/>
      <c r="O47" s="1133"/>
      <c r="P47" s="1103"/>
      <c r="S47" s="1102"/>
      <c r="T47" s="1102"/>
      <c r="U47" s="1102"/>
    </row>
    <row r="48" spans="1:21" ht="30.95" hidden="1" customHeight="1" x14ac:dyDescent="0.25">
      <c r="A48" s="1169"/>
      <c r="B48" s="2854" t="str">
        <f>"Inventories of R0,75 million ("&amp;Parameters!C19&amp;": R0,75 million) have been pledged as collateral for liabilities as per Note "&amp;'AFS Structure'!C49&amp;"."</f>
        <v>Inventories of R0,75 million (2011: R0,75 million) have been pledged as collateral for liabilities as per Note 26.</v>
      </c>
      <c r="C48" s="2854"/>
      <c r="D48" s="2854"/>
      <c r="E48" s="2854"/>
      <c r="F48" s="2854"/>
      <c r="G48" s="2854"/>
      <c r="H48" s="626"/>
      <c r="I48" s="286"/>
      <c r="J48" s="626"/>
      <c r="K48" s="286"/>
      <c r="L48" s="625"/>
      <c r="M48" s="1218" t="s">
        <v>1944</v>
      </c>
      <c r="O48" s="1133"/>
      <c r="P48" s="1103"/>
      <c r="S48" s="1102"/>
      <c r="T48" s="1102"/>
      <c r="U48" s="1102"/>
    </row>
    <row r="49" spans="1:24" ht="15.6" customHeight="1" x14ac:dyDescent="0.25">
      <c r="B49" s="2839" t="s">
        <v>2558</v>
      </c>
      <c r="C49" s="2839"/>
      <c r="D49" s="2839"/>
      <c r="E49" s="2839"/>
      <c r="F49" s="2839"/>
      <c r="G49" s="2839"/>
      <c r="I49" s="199"/>
      <c r="J49" s="57"/>
      <c r="K49" s="199"/>
      <c r="M49" s="1217" t="s">
        <v>1944</v>
      </c>
      <c r="O49" s="1133"/>
      <c r="P49" s="1103"/>
      <c r="S49" s="1102"/>
      <c r="T49" s="1102"/>
      <c r="U49" s="1102"/>
    </row>
    <row r="50" spans="1:24" ht="15.6" customHeight="1" x14ac:dyDescent="0.25">
      <c r="I50" s="199"/>
      <c r="J50" s="57"/>
      <c r="K50" s="199"/>
      <c r="L50" s="210"/>
      <c r="O50" s="1133"/>
      <c r="P50" s="1103"/>
      <c r="S50" s="1102"/>
      <c r="T50" s="1102"/>
      <c r="U50" s="1102"/>
    </row>
    <row r="51" spans="1:24" ht="15.6" customHeight="1" x14ac:dyDescent="0.25">
      <c r="I51" s="199"/>
      <c r="J51" s="57"/>
      <c r="K51" s="199"/>
      <c r="L51" s="210"/>
      <c r="O51" s="1133"/>
      <c r="P51" s="1103"/>
      <c r="S51" s="1102"/>
      <c r="T51" s="1102"/>
      <c r="U51" s="1102"/>
    </row>
    <row r="52" spans="1:24" ht="15.6" customHeight="1" x14ac:dyDescent="0.25">
      <c r="A52" s="1647" t="s">
        <v>3852</v>
      </c>
      <c r="B52" s="50" t="s">
        <v>8145</v>
      </c>
      <c r="C52" s="50"/>
      <c r="I52" s="199"/>
      <c r="J52" s="57"/>
      <c r="K52" s="199"/>
      <c r="M52" s="1217" t="s">
        <v>2236</v>
      </c>
      <c r="O52" s="1133"/>
      <c r="P52" s="1103"/>
      <c r="S52" s="1102"/>
      <c r="T52" s="1102"/>
      <c r="U52" s="1102"/>
      <c r="W52" s="1128" t="s">
        <v>3520</v>
      </c>
    </row>
    <row r="53" spans="1:24" ht="15.6" customHeight="1" x14ac:dyDescent="0.25">
      <c r="A53" s="1153"/>
      <c r="B53" s="50"/>
      <c r="C53" s="50"/>
      <c r="I53" s="199"/>
      <c r="J53" s="57"/>
      <c r="K53" s="199"/>
      <c r="O53" s="1133"/>
      <c r="P53" s="1103"/>
      <c r="S53" s="1102"/>
      <c r="T53" s="1102"/>
      <c r="U53" s="1102"/>
    </row>
    <row r="54" spans="1:24" ht="15.6" hidden="1" customHeight="1" x14ac:dyDescent="0.25">
      <c r="A54" s="1169"/>
      <c r="B54" s="2854" t="s">
        <v>2191</v>
      </c>
      <c r="C54" s="2854"/>
      <c r="D54" s="2854"/>
      <c r="E54" s="2854"/>
      <c r="F54" s="2854"/>
      <c r="G54" s="2854"/>
      <c r="H54" s="626"/>
      <c r="I54" s="629"/>
      <c r="J54" s="629"/>
      <c r="K54" s="629"/>
      <c r="L54" s="625"/>
      <c r="O54" s="1133"/>
      <c r="P54" s="1103"/>
      <c r="S54" s="1102"/>
      <c r="T54" s="1102"/>
      <c r="U54" s="1102"/>
    </row>
    <row r="55" spans="1:24" ht="15.6" hidden="1" customHeight="1" x14ac:dyDescent="0.25">
      <c r="A55" s="1169"/>
      <c r="B55" s="625"/>
      <c r="C55" s="625"/>
      <c r="D55" s="626"/>
      <c r="E55" s="625"/>
      <c r="F55" s="626"/>
      <c r="G55" s="626"/>
      <c r="H55" s="626"/>
      <c r="I55" s="629"/>
      <c r="J55" s="678"/>
      <c r="K55" s="629"/>
      <c r="L55" s="628"/>
      <c r="O55" s="1133"/>
      <c r="P55" s="1103"/>
      <c r="S55" s="1102"/>
      <c r="T55" s="1102"/>
      <c r="U55" s="1102"/>
    </row>
    <row r="56" spans="1:24" ht="15.6" customHeight="1" x14ac:dyDescent="0.25">
      <c r="B56" s="841" t="s">
        <v>8146</v>
      </c>
      <c r="C56" s="841"/>
      <c r="E56" s="841"/>
      <c r="I56" s="58">
        <f>'Trial Balance - FPos'!F240</f>
        <v>4215670</v>
      </c>
      <c r="J56" s="58"/>
      <c r="K56" s="58">
        <f>'Trial Balance - FPos'!C240</f>
        <v>4215670</v>
      </c>
      <c r="L56" s="59"/>
      <c r="M56" s="1147"/>
      <c r="N56" s="1472">
        <v>0</v>
      </c>
      <c r="O56" s="1133"/>
      <c r="P56" s="1097" t="s">
        <v>2776</v>
      </c>
      <c r="Q56" s="1098" t="s">
        <v>2763</v>
      </c>
      <c r="R56" s="1097" t="s">
        <v>3562</v>
      </c>
      <c r="S56" s="1098" t="s">
        <v>2765</v>
      </c>
      <c r="T56" s="1097" t="s">
        <v>3564</v>
      </c>
      <c r="U56" s="1098" t="s">
        <v>2775</v>
      </c>
    </row>
    <row r="57" spans="1:24" ht="15.6" hidden="1" customHeight="1" x14ac:dyDescent="0.25">
      <c r="A57" s="1168"/>
      <c r="B57" s="1451" t="s">
        <v>1016</v>
      </c>
      <c r="C57" s="1451"/>
      <c r="D57" s="656"/>
      <c r="E57" s="1451"/>
      <c r="F57" s="656"/>
      <c r="G57" s="656"/>
      <c r="H57" s="656"/>
      <c r="I57" s="58">
        <v>0</v>
      </c>
      <c r="J57" s="658"/>
      <c r="K57" s="58">
        <v>0</v>
      </c>
      <c r="L57" s="1415"/>
      <c r="M57" s="1147"/>
      <c r="N57" s="1472">
        <v>0</v>
      </c>
      <c r="O57" s="1133"/>
      <c r="P57" s="1097" t="s">
        <v>2777</v>
      </c>
      <c r="Q57" s="1098" t="s">
        <v>2763</v>
      </c>
      <c r="R57" s="1097" t="s">
        <v>3563</v>
      </c>
      <c r="S57" s="1098" t="s">
        <v>2765</v>
      </c>
      <c r="T57" s="1097" t="s">
        <v>3565</v>
      </c>
      <c r="U57" s="1098" t="s">
        <v>2775</v>
      </c>
    </row>
    <row r="58" spans="1:24" ht="15.6" customHeight="1" x14ac:dyDescent="0.25">
      <c r="B58" s="841"/>
      <c r="C58" s="841"/>
      <c r="E58" s="841"/>
      <c r="I58" s="212"/>
      <c r="J58" s="58"/>
      <c r="K58" s="212"/>
      <c r="L58" s="59"/>
      <c r="N58" s="1473"/>
      <c r="O58" s="1133"/>
      <c r="P58" s="1103"/>
      <c r="R58" s="1103"/>
      <c r="S58" s="1102"/>
      <c r="T58" s="1103"/>
      <c r="U58" s="1102"/>
      <c r="V58" s="50"/>
      <c r="X58" s="50"/>
    </row>
    <row r="59" spans="1:24" s="50" customFormat="1" ht="15.6" customHeight="1" x14ac:dyDescent="0.25">
      <c r="A59" s="1165"/>
      <c r="B59" s="50" t="s">
        <v>8175</v>
      </c>
      <c r="C59" s="2608"/>
      <c r="D59" s="219"/>
      <c r="E59" s="2608"/>
      <c r="F59" s="219"/>
      <c r="G59" s="219"/>
      <c r="H59" s="219"/>
      <c r="I59" s="667">
        <f>SUM(I56:I58)</f>
        <v>4215670</v>
      </c>
      <c r="J59" s="224"/>
      <c r="K59" s="667">
        <f>SUM(K56:K58)</f>
        <v>4215670</v>
      </c>
      <c r="L59" s="225"/>
      <c r="M59" s="234"/>
      <c r="N59" s="618">
        <f>SUM(N56:N58)</f>
        <v>0</v>
      </c>
      <c r="O59" s="1133"/>
      <c r="P59" s="1103"/>
      <c r="Q59" s="1098"/>
      <c r="R59" s="1103"/>
      <c r="S59" s="1102"/>
      <c r="T59" s="1103"/>
      <c r="U59" s="1102"/>
      <c r="V59" s="48"/>
      <c r="W59" s="1128"/>
      <c r="X59" s="48"/>
    </row>
    <row r="60" spans="1:24" ht="15.6" customHeight="1" x14ac:dyDescent="0.25">
      <c r="B60" s="841"/>
      <c r="C60" s="841"/>
      <c r="E60" s="841"/>
      <c r="I60" s="58"/>
      <c r="J60" s="58"/>
      <c r="K60" s="58"/>
      <c r="L60" s="59"/>
      <c r="N60" s="1472"/>
      <c r="O60" s="1133"/>
      <c r="P60" s="1103"/>
      <c r="R60" s="1103"/>
      <c r="S60" s="1102"/>
      <c r="T60" s="1103"/>
      <c r="U60" s="1102"/>
      <c r="V60" s="50"/>
      <c r="X60" s="50"/>
    </row>
    <row r="61" spans="1:24" s="50" customFormat="1" ht="15.6" hidden="1" customHeight="1" x14ac:dyDescent="0.25">
      <c r="A61" s="1171"/>
      <c r="B61" s="1453" t="s">
        <v>1635</v>
      </c>
      <c r="C61" s="1453"/>
      <c r="D61" s="1454"/>
      <c r="E61" s="1453"/>
      <c r="F61" s="1454"/>
      <c r="G61" s="1454"/>
      <c r="H61" s="1454"/>
      <c r="I61" s="224">
        <v>0</v>
      </c>
      <c r="J61" s="1455"/>
      <c r="K61" s="224">
        <v>0</v>
      </c>
      <c r="L61" s="662"/>
      <c r="M61" s="234"/>
      <c r="N61" s="1219">
        <v>0</v>
      </c>
      <c r="O61" s="1133"/>
      <c r="P61" s="1103" t="s">
        <v>2778</v>
      </c>
      <c r="Q61" s="1098" t="s">
        <v>2763</v>
      </c>
      <c r="R61" s="1103" t="s">
        <v>3566</v>
      </c>
      <c r="S61" s="1098" t="s">
        <v>2765</v>
      </c>
      <c r="T61" s="1103" t="s">
        <v>3567</v>
      </c>
      <c r="U61" s="1098" t="s">
        <v>2775</v>
      </c>
      <c r="V61" s="48"/>
      <c r="W61" s="1128"/>
      <c r="X61" s="48"/>
    </row>
    <row r="62" spans="1:24" ht="15.6" hidden="1" customHeight="1" x14ac:dyDescent="0.25">
      <c r="B62" s="841"/>
      <c r="C62" s="841"/>
      <c r="E62" s="841"/>
      <c r="I62" s="58"/>
      <c r="J62" s="58"/>
      <c r="K62" s="58"/>
      <c r="L62" s="59"/>
      <c r="N62" s="1472"/>
      <c r="O62" s="1133"/>
      <c r="P62" s="1103"/>
      <c r="S62" s="1102"/>
      <c r="T62" s="1102"/>
      <c r="U62" s="1102"/>
    </row>
    <row r="63" spans="1:24" ht="15.6" customHeight="1" thickBot="1" x14ac:dyDescent="0.3">
      <c r="B63" s="50" t="s">
        <v>8176</v>
      </c>
      <c r="C63" s="50"/>
      <c r="I63" s="204">
        <f>SUM(I59:I62)</f>
        <v>4215670</v>
      </c>
      <c r="J63" s="58"/>
      <c r="K63" s="204">
        <f>SUM(K59:K62)</f>
        <v>4215670</v>
      </c>
      <c r="L63" s="59"/>
      <c r="N63" s="620">
        <f>SUM(N59:N62)</f>
        <v>0</v>
      </c>
      <c r="O63" s="1133"/>
      <c r="P63" s="1103"/>
      <c r="S63" s="1102"/>
      <c r="T63" s="1102"/>
      <c r="U63" s="1102"/>
    </row>
    <row r="64" spans="1:24" ht="15.6" customHeight="1" thickTop="1" x14ac:dyDescent="0.25">
      <c r="I64" s="217">
        <v>0</v>
      </c>
      <c r="J64" s="218"/>
      <c r="K64" s="217">
        <v>0</v>
      </c>
      <c r="N64" s="1474">
        <v>0</v>
      </c>
      <c r="O64" s="1133"/>
      <c r="P64" s="1103"/>
      <c r="S64" s="1102"/>
      <c r="T64" s="1102"/>
      <c r="U64" s="1102"/>
    </row>
    <row r="65" spans="1:23" ht="30.95" hidden="1" customHeight="1" x14ac:dyDescent="0.25">
      <c r="B65" s="2840" t="s">
        <v>2490</v>
      </c>
      <c r="C65" s="2840"/>
      <c r="D65" s="2840"/>
      <c r="E65" s="2840"/>
      <c r="F65" s="2840"/>
      <c r="G65" s="2840"/>
      <c r="H65" s="56"/>
      <c r="I65" s="56"/>
      <c r="J65" s="56"/>
      <c r="K65" s="56"/>
      <c r="L65" s="59"/>
      <c r="O65" s="1133"/>
      <c r="P65" s="1103"/>
      <c r="S65" s="1102"/>
      <c r="T65" s="1102"/>
      <c r="U65" s="1102"/>
    </row>
    <row r="66" spans="1:23" ht="15.6" hidden="1" customHeight="1" x14ac:dyDescent="0.25">
      <c r="I66" s="58"/>
      <c r="J66" s="58"/>
      <c r="K66" s="58"/>
      <c r="L66" s="59"/>
      <c r="M66" s="1147"/>
      <c r="N66" s="1471"/>
      <c r="O66" s="1134"/>
      <c r="P66" s="1101"/>
      <c r="Q66" s="1102"/>
      <c r="R66" s="1102"/>
      <c r="S66" s="1102"/>
      <c r="T66" s="1102"/>
      <c r="U66" s="1102"/>
    </row>
    <row r="67" spans="1:23" ht="15.6" customHeight="1" x14ac:dyDescent="0.25">
      <c r="B67" s="229" t="s">
        <v>8177</v>
      </c>
      <c r="C67" s="50"/>
      <c r="I67" s="58"/>
      <c r="J67" s="58"/>
      <c r="K67" s="58"/>
      <c r="O67" s="1133"/>
      <c r="S67" s="1102"/>
      <c r="T67" s="1102"/>
      <c r="U67" s="1102"/>
      <c r="W67" s="1128" t="s">
        <v>3857</v>
      </c>
    </row>
    <row r="68" spans="1:23" ht="15.6" customHeight="1" x14ac:dyDescent="0.25">
      <c r="I68" s="58"/>
      <c r="J68" s="58"/>
      <c r="K68" s="58"/>
      <c r="O68" s="1133"/>
      <c r="S68" s="1102"/>
      <c r="T68" s="1102"/>
      <c r="U68" s="1102"/>
    </row>
    <row r="69" spans="1:23" ht="46.5" customHeight="1" x14ac:dyDescent="0.25">
      <c r="B69" s="2839" t="str">
        <f>"The municipality intends to dispose some of its erven through a transfer to owners in the next financial year.  No impairment loss was recognised on reclassification of the property as held-for-sale nor at "&amp;Parameters!C11&amp;"."</f>
        <v>The municipality intends to dispose some of its erven through a transfer to owners in the next financial year.  No impairment loss was recognised on reclassification of the property as held-for-sale nor at 30 June 2012.</v>
      </c>
      <c r="C69" s="2839"/>
      <c r="D69" s="2839"/>
      <c r="E69" s="2839"/>
      <c r="F69" s="2839"/>
      <c r="G69" s="2839"/>
      <c r="I69" s="58"/>
      <c r="J69" s="58"/>
      <c r="K69" s="58"/>
      <c r="M69" s="1220" t="s">
        <v>1946</v>
      </c>
      <c r="O69" s="1133"/>
      <c r="P69" s="1103"/>
      <c r="S69" s="1102"/>
      <c r="T69" s="1102"/>
      <c r="U69" s="1102"/>
    </row>
    <row r="70" spans="1:23" ht="62.1" hidden="1" customHeight="1" x14ac:dyDescent="0.25">
      <c r="A70" s="1169"/>
      <c r="B70" s="2854" t="s">
        <v>1017</v>
      </c>
      <c r="C70" s="2854"/>
      <c r="D70" s="2854"/>
      <c r="E70" s="2854"/>
      <c r="F70" s="2854"/>
      <c r="G70" s="2854"/>
      <c r="H70" s="626"/>
      <c r="I70" s="630"/>
      <c r="J70" s="630"/>
      <c r="K70" s="630"/>
      <c r="L70" s="625"/>
      <c r="M70" s="1220" t="s">
        <v>1946</v>
      </c>
      <c r="O70" s="1133"/>
      <c r="P70" s="1103"/>
      <c r="S70" s="1102"/>
      <c r="T70" s="1102"/>
      <c r="U70" s="1102"/>
    </row>
    <row r="71" spans="1:23" ht="30.95" hidden="1" customHeight="1" x14ac:dyDescent="0.25">
      <c r="A71" s="48"/>
      <c r="B71" s="2839" t="str">
        <f>"The municipality intends to dispose of vehicle within the next three months.  No impairment loss was recognised on reclassification of the property as held-for-sale nor at "&amp;Parameters!C11&amp;"."</f>
        <v>The municipality intends to dispose of vehicle within the next three months.  No impairment loss was recognised on reclassification of the property as held-for-sale nor at 30 June 2012.</v>
      </c>
      <c r="C71" s="2839"/>
      <c r="D71" s="2839"/>
      <c r="E71" s="2839"/>
      <c r="F71" s="2839"/>
      <c r="G71" s="2839"/>
      <c r="I71" s="58"/>
      <c r="J71" s="58"/>
      <c r="K71" s="58"/>
      <c r="M71" s="1220" t="s">
        <v>1946</v>
      </c>
      <c r="O71" s="1133"/>
      <c r="P71" s="1103"/>
      <c r="S71" s="1102"/>
      <c r="T71" s="1102"/>
      <c r="U71" s="1102"/>
    </row>
    <row r="72" spans="1:23" ht="15.6" customHeight="1" x14ac:dyDescent="0.25">
      <c r="I72" s="58"/>
      <c r="J72" s="58"/>
      <c r="K72" s="58"/>
      <c r="O72" s="1133"/>
      <c r="P72" s="1103"/>
      <c r="S72" s="1102"/>
      <c r="T72" s="1102"/>
      <c r="U72" s="1102"/>
    </row>
    <row r="73" spans="1:23" ht="15.6" hidden="1" customHeight="1" x14ac:dyDescent="0.25">
      <c r="A73" s="1168"/>
      <c r="B73" s="1456" t="s">
        <v>1456</v>
      </c>
      <c r="C73" s="659"/>
      <c r="D73" s="656"/>
      <c r="E73" s="655"/>
      <c r="F73" s="656"/>
      <c r="G73" s="656"/>
      <c r="H73" s="656"/>
      <c r="I73" s="658"/>
      <c r="J73" s="658"/>
      <c r="K73" s="658"/>
      <c r="L73" s="655"/>
      <c r="O73" s="1133"/>
      <c r="S73" s="1102"/>
      <c r="T73" s="1102"/>
      <c r="U73" s="1102"/>
      <c r="W73" s="1128" t="s">
        <v>3857</v>
      </c>
    </row>
    <row r="74" spans="1:23" ht="15.6" hidden="1" customHeight="1" x14ac:dyDescent="0.25">
      <c r="A74" s="1168"/>
      <c r="B74" s="655"/>
      <c r="C74" s="655"/>
      <c r="D74" s="656"/>
      <c r="E74" s="655"/>
      <c r="F74" s="656"/>
      <c r="G74" s="656"/>
      <c r="H74" s="656"/>
      <c r="I74" s="658"/>
      <c r="J74" s="658"/>
      <c r="K74" s="658"/>
      <c r="L74" s="655"/>
      <c r="O74" s="1133"/>
      <c r="S74" s="1102"/>
      <c r="T74" s="1102"/>
      <c r="U74" s="1102"/>
    </row>
    <row r="75" spans="1:23" s="625" customFormat="1" ht="62.1" hidden="1" customHeight="1" x14ac:dyDescent="0.25">
      <c r="A75" s="1168"/>
      <c r="B75" s="2868" t="s">
        <v>2491</v>
      </c>
      <c r="C75" s="2868"/>
      <c r="D75" s="2868"/>
      <c r="E75" s="2868"/>
      <c r="F75" s="2868"/>
      <c r="G75" s="2868"/>
      <c r="H75" s="656"/>
      <c r="I75" s="658"/>
      <c r="J75" s="658"/>
      <c r="K75" s="658"/>
      <c r="L75" s="655"/>
      <c r="M75" s="1374" t="s">
        <v>1946</v>
      </c>
      <c r="N75" s="1475"/>
      <c r="O75" s="1476"/>
      <c r="P75" s="1375"/>
      <c r="Q75" s="1376"/>
      <c r="R75" s="1376"/>
      <c r="S75" s="1377"/>
      <c r="T75" s="1377"/>
      <c r="U75" s="1377"/>
      <c r="W75" s="1183"/>
    </row>
    <row r="76" spans="1:23" ht="15.6" hidden="1" customHeight="1" x14ac:dyDescent="0.25">
      <c r="A76" s="1168"/>
      <c r="B76" s="655"/>
      <c r="C76" s="655"/>
      <c r="D76" s="656"/>
      <c r="E76" s="655"/>
      <c r="F76" s="656"/>
      <c r="G76" s="656"/>
      <c r="H76" s="656"/>
      <c r="I76" s="658"/>
      <c r="J76" s="658"/>
      <c r="K76" s="658"/>
      <c r="L76" s="655"/>
      <c r="O76" s="1133"/>
      <c r="P76" s="1103"/>
      <c r="S76" s="1102"/>
      <c r="T76" s="1102"/>
      <c r="U76" s="1102"/>
    </row>
    <row r="77" spans="1:23" ht="15.6" hidden="1" customHeight="1" x14ac:dyDescent="0.25">
      <c r="A77" s="1168"/>
      <c r="B77" s="655" t="s">
        <v>398</v>
      </c>
      <c r="C77" s="655"/>
      <c r="D77" s="656"/>
      <c r="E77" s="655"/>
      <c r="F77" s="656"/>
      <c r="G77" s="656"/>
      <c r="H77" s="656"/>
      <c r="I77" s="2043">
        <v>0</v>
      </c>
      <c r="J77" s="658"/>
      <c r="K77" s="2043">
        <v>0</v>
      </c>
      <c r="L77" s="655"/>
      <c r="O77" s="1133"/>
      <c r="P77" s="1103"/>
      <c r="S77" s="1102"/>
      <c r="T77" s="1102"/>
      <c r="U77" s="1102"/>
    </row>
    <row r="78" spans="1:23" ht="15.6" hidden="1" customHeight="1" x14ac:dyDescent="0.25">
      <c r="A78" s="1168"/>
      <c r="B78" s="655" t="s">
        <v>231</v>
      </c>
      <c r="C78" s="655"/>
      <c r="D78" s="656"/>
      <c r="E78" s="655"/>
      <c r="F78" s="656"/>
      <c r="G78" s="656"/>
      <c r="H78" s="656"/>
      <c r="I78" s="2043">
        <v>0</v>
      </c>
      <c r="J78" s="658"/>
      <c r="K78" s="2043">
        <v>0</v>
      </c>
      <c r="L78" s="655"/>
      <c r="M78" s="1220" t="s">
        <v>2237</v>
      </c>
      <c r="O78" s="1133"/>
      <c r="P78" s="1103"/>
      <c r="S78" s="1102"/>
      <c r="T78" s="1102"/>
      <c r="U78" s="1102"/>
    </row>
    <row r="79" spans="1:23" ht="15.6" hidden="1" customHeight="1" x14ac:dyDescent="0.25">
      <c r="A79" s="1168"/>
      <c r="B79" s="655" t="s">
        <v>401</v>
      </c>
      <c r="C79" s="655"/>
      <c r="D79" s="656"/>
      <c r="E79" s="655"/>
      <c r="F79" s="656"/>
      <c r="G79" s="656"/>
      <c r="H79" s="656"/>
      <c r="I79" s="2043">
        <v>0</v>
      </c>
      <c r="J79" s="658"/>
      <c r="K79" s="2043">
        <v>0</v>
      </c>
      <c r="L79" s="655"/>
      <c r="O79" s="1133"/>
      <c r="P79" s="1103"/>
      <c r="S79" s="1102"/>
      <c r="T79" s="1102"/>
      <c r="U79" s="1102"/>
    </row>
    <row r="80" spans="1:23" ht="15.6" hidden="1" customHeight="1" x14ac:dyDescent="0.25">
      <c r="A80" s="1168"/>
      <c r="B80" s="655" t="s">
        <v>402</v>
      </c>
      <c r="C80" s="655"/>
      <c r="D80" s="656"/>
      <c r="E80" s="655"/>
      <c r="F80" s="656"/>
      <c r="G80" s="656"/>
      <c r="H80" s="656"/>
      <c r="I80" s="2043">
        <v>0</v>
      </c>
      <c r="J80" s="658"/>
      <c r="K80" s="2043">
        <v>0</v>
      </c>
      <c r="L80" s="655"/>
      <c r="O80" s="1133"/>
      <c r="P80" s="1103"/>
      <c r="S80" s="1102"/>
      <c r="T80" s="1102"/>
      <c r="U80" s="1102"/>
    </row>
    <row r="81" spans="1:24" ht="15.6" hidden="1" customHeight="1" x14ac:dyDescent="0.25">
      <c r="A81" s="1168"/>
      <c r="B81" s="655" t="s">
        <v>784</v>
      </c>
      <c r="C81" s="655"/>
      <c r="D81" s="656"/>
      <c r="E81" s="655"/>
      <c r="F81" s="656"/>
      <c r="G81" s="656"/>
      <c r="H81" s="656"/>
      <c r="I81" s="2043">
        <v>0</v>
      </c>
      <c r="J81" s="658"/>
      <c r="K81" s="2043">
        <v>0</v>
      </c>
      <c r="L81" s="655"/>
      <c r="O81" s="1133"/>
      <c r="P81" s="1103"/>
      <c r="S81" s="1102"/>
      <c r="T81" s="1102"/>
      <c r="U81" s="1102"/>
    </row>
    <row r="82" spans="1:24" ht="15.6" hidden="1" customHeight="1" x14ac:dyDescent="0.25">
      <c r="A82" s="1168"/>
      <c r="B82" s="655"/>
      <c r="C82" s="655"/>
      <c r="D82" s="656"/>
      <c r="E82" s="655"/>
      <c r="F82" s="656"/>
      <c r="G82" s="656"/>
      <c r="H82" s="656"/>
      <c r="I82" s="2043"/>
      <c r="J82" s="658"/>
      <c r="K82" s="2043"/>
      <c r="L82" s="655"/>
      <c r="O82" s="1133"/>
      <c r="P82" s="1103"/>
      <c r="S82" s="1102"/>
      <c r="T82" s="1102"/>
      <c r="U82" s="1102"/>
      <c r="V82" s="50"/>
      <c r="X82" s="50"/>
    </row>
    <row r="83" spans="1:24" s="50" customFormat="1" ht="15.6" hidden="1" customHeight="1" thickBot="1" x14ac:dyDescent="0.3">
      <c r="A83" s="1171"/>
      <c r="B83" s="659" t="s">
        <v>1018</v>
      </c>
      <c r="C83" s="659"/>
      <c r="D83" s="1454"/>
      <c r="E83" s="659"/>
      <c r="F83" s="1454"/>
      <c r="G83" s="1454"/>
      <c r="H83" s="1454"/>
      <c r="I83" s="2050">
        <f>SUM(I77:I82)</f>
        <v>0</v>
      </c>
      <c r="J83" s="1455"/>
      <c r="K83" s="2050">
        <f>SUM(K77:K82)</f>
        <v>0</v>
      </c>
      <c r="L83" s="659"/>
      <c r="M83" s="234"/>
      <c r="N83" s="235"/>
      <c r="O83" s="234"/>
      <c r="P83" s="1103"/>
      <c r="Q83" s="1098"/>
      <c r="R83" s="1098"/>
      <c r="S83" s="1102"/>
      <c r="T83" s="1102"/>
      <c r="U83" s="1102"/>
      <c r="V83" s="48"/>
      <c r="W83" s="1128"/>
      <c r="X83" s="48"/>
    </row>
    <row r="84" spans="1:24" ht="15.6" hidden="1" customHeight="1" thickTop="1" x14ac:dyDescent="0.25">
      <c r="A84" s="1168"/>
      <c r="B84" s="655"/>
      <c r="C84" s="655"/>
      <c r="D84" s="656"/>
      <c r="E84" s="655"/>
      <c r="F84" s="656"/>
      <c r="G84" s="656"/>
      <c r="H84" s="656"/>
      <c r="I84" s="2043"/>
      <c r="J84" s="658"/>
      <c r="K84" s="2043"/>
      <c r="L84" s="655"/>
      <c r="O84" s="1133"/>
      <c r="P84" s="1103"/>
      <c r="S84" s="1102"/>
      <c r="T84" s="1102"/>
      <c r="U84" s="1102"/>
    </row>
    <row r="85" spans="1:24" ht="15.6" hidden="1" customHeight="1" x14ac:dyDescent="0.25">
      <c r="A85" s="1168"/>
      <c r="B85" s="655" t="s">
        <v>390</v>
      </c>
      <c r="C85" s="655"/>
      <c r="D85" s="656"/>
      <c r="E85" s="655"/>
      <c r="F85" s="656"/>
      <c r="G85" s="656"/>
      <c r="H85" s="656"/>
      <c r="I85" s="2043">
        <v>0</v>
      </c>
      <c r="J85" s="658"/>
      <c r="K85" s="2043">
        <v>0</v>
      </c>
      <c r="L85" s="655"/>
      <c r="O85" s="1133"/>
      <c r="P85" s="1103"/>
      <c r="S85" s="1102"/>
      <c r="T85" s="1102"/>
      <c r="U85" s="1102"/>
    </row>
    <row r="86" spans="1:24" ht="15.6" hidden="1" customHeight="1" x14ac:dyDescent="0.25">
      <c r="A86" s="1168"/>
      <c r="B86" s="655" t="s">
        <v>233</v>
      </c>
      <c r="C86" s="655"/>
      <c r="D86" s="656"/>
      <c r="E86" s="655"/>
      <c r="F86" s="656"/>
      <c r="G86" s="656"/>
      <c r="H86" s="656"/>
      <c r="I86" s="2043">
        <v>0</v>
      </c>
      <c r="J86" s="658"/>
      <c r="K86" s="2043">
        <v>0</v>
      </c>
      <c r="L86" s="655"/>
      <c r="O86" s="1133"/>
      <c r="P86" s="1103"/>
      <c r="S86" s="1102"/>
      <c r="T86" s="1102"/>
      <c r="U86" s="1102"/>
    </row>
    <row r="87" spans="1:24" ht="15.6" hidden="1" customHeight="1" x14ac:dyDescent="0.25">
      <c r="A87" s="1168"/>
      <c r="B87" s="655"/>
      <c r="C87" s="655"/>
      <c r="D87" s="656"/>
      <c r="E87" s="655"/>
      <c r="F87" s="656"/>
      <c r="G87" s="656"/>
      <c r="H87" s="656"/>
      <c r="I87" s="2043"/>
      <c r="J87" s="658"/>
      <c r="K87" s="2043"/>
      <c r="L87" s="655"/>
      <c r="O87" s="1133"/>
      <c r="P87" s="1103"/>
      <c r="S87" s="1102"/>
      <c r="T87" s="1102"/>
      <c r="U87" s="1102"/>
      <c r="V87" s="50"/>
      <c r="X87" s="50"/>
    </row>
    <row r="88" spans="1:24" s="50" customFormat="1" ht="15.6" hidden="1" customHeight="1" thickBot="1" x14ac:dyDescent="0.3">
      <c r="A88" s="1171"/>
      <c r="B88" s="659" t="s">
        <v>1019</v>
      </c>
      <c r="C88" s="659"/>
      <c r="D88" s="1454"/>
      <c r="E88" s="659"/>
      <c r="F88" s="1454"/>
      <c r="G88" s="1454"/>
      <c r="H88" s="1454"/>
      <c r="I88" s="2050">
        <f>SUM(I85:I87)</f>
        <v>0</v>
      </c>
      <c r="J88" s="1455"/>
      <c r="K88" s="2050">
        <f>SUM(K85:K87)</f>
        <v>0</v>
      </c>
      <c r="L88" s="659"/>
      <c r="M88" s="234"/>
      <c r="N88" s="235"/>
      <c r="O88" s="234"/>
      <c r="P88" s="1103"/>
      <c r="Q88" s="1098"/>
      <c r="R88" s="1098"/>
      <c r="S88" s="1102"/>
      <c r="T88" s="1102"/>
      <c r="U88" s="1102"/>
      <c r="V88" s="48"/>
      <c r="W88" s="1128"/>
      <c r="X88" s="48"/>
    </row>
    <row r="89" spans="1:24" ht="15.6" hidden="1" customHeight="1" thickTop="1" thickBot="1" x14ac:dyDescent="0.3">
      <c r="A89" s="1168"/>
      <c r="B89" s="655"/>
      <c r="C89" s="655"/>
      <c r="D89" s="656"/>
      <c r="E89" s="655"/>
      <c r="F89" s="656"/>
      <c r="G89" s="656"/>
      <c r="H89" s="656"/>
      <c r="I89" s="2051"/>
      <c r="J89" s="658"/>
      <c r="K89" s="2043"/>
      <c r="L89" s="655"/>
      <c r="O89" s="1133"/>
      <c r="P89" s="1103"/>
      <c r="S89" s="1102"/>
      <c r="T89" s="1102"/>
      <c r="U89" s="1102"/>
      <c r="V89" s="50"/>
      <c r="X89" s="50"/>
    </row>
    <row r="90" spans="1:24" s="50" customFormat="1" ht="15.6" hidden="1" customHeight="1" thickTop="1" thickBot="1" x14ac:dyDescent="0.3">
      <c r="A90" s="1171"/>
      <c r="B90" s="659" t="s">
        <v>1020</v>
      </c>
      <c r="C90" s="659"/>
      <c r="D90" s="1454"/>
      <c r="E90" s="659"/>
      <c r="F90" s="1454"/>
      <c r="G90" s="1454"/>
      <c r="H90" s="1454"/>
      <c r="I90" s="2052">
        <f>SUM(I83,I88)</f>
        <v>0</v>
      </c>
      <c r="J90" s="1455"/>
      <c r="K90" s="2052">
        <f>SUM(K83,K88)</f>
        <v>0</v>
      </c>
      <c r="L90" s="659"/>
      <c r="M90" s="234"/>
      <c r="N90" s="235"/>
      <c r="O90" s="234"/>
      <c r="P90" s="1103"/>
      <c r="Q90" s="1098"/>
      <c r="R90" s="1098"/>
      <c r="S90" s="1102"/>
      <c r="T90" s="1102"/>
      <c r="U90" s="1102"/>
      <c r="V90" s="48"/>
      <c r="W90" s="1128"/>
      <c r="X90" s="48"/>
    </row>
    <row r="91" spans="1:24" ht="15.6" hidden="1" customHeight="1" thickTop="1" x14ac:dyDescent="0.25">
      <c r="A91" s="1168"/>
      <c r="B91" s="655"/>
      <c r="C91" s="655"/>
      <c r="D91" s="656"/>
      <c r="E91" s="655"/>
      <c r="F91" s="656"/>
      <c r="G91" s="656"/>
      <c r="H91" s="656"/>
      <c r="I91" s="658"/>
      <c r="J91" s="658"/>
      <c r="K91" s="658"/>
      <c r="L91" s="655"/>
      <c r="O91" s="1133"/>
      <c r="P91" s="1103"/>
      <c r="S91" s="1102"/>
      <c r="T91" s="1102"/>
      <c r="U91" s="1102"/>
    </row>
    <row r="92" spans="1:24" ht="15.6" hidden="1" customHeight="1" x14ac:dyDescent="0.25">
      <c r="I92" s="199"/>
      <c r="J92" s="199"/>
      <c r="K92" s="199"/>
      <c r="M92" s="1147"/>
      <c r="N92" s="1134"/>
      <c r="O92" s="1134"/>
      <c r="T92" s="1102"/>
      <c r="U92" s="1102"/>
    </row>
    <row r="93" spans="1:24" ht="15.6" customHeight="1" x14ac:dyDescent="0.25">
      <c r="A93" s="1647" t="s">
        <v>3853</v>
      </c>
      <c r="B93" s="50" t="s">
        <v>4226</v>
      </c>
      <c r="C93" s="50"/>
      <c r="I93" s="199"/>
      <c r="J93" s="199"/>
      <c r="K93" s="199"/>
      <c r="M93" s="1147"/>
      <c r="N93" s="1134"/>
      <c r="O93" s="1134"/>
      <c r="T93" s="1102"/>
      <c r="U93" s="1102"/>
      <c r="W93" s="1128" t="s">
        <v>3520</v>
      </c>
    </row>
    <row r="94" spans="1:24" ht="15.6" customHeight="1" x14ac:dyDescent="0.25">
      <c r="I94" s="199"/>
      <c r="J94" s="199"/>
      <c r="K94" s="199"/>
      <c r="M94" s="1147"/>
      <c r="N94" s="1134"/>
      <c r="O94" s="1134"/>
      <c r="T94" s="1102"/>
      <c r="U94" s="1102"/>
    </row>
    <row r="95" spans="1:24" ht="15.6" customHeight="1" x14ac:dyDescent="0.25">
      <c r="D95" s="135"/>
      <c r="F95" s="135"/>
      <c r="G95" s="135" t="s">
        <v>191</v>
      </c>
      <c r="H95" s="135"/>
      <c r="I95" s="209" t="s">
        <v>190</v>
      </c>
      <c r="J95" s="209"/>
      <c r="K95" s="209" t="s">
        <v>193</v>
      </c>
      <c r="M95" s="1147"/>
      <c r="N95" s="1134"/>
      <c r="O95" s="1134"/>
      <c r="T95" s="1102"/>
      <c r="U95" s="1102"/>
    </row>
    <row r="96" spans="1:24" ht="15.6" customHeight="1" x14ac:dyDescent="0.25">
      <c r="B96" s="50"/>
      <c r="D96" s="135"/>
      <c r="F96" s="135"/>
      <c r="G96" s="135" t="s">
        <v>192</v>
      </c>
      <c r="H96" s="135"/>
      <c r="I96" s="209" t="s">
        <v>1022</v>
      </c>
      <c r="J96" s="209"/>
      <c r="K96" s="209" t="s">
        <v>192</v>
      </c>
      <c r="M96" s="1147"/>
      <c r="N96" s="1134"/>
      <c r="O96" s="1134"/>
      <c r="T96" s="1102"/>
      <c r="U96" s="1102"/>
    </row>
    <row r="97" spans="1:23" ht="15.6" customHeight="1" x14ac:dyDescent="0.25">
      <c r="B97" s="249"/>
      <c r="C97" s="50"/>
      <c r="D97" s="199"/>
      <c r="E97" s="50"/>
      <c r="F97" s="199"/>
      <c r="G97" s="209" t="s">
        <v>255</v>
      </c>
      <c r="H97" s="199"/>
      <c r="I97" s="209" t="s">
        <v>255</v>
      </c>
      <c r="J97" s="199"/>
      <c r="K97" s="209" t="s">
        <v>255</v>
      </c>
      <c r="M97" s="1147"/>
      <c r="N97" s="1471"/>
      <c r="O97" s="1134"/>
      <c r="P97" s="1101"/>
      <c r="Q97" s="1102"/>
      <c r="R97" s="1102"/>
      <c r="S97" s="1102"/>
      <c r="T97" s="1102"/>
      <c r="U97" s="1102"/>
    </row>
    <row r="98" spans="1:23" ht="15.6" customHeight="1" x14ac:dyDescent="0.25">
      <c r="B98" s="50" t="str">
        <f>"As at "&amp;Parameters!C11</f>
        <v>As at 30 June 2012</v>
      </c>
      <c r="I98" s="199"/>
      <c r="J98" s="199"/>
      <c r="K98" s="199"/>
      <c r="M98" s="1147"/>
      <c r="N98" s="1134"/>
      <c r="O98" s="1134"/>
      <c r="T98" s="1102"/>
      <c r="U98" s="1102"/>
    </row>
    <row r="99" spans="1:23" ht="15.6" customHeight="1" x14ac:dyDescent="0.25">
      <c r="I99" s="199"/>
      <c r="J99" s="199"/>
      <c r="K99" s="199"/>
      <c r="M99" s="1147"/>
      <c r="N99" s="1134"/>
      <c r="O99" s="1134"/>
      <c r="T99" s="1102"/>
      <c r="U99" s="1102"/>
    </row>
    <row r="100" spans="1:23" ht="15.6" customHeight="1" x14ac:dyDescent="0.25">
      <c r="B100" s="48" t="s">
        <v>16</v>
      </c>
      <c r="D100" s="199"/>
      <c r="F100" s="199"/>
      <c r="G100" s="199">
        <f>SUM(G101:G104)</f>
        <v>48986462.450000003</v>
      </c>
      <c r="H100" s="199"/>
      <c r="I100" s="199">
        <f>SUM(I101:I104)</f>
        <v>48145079.43</v>
      </c>
      <c r="J100" s="199"/>
      <c r="K100" s="199">
        <f>SUM(K101:K104)</f>
        <v>841383.0199999999</v>
      </c>
      <c r="M100" s="1147"/>
      <c r="N100" s="1134"/>
      <c r="O100" s="1134"/>
      <c r="T100" s="1102"/>
      <c r="U100" s="1102"/>
    </row>
    <row r="101" spans="1:23" ht="15.6" customHeight="1" x14ac:dyDescent="0.25">
      <c r="B101" s="48" t="s">
        <v>591</v>
      </c>
      <c r="D101" s="199"/>
      <c r="F101" s="199"/>
      <c r="G101" s="247">
        <f>'Trial Balance - FPos'!F45</f>
        <v>779989.90999999992</v>
      </c>
      <c r="H101" s="199"/>
      <c r="I101" s="247">
        <v>509593.89</v>
      </c>
      <c r="J101" s="199"/>
      <c r="K101" s="247">
        <f>+G101-I101</f>
        <v>270396.0199999999</v>
      </c>
      <c r="M101" s="1147"/>
      <c r="N101" s="1134"/>
      <c r="O101" s="1134"/>
      <c r="P101" s="1097" t="s">
        <v>2779</v>
      </c>
      <c r="Q101" s="1098" t="s">
        <v>2763</v>
      </c>
      <c r="R101" s="1098" t="s">
        <v>2780</v>
      </c>
      <c r="S101" s="1098" t="s">
        <v>2781</v>
      </c>
      <c r="T101" s="1097"/>
    </row>
    <row r="102" spans="1:23" ht="15.6" customHeight="1" x14ac:dyDescent="0.25">
      <c r="B102" s="48" t="s">
        <v>592</v>
      </c>
      <c r="D102" s="199"/>
      <c r="F102" s="199"/>
      <c r="G102" s="186">
        <f>10694214</f>
        <v>10694214</v>
      </c>
      <c r="H102" s="199"/>
      <c r="I102" s="186">
        <v>10628594</v>
      </c>
      <c r="J102" s="199"/>
      <c r="K102" s="186">
        <f>+G102-I102</f>
        <v>65620</v>
      </c>
      <c r="M102" s="1147"/>
      <c r="N102" s="1134"/>
      <c r="O102" s="1134"/>
      <c r="P102" s="1097" t="s">
        <v>2782</v>
      </c>
      <c r="Q102" s="1098" t="s">
        <v>2763</v>
      </c>
      <c r="R102" s="1098" t="s">
        <v>2783</v>
      </c>
      <c r="S102" s="1098" t="s">
        <v>2781</v>
      </c>
      <c r="T102" s="1097"/>
    </row>
    <row r="103" spans="1:23" ht="15.6" customHeight="1" x14ac:dyDescent="0.25">
      <c r="B103" s="48" t="s">
        <v>593</v>
      </c>
      <c r="D103" s="199"/>
      <c r="F103" s="199"/>
      <c r="G103" s="186">
        <v>13902941</v>
      </c>
      <c r="H103" s="199"/>
      <c r="I103" s="186">
        <v>13744518</v>
      </c>
      <c r="J103" s="199"/>
      <c r="K103" s="186">
        <f>+G103-I103</f>
        <v>158423</v>
      </c>
      <c r="M103" s="1147"/>
      <c r="N103" s="1134"/>
      <c r="O103" s="1134"/>
      <c r="P103" s="1097" t="s">
        <v>2784</v>
      </c>
      <c r="Q103" s="1098" t="s">
        <v>2763</v>
      </c>
      <c r="R103" s="1098" t="s">
        <v>2785</v>
      </c>
      <c r="S103" s="1098" t="s">
        <v>2781</v>
      </c>
      <c r="T103" s="1097"/>
    </row>
    <row r="104" spans="1:23" ht="15.6" customHeight="1" x14ac:dyDescent="0.25">
      <c r="B104" s="48" t="s">
        <v>594</v>
      </c>
      <c r="D104" s="199"/>
      <c r="F104" s="199"/>
      <c r="G104" s="248">
        <f>40468221-16858903.46</f>
        <v>23609317.539999999</v>
      </c>
      <c r="H104" s="199"/>
      <c r="I104" s="248">
        <f>40121277-16858903.46</f>
        <v>23262373.539999999</v>
      </c>
      <c r="J104" s="199"/>
      <c r="K104" s="248">
        <f>+G104-I104</f>
        <v>346944</v>
      </c>
      <c r="M104" s="1147"/>
      <c r="N104" s="1134"/>
      <c r="O104" s="1134"/>
      <c r="P104" s="1097" t="s">
        <v>2786</v>
      </c>
      <c r="Q104" s="1098" t="s">
        <v>2763</v>
      </c>
      <c r="R104" s="1098" t="s">
        <v>2787</v>
      </c>
      <c r="S104" s="1098" t="s">
        <v>2781</v>
      </c>
      <c r="T104" s="1097"/>
    </row>
    <row r="105" spans="1:23" ht="15.6" customHeight="1" x14ac:dyDescent="0.25">
      <c r="B105" s="48" t="s">
        <v>4228</v>
      </c>
      <c r="D105" s="199"/>
      <c r="F105" s="199"/>
      <c r="G105" s="199">
        <f>SUM(G106:G108)</f>
        <v>18555120</v>
      </c>
      <c r="H105" s="199"/>
      <c r="I105" s="199">
        <f>SUM(I106:I108)</f>
        <v>18534036</v>
      </c>
      <c r="J105" s="199"/>
      <c r="K105" s="199">
        <f>SUM(K106:K108)</f>
        <v>21084</v>
      </c>
      <c r="M105" s="1147"/>
      <c r="N105" s="1134"/>
      <c r="O105" s="1134"/>
      <c r="T105" s="1097"/>
    </row>
    <row r="106" spans="1:23" s="767" customFormat="1" ht="15.6" customHeight="1" x14ac:dyDescent="0.25">
      <c r="A106" s="1166"/>
      <c r="B106" s="2151" t="s">
        <v>202</v>
      </c>
      <c r="C106" s="48"/>
      <c r="D106" s="199"/>
      <c r="E106" s="48"/>
      <c r="F106" s="199"/>
      <c r="G106" s="247">
        <f>697103</f>
        <v>697103</v>
      </c>
      <c r="H106" s="199"/>
      <c r="I106" s="247">
        <v>680371</v>
      </c>
      <c r="J106" s="199"/>
      <c r="K106" s="247">
        <f>+G106-I106</f>
        <v>16732</v>
      </c>
      <c r="L106" s="48"/>
      <c r="M106" s="1477"/>
      <c r="N106" s="1136">
        <f>G100-G117</f>
        <v>18266943.030000005</v>
      </c>
      <c r="O106" s="1136"/>
      <c r="P106" s="1131" t="s">
        <v>3554</v>
      </c>
      <c r="Q106" s="1132" t="s">
        <v>2763</v>
      </c>
      <c r="R106" s="1132" t="s">
        <v>3556</v>
      </c>
      <c r="S106" s="1132" t="s">
        <v>2781</v>
      </c>
      <c r="T106" s="1131"/>
      <c r="U106" s="1132"/>
      <c r="W106" s="1163"/>
    </row>
    <row r="107" spans="1:23" s="767" customFormat="1" ht="15.6" hidden="1" customHeight="1" x14ac:dyDescent="0.25">
      <c r="A107" s="1166"/>
      <c r="B107" s="2151" t="s">
        <v>618</v>
      </c>
      <c r="C107" s="48"/>
      <c r="D107" s="199"/>
      <c r="E107" s="48"/>
      <c r="F107" s="199"/>
      <c r="G107" s="186">
        <v>0</v>
      </c>
      <c r="H107" s="199"/>
      <c r="I107" s="186">
        <v>0</v>
      </c>
      <c r="J107" s="199"/>
      <c r="K107" s="186">
        <f>+G107-I107</f>
        <v>0</v>
      </c>
      <c r="L107" s="48"/>
      <c r="M107" s="1477"/>
      <c r="N107" s="1136"/>
      <c r="O107" s="1136"/>
      <c r="P107" s="1131" t="s">
        <v>2788</v>
      </c>
      <c r="Q107" s="1132" t="s">
        <v>2763</v>
      </c>
      <c r="R107" s="1132" t="s">
        <v>2789</v>
      </c>
      <c r="S107" s="1132" t="s">
        <v>2781</v>
      </c>
      <c r="T107" s="1131"/>
      <c r="U107" s="1132"/>
      <c r="W107" s="1163"/>
    </row>
    <row r="108" spans="1:23" s="767" customFormat="1" ht="15.6" customHeight="1" x14ac:dyDescent="0.25">
      <c r="A108" s="1166"/>
      <c r="B108" s="2151" t="s">
        <v>402</v>
      </c>
      <c r="C108" s="48"/>
      <c r="D108" s="199"/>
      <c r="E108" s="48"/>
      <c r="F108" s="199"/>
      <c r="G108" s="248">
        <f>17858017</f>
        <v>17858017</v>
      </c>
      <c r="H108" s="199"/>
      <c r="I108" s="248">
        <v>17853665</v>
      </c>
      <c r="J108" s="199"/>
      <c r="K108" s="248">
        <f>+G108-I108</f>
        <v>4352</v>
      </c>
      <c r="L108" s="48"/>
      <c r="M108" s="1477"/>
      <c r="N108" s="1136"/>
      <c r="O108" s="1136"/>
      <c r="P108" s="1131" t="s">
        <v>3555</v>
      </c>
      <c r="Q108" s="1132" t="s">
        <v>2763</v>
      </c>
      <c r="R108" s="1132" t="s">
        <v>3557</v>
      </c>
      <c r="S108" s="1132" t="s">
        <v>2781</v>
      </c>
      <c r="T108" s="1131"/>
      <c r="U108" s="1132"/>
      <c r="W108" s="1163"/>
    </row>
    <row r="109" spans="1:23" ht="15.6" customHeight="1" x14ac:dyDescent="0.25">
      <c r="D109" s="199"/>
      <c r="F109" s="199"/>
      <c r="G109" s="199"/>
      <c r="H109" s="199"/>
      <c r="I109" s="199"/>
      <c r="J109" s="199"/>
      <c r="K109" s="199"/>
      <c r="M109" s="1147"/>
      <c r="N109" s="1134"/>
      <c r="O109" s="1134"/>
      <c r="T109" s="1102"/>
      <c r="U109" s="1102"/>
    </row>
    <row r="110" spans="1:23" ht="15.6" customHeight="1" thickBot="1" x14ac:dyDescent="0.3">
      <c r="B110" s="50" t="s">
        <v>4227</v>
      </c>
      <c r="C110" s="50"/>
      <c r="D110" s="199"/>
      <c r="F110" s="199"/>
      <c r="G110" s="202">
        <f>G100+G105</f>
        <v>67541582.450000003</v>
      </c>
      <c r="H110" s="199"/>
      <c r="I110" s="202">
        <f>I100+I105</f>
        <v>66679115.43</v>
      </c>
      <c r="J110" s="199"/>
      <c r="K110" s="202">
        <f>K100+K105</f>
        <v>862467.0199999999</v>
      </c>
      <c r="M110" s="1147"/>
      <c r="N110" s="1134">
        <f>I110-I127</f>
        <v>24376093.592715174</v>
      </c>
      <c r="O110" s="1134"/>
      <c r="T110" s="1102"/>
      <c r="U110" s="1102"/>
    </row>
    <row r="111" spans="1:23" ht="15.6" customHeight="1" thickTop="1" x14ac:dyDescent="0.25">
      <c r="D111" s="199"/>
      <c r="F111" s="199"/>
      <c r="G111" s="217">
        <v>0</v>
      </c>
      <c r="H111" s="199"/>
      <c r="I111" s="217">
        <v>0</v>
      </c>
      <c r="J111" s="199"/>
      <c r="K111" s="217">
        <v>0</v>
      </c>
      <c r="M111" s="1147"/>
      <c r="N111" s="1134"/>
      <c r="O111" s="1134"/>
      <c r="T111" s="1102"/>
      <c r="U111" s="1102"/>
    </row>
    <row r="112" spans="1:23" ht="15.6" customHeight="1" x14ac:dyDescent="0.25">
      <c r="D112" s="135"/>
      <c r="F112" s="135"/>
      <c r="G112" s="135" t="s">
        <v>191</v>
      </c>
      <c r="H112" s="135"/>
      <c r="I112" s="1200" t="s">
        <v>190</v>
      </c>
      <c r="J112" s="1200"/>
      <c r="K112" s="1200" t="s">
        <v>193</v>
      </c>
      <c r="M112" s="1147"/>
      <c r="N112" s="1134"/>
      <c r="O112" s="1134"/>
      <c r="T112" s="1102"/>
      <c r="U112" s="1102"/>
    </row>
    <row r="113" spans="1:24" ht="15.6" customHeight="1" x14ac:dyDescent="0.25">
      <c r="B113" s="50"/>
      <c r="D113" s="135"/>
      <c r="F113" s="135"/>
      <c r="G113" s="135" t="s">
        <v>192</v>
      </c>
      <c r="H113" s="135"/>
      <c r="I113" s="1200" t="s">
        <v>1022</v>
      </c>
      <c r="J113" s="1200"/>
      <c r="K113" s="1200" t="s">
        <v>192</v>
      </c>
      <c r="M113" s="1147"/>
      <c r="N113" s="1134"/>
      <c r="O113" s="1134"/>
      <c r="T113" s="1102"/>
      <c r="U113" s="1102"/>
    </row>
    <row r="114" spans="1:24" ht="15.6" customHeight="1" x14ac:dyDescent="0.25">
      <c r="B114" s="249"/>
      <c r="C114" s="50"/>
      <c r="D114" s="199"/>
      <c r="E114" s="50"/>
      <c r="F114" s="199"/>
      <c r="G114" s="1200" t="s">
        <v>255</v>
      </c>
      <c r="H114" s="199"/>
      <c r="I114" s="1200" t="s">
        <v>255</v>
      </c>
      <c r="J114" s="199"/>
      <c r="K114" s="1200" t="s">
        <v>255</v>
      </c>
      <c r="M114" s="1147"/>
      <c r="N114" s="1471"/>
      <c r="O114" s="1134"/>
      <c r="P114" s="1101"/>
      <c r="Q114" s="1102"/>
      <c r="R114" s="1102"/>
      <c r="S114" s="1102"/>
      <c r="T114" s="1102"/>
      <c r="U114" s="1102"/>
    </row>
    <row r="115" spans="1:24" ht="15.6" customHeight="1" x14ac:dyDescent="0.25">
      <c r="B115" s="50" t="str">
        <f>"As at "&amp;Parameters!C13</f>
        <v>As at 30 June 2011</v>
      </c>
      <c r="D115" s="199"/>
      <c r="F115" s="199"/>
      <c r="G115" s="199"/>
      <c r="H115" s="199"/>
      <c r="I115" s="199"/>
      <c r="J115" s="199"/>
      <c r="K115" s="199"/>
      <c r="M115" s="1147"/>
      <c r="N115" s="1134"/>
      <c r="O115" s="1134"/>
      <c r="T115" s="1102"/>
      <c r="U115" s="1102"/>
    </row>
    <row r="116" spans="1:24" ht="15.6" customHeight="1" x14ac:dyDescent="0.25">
      <c r="D116" s="199"/>
      <c r="F116" s="199"/>
      <c r="G116" s="199"/>
      <c r="H116" s="199"/>
      <c r="I116" s="199"/>
      <c r="J116" s="199"/>
      <c r="K116" s="199"/>
      <c r="M116" s="1147"/>
      <c r="N116" s="1134"/>
      <c r="O116" s="1134"/>
      <c r="T116" s="1102"/>
      <c r="U116" s="1102"/>
    </row>
    <row r="117" spans="1:24" ht="15.6" customHeight="1" x14ac:dyDescent="0.25">
      <c r="B117" s="48" t="s">
        <v>16</v>
      </c>
      <c r="D117" s="199"/>
      <c r="F117" s="199"/>
      <c r="G117" s="246">
        <f>SUM(G118:G121)</f>
        <v>30719519.419999998</v>
      </c>
      <c r="H117" s="199"/>
      <c r="I117" s="246">
        <f>SUM(I118:I121)</f>
        <v>29718860.837284826</v>
      </c>
      <c r="J117" s="199"/>
      <c r="K117" s="246">
        <f>SUM(K118:K121)</f>
        <v>1000658.5827151709</v>
      </c>
      <c r="M117" s="1147"/>
      <c r="N117" s="1488">
        <f>SUM(N118:N121)</f>
        <v>3440141</v>
      </c>
      <c r="O117" s="1134"/>
      <c r="T117" s="1102"/>
      <c r="U117" s="1102"/>
    </row>
    <row r="118" spans="1:24" ht="15.6" customHeight="1" x14ac:dyDescent="0.25">
      <c r="B118" s="48" t="s">
        <v>591</v>
      </c>
      <c r="D118" s="199"/>
      <c r="F118" s="199"/>
      <c r="G118" s="186">
        <f>'Trial Balance - FPos'!C45</f>
        <v>540134.42000000004</v>
      </c>
      <c r="H118" s="199"/>
      <c r="I118" s="186">
        <v>292284.19</v>
      </c>
      <c r="J118" s="199"/>
      <c r="K118" s="186">
        <f>+G118-I118</f>
        <v>247850.23000000004</v>
      </c>
      <c r="M118" s="1147"/>
      <c r="N118" s="1489">
        <v>8999</v>
      </c>
      <c r="O118" s="1134"/>
      <c r="P118" s="1097" t="s">
        <v>2779</v>
      </c>
      <c r="Q118" s="1098" t="s">
        <v>2765</v>
      </c>
      <c r="R118" s="1098" t="s">
        <v>2780</v>
      </c>
      <c r="S118" s="1098" t="s">
        <v>2790</v>
      </c>
      <c r="T118" s="1097" t="s">
        <v>2791</v>
      </c>
      <c r="U118" s="1098" t="s">
        <v>2775</v>
      </c>
    </row>
    <row r="119" spans="1:24" ht="15.6" customHeight="1" x14ac:dyDescent="0.25">
      <c r="B119" s="48" t="s">
        <v>592</v>
      </c>
      <c r="D119" s="199"/>
      <c r="F119" s="199"/>
      <c r="G119" s="186">
        <f>K300</f>
        <v>6526921</v>
      </c>
      <c r="H119" s="199"/>
      <c r="I119" s="186">
        <f>K301</f>
        <v>6366169</v>
      </c>
      <c r="J119" s="199"/>
      <c r="K119" s="186">
        <f>+G119-I119</f>
        <v>160752</v>
      </c>
      <c r="M119" s="1147"/>
      <c r="N119" s="1490">
        <v>346375</v>
      </c>
      <c r="O119" s="1134"/>
      <c r="P119" s="1097" t="s">
        <v>2782</v>
      </c>
      <c r="Q119" s="1098" t="s">
        <v>2765</v>
      </c>
      <c r="R119" s="1098" t="s">
        <v>2783</v>
      </c>
      <c r="S119" s="1098" t="s">
        <v>2790</v>
      </c>
      <c r="T119" s="1097" t="s">
        <v>2792</v>
      </c>
      <c r="U119" s="1098" t="s">
        <v>2775</v>
      </c>
    </row>
    <row r="120" spans="1:24" ht="15.6" customHeight="1" x14ac:dyDescent="0.25">
      <c r="B120" s="48" t="s">
        <v>593</v>
      </c>
      <c r="D120" s="199"/>
      <c r="F120" s="199"/>
      <c r="G120" s="186">
        <f>K306</f>
        <v>8350623</v>
      </c>
      <c r="H120" s="199"/>
      <c r="I120" s="186">
        <f>K307</f>
        <v>8144954.2658538697</v>
      </c>
      <c r="J120" s="199"/>
      <c r="K120" s="186">
        <f>+G120-I120</f>
        <v>205668.73414613027</v>
      </c>
      <c r="M120" s="1147"/>
      <c r="N120" s="1490">
        <v>1461024</v>
      </c>
      <c r="O120" s="1134"/>
      <c r="P120" s="1097" t="s">
        <v>2784</v>
      </c>
      <c r="Q120" s="1098" t="s">
        <v>2765</v>
      </c>
      <c r="R120" s="1098" t="s">
        <v>2785</v>
      </c>
      <c r="S120" s="1098" t="s">
        <v>2790</v>
      </c>
      <c r="T120" s="1097" t="s">
        <v>2793</v>
      </c>
      <c r="U120" s="1098" t="s">
        <v>2775</v>
      </c>
    </row>
    <row r="121" spans="1:24" ht="15.6" customHeight="1" x14ac:dyDescent="0.25">
      <c r="B121" s="48" t="s">
        <v>594</v>
      </c>
      <c r="D121" s="199"/>
      <c r="F121" s="199"/>
      <c r="G121" s="248">
        <f>K312</f>
        <v>15301840.999999998</v>
      </c>
      <c r="H121" s="199"/>
      <c r="I121" s="248">
        <f>K313</f>
        <v>14915453.381430957</v>
      </c>
      <c r="J121" s="199"/>
      <c r="K121" s="248">
        <f>+G121-I121</f>
        <v>386387.61856904067</v>
      </c>
      <c r="M121" s="1147"/>
      <c r="N121" s="1491">
        <v>1623743</v>
      </c>
      <c r="O121" s="1134"/>
      <c r="P121" s="1097" t="s">
        <v>2786</v>
      </c>
      <c r="Q121" s="1098" t="s">
        <v>2765</v>
      </c>
      <c r="R121" s="1098" t="s">
        <v>2787</v>
      </c>
      <c r="S121" s="1098" t="s">
        <v>2790</v>
      </c>
      <c r="T121" s="1097" t="s">
        <v>2794</v>
      </c>
      <c r="U121" s="1098" t="s">
        <v>2775</v>
      </c>
    </row>
    <row r="122" spans="1:24" ht="15.6" customHeight="1" x14ac:dyDescent="0.2">
      <c r="B122" s="48" t="s">
        <v>4228</v>
      </c>
      <c r="D122" s="199"/>
      <c r="F122" s="199"/>
      <c r="G122" s="199">
        <f>SUM(G123:G125)</f>
        <v>17470451.73</v>
      </c>
      <c r="H122" s="199"/>
      <c r="I122" s="199">
        <f>SUM(I123:I125)</f>
        <v>12584161.000000002</v>
      </c>
      <c r="J122" s="199"/>
      <c r="K122" s="199">
        <f>SUM(K123:K125)</f>
        <v>4886290.7299999977</v>
      </c>
      <c r="M122" s="1147"/>
      <c r="N122" s="1147">
        <f>SUM(N123:N125)</f>
        <v>24859</v>
      </c>
      <c r="O122" s="1134"/>
      <c r="T122" s="1097"/>
      <c r="V122" s="230"/>
      <c r="W122" s="1114"/>
      <c r="X122" s="230"/>
    </row>
    <row r="123" spans="1:24" s="767" customFormat="1" ht="15.6" customHeight="1" x14ac:dyDescent="0.25">
      <c r="A123" s="1166"/>
      <c r="B123" s="2151" t="s">
        <v>202</v>
      </c>
      <c r="C123" s="48"/>
      <c r="D123" s="199"/>
      <c r="E123" s="48"/>
      <c r="F123" s="199"/>
      <c r="G123" s="247">
        <f>SUM('Trial Balance - FPos'!C48,'Trial Balance - FPos'!C50)</f>
        <v>561446.05000000005</v>
      </c>
      <c r="H123" s="199"/>
      <c r="I123" s="247">
        <v>547618</v>
      </c>
      <c r="J123" s="199"/>
      <c r="K123" s="247">
        <f>+G123-I123</f>
        <v>13828.050000000047</v>
      </c>
      <c r="L123" s="48"/>
      <c r="M123" s="1477"/>
      <c r="N123" s="1492">
        <v>24559</v>
      </c>
      <c r="O123" s="1136"/>
      <c r="P123" s="1131" t="s">
        <v>3554</v>
      </c>
      <c r="Q123" s="1098" t="s">
        <v>2765</v>
      </c>
      <c r="R123" s="1132" t="s">
        <v>3556</v>
      </c>
      <c r="S123" s="1098" t="s">
        <v>2790</v>
      </c>
      <c r="T123" s="1131" t="s">
        <v>3558</v>
      </c>
      <c r="U123" s="1098" t="s">
        <v>2775</v>
      </c>
      <c r="W123" s="1163"/>
    </row>
    <row r="124" spans="1:24" s="767" customFormat="1" ht="15.6" hidden="1" customHeight="1" x14ac:dyDescent="0.25">
      <c r="A124" s="1166"/>
      <c r="B124" s="2151" t="s">
        <v>618</v>
      </c>
      <c r="C124" s="48"/>
      <c r="D124" s="199"/>
      <c r="E124" s="48"/>
      <c r="F124" s="199"/>
      <c r="G124" s="186">
        <v>0</v>
      </c>
      <c r="H124" s="199"/>
      <c r="I124" s="186">
        <v>0</v>
      </c>
      <c r="J124" s="199"/>
      <c r="K124" s="186">
        <f>+G124-I124</f>
        <v>0</v>
      </c>
      <c r="L124" s="48"/>
      <c r="M124" s="1477"/>
      <c r="N124" s="1493">
        <v>0</v>
      </c>
      <c r="O124" s="1136"/>
      <c r="P124" s="1131" t="s">
        <v>2788</v>
      </c>
      <c r="Q124" s="1098" t="s">
        <v>2765</v>
      </c>
      <c r="R124" s="1132" t="s">
        <v>2789</v>
      </c>
      <c r="S124" s="1098" t="s">
        <v>2790</v>
      </c>
      <c r="T124" s="1131" t="s">
        <v>2795</v>
      </c>
      <c r="U124" s="1098" t="s">
        <v>2775</v>
      </c>
      <c r="W124" s="1163"/>
    </row>
    <row r="125" spans="1:24" s="767" customFormat="1" ht="15.6" customHeight="1" x14ac:dyDescent="0.25">
      <c r="A125" s="1166"/>
      <c r="B125" s="2151" t="s">
        <v>402</v>
      </c>
      <c r="C125" s="48"/>
      <c r="D125" s="199"/>
      <c r="E125" s="48"/>
      <c r="F125" s="199"/>
      <c r="G125" s="248">
        <f>SUM('Trial Balance - FPos'!C43:C44,'Trial Balance - FPos'!C46:C47,'Trial Balance - FPos'!C51)</f>
        <v>16909005.68</v>
      </c>
      <c r="H125" s="199"/>
      <c r="I125" s="248">
        <f>K319-I123</f>
        <v>12036543.000000002</v>
      </c>
      <c r="J125" s="199"/>
      <c r="K125" s="248">
        <f>+G125-I125</f>
        <v>4872462.6799999978</v>
      </c>
      <c r="L125" s="48"/>
      <c r="M125" s="1477"/>
      <c r="N125" s="1494">
        <v>300</v>
      </c>
      <c r="O125" s="1136"/>
      <c r="P125" s="1131" t="s">
        <v>3555</v>
      </c>
      <c r="Q125" s="1098" t="s">
        <v>2765</v>
      </c>
      <c r="R125" s="1132" t="s">
        <v>3557</v>
      </c>
      <c r="S125" s="1098" t="s">
        <v>2790</v>
      </c>
      <c r="T125" s="1131" t="s">
        <v>3559</v>
      </c>
      <c r="U125" s="1098" t="s">
        <v>2775</v>
      </c>
      <c r="W125" s="1163"/>
    </row>
    <row r="126" spans="1:24" ht="15.6" customHeight="1" x14ac:dyDescent="0.25">
      <c r="D126" s="199"/>
      <c r="F126" s="199"/>
      <c r="G126" s="199"/>
      <c r="H126" s="199"/>
      <c r="I126" s="199"/>
      <c r="J126" s="199"/>
      <c r="K126" s="199"/>
      <c r="M126" s="1147"/>
      <c r="O126" s="1134"/>
      <c r="T126" s="1102"/>
      <c r="U126" s="1102"/>
    </row>
    <row r="127" spans="1:24" ht="15.6" customHeight="1" thickBot="1" x14ac:dyDescent="0.3">
      <c r="B127" s="50" t="s">
        <v>4227</v>
      </c>
      <c r="C127" s="50"/>
      <c r="D127" s="199"/>
      <c r="F127" s="199"/>
      <c r="G127" s="202">
        <f>G117+G122</f>
        <v>48189971.149999999</v>
      </c>
      <c r="H127" s="199"/>
      <c r="I127" s="202">
        <f>I117+I122</f>
        <v>42303021.837284826</v>
      </c>
      <c r="J127" s="199"/>
      <c r="K127" s="202">
        <f>K117+K122</f>
        <v>5886949.312715169</v>
      </c>
      <c r="M127" s="1147"/>
      <c r="N127" s="1495">
        <f>N117+N122</f>
        <v>3465000</v>
      </c>
      <c r="O127" s="1134"/>
      <c r="T127" s="1097"/>
    </row>
    <row r="128" spans="1:24" ht="15.6" customHeight="1" thickTop="1" x14ac:dyDescent="0.25">
      <c r="D128" s="199"/>
      <c r="F128" s="199"/>
      <c r="G128" s="217">
        <v>0</v>
      </c>
      <c r="H128" s="199"/>
      <c r="I128" s="217">
        <v>0</v>
      </c>
      <c r="J128" s="199"/>
      <c r="K128" s="217">
        <v>0</v>
      </c>
      <c r="M128" s="1147"/>
      <c r="N128" s="1134"/>
      <c r="O128" s="1134"/>
      <c r="T128" s="1102"/>
      <c r="U128" s="1102"/>
    </row>
    <row r="129" spans="1:24" s="230" customFormat="1" ht="15.6" hidden="1" customHeight="1" thickTop="1" thickBot="1" x14ac:dyDescent="0.3">
      <c r="A129" s="1173"/>
      <c r="B129" s="637"/>
      <c r="C129" s="637"/>
      <c r="D129" s="638"/>
      <c r="E129" s="637"/>
      <c r="F129" s="638"/>
      <c r="G129" s="638"/>
      <c r="H129" s="638"/>
      <c r="I129" s="639"/>
      <c r="J129" s="640"/>
      <c r="K129" s="639"/>
      <c r="L129" s="641"/>
      <c r="M129" s="1133"/>
      <c r="N129" s="1147"/>
      <c r="O129" s="1133"/>
      <c r="P129" s="1097"/>
      <c r="Q129" s="1098"/>
      <c r="R129" s="1098"/>
      <c r="S129" s="1102"/>
      <c r="T129" s="1102"/>
      <c r="U129" s="1102"/>
      <c r="V129" s="48"/>
      <c r="W129" s="1128"/>
      <c r="X129" s="48"/>
    </row>
    <row r="130" spans="1:24" ht="15.6" hidden="1" customHeight="1" thickBot="1" x14ac:dyDescent="0.3">
      <c r="A130" s="1174"/>
      <c r="B130" s="2850" t="s">
        <v>2670</v>
      </c>
      <c r="C130" s="2851"/>
      <c r="D130" s="2851"/>
      <c r="E130" s="2851"/>
      <c r="F130" s="2851"/>
      <c r="G130" s="2851"/>
      <c r="H130" s="2851"/>
      <c r="I130" s="2851"/>
      <c r="J130" s="2851"/>
      <c r="K130" s="2852"/>
      <c r="L130" s="643"/>
      <c r="O130" s="1133"/>
      <c r="P130" s="1101"/>
      <c r="Q130" s="1102"/>
      <c r="R130" s="1102"/>
      <c r="S130" s="1102"/>
      <c r="T130" s="1102"/>
      <c r="U130" s="1102"/>
    </row>
    <row r="131" spans="1:24" ht="15.6" hidden="1" customHeight="1" thickBot="1" x14ac:dyDescent="0.3">
      <c r="A131" s="1174"/>
      <c r="B131" s="1002" t="s">
        <v>2671</v>
      </c>
      <c r="C131" s="1003"/>
      <c r="D131" s="1004"/>
      <c r="E131" s="1003"/>
      <c r="F131" s="1004"/>
      <c r="G131" s="1003"/>
      <c r="H131" s="1004"/>
      <c r="I131" s="1003"/>
      <c r="J131" s="1004"/>
      <c r="K131" s="1005"/>
      <c r="L131" s="643"/>
      <c r="O131" s="1133"/>
      <c r="P131" s="1103"/>
      <c r="S131" s="1102"/>
      <c r="T131" s="1102"/>
      <c r="U131" s="1102"/>
    </row>
    <row r="132" spans="1:24" ht="15.6" hidden="1" customHeight="1" thickBot="1" x14ac:dyDescent="0.3">
      <c r="A132" s="1174"/>
      <c r="B132" s="1006" t="s">
        <v>2672</v>
      </c>
      <c r="C132" s="1007" t="s">
        <v>2673</v>
      </c>
      <c r="D132" s="1008"/>
      <c r="E132" s="1007" t="s">
        <v>2674</v>
      </c>
      <c r="F132" s="1004"/>
      <c r="G132" s="1007" t="s">
        <v>2675</v>
      </c>
      <c r="H132" s="1004"/>
      <c r="I132" s="1007" t="s">
        <v>2676</v>
      </c>
      <c r="J132" s="1004"/>
      <c r="K132" s="1007" t="s">
        <v>861</v>
      </c>
      <c r="L132" s="643"/>
      <c r="O132" s="1133"/>
      <c r="P132" s="1103"/>
      <c r="S132" s="1102"/>
      <c r="T132" s="1102"/>
      <c r="U132" s="1102"/>
    </row>
    <row r="133" spans="1:24" ht="15.6" hidden="1" customHeight="1" x14ac:dyDescent="0.25">
      <c r="A133" s="1174"/>
      <c r="B133" s="1009">
        <v>40262</v>
      </c>
      <c r="C133" s="1010">
        <v>0.1</v>
      </c>
      <c r="D133" s="1008"/>
      <c r="E133" s="1010">
        <v>0.01</v>
      </c>
      <c r="F133" s="1004"/>
      <c r="G133" s="1011">
        <f>C133+E133</f>
        <v>0.11</v>
      </c>
      <c r="H133" s="1004"/>
      <c r="I133" s="1011">
        <v>0</v>
      </c>
      <c r="J133" s="1004"/>
      <c r="K133" s="1011">
        <f>G133+I133</f>
        <v>0.11</v>
      </c>
      <c r="L133" s="643"/>
      <c r="O133" s="1133"/>
      <c r="P133" s="1104"/>
      <c r="S133" s="1102"/>
      <c r="T133" s="1102"/>
      <c r="U133" s="1102"/>
    </row>
    <row r="134" spans="1:24" ht="15.6" hidden="1" customHeight="1" x14ac:dyDescent="0.25">
      <c r="A134" s="1174"/>
      <c r="B134" s="1012">
        <v>40430</v>
      </c>
      <c r="C134" s="1013">
        <v>9.5000000000000001E-2</v>
      </c>
      <c r="D134" s="1008"/>
      <c r="E134" s="1013">
        <v>0.01</v>
      </c>
      <c r="F134" s="1004"/>
      <c r="G134" s="1014">
        <f>C134+E134</f>
        <v>0.105</v>
      </c>
      <c r="H134" s="1004"/>
      <c r="I134" s="1014">
        <v>0</v>
      </c>
      <c r="J134" s="1004"/>
      <c r="K134" s="1014">
        <f>G134+I134</f>
        <v>0.105</v>
      </c>
      <c r="L134" s="643"/>
      <c r="O134" s="1133"/>
      <c r="P134" s="1104"/>
      <c r="S134" s="1102"/>
      <c r="T134" s="1102"/>
      <c r="U134" s="1102"/>
    </row>
    <row r="135" spans="1:24" ht="15.6" hidden="1" customHeight="1" x14ac:dyDescent="0.25">
      <c r="A135" s="1174"/>
      <c r="B135" s="1012">
        <v>40500</v>
      </c>
      <c r="C135" s="1013">
        <v>0.09</v>
      </c>
      <c r="D135" s="1008"/>
      <c r="E135" s="1013">
        <v>0.01</v>
      </c>
      <c r="F135" s="1004"/>
      <c r="G135" s="1014">
        <f>C135+E135</f>
        <v>9.9999999999999992E-2</v>
      </c>
      <c r="H135" s="1004"/>
      <c r="I135" s="1014">
        <v>0</v>
      </c>
      <c r="J135" s="1004"/>
      <c r="K135" s="1015">
        <f>G135+I135</f>
        <v>9.9999999999999992E-2</v>
      </c>
      <c r="L135" s="643"/>
      <c r="O135" s="1133"/>
      <c r="P135" s="1104"/>
      <c r="S135" s="1102"/>
      <c r="T135" s="1102"/>
      <c r="U135" s="1102"/>
    </row>
    <row r="136" spans="1:24" ht="15.6" hidden="1" customHeight="1" thickBot="1" x14ac:dyDescent="0.3">
      <c r="A136" s="1174"/>
      <c r="B136" s="1016" t="str">
        <f>"Average for the Year "&amp;Parameters!C27</f>
        <v>Average for the Year 2010/11</v>
      </c>
      <c r="C136" s="1017"/>
      <c r="D136" s="1008"/>
      <c r="E136" s="1018"/>
      <c r="F136" s="1004"/>
      <c r="G136" s="1018"/>
      <c r="H136" s="1004"/>
      <c r="I136" s="1018"/>
      <c r="J136" s="1004"/>
      <c r="K136" s="1019">
        <f>K135</f>
        <v>9.9999999999999992E-2</v>
      </c>
      <c r="L136" s="643"/>
      <c r="O136" s="1133"/>
      <c r="P136" s="1104"/>
      <c r="S136" s="1102"/>
      <c r="T136" s="1102"/>
      <c r="U136" s="1102"/>
    </row>
    <row r="137" spans="1:24" ht="15.6" hidden="1" customHeight="1" x14ac:dyDescent="0.25">
      <c r="A137" s="1174"/>
      <c r="B137" s="1012">
        <v>40501</v>
      </c>
      <c r="C137" s="1013">
        <v>0.09</v>
      </c>
      <c r="D137" s="1008"/>
      <c r="E137" s="1010">
        <v>0.01</v>
      </c>
      <c r="F137" s="1004"/>
      <c r="G137" s="1011">
        <f>C137+E137</f>
        <v>9.9999999999999992E-2</v>
      </c>
      <c r="H137" s="1004"/>
      <c r="I137" s="1011">
        <v>0</v>
      </c>
      <c r="J137" s="1004"/>
      <c r="K137" s="1011">
        <f>G137+I137</f>
        <v>9.9999999999999992E-2</v>
      </c>
      <c r="L137" s="643"/>
      <c r="O137" s="1133"/>
      <c r="P137" s="1104"/>
      <c r="S137" s="1102"/>
      <c r="T137" s="1102"/>
      <c r="U137" s="1102"/>
    </row>
    <row r="138" spans="1:24" ht="15.6" hidden="1" customHeight="1" x14ac:dyDescent="0.25">
      <c r="A138" s="1174"/>
      <c r="B138" s="1012">
        <v>40795</v>
      </c>
      <c r="C138" s="1013">
        <v>9.5000000000000001E-2</v>
      </c>
      <c r="D138" s="1008"/>
      <c r="E138" s="1013">
        <v>0.01</v>
      </c>
      <c r="F138" s="1004"/>
      <c r="G138" s="1014">
        <f>C138+E138</f>
        <v>0.105</v>
      </c>
      <c r="H138" s="1004"/>
      <c r="I138" s="1014">
        <v>0</v>
      </c>
      <c r="J138" s="1004"/>
      <c r="K138" s="1014">
        <f>G138+I138</f>
        <v>0.105</v>
      </c>
      <c r="L138" s="643"/>
      <c r="O138" s="1133"/>
      <c r="P138" s="1104"/>
      <c r="S138" s="1102"/>
      <c r="T138" s="1102"/>
      <c r="U138" s="1102"/>
    </row>
    <row r="139" spans="1:24" ht="15.6" hidden="1" customHeight="1" x14ac:dyDescent="0.25">
      <c r="A139" s="1174"/>
      <c r="B139" s="1012">
        <v>40865</v>
      </c>
      <c r="C139" s="1013">
        <v>0.09</v>
      </c>
      <c r="D139" s="1008"/>
      <c r="E139" s="1013">
        <v>0.01</v>
      </c>
      <c r="F139" s="1004"/>
      <c r="G139" s="1014">
        <f>C139+E139</f>
        <v>9.9999999999999992E-2</v>
      </c>
      <c r="H139" s="1004"/>
      <c r="I139" s="1014">
        <v>0</v>
      </c>
      <c r="J139" s="1004"/>
      <c r="K139" s="1015">
        <f>G139+I139</f>
        <v>9.9999999999999992E-2</v>
      </c>
      <c r="L139" s="643"/>
      <c r="O139" s="1133"/>
      <c r="P139" s="1104"/>
      <c r="S139" s="1102"/>
      <c r="T139" s="1102"/>
      <c r="U139" s="1102"/>
    </row>
    <row r="140" spans="1:24" ht="15.6" hidden="1" customHeight="1" thickBot="1" x14ac:dyDescent="0.3">
      <c r="A140" s="1174"/>
      <c r="B140" s="1016" t="str">
        <f>"Average for the Year "&amp;Parameters!C25</f>
        <v>Average for the Year 2011/12</v>
      </c>
      <c r="C140" s="1017"/>
      <c r="D140" s="1008"/>
      <c r="E140" s="1018"/>
      <c r="F140" s="1004"/>
      <c r="G140" s="1018"/>
      <c r="H140" s="1004"/>
      <c r="I140" s="1018"/>
      <c r="J140" s="1004"/>
      <c r="K140" s="1019">
        <f>K139</f>
        <v>9.9999999999999992E-2</v>
      </c>
      <c r="L140" s="643"/>
      <c r="O140" s="1133"/>
      <c r="P140" s="1104"/>
      <c r="S140" s="1102"/>
      <c r="T140" s="1102"/>
      <c r="U140" s="1102"/>
    </row>
    <row r="141" spans="1:24" ht="15.6" hidden="1" customHeight="1" x14ac:dyDescent="0.25">
      <c r="A141" s="1174"/>
      <c r="B141" s="1020"/>
      <c r="C141" s="1021"/>
      <c r="D141" s="1008"/>
      <c r="E141" s="2845">
        <f>Parameters!C17</f>
        <v>2012</v>
      </c>
      <c r="F141" s="2846"/>
      <c r="G141" s="2847"/>
      <c r="H141" s="1004"/>
      <c r="I141" s="2845">
        <f>Parameters!C19</f>
        <v>2011</v>
      </c>
      <c r="J141" s="2846"/>
      <c r="K141" s="2847"/>
      <c r="L141" s="643"/>
      <c r="O141" s="1133"/>
      <c r="P141" s="1104"/>
      <c r="S141" s="1102"/>
      <c r="T141" s="1102"/>
      <c r="U141" s="1102"/>
    </row>
    <row r="142" spans="1:24" ht="15.6" hidden="1" customHeight="1" thickBot="1" x14ac:dyDescent="0.3">
      <c r="A142" s="1174"/>
      <c r="B142" s="1022"/>
      <c r="C142" s="1023"/>
      <c r="D142" s="1008"/>
      <c r="E142" s="1024" t="s">
        <v>2677</v>
      </c>
      <c r="F142" s="1025"/>
      <c r="G142" s="1024" t="s">
        <v>2678</v>
      </c>
      <c r="H142" s="1004"/>
      <c r="I142" s="1024" t="s">
        <v>2677</v>
      </c>
      <c r="J142" s="1025"/>
      <c r="K142" s="1024" t="s">
        <v>2678</v>
      </c>
      <c r="L142" s="643"/>
      <c r="O142" s="1133"/>
      <c r="P142" s="1104"/>
      <c r="S142" s="1102"/>
      <c r="T142" s="1102"/>
      <c r="U142" s="1102"/>
    </row>
    <row r="143" spans="1:24" ht="15.6" hidden="1" customHeight="1" x14ac:dyDescent="0.25">
      <c r="A143" s="1174"/>
      <c r="B143" s="1009">
        <f>B133</f>
        <v>40262</v>
      </c>
      <c r="C143" s="1010"/>
      <c r="D143" s="1008"/>
      <c r="E143" s="1026"/>
      <c r="F143" s="1004"/>
      <c r="G143" s="1011"/>
      <c r="H143" s="1004"/>
      <c r="I143" s="1027">
        <f>$B144-DATE(2010,6,30)</f>
        <v>71</v>
      </c>
      <c r="J143" s="1004"/>
      <c r="K143" s="1011">
        <f>K133*I143/365</f>
        <v>2.1397260273972603E-2</v>
      </c>
      <c r="L143" s="643"/>
      <c r="M143" s="1028" t="s">
        <v>2679</v>
      </c>
      <c r="O143" s="1133"/>
      <c r="P143" s="1104"/>
      <c r="S143" s="1102"/>
      <c r="T143" s="1102"/>
      <c r="U143" s="1102"/>
    </row>
    <row r="144" spans="1:24" ht="15.6" hidden="1" customHeight="1" x14ac:dyDescent="0.25">
      <c r="A144" s="1174"/>
      <c r="B144" s="1012">
        <f>B134</f>
        <v>40430</v>
      </c>
      <c r="C144" s="1013"/>
      <c r="D144" s="1008"/>
      <c r="E144" s="1029"/>
      <c r="F144" s="1004"/>
      <c r="G144" s="1014"/>
      <c r="H144" s="1004"/>
      <c r="I144" s="1029">
        <f>$B145-$B144</f>
        <v>70</v>
      </c>
      <c r="J144" s="1004"/>
      <c r="K144" s="1014">
        <f>K134*I144/365</f>
        <v>2.0136986301369862E-2</v>
      </c>
      <c r="L144" s="643"/>
      <c r="M144" s="1028" t="s">
        <v>2679</v>
      </c>
      <c r="O144" s="1133"/>
      <c r="P144" s="1104"/>
      <c r="S144" s="1102"/>
      <c r="T144" s="1102"/>
      <c r="U144" s="1102"/>
    </row>
    <row r="145" spans="1:24" ht="15.6" hidden="1" customHeight="1" x14ac:dyDescent="0.25">
      <c r="A145" s="1174"/>
      <c r="B145" s="1012">
        <f>B135</f>
        <v>40500</v>
      </c>
      <c r="C145" s="1013"/>
      <c r="D145" s="1008"/>
      <c r="E145" s="1029"/>
      <c r="F145" s="1004"/>
      <c r="G145" s="1014"/>
      <c r="H145" s="1004"/>
      <c r="I145" s="1029">
        <f>DATE(2011,6,30)-$B145</f>
        <v>224</v>
      </c>
      <c r="J145" s="1004"/>
      <c r="K145" s="1014">
        <f>K135*I145/365</f>
        <v>6.1369863013698629E-2</v>
      </c>
      <c r="L145" s="643"/>
      <c r="M145" s="1028" t="s">
        <v>2679</v>
      </c>
      <c r="O145" s="1133"/>
      <c r="P145" s="1104"/>
      <c r="S145" s="1102"/>
      <c r="T145" s="1102"/>
      <c r="U145" s="1102"/>
    </row>
    <row r="146" spans="1:24" ht="15.6" hidden="1" customHeight="1" x14ac:dyDescent="0.25">
      <c r="A146" s="1174"/>
      <c r="B146" s="1012">
        <f>B137</f>
        <v>40501</v>
      </c>
      <c r="C146" s="1013"/>
      <c r="D146" s="1008"/>
      <c r="E146" s="1029">
        <f>$B147-DATE(2011,6,30)</f>
        <v>71</v>
      </c>
      <c r="F146" s="1004"/>
      <c r="G146" s="1014">
        <f>K137*E146/365</f>
        <v>1.9452054794520546E-2</v>
      </c>
      <c r="H146" s="1004"/>
      <c r="I146" s="1029"/>
      <c r="J146" s="1004"/>
      <c r="K146" s="1014"/>
      <c r="L146" s="643"/>
      <c r="M146" s="1028" t="s">
        <v>2679</v>
      </c>
      <c r="O146" s="1133"/>
      <c r="P146" s="1104"/>
      <c r="S146" s="1102"/>
      <c r="T146" s="1102"/>
      <c r="U146" s="1102"/>
    </row>
    <row r="147" spans="1:24" ht="15.6" hidden="1" customHeight="1" x14ac:dyDescent="0.25">
      <c r="A147" s="1174"/>
      <c r="B147" s="1012">
        <f>B138</f>
        <v>40795</v>
      </c>
      <c r="C147" s="1013"/>
      <c r="D147" s="1008"/>
      <c r="E147" s="1029">
        <f>$B148-$B147</f>
        <v>70</v>
      </c>
      <c r="F147" s="1004"/>
      <c r="G147" s="1014">
        <f>K138*E147/365</f>
        <v>2.0136986301369862E-2</v>
      </c>
      <c r="H147" s="1004"/>
      <c r="I147" s="1029"/>
      <c r="J147" s="1004"/>
      <c r="K147" s="1014"/>
      <c r="L147" s="643"/>
      <c r="M147" s="1028" t="s">
        <v>2679</v>
      </c>
      <c r="O147" s="1133"/>
      <c r="P147" s="1104"/>
      <c r="S147" s="1102"/>
      <c r="T147" s="1102"/>
      <c r="U147" s="1102"/>
    </row>
    <row r="148" spans="1:24" ht="15.6" hidden="1" customHeight="1" x14ac:dyDescent="0.25">
      <c r="A148" s="1174"/>
      <c r="B148" s="1012">
        <f>B139</f>
        <v>40865</v>
      </c>
      <c r="C148" s="1013"/>
      <c r="D148" s="1008"/>
      <c r="E148" s="1029">
        <f>DATE(2012,6,30)-$B148</f>
        <v>225</v>
      </c>
      <c r="F148" s="1004"/>
      <c r="G148" s="1014">
        <f>K139*E148/365</f>
        <v>6.1643835616438346E-2</v>
      </c>
      <c r="H148" s="1004"/>
      <c r="I148" s="1029"/>
      <c r="J148" s="1004"/>
      <c r="K148" s="1014"/>
      <c r="L148" s="643"/>
      <c r="M148" s="1028" t="s">
        <v>2679</v>
      </c>
      <c r="O148" s="1133"/>
      <c r="P148" s="1103"/>
      <c r="S148" s="1102"/>
      <c r="T148" s="1102"/>
      <c r="U148" s="1102"/>
    </row>
    <row r="149" spans="1:24" ht="15.6" hidden="1" customHeight="1" thickBot="1" x14ac:dyDescent="0.3">
      <c r="A149" s="1174"/>
      <c r="B149" s="1030"/>
      <c r="C149" s="1030"/>
      <c r="D149" s="1008"/>
      <c r="E149" s="1031">
        <f>SUM(E143:E148)</f>
        <v>366</v>
      </c>
      <c r="F149" s="1004"/>
      <c r="G149" s="1032">
        <f>SUM(G143:G148)</f>
        <v>0.10123287671232875</v>
      </c>
      <c r="H149" s="1004"/>
      <c r="I149" s="1031">
        <f>SUM(I143:I148)</f>
        <v>365</v>
      </c>
      <c r="J149" s="1004"/>
      <c r="K149" s="1032">
        <f>SUM(K143:K148)</f>
        <v>0.10290410958904109</v>
      </c>
      <c r="L149" s="643"/>
      <c r="O149" s="1133"/>
      <c r="P149" s="1104"/>
      <c r="S149" s="1102"/>
      <c r="T149" s="1102"/>
      <c r="U149" s="1102"/>
    </row>
    <row r="150" spans="1:24" ht="15.6" hidden="1" customHeight="1" thickBot="1" x14ac:dyDescent="0.3">
      <c r="A150" s="1174"/>
      <c r="B150" s="1002" t="s">
        <v>2680</v>
      </c>
      <c r="C150" s="1003"/>
      <c r="D150" s="1004"/>
      <c r="E150" s="1003"/>
      <c r="F150" s="1004"/>
      <c r="G150" s="1003"/>
      <c r="H150" s="1004"/>
      <c r="I150" s="1003"/>
      <c r="J150" s="1004"/>
      <c r="K150" s="1005"/>
      <c r="L150" s="643"/>
      <c r="O150" s="1133"/>
      <c r="T150" s="1102"/>
      <c r="U150" s="1102"/>
    </row>
    <row r="151" spans="1:24" ht="15.6" hidden="1" customHeight="1" thickBot="1" x14ac:dyDescent="0.25">
      <c r="A151" s="1174"/>
      <c r="B151" s="1033" t="s">
        <v>2681</v>
      </c>
      <c r="C151" s="1034"/>
      <c r="D151" s="1008"/>
      <c r="E151" s="1006"/>
      <c r="F151" s="1004"/>
      <c r="G151" s="1006"/>
      <c r="H151" s="1004"/>
      <c r="I151" s="1006"/>
      <c r="J151" s="1004"/>
      <c r="K151" s="1006"/>
      <c r="L151" s="643"/>
      <c r="O151" s="1133"/>
      <c r="T151" s="1102"/>
      <c r="U151" s="1102"/>
      <c r="V151" s="230"/>
      <c r="W151" s="1114"/>
      <c r="X151" s="230"/>
    </row>
    <row r="152" spans="1:24" ht="15.6" hidden="1" customHeight="1" x14ac:dyDescent="0.2">
      <c r="A152" s="1174"/>
      <c r="B152" s="1035" t="s">
        <v>229</v>
      </c>
      <c r="C152" s="1036"/>
      <c r="D152" s="1008"/>
      <c r="E152" s="1037"/>
      <c r="F152" s="1004"/>
      <c r="G152" s="1038" t="s">
        <v>340</v>
      </c>
      <c r="H152" s="1004"/>
      <c r="I152" s="1039">
        <f>IF(G152="Yes",'Notes I'!G101,0)</f>
        <v>779989.90999999992</v>
      </c>
      <c r="J152" s="1040"/>
      <c r="K152" s="1039">
        <f>IF(G152="Yes",'Notes I'!G118,0)</f>
        <v>540134.42000000004</v>
      </c>
      <c r="L152" s="643"/>
      <c r="O152" s="1133"/>
      <c r="T152" s="1102"/>
      <c r="U152" s="1102"/>
      <c r="V152" s="230"/>
      <c r="W152" s="1114"/>
      <c r="X152" s="230"/>
    </row>
    <row r="153" spans="1:24" ht="15.6" hidden="1" customHeight="1" x14ac:dyDescent="0.25">
      <c r="A153" s="1174"/>
      <c r="B153" s="1035" t="s">
        <v>166</v>
      </c>
      <c r="C153" s="1036"/>
      <c r="D153" s="1008"/>
      <c r="E153" s="1037"/>
      <c r="F153" s="1004"/>
      <c r="G153" s="1038" t="s">
        <v>340</v>
      </c>
      <c r="H153" s="1004"/>
      <c r="I153" s="1039">
        <f>IF(G153="Yes",'Notes I'!G102,0)</f>
        <v>10694214</v>
      </c>
      <c r="J153" s="1040"/>
      <c r="K153" s="1039">
        <f>IF(G153="Yes",'Notes I'!G119,0)</f>
        <v>6526921</v>
      </c>
      <c r="L153" s="643"/>
      <c r="O153" s="1133"/>
      <c r="P153" s="1104"/>
      <c r="S153" s="1102"/>
      <c r="T153" s="1102"/>
      <c r="U153" s="1102"/>
    </row>
    <row r="154" spans="1:24" ht="15.6" hidden="1" customHeight="1" x14ac:dyDescent="0.25">
      <c r="A154" s="1174"/>
      <c r="B154" s="1035" t="s">
        <v>500</v>
      </c>
      <c r="C154" s="1036"/>
      <c r="D154" s="1008"/>
      <c r="E154" s="1037"/>
      <c r="F154" s="1004"/>
      <c r="G154" s="1038" t="s">
        <v>340</v>
      </c>
      <c r="H154" s="1004"/>
      <c r="I154" s="1039">
        <f>IF(G154="Yes",'Notes I'!G103,0)</f>
        <v>13902941</v>
      </c>
      <c r="J154" s="1040"/>
      <c r="K154" s="1039">
        <f>IF(G154="Yes",'Notes I'!G120,0)</f>
        <v>8350623</v>
      </c>
      <c r="L154" s="643"/>
      <c r="O154" s="1133"/>
      <c r="T154" s="1102"/>
      <c r="U154" s="1102"/>
    </row>
    <row r="155" spans="1:24" ht="15.6" hidden="1" customHeight="1" x14ac:dyDescent="0.25">
      <c r="A155" s="1174"/>
      <c r="B155" s="1035" t="s">
        <v>236</v>
      </c>
      <c r="C155" s="1036"/>
      <c r="D155" s="1008"/>
      <c r="E155" s="1037"/>
      <c r="F155" s="1004"/>
      <c r="G155" s="1038" t="s">
        <v>340</v>
      </c>
      <c r="H155" s="1004"/>
      <c r="I155" s="1039">
        <f>IF(G155="Yes",'Notes I'!G104,0)</f>
        <v>23609317.539999999</v>
      </c>
      <c r="J155" s="1040"/>
      <c r="K155" s="1039">
        <f>IF(G155="Yes",'Notes I'!G121,0)</f>
        <v>15301840.999999998</v>
      </c>
      <c r="L155" s="643"/>
      <c r="O155" s="1133"/>
      <c r="P155" s="1104"/>
      <c r="S155" s="1102"/>
      <c r="T155" s="1102"/>
      <c r="U155" s="1102"/>
    </row>
    <row r="156" spans="1:24" ht="15.6" hidden="1" customHeight="1" x14ac:dyDescent="0.25">
      <c r="A156" s="1174"/>
      <c r="B156" s="1035" t="s">
        <v>402</v>
      </c>
      <c r="C156" s="1036"/>
      <c r="D156" s="1008"/>
      <c r="E156" s="1037"/>
      <c r="F156" s="1004"/>
      <c r="G156" s="1038" t="s">
        <v>340</v>
      </c>
      <c r="H156" s="1004"/>
      <c r="I156" s="1039">
        <f>IF(G156="Yes",'Notes I'!G105,0)</f>
        <v>18555120</v>
      </c>
      <c r="J156" s="1040"/>
      <c r="K156" s="1039">
        <f>IF(G156="Yes",'Notes I'!G122,0)</f>
        <v>17470451.73</v>
      </c>
      <c r="L156" s="643"/>
      <c r="O156" s="1133"/>
      <c r="P156" s="1104"/>
      <c r="S156" s="1102"/>
      <c r="T156" s="1102"/>
      <c r="U156" s="1102"/>
    </row>
    <row r="157" spans="1:24" s="230" customFormat="1" ht="15.6" hidden="1" customHeight="1" thickBot="1" x14ac:dyDescent="0.3">
      <c r="A157" s="1175"/>
      <c r="B157" s="1041" t="s">
        <v>2682</v>
      </c>
      <c r="C157" s="1042"/>
      <c r="D157" s="1004"/>
      <c r="E157" s="1043"/>
      <c r="F157" s="1004"/>
      <c r="G157" s="1044"/>
      <c r="H157" s="1045">
        <v>-234</v>
      </c>
      <c r="I157" s="1046">
        <f>SUM(I152:I156)</f>
        <v>67541582.450000003</v>
      </c>
      <c r="J157" s="1047"/>
      <c r="K157" s="1046">
        <f>SUM(K152:K156)</f>
        <v>48189971.149999999</v>
      </c>
      <c r="L157" s="648"/>
      <c r="M157" s="1133"/>
      <c r="N157" s="1147"/>
      <c r="O157" s="1133"/>
      <c r="P157" s="1104"/>
      <c r="Q157" s="1098"/>
      <c r="R157" s="1098"/>
      <c r="S157" s="1102"/>
      <c r="T157" s="1102"/>
      <c r="U157" s="1102"/>
      <c r="V157" s="48"/>
      <c r="W157" s="1128"/>
      <c r="X157" s="48"/>
    </row>
    <row r="158" spans="1:24" s="230" customFormat="1" ht="15.6" hidden="1" customHeight="1" thickBot="1" x14ac:dyDescent="0.3">
      <c r="A158" s="1175"/>
      <c r="B158" s="1048"/>
      <c r="C158" s="1048"/>
      <c r="D158" s="1004"/>
      <c r="E158" s="1048"/>
      <c r="F158" s="1004"/>
      <c r="G158" s="1004"/>
      <c r="H158" s="1004"/>
      <c r="I158" s="1005"/>
      <c r="J158" s="1049"/>
      <c r="K158" s="1005"/>
      <c r="L158" s="648"/>
      <c r="M158" s="1133"/>
      <c r="N158" s="1147"/>
      <c r="O158" s="1133"/>
      <c r="P158" s="1104"/>
      <c r="Q158" s="1098"/>
      <c r="R158" s="1098"/>
      <c r="S158" s="1102"/>
      <c r="T158" s="1102"/>
      <c r="U158" s="1102"/>
      <c r="V158" s="48"/>
      <c r="W158" s="1128"/>
      <c r="X158" s="48"/>
    </row>
    <row r="159" spans="1:24" ht="15.6" hidden="1" customHeight="1" thickBot="1" x14ac:dyDescent="0.3">
      <c r="A159" s="1174"/>
      <c r="B159" s="1033" t="s">
        <v>2699</v>
      </c>
      <c r="C159" s="1034"/>
      <c r="D159" s="1008"/>
      <c r="E159" s="1006"/>
      <c r="F159" s="1004"/>
      <c r="G159" s="1006"/>
      <c r="H159" s="1004"/>
      <c r="I159" s="1006"/>
      <c r="J159" s="1004"/>
      <c r="K159" s="1006"/>
      <c r="L159" s="643"/>
      <c r="O159" s="1133"/>
      <c r="T159" s="1102"/>
      <c r="U159" s="1102"/>
    </row>
    <row r="160" spans="1:24" ht="15.6" hidden="1" customHeight="1" x14ac:dyDescent="0.25">
      <c r="A160" s="1174"/>
      <c r="B160" s="1035" t="s">
        <v>404</v>
      </c>
      <c r="C160" s="1036"/>
      <c r="D160" s="1008"/>
      <c r="E160" s="1037"/>
      <c r="F160" s="1004"/>
      <c r="G160" s="1038" t="s">
        <v>2684</v>
      </c>
      <c r="H160" s="1004"/>
      <c r="I160" s="1039">
        <f>IF(G160="Yes",'Fin Perform'!$I$9,0)</f>
        <v>0</v>
      </c>
      <c r="J160" s="1040"/>
      <c r="K160" s="1039">
        <f>IF(G160="Yes",'Fin Perform'!$K$9,0)</f>
        <v>0</v>
      </c>
      <c r="L160" s="643"/>
      <c r="O160" s="1133"/>
      <c r="P160" s="1104"/>
      <c r="S160" s="1102"/>
      <c r="T160" s="1102"/>
      <c r="U160" s="1102"/>
    </row>
    <row r="161" spans="1:24" ht="15.6" hidden="1" customHeight="1" x14ac:dyDescent="0.25">
      <c r="A161" s="1174"/>
      <c r="B161" s="1035" t="s">
        <v>408</v>
      </c>
      <c r="C161" s="1036"/>
      <c r="D161" s="1008"/>
      <c r="E161" s="1037"/>
      <c r="F161" s="1004"/>
      <c r="G161" s="1038" t="s">
        <v>2684</v>
      </c>
      <c r="H161" s="1004"/>
      <c r="I161" s="1039">
        <f>IF(G161="Yes",'Fin Perform'!$I$10,0)</f>
        <v>0</v>
      </c>
      <c r="J161" s="1040"/>
      <c r="K161" s="1039">
        <f>IF(G161="Yes",'Fin Perform'!$K$10,0)</f>
        <v>0</v>
      </c>
      <c r="L161" s="643"/>
      <c r="O161" s="1133"/>
      <c r="P161" s="1104"/>
      <c r="S161" s="1102"/>
      <c r="T161" s="1102"/>
      <c r="U161" s="1102"/>
    </row>
    <row r="162" spans="1:24" ht="15.6" hidden="1" customHeight="1" x14ac:dyDescent="0.25">
      <c r="A162" s="1174"/>
      <c r="B162" s="1035" t="s">
        <v>248</v>
      </c>
      <c r="C162" s="1036"/>
      <c r="D162" s="1008"/>
      <c r="E162" s="1037"/>
      <c r="F162" s="1004"/>
      <c r="G162" s="1038" t="s">
        <v>2684</v>
      </c>
      <c r="H162" s="1004"/>
      <c r="I162" s="1039">
        <f>IF(G162="Yes",'Fin Perform'!$I$11,0)</f>
        <v>0</v>
      </c>
      <c r="J162" s="1040"/>
      <c r="K162" s="1039">
        <f>IF(G162="Yes",'Fin Perform'!$K$11,0)</f>
        <v>0</v>
      </c>
      <c r="L162" s="643"/>
      <c r="O162" s="1133"/>
      <c r="P162" s="1104"/>
      <c r="S162" s="1102"/>
      <c r="T162" s="1102"/>
      <c r="U162" s="1102"/>
    </row>
    <row r="163" spans="1:24" ht="15.6" hidden="1" customHeight="1" x14ac:dyDescent="0.25">
      <c r="A163" s="1174"/>
      <c r="B163" s="1035" t="s">
        <v>411</v>
      </c>
      <c r="C163" s="1036"/>
      <c r="D163" s="1008"/>
      <c r="E163" s="1037"/>
      <c r="F163" s="1004"/>
      <c r="G163" s="1038" t="s">
        <v>2684</v>
      </c>
      <c r="H163" s="1004"/>
      <c r="I163" s="1039">
        <f>IF(G163="Yes",'Fin Perform'!$I$13,0)</f>
        <v>0</v>
      </c>
      <c r="J163" s="1040"/>
      <c r="K163" s="1039">
        <f>IF(G163="Yes",'Fin Perform'!$K$13,0)</f>
        <v>0</v>
      </c>
      <c r="L163" s="643"/>
      <c r="O163" s="1133"/>
      <c r="P163" s="1104"/>
      <c r="S163" s="1102"/>
      <c r="T163" s="1102"/>
      <c r="U163" s="1102"/>
    </row>
    <row r="164" spans="1:24" ht="15.6" hidden="1" customHeight="1" x14ac:dyDescent="0.25">
      <c r="A164" s="1174"/>
      <c r="B164" s="1035" t="s">
        <v>412</v>
      </c>
      <c r="C164" s="1036"/>
      <c r="D164" s="1008"/>
      <c r="E164" s="1037"/>
      <c r="F164" s="1004"/>
      <c r="G164" s="1038" t="s">
        <v>2684</v>
      </c>
      <c r="H164" s="1004"/>
      <c r="I164" s="1039">
        <f>IF(G164="Yes",'Fin Perform'!$I$14,0)</f>
        <v>0</v>
      </c>
      <c r="J164" s="1040"/>
      <c r="K164" s="1039">
        <f>IF(G164="Yes",'Fin Perform'!$K$14,0)</f>
        <v>0</v>
      </c>
      <c r="L164" s="643"/>
      <c r="O164" s="1133"/>
      <c r="P164" s="1104"/>
      <c r="S164" s="1102"/>
      <c r="T164" s="1102"/>
      <c r="U164" s="1102"/>
    </row>
    <row r="165" spans="1:24" ht="15.6" hidden="1" customHeight="1" x14ac:dyDescent="0.25">
      <c r="A165" s="1174"/>
      <c r="B165" s="1035" t="s">
        <v>787</v>
      </c>
      <c r="C165" s="1036"/>
      <c r="D165" s="1008"/>
      <c r="E165" s="1037"/>
      <c r="F165" s="1004"/>
      <c r="G165" s="1038" t="s">
        <v>2684</v>
      </c>
      <c r="H165" s="1004"/>
      <c r="I165" s="1039">
        <f>IF(G165="Yes",'Fin Perform'!$I$15,0)</f>
        <v>0</v>
      </c>
      <c r="J165" s="1040"/>
      <c r="K165" s="1039">
        <f>IF(G165="Yes",'Fin Perform'!$K$15,0)</f>
        <v>0</v>
      </c>
      <c r="L165" s="643"/>
      <c r="O165" s="1133"/>
      <c r="T165" s="1102"/>
      <c r="U165" s="1102"/>
    </row>
    <row r="166" spans="1:24" ht="15.6" hidden="1" customHeight="1" x14ac:dyDescent="0.25">
      <c r="A166" s="1174"/>
      <c r="B166" s="1035" t="s">
        <v>445</v>
      </c>
      <c r="C166" s="1036"/>
      <c r="D166" s="1008"/>
      <c r="E166" s="1037"/>
      <c r="F166" s="1004"/>
      <c r="G166" s="1038" t="s">
        <v>2684</v>
      </c>
      <c r="H166" s="1004"/>
      <c r="I166" s="1039">
        <f>IF(G166="Yes",'Fin Perform'!$I$16,0)</f>
        <v>0</v>
      </c>
      <c r="J166" s="1040"/>
      <c r="K166" s="1039">
        <f>IF(G166="Yes",'Fin Perform'!$K$16,0)</f>
        <v>0</v>
      </c>
      <c r="L166" s="643"/>
      <c r="O166" s="1133"/>
      <c r="P166" s="1104"/>
      <c r="S166" s="1102"/>
      <c r="T166" s="1102"/>
      <c r="U166" s="1102"/>
    </row>
    <row r="167" spans="1:24" ht="15.6" hidden="1" customHeight="1" x14ac:dyDescent="0.25">
      <c r="A167" s="1174"/>
      <c r="B167" s="1035" t="s">
        <v>405</v>
      </c>
      <c r="C167" s="1036"/>
      <c r="D167" s="1008"/>
      <c r="E167" s="1037"/>
      <c r="F167" s="1004"/>
      <c r="G167" s="1038" t="s">
        <v>340</v>
      </c>
      <c r="H167" s="1004"/>
      <c r="I167" s="1039">
        <f>IF(G167="Yes",'Fin Perform'!$I$18,0)</f>
        <v>35847242.30999998</v>
      </c>
      <c r="J167" s="1040"/>
      <c r="K167" s="1039">
        <f>IF(G167="Yes",'Fin Perform'!$K$18,0)</f>
        <v>28275179.93</v>
      </c>
      <c r="L167" s="643"/>
      <c r="O167" s="1133"/>
      <c r="P167" s="1104"/>
      <c r="S167" s="1102"/>
      <c r="T167" s="1102"/>
      <c r="U167" s="1102"/>
    </row>
    <row r="168" spans="1:24" ht="15.6" hidden="1" customHeight="1" x14ac:dyDescent="0.25">
      <c r="A168" s="1174"/>
      <c r="B168" s="1035" t="s">
        <v>406</v>
      </c>
      <c r="C168" s="1036"/>
      <c r="D168" s="1008"/>
      <c r="E168" s="1037"/>
      <c r="F168" s="1004"/>
      <c r="G168" s="1038" t="s">
        <v>340</v>
      </c>
      <c r="H168" s="1004"/>
      <c r="I168" s="1039">
        <f>IF(G168="Yes",'Fin Perform'!$I$19,0)</f>
        <v>663135.83000000007</v>
      </c>
      <c r="J168" s="1040"/>
      <c r="K168" s="1039">
        <f>IF(G168="Yes",'Fin Perform'!$K$19,0)</f>
        <v>656777.32000000007</v>
      </c>
      <c r="L168" s="643"/>
      <c r="O168" s="1133"/>
      <c r="P168" s="1104"/>
      <c r="S168" s="1102"/>
      <c r="T168" s="1102"/>
      <c r="U168" s="1102"/>
    </row>
    <row r="169" spans="1:24" ht="15.6" hidden="1" customHeight="1" x14ac:dyDescent="0.25">
      <c r="A169" s="1174"/>
      <c r="B169" s="1035" t="s">
        <v>443</v>
      </c>
      <c r="C169" s="1036"/>
      <c r="D169" s="1008"/>
      <c r="E169" s="1037"/>
      <c r="F169" s="1004"/>
      <c r="G169" s="1038" t="s">
        <v>2684</v>
      </c>
      <c r="H169" s="1004"/>
      <c r="I169" s="1039">
        <f>IF(G169="Yes",'Fin Perform'!$I$20,0)</f>
        <v>0</v>
      </c>
      <c r="J169" s="1040"/>
      <c r="K169" s="1039">
        <f>IF(G169="Yes",'Fin Perform'!$K$20,0)</f>
        <v>0</v>
      </c>
      <c r="L169" s="643"/>
      <c r="O169" s="1133"/>
      <c r="P169" s="1104"/>
      <c r="S169" s="1102"/>
      <c r="T169" s="1102"/>
      <c r="U169" s="1102"/>
    </row>
    <row r="170" spans="1:24" ht="15.6" hidden="1" customHeight="1" x14ac:dyDescent="0.2">
      <c r="A170" s="1174"/>
      <c r="B170" s="1035" t="s">
        <v>444</v>
      </c>
      <c r="C170" s="1036"/>
      <c r="D170" s="1008"/>
      <c r="E170" s="1037"/>
      <c r="F170" s="1004"/>
      <c r="G170" s="1038" t="s">
        <v>340</v>
      </c>
      <c r="H170" s="1004"/>
      <c r="I170" s="1039">
        <f>IF(G170="Yes",'Fin Perform'!$I$21,0)</f>
        <v>273209.25</v>
      </c>
      <c r="J170" s="1040"/>
      <c r="K170" s="1039">
        <f>IF(G170="Yes",'Fin Perform'!$K$21,0)</f>
        <v>226492.75</v>
      </c>
      <c r="L170" s="643"/>
      <c r="O170" s="1133"/>
      <c r="P170" s="1104"/>
      <c r="S170" s="1102"/>
      <c r="T170" s="1102"/>
      <c r="U170" s="1102"/>
      <c r="V170" s="230"/>
      <c r="W170" s="1114"/>
      <c r="X170" s="230"/>
    </row>
    <row r="171" spans="1:24" ht="15.6" hidden="1" customHeight="1" x14ac:dyDescent="0.2">
      <c r="A171" s="1174"/>
      <c r="B171" s="1035" t="s">
        <v>410</v>
      </c>
      <c r="C171" s="1036"/>
      <c r="D171" s="1008"/>
      <c r="E171" s="1037"/>
      <c r="F171" s="1004"/>
      <c r="G171" s="1038" t="s">
        <v>2684</v>
      </c>
      <c r="H171" s="1004"/>
      <c r="I171" s="1039">
        <f>IF(G171="Yes",'Fin Perform'!$I$22,0)</f>
        <v>0</v>
      </c>
      <c r="J171" s="1040"/>
      <c r="K171" s="1039">
        <f>IF(G171="Yes",'Fin Perform'!$K$22,0)</f>
        <v>0</v>
      </c>
      <c r="L171" s="643"/>
      <c r="O171" s="1133"/>
      <c r="T171" s="1102"/>
      <c r="U171" s="1102"/>
      <c r="V171" s="230"/>
      <c r="W171" s="1114"/>
      <c r="X171" s="230"/>
    </row>
    <row r="172" spans="1:24" ht="15.6" hidden="1" customHeight="1" x14ac:dyDescent="0.25">
      <c r="A172" s="1174"/>
      <c r="B172" s="1035" t="s">
        <v>786</v>
      </c>
      <c r="C172" s="1036"/>
      <c r="D172" s="1008"/>
      <c r="E172" s="1037"/>
      <c r="F172" s="1004"/>
      <c r="G172" s="1038" t="s">
        <v>2684</v>
      </c>
      <c r="H172" s="1004"/>
      <c r="I172" s="1039">
        <f>IF(G172="Yes",'Fin Perform'!$I$12,0)</f>
        <v>0</v>
      </c>
      <c r="J172" s="1040"/>
      <c r="K172" s="1039">
        <f>IF(G172="Yes",'Fin Perform'!$K$12,0)</f>
        <v>0</v>
      </c>
      <c r="L172" s="643"/>
      <c r="O172" s="1133"/>
      <c r="P172" s="1104"/>
      <c r="S172" s="1102"/>
      <c r="T172" s="1102"/>
      <c r="U172" s="1102"/>
    </row>
    <row r="173" spans="1:24" ht="15.6" hidden="1" customHeight="1" x14ac:dyDescent="0.25">
      <c r="A173" s="1174"/>
      <c r="B173" s="1035" t="s">
        <v>414</v>
      </c>
      <c r="C173" s="1036"/>
      <c r="D173" s="1008"/>
      <c r="E173" s="1037"/>
      <c r="F173" s="1004"/>
      <c r="G173" s="1038" t="s">
        <v>2684</v>
      </c>
      <c r="H173" s="1004"/>
      <c r="I173" s="1039">
        <f>IF(G173="Yes",'Fin Perform'!$I$23,0)</f>
        <v>0</v>
      </c>
      <c r="J173" s="1040"/>
      <c r="K173" s="1039">
        <f>IF(G173="Yes",'Fin Perform'!$K$23,0)</f>
        <v>0</v>
      </c>
      <c r="L173" s="643"/>
      <c r="O173" s="1133"/>
      <c r="P173" s="1104"/>
      <c r="S173" s="1102"/>
      <c r="T173" s="1102"/>
      <c r="U173" s="1102"/>
    </row>
    <row r="174" spans="1:24" ht="15.6" hidden="1" customHeight="1" x14ac:dyDescent="0.25">
      <c r="A174" s="1174"/>
      <c r="B174" s="1035" t="s">
        <v>788</v>
      </c>
      <c r="C174" s="1036"/>
      <c r="D174" s="1008"/>
      <c r="E174" s="1037"/>
      <c r="F174" s="1004"/>
      <c r="G174" s="1038" t="s">
        <v>2684</v>
      </c>
      <c r="H174" s="1004"/>
      <c r="I174" s="1039">
        <f>IF(G174="Yes",'Fin Perform'!$I$24,0)</f>
        <v>0</v>
      </c>
      <c r="J174" s="1040"/>
      <c r="K174" s="1039">
        <f>IF(G174="Yes",'Fin Perform'!$K$24,0)</f>
        <v>0</v>
      </c>
      <c r="L174" s="643"/>
      <c r="O174" s="1133"/>
      <c r="P174" s="1104"/>
      <c r="S174" s="1102"/>
      <c r="T174" s="1102"/>
      <c r="U174" s="1102"/>
    </row>
    <row r="175" spans="1:24" ht="15.6" hidden="1" customHeight="1" x14ac:dyDescent="0.25">
      <c r="A175" s="1174"/>
      <c r="B175" s="1035" t="s">
        <v>415</v>
      </c>
      <c r="C175" s="1036"/>
      <c r="D175" s="1008"/>
      <c r="E175" s="1037"/>
      <c r="F175" s="1004"/>
      <c r="G175" s="1038" t="s">
        <v>2684</v>
      </c>
      <c r="H175" s="1004"/>
      <c r="I175" s="1039">
        <f>IF(G175="Yes",'Fin Perform'!$I$25,0)</f>
        <v>0</v>
      </c>
      <c r="J175" s="1040"/>
      <c r="K175" s="1039">
        <f>IF(G175="Yes",'Fin Perform'!$K$25,0)</f>
        <v>0</v>
      </c>
      <c r="L175" s="643"/>
      <c r="O175" s="1133"/>
      <c r="P175" s="1104"/>
      <c r="S175" s="1102"/>
      <c r="T175" s="1102"/>
      <c r="U175" s="1102"/>
    </row>
    <row r="176" spans="1:24" ht="15.6" hidden="1" customHeight="1" x14ac:dyDescent="0.25">
      <c r="A176" s="1174"/>
      <c r="B176" s="1035" t="s">
        <v>1304</v>
      </c>
      <c r="C176" s="1036"/>
      <c r="D176" s="1008"/>
      <c r="E176" s="1037"/>
      <c r="F176" s="1004"/>
      <c r="G176" s="1038" t="s">
        <v>2684</v>
      </c>
      <c r="H176" s="1004"/>
      <c r="I176" s="1039">
        <f>IF(G176="Yes",'Fin Perform'!$I$26,0)</f>
        <v>0</v>
      </c>
      <c r="J176" s="1040"/>
      <c r="K176" s="1039">
        <f>IF(G176="Yes",'Fin Perform'!$K$26,0)</f>
        <v>0</v>
      </c>
      <c r="L176" s="643"/>
      <c r="O176" s="1133"/>
      <c r="P176" s="1104"/>
      <c r="S176" s="1102"/>
      <c r="T176" s="1102"/>
      <c r="U176" s="1102"/>
    </row>
    <row r="177" spans="1:24" s="230" customFormat="1" ht="15.6" hidden="1" customHeight="1" thickBot="1" x14ac:dyDescent="0.3">
      <c r="A177" s="1175"/>
      <c r="B177" s="1041" t="s">
        <v>2700</v>
      </c>
      <c r="C177" s="1042"/>
      <c r="D177" s="1004"/>
      <c r="E177" s="1043"/>
      <c r="F177" s="1004"/>
      <c r="G177" s="1044"/>
      <c r="H177" s="1045">
        <v>-234</v>
      </c>
      <c r="I177" s="1046">
        <f>SUM(I160:I176)</f>
        <v>36783587.389999978</v>
      </c>
      <c r="J177" s="1047"/>
      <c r="K177" s="1046">
        <f>SUM(K160:K176)</f>
        <v>29158450</v>
      </c>
      <c r="L177" s="648"/>
      <c r="M177" s="1133"/>
      <c r="N177" s="1147"/>
      <c r="O177" s="1133"/>
      <c r="P177" s="1097"/>
      <c r="Q177" s="1098"/>
      <c r="R177" s="1098"/>
      <c r="S177" s="1098"/>
      <c r="T177" s="1102"/>
      <c r="U177" s="1102"/>
      <c r="V177" s="48"/>
      <c r="W177" s="1128"/>
      <c r="X177" s="48"/>
    </row>
    <row r="178" spans="1:24" s="230" customFormat="1" ht="15.6" hidden="1" customHeight="1" thickBot="1" x14ac:dyDescent="0.3">
      <c r="A178" s="1175"/>
      <c r="B178" s="1048"/>
      <c r="C178" s="1048"/>
      <c r="D178" s="1004"/>
      <c r="E178" s="1048"/>
      <c r="F178" s="1004"/>
      <c r="G178" s="1004"/>
      <c r="H178" s="1004"/>
      <c r="I178" s="1005"/>
      <c r="J178" s="1049"/>
      <c r="K178" s="1005"/>
      <c r="L178" s="648"/>
      <c r="M178" s="1133"/>
      <c r="N178" s="1147"/>
      <c r="O178" s="1133"/>
      <c r="P178" s="1104"/>
      <c r="Q178" s="1098"/>
      <c r="R178" s="1098"/>
      <c r="S178" s="1102"/>
      <c r="T178" s="1102"/>
      <c r="U178" s="1102"/>
      <c r="V178" s="48"/>
      <c r="W178" s="1128"/>
      <c r="X178" s="48"/>
    </row>
    <row r="179" spans="1:24" ht="15.6" hidden="1" customHeight="1" thickBot="1" x14ac:dyDescent="0.3">
      <c r="A179" s="1174"/>
      <c r="B179" s="1033" t="s">
        <v>2686</v>
      </c>
      <c r="C179" s="1034"/>
      <c r="D179" s="1008"/>
      <c r="E179" s="1006"/>
      <c r="F179" s="1004"/>
      <c r="G179" s="1006"/>
      <c r="H179" s="1004"/>
      <c r="I179" s="1006"/>
      <c r="J179" s="1004"/>
      <c r="K179" s="1006"/>
      <c r="L179" s="643"/>
      <c r="O179" s="1133"/>
      <c r="P179" s="1104"/>
      <c r="S179" s="1102"/>
      <c r="T179" s="1102"/>
      <c r="U179" s="1102"/>
    </row>
    <row r="180" spans="1:24" ht="15.6" hidden="1" customHeight="1" x14ac:dyDescent="0.25">
      <c r="A180" s="1174"/>
      <c r="B180" s="1035"/>
      <c r="C180" s="1036"/>
      <c r="D180" s="1008"/>
      <c r="E180" s="1037"/>
      <c r="F180" s="1004"/>
      <c r="G180" s="1038"/>
      <c r="H180" s="1004"/>
      <c r="I180" s="1050"/>
      <c r="J180" s="1051"/>
      <c r="K180" s="1050"/>
      <c r="L180" s="643"/>
      <c r="O180" s="1133"/>
      <c r="P180" s="1104"/>
      <c r="S180" s="1102"/>
      <c r="T180" s="1102"/>
      <c r="U180" s="1102"/>
    </row>
    <row r="181" spans="1:24" ht="15.6" hidden="1" customHeight="1" x14ac:dyDescent="0.25">
      <c r="A181" s="1174"/>
      <c r="B181" s="1052" t="s">
        <v>2687</v>
      </c>
      <c r="C181" s="1036"/>
      <c r="D181" s="1008"/>
      <c r="E181" s="1037"/>
      <c r="F181" s="1004"/>
      <c r="G181" s="1038"/>
      <c r="H181" s="1004"/>
      <c r="I181" s="1050"/>
      <c r="J181" s="1051"/>
      <c r="K181" s="1050"/>
      <c r="L181" s="643"/>
      <c r="O181" s="1133"/>
      <c r="P181" s="1104"/>
      <c r="S181" s="1102"/>
      <c r="T181" s="1102"/>
      <c r="U181" s="1102"/>
    </row>
    <row r="182" spans="1:24" ht="15.6" hidden="1" customHeight="1" x14ac:dyDescent="0.25">
      <c r="A182" s="1174"/>
      <c r="B182" s="1035" t="s">
        <v>2688</v>
      </c>
      <c r="C182" s="2848" t="s">
        <v>2689</v>
      </c>
      <c r="D182" s="1008"/>
      <c r="E182" s="1037"/>
      <c r="F182" s="1004"/>
      <c r="G182" s="1038"/>
      <c r="H182" s="1004"/>
      <c r="I182" s="2844">
        <f>IF(SUM((I157/I177)*365)&lt;365,SUM((I157/I177)*365),365)</f>
        <v>365</v>
      </c>
      <c r="J182" s="1051"/>
      <c r="K182" s="2844">
        <f>IF(SUM((K157/K177)*365)&lt;365,SUM((K157/K177)*365),365)</f>
        <v>365</v>
      </c>
      <c r="L182" s="643"/>
      <c r="O182" s="1133"/>
      <c r="P182" s="1104"/>
      <c r="S182" s="1102"/>
      <c r="T182" s="1102"/>
      <c r="U182" s="1102"/>
    </row>
    <row r="183" spans="1:24" ht="15.6" hidden="1" customHeight="1" x14ac:dyDescent="0.25">
      <c r="A183" s="1174"/>
      <c r="B183" s="1035" t="s">
        <v>2690</v>
      </c>
      <c r="C183" s="2849"/>
      <c r="D183" s="1008"/>
      <c r="E183" s="1037"/>
      <c r="F183" s="1004"/>
      <c r="G183" s="1038"/>
      <c r="H183" s="1004"/>
      <c r="I183" s="2844"/>
      <c r="J183" s="1051"/>
      <c r="K183" s="2844"/>
      <c r="L183" s="643"/>
      <c r="O183" s="1133"/>
      <c r="T183" s="1102"/>
      <c r="U183" s="1102"/>
    </row>
    <row r="184" spans="1:24" ht="15.6" hidden="1" customHeight="1" x14ac:dyDescent="0.25">
      <c r="A184" s="1174"/>
      <c r="B184" s="1035"/>
      <c r="C184" s="1036"/>
      <c r="D184" s="1008"/>
      <c r="E184" s="1037"/>
      <c r="F184" s="1004"/>
      <c r="G184" s="1038"/>
      <c r="H184" s="1004"/>
      <c r="I184" s="1050"/>
      <c r="J184" s="1051"/>
      <c r="K184" s="1050"/>
      <c r="L184" s="643"/>
      <c r="O184" s="1133"/>
      <c r="P184" s="1104"/>
      <c r="S184" s="1102"/>
      <c r="T184" s="1102"/>
      <c r="U184" s="1102"/>
    </row>
    <row r="185" spans="1:24" ht="15.6" hidden="1" customHeight="1" x14ac:dyDescent="0.25">
      <c r="A185" s="1174"/>
      <c r="B185" s="1052" t="s">
        <v>2691</v>
      </c>
      <c r="C185" s="1036"/>
      <c r="D185" s="1008"/>
      <c r="E185" s="1037"/>
      <c r="F185" s="1004"/>
      <c r="G185" s="1038"/>
      <c r="H185" s="1004"/>
      <c r="I185" s="1053">
        <f>-PV(G149/365,I182,0,I177,0)</f>
        <v>33242624.070653338</v>
      </c>
      <c r="J185" s="1051"/>
      <c r="K185" s="1053">
        <f>-PV(K149/365,K182,0,K177,0)</f>
        <v>26307528.2701324</v>
      </c>
      <c r="L185" s="643"/>
      <c r="O185" s="1133"/>
      <c r="P185" s="1104"/>
      <c r="S185" s="1102"/>
      <c r="T185" s="1102"/>
      <c r="U185" s="1102"/>
    </row>
    <row r="186" spans="1:24" ht="15.6" hidden="1" customHeight="1" x14ac:dyDescent="0.2">
      <c r="A186" s="1174"/>
      <c r="B186" s="1035"/>
      <c r="C186" s="1036"/>
      <c r="D186" s="1008"/>
      <c r="E186" s="1037"/>
      <c r="F186" s="1004"/>
      <c r="G186" s="1038"/>
      <c r="H186" s="1004"/>
      <c r="I186" s="1050"/>
      <c r="J186" s="1051"/>
      <c r="K186" s="1050"/>
      <c r="L186" s="643"/>
      <c r="O186" s="1133"/>
      <c r="P186" s="1104"/>
      <c r="S186" s="1102"/>
      <c r="T186" s="1102"/>
      <c r="U186" s="1102"/>
      <c r="V186" s="230"/>
      <c r="W186" s="1114"/>
      <c r="X186" s="230"/>
    </row>
    <row r="187" spans="1:24" ht="15.6" hidden="1" customHeight="1" x14ac:dyDescent="0.25">
      <c r="A187" s="1174"/>
      <c r="B187" s="1052" t="s">
        <v>2692</v>
      </c>
      <c r="C187" s="1036"/>
      <c r="D187" s="1008"/>
      <c r="E187" s="1037"/>
      <c r="F187" s="1004"/>
      <c r="G187" s="1038"/>
      <c r="H187" s="1004"/>
      <c r="I187" s="1054">
        <f>I177-I185</f>
        <v>3540963.3193466403</v>
      </c>
      <c r="J187" s="1051"/>
      <c r="K187" s="1054">
        <f>K177-K185</f>
        <v>2850921.7298675999</v>
      </c>
      <c r="L187" s="643"/>
      <c r="O187" s="1133"/>
      <c r="P187" s="1104"/>
      <c r="S187" s="1102"/>
      <c r="T187" s="1102"/>
      <c r="U187" s="1102"/>
    </row>
    <row r="188" spans="1:24" ht="15.6" hidden="1" customHeight="1" x14ac:dyDescent="0.25">
      <c r="A188" s="1174"/>
      <c r="B188" s="1035"/>
      <c r="C188" s="1036"/>
      <c r="D188" s="1008"/>
      <c r="E188" s="1037"/>
      <c r="F188" s="1004"/>
      <c r="G188" s="1038"/>
      <c r="H188" s="1004"/>
      <c r="I188" s="1050"/>
      <c r="J188" s="1051"/>
      <c r="K188" s="1050"/>
      <c r="L188" s="643"/>
      <c r="O188" s="1133"/>
      <c r="P188" s="1104"/>
      <c r="S188" s="1102"/>
      <c r="T188" s="1102"/>
      <c r="U188" s="1102"/>
    </row>
    <row r="189" spans="1:24" ht="15.6" hidden="1" customHeight="1" x14ac:dyDescent="0.25">
      <c r="A189" s="1174"/>
      <c r="B189" s="1052" t="s">
        <v>2693</v>
      </c>
      <c r="C189" s="1036"/>
      <c r="D189" s="1008"/>
      <c r="E189" s="1037"/>
      <c r="F189" s="1004"/>
      <c r="G189" s="1038"/>
      <c r="H189" s="1004"/>
      <c r="I189" s="1053">
        <f>-PV(K140/365,I182,0,I157,0)</f>
        <v>61114988.107128479</v>
      </c>
      <c r="J189" s="1051"/>
      <c r="K189" s="1053">
        <f>-PV(K136/365,K182,0,K157,0)</f>
        <v>43604686.281896763</v>
      </c>
      <c r="L189" s="643"/>
      <c r="O189" s="1133"/>
      <c r="P189" s="1104"/>
      <c r="S189" s="1102"/>
      <c r="T189" s="1102"/>
      <c r="U189" s="1102"/>
    </row>
    <row r="190" spans="1:24" ht="15.6" hidden="1" customHeight="1" x14ac:dyDescent="0.25">
      <c r="A190" s="1174"/>
      <c r="B190" s="1035"/>
      <c r="C190" s="1036"/>
      <c r="D190" s="1008"/>
      <c r="E190" s="1037"/>
      <c r="F190" s="1004"/>
      <c r="G190" s="1038"/>
      <c r="H190" s="1004"/>
      <c r="I190" s="1050"/>
      <c r="J190" s="1051"/>
      <c r="K190" s="1050"/>
      <c r="L190" s="643"/>
      <c r="O190" s="1133"/>
      <c r="P190" s="1104"/>
      <c r="S190" s="1102"/>
      <c r="T190" s="1102"/>
      <c r="U190" s="1102"/>
    </row>
    <row r="191" spans="1:24" ht="15.6" hidden="1" customHeight="1" x14ac:dyDescent="0.25">
      <c r="A191" s="1174"/>
      <c r="B191" s="1052" t="s">
        <v>2694</v>
      </c>
      <c r="C191" s="1036"/>
      <c r="D191" s="1008"/>
      <c r="E191" s="1037"/>
      <c r="F191" s="1004"/>
      <c r="G191" s="1038"/>
      <c r="H191" s="1004"/>
      <c r="I191" s="1054">
        <f>I157-I189</f>
        <v>6426594.3428715244</v>
      </c>
      <c r="J191" s="1051"/>
      <c r="K191" s="1054">
        <f>K157-K189</f>
        <v>4585284.868103236</v>
      </c>
      <c r="L191" s="643"/>
      <c r="O191" s="1133"/>
      <c r="P191" s="1104"/>
      <c r="S191" s="1102"/>
      <c r="T191" s="1102"/>
      <c r="U191" s="1102"/>
    </row>
    <row r="192" spans="1:24" ht="15.6" hidden="1" customHeight="1" thickBot="1" x14ac:dyDescent="0.3">
      <c r="A192" s="1174"/>
      <c r="B192" s="1055"/>
      <c r="C192" s="1056"/>
      <c r="D192" s="1008"/>
      <c r="E192" s="1057"/>
      <c r="F192" s="1004"/>
      <c r="G192" s="1057"/>
      <c r="H192" s="1004"/>
      <c r="I192" s="1057"/>
      <c r="J192" s="1051"/>
      <c r="K192" s="1057"/>
      <c r="L192" s="643"/>
      <c r="O192" s="1133"/>
      <c r="T192" s="1102"/>
      <c r="U192" s="1102"/>
    </row>
    <row r="193" spans="1:24" s="230" customFormat="1" ht="15.6" hidden="1" customHeight="1" thickBot="1" x14ac:dyDescent="0.3">
      <c r="A193" s="1175"/>
      <c r="B193" s="1048"/>
      <c r="C193" s="1048"/>
      <c r="D193" s="1004"/>
      <c r="E193" s="1048"/>
      <c r="F193" s="1004"/>
      <c r="G193" s="1004"/>
      <c r="H193" s="1004"/>
      <c r="I193" s="1005"/>
      <c r="J193" s="1049"/>
      <c r="K193" s="1005"/>
      <c r="L193" s="648"/>
      <c r="M193" s="1133"/>
      <c r="N193" s="1147"/>
      <c r="O193" s="1133"/>
      <c r="P193" s="1097"/>
      <c r="Q193" s="1098"/>
      <c r="R193" s="1098"/>
      <c r="S193" s="1098"/>
      <c r="T193" s="1102"/>
      <c r="U193" s="1102"/>
      <c r="V193" s="48"/>
      <c r="W193" s="1128"/>
      <c r="X193" s="48"/>
    </row>
    <row r="194" spans="1:24" ht="15.6" hidden="1" customHeight="1" thickBot="1" x14ac:dyDescent="0.3">
      <c r="A194" s="1174"/>
      <c r="B194" s="1033" t="s">
        <v>2695</v>
      </c>
      <c r="C194" s="1034"/>
      <c r="D194" s="1008"/>
      <c r="E194" s="1006"/>
      <c r="F194" s="1004"/>
      <c r="G194" s="1006"/>
      <c r="H194" s="1004"/>
      <c r="I194" s="1058" t="str">
        <f>IF(AND(SUM(I212-I187)&lt;0.001,SUM(I212-I187)&gt;-0.001),"",SUM(I212-I187))</f>
        <v/>
      </c>
      <c r="J194" s="1004"/>
      <c r="K194" s="1058" t="str">
        <f>IF(AND(SUM(K212-K187)&lt;0.001,SUM(K212-K187)&gt;-0.001),"",SUM(K212-K187))</f>
        <v/>
      </c>
      <c r="L194" s="643"/>
      <c r="O194" s="1133"/>
      <c r="P194" s="1104"/>
      <c r="S194" s="1102"/>
      <c r="T194" s="1102"/>
      <c r="U194" s="1102"/>
    </row>
    <row r="195" spans="1:24" ht="15.6" hidden="1" customHeight="1" x14ac:dyDescent="0.25">
      <c r="A195" s="1174"/>
      <c r="B195" s="1035" t="s">
        <v>404</v>
      </c>
      <c r="C195" s="1036"/>
      <c r="D195" s="1008"/>
      <c r="E195" s="1038" t="s">
        <v>2696</v>
      </c>
      <c r="F195" s="1004"/>
      <c r="G195" s="1038" t="s">
        <v>2684</v>
      </c>
      <c r="H195" s="1004"/>
      <c r="I195" s="1039">
        <f t="shared" ref="I195:I211" si="0">IF($G195="Yes",I160/I$177*I$187,0)</f>
        <v>0</v>
      </c>
      <c r="J195" s="1040"/>
      <c r="K195" s="1039">
        <f t="shared" ref="K195:K211" si="1">IF($G195="Yes",K160/K$177*K$187,0)</f>
        <v>0</v>
      </c>
      <c r="L195" s="643"/>
      <c r="O195" s="1133"/>
      <c r="T195" s="1102"/>
      <c r="U195" s="1102"/>
    </row>
    <row r="196" spans="1:24" ht="15.6" hidden="1" customHeight="1" x14ac:dyDescent="0.25">
      <c r="A196" s="1174"/>
      <c r="B196" s="1035" t="s">
        <v>408</v>
      </c>
      <c r="C196" s="1036"/>
      <c r="D196" s="1008"/>
      <c r="E196" s="1038" t="s">
        <v>2696</v>
      </c>
      <c r="F196" s="1004"/>
      <c r="G196" s="1038" t="s">
        <v>2684</v>
      </c>
      <c r="H196" s="1004"/>
      <c r="I196" s="1039">
        <f t="shared" si="0"/>
        <v>0</v>
      </c>
      <c r="J196" s="1040"/>
      <c r="K196" s="1039">
        <f t="shared" si="1"/>
        <v>0</v>
      </c>
      <c r="L196" s="643"/>
      <c r="O196" s="1133"/>
      <c r="P196" s="1104"/>
      <c r="S196" s="1102"/>
      <c r="T196" s="1102"/>
      <c r="U196" s="1102"/>
    </row>
    <row r="197" spans="1:24" ht="15.6" hidden="1" customHeight="1" x14ac:dyDescent="0.25">
      <c r="A197" s="1174"/>
      <c r="B197" s="1035" t="s">
        <v>248</v>
      </c>
      <c r="C197" s="1036"/>
      <c r="D197" s="1008"/>
      <c r="E197" s="1038" t="s">
        <v>2696</v>
      </c>
      <c r="F197" s="1004"/>
      <c r="G197" s="1038" t="s">
        <v>2684</v>
      </c>
      <c r="H197" s="1004"/>
      <c r="I197" s="1039">
        <f t="shared" si="0"/>
        <v>0</v>
      </c>
      <c r="J197" s="1040"/>
      <c r="K197" s="1039">
        <f t="shared" si="1"/>
        <v>0</v>
      </c>
      <c r="L197" s="643"/>
      <c r="O197" s="1133"/>
      <c r="P197" s="1104"/>
      <c r="S197" s="1102"/>
      <c r="T197" s="1102"/>
      <c r="U197" s="1102"/>
    </row>
    <row r="198" spans="1:24" ht="15.6" hidden="1" customHeight="1" x14ac:dyDescent="0.25">
      <c r="A198" s="1174"/>
      <c r="B198" s="1035" t="s">
        <v>411</v>
      </c>
      <c r="C198" s="1036"/>
      <c r="D198" s="1008"/>
      <c r="E198" s="1038" t="s">
        <v>2696</v>
      </c>
      <c r="F198" s="1004"/>
      <c r="G198" s="1038" t="s">
        <v>2684</v>
      </c>
      <c r="H198" s="1004"/>
      <c r="I198" s="1039">
        <f t="shared" si="0"/>
        <v>0</v>
      </c>
      <c r="J198" s="1040"/>
      <c r="K198" s="1039">
        <f t="shared" si="1"/>
        <v>0</v>
      </c>
      <c r="L198" s="643"/>
      <c r="O198" s="1133"/>
      <c r="P198" s="1104"/>
      <c r="S198" s="1102"/>
      <c r="T198" s="1102"/>
      <c r="U198" s="1102"/>
    </row>
    <row r="199" spans="1:24" ht="15.6" hidden="1" customHeight="1" x14ac:dyDescent="0.25">
      <c r="A199" s="1174"/>
      <c r="B199" s="1035" t="s">
        <v>412</v>
      </c>
      <c r="C199" s="1036"/>
      <c r="D199" s="1008"/>
      <c r="E199" s="1038" t="s">
        <v>2696</v>
      </c>
      <c r="F199" s="1004"/>
      <c r="G199" s="1038" t="s">
        <v>2684</v>
      </c>
      <c r="H199" s="1004"/>
      <c r="I199" s="1039">
        <f t="shared" si="0"/>
        <v>0</v>
      </c>
      <c r="J199" s="1040"/>
      <c r="K199" s="1039">
        <f t="shared" si="1"/>
        <v>0</v>
      </c>
      <c r="L199" s="643"/>
      <c r="O199" s="1133"/>
      <c r="P199" s="1104"/>
      <c r="S199" s="1102"/>
      <c r="T199" s="1102"/>
      <c r="U199" s="1102"/>
    </row>
    <row r="200" spans="1:24" ht="15.6" hidden="1" customHeight="1" x14ac:dyDescent="0.25">
      <c r="A200" s="1174"/>
      <c r="B200" s="1035" t="s">
        <v>787</v>
      </c>
      <c r="C200" s="1036"/>
      <c r="D200" s="1008"/>
      <c r="E200" s="1038" t="s">
        <v>2696</v>
      </c>
      <c r="F200" s="1004"/>
      <c r="G200" s="1038" t="s">
        <v>2684</v>
      </c>
      <c r="H200" s="1004"/>
      <c r="I200" s="1039">
        <f t="shared" si="0"/>
        <v>0</v>
      </c>
      <c r="J200" s="1040"/>
      <c r="K200" s="1039">
        <f t="shared" si="1"/>
        <v>0</v>
      </c>
      <c r="L200" s="643"/>
      <c r="O200" s="1133"/>
      <c r="P200" s="1104"/>
      <c r="S200" s="1102"/>
      <c r="T200" s="1102"/>
      <c r="U200" s="1102"/>
    </row>
    <row r="201" spans="1:24" ht="15.6" hidden="1" customHeight="1" x14ac:dyDescent="0.25">
      <c r="A201" s="1174"/>
      <c r="B201" s="1035" t="s">
        <v>445</v>
      </c>
      <c r="C201" s="1036"/>
      <c r="D201" s="1008"/>
      <c r="E201" s="1038" t="s">
        <v>2696</v>
      </c>
      <c r="F201" s="1004"/>
      <c r="G201" s="1038" t="s">
        <v>2684</v>
      </c>
      <c r="H201" s="1004"/>
      <c r="I201" s="1039">
        <f t="shared" si="0"/>
        <v>0</v>
      </c>
      <c r="J201" s="1040"/>
      <c r="K201" s="1039">
        <f t="shared" si="1"/>
        <v>0</v>
      </c>
      <c r="L201" s="643"/>
      <c r="O201" s="1133"/>
      <c r="T201" s="1102"/>
      <c r="U201" s="1102"/>
    </row>
    <row r="202" spans="1:24" ht="15.6" hidden="1" customHeight="1" x14ac:dyDescent="0.25">
      <c r="A202" s="1174"/>
      <c r="B202" s="1035" t="s">
        <v>405</v>
      </c>
      <c r="C202" s="1036"/>
      <c r="D202" s="1008"/>
      <c r="E202" s="1038" t="s">
        <v>2696</v>
      </c>
      <c r="F202" s="1004"/>
      <c r="G202" s="1038" t="s">
        <v>340</v>
      </c>
      <c r="H202" s="1004"/>
      <c r="I202" s="1039">
        <f t="shared" si="0"/>
        <v>3450826.2822116469</v>
      </c>
      <c r="J202" s="1040"/>
      <c r="K202" s="1039">
        <f t="shared" si="1"/>
        <v>2764561.3836933458</v>
      </c>
      <c r="L202" s="643"/>
      <c r="O202" s="1133"/>
      <c r="T202" s="1102"/>
      <c r="U202" s="1102"/>
    </row>
    <row r="203" spans="1:24" ht="15.6" hidden="1" customHeight="1" x14ac:dyDescent="0.25">
      <c r="A203" s="1174"/>
      <c r="B203" s="1035" t="s">
        <v>406</v>
      </c>
      <c r="C203" s="1036"/>
      <c r="D203" s="1008"/>
      <c r="E203" s="1038" t="s">
        <v>2696</v>
      </c>
      <c r="F203" s="1004"/>
      <c r="G203" s="1038" t="s">
        <v>340</v>
      </c>
      <c r="H203" s="1004"/>
      <c r="I203" s="1039">
        <f t="shared" si="0"/>
        <v>63836.61345692609</v>
      </c>
      <c r="J203" s="1040"/>
      <c r="K203" s="1039">
        <f t="shared" si="1"/>
        <v>64215.37267146253</v>
      </c>
      <c r="L203" s="643"/>
      <c r="O203" s="1133"/>
      <c r="T203" s="1102"/>
      <c r="U203" s="1102"/>
    </row>
    <row r="204" spans="1:24" ht="15.6" hidden="1" customHeight="1" x14ac:dyDescent="0.25">
      <c r="A204" s="1174"/>
      <c r="B204" s="1035" t="s">
        <v>443</v>
      </c>
      <c r="C204" s="1036"/>
      <c r="D204" s="1008"/>
      <c r="E204" s="1038" t="s">
        <v>2696</v>
      </c>
      <c r="F204" s="1004"/>
      <c r="G204" s="1038" t="s">
        <v>2684</v>
      </c>
      <c r="H204" s="1004"/>
      <c r="I204" s="1039">
        <f t="shared" si="0"/>
        <v>0</v>
      </c>
      <c r="J204" s="1040"/>
      <c r="K204" s="1039">
        <f t="shared" si="1"/>
        <v>0</v>
      </c>
      <c r="L204" s="643"/>
      <c r="O204" s="1133"/>
      <c r="P204" s="1104"/>
      <c r="S204" s="1102"/>
      <c r="T204" s="1102"/>
      <c r="U204" s="1102"/>
    </row>
    <row r="205" spans="1:24" ht="15.6" hidden="1" customHeight="1" x14ac:dyDescent="0.2">
      <c r="A205" s="1174"/>
      <c r="B205" s="1035" t="s">
        <v>444</v>
      </c>
      <c r="C205" s="1036"/>
      <c r="D205" s="1008"/>
      <c r="E205" s="1038" t="s">
        <v>2696</v>
      </c>
      <c r="F205" s="1004"/>
      <c r="G205" s="1038" t="s">
        <v>340</v>
      </c>
      <c r="H205" s="1004"/>
      <c r="I205" s="1039">
        <f t="shared" si="0"/>
        <v>26300.423678067105</v>
      </c>
      <c r="J205" s="1040"/>
      <c r="K205" s="1039">
        <f t="shared" si="1"/>
        <v>22144.973502791465</v>
      </c>
      <c r="L205" s="643"/>
      <c r="O205" s="1133"/>
      <c r="T205" s="1102"/>
      <c r="U205" s="1102"/>
      <c r="V205" s="230"/>
      <c r="W205" s="1114"/>
      <c r="X205" s="230"/>
    </row>
    <row r="206" spans="1:24" ht="15.6" hidden="1" customHeight="1" x14ac:dyDescent="0.2">
      <c r="A206" s="1174"/>
      <c r="B206" s="1035" t="s">
        <v>410</v>
      </c>
      <c r="C206" s="1036"/>
      <c r="D206" s="1008"/>
      <c r="E206" s="1038" t="s">
        <v>2696</v>
      </c>
      <c r="F206" s="1004"/>
      <c r="G206" s="1038" t="s">
        <v>2684</v>
      </c>
      <c r="H206" s="1004"/>
      <c r="I206" s="1039">
        <f t="shared" si="0"/>
        <v>0</v>
      </c>
      <c r="J206" s="1040"/>
      <c r="K206" s="1039">
        <f t="shared" si="1"/>
        <v>0</v>
      </c>
      <c r="L206" s="643"/>
      <c r="O206" s="1133"/>
      <c r="P206" s="1104"/>
      <c r="S206" s="1102"/>
      <c r="T206" s="1102"/>
      <c r="U206" s="1102"/>
      <c r="V206" s="230"/>
      <c r="W206" s="1114"/>
      <c r="X206" s="230"/>
    </row>
    <row r="207" spans="1:24" ht="15.6" hidden="1" customHeight="1" x14ac:dyDescent="0.25">
      <c r="A207" s="1174"/>
      <c r="B207" s="1035" t="s">
        <v>786</v>
      </c>
      <c r="C207" s="1036"/>
      <c r="D207" s="1008"/>
      <c r="E207" s="1038" t="s">
        <v>2696</v>
      </c>
      <c r="F207" s="1004"/>
      <c r="G207" s="1038" t="s">
        <v>2684</v>
      </c>
      <c r="H207" s="1004"/>
      <c r="I207" s="1039">
        <f t="shared" si="0"/>
        <v>0</v>
      </c>
      <c r="J207" s="1040"/>
      <c r="K207" s="1039">
        <f t="shared" si="1"/>
        <v>0</v>
      </c>
      <c r="L207" s="643"/>
      <c r="O207" s="1133"/>
      <c r="P207" s="1104"/>
      <c r="S207" s="1102"/>
      <c r="T207" s="1102"/>
      <c r="U207" s="1102"/>
    </row>
    <row r="208" spans="1:24" ht="15.6" hidden="1" customHeight="1" x14ac:dyDescent="0.25">
      <c r="A208" s="1174"/>
      <c r="B208" s="1035" t="s">
        <v>414</v>
      </c>
      <c r="C208" s="1036"/>
      <c r="D208" s="1008"/>
      <c r="E208" s="1038" t="s">
        <v>2696</v>
      </c>
      <c r="F208" s="1004"/>
      <c r="G208" s="1038" t="s">
        <v>2684</v>
      </c>
      <c r="H208" s="1004"/>
      <c r="I208" s="1039">
        <f t="shared" si="0"/>
        <v>0</v>
      </c>
      <c r="J208" s="1040"/>
      <c r="K208" s="1039">
        <f t="shared" si="1"/>
        <v>0</v>
      </c>
      <c r="L208" s="643"/>
      <c r="O208" s="1133"/>
      <c r="P208" s="1104"/>
      <c r="S208" s="1102"/>
      <c r="T208" s="1102"/>
      <c r="U208" s="1102"/>
    </row>
    <row r="209" spans="1:24" ht="15.6" hidden="1" customHeight="1" x14ac:dyDescent="0.25">
      <c r="A209" s="1174"/>
      <c r="B209" s="1035" t="s">
        <v>788</v>
      </c>
      <c r="C209" s="1036"/>
      <c r="D209" s="1008"/>
      <c r="E209" s="1038" t="s">
        <v>2696</v>
      </c>
      <c r="F209" s="1004"/>
      <c r="G209" s="1038" t="s">
        <v>2684</v>
      </c>
      <c r="H209" s="1004"/>
      <c r="I209" s="1039">
        <f t="shared" si="0"/>
        <v>0</v>
      </c>
      <c r="J209" s="1040"/>
      <c r="K209" s="1039">
        <f t="shared" si="1"/>
        <v>0</v>
      </c>
      <c r="L209" s="643"/>
      <c r="O209" s="1133"/>
      <c r="P209" s="1104"/>
      <c r="S209" s="1102"/>
      <c r="T209" s="1102"/>
      <c r="U209" s="1102"/>
    </row>
    <row r="210" spans="1:24" ht="15.6" hidden="1" customHeight="1" x14ac:dyDescent="0.25">
      <c r="A210" s="1174"/>
      <c r="B210" s="1035" t="s">
        <v>415</v>
      </c>
      <c r="C210" s="1036"/>
      <c r="D210" s="1008"/>
      <c r="E210" s="1038" t="s">
        <v>2696</v>
      </c>
      <c r="F210" s="1004"/>
      <c r="G210" s="1038" t="s">
        <v>2684</v>
      </c>
      <c r="H210" s="1004"/>
      <c r="I210" s="1039">
        <f t="shared" si="0"/>
        <v>0</v>
      </c>
      <c r="J210" s="1040"/>
      <c r="K210" s="1039">
        <f t="shared" si="1"/>
        <v>0</v>
      </c>
      <c r="L210" s="643"/>
      <c r="O210" s="1133"/>
      <c r="P210" s="1104"/>
      <c r="S210" s="1102"/>
      <c r="T210" s="1102"/>
      <c r="U210" s="1102"/>
    </row>
    <row r="211" spans="1:24" ht="15.6" hidden="1" customHeight="1" x14ac:dyDescent="0.25">
      <c r="A211" s="1174"/>
      <c r="B211" s="1035" t="s">
        <v>1304</v>
      </c>
      <c r="C211" s="1036"/>
      <c r="D211" s="1008"/>
      <c r="E211" s="1038" t="s">
        <v>2696</v>
      </c>
      <c r="F211" s="1004"/>
      <c r="G211" s="1038" t="s">
        <v>2684</v>
      </c>
      <c r="H211" s="1004"/>
      <c r="I211" s="1039">
        <f t="shared" si="0"/>
        <v>0</v>
      </c>
      <c r="J211" s="1040"/>
      <c r="K211" s="1039">
        <f t="shared" si="1"/>
        <v>0</v>
      </c>
      <c r="L211" s="643"/>
      <c r="O211" s="1133"/>
      <c r="T211" s="1102"/>
      <c r="U211" s="1102"/>
    </row>
    <row r="212" spans="1:24" s="230" customFormat="1" ht="15.6" hidden="1" customHeight="1" thickBot="1" x14ac:dyDescent="0.3">
      <c r="A212" s="1175"/>
      <c r="B212" s="1041" t="s">
        <v>2697</v>
      </c>
      <c r="C212" s="1042"/>
      <c r="D212" s="1004"/>
      <c r="E212" s="1059" t="s">
        <v>1241</v>
      </c>
      <c r="F212" s="1004"/>
      <c r="G212" s="1044"/>
      <c r="H212" s="1045">
        <v>-234</v>
      </c>
      <c r="I212" s="1046">
        <f>SUM(I195:I211)</f>
        <v>3540963.3193466403</v>
      </c>
      <c r="J212" s="1047"/>
      <c r="K212" s="1046">
        <f>SUM(K195:K211)</f>
        <v>2850921.7298675999</v>
      </c>
      <c r="L212" s="648"/>
      <c r="M212" s="1133"/>
      <c r="N212" s="1147"/>
      <c r="O212" s="1133"/>
      <c r="P212" s="1104"/>
      <c r="Q212" s="1098"/>
      <c r="R212" s="1098"/>
      <c r="S212" s="1102"/>
      <c r="T212" s="1102"/>
      <c r="U212" s="1102"/>
      <c r="V212" s="48"/>
      <c r="W212" s="1128"/>
      <c r="X212" s="48"/>
    </row>
    <row r="213" spans="1:24" s="230" customFormat="1" ht="15.6" hidden="1" customHeight="1" thickBot="1" x14ac:dyDescent="0.3">
      <c r="A213" s="1175"/>
      <c r="D213" s="646"/>
      <c r="F213" s="646"/>
      <c r="G213" s="646"/>
      <c r="H213" s="646"/>
      <c r="I213" s="617"/>
      <c r="J213" s="647"/>
      <c r="K213" s="617"/>
      <c r="L213" s="648"/>
      <c r="M213" s="1133"/>
      <c r="N213" s="1147"/>
      <c r="O213" s="1133"/>
      <c r="P213" s="1104"/>
      <c r="Q213" s="1098"/>
      <c r="R213" s="1098"/>
      <c r="S213" s="1102"/>
      <c r="T213" s="1102"/>
      <c r="U213" s="1102"/>
      <c r="V213" s="48"/>
      <c r="W213" s="1128"/>
      <c r="X213" s="48"/>
    </row>
    <row r="214" spans="1:24" ht="15.6" hidden="1" customHeight="1" thickBot="1" x14ac:dyDescent="0.25">
      <c r="A214" s="1174"/>
      <c r="B214" s="1033" t="s">
        <v>2698</v>
      </c>
      <c r="C214" s="1034"/>
      <c r="D214" s="1008"/>
      <c r="E214" s="1006"/>
      <c r="F214" s="1004"/>
      <c r="G214" s="1006"/>
      <c r="H214" s="1004"/>
      <c r="I214" s="1058" t="str">
        <f>IF(AND(SUM(I220-I191)&lt;0.001,SUM(I220-I191)&gt;-0.001),"",SUM(I220-I191))</f>
        <v/>
      </c>
      <c r="J214" s="1004"/>
      <c r="K214" s="1058" t="str">
        <f>IF(AND(SUM(K220-K191)&lt;0.001,SUM(K220-K191)&gt;-0.001),"",SUM(K220-K191))</f>
        <v/>
      </c>
      <c r="L214" s="643"/>
      <c r="O214" s="1133"/>
      <c r="P214" s="1104"/>
      <c r="S214" s="1102"/>
      <c r="T214" s="1102"/>
      <c r="U214" s="1102"/>
      <c r="V214" s="230"/>
      <c r="W214" s="1114"/>
      <c r="X214" s="230"/>
    </row>
    <row r="215" spans="1:24" ht="15.6" hidden="1" customHeight="1" x14ac:dyDescent="0.2">
      <c r="A215" s="1174"/>
      <c r="B215" s="1035" t="s">
        <v>229</v>
      </c>
      <c r="C215" s="1036"/>
      <c r="D215" s="1008"/>
      <c r="E215" s="1038" t="s">
        <v>1241</v>
      </c>
      <c r="F215" s="1004"/>
      <c r="G215" s="1038" t="s">
        <v>340</v>
      </c>
      <c r="H215" s="1004"/>
      <c r="I215" s="1039">
        <f>IF($G215="Yes",I152/I$157*I$191,0)</f>
        <v>74216.187439991918</v>
      </c>
      <c r="J215" s="1040"/>
      <c r="K215" s="1039">
        <f>IF($G215="Yes",K152/K$157*K$191,0)</f>
        <v>51393.892207543227</v>
      </c>
      <c r="L215" s="643"/>
      <c r="O215" s="1133"/>
      <c r="P215" s="1104"/>
      <c r="S215" s="1102"/>
      <c r="T215" s="1102"/>
      <c r="U215" s="1102"/>
      <c r="V215" s="230"/>
      <c r="W215" s="1114"/>
      <c r="X215" s="230"/>
    </row>
    <row r="216" spans="1:24" ht="15.6" hidden="1" customHeight="1" x14ac:dyDescent="0.25">
      <c r="A216" s="1174"/>
      <c r="B216" s="1035" t="s">
        <v>166</v>
      </c>
      <c r="C216" s="1036"/>
      <c r="D216" s="1008"/>
      <c r="E216" s="1038" t="s">
        <v>1241</v>
      </c>
      <c r="F216" s="1004"/>
      <c r="G216" s="1038" t="s">
        <v>340</v>
      </c>
      <c r="H216" s="1004"/>
      <c r="I216" s="1039">
        <f>IF($G216="Yes",I153/I$157*I$191,0)</f>
        <v>1017556.4844773259</v>
      </c>
      <c r="J216" s="1040"/>
      <c r="K216" s="1039">
        <f>IF($G216="Yes",K153/K$157*K$191,0)</f>
        <v>621037.76745268388</v>
      </c>
      <c r="L216" s="643"/>
      <c r="O216" s="1133"/>
      <c r="P216" s="1104"/>
      <c r="S216" s="1102"/>
      <c r="T216" s="1102"/>
      <c r="U216" s="1102"/>
    </row>
    <row r="217" spans="1:24" ht="15.6" hidden="1" customHeight="1" x14ac:dyDescent="0.25">
      <c r="A217" s="1174"/>
      <c r="B217" s="1035" t="s">
        <v>500</v>
      </c>
      <c r="C217" s="1036"/>
      <c r="D217" s="1008"/>
      <c r="E217" s="1038" t="s">
        <v>1241</v>
      </c>
      <c r="F217" s="1004"/>
      <c r="G217" s="1038" t="s">
        <v>340</v>
      </c>
      <c r="H217" s="1004"/>
      <c r="I217" s="1039">
        <f>IF($G217="Yes",I154/I$157*I$191,0)</f>
        <v>1322867.4653280436</v>
      </c>
      <c r="J217" s="1040"/>
      <c r="K217" s="1039">
        <f>IF($G217="Yes",K154/K$157*K$191,0)</f>
        <v>794563.35763203399</v>
      </c>
      <c r="L217" s="643"/>
      <c r="O217" s="1133"/>
      <c r="T217" s="1102"/>
      <c r="U217" s="1102"/>
    </row>
    <row r="218" spans="1:24" ht="15.6" hidden="1" customHeight="1" x14ac:dyDescent="0.25">
      <c r="A218" s="1174"/>
      <c r="B218" s="1035" t="s">
        <v>236</v>
      </c>
      <c r="C218" s="1036"/>
      <c r="D218" s="1008"/>
      <c r="E218" s="1038" t="s">
        <v>1241</v>
      </c>
      <c r="F218" s="1004"/>
      <c r="G218" s="1038" t="s">
        <v>340</v>
      </c>
      <c r="H218" s="1004"/>
      <c r="I218" s="1039">
        <f>IF($G218="Yes",I155/I$157*I$191,0)</f>
        <v>2246431.0286769341</v>
      </c>
      <c r="J218" s="1040"/>
      <c r="K218" s="1039">
        <f>IF($G218="Yes",K155/K$157*K$191,0)</f>
        <v>1455973.0648733056</v>
      </c>
      <c r="L218" s="643"/>
      <c r="O218" s="1133"/>
      <c r="P218" s="1104"/>
      <c r="S218" s="1102"/>
      <c r="T218" s="1102"/>
      <c r="U218" s="1102"/>
    </row>
    <row r="219" spans="1:24" ht="15.6" hidden="1" customHeight="1" x14ac:dyDescent="0.25">
      <c r="A219" s="1174"/>
      <c r="B219" s="1035" t="s">
        <v>402</v>
      </c>
      <c r="C219" s="1036"/>
      <c r="D219" s="1008"/>
      <c r="E219" s="1038" t="s">
        <v>1241</v>
      </c>
      <c r="F219" s="1004"/>
      <c r="G219" s="1038" t="s">
        <v>340</v>
      </c>
      <c r="H219" s="1004"/>
      <c r="I219" s="1039">
        <f>IF($G219="Yes",I156/I$157*I$191,0)</f>
        <v>1765523.1769492289</v>
      </c>
      <c r="J219" s="1040"/>
      <c r="K219" s="1039">
        <f>IF($G219="Yes",K156/K$157*K$191,0)</f>
        <v>1662316.7859376692</v>
      </c>
      <c r="L219" s="643"/>
      <c r="O219" s="1133"/>
      <c r="P219" s="1104"/>
      <c r="S219" s="1102"/>
      <c r="T219" s="1102"/>
      <c r="U219" s="1102"/>
    </row>
    <row r="220" spans="1:24" s="230" customFormat="1" ht="15.6" hidden="1" customHeight="1" thickBot="1" x14ac:dyDescent="0.3">
      <c r="A220" s="1175"/>
      <c r="B220" s="1041" t="s">
        <v>2697</v>
      </c>
      <c r="C220" s="1042"/>
      <c r="D220" s="1004"/>
      <c r="E220" s="1059" t="s">
        <v>2696</v>
      </c>
      <c r="F220" s="1004"/>
      <c r="G220" s="1044"/>
      <c r="H220" s="1045">
        <v>-234</v>
      </c>
      <c r="I220" s="1046">
        <f>SUM(I215:I219)</f>
        <v>6426594.3428715244</v>
      </c>
      <c r="J220" s="1047"/>
      <c r="K220" s="1046">
        <f>SUM(K215:K219)</f>
        <v>4585284.868103236</v>
      </c>
      <c r="L220" s="648"/>
      <c r="M220" s="1133"/>
      <c r="N220" s="1147"/>
      <c r="O220" s="1133"/>
      <c r="P220" s="1104"/>
      <c r="Q220" s="1098"/>
      <c r="R220" s="1098"/>
      <c r="S220" s="1102"/>
      <c r="T220" s="1102"/>
      <c r="U220" s="1102"/>
      <c r="V220" s="48"/>
      <c r="W220" s="1128"/>
      <c r="X220" s="48"/>
    </row>
    <row r="221" spans="1:24" s="230" customFormat="1" ht="15.6" hidden="1" customHeight="1" thickBot="1" x14ac:dyDescent="0.3">
      <c r="A221" s="1176"/>
      <c r="B221" s="650"/>
      <c r="C221" s="650"/>
      <c r="D221" s="651"/>
      <c r="E221" s="650"/>
      <c r="F221" s="651"/>
      <c r="G221" s="651"/>
      <c r="H221" s="651"/>
      <c r="I221" s="652"/>
      <c r="J221" s="653"/>
      <c r="K221" s="652"/>
      <c r="L221" s="654"/>
      <c r="M221" s="1133"/>
      <c r="N221" s="1147"/>
      <c r="O221" s="1133"/>
      <c r="P221" s="1104"/>
      <c r="Q221" s="1098"/>
      <c r="R221" s="1098"/>
      <c r="S221" s="1102"/>
      <c r="T221" s="1102"/>
      <c r="U221" s="1102"/>
      <c r="V221" s="48"/>
      <c r="W221" s="1128"/>
      <c r="X221" s="48"/>
    </row>
    <row r="222" spans="1:24" ht="46.5" customHeight="1" x14ac:dyDescent="0.25">
      <c r="B222" s="2861" t="s">
        <v>7525</v>
      </c>
      <c r="C222" s="2861"/>
      <c r="D222" s="2861"/>
      <c r="E222" s="2861"/>
      <c r="F222" s="2861"/>
      <c r="G222" s="2861"/>
      <c r="H222" s="2861"/>
      <c r="I222" s="2861"/>
      <c r="J222" s="2861"/>
      <c r="K222" s="2861"/>
      <c r="L222" s="201"/>
      <c r="O222" s="1133"/>
      <c r="T222" s="1102"/>
      <c r="U222" s="1102"/>
    </row>
    <row r="223" spans="1:24" ht="15.6" customHeight="1" x14ac:dyDescent="0.25">
      <c r="I223" s="58"/>
      <c r="J223" s="58"/>
      <c r="K223" s="58"/>
      <c r="L223" s="59"/>
      <c r="M223" s="1147"/>
      <c r="N223" s="1471"/>
      <c r="O223" s="1134"/>
      <c r="P223" s="1104"/>
      <c r="S223" s="1102"/>
      <c r="T223" s="1102"/>
      <c r="U223" s="1102"/>
    </row>
    <row r="224" spans="1:24" ht="15.6" hidden="1" customHeight="1" x14ac:dyDescent="0.25">
      <c r="A224" s="1170"/>
      <c r="B224" s="2840" t="s">
        <v>2492</v>
      </c>
      <c r="C224" s="2840"/>
      <c r="D224" s="2840"/>
      <c r="E224" s="2840"/>
      <c r="F224" s="2840"/>
      <c r="G224" s="2840"/>
      <c r="H224" s="2840"/>
      <c r="I224" s="2840"/>
      <c r="J224" s="2840"/>
      <c r="K224" s="2840"/>
      <c r="L224" s="755"/>
      <c r="O224" s="1133"/>
      <c r="P224" s="1104"/>
      <c r="S224" s="1102"/>
      <c r="T224" s="1102"/>
      <c r="U224" s="1102"/>
    </row>
    <row r="225" spans="1:21" ht="15.6" hidden="1" customHeight="1" x14ac:dyDescent="0.25">
      <c r="A225" s="1170"/>
      <c r="B225" s="745"/>
      <c r="C225" s="745"/>
      <c r="D225" s="746"/>
      <c r="E225" s="745"/>
      <c r="F225" s="746"/>
      <c r="G225" s="746"/>
      <c r="H225" s="746"/>
      <c r="I225" s="747"/>
      <c r="J225" s="747"/>
      <c r="K225" s="747"/>
      <c r="L225" s="754"/>
      <c r="N225" s="1133"/>
      <c r="O225" s="1133"/>
      <c r="P225" s="1104"/>
      <c r="S225" s="1102"/>
      <c r="T225" s="1102"/>
      <c r="U225" s="1102"/>
    </row>
    <row r="226" spans="1:21" ht="46.5" hidden="1" customHeight="1" x14ac:dyDescent="0.25">
      <c r="A226" s="1169"/>
      <c r="B226" s="2854" t="s">
        <v>4230</v>
      </c>
      <c r="C226" s="2854"/>
      <c r="D226" s="2854"/>
      <c r="E226" s="2854"/>
      <c r="F226" s="2854"/>
      <c r="G226" s="2854"/>
      <c r="H226" s="2854"/>
      <c r="I226" s="2854"/>
      <c r="J226" s="2854"/>
      <c r="K226" s="2854"/>
      <c r="L226" s="625"/>
      <c r="M226" s="1220" t="s">
        <v>1023</v>
      </c>
      <c r="O226" s="1133"/>
      <c r="P226" s="1104"/>
      <c r="S226" s="1102"/>
      <c r="T226" s="1102"/>
      <c r="U226" s="1102"/>
    </row>
    <row r="227" spans="1:21" ht="30.95" customHeight="1" x14ac:dyDescent="0.25">
      <c r="B227" s="2839" t="s">
        <v>4231</v>
      </c>
      <c r="C227" s="2839"/>
      <c r="D227" s="2839"/>
      <c r="E227" s="2839"/>
      <c r="F227" s="2839"/>
      <c r="G227" s="2839"/>
      <c r="H227" s="2839"/>
      <c r="I227" s="2839"/>
      <c r="J227" s="2839"/>
      <c r="K227" s="2839"/>
      <c r="M227" s="1220" t="s">
        <v>1023</v>
      </c>
      <c r="O227" s="1133"/>
      <c r="P227" s="1104"/>
      <c r="S227" s="1102"/>
      <c r="T227" s="1102"/>
      <c r="U227" s="1102"/>
    </row>
    <row r="228" spans="1:21" ht="15.6" customHeight="1" x14ac:dyDescent="0.25">
      <c r="I228" s="200"/>
      <c r="J228" s="200"/>
      <c r="K228" s="200"/>
      <c r="L228" s="210"/>
      <c r="N228" s="1133"/>
      <c r="O228" s="1133"/>
      <c r="T228" s="1102"/>
      <c r="U228" s="1102"/>
    </row>
    <row r="229" spans="1:21" ht="77.45" hidden="1" customHeight="1" x14ac:dyDescent="0.25">
      <c r="A229" s="1169"/>
      <c r="B229" s="2854" t="s">
        <v>4232</v>
      </c>
      <c r="C229" s="2854"/>
      <c r="D229" s="2854"/>
      <c r="E229" s="2854"/>
      <c r="F229" s="2854"/>
      <c r="G229" s="2854"/>
      <c r="H229" s="2854"/>
      <c r="I229" s="2854"/>
      <c r="J229" s="2854"/>
      <c r="K229" s="2854"/>
      <c r="L229" s="625"/>
      <c r="M229" s="1220" t="s">
        <v>1024</v>
      </c>
      <c r="O229" s="1133"/>
      <c r="P229" s="1104"/>
      <c r="S229" s="1102"/>
      <c r="T229" s="1102"/>
      <c r="U229" s="1102"/>
    </row>
    <row r="230" spans="1:21" ht="30.95" customHeight="1" x14ac:dyDescent="0.25">
      <c r="B230" s="2839" t="s">
        <v>4229</v>
      </c>
      <c r="C230" s="2839"/>
      <c r="D230" s="2839"/>
      <c r="E230" s="2839"/>
      <c r="F230" s="2839"/>
      <c r="G230" s="2839"/>
      <c r="H230" s="2839"/>
      <c r="I230" s="2839"/>
      <c r="J230" s="2839"/>
      <c r="K230" s="2839"/>
      <c r="O230" s="1133"/>
      <c r="P230" s="1104"/>
      <c r="S230" s="1102"/>
      <c r="T230" s="1102"/>
      <c r="U230" s="1102"/>
    </row>
    <row r="231" spans="1:21" ht="15.6" customHeight="1" x14ac:dyDescent="0.25">
      <c r="I231" s="200"/>
      <c r="J231" s="200"/>
      <c r="K231" s="200"/>
      <c r="L231" s="210"/>
      <c r="N231" s="1133"/>
      <c r="O231" s="1133"/>
      <c r="P231" s="1104"/>
      <c r="S231" s="1102"/>
      <c r="T231" s="1102"/>
      <c r="U231" s="1102"/>
    </row>
    <row r="232" spans="1:21" ht="15.6" customHeight="1" x14ac:dyDescent="0.25">
      <c r="B232" s="2839" t="str">
        <f>"At "&amp;Parameters!C11&amp;", the municipality is owed R1 756 710 ("&amp;Parameters!C13&amp;": R623 946) by National and Provincial Government."</f>
        <v>At 30 June 2012, the municipality is owed R1 756 710 (30 June 2011: R623 946) by National and Provincial Government.</v>
      </c>
      <c r="C232" s="2839"/>
      <c r="D232" s="2839"/>
      <c r="E232" s="2839"/>
      <c r="F232" s="2839"/>
      <c r="G232" s="2839"/>
      <c r="H232" s="2839"/>
      <c r="I232" s="2839"/>
      <c r="J232" s="2839"/>
      <c r="K232" s="2839"/>
      <c r="M232" s="1217" t="s">
        <v>2241</v>
      </c>
      <c r="O232" s="1133"/>
      <c r="P232" s="1104"/>
      <c r="S232" s="1102"/>
      <c r="T232" s="1102"/>
      <c r="U232" s="1102"/>
    </row>
    <row r="233" spans="1:21" ht="15.6" customHeight="1" x14ac:dyDescent="0.25">
      <c r="I233" s="200"/>
      <c r="J233" s="200"/>
      <c r="K233" s="200"/>
      <c r="L233" s="210"/>
      <c r="N233" s="1133"/>
      <c r="O233" s="1133"/>
      <c r="P233" s="1104"/>
      <c r="S233" s="1102"/>
      <c r="T233" s="1102"/>
      <c r="U233" s="1102"/>
    </row>
    <row r="234" spans="1:21" ht="15.6" hidden="1" customHeight="1" x14ac:dyDescent="0.25">
      <c r="B234" s="2840" t="s">
        <v>4233</v>
      </c>
      <c r="C234" s="2840"/>
      <c r="D234" s="2840"/>
      <c r="E234" s="2840"/>
      <c r="F234" s="2840"/>
      <c r="G234" s="2840"/>
      <c r="H234" s="2840"/>
      <c r="I234" s="2840"/>
      <c r="J234" s="2840"/>
      <c r="K234" s="2840"/>
      <c r="M234" s="1217" t="s">
        <v>2256</v>
      </c>
      <c r="O234" s="1133"/>
      <c r="T234" s="1102"/>
      <c r="U234" s="1102"/>
    </row>
    <row r="235" spans="1:21" ht="15.6" customHeight="1" x14ac:dyDescent="0.25">
      <c r="B235" s="2839" t="s">
        <v>4234</v>
      </c>
      <c r="C235" s="2839"/>
      <c r="D235" s="2839"/>
      <c r="E235" s="2839"/>
      <c r="F235" s="2839"/>
      <c r="G235" s="2839"/>
      <c r="H235" s="2839"/>
      <c r="I235" s="2839"/>
      <c r="J235" s="2839"/>
      <c r="K235" s="2839"/>
      <c r="M235" s="1217" t="s">
        <v>2256</v>
      </c>
      <c r="O235" s="1133"/>
      <c r="P235" s="1104"/>
      <c r="S235" s="1102"/>
      <c r="T235" s="1102"/>
      <c r="U235" s="1102"/>
    </row>
    <row r="236" spans="1:21" ht="15.6" customHeight="1" x14ac:dyDescent="0.25">
      <c r="I236" s="200"/>
      <c r="J236" s="200"/>
      <c r="K236" s="200"/>
      <c r="L236" s="210"/>
      <c r="N236" s="1133"/>
      <c r="O236" s="1133"/>
      <c r="P236" s="1104"/>
      <c r="S236" s="1102"/>
      <c r="T236" s="1102"/>
      <c r="U236" s="1102"/>
    </row>
    <row r="237" spans="1:21" ht="15.6" customHeight="1" x14ac:dyDescent="0.25">
      <c r="B237" s="2839" t="s">
        <v>4235</v>
      </c>
      <c r="C237" s="2839"/>
      <c r="D237" s="2839"/>
      <c r="E237" s="2839"/>
      <c r="F237" s="2839"/>
      <c r="G237" s="2839"/>
      <c r="H237" s="2839"/>
      <c r="I237" s="2839"/>
      <c r="J237" s="2839"/>
      <c r="K237" s="2839"/>
      <c r="M237" s="1217" t="s">
        <v>2239</v>
      </c>
      <c r="O237" s="1133"/>
      <c r="P237" s="1104"/>
      <c r="S237" s="1102"/>
      <c r="T237" s="1102"/>
      <c r="U237" s="1102"/>
    </row>
    <row r="238" spans="1:21" ht="15.6" customHeight="1" x14ac:dyDescent="0.25">
      <c r="I238" s="200"/>
      <c r="J238" s="200"/>
      <c r="K238" s="200"/>
      <c r="L238" s="210"/>
      <c r="N238" s="1133"/>
      <c r="O238" s="1133"/>
      <c r="P238" s="1104"/>
      <c r="S238" s="1102"/>
      <c r="T238" s="1102"/>
      <c r="U238" s="1102"/>
    </row>
    <row r="239" spans="1:21" ht="30.95" customHeight="1" x14ac:dyDescent="0.25">
      <c r="B239" s="2839" t="s">
        <v>4236</v>
      </c>
      <c r="C239" s="2839"/>
      <c r="D239" s="2839"/>
      <c r="E239" s="2839"/>
      <c r="F239" s="2839"/>
      <c r="G239" s="2839"/>
      <c r="H239" s="2839"/>
      <c r="I239" s="2839"/>
      <c r="J239" s="2839"/>
      <c r="K239" s="2839"/>
      <c r="O239" s="1133"/>
      <c r="P239" s="1104"/>
      <c r="S239" s="1102"/>
      <c r="T239" s="1102"/>
      <c r="U239" s="1102"/>
    </row>
    <row r="240" spans="1:21" ht="15" customHeight="1" x14ac:dyDescent="0.25">
      <c r="I240" s="200"/>
      <c r="J240" s="200"/>
      <c r="K240" s="200"/>
      <c r="L240" s="210"/>
      <c r="N240" s="1133"/>
      <c r="O240" s="1133"/>
      <c r="P240" s="1104"/>
      <c r="S240" s="1102"/>
      <c r="T240" s="1102"/>
      <c r="U240" s="1102"/>
    </row>
    <row r="241" spans="2:23" ht="15.6" customHeight="1" x14ac:dyDescent="0.25">
      <c r="B241" s="229" t="s">
        <v>7526</v>
      </c>
      <c r="C241" s="50"/>
      <c r="D241" s="199"/>
      <c r="F241" s="199"/>
      <c r="G241" s="199"/>
      <c r="H241" s="199"/>
      <c r="I241" s="199"/>
      <c r="J241" s="199"/>
      <c r="K241" s="199"/>
      <c r="M241" s="1217" t="s">
        <v>2243</v>
      </c>
      <c r="O241" s="1133"/>
      <c r="P241" s="1104"/>
      <c r="S241" s="1102"/>
      <c r="T241" s="1102"/>
      <c r="U241" s="1102"/>
      <c r="W241" s="1128" t="s">
        <v>3857</v>
      </c>
    </row>
    <row r="242" spans="2:23" ht="15.6" customHeight="1" x14ac:dyDescent="0.25">
      <c r="I242" s="200"/>
      <c r="J242" s="200"/>
      <c r="K242" s="200"/>
      <c r="L242" s="210"/>
      <c r="N242" s="1133"/>
      <c r="O242" s="1133"/>
      <c r="P242" s="1104"/>
      <c r="S242" s="1102"/>
      <c r="T242" s="1102"/>
      <c r="U242" s="1102"/>
    </row>
    <row r="243" spans="2:23" ht="15.6" customHeight="1" x14ac:dyDescent="0.25">
      <c r="B243" s="50" t="str">
        <f>"As at "&amp;Parameters!C11</f>
        <v>As at 30 June 2012</v>
      </c>
      <c r="I243" s="199"/>
      <c r="J243" s="199"/>
      <c r="K243" s="199"/>
      <c r="M243" s="1147"/>
      <c r="N243" s="1134"/>
      <c r="O243" s="1134"/>
      <c r="T243" s="1102"/>
      <c r="U243" s="1102"/>
    </row>
    <row r="244" spans="2:23" ht="15.6" customHeight="1" x14ac:dyDescent="0.25">
      <c r="C244" s="977" t="s">
        <v>1441</v>
      </c>
      <c r="D244" s="135"/>
      <c r="E244" s="2834" t="s">
        <v>2244</v>
      </c>
      <c r="F244" s="2835"/>
      <c r="G244" s="2835"/>
      <c r="H244" s="2835"/>
      <c r="I244" s="2836"/>
      <c r="J244" s="209"/>
      <c r="K244" s="2837" t="s">
        <v>234</v>
      </c>
      <c r="M244" s="1147"/>
      <c r="N244" s="1134"/>
      <c r="O244" s="1134"/>
      <c r="T244" s="1102"/>
      <c r="U244" s="1102"/>
    </row>
    <row r="245" spans="2:23" ht="15.6" customHeight="1" x14ac:dyDescent="0.25">
      <c r="B245" s="50"/>
      <c r="C245" s="976" t="s">
        <v>1528</v>
      </c>
      <c r="D245" s="974"/>
      <c r="E245" s="976" t="s">
        <v>293</v>
      </c>
      <c r="F245" s="974"/>
      <c r="G245" s="976" t="s">
        <v>294</v>
      </c>
      <c r="H245" s="974"/>
      <c r="I245" s="975" t="s">
        <v>1345</v>
      </c>
      <c r="J245" s="209"/>
      <c r="K245" s="2838"/>
      <c r="M245" s="1147"/>
      <c r="N245" s="1134"/>
      <c r="O245" s="1134"/>
      <c r="P245" s="1104"/>
      <c r="S245" s="1102"/>
      <c r="T245" s="1102"/>
      <c r="U245" s="1102"/>
    </row>
    <row r="246" spans="2:23" ht="15.6" customHeight="1" x14ac:dyDescent="0.25">
      <c r="I246" s="200"/>
      <c r="J246" s="200"/>
      <c r="K246" s="200"/>
      <c r="L246" s="210"/>
      <c r="N246" s="1133"/>
      <c r="O246" s="1133"/>
      <c r="T246" s="1102"/>
      <c r="U246" s="1102"/>
    </row>
    <row r="247" spans="2:23" ht="15.6" customHeight="1" x14ac:dyDescent="0.25">
      <c r="B247" s="229" t="s">
        <v>459</v>
      </c>
      <c r="C247" s="881"/>
      <c r="D247" s="48"/>
      <c r="E247" s="881"/>
      <c r="F247" s="48"/>
      <c r="G247" s="881"/>
      <c r="H247" s="48"/>
      <c r="I247" s="881"/>
      <c r="J247" s="48"/>
      <c r="K247" s="881"/>
      <c r="N247" s="1134"/>
      <c r="O247" s="1134"/>
      <c r="P247" s="1104"/>
      <c r="S247" s="1102"/>
      <c r="T247" s="1102"/>
      <c r="U247" s="1102"/>
    </row>
    <row r="248" spans="2:23" ht="15.6" customHeight="1" x14ac:dyDescent="0.25">
      <c r="B248" s="48" t="s">
        <v>2245</v>
      </c>
      <c r="C248" s="227">
        <v>0</v>
      </c>
      <c r="D248" s="199"/>
      <c r="E248" s="227">
        <v>0</v>
      </c>
      <c r="F248" s="199"/>
      <c r="G248" s="227">
        <v>0</v>
      </c>
      <c r="H248" s="199"/>
      <c r="I248" s="186">
        <f>G101</f>
        <v>779989.90999999992</v>
      </c>
      <c r="J248" s="199"/>
      <c r="K248" s="186">
        <f>SUM(C248:J248)</f>
        <v>779989.90999999992</v>
      </c>
      <c r="M248" s="1483">
        <f>K248-G101</f>
        <v>0</v>
      </c>
      <c r="N248" s="1133"/>
      <c r="O248" s="1133"/>
      <c r="P248" s="1104"/>
      <c r="S248" s="1102"/>
      <c r="T248" s="1102"/>
      <c r="U248" s="1102"/>
    </row>
    <row r="249" spans="2:23" ht="15.6" customHeight="1" x14ac:dyDescent="0.25">
      <c r="B249" s="48" t="s">
        <v>2246</v>
      </c>
      <c r="C249" s="227">
        <v>0</v>
      </c>
      <c r="E249" s="227">
        <v>0</v>
      </c>
      <c r="G249" s="227">
        <v>0</v>
      </c>
      <c r="I249" s="227">
        <f>I101</f>
        <v>509593.89</v>
      </c>
      <c r="J249" s="200"/>
      <c r="K249" s="186">
        <f>SUM(C249:J249)</f>
        <v>509593.89</v>
      </c>
      <c r="L249" s="210"/>
      <c r="M249" s="1483">
        <f>K249-I101</f>
        <v>0</v>
      </c>
      <c r="N249" s="1133"/>
      <c r="O249" s="1133"/>
      <c r="P249" s="1104"/>
      <c r="S249" s="1102"/>
      <c r="T249" s="1102"/>
      <c r="U249" s="1102"/>
    </row>
    <row r="250" spans="2:23" ht="15.6" customHeight="1" x14ac:dyDescent="0.25">
      <c r="C250" s="185"/>
      <c r="E250" s="185"/>
      <c r="G250" s="689"/>
      <c r="I250" s="978"/>
      <c r="J250" s="200"/>
      <c r="K250" s="978"/>
      <c r="L250" s="210"/>
      <c r="N250" s="1133"/>
      <c r="O250" s="1133"/>
      <c r="P250" s="1104"/>
      <c r="S250" s="1102"/>
      <c r="T250" s="1102"/>
      <c r="U250" s="1102"/>
    </row>
    <row r="251" spans="2:23" ht="15.6" customHeight="1" thickBot="1" x14ac:dyDescent="0.3">
      <c r="B251" s="50" t="s">
        <v>2247</v>
      </c>
      <c r="C251" s="690">
        <f>C248-C249</f>
        <v>0</v>
      </c>
      <c r="E251" s="690">
        <f>E248-E249</f>
        <v>0</v>
      </c>
      <c r="G251" s="690">
        <f>G248-G249</f>
        <v>0</v>
      </c>
      <c r="I251" s="690">
        <f>I248-I249</f>
        <v>270396.0199999999</v>
      </c>
      <c r="J251" s="200"/>
      <c r="K251" s="690">
        <f>K248-K249</f>
        <v>270396.0199999999</v>
      </c>
      <c r="L251" s="210"/>
      <c r="M251" s="1483">
        <f>K251-K101</f>
        <v>0</v>
      </c>
      <c r="N251" s="1133"/>
      <c r="O251" s="1133"/>
      <c r="P251" s="1104"/>
      <c r="S251" s="1102"/>
      <c r="T251" s="1102"/>
      <c r="U251" s="1102"/>
    </row>
    <row r="252" spans="2:23" ht="15.6" customHeight="1" thickTop="1" x14ac:dyDescent="0.25">
      <c r="I252" s="200"/>
      <c r="J252" s="200"/>
      <c r="K252" s="200"/>
      <c r="L252" s="210"/>
      <c r="N252" s="1133"/>
      <c r="O252" s="1133"/>
      <c r="P252" s="1105"/>
      <c r="S252" s="1102"/>
      <c r="T252" s="1102"/>
      <c r="U252" s="1102"/>
    </row>
    <row r="253" spans="2:23" ht="15.6" customHeight="1" x14ac:dyDescent="0.25">
      <c r="B253" s="229" t="s">
        <v>2248</v>
      </c>
      <c r="C253" s="881"/>
      <c r="D253" s="48"/>
      <c r="E253" s="881"/>
      <c r="F253" s="48"/>
      <c r="G253" s="881"/>
      <c r="H253" s="48"/>
      <c r="I253" s="881"/>
      <c r="J253" s="48"/>
      <c r="K253" s="881"/>
      <c r="N253" s="1134"/>
      <c r="O253" s="1134"/>
      <c r="P253" s="1104"/>
      <c r="S253" s="1102"/>
      <c r="T253" s="1102"/>
      <c r="U253" s="1102"/>
    </row>
    <row r="254" spans="2:23" ht="15.6" customHeight="1" x14ac:dyDescent="0.25">
      <c r="B254" s="48" t="s">
        <v>2245</v>
      </c>
      <c r="C254" s="227">
        <f>331559</f>
        <v>331559</v>
      </c>
      <c r="D254" s="199"/>
      <c r="E254" s="227">
        <v>417633</v>
      </c>
      <c r="F254" s="199"/>
      <c r="G254" s="227">
        <v>397904</v>
      </c>
      <c r="H254" s="199"/>
      <c r="I254" s="186">
        <v>9547118</v>
      </c>
      <c r="J254" s="199"/>
      <c r="K254" s="186">
        <f>SUM(C254:J254)</f>
        <v>10694214</v>
      </c>
      <c r="M254" s="1483">
        <f>K254-G102</f>
        <v>0</v>
      </c>
      <c r="N254" s="1133"/>
      <c r="O254" s="1133"/>
      <c r="T254" s="1102"/>
      <c r="U254" s="1102"/>
    </row>
    <row r="255" spans="2:23" ht="15.6" customHeight="1" x14ac:dyDescent="0.25">
      <c r="B255" s="48" t="s">
        <v>2246</v>
      </c>
      <c r="C255" s="227">
        <f>C254-C257</f>
        <v>299994.75</v>
      </c>
      <c r="E255" s="227">
        <f>E254-E257</f>
        <v>392309</v>
      </c>
      <c r="G255" s="227">
        <f>G254-G257</f>
        <v>389177</v>
      </c>
      <c r="I255" s="227">
        <f>I254-I257</f>
        <v>9547118</v>
      </c>
      <c r="J255" s="200"/>
      <c r="K255" s="186">
        <f>SUM(C255:J255)</f>
        <v>10628598.75</v>
      </c>
      <c r="L255" s="210"/>
      <c r="M255" s="1483">
        <f>K255-I102</f>
        <v>4.75</v>
      </c>
      <c r="N255" s="1133"/>
      <c r="O255" s="1133"/>
      <c r="T255" s="1102"/>
      <c r="U255" s="1102"/>
    </row>
    <row r="256" spans="2:23" ht="15.6" customHeight="1" x14ac:dyDescent="0.25">
      <c r="C256" s="185"/>
      <c r="E256" s="185"/>
      <c r="G256" s="689"/>
      <c r="I256" s="978"/>
      <c r="J256" s="200"/>
      <c r="K256" s="978"/>
      <c r="L256" s="210"/>
      <c r="N256" s="1133"/>
      <c r="O256" s="1133"/>
      <c r="T256" s="1102"/>
      <c r="U256" s="1102"/>
    </row>
    <row r="257" spans="2:21" ht="15.6" customHeight="1" thickBot="1" x14ac:dyDescent="0.3">
      <c r="B257" s="50" t="s">
        <v>2247</v>
      </c>
      <c r="C257" s="690">
        <f>31569-4.75</f>
        <v>31564.25</v>
      </c>
      <c r="E257" s="690">
        <v>25324</v>
      </c>
      <c r="G257" s="690">
        <v>8727</v>
      </c>
      <c r="I257" s="690">
        <v>0</v>
      </c>
      <c r="J257" s="200"/>
      <c r="K257" s="690">
        <f>K254-K255</f>
        <v>65615.25</v>
      </c>
      <c r="L257" s="210"/>
      <c r="M257" s="1483">
        <f>K257-K102</f>
        <v>-4.75</v>
      </c>
      <c r="N257" s="1133"/>
      <c r="O257" s="1133"/>
      <c r="T257" s="1102"/>
      <c r="U257" s="1102"/>
    </row>
    <row r="258" spans="2:21" ht="15.6" customHeight="1" thickTop="1" x14ac:dyDescent="0.25">
      <c r="I258" s="200"/>
      <c r="J258" s="200"/>
      <c r="K258" s="200"/>
      <c r="L258" s="210"/>
      <c r="N258" s="1133"/>
      <c r="O258" s="1133"/>
      <c r="T258" s="1102"/>
      <c r="U258" s="1102"/>
    </row>
    <row r="259" spans="2:21" ht="15.6" customHeight="1" x14ac:dyDescent="0.25">
      <c r="B259" s="229" t="s">
        <v>471</v>
      </c>
      <c r="C259" s="881"/>
      <c r="D259" s="48"/>
      <c r="E259" s="881"/>
      <c r="F259" s="48"/>
      <c r="G259" s="881"/>
      <c r="H259" s="48"/>
      <c r="I259" s="881"/>
      <c r="J259" s="48"/>
      <c r="K259" s="881"/>
      <c r="N259" s="1134"/>
      <c r="O259" s="1134"/>
      <c r="T259" s="1102"/>
      <c r="U259" s="1102"/>
    </row>
    <row r="260" spans="2:21" ht="15.6" customHeight="1" x14ac:dyDescent="0.25">
      <c r="B260" s="48" t="s">
        <v>2245</v>
      </c>
      <c r="C260" s="227">
        <v>513724</v>
      </c>
      <c r="D260" s="199"/>
      <c r="E260" s="227">
        <v>616246</v>
      </c>
      <c r="F260" s="199"/>
      <c r="G260" s="227">
        <v>569136</v>
      </c>
      <c r="H260" s="199"/>
      <c r="I260" s="186">
        <v>12203835</v>
      </c>
      <c r="J260" s="199"/>
      <c r="K260" s="186">
        <f>SUM(C260:J260)</f>
        <v>13902941</v>
      </c>
      <c r="M260" s="1483">
        <f>K260-G103</f>
        <v>0</v>
      </c>
      <c r="N260" s="1133"/>
      <c r="O260" s="1133"/>
      <c r="T260" s="1102"/>
      <c r="U260" s="1102"/>
    </row>
    <row r="261" spans="2:21" ht="15.6" customHeight="1" x14ac:dyDescent="0.25">
      <c r="B261" s="48" t="s">
        <v>2246</v>
      </c>
      <c r="C261" s="227">
        <f>C260-C263</f>
        <v>437984</v>
      </c>
      <c r="E261" s="227">
        <f>E260-E263</f>
        <v>552948</v>
      </c>
      <c r="G261" s="227">
        <f>G260-G263</f>
        <v>549751</v>
      </c>
      <c r="I261" s="227">
        <f>I260-I263</f>
        <v>12203835</v>
      </c>
      <c r="J261" s="200"/>
      <c r="K261" s="186">
        <f>SUM(C261:J261)</f>
        <v>13744518</v>
      </c>
      <c r="L261" s="210"/>
      <c r="M261" s="1483">
        <f>K261-I103</f>
        <v>0</v>
      </c>
      <c r="N261" s="1133"/>
      <c r="O261" s="1133"/>
      <c r="T261" s="1102"/>
      <c r="U261" s="1102"/>
    </row>
    <row r="262" spans="2:21" ht="15.6" customHeight="1" x14ac:dyDescent="0.25">
      <c r="C262" s="185"/>
      <c r="E262" s="185"/>
      <c r="G262" s="689"/>
      <c r="I262" s="978"/>
      <c r="J262" s="200"/>
      <c r="K262" s="978"/>
      <c r="L262" s="210"/>
      <c r="N262" s="1133"/>
      <c r="O262" s="1133"/>
      <c r="T262" s="1102"/>
      <c r="U262" s="1102"/>
    </row>
    <row r="263" spans="2:21" ht="15.6" customHeight="1" thickBot="1" x14ac:dyDescent="0.3">
      <c r="B263" s="50" t="s">
        <v>2247</v>
      </c>
      <c r="C263" s="690">
        <v>75740</v>
      </c>
      <c r="E263" s="690">
        <v>63298</v>
      </c>
      <c r="G263" s="690">
        <v>19385</v>
      </c>
      <c r="I263" s="690">
        <v>0</v>
      </c>
      <c r="J263" s="200"/>
      <c r="K263" s="690">
        <f>K260-K261</f>
        <v>158423</v>
      </c>
      <c r="L263" s="210"/>
      <c r="M263" s="1483">
        <f>K263-K103</f>
        <v>0</v>
      </c>
      <c r="N263" s="1133"/>
      <c r="O263" s="1133"/>
      <c r="T263" s="1102"/>
      <c r="U263" s="1102"/>
    </row>
    <row r="264" spans="2:21" ht="15.6" customHeight="1" thickTop="1" x14ac:dyDescent="0.25">
      <c r="I264" s="200"/>
      <c r="J264" s="200"/>
      <c r="K264" s="200"/>
      <c r="L264" s="210"/>
      <c r="N264" s="1133"/>
      <c r="O264" s="1133"/>
      <c r="T264" s="1102"/>
      <c r="U264" s="1102"/>
    </row>
    <row r="265" spans="2:21" ht="15.6" customHeight="1" x14ac:dyDescent="0.25">
      <c r="B265" s="229" t="s">
        <v>474</v>
      </c>
      <c r="C265" s="881"/>
      <c r="D265" s="48"/>
      <c r="E265" s="881"/>
      <c r="F265" s="48"/>
      <c r="G265" s="881"/>
      <c r="H265" s="48"/>
      <c r="I265" s="881"/>
      <c r="J265" s="48"/>
      <c r="K265" s="881"/>
      <c r="N265" s="1134"/>
      <c r="O265" s="1134"/>
      <c r="T265" s="1102"/>
      <c r="U265" s="1102"/>
    </row>
    <row r="266" spans="2:21" ht="15.6" customHeight="1" x14ac:dyDescent="0.25">
      <c r="B266" s="48" t="s">
        <v>2245</v>
      </c>
      <c r="C266" s="227">
        <v>2685981</v>
      </c>
      <c r="D266" s="199"/>
      <c r="E266" s="227">
        <v>1220800</v>
      </c>
      <c r="F266" s="199"/>
      <c r="G266" s="227">
        <v>931719</v>
      </c>
      <c r="H266" s="199"/>
      <c r="I266" s="186">
        <f>35629721-16858903.46</f>
        <v>18770817.539999999</v>
      </c>
      <c r="J266" s="199"/>
      <c r="K266" s="186">
        <f>SUM(C266:J266)</f>
        <v>23609317.539999999</v>
      </c>
      <c r="M266" s="1483">
        <f>K266-G104</f>
        <v>0</v>
      </c>
      <c r="N266" s="1133"/>
      <c r="O266" s="1133"/>
      <c r="T266" s="1102"/>
      <c r="U266" s="1102"/>
    </row>
    <row r="267" spans="2:21" ht="15.6" customHeight="1" x14ac:dyDescent="0.25">
      <c r="B267" s="48" t="s">
        <v>2246</v>
      </c>
      <c r="C267" s="227">
        <f>C266-C269</f>
        <v>2555353</v>
      </c>
      <c r="E267" s="227">
        <f>E266-E269</f>
        <v>1019033</v>
      </c>
      <c r="G267" s="227">
        <f>G266-G269</f>
        <v>917170</v>
      </c>
      <c r="I267" s="227">
        <f>I266-I269</f>
        <v>18770817.539999999</v>
      </c>
      <c r="J267" s="200"/>
      <c r="K267" s="186">
        <f>SUM(C267:J267)</f>
        <v>23262373.539999999</v>
      </c>
      <c r="L267" s="210"/>
      <c r="M267" s="1483">
        <f>K267-I104</f>
        <v>0</v>
      </c>
      <c r="N267" s="1133"/>
      <c r="O267" s="1133"/>
      <c r="T267" s="1102"/>
      <c r="U267" s="1102"/>
    </row>
    <row r="268" spans="2:21" ht="15.6" customHeight="1" x14ac:dyDescent="0.25">
      <c r="C268" s="185"/>
      <c r="E268" s="185"/>
      <c r="G268" s="689"/>
      <c r="I268" s="978"/>
      <c r="J268" s="200"/>
      <c r="K268" s="978"/>
      <c r="L268" s="210"/>
      <c r="N268" s="1133"/>
      <c r="O268" s="1133"/>
      <c r="T268" s="1102"/>
      <c r="U268" s="1102"/>
    </row>
    <row r="269" spans="2:21" ht="15.6" customHeight="1" thickBot="1" x14ac:dyDescent="0.3">
      <c r="B269" s="50" t="s">
        <v>2247</v>
      </c>
      <c r="C269" s="690">
        <v>130628</v>
      </c>
      <c r="E269" s="690">
        <v>201767</v>
      </c>
      <c r="G269" s="690">
        <v>14549</v>
      </c>
      <c r="I269" s="690">
        <v>0</v>
      </c>
      <c r="J269" s="200"/>
      <c r="K269" s="690">
        <f>K266-K267</f>
        <v>346944</v>
      </c>
      <c r="L269" s="210"/>
      <c r="M269" s="1483">
        <f>K269-K104</f>
        <v>0</v>
      </c>
      <c r="N269" s="1133"/>
      <c r="O269" s="1133"/>
      <c r="T269" s="1102"/>
      <c r="U269" s="1102"/>
    </row>
    <row r="270" spans="2:21" ht="15.6" customHeight="1" thickTop="1" x14ac:dyDescent="0.25">
      <c r="I270" s="200"/>
      <c r="J270" s="200"/>
      <c r="K270" s="200"/>
      <c r="L270" s="210"/>
      <c r="N270" s="1133"/>
      <c r="O270" s="1133"/>
      <c r="T270" s="1102"/>
      <c r="U270" s="1102"/>
    </row>
    <row r="271" spans="2:21" ht="15.6" customHeight="1" x14ac:dyDescent="0.25">
      <c r="B271" s="229" t="s">
        <v>4237</v>
      </c>
      <c r="C271" s="881"/>
      <c r="D271" s="48"/>
      <c r="E271" s="881"/>
      <c r="F271" s="48"/>
      <c r="G271" s="881"/>
      <c r="H271" s="48"/>
      <c r="I271" s="881"/>
      <c r="J271" s="48"/>
      <c r="K271" s="881"/>
      <c r="N271" s="1134"/>
      <c r="O271" s="1134"/>
      <c r="T271" s="1102"/>
      <c r="U271" s="1102"/>
    </row>
    <row r="272" spans="2:21" ht="15.6" customHeight="1" x14ac:dyDescent="0.25">
      <c r="B272" s="48" t="s">
        <v>2245</v>
      </c>
      <c r="C272" s="227">
        <f>102598</f>
        <v>102598</v>
      </c>
      <c r="D272" s="199"/>
      <c r="E272" s="227">
        <v>147667</v>
      </c>
      <c r="F272" s="199"/>
      <c r="G272" s="227">
        <v>141565</v>
      </c>
      <c r="H272" s="199"/>
      <c r="I272" s="186">
        <v>18163290</v>
      </c>
      <c r="J272" s="199"/>
      <c r="K272" s="186">
        <f>SUM(C272:J272)</f>
        <v>18555120</v>
      </c>
      <c r="M272" s="1483">
        <f>K272-G105</f>
        <v>0</v>
      </c>
      <c r="N272" s="1133"/>
      <c r="O272" s="1133"/>
      <c r="T272" s="1102"/>
      <c r="U272" s="1102"/>
    </row>
    <row r="273" spans="1:21" ht="15.6" customHeight="1" x14ac:dyDescent="0.25">
      <c r="B273" s="48" t="s">
        <v>2246</v>
      </c>
      <c r="C273" s="227">
        <f>C272-C275</f>
        <v>92827</v>
      </c>
      <c r="E273" s="227">
        <f>E272-E275</f>
        <v>139404</v>
      </c>
      <c r="G273" s="227">
        <f>G272-G275</f>
        <v>138515</v>
      </c>
      <c r="I273" s="227">
        <f>I272-I275</f>
        <v>18163290</v>
      </c>
      <c r="J273" s="200"/>
      <c r="K273" s="186">
        <f>SUM(C273:J273)</f>
        <v>18534036</v>
      </c>
      <c r="L273" s="210"/>
      <c r="M273" s="1483">
        <f>K273-I105</f>
        <v>0</v>
      </c>
      <c r="N273" s="1133"/>
      <c r="O273" s="1133"/>
      <c r="T273" s="1102"/>
      <c r="U273" s="1102"/>
    </row>
    <row r="274" spans="1:21" ht="15.6" customHeight="1" x14ac:dyDescent="0.25">
      <c r="C274" s="185"/>
      <c r="E274" s="185"/>
      <c r="G274" s="689"/>
      <c r="I274" s="978"/>
      <c r="J274" s="200"/>
      <c r="K274" s="978"/>
      <c r="L274" s="210"/>
      <c r="N274" s="1133"/>
      <c r="O274" s="1133"/>
      <c r="T274" s="1102"/>
      <c r="U274" s="1102"/>
    </row>
    <row r="275" spans="1:21" ht="15.6" customHeight="1" thickBot="1" x14ac:dyDescent="0.3">
      <c r="B275" s="50" t="s">
        <v>2247</v>
      </c>
      <c r="C275" s="690">
        <f>9771</f>
        <v>9771</v>
      </c>
      <c r="E275" s="690">
        <v>8263</v>
      </c>
      <c r="G275" s="690">
        <v>3050</v>
      </c>
      <c r="I275" s="690">
        <v>0</v>
      </c>
      <c r="J275" s="200"/>
      <c r="K275" s="690">
        <f>K272-K273</f>
        <v>21084</v>
      </c>
      <c r="L275" s="210"/>
      <c r="M275" s="1483">
        <f>K275-K105</f>
        <v>0</v>
      </c>
      <c r="N275" s="1133"/>
      <c r="O275" s="1133"/>
      <c r="T275" s="1102"/>
      <c r="U275" s="1102"/>
    </row>
    <row r="276" spans="1:21" ht="15.6" customHeight="1" thickTop="1" x14ac:dyDescent="0.25">
      <c r="I276" s="200"/>
      <c r="J276" s="200"/>
      <c r="K276" s="200"/>
      <c r="L276" s="210"/>
      <c r="N276" s="1133"/>
      <c r="O276" s="1133"/>
      <c r="T276" s="1102"/>
      <c r="U276" s="1102"/>
    </row>
    <row r="277" spans="1:21" x14ac:dyDescent="0.25">
      <c r="B277" s="2839" t="str">
        <f>"As at 30 June 2012 Receivables of R"&amp;FIXED(K287,0,FALSE)&amp;" were past due but not impaired.  The age analysis of these Receivables are as follows:"</f>
        <v>As at 30 June 2012 Receivables of R614 759 were past due but not impaired.  The age analysis of these Receivables are as follows:</v>
      </c>
      <c r="C277" s="2839"/>
      <c r="D277" s="2839"/>
      <c r="E277" s="2839"/>
      <c r="F277" s="2839"/>
      <c r="G277" s="2839"/>
      <c r="H277" s="2839"/>
      <c r="I277" s="2839"/>
      <c r="J277" s="2839"/>
      <c r="K277" s="2839"/>
      <c r="M277" s="1217" t="s">
        <v>2243</v>
      </c>
      <c r="O277" s="1133"/>
      <c r="T277" s="1102"/>
      <c r="U277" s="1102"/>
    </row>
    <row r="278" spans="1:21" ht="30.95" hidden="1" customHeight="1" x14ac:dyDescent="0.25">
      <c r="A278" s="1177"/>
      <c r="B278" s="2842" t="s">
        <v>2493</v>
      </c>
      <c r="C278" s="2843"/>
      <c r="D278" s="2843"/>
      <c r="E278" s="2843"/>
      <c r="F278" s="2843"/>
      <c r="G278" s="2843"/>
      <c r="H278" s="2843"/>
      <c r="I278" s="2843"/>
      <c r="J278" s="2843"/>
      <c r="K278" s="2843"/>
      <c r="L278" s="980"/>
      <c r="N278" s="1133"/>
      <c r="O278" s="1133"/>
      <c r="T278" s="1102"/>
      <c r="U278" s="1102"/>
    </row>
    <row r="279" spans="1:21" ht="30.95" hidden="1" customHeight="1" x14ac:dyDescent="0.25">
      <c r="A279" s="1177"/>
      <c r="B279" s="2842" t="s">
        <v>2251</v>
      </c>
      <c r="C279" s="2843"/>
      <c r="D279" s="2843"/>
      <c r="E279" s="2843"/>
      <c r="F279" s="2843"/>
      <c r="G279" s="2843"/>
      <c r="H279" s="2843"/>
      <c r="I279" s="2843"/>
      <c r="J279" s="2843"/>
      <c r="K279" s="2843"/>
      <c r="L279" s="980"/>
      <c r="N279" s="1133"/>
      <c r="O279" s="1133"/>
      <c r="T279" s="1102"/>
      <c r="U279" s="1102"/>
    </row>
    <row r="280" spans="1:21" ht="15.6" customHeight="1" x14ac:dyDescent="0.25">
      <c r="D280" s="135"/>
      <c r="E280" s="2834" t="s">
        <v>2244</v>
      </c>
      <c r="F280" s="2835"/>
      <c r="G280" s="2835"/>
      <c r="H280" s="2835"/>
      <c r="I280" s="2836"/>
      <c r="J280" s="209"/>
      <c r="K280" s="2837" t="s">
        <v>234</v>
      </c>
      <c r="M280" s="1147"/>
      <c r="N280" s="1134"/>
      <c r="O280" s="1134"/>
      <c r="P280" s="1106"/>
    </row>
    <row r="281" spans="1:21" ht="15.6" customHeight="1" x14ac:dyDescent="0.25">
      <c r="B281" s="50"/>
      <c r="C281" s="50"/>
      <c r="D281" s="974"/>
      <c r="E281" s="976" t="s">
        <v>293</v>
      </c>
      <c r="F281" s="974"/>
      <c r="G281" s="976" t="s">
        <v>294</v>
      </c>
      <c r="H281" s="974"/>
      <c r="I281" s="975" t="s">
        <v>1345</v>
      </c>
      <c r="J281" s="209"/>
      <c r="K281" s="2838"/>
      <c r="M281" s="1147"/>
      <c r="N281" s="1134"/>
      <c r="O281" s="1134"/>
      <c r="P281" s="1103"/>
    </row>
    <row r="282" spans="1:21" ht="15.6" customHeight="1" x14ac:dyDescent="0.25">
      <c r="I282" s="200"/>
      <c r="J282" s="200"/>
      <c r="K282" s="200"/>
      <c r="L282" s="210"/>
      <c r="N282" s="1133"/>
      <c r="O282" s="1133"/>
      <c r="P282" s="1103"/>
    </row>
    <row r="283" spans="1:21" ht="15.6" customHeight="1" x14ac:dyDescent="0.25">
      <c r="B283" s="229" t="s">
        <v>4238</v>
      </c>
      <c r="D283" s="48"/>
      <c r="E283" s="881"/>
      <c r="F283" s="48"/>
      <c r="G283" s="881"/>
      <c r="H283" s="48"/>
      <c r="I283" s="881"/>
      <c r="J283" s="48"/>
      <c r="K283" s="881"/>
      <c r="N283" s="1134"/>
      <c r="O283" s="1134"/>
      <c r="P283" s="1105"/>
      <c r="S283" s="1102"/>
      <c r="T283" s="1102"/>
      <c r="U283" s="1102"/>
    </row>
    <row r="284" spans="1:21" ht="15.6" customHeight="1" x14ac:dyDescent="0.25">
      <c r="B284" s="48" t="s">
        <v>2245</v>
      </c>
      <c r="C284" s="962">
        <f>SUM(C248,C254,C260,C266,C272)</f>
        <v>3633862</v>
      </c>
      <c r="D284" s="199"/>
      <c r="E284" s="227">
        <f>SUM(E248,E254,E260,E266,E272)</f>
        <v>2402346</v>
      </c>
      <c r="F284" s="199"/>
      <c r="G284" s="227">
        <f>SUM(G248,G254,G260,G266,G272)</f>
        <v>2040324</v>
      </c>
      <c r="H284" s="199"/>
      <c r="I284" s="227">
        <f>SUM(I248,I254,I260,I266,I272)</f>
        <v>59465050.450000003</v>
      </c>
      <c r="J284" s="199"/>
      <c r="K284" s="186">
        <f>SUM(E284:J284)</f>
        <v>63907720.450000003</v>
      </c>
      <c r="M284" s="1483">
        <f>K284-G110+SUM(C248,C254,C260,C266,C272)</f>
        <v>0</v>
      </c>
      <c r="N284" s="1133"/>
      <c r="O284" s="1133"/>
      <c r="T284" s="1102"/>
      <c r="U284" s="1102"/>
    </row>
    <row r="285" spans="1:21" ht="15.6" customHeight="1" x14ac:dyDescent="0.25">
      <c r="B285" s="48" t="s">
        <v>2246</v>
      </c>
      <c r="C285" s="962">
        <f>SUM(C249,C255,C261,C267,C273)</f>
        <v>3386158.75</v>
      </c>
      <c r="E285" s="227">
        <f>SUM(E249,E255,E261,E267,E273)</f>
        <v>2103694</v>
      </c>
      <c r="G285" s="227">
        <f>SUM(G249,G255,G261,G267,G273)</f>
        <v>1994613</v>
      </c>
      <c r="I285" s="227">
        <f>SUM(I249,I255,I261,I267,I273)</f>
        <v>59194654.43</v>
      </c>
      <c r="J285" s="200"/>
      <c r="K285" s="186">
        <f>SUM(E285:J285)</f>
        <v>63292961.43</v>
      </c>
      <c r="L285" s="210"/>
      <c r="M285" s="1483">
        <f>K285-I110+SUM(C249,C255,C261,C267,C273)</f>
        <v>4.75</v>
      </c>
      <c r="N285" s="1133"/>
      <c r="O285" s="1133"/>
      <c r="T285" s="1102"/>
      <c r="U285" s="1102"/>
    </row>
    <row r="286" spans="1:21" ht="15.6" customHeight="1" x14ac:dyDescent="0.25">
      <c r="C286" s="961"/>
      <c r="E286" s="185"/>
      <c r="G286" s="689"/>
      <c r="I286" s="978"/>
      <c r="J286" s="200"/>
      <c r="K286" s="978"/>
      <c r="L286" s="210"/>
      <c r="N286" s="1133"/>
      <c r="O286" s="1133"/>
      <c r="R286" s="1097"/>
      <c r="T286" s="1101"/>
      <c r="U286" s="1102"/>
    </row>
    <row r="287" spans="1:21" ht="15.6" customHeight="1" thickBot="1" x14ac:dyDescent="0.3">
      <c r="B287" s="50" t="s">
        <v>2247</v>
      </c>
      <c r="C287" s="985">
        <f>C284-C285</f>
        <v>247703.25</v>
      </c>
      <c r="E287" s="690">
        <f>E284-E285</f>
        <v>298652</v>
      </c>
      <c r="G287" s="690">
        <f>G284-G285</f>
        <v>45711</v>
      </c>
      <c r="I287" s="690">
        <f>I284-I285</f>
        <v>270396.02000000328</v>
      </c>
      <c r="J287" s="200"/>
      <c r="K287" s="690">
        <f>K284-K285</f>
        <v>614759.02000000328</v>
      </c>
      <c r="L287" s="210"/>
      <c r="M287" s="1483">
        <f>K287-K110+SUM(C251,C257,C263,C269,C275)</f>
        <v>-4.7499999966239557</v>
      </c>
      <c r="N287" s="1133"/>
      <c r="O287" s="1133"/>
      <c r="R287" s="1097"/>
      <c r="T287" s="1101"/>
      <c r="U287" s="1102"/>
    </row>
    <row r="288" spans="1:21" ht="15.6" customHeight="1" thickTop="1" x14ac:dyDescent="0.25">
      <c r="C288" s="986"/>
      <c r="I288" s="200"/>
      <c r="J288" s="200"/>
      <c r="K288" s="200"/>
      <c r="L288" s="210"/>
      <c r="N288" s="1133"/>
      <c r="O288" s="1133"/>
      <c r="R288" s="1097"/>
      <c r="T288" s="1101"/>
      <c r="U288" s="1102"/>
    </row>
    <row r="289" spans="2:21" ht="15.6" customHeight="1" x14ac:dyDescent="0.25">
      <c r="B289" s="50" t="str">
        <f>"As at "&amp;Parameters!C13</f>
        <v>As at 30 June 2011</v>
      </c>
      <c r="C289" s="881"/>
      <c r="I289" s="199"/>
      <c r="J289" s="199"/>
      <c r="K289" s="199"/>
      <c r="M289" s="1147"/>
      <c r="N289" s="1134"/>
      <c r="O289" s="1134"/>
      <c r="R289" s="1097"/>
      <c r="T289" s="1101"/>
      <c r="U289" s="1102"/>
    </row>
    <row r="290" spans="2:21" ht="15.6" customHeight="1" x14ac:dyDescent="0.25">
      <c r="C290" s="977" t="s">
        <v>1441</v>
      </c>
      <c r="D290" s="135"/>
      <c r="E290" s="2834" t="s">
        <v>2244</v>
      </c>
      <c r="F290" s="2835"/>
      <c r="G290" s="2835"/>
      <c r="H290" s="2835"/>
      <c r="I290" s="2836"/>
      <c r="J290" s="209"/>
      <c r="K290" s="2837" t="s">
        <v>234</v>
      </c>
      <c r="M290" s="1147"/>
      <c r="N290" s="1134"/>
      <c r="O290" s="1134"/>
      <c r="R290" s="1097"/>
      <c r="T290" s="1101"/>
      <c r="U290" s="1102"/>
    </row>
    <row r="291" spans="2:21" ht="15.6" customHeight="1" x14ac:dyDescent="0.25">
      <c r="B291" s="50"/>
      <c r="C291" s="976" t="s">
        <v>1528</v>
      </c>
      <c r="D291" s="974"/>
      <c r="E291" s="976" t="s">
        <v>293</v>
      </c>
      <c r="F291" s="974"/>
      <c r="G291" s="976" t="s">
        <v>294</v>
      </c>
      <c r="H291" s="974"/>
      <c r="I291" s="975" t="s">
        <v>1345</v>
      </c>
      <c r="J291" s="209"/>
      <c r="K291" s="2838"/>
      <c r="M291" s="1147"/>
      <c r="N291" s="1134"/>
      <c r="O291" s="1134"/>
      <c r="R291" s="1097"/>
      <c r="T291" s="1101"/>
      <c r="U291" s="1102"/>
    </row>
    <row r="292" spans="2:21" ht="15.6" customHeight="1" x14ac:dyDescent="0.25">
      <c r="I292" s="200"/>
      <c r="J292" s="200"/>
      <c r="K292" s="200"/>
      <c r="L292" s="210"/>
      <c r="N292" s="1133"/>
      <c r="O292" s="1133"/>
      <c r="R292" s="1097"/>
      <c r="T292" s="1101"/>
      <c r="U292" s="1102"/>
    </row>
    <row r="293" spans="2:21" ht="15.6" customHeight="1" x14ac:dyDescent="0.25">
      <c r="B293" s="229" t="s">
        <v>459</v>
      </c>
      <c r="C293" s="881"/>
      <c r="D293" s="48"/>
      <c r="E293" s="881"/>
      <c r="F293" s="48"/>
      <c r="G293" s="881"/>
      <c r="H293" s="48"/>
      <c r="I293" s="881"/>
      <c r="J293" s="48"/>
      <c r="K293" s="881"/>
      <c r="N293" s="1134"/>
      <c r="O293" s="1134"/>
      <c r="R293" s="1097"/>
      <c r="T293" s="1101"/>
      <c r="U293" s="1102"/>
    </row>
    <row r="294" spans="2:21" ht="15.6" customHeight="1" x14ac:dyDescent="0.25">
      <c r="B294" s="48" t="s">
        <v>2245</v>
      </c>
      <c r="C294" s="227">
        <v>0</v>
      </c>
      <c r="D294" s="199"/>
      <c r="E294" s="227">
        <v>0</v>
      </c>
      <c r="F294" s="199"/>
      <c r="G294" s="227">
        <v>0</v>
      </c>
      <c r="H294" s="199"/>
      <c r="I294" s="186">
        <f>G118</f>
        <v>540134.42000000004</v>
      </c>
      <c r="J294" s="199"/>
      <c r="K294" s="186">
        <f>SUM(C294:J294)</f>
        <v>540134.42000000004</v>
      </c>
      <c r="M294" s="1483">
        <f>K294-G118</f>
        <v>0</v>
      </c>
      <c r="N294" s="1133"/>
      <c r="O294" s="1133"/>
      <c r="R294" s="1097"/>
      <c r="T294" s="1101"/>
      <c r="U294" s="1102"/>
    </row>
    <row r="295" spans="2:21" ht="15.6" customHeight="1" x14ac:dyDescent="0.25">
      <c r="B295" s="48" t="s">
        <v>2246</v>
      </c>
      <c r="C295" s="227">
        <v>0</v>
      </c>
      <c r="E295" s="227">
        <v>0</v>
      </c>
      <c r="G295" s="227">
        <v>0</v>
      </c>
      <c r="I295" s="2270">
        <f>I118</f>
        <v>292284.19</v>
      </c>
      <c r="J295" s="200"/>
      <c r="K295" s="186">
        <f>SUM(C295:J295)</f>
        <v>292284.19</v>
      </c>
      <c r="L295" s="210"/>
      <c r="M295" s="1483">
        <f>K295-I118</f>
        <v>0</v>
      </c>
      <c r="N295" s="2101">
        <v>0.98</v>
      </c>
      <c r="O295" s="1133"/>
      <c r="R295" s="1097"/>
      <c r="T295" s="1101"/>
      <c r="U295" s="1102"/>
    </row>
    <row r="296" spans="2:21" ht="15.6" customHeight="1" x14ac:dyDescent="0.25">
      <c r="C296" s="185"/>
      <c r="E296" s="185"/>
      <c r="G296" s="689"/>
      <c r="I296" s="978"/>
      <c r="J296" s="200"/>
      <c r="K296" s="978"/>
      <c r="L296" s="210"/>
      <c r="N296" s="1133"/>
      <c r="O296" s="1133"/>
      <c r="R296" s="1097"/>
      <c r="T296" s="1101"/>
      <c r="U296" s="1102"/>
    </row>
    <row r="297" spans="2:21" ht="15.6" customHeight="1" thickBot="1" x14ac:dyDescent="0.3">
      <c r="B297" s="50" t="s">
        <v>2247</v>
      </c>
      <c r="C297" s="690">
        <f>C294-C295</f>
        <v>0</v>
      </c>
      <c r="E297" s="690">
        <f>E294-E295</f>
        <v>0</v>
      </c>
      <c r="G297" s="690">
        <f>G294-G295</f>
        <v>0</v>
      </c>
      <c r="I297" s="690">
        <v>14575</v>
      </c>
      <c r="J297" s="200"/>
      <c r="K297" s="690">
        <f>K294-K295</f>
        <v>247850.23000000004</v>
      </c>
      <c r="L297" s="210"/>
      <c r="M297" s="1483">
        <f>K297-K118</f>
        <v>0</v>
      </c>
      <c r="N297" s="1133"/>
      <c r="O297" s="1133"/>
      <c r="R297" s="1097"/>
      <c r="T297" s="1101"/>
      <c r="U297" s="1102"/>
    </row>
    <row r="298" spans="2:21" ht="15.6" customHeight="1" thickTop="1" x14ac:dyDescent="0.25">
      <c r="I298" s="200"/>
      <c r="J298" s="200"/>
      <c r="K298" s="200"/>
      <c r="L298" s="210"/>
      <c r="N298" s="1133"/>
      <c r="O298" s="1133"/>
      <c r="R298" s="1097"/>
      <c r="T298" s="1101"/>
      <c r="U298" s="1102"/>
    </row>
    <row r="299" spans="2:21" ht="15.6" customHeight="1" x14ac:dyDescent="0.25">
      <c r="B299" s="229" t="s">
        <v>2248</v>
      </c>
      <c r="C299" s="881"/>
      <c r="D299" s="48"/>
      <c r="E299" s="881"/>
      <c r="F299" s="48"/>
      <c r="G299" s="881"/>
      <c r="H299" s="48"/>
      <c r="I299" s="881"/>
      <c r="J299" s="48"/>
      <c r="K299" s="881"/>
      <c r="N299" s="1134"/>
      <c r="O299" s="1134"/>
      <c r="R299" s="1097"/>
      <c r="T299" s="1101"/>
      <c r="U299" s="1102"/>
    </row>
    <row r="300" spans="2:21" ht="15.6" customHeight="1" x14ac:dyDescent="0.25">
      <c r="B300" s="48" t="s">
        <v>2245</v>
      </c>
      <c r="C300" s="227">
        <f>6526921*(C254/K254)</f>
        <v>202357.9666386889</v>
      </c>
      <c r="D300" s="199"/>
      <c r="E300" s="227">
        <f>6526921*(E254/K254)</f>
        <v>254890.87818824273</v>
      </c>
      <c r="F300" s="199"/>
      <c r="G300" s="227">
        <f>6526921*(G254/K254)</f>
        <v>242849.82267831935</v>
      </c>
      <c r="H300" s="199"/>
      <c r="I300" s="186">
        <f>6526921*(I254/K254)</f>
        <v>5826822.3324947488</v>
      </c>
      <c r="J300" s="199"/>
      <c r="K300" s="186">
        <f>SUM(C300:J300)</f>
        <v>6526921</v>
      </c>
      <c r="M300" s="1483">
        <f>K300-G119</f>
        <v>0</v>
      </c>
      <c r="N300" s="1133"/>
      <c r="O300" s="1133"/>
      <c r="R300" s="1097"/>
      <c r="T300" s="1101"/>
      <c r="U300" s="1102"/>
    </row>
    <row r="301" spans="2:21" ht="15.6" customHeight="1" x14ac:dyDescent="0.25">
      <c r="B301" s="48" t="s">
        <v>2246</v>
      </c>
      <c r="C301" s="227">
        <f>C300-C303</f>
        <v>41605.9666386889</v>
      </c>
      <c r="E301" s="227">
        <f>E300</f>
        <v>254890.87818824273</v>
      </c>
      <c r="G301" s="227">
        <f>G300</f>
        <v>242849.82267831935</v>
      </c>
      <c r="I301" s="227">
        <f>I300</f>
        <v>5826822.3324947488</v>
      </c>
      <c r="J301" s="200"/>
      <c r="K301" s="186">
        <f>SUM(C301:J301)</f>
        <v>6366169</v>
      </c>
      <c r="L301" s="210"/>
      <c r="M301" s="1483">
        <f>K301-I119</f>
        <v>0</v>
      </c>
      <c r="N301" s="1133"/>
      <c r="O301" s="1133"/>
      <c r="R301" s="1097"/>
      <c r="T301" s="1101"/>
      <c r="U301" s="1102"/>
    </row>
    <row r="302" spans="2:21" ht="15.6" customHeight="1" x14ac:dyDescent="0.25">
      <c r="C302" s="185"/>
      <c r="E302" s="185"/>
      <c r="G302" s="689"/>
      <c r="I302" s="978"/>
      <c r="J302" s="200"/>
      <c r="K302" s="978"/>
      <c r="L302" s="210"/>
      <c r="N302" s="1133"/>
      <c r="O302" s="1133"/>
      <c r="R302" s="1097"/>
      <c r="T302" s="1101"/>
      <c r="U302" s="1102"/>
    </row>
    <row r="303" spans="2:21" ht="15.6" customHeight="1" thickBot="1" x14ac:dyDescent="0.3">
      <c r="B303" s="50" t="s">
        <v>2247</v>
      </c>
      <c r="C303" s="690">
        <v>160752</v>
      </c>
      <c r="E303" s="690">
        <f>E300-E301</f>
        <v>0</v>
      </c>
      <c r="G303" s="690">
        <f>G300-G301</f>
        <v>0</v>
      </c>
      <c r="I303" s="690">
        <f>I300-I301</f>
        <v>0</v>
      </c>
      <c r="J303" s="200"/>
      <c r="K303" s="690">
        <f>K300-K301</f>
        <v>160752</v>
      </c>
      <c r="L303" s="210"/>
      <c r="M303" s="1483">
        <f>K303-K119</f>
        <v>0</v>
      </c>
      <c r="N303" s="1133"/>
      <c r="O303" s="1133"/>
      <c r="R303" s="1097"/>
      <c r="T303" s="1101"/>
      <c r="U303" s="1102"/>
    </row>
    <row r="304" spans="2:21" ht="15.6" customHeight="1" thickTop="1" x14ac:dyDescent="0.25">
      <c r="I304" s="200"/>
      <c r="J304" s="200"/>
      <c r="K304" s="200"/>
      <c r="L304" s="210"/>
      <c r="N304" s="1133"/>
      <c r="O304" s="1133"/>
      <c r="R304" s="1097"/>
      <c r="T304" s="1101"/>
      <c r="U304" s="1102"/>
    </row>
    <row r="305" spans="2:21" ht="15.6" customHeight="1" x14ac:dyDescent="0.25">
      <c r="B305" s="229" t="s">
        <v>471</v>
      </c>
      <c r="C305" s="881"/>
      <c r="D305" s="48"/>
      <c r="E305" s="881"/>
      <c r="F305" s="48"/>
      <c r="G305" s="881"/>
      <c r="H305" s="48"/>
      <c r="I305" s="881"/>
      <c r="J305" s="48"/>
      <c r="K305" s="881"/>
      <c r="N305" s="1134"/>
      <c r="O305" s="1134"/>
      <c r="R305" s="1097"/>
      <c r="T305" s="1101"/>
      <c r="U305" s="1102"/>
    </row>
    <row r="306" spans="2:21" ht="15.6" customHeight="1" x14ac:dyDescent="0.25">
      <c r="B306" s="48" t="s">
        <v>2245</v>
      </c>
      <c r="C306" s="227">
        <f>8350623*(C260/K260)</f>
        <v>308561.72446189623</v>
      </c>
      <c r="D306" s="199"/>
      <c r="E306" s="227">
        <f>8350623*(E260/K260)</f>
        <v>370140.24739499361</v>
      </c>
      <c r="F306" s="199"/>
      <c r="G306" s="227">
        <f>8350623*(G260/K260)</f>
        <v>341844.23078023561</v>
      </c>
      <c r="H306" s="199"/>
      <c r="I306" s="186">
        <f>8350623*(I260/K260)</f>
        <v>7330076.7973628743</v>
      </c>
      <c r="J306" s="199"/>
      <c r="K306" s="186">
        <f>SUM(C306:J306)</f>
        <v>8350623</v>
      </c>
      <c r="M306" s="1483">
        <f>K306-G120</f>
        <v>0</v>
      </c>
      <c r="N306" s="1133"/>
      <c r="O306" s="1133"/>
      <c r="R306" s="1097"/>
      <c r="T306" s="1101"/>
      <c r="U306" s="1102"/>
    </row>
    <row r="307" spans="2:21" ht="15.6" customHeight="1" x14ac:dyDescent="0.25">
      <c r="B307" s="48" t="s">
        <v>2246</v>
      </c>
      <c r="C307" s="227">
        <f>C306-C309</f>
        <v>169965.92331046201</v>
      </c>
      <c r="E307" s="227">
        <f>E306-E309</f>
        <v>303067.31440029771</v>
      </c>
      <c r="G307" s="227">
        <f>G306</f>
        <v>341844.23078023561</v>
      </c>
      <c r="I307" s="227">
        <f>I306</f>
        <v>7330076.7973628743</v>
      </c>
      <c r="J307" s="200"/>
      <c r="K307" s="186">
        <f>SUM(C307:J307)</f>
        <v>8144954.2658538697</v>
      </c>
      <c r="L307" s="210"/>
      <c r="M307" s="1483">
        <f>K307-I120</f>
        <v>0</v>
      </c>
      <c r="N307" s="1133"/>
      <c r="O307" s="1133"/>
      <c r="R307" s="1097"/>
      <c r="T307" s="1101"/>
      <c r="U307" s="1102"/>
    </row>
    <row r="308" spans="2:21" ht="15.6" customHeight="1" x14ac:dyDescent="0.25">
      <c r="C308" s="185"/>
      <c r="E308" s="185"/>
      <c r="G308" s="689"/>
      <c r="I308" s="978"/>
      <c r="J308" s="200"/>
      <c r="K308" s="978"/>
      <c r="L308" s="210"/>
      <c r="N308" s="1133"/>
      <c r="O308" s="1133"/>
      <c r="R308" s="1097"/>
      <c r="T308" s="1101"/>
      <c r="U308" s="1102"/>
    </row>
    <row r="309" spans="2:21" ht="15.6" customHeight="1" thickBot="1" x14ac:dyDescent="0.3">
      <c r="B309" s="50" t="s">
        <v>2247</v>
      </c>
      <c r="C309" s="690">
        <f>294388*(8350623/17737357)</f>
        <v>138595.80115143422</v>
      </c>
      <c r="E309" s="690">
        <f>142468*(8350623/17737357)</f>
        <v>67072.93299469589</v>
      </c>
      <c r="G309" s="690">
        <f>G306-G307</f>
        <v>0</v>
      </c>
      <c r="I309" s="690">
        <f>I306-I307</f>
        <v>0</v>
      </c>
      <c r="J309" s="200"/>
      <c r="K309" s="690">
        <f>K306-K307</f>
        <v>205668.73414613027</v>
      </c>
      <c r="L309" s="210"/>
      <c r="M309" s="1483">
        <f>K309-K120</f>
        <v>0</v>
      </c>
      <c r="N309" s="1133"/>
      <c r="O309" s="1133"/>
      <c r="R309" s="1097"/>
      <c r="T309" s="1101"/>
      <c r="U309" s="1102"/>
    </row>
    <row r="310" spans="2:21" ht="15.6" customHeight="1" thickTop="1" x14ac:dyDescent="0.25">
      <c r="I310" s="200"/>
      <c r="J310" s="200"/>
      <c r="K310" s="200"/>
      <c r="L310" s="210"/>
      <c r="N310" s="1133"/>
      <c r="O310" s="1133"/>
      <c r="R310" s="1097"/>
      <c r="T310" s="1101"/>
      <c r="U310" s="1102"/>
    </row>
    <row r="311" spans="2:21" ht="15.6" customHeight="1" x14ac:dyDescent="0.25">
      <c r="B311" s="229" t="s">
        <v>474</v>
      </c>
      <c r="C311" s="881"/>
      <c r="D311" s="48"/>
      <c r="E311" s="881"/>
      <c r="F311" s="48"/>
      <c r="G311" s="881"/>
      <c r="H311" s="48"/>
      <c r="I311" s="881"/>
      <c r="J311" s="48"/>
      <c r="K311" s="881"/>
      <c r="N311" s="1134"/>
      <c r="O311" s="1134"/>
      <c r="R311" s="1097"/>
      <c r="T311" s="1101"/>
      <c r="U311" s="1102"/>
    </row>
    <row r="312" spans="2:21" ht="15.6" customHeight="1" x14ac:dyDescent="0.25">
      <c r="B312" s="48" t="s">
        <v>2245</v>
      </c>
      <c r="C312" s="227">
        <f>15301841*(C266/K266)</f>
        <v>1740857.3594466129</v>
      </c>
      <c r="D312" s="199"/>
      <c r="E312" s="227">
        <f>15301841*(E266/K266)</f>
        <v>791233.69242463924</v>
      </c>
      <c r="F312" s="199"/>
      <c r="G312" s="227">
        <f>15301841*(G266/K266)</f>
        <v>603872.43174327689</v>
      </c>
      <c r="H312" s="199"/>
      <c r="I312" s="186">
        <f>15301841*(I266/K266)</f>
        <v>12165877.51638547</v>
      </c>
      <c r="J312" s="199"/>
      <c r="K312" s="186">
        <f>SUM(C312:J312)</f>
        <v>15301840.999999998</v>
      </c>
      <c r="M312" s="1483">
        <f>K312-G121</f>
        <v>0</v>
      </c>
      <c r="N312" s="1133"/>
      <c r="O312" s="1133"/>
      <c r="R312" s="1097"/>
      <c r="T312" s="1101"/>
      <c r="U312" s="1102"/>
    </row>
    <row r="313" spans="2:21" ht="15.6" customHeight="1" x14ac:dyDescent="0.25">
      <c r="B313" s="48" t="s">
        <v>2246</v>
      </c>
      <c r="C313" s="227">
        <f>C312-C315</f>
        <v>1354469.7408775708</v>
      </c>
      <c r="E313" s="227">
        <f>E312</f>
        <v>791233.69242463924</v>
      </c>
      <c r="G313" s="227">
        <f>G312</f>
        <v>603872.43174327689</v>
      </c>
      <c r="I313" s="227">
        <f>I312</f>
        <v>12165877.51638547</v>
      </c>
      <c r="J313" s="200"/>
      <c r="K313" s="186">
        <f>SUM(C313:J313)</f>
        <v>14915453.381430957</v>
      </c>
      <c r="L313" s="210"/>
      <c r="M313" s="1483">
        <f>K313-I121</f>
        <v>0</v>
      </c>
      <c r="N313" s="1133"/>
      <c r="O313" s="1133"/>
      <c r="R313" s="1097"/>
      <c r="T313" s="1101"/>
      <c r="U313" s="1102"/>
    </row>
    <row r="314" spans="2:21" ht="15.6" customHeight="1" x14ac:dyDescent="0.25">
      <c r="C314" s="185"/>
      <c r="E314" s="185"/>
      <c r="G314" s="689"/>
      <c r="I314" s="978"/>
      <c r="J314" s="200"/>
      <c r="K314" s="978"/>
      <c r="L314" s="210"/>
      <c r="N314" s="1133"/>
      <c r="O314" s="1133"/>
      <c r="R314" s="1097"/>
      <c r="T314" s="1101"/>
      <c r="U314" s="1102"/>
    </row>
    <row r="315" spans="2:21" ht="15.6" customHeight="1" thickBot="1" x14ac:dyDescent="0.3">
      <c r="B315" s="50" t="s">
        <v>2247</v>
      </c>
      <c r="C315" s="690">
        <f>438710*(15301841/17373928)</f>
        <v>386387.61856904207</v>
      </c>
      <c r="E315" s="690">
        <f>E312-E313</f>
        <v>0</v>
      </c>
      <c r="G315" s="690">
        <f>G312-G313</f>
        <v>0</v>
      </c>
      <c r="I315" s="690">
        <f>I312-I313</f>
        <v>0</v>
      </c>
      <c r="J315" s="200"/>
      <c r="K315" s="690">
        <f>K312-K313</f>
        <v>386387.61856904067</v>
      </c>
      <c r="L315" s="210"/>
      <c r="M315" s="1483">
        <f>K315-K121</f>
        <v>0</v>
      </c>
      <c r="N315" s="1133"/>
      <c r="O315" s="1133"/>
      <c r="R315" s="1097"/>
      <c r="T315" s="1101"/>
      <c r="U315" s="1102"/>
    </row>
    <row r="316" spans="2:21" ht="15.6" customHeight="1" thickTop="1" x14ac:dyDescent="0.25">
      <c r="I316" s="200"/>
      <c r="J316" s="200"/>
      <c r="K316" s="200"/>
      <c r="L316" s="210"/>
      <c r="N316" s="1133"/>
      <c r="O316" s="1133"/>
      <c r="R316" s="1097"/>
      <c r="T316" s="1101"/>
      <c r="U316" s="1102"/>
    </row>
    <row r="317" spans="2:21" ht="15.6" customHeight="1" x14ac:dyDescent="0.25">
      <c r="B317" s="229" t="s">
        <v>4237</v>
      </c>
      <c r="C317" s="881"/>
      <c r="D317" s="48"/>
      <c r="E317" s="881"/>
      <c r="F317" s="48"/>
      <c r="G317" s="881"/>
      <c r="H317" s="48"/>
      <c r="I317" s="881"/>
      <c r="J317" s="48"/>
      <c r="K317" s="881"/>
      <c r="N317" s="1134"/>
      <c r="O317" s="1134"/>
      <c r="R317" s="1097"/>
      <c r="T317" s="1101"/>
      <c r="U317" s="1102"/>
    </row>
    <row r="318" spans="2:21" ht="15.6" customHeight="1" x14ac:dyDescent="0.25">
      <c r="B318" s="48" t="s">
        <v>2245</v>
      </c>
      <c r="C318" s="227">
        <f>('Trial Balance - FPos'!C43*'Notes I'!C312/'Notes I'!K312)+('Trial Balance - FPos'!C46*'Notes I'!C611/'Notes I'!K611)+'Trial Balance - FPos'!C47+'Trial Balance - FPos'!C48+'Trial Balance - FPos'!C50+('Trial Balance - FPos'!C51*'Notes I'!C306/'Notes I'!K306)</f>
        <v>1197578.1346882191</v>
      </c>
      <c r="D318" s="199"/>
      <c r="E318" s="2270">
        <f>('Trial Balance - FPos'!C43*'Notes I'!E312/'Notes I'!K312)+('Trial Balance - FPos'!C46*'Notes I'!E611/'Notes I'!K611)+('Trial Balance - FPos'!C51*'Notes I'!E306/'Notes I'!K306)</f>
        <v>575872.85077420296</v>
      </c>
      <c r="F318" s="199"/>
      <c r="G318" s="2270">
        <f>('Trial Balance - FPos'!C43*'Notes I'!G312/'Notes I'!K312)+('Trial Balance - FPos'!C46*'Notes I'!G611/'Notes I'!K611)+('Trial Balance - FPos'!C51*'Notes I'!G306/'Notes I'!K306)</f>
        <v>513440.426455874</v>
      </c>
      <c r="H318" s="199"/>
      <c r="I318" s="908">
        <f>('Trial Balance - FPos'!C43*'Notes I'!I312/'Notes I'!K312)+'Trial Balance - FPos'!C44+('Trial Balance - FPos'!C46*'Notes I'!I611/'Notes I'!K611)+('Trial Balance - FPos'!C51*'Notes I'!I306/'Notes I'!K306)</f>
        <v>15183560.318081703</v>
      </c>
      <c r="J318" s="199"/>
      <c r="K318" s="186">
        <f>SUM(C318:J318)</f>
        <v>17470451.73</v>
      </c>
      <c r="M318" s="1483">
        <f>K318-G122</f>
        <v>0</v>
      </c>
      <c r="N318" s="1133"/>
      <c r="O318" s="1133"/>
      <c r="R318" s="1097"/>
      <c r="T318" s="1101"/>
      <c r="U318" s="1102"/>
    </row>
    <row r="319" spans="2:21" ht="15.6" customHeight="1" x14ac:dyDescent="0.25">
      <c r="B319" s="48" t="s">
        <v>2246</v>
      </c>
      <c r="C319" s="227">
        <v>843810.81002365192</v>
      </c>
      <c r="E319" s="227">
        <v>416756.43995108007</v>
      </c>
      <c r="G319" s="227">
        <v>442327.80490908475</v>
      </c>
      <c r="I319" s="227">
        <v>10881265.945116185</v>
      </c>
      <c r="J319" s="200"/>
      <c r="K319" s="186">
        <v>12584161.000000002</v>
      </c>
      <c r="L319" s="210"/>
      <c r="M319" s="1483">
        <f>K319-I122</f>
        <v>0</v>
      </c>
      <c r="N319" s="1133">
        <f>421098+9155547+2458475+547618+1423</f>
        <v>12584161</v>
      </c>
      <c r="O319" s="1133"/>
      <c r="R319" s="1097"/>
      <c r="T319" s="1101"/>
      <c r="U319" s="1102"/>
    </row>
    <row r="320" spans="2:21" ht="15.6" customHeight="1" x14ac:dyDescent="0.25">
      <c r="C320" s="186"/>
      <c r="E320" s="186"/>
      <c r="G320" s="689"/>
      <c r="I320" s="978"/>
      <c r="J320" s="200"/>
      <c r="K320" s="978"/>
      <c r="L320" s="210"/>
      <c r="N320" s="1133"/>
      <c r="O320" s="1133"/>
      <c r="R320" s="1097"/>
      <c r="T320" s="1101"/>
      <c r="U320" s="1102"/>
    </row>
    <row r="321" spans="1:23" ht="15.6" customHeight="1" thickBot="1" x14ac:dyDescent="0.3">
      <c r="B321" s="50" t="s">
        <v>2247</v>
      </c>
      <c r="C321" s="690">
        <f>C318-C319</f>
        <v>353767.32466456713</v>
      </c>
      <c r="E321" s="690">
        <f>E318-E319</f>
        <v>159116.41082312289</v>
      </c>
      <c r="G321" s="690">
        <f>G318-G319</f>
        <v>71112.621546789247</v>
      </c>
      <c r="I321" s="690">
        <f>I318-I319</f>
        <v>4302294.3729655184</v>
      </c>
      <c r="J321" s="200"/>
      <c r="K321" s="690">
        <f>K318-K319</f>
        <v>4886290.7299999986</v>
      </c>
      <c r="L321" s="210"/>
      <c r="M321" s="1483">
        <f>K321-K122</f>
        <v>0</v>
      </c>
      <c r="N321" s="1133"/>
      <c r="O321" s="1133"/>
      <c r="R321" s="1097"/>
      <c r="T321" s="1101"/>
      <c r="U321" s="1102"/>
    </row>
    <row r="322" spans="1:23" ht="15.6" customHeight="1" thickTop="1" x14ac:dyDescent="0.25">
      <c r="C322" s="199"/>
      <c r="E322" s="199"/>
      <c r="I322" s="200"/>
      <c r="J322" s="200"/>
      <c r="K322" s="200"/>
      <c r="L322" s="210"/>
      <c r="N322" s="1133"/>
      <c r="O322" s="1133"/>
      <c r="R322" s="1097"/>
      <c r="T322" s="1101"/>
      <c r="U322" s="1102"/>
    </row>
    <row r="323" spans="1:23" ht="15.6" customHeight="1" x14ac:dyDescent="0.25">
      <c r="B323" s="2839" t="str">
        <f>"As at 30 June Receivables of R"&amp;FIXED(K333,0,FALSE)&amp;" were past due but not impaired.  The age analysis of these Receivables are as follows:"</f>
        <v>As at 30 June Receivables of R4 847 447 were past due but not impaired.  The age analysis of these Receivables are as follows:</v>
      </c>
      <c r="C323" s="2839"/>
      <c r="D323" s="2839"/>
      <c r="E323" s="2839"/>
      <c r="F323" s="2839"/>
      <c r="G323" s="2839"/>
      <c r="H323" s="2839"/>
      <c r="I323" s="2839"/>
      <c r="J323" s="2839"/>
      <c r="K323" s="2839"/>
      <c r="M323" s="1217" t="s">
        <v>2243</v>
      </c>
      <c r="O323" s="1133"/>
      <c r="R323" s="1097"/>
      <c r="T323" s="1101"/>
      <c r="U323" s="1102"/>
    </row>
    <row r="324" spans="1:23" ht="30.95" hidden="1" customHeight="1" x14ac:dyDescent="0.25">
      <c r="A324" s="1177"/>
      <c r="B324" s="2842" t="s">
        <v>2493</v>
      </c>
      <c r="C324" s="2843"/>
      <c r="D324" s="2843"/>
      <c r="E324" s="2843"/>
      <c r="F324" s="2843"/>
      <c r="G324" s="2843"/>
      <c r="H324" s="2843"/>
      <c r="I324" s="2843"/>
      <c r="J324" s="2843"/>
      <c r="K324" s="2843"/>
      <c r="L324" s="980"/>
      <c r="N324" s="1133"/>
      <c r="O324" s="1133"/>
      <c r="R324" s="1097"/>
      <c r="T324" s="1101"/>
      <c r="U324" s="1102"/>
    </row>
    <row r="325" spans="1:23" ht="30.95" hidden="1" customHeight="1" x14ac:dyDescent="0.25">
      <c r="A325" s="1177"/>
      <c r="B325" s="2842" t="s">
        <v>2251</v>
      </c>
      <c r="C325" s="2843"/>
      <c r="D325" s="2843"/>
      <c r="E325" s="2843"/>
      <c r="F325" s="2843"/>
      <c r="G325" s="2843"/>
      <c r="H325" s="2843"/>
      <c r="I325" s="2843"/>
      <c r="J325" s="2843"/>
      <c r="K325" s="2843"/>
      <c r="L325" s="980"/>
      <c r="N325" s="1133"/>
      <c r="O325" s="1133"/>
      <c r="R325" s="1097"/>
      <c r="T325" s="1101"/>
      <c r="U325" s="1102"/>
    </row>
    <row r="326" spans="1:23" ht="15.6" customHeight="1" x14ac:dyDescent="0.25">
      <c r="D326" s="135"/>
      <c r="E326" s="2834" t="s">
        <v>2244</v>
      </c>
      <c r="F326" s="2835"/>
      <c r="G326" s="2835"/>
      <c r="H326" s="2835"/>
      <c r="I326" s="2836"/>
      <c r="J326" s="209"/>
      <c r="K326" s="2837" t="s">
        <v>234</v>
      </c>
      <c r="M326" s="1147"/>
      <c r="N326" s="1134"/>
      <c r="O326" s="1134"/>
      <c r="R326" s="1097"/>
      <c r="T326" s="1101"/>
      <c r="U326" s="1102"/>
    </row>
    <row r="327" spans="1:23" ht="15.6" customHeight="1" x14ac:dyDescent="0.25">
      <c r="B327" s="50"/>
      <c r="D327" s="974"/>
      <c r="E327" s="976" t="s">
        <v>293</v>
      </c>
      <c r="F327" s="974"/>
      <c r="G327" s="976" t="s">
        <v>294</v>
      </c>
      <c r="H327" s="974"/>
      <c r="I327" s="975" t="s">
        <v>1345</v>
      </c>
      <c r="J327" s="209"/>
      <c r="K327" s="2838"/>
      <c r="M327" s="1147"/>
      <c r="N327" s="1134"/>
      <c r="O327" s="1134"/>
      <c r="R327" s="1097"/>
      <c r="T327" s="1101"/>
      <c r="U327" s="1102"/>
    </row>
    <row r="328" spans="1:23" ht="15.6" customHeight="1" x14ac:dyDescent="0.25">
      <c r="I328" s="200"/>
      <c r="J328" s="200"/>
      <c r="K328" s="200"/>
      <c r="L328" s="210"/>
      <c r="N328" s="1133"/>
      <c r="O328" s="1133"/>
      <c r="R328" s="1097"/>
      <c r="T328" s="1101"/>
      <c r="U328" s="1102"/>
    </row>
    <row r="329" spans="1:23" ht="15.6" customHeight="1" x14ac:dyDescent="0.25">
      <c r="B329" s="229" t="s">
        <v>4238</v>
      </c>
      <c r="D329" s="48"/>
      <c r="E329" s="881"/>
      <c r="F329" s="48"/>
      <c r="G329" s="881"/>
      <c r="H329" s="48"/>
      <c r="I329" s="881"/>
      <c r="J329" s="48"/>
      <c r="K329" s="881"/>
      <c r="N329" s="1134"/>
      <c r="O329" s="1134"/>
      <c r="R329" s="1097"/>
      <c r="T329" s="1101"/>
      <c r="U329" s="1102"/>
    </row>
    <row r="330" spans="1:23" ht="15.6" customHeight="1" x14ac:dyDescent="0.25">
      <c r="B330" s="48" t="s">
        <v>2245</v>
      </c>
      <c r="C330" s="962">
        <f>SUM(C294,C300,C306,C312,C318)</f>
        <v>3449355.185235417</v>
      </c>
      <c r="D330" s="199"/>
      <c r="E330" s="227">
        <f>SUM(E294,E300,E306,E312,E318)</f>
        <v>1992137.6687820787</v>
      </c>
      <c r="F330" s="199"/>
      <c r="G330" s="227">
        <f>SUM(G294,G300,G306,G312,G318)</f>
        <v>1702006.9116577059</v>
      </c>
      <c r="H330" s="199"/>
      <c r="I330" s="227">
        <f>SUM(I294,I300,I306,I312,I318)</f>
        <v>41046471.384324796</v>
      </c>
      <c r="J330" s="199"/>
      <c r="K330" s="186">
        <f>SUM(E330:J330)</f>
        <v>44740615.96476458</v>
      </c>
      <c r="M330" s="1483">
        <f>K330-G127+SUM(C294,C300,C306,C312,C318)</f>
        <v>0</v>
      </c>
      <c r="N330" s="1133"/>
      <c r="O330" s="1133"/>
      <c r="R330" s="1097"/>
      <c r="T330" s="1101"/>
      <c r="U330" s="1102"/>
    </row>
    <row r="331" spans="1:23" ht="15.6" customHeight="1" x14ac:dyDescent="0.25">
      <c r="B331" s="48" t="s">
        <v>2246</v>
      </c>
      <c r="C331" s="962">
        <f>SUM(C295,C301,C307,C313,C319)</f>
        <v>2409852.4408503734</v>
      </c>
      <c r="E331" s="227">
        <f>SUM(E295,E301,E307,E313,E319)</f>
        <v>1765948.32496426</v>
      </c>
      <c r="G331" s="227">
        <f>SUM(G295,G301,G307,G313,G319)</f>
        <v>1630894.2901109166</v>
      </c>
      <c r="I331" s="227">
        <f>SUM(I295,I301,I307,I313,I319)</f>
        <v>36496326.781359278</v>
      </c>
      <c r="J331" s="200"/>
      <c r="K331" s="186">
        <f>SUM(E331:J331)</f>
        <v>39893169.396434456</v>
      </c>
      <c r="L331" s="210"/>
      <c r="M331" s="1483">
        <f>K331-I127+SUM(C295,C301,C307,C313,C319)</f>
        <v>3.7252902984619141E-9</v>
      </c>
      <c r="N331" s="1133"/>
      <c r="O331" s="1133"/>
      <c r="R331" s="1097"/>
      <c r="T331" s="1101"/>
      <c r="U331" s="1102"/>
    </row>
    <row r="332" spans="1:23" ht="15.6" customHeight="1" x14ac:dyDescent="0.25">
      <c r="C332" s="961"/>
      <c r="E332" s="185"/>
      <c r="G332" s="689"/>
      <c r="I332" s="978"/>
      <c r="J332" s="200"/>
      <c r="K332" s="978"/>
      <c r="L332" s="210"/>
      <c r="N332" s="1133"/>
      <c r="O332" s="1133"/>
      <c r="R332" s="1097"/>
      <c r="T332" s="1101"/>
      <c r="U332" s="1102"/>
    </row>
    <row r="333" spans="1:23" ht="15.6" customHeight="1" thickBot="1" x14ac:dyDescent="0.3">
      <c r="B333" s="50" t="s">
        <v>2247</v>
      </c>
      <c r="C333" s="985">
        <f>C330-C331</f>
        <v>1039502.7443850436</v>
      </c>
      <c r="E333" s="690">
        <f>E330-E331</f>
        <v>226189.34381781868</v>
      </c>
      <c r="G333" s="690">
        <f>G330-G331</f>
        <v>71112.621546789305</v>
      </c>
      <c r="I333" s="690">
        <f>I330-I331</f>
        <v>4550144.6029655188</v>
      </c>
      <c r="J333" s="200"/>
      <c r="K333" s="690">
        <f>K330-K331</f>
        <v>4847446.568330124</v>
      </c>
      <c r="L333" s="210"/>
      <c r="M333" s="1483">
        <f>K333-K127+SUM(C297,C303,C309,C315,C321)</f>
        <v>-1.6298145055770874E-9</v>
      </c>
      <c r="N333" s="1133"/>
      <c r="O333" s="1133"/>
      <c r="R333" s="1097"/>
      <c r="T333" s="1101"/>
      <c r="U333" s="1102"/>
    </row>
    <row r="334" spans="1:23" ht="15.6" customHeight="1" thickTop="1" x14ac:dyDescent="0.25">
      <c r="C334" s="986"/>
      <c r="I334" s="200"/>
      <c r="J334" s="200"/>
      <c r="K334" s="200"/>
      <c r="L334" s="210"/>
      <c r="N334" s="1133"/>
      <c r="O334" s="1133"/>
      <c r="R334" s="1097"/>
      <c r="T334" s="1101"/>
      <c r="U334" s="1102"/>
    </row>
    <row r="335" spans="1:23" ht="15.6" customHeight="1" x14ac:dyDescent="0.25">
      <c r="B335" s="229" t="s">
        <v>7527</v>
      </c>
      <c r="C335" s="50"/>
      <c r="D335" s="199"/>
      <c r="F335" s="199"/>
      <c r="G335" s="199"/>
      <c r="H335" s="199"/>
      <c r="I335" s="199"/>
      <c r="J335" s="199"/>
      <c r="K335" s="199"/>
      <c r="M335" s="1147"/>
      <c r="N335" s="1134"/>
      <c r="O335" s="1134"/>
      <c r="R335" s="1097"/>
      <c r="T335" s="1101"/>
      <c r="U335" s="1102"/>
      <c r="W335" s="1128" t="s">
        <v>3857</v>
      </c>
    </row>
    <row r="336" spans="1:23" ht="15.6" customHeight="1" x14ac:dyDescent="0.25">
      <c r="I336" s="200"/>
      <c r="J336" s="200"/>
      <c r="K336" s="200"/>
      <c r="L336" s="210"/>
      <c r="N336" s="1133"/>
      <c r="O336" s="1133"/>
      <c r="R336" s="1097"/>
      <c r="T336" s="1101"/>
      <c r="U336" s="1102"/>
    </row>
    <row r="337" spans="2:21" ht="15.6" customHeight="1" x14ac:dyDescent="0.25">
      <c r="B337" s="50"/>
      <c r="C337" s="50"/>
      <c r="D337" s="209"/>
      <c r="E337" s="209"/>
      <c r="F337" s="209"/>
      <c r="G337" s="209" t="s">
        <v>171</v>
      </c>
      <c r="H337" s="209"/>
      <c r="I337" s="209" t="s">
        <v>172</v>
      </c>
      <c r="J337" s="209"/>
      <c r="K337" s="209"/>
      <c r="M337" s="1147"/>
      <c r="N337" s="1134"/>
      <c r="O337" s="1134"/>
      <c r="R337" s="1097"/>
      <c r="T337" s="1101"/>
      <c r="U337" s="1102"/>
    </row>
    <row r="338" spans="2:21" ht="15.6" customHeight="1" x14ac:dyDescent="0.25">
      <c r="B338" s="50"/>
      <c r="C338" s="50"/>
      <c r="D338" s="209"/>
      <c r="E338" s="209" t="s">
        <v>731</v>
      </c>
      <c r="F338" s="209"/>
      <c r="G338" s="209" t="s">
        <v>116</v>
      </c>
      <c r="H338" s="209"/>
      <c r="I338" s="209" t="s">
        <v>17</v>
      </c>
      <c r="J338" s="209"/>
      <c r="K338" s="209" t="s">
        <v>237</v>
      </c>
      <c r="M338" s="1147"/>
      <c r="N338" s="1134"/>
      <c r="O338" s="1134"/>
      <c r="R338" s="1097"/>
      <c r="T338" s="1101"/>
      <c r="U338" s="1102"/>
    </row>
    <row r="339" spans="2:21" ht="15.6" customHeight="1" x14ac:dyDescent="0.25">
      <c r="C339" s="50"/>
      <c r="D339" s="209"/>
      <c r="E339" s="209"/>
      <c r="F339" s="209"/>
      <c r="H339" s="209"/>
      <c r="I339" s="209" t="s">
        <v>18</v>
      </c>
      <c r="J339" s="209"/>
      <c r="K339" s="209"/>
      <c r="M339" s="1147"/>
      <c r="N339" s="1134"/>
      <c r="O339" s="1134"/>
      <c r="R339" s="1097"/>
      <c r="T339" s="1101"/>
      <c r="U339" s="1102"/>
    </row>
    <row r="340" spans="2:21" ht="15.6" customHeight="1" x14ac:dyDescent="0.25">
      <c r="B340" s="249"/>
      <c r="C340" s="50"/>
      <c r="D340" s="199"/>
      <c r="E340" s="209" t="s">
        <v>255</v>
      </c>
      <c r="F340" s="199"/>
      <c r="G340" s="209" t="s">
        <v>255</v>
      </c>
      <c r="H340" s="199"/>
      <c r="I340" s="209" t="s">
        <v>255</v>
      </c>
      <c r="J340" s="199"/>
      <c r="K340" s="209" t="s">
        <v>255</v>
      </c>
      <c r="M340" s="1147"/>
      <c r="N340" s="1134"/>
      <c r="O340" s="1134"/>
      <c r="R340" s="1097"/>
      <c r="T340" s="1101"/>
      <c r="U340" s="1102"/>
    </row>
    <row r="341" spans="2:21" ht="15.6" customHeight="1" x14ac:dyDescent="0.25">
      <c r="B341" s="50" t="str">
        <f>"As at "&amp;Parameters!C11</f>
        <v>As at 30 June 2012</v>
      </c>
      <c r="C341" s="50"/>
      <c r="D341" s="199"/>
      <c r="E341" s="199"/>
      <c r="F341" s="199"/>
      <c r="G341" s="199"/>
      <c r="H341" s="199"/>
      <c r="I341" s="199"/>
      <c r="J341" s="199"/>
      <c r="K341" s="199"/>
      <c r="M341" s="1147"/>
      <c r="N341" s="1134"/>
      <c r="O341" s="1134"/>
      <c r="R341" s="1097"/>
      <c r="T341" s="1101"/>
      <c r="U341" s="1102"/>
    </row>
    <row r="342" spans="2:21" ht="15.6" customHeight="1" x14ac:dyDescent="0.25">
      <c r="B342" s="50"/>
      <c r="C342" s="50"/>
      <c r="D342" s="199"/>
      <c r="E342" s="199"/>
      <c r="F342" s="199"/>
      <c r="G342" s="199"/>
      <c r="H342" s="199"/>
      <c r="I342" s="199"/>
      <c r="J342" s="199"/>
      <c r="K342" s="199"/>
      <c r="M342" s="1147"/>
      <c r="N342" s="1134"/>
      <c r="O342" s="1134"/>
      <c r="R342" s="1097"/>
      <c r="T342" s="1101"/>
      <c r="U342" s="1102"/>
    </row>
    <row r="343" spans="2:21" ht="15.6" customHeight="1" x14ac:dyDescent="0.25">
      <c r="B343" s="842" t="s">
        <v>1527</v>
      </c>
      <c r="C343" s="50"/>
      <c r="D343" s="199"/>
      <c r="F343" s="199"/>
      <c r="G343" s="199"/>
      <c r="H343" s="199"/>
      <c r="I343" s="199"/>
      <c r="J343" s="199"/>
      <c r="K343" s="199"/>
      <c r="M343" s="1147"/>
      <c r="N343" s="1134"/>
      <c r="O343" s="1134"/>
      <c r="R343" s="1097"/>
      <c r="T343" s="1101"/>
      <c r="U343" s="1102"/>
    </row>
    <row r="344" spans="2:21" ht="15.6" customHeight="1" x14ac:dyDescent="0.25">
      <c r="B344" s="48" t="s">
        <v>1528</v>
      </c>
      <c r="D344" s="199"/>
      <c r="E344" s="199">
        <f>3525924+612073.91-612073</f>
        <v>3525924.91</v>
      </c>
      <c r="F344" s="199"/>
      <c r="G344" s="199">
        <v>53406</v>
      </c>
      <c r="H344" s="199"/>
      <c r="I344" s="199">
        <v>54152</v>
      </c>
      <c r="J344" s="199"/>
      <c r="K344" s="199">
        <v>381</v>
      </c>
      <c r="M344" s="1147"/>
      <c r="N344" s="1134">
        <f>SUM(E344:K344)-C284</f>
        <v>1.9100000001490116</v>
      </c>
      <c r="O344" s="1134">
        <f>SUM(E344,G344,K344)</f>
        <v>3579711.91</v>
      </c>
      <c r="R344" s="1097"/>
      <c r="T344" s="1101"/>
      <c r="U344" s="1102"/>
    </row>
    <row r="345" spans="2:21" ht="15.6" customHeight="1" x14ac:dyDescent="0.25">
      <c r="B345" s="842" t="s">
        <v>1526</v>
      </c>
      <c r="D345" s="199"/>
      <c r="F345" s="199"/>
      <c r="G345" s="199"/>
      <c r="H345" s="199"/>
      <c r="I345" s="206"/>
      <c r="J345" s="199"/>
      <c r="K345" s="206"/>
      <c r="M345" s="1147"/>
      <c r="N345" s="1134"/>
      <c r="O345" s="1134"/>
      <c r="R345" s="1097"/>
      <c r="T345" s="1101"/>
      <c r="U345" s="1102"/>
    </row>
    <row r="346" spans="2:21" ht="15.6" customHeight="1" x14ac:dyDescent="0.25">
      <c r="B346" s="48" t="s">
        <v>293</v>
      </c>
      <c r="D346" s="199"/>
      <c r="E346" s="199">
        <v>2266418</v>
      </c>
      <c r="F346" s="199"/>
      <c r="G346" s="199">
        <v>74238</v>
      </c>
      <c r="H346" s="199"/>
      <c r="I346" s="199">
        <v>61191</v>
      </c>
      <c r="J346" s="199"/>
      <c r="K346" s="199">
        <v>499</v>
      </c>
      <c r="M346" s="1147"/>
      <c r="N346" s="1134">
        <f>SUM(E346:K346)-E284</f>
        <v>0</v>
      </c>
      <c r="O346" s="1134">
        <f>SUM(E346,G346,K346)</f>
        <v>2341155</v>
      </c>
      <c r="R346" s="1097"/>
      <c r="T346" s="1101"/>
      <c r="U346" s="1102"/>
    </row>
    <row r="347" spans="2:21" ht="15.6" customHeight="1" x14ac:dyDescent="0.25">
      <c r="B347" s="48" t="s">
        <v>294</v>
      </c>
      <c r="D347" s="199"/>
      <c r="E347" s="199">
        <f>1947923</f>
        <v>1947923</v>
      </c>
      <c r="F347" s="199"/>
      <c r="G347" s="199">
        <v>53702</v>
      </c>
      <c r="H347" s="199"/>
      <c r="I347" s="199">
        <v>38202</v>
      </c>
      <c r="J347" s="199"/>
      <c r="K347" s="199">
        <v>495</v>
      </c>
      <c r="M347" s="1147"/>
      <c r="N347" s="1134">
        <f>SUM(E347:K347)-G284</f>
        <v>-2</v>
      </c>
      <c r="O347" s="1134">
        <f>SUM(E347,G347,K347)</f>
        <v>2002120</v>
      </c>
      <c r="R347" s="1097"/>
      <c r="T347" s="1101"/>
      <c r="U347" s="1102"/>
    </row>
    <row r="348" spans="2:21" ht="15.6" customHeight="1" x14ac:dyDescent="0.25">
      <c r="B348" s="61" t="s">
        <v>1345</v>
      </c>
      <c r="D348" s="199"/>
      <c r="E348" s="199">
        <f>71276613+612073-16858903.46</f>
        <v>55029782.539999999</v>
      </c>
      <c r="F348" s="199"/>
      <c r="G348" s="199">
        <v>2815697</v>
      </c>
      <c r="H348" s="199"/>
      <c r="I348" s="199">
        <v>1603165</v>
      </c>
      <c r="J348" s="199"/>
      <c r="K348" s="199">
        <v>16405</v>
      </c>
      <c r="M348" s="1147"/>
      <c r="N348" s="1134">
        <f>SUM(E348:K348)-I284</f>
        <v>-0.91000000387430191</v>
      </c>
      <c r="O348" s="1134">
        <f>SUM(E348,G348,K348)</f>
        <v>57861884.539999999</v>
      </c>
      <c r="R348" s="1097"/>
      <c r="T348" s="1101"/>
      <c r="U348" s="1102"/>
    </row>
    <row r="349" spans="2:21" ht="15.6" customHeight="1" x14ac:dyDescent="0.25">
      <c r="B349" s="48" t="s">
        <v>271</v>
      </c>
      <c r="C349" s="50"/>
      <c r="D349" s="199"/>
      <c r="E349" s="250">
        <f>SUM(E344:E348)</f>
        <v>62770048.450000003</v>
      </c>
      <c r="F349" s="199"/>
      <c r="G349" s="250">
        <f>SUM(G344:G348)</f>
        <v>2997043</v>
      </c>
      <c r="H349" s="199"/>
      <c r="I349" s="250">
        <f>SUM(I344:I348)</f>
        <v>1756710</v>
      </c>
      <c r="J349" s="199"/>
      <c r="K349" s="250">
        <f>SUM(K344:K348)</f>
        <v>17780</v>
      </c>
      <c r="M349" s="1147">
        <f>E349+G349+I349+K349-G110</f>
        <v>-1</v>
      </c>
      <c r="N349" s="1134">
        <f>SUM(E349:K349)-G110</f>
        <v>-1</v>
      </c>
      <c r="O349" s="1134">
        <f>SUM(E349,G349,K349)</f>
        <v>65784871.450000003</v>
      </c>
      <c r="R349" s="1097"/>
      <c r="T349" s="1101"/>
      <c r="U349" s="1102"/>
    </row>
    <row r="350" spans="2:21" ht="15.6" customHeight="1" x14ac:dyDescent="0.25">
      <c r="B350" s="48" t="s">
        <v>1027</v>
      </c>
      <c r="D350" s="199"/>
      <c r="E350" s="199">
        <f>85116916-6597106+341677.89-16858903.46</f>
        <v>62002584.43</v>
      </c>
      <c r="F350" s="199"/>
      <c r="G350" s="199">
        <v>2937387</v>
      </c>
      <c r="H350" s="199"/>
      <c r="I350" s="199">
        <v>1721364</v>
      </c>
      <c r="J350" s="199"/>
      <c r="K350" s="199">
        <v>17780</v>
      </c>
      <c r="M350" s="1147"/>
      <c r="N350" s="1134">
        <f>SUM(E350:K350)-I110</f>
        <v>0</v>
      </c>
      <c r="O350" s="1134"/>
      <c r="R350" s="1097"/>
      <c r="T350" s="1101"/>
      <c r="U350" s="1102"/>
    </row>
    <row r="351" spans="2:21" ht="15.6" customHeight="1" thickBot="1" x14ac:dyDescent="0.3">
      <c r="B351" s="50" t="s">
        <v>2261</v>
      </c>
      <c r="D351" s="251"/>
      <c r="E351" s="202">
        <f>+E349-E350</f>
        <v>767464.02000000328</v>
      </c>
      <c r="F351" s="251"/>
      <c r="G351" s="202">
        <f>+G349-G350</f>
        <v>59656</v>
      </c>
      <c r="H351" s="251"/>
      <c r="I351" s="202">
        <f>+I349-I350</f>
        <v>35346</v>
      </c>
      <c r="J351" s="251"/>
      <c r="K351" s="202">
        <f>+K349-K350</f>
        <v>0</v>
      </c>
      <c r="M351" s="1147">
        <f>E351+G351+I351-K110</f>
        <v>-0.99999999662395567</v>
      </c>
      <c r="N351" s="1134"/>
      <c r="O351" s="1134"/>
      <c r="R351" s="1097"/>
      <c r="T351" s="1101"/>
      <c r="U351" s="1102"/>
    </row>
    <row r="352" spans="2:21" ht="15.6" customHeight="1" thickTop="1" x14ac:dyDescent="0.25">
      <c r="E352" s="57"/>
      <c r="G352" s="199"/>
      <c r="H352" s="199"/>
      <c r="I352" s="199"/>
      <c r="J352" s="199"/>
      <c r="K352" s="199"/>
      <c r="M352" s="1147"/>
      <c r="N352" s="1134"/>
      <c r="O352" s="1134"/>
      <c r="R352" s="1097"/>
      <c r="T352" s="1101"/>
      <c r="U352" s="1102"/>
    </row>
    <row r="353" spans="2:21" ht="15.6" customHeight="1" x14ac:dyDescent="0.25">
      <c r="B353" s="50"/>
      <c r="C353" s="50"/>
      <c r="D353" s="209"/>
      <c r="E353" s="1264"/>
      <c r="F353" s="1264"/>
      <c r="G353" s="1264" t="s">
        <v>171</v>
      </c>
      <c r="H353" s="1264"/>
      <c r="I353" s="1264" t="s">
        <v>172</v>
      </c>
      <c r="J353" s="1264"/>
      <c r="K353" s="1264"/>
      <c r="M353" s="1147"/>
      <c r="N353" s="1134"/>
      <c r="O353" s="1134"/>
      <c r="R353" s="1097"/>
      <c r="T353" s="1101"/>
      <c r="U353" s="1102"/>
    </row>
    <row r="354" spans="2:21" ht="15.6" customHeight="1" x14ac:dyDescent="0.25">
      <c r="B354" s="50"/>
      <c r="C354" s="50"/>
      <c r="D354" s="209"/>
      <c r="E354" s="1264" t="s">
        <v>731</v>
      </c>
      <c r="F354" s="1264"/>
      <c r="G354" s="1264" t="s">
        <v>116</v>
      </c>
      <c r="H354" s="1264"/>
      <c r="I354" s="1264" t="s">
        <v>17</v>
      </c>
      <c r="J354" s="1264"/>
      <c r="K354" s="1264" t="s">
        <v>237</v>
      </c>
      <c r="M354" s="1147"/>
      <c r="N354" s="1134"/>
      <c r="O354" s="1134"/>
      <c r="R354" s="1097"/>
      <c r="T354" s="1101"/>
      <c r="U354" s="1102"/>
    </row>
    <row r="355" spans="2:21" ht="15.6" customHeight="1" x14ac:dyDescent="0.25">
      <c r="C355" s="50"/>
      <c r="D355" s="209"/>
      <c r="E355" s="1264"/>
      <c r="F355" s="1264"/>
      <c r="H355" s="1264"/>
      <c r="I355" s="1264" t="s">
        <v>18</v>
      </c>
      <c r="J355" s="1264"/>
      <c r="K355" s="1264"/>
      <c r="M355" s="1147"/>
      <c r="N355" s="1134"/>
      <c r="O355" s="1134"/>
      <c r="R355" s="1097"/>
      <c r="T355" s="1101"/>
      <c r="U355" s="1102"/>
    </row>
    <row r="356" spans="2:21" ht="15.6" customHeight="1" x14ac:dyDescent="0.25">
      <c r="B356" s="249"/>
      <c r="C356" s="50"/>
      <c r="D356" s="199"/>
      <c r="E356" s="1264" t="s">
        <v>255</v>
      </c>
      <c r="F356" s="199"/>
      <c r="G356" s="1264" t="s">
        <v>255</v>
      </c>
      <c r="H356" s="199"/>
      <c r="I356" s="1264" t="s">
        <v>255</v>
      </c>
      <c r="J356" s="199"/>
      <c r="K356" s="1264" t="s">
        <v>255</v>
      </c>
      <c r="M356" s="1147"/>
      <c r="N356" s="1134"/>
      <c r="O356" s="1134"/>
      <c r="R356" s="1097"/>
      <c r="T356" s="1101"/>
      <c r="U356" s="1102"/>
    </row>
    <row r="357" spans="2:21" ht="15.6" customHeight="1" x14ac:dyDescent="0.25">
      <c r="B357" s="50" t="str">
        <f>"As at "&amp;Parameters!C13</f>
        <v>As at 30 June 2011</v>
      </c>
      <c r="C357" s="50"/>
      <c r="E357" s="199"/>
      <c r="F357" s="199"/>
      <c r="G357" s="199"/>
      <c r="H357" s="199"/>
      <c r="I357" s="199"/>
      <c r="J357" s="199"/>
      <c r="K357" s="199"/>
      <c r="M357" s="1147"/>
      <c r="N357" s="1134"/>
      <c r="O357" s="1134"/>
      <c r="R357" s="1097"/>
      <c r="T357" s="1101"/>
      <c r="U357" s="1102"/>
    </row>
    <row r="358" spans="2:21" ht="15.6" customHeight="1" x14ac:dyDescent="0.25">
      <c r="B358" s="50"/>
      <c r="C358" s="50"/>
      <c r="E358" s="199"/>
      <c r="F358" s="199"/>
      <c r="G358" s="199"/>
      <c r="H358" s="199"/>
      <c r="I358" s="199"/>
      <c r="J358" s="199"/>
      <c r="K358" s="199"/>
      <c r="M358" s="1147"/>
      <c r="N358" s="1134"/>
      <c r="O358" s="1134"/>
      <c r="R358" s="1097"/>
      <c r="T358" s="1101"/>
      <c r="U358" s="1102"/>
    </row>
    <row r="359" spans="2:21" ht="15.6" customHeight="1" x14ac:dyDescent="0.25">
      <c r="B359" s="842" t="s">
        <v>1527</v>
      </c>
      <c r="C359" s="50"/>
      <c r="D359" s="199"/>
      <c r="F359" s="199"/>
      <c r="G359" s="199"/>
      <c r="H359" s="199"/>
      <c r="I359" s="199"/>
      <c r="J359" s="199"/>
      <c r="K359" s="199"/>
      <c r="M359" s="1147"/>
      <c r="N359" s="1134"/>
      <c r="O359" s="1134"/>
      <c r="R359" s="1097"/>
      <c r="T359" s="1101"/>
      <c r="U359" s="1102"/>
    </row>
    <row r="360" spans="2:21" ht="15.6" customHeight="1" x14ac:dyDescent="0.25">
      <c r="B360" s="48" t="s">
        <v>1528</v>
      </c>
      <c r="D360" s="199"/>
      <c r="E360" s="199">
        <f>1034351-11263+1543513.15</f>
        <v>2566601.15</v>
      </c>
      <c r="F360" s="199"/>
      <c r="G360" s="199">
        <v>30374</v>
      </c>
      <c r="H360" s="199"/>
      <c r="I360" s="199">
        <v>8143</v>
      </c>
      <c r="J360" s="199"/>
      <c r="K360" s="199">
        <v>0</v>
      </c>
      <c r="M360" s="1147">
        <v>-1543513.1520557613</v>
      </c>
      <c r="N360" s="1134">
        <f>SUM(E360:K360)-C330</f>
        <v>-844237.03523541708</v>
      </c>
      <c r="O360" s="1134">
        <f>SUM(E360,G360,K360)</f>
        <v>2596975.15</v>
      </c>
      <c r="R360" s="1097"/>
      <c r="T360" s="1101"/>
      <c r="U360" s="1102"/>
    </row>
    <row r="361" spans="2:21" ht="15.6" customHeight="1" x14ac:dyDescent="0.25">
      <c r="B361" s="842" t="s">
        <v>1526</v>
      </c>
      <c r="D361" s="199"/>
      <c r="F361" s="199"/>
      <c r="G361" s="199"/>
      <c r="H361" s="199"/>
      <c r="I361" s="206"/>
      <c r="J361" s="199"/>
      <c r="K361" s="206"/>
      <c r="M361" s="1147"/>
      <c r="N361" s="1134"/>
      <c r="O361" s="1134"/>
      <c r="R361" s="1097"/>
      <c r="T361" s="1101"/>
      <c r="U361" s="1102"/>
    </row>
    <row r="362" spans="2:21" ht="15.6" customHeight="1" x14ac:dyDescent="0.25">
      <c r="B362" s="48" t="s">
        <v>293</v>
      </c>
      <c r="D362" s="199"/>
      <c r="E362" s="199">
        <f>1331186-11137+246895.53</f>
        <v>1566944.53</v>
      </c>
      <c r="F362" s="199"/>
      <c r="G362" s="199">
        <v>31012</v>
      </c>
      <c r="H362" s="199"/>
      <c r="I362" s="199">
        <v>10470</v>
      </c>
      <c r="J362" s="199"/>
      <c r="K362" s="199">
        <v>0</v>
      </c>
      <c r="M362" s="1147">
        <v>-246895.5268934276</v>
      </c>
      <c r="N362" s="1134">
        <f>SUM(E362:K362)-E330</f>
        <v>-383711.13878207863</v>
      </c>
      <c r="O362" s="1134">
        <f>SUM(E362,G362,K362)</f>
        <v>1597956.53</v>
      </c>
      <c r="R362" s="1097"/>
      <c r="T362" s="1101"/>
      <c r="U362" s="1102"/>
    </row>
    <row r="363" spans="2:21" ht="15.6" customHeight="1" x14ac:dyDescent="0.25">
      <c r="B363" s="48" t="s">
        <v>294</v>
      </c>
      <c r="D363" s="199"/>
      <c r="E363" s="199">
        <f>1010020-13194+374700.19</f>
        <v>1371526.19</v>
      </c>
      <c r="F363" s="199"/>
      <c r="G363" s="199">
        <v>27961</v>
      </c>
      <c r="H363" s="199"/>
      <c r="I363" s="199">
        <v>9670</v>
      </c>
      <c r="J363" s="199"/>
      <c r="K363" s="199">
        <v>0</v>
      </c>
      <c r="M363" s="1147">
        <v>-374700.19408683851</v>
      </c>
      <c r="N363" s="1134">
        <f>SUM(E363:K363)-G330</f>
        <v>-292849.72165770596</v>
      </c>
      <c r="O363" s="1134">
        <f>SUM(E363,G363,K363)</f>
        <v>1399487.19</v>
      </c>
      <c r="R363" s="1097"/>
      <c r="T363" s="1101"/>
      <c r="U363" s="1102"/>
    </row>
    <row r="364" spans="2:21" ht="15.6" customHeight="1" x14ac:dyDescent="0.25">
      <c r="B364" s="61" t="s">
        <v>1345</v>
      </c>
      <c r="D364" s="199"/>
      <c r="E364" s="199">
        <f>45673295-4090984+369451.26-2165108.98</f>
        <v>39786653.280000001</v>
      </c>
      <c r="F364" s="199"/>
      <c r="G364" s="199">
        <f>2184954-1</f>
        <v>2184953</v>
      </c>
      <c r="H364" s="199"/>
      <c r="I364" s="199">
        <f>595664-1</f>
        <v>595663</v>
      </c>
      <c r="J364" s="199"/>
      <c r="K364" s="199">
        <v>0</v>
      </c>
      <c r="M364" s="1147">
        <v>2165108.9830360264</v>
      </c>
      <c r="N364" s="1134">
        <f>SUM(E364:K364)-I330</f>
        <v>1520797.8956752047</v>
      </c>
      <c r="O364" s="1134">
        <f>SUM(E364,G364,K364)</f>
        <v>41971606.280000001</v>
      </c>
      <c r="R364" s="1097"/>
      <c r="T364" s="1101"/>
      <c r="U364" s="1102"/>
    </row>
    <row r="365" spans="2:21" ht="15.6" customHeight="1" x14ac:dyDescent="0.25">
      <c r="B365" s="48" t="s">
        <v>271</v>
      </c>
      <c r="C365" s="50"/>
      <c r="D365" s="199"/>
      <c r="E365" s="250">
        <f>SUM(E360:E364)</f>
        <v>45291725.149999999</v>
      </c>
      <c r="F365" s="199"/>
      <c r="G365" s="250">
        <f>SUM(G360:G364)</f>
        <v>2274300</v>
      </c>
      <c r="H365" s="199"/>
      <c r="I365" s="250">
        <f>SUM(I360:I364)</f>
        <v>623946</v>
      </c>
      <c r="J365" s="199"/>
      <c r="K365" s="250">
        <f>SUM(K360:K364)</f>
        <v>0</v>
      </c>
      <c r="M365" s="1147"/>
      <c r="N365" s="1134">
        <f>SUM(E365:K365)-G127</f>
        <v>0</v>
      </c>
      <c r="O365" s="1134">
        <f>SUM(E365,G365,K365)</f>
        <v>47566025.149999999</v>
      </c>
      <c r="R365" s="1097"/>
      <c r="T365" s="1101"/>
      <c r="U365" s="1102"/>
    </row>
    <row r="366" spans="2:21" ht="15.6" customHeight="1" x14ac:dyDescent="0.25">
      <c r="B366" s="48" t="s">
        <v>1027</v>
      </c>
      <c r="D366" s="199"/>
      <c r="E366" s="2271">
        <f>K390*(E365/(E365+G365))-1+136176.19</f>
        <v>40416539.996526264</v>
      </c>
      <c r="F366" s="199"/>
      <c r="G366" s="2271">
        <f>K390*(G365/(E365+G365))+1</f>
        <v>2022658.1934737333</v>
      </c>
      <c r="H366" s="199"/>
      <c r="I366" s="2271">
        <v>0</v>
      </c>
      <c r="J366" s="199"/>
      <c r="K366" s="199">
        <v>0</v>
      </c>
      <c r="M366" s="1147"/>
      <c r="N366" s="1134">
        <f>SUM(E366:K366)-I127</f>
        <v>136176.35271517187</v>
      </c>
      <c r="O366" s="1134"/>
      <c r="R366" s="1097"/>
      <c r="T366" s="1101"/>
      <c r="U366" s="1102"/>
    </row>
    <row r="367" spans="2:21" ht="15.6" customHeight="1" thickBot="1" x14ac:dyDescent="0.3">
      <c r="B367" s="50" t="s">
        <v>2261</v>
      </c>
      <c r="D367" s="251"/>
      <c r="E367" s="202">
        <f>+E365-E366</f>
        <v>4875185.1534737349</v>
      </c>
      <c r="F367" s="251"/>
      <c r="G367" s="202">
        <f>+G365-G366</f>
        <v>251641.80652626674</v>
      </c>
      <c r="H367" s="251"/>
      <c r="I367" s="202">
        <f>+I365-I366</f>
        <v>623946</v>
      </c>
      <c r="J367" s="251"/>
      <c r="K367" s="202">
        <f>+K365-K366</f>
        <v>0</v>
      </c>
      <c r="M367" s="1147"/>
      <c r="N367" s="1134"/>
      <c r="O367" s="1134"/>
      <c r="R367" s="1097"/>
      <c r="T367" s="1101"/>
      <c r="U367" s="1102"/>
    </row>
    <row r="368" spans="2:21" ht="15.6" customHeight="1" thickTop="1" x14ac:dyDescent="0.25">
      <c r="E368" s="57"/>
      <c r="G368" s="199"/>
      <c r="H368" s="199"/>
      <c r="I368" s="199"/>
      <c r="J368" s="199"/>
      <c r="K368" s="199"/>
      <c r="M368" s="1147"/>
      <c r="N368" s="1134"/>
      <c r="O368" s="1134"/>
      <c r="R368" s="1097"/>
      <c r="T368" s="1101"/>
      <c r="U368" s="1102"/>
    </row>
    <row r="369" spans="1:23" ht="15.6" customHeight="1" x14ac:dyDescent="0.25">
      <c r="A369" s="1165"/>
      <c r="D369" s="48"/>
      <c r="F369" s="48"/>
      <c r="H369" s="1264"/>
      <c r="I369" s="1263">
        <f>Parameters!C17</f>
        <v>2012</v>
      </c>
      <c r="J369" s="1264"/>
      <c r="K369" s="1263">
        <f>Parameters!C19</f>
        <v>2011</v>
      </c>
      <c r="M369" s="232" t="s">
        <v>803</v>
      </c>
      <c r="N369" s="1224">
        <f>Parameters!C21</f>
        <v>2010</v>
      </c>
      <c r="O369" s="1419" t="s">
        <v>804</v>
      </c>
      <c r="R369" s="1097"/>
      <c r="T369" s="1101"/>
      <c r="U369" s="1102"/>
    </row>
    <row r="370" spans="1:23" ht="15.6" customHeight="1" x14ac:dyDescent="0.25">
      <c r="I370" s="1264" t="s">
        <v>255</v>
      </c>
      <c r="J370" s="200"/>
      <c r="K370" s="1264" t="s">
        <v>255</v>
      </c>
      <c r="L370" s="210"/>
      <c r="O370" s="1133"/>
      <c r="R370" s="1097"/>
      <c r="T370" s="1101"/>
      <c r="U370" s="1102"/>
    </row>
    <row r="371" spans="1:23" ht="15.6" customHeight="1" x14ac:dyDescent="0.25">
      <c r="I371" s="199"/>
      <c r="J371" s="57"/>
      <c r="K371" s="199"/>
      <c r="O371" s="1133"/>
      <c r="R371" s="1097"/>
      <c r="T371" s="1101"/>
      <c r="U371" s="1102"/>
    </row>
    <row r="372" spans="1:23" ht="15.6" customHeight="1" x14ac:dyDescent="0.25">
      <c r="B372" s="2853" t="s">
        <v>7528</v>
      </c>
      <c r="C372" s="2853"/>
      <c r="D372" s="2853"/>
      <c r="E372" s="2853"/>
      <c r="F372" s="2853"/>
      <c r="G372" s="2853"/>
      <c r="I372" s="200"/>
      <c r="J372" s="200"/>
      <c r="K372" s="200"/>
      <c r="L372" s="210"/>
      <c r="M372" s="1147"/>
      <c r="N372" s="1134"/>
      <c r="O372" s="1134"/>
      <c r="R372" s="1097"/>
      <c r="T372" s="1101"/>
      <c r="U372" s="1102"/>
      <c r="W372" s="1128" t="s">
        <v>3857</v>
      </c>
    </row>
    <row r="373" spans="1:23" ht="15.6" customHeight="1" x14ac:dyDescent="0.25">
      <c r="I373" s="209"/>
      <c r="J373" s="200"/>
      <c r="K373" s="209"/>
      <c r="L373" s="210"/>
      <c r="M373" s="1147"/>
      <c r="N373" s="1134"/>
      <c r="O373" s="1134"/>
      <c r="R373" s="1097"/>
      <c r="T373" s="1101"/>
      <c r="U373" s="1102"/>
    </row>
    <row r="374" spans="1:23" ht="15.6" customHeight="1" x14ac:dyDescent="0.25">
      <c r="B374" s="48" t="s">
        <v>273</v>
      </c>
      <c r="I374" s="206">
        <f>I375-I376</f>
        <v>42303022</v>
      </c>
      <c r="J374" s="206"/>
      <c r="K374" s="206">
        <f>K375-K376</f>
        <v>37650446</v>
      </c>
      <c r="L374" s="210"/>
      <c r="N374" s="1484">
        <v>0</v>
      </c>
      <c r="O374" s="1134"/>
      <c r="T374" s="1102"/>
      <c r="U374" s="1102"/>
    </row>
    <row r="375" spans="1:23" s="767" customFormat="1" ht="15.6" customHeight="1" x14ac:dyDescent="0.25">
      <c r="A375" s="1166"/>
      <c r="B375" s="2152" t="s">
        <v>3560</v>
      </c>
      <c r="C375" s="48"/>
      <c r="D375" s="57"/>
      <c r="E375" s="48"/>
      <c r="F375" s="57"/>
      <c r="G375" s="57"/>
      <c r="H375" s="57"/>
      <c r="I375" s="2272">
        <f>K390</f>
        <v>42303022</v>
      </c>
      <c r="J375" s="206"/>
      <c r="K375" s="2272">
        <v>37650446</v>
      </c>
      <c r="L375" s="210"/>
      <c r="M375" s="1135"/>
      <c r="N375" s="1485">
        <v>0</v>
      </c>
      <c r="O375" s="1136"/>
      <c r="P375" s="1131" t="s">
        <v>2796</v>
      </c>
      <c r="Q375" s="1132" t="s">
        <v>2781</v>
      </c>
      <c r="R375" s="1131" t="s">
        <v>2797</v>
      </c>
      <c r="S375" s="1132" t="s">
        <v>2790</v>
      </c>
      <c r="T375" s="1131" t="s">
        <v>2798</v>
      </c>
      <c r="U375" s="1132" t="s">
        <v>2799</v>
      </c>
      <c r="W375" s="1163"/>
    </row>
    <row r="376" spans="1:23" s="767" customFormat="1" ht="15.6" hidden="1" customHeight="1" x14ac:dyDescent="0.25">
      <c r="A376" s="1166"/>
      <c r="B376" s="2152" t="s">
        <v>2259</v>
      </c>
      <c r="C376" s="48"/>
      <c r="D376" s="57"/>
      <c r="E376" s="48"/>
      <c r="F376" s="57"/>
      <c r="G376" s="57"/>
      <c r="H376" s="57"/>
      <c r="I376" s="228">
        <v>0</v>
      </c>
      <c r="J376" s="206"/>
      <c r="K376" s="228">
        <v>0</v>
      </c>
      <c r="L376" s="210"/>
      <c r="M376" s="1135"/>
      <c r="N376" s="1486">
        <v>30804758.670000002</v>
      </c>
      <c r="O376" s="1136"/>
      <c r="P376" s="1131" t="s">
        <v>2800</v>
      </c>
      <c r="Q376" s="1132" t="s">
        <v>2781</v>
      </c>
      <c r="R376" s="1131" t="s">
        <v>2801</v>
      </c>
      <c r="S376" s="1132" t="s">
        <v>2790</v>
      </c>
      <c r="T376" s="1131" t="s">
        <v>2802</v>
      </c>
      <c r="U376" s="1132" t="s">
        <v>2799</v>
      </c>
      <c r="W376" s="1163"/>
    </row>
    <row r="377" spans="1:23" ht="15.6" customHeight="1" x14ac:dyDescent="0.25">
      <c r="B377" s="48" t="s">
        <v>1010</v>
      </c>
      <c r="I377" s="206">
        <f>I378-I379</f>
        <v>24376093.43</v>
      </c>
      <c r="J377" s="206"/>
      <c r="K377" s="206">
        <f>K378-K379</f>
        <v>12421479</v>
      </c>
      <c r="L377" s="210"/>
      <c r="N377" s="1484">
        <v>0</v>
      </c>
      <c r="O377" s="1134"/>
      <c r="R377" s="1097"/>
      <c r="T377" s="1097"/>
    </row>
    <row r="378" spans="1:23" s="767" customFormat="1" ht="15.6" customHeight="1" x14ac:dyDescent="0.25">
      <c r="A378" s="1166"/>
      <c r="B378" s="2152" t="s">
        <v>3560</v>
      </c>
      <c r="C378" s="48"/>
      <c r="D378" s="57"/>
      <c r="E378" s="48"/>
      <c r="F378" s="57"/>
      <c r="G378" s="57"/>
      <c r="H378" s="57"/>
      <c r="I378" s="2272">
        <f>I110-I375</f>
        <v>24376093.43</v>
      </c>
      <c r="J378" s="206"/>
      <c r="K378" s="2272">
        <v>12421479</v>
      </c>
      <c r="L378" s="210"/>
      <c r="M378" s="1135"/>
      <c r="N378" s="1485">
        <v>0</v>
      </c>
      <c r="O378" s="1136"/>
      <c r="P378" s="1131" t="s">
        <v>2803</v>
      </c>
      <c r="Q378" s="1132" t="s">
        <v>2781</v>
      </c>
      <c r="R378" s="1131" t="s">
        <v>2804</v>
      </c>
      <c r="S378" s="1132" t="s">
        <v>2790</v>
      </c>
      <c r="T378" s="1131" t="s">
        <v>2805</v>
      </c>
      <c r="U378" s="1132" t="s">
        <v>2799</v>
      </c>
      <c r="W378" s="1163"/>
    </row>
    <row r="379" spans="1:23" s="767" customFormat="1" ht="15.6" hidden="1" customHeight="1" x14ac:dyDescent="0.25">
      <c r="A379" s="1166"/>
      <c r="B379" s="2152" t="s">
        <v>2259</v>
      </c>
      <c r="C379" s="48"/>
      <c r="D379" s="57"/>
      <c r="E379" s="48"/>
      <c r="F379" s="57"/>
      <c r="G379" s="57"/>
      <c r="H379" s="57"/>
      <c r="I379" s="228">
        <v>0</v>
      </c>
      <c r="J379" s="206"/>
      <c r="K379" s="228">
        <v>0</v>
      </c>
      <c r="L379" s="210"/>
      <c r="M379" s="1135"/>
      <c r="N379" s="1486">
        <v>1955067.2800000012</v>
      </c>
      <c r="O379" s="1136"/>
      <c r="P379" s="1131" t="s">
        <v>2806</v>
      </c>
      <c r="Q379" s="1132" t="s">
        <v>2781</v>
      </c>
      <c r="R379" s="1131" t="s">
        <v>2807</v>
      </c>
      <c r="S379" s="1132" t="s">
        <v>2790</v>
      </c>
      <c r="T379" s="1131" t="s">
        <v>2808</v>
      </c>
      <c r="U379" s="1132" t="s">
        <v>2799</v>
      </c>
      <c r="W379" s="1163"/>
    </row>
    <row r="380" spans="1:23" ht="15.75" hidden="1" customHeight="1" x14ac:dyDescent="0.25">
      <c r="B380" s="48" t="s">
        <v>1011</v>
      </c>
      <c r="I380" s="206">
        <f>I381-I382</f>
        <v>0</v>
      </c>
      <c r="J380" s="206"/>
      <c r="K380" s="206">
        <f>K381-K382</f>
        <v>0</v>
      </c>
      <c r="L380" s="210"/>
      <c r="N380" s="1484">
        <f>N381-N382</f>
        <v>0</v>
      </c>
      <c r="O380" s="1133"/>
      <c r="P380" s="1103"/>
      <c r="R380" s="1103"/>
      <c r="T380" s="1103"/>
    </row>
    <row r="381" spans="1:23" s="767" customFormat="1" ht="15.75" hidden="1" customHeight="1" x14ac:dyDescent="0.25">
      <c r="A381" s="1166"/>
      <c r="B381" s="2152" t="s">
        <v>3560</v>
      </c>
      <c r="C381" s="48"/>
      <c r="D381" s="57"/>
      <c r="E381" s="48"/>
      <c r="F381" s="57"/>
      <c r="G381" s="57"/>
      <c r="H381" s="57"/>
      <c r="I381" s="2219">
        <v>0</v>
      </c>
      <c r="J381" s="206"/>
      <c r="K381" s="2219">
        <v>0</v>
      </c>
      <c r="L381" s="210"/>
      <c r="M381" s="1135"/>
      <c r="N381" s="1485">
        <v>0</v>
      </c>
      <c r="O381" s="1135"/>
      <c r="P381" s="1131" t="s">
        <v>2809</v>
      </c>
      <c r="Q381" s="1132" t="s">
        <v>2781</v>
      </c>
      <c r="R381" s="1131" t="s">
        <v>2810</v>
      </c>
      <c r="S381" s="1132" t="s">
        <v>2790</v>
      </c>
      <c r="T381" s="1131" t="s">
        <v>2811</v>
      </c>
      <c r="U381" s="1132" t="s">
        <v>2799</v>
      </c>
      <c r="W381" s="1163"/>
    </row>
    <row r="382" spans="1:23" s="767" customFormat="1" ht="15.75" hidden="1" customHeight="1" x14ac:dyDescent="0.25">
      <c r="A382" s="1166"/>
      <c r="B382" s="2152" t="s">
        <v>2259</v>
      </c>
      <c r="C382" s="48"/>
      <c r="D382" s="57"/>
      <c r="E382" s="48"/>
      <c r="F382" s="57"/>
      <c r="G382" s="57"/>
      <c r="H382" s="57"/>
      <c r="I382" s="228">
        <v>0</v>
      </c>
      <c r="J382" s="206"/>
      <c r="K382" s="228">
        <v>0</v>
      </c>
      <c r="L382" s="210"/>
      <c r="M382" s="1135"/>
      <c r="N382" s="1486">
        <v>0</v>
      </c>
      <c r="O382" s="1135"/>
      <c r="P382" s="1131" t="s">
        <v>2812</v>
      </c>
      <c r="Q382" s="1132" t="s">
        <v>2781</v>
      </c>
      <c r="R382" s="1131" t="s">
        <v>2813</v>
      </c>
      <c r="S382" s="1132" t="s">
        <v>2790</v>
      </c>
      <c r="T382" s="1131" t="s">
        <v>2814</v>
      </c>
      <c r="U382" s="1132" t="s">
        <v>2799</v>
      </c>
      <c r="W382" s="1163"/>
    </row>
    <row r="383" spans="1:23" ht="15.6" customHeight="1" x14ac:dyDescent="0.25">
      <c r="B383" s="48" t="s">
        <v>1012</v>
      </c>
      <c r="I383" s="206">
        <f>I384-I385</f>
        <v>0</v>
      </c>
      <c r="J383" s="206"/>
      <c r="K383" s="206">
        <f>K384-K385</f>
        <v>-7768903</v>
      </c>
      <c r="L383" s="210"/>
      <c r="N383" s="1484">
        <f>N384-N385</f>
        <v>0</v>
      </c>
      <c r="O383" s="1134"/>
      <c r="R383" s="1097"/>
      <c r="T383" s="1097"/>
    </row>
    <row r="384" spans="1:23" s="767" customFormat="1" ht="15.6" customHeight="1" x14ac:dyDescent="0.25">
      <c r="A384" s="1166"/>
      <c r="B384" s="2152" t="s">
        <v>3560</v>
      </c>
      <c r="C384" s="48"/>
      <c r="D384" s="57"/>
      <c r="E384" s="48"/>
      <c r="F384" s="57"/>
      <c r="G384" s="57"/>
      <c r="H384" s="57"/>
      <c r="I384" s="2272">
        <v>0</v>
      </c>
      <c r="J384" s="206"/>
      <c r="K384" s="2272">
        <v>-7768903</v>
      </c>
      <c r="L384" s="210"/>
      <c r="M384" s="1135"/>
      <c r="N384" s="1485">
        <v>0</v>
      </c>
      <c r="O384" s="1136"/>
      <c r="P384" s="1131" t="s">
        <v>2815</v>
      </c>
      <c r="Q384" s="1132" t="s">
        <v>2781</v>
      </c>
      <c r="R384" s="1131" t="s">
        <v>2816</v>
      </c>
      <c r="S384" s="1132" t="s">
        <v>2790</v>
      </c>
      <c r="T384" s="1131" t="s">
        <v>2817</v>
      </c>
      <c r="U384" s="1132" t="s">
        <v>2799</v>
      </c>
      <c r="W384" s="1163"/>
    </row>
    <row r="385" spans="1:23" s="767" customFormat="1" ht="15.6" hidden="1" customHeight="1" x14ac:dyDescent="0.25">
      <c r="A385" s="1166"/>
      <c r="B385" s="2152" t="s">
        <v>2259</v>
      </c>
      <c r="C385" s="48"/>
      <c r="D385" s="57"/>
      <c r="E385" s="48"/>
      <c r="F385" s="57"/>
      <c r="G385" s="57"/>
      <c r="H385" s="57"/>
      <c r="I385" s="228">
        <v>0</v>
      </c>
      <c r="J385" s="206"/>
      <c r="K385" s="228">
        <v>0</v>
      </c>
      <c r="L385" s="210"/>
      <c r="M385" s="1135"/>
      <c r="N385" s="1486">
        <v>0</v>
      </c>
      <c r="O385" s="1136"/>
      <c r="P385" s="1131" t="s">
        <v>2848</v>
      </c>
      <c r="Q385" s="1132" t="s">
        <v>2781</v>
      </c>
      <c r="R385" s="1131" t="s">
        <v>2849</v>
      </c>
      <c r="S385" s="1132" t="s">
        <v>2790</v>
      </c>
      <c r="T385" s="1131" t="s">
        <v>2850</v>
      </c>
      <c r="U385" s="1132" t="s">
        <v>2799</v>
      </c>
      <c r="W385" s="1163"/>
    </row>
    <row r="386" spans="1:23" ht="15.75" hidden="1" customHeight="1" x14ac:dyDescent="0.25">
      <c r="B386" s="48" t="s">
        <v>1013</v>
      </c>
      <c r="I386" s="206">
        <f>I387-I388</f>
        <v>0</v>
      </c>
      <c r="J386" s="206"/>
      <c r="K386" s="206">
        <f>K387-K388</f>
        <v>0</v>
      </c>
      <c r="L386" s="210"/>
      <c r="N386" s="1484">
        <f>N387-N388</f>
        <v>0</v>
      </c>
      <c r="O386" s="1133"/>
      <c r="P386" s="1103"/>
      <c r="R386" s="1103"/>
      <c r="T386" s="1103"/>
    </row>
    <row r="387" spans="1:23" s="767" customFormat="1" ht="15.75" hidden="1" customHeight="1" x14ac:dyDescent="0.25">
      <c r="A387" s="1166"/>
      <c r="B387" s="2152" t="s">
        <v>3560</v>
      </c>
      <c r="C387" s="48"/>
      <c r="D387" s="57"/>
      <c r="E387" s="48"/>
      <c r="F387" s="57"/>
      <c r="G387" s="57"/>
      <c r="H387" s="57"/>
      <c r="I387" s="2061">
        <v>0</v>
      </c>
      <c r="J387" s="206"/>
      <c r="K387" s="2061">
        <v>0</v>
      </c>
      <c r="L387" s="210"/>
      <c r="M387" s="1135"/>
      <c r="N387" s="1485">
        <v>0</v>
      </c>
      <c r="O387" s="1135"/>
      <c r="P387" s="1131" t="s">
        <v>2818</v>
      </c>
      <c r="Q387" s="1132" t="s">
        <v>2781</v>
      </c>
      <c r="R387" s="1131" t="s">
        <v>2819</v>
      </c>
      <c r="S387" s="1132" t="s">
        <v>2790</v>
      </c>
      <c r="T387" s="1131" t="s">
        <v>2820</v>
      </c>
      <c r="U387" s="1132" t="s">
        <v>2799</v>
      </c>
      <c r="W387" s="1163"/>
    </row>
    <row r="388" spans="1:23" s="767" customFormat="1" ht="15.75" hidden="1" customHeight="1" x14ac:dyDescent="0.25">
      <c r="A388" s="1166"/>
      <c r="B388" s="2152" t="s">
        <v>2259</v>
      </c>
      <c r="C388" s="48"/>
      <c r="D388" s="57"/>
      <c r="E388" s="48"/>
      <c r="F388" s="57"/>
      <c r="G388" s="57"/>
      <c r="H388" s="57"/>
      <c r="I388" s="2062">
        <v>0</v>
      </c>
      <c r="J388" s="206"/>
      <c r="K388" s="2062">
        <v>0</v>
      </c>
      <c r="L388" s="210"/>
      <c r="M388" s="1135"/>
      <c r="N388" s="1486">
        <v>0</v>
      </c>
      <c r="O388" s="1135"/>
      <c r="P388" s="1131" t="s">
        <v>2821</v>
      </c>
      <c r="Q388" s="1132" t="s">
        <v>2781</v>
      </c>
      <c r="R388" s="1131" t="s">
        <v>2822</v>
      </c>
      <c r="S388" s="1132" t="s">
        <v>2790</v>
      </c>
      <c r="T388" s="1131" t="s">
        <v>2823</v>
      </c>
      <c r="U388" s="1132" t="s">
        <v>2799</v>
      </c>
      <c r="W388" s="1163"/>
    </row>
    <row r="389" spans="1:23" ht="15.6" customHeight="1" x14ac:dyDescent="0.25">
      <c r="I389" s="206"/>
      <c r="J389" s="206"/>
      <c r="K389" s="206"/>
      <c r="L389" s="210"/>
      <c r="N389" s="1484"/>
      <c r="O389" s="1134"/>
      <c r="T389" s="1102"/>
      <c r="U389" s="1102"/>
    </row>
    <row r="390" spans="1:23" ht="15.6" customHeight="1" thickBot="1" x14ac:dyDescent="0.3">
      <c r="B390" s="50" t="s">
        <v>274</v>
      </c>
      <c r="C390" s="50"/>
      <c r="I390" s="222">
        <f>I374+I377+I380+I383+I386</f>
        <v>66679115.43</v>
      </c>
      <c r="J390" s="200"/>
      <c r="K390" s="222">
        <f>K374+K377+K380+K383+K386</f>
        <v>42303022</v>
      </c>
      <c r="L390" s="210"/>
      <c r="N390" s="1487">
        <v>45661072</v>
      </c>
      <c r="O390" s="1134"/>
      <c r="T390" s="1102"/>
      <c r="U390" s="1102"/>
    </row>
    <row r="391" spans="1:23" ht="15.6" customHeight="1" thickTop="1" x14ac:dyDescent="0.25">
      <c r="I391" s="217">
        <v>0</v>
      </c>
      <c r="J391" s="218"/>
      <c r="K391" s="217">
        <v>0</v>
      </c>
      <c r="L391" s="59"/>
      <c r="N391" s="1134"/>
      <c r="O391" s="1134"/>
      <c r="P391" s="1103"/>
      <c r="S391" s="1102"/>
      <c r="T391" s="1102"/>
      <c r="U391" s="1102"/>
    </row>
    <row r="392" spans="1:23" ht="62.1" customHeight="1" x14ac:dyDescent="0.25">
      <c r="B392" s="2839" t="s">
        <v>7549</v>
      </c>
      <c r="C392" s="2839"/>
      <c r="D392" s="2839"/>
      <c r="E392" s="2839"/>
      <c r="F392" s="2839"/>
      <c r="G392" s="2839"/>
      <c r="H392" s="56"/>
      <c r="I392" s="56"/>
      <c r="J392" s="56"/>
      <c r="K392" s="56"/>
      <c r="L392" s="59"/>
      <c r="O392" s="1146"/>
      <c r="P392" s="1101"/>
      <c r="Q392" s="1102"/>
      <c r="R392" s="1102"/>
      <c r="S392" s="1102"/>
      <c r="T392" s="1102"/>
      <c r="U392" s="1102"/>
    </row>
    <row r="393" spans="1:23" ht="15.6" customHeight="1" x14ac:dyDescent="0.25">
      <c r="I393" s="58"/>
      <c r="J393" s="58"/>
      <c r="K393" s="58"/>
      <c r="L393" s="59"/>
      <c r="M393" s="1147"/>
      <c r="N393" s="1471"/>
      <c r="O393" s="1149"/>
      <c r="P393" s="1103"/>
      <c r="S393" s="1102"/>
      <c r="T393" s="1102"/>
      <c r="U393" s="1102"/>
    </row>
    <row r="394" spans="1:23" ht="30.95" hidden="1" customHeight="1" x14ac:dyDescent="0.25">
      <c r="A394" s="1172"/>
      <c r="B394" s="2840" t="s">
        <v>2492</v>
      </c>
      <c r="C394" s="2840"/>
      <c r="D394" s="2840"/>
      <c r="E394" s="2840"/>
      <c r="F394" s="2840"/>
      <c r="G394" s="2840"/>
      <c r="H394" s="768"/>
      <c r="I394" s="768"/>
      <c r="J394" s="768"/>
      <c r="K394" s="768"/>
      <c r="L394" s="777"/>
      <c r="O394" s="1146"/>
      <c r="P394" s="1101"/>
      <c r="Q394" s="1102"/>
      <c r="R394" s="1102"/>
      <c r="S394" s="1102"/>
      <c r="T394" s="1102"/>
      <c r="U394" s="1102"/>
    </row>
    <row r="395" spans="1:23" ht="15.6" hidden="1" customHeight="1" x14ac:dyDescent="0.25">
      <c r="A395" s="1172"/>
      <c r="B395" s="767"/>
      <c r="C395" s="767"/>
      <c r="D395" s="769"/>
      <c r="E395" s="767"/>
      <c r="F395" s="769"/>
      <c r="G395" s="769"/>
      <c r="H395" s="769"/>
      <c r="I395" s="779"/>
      <c r="J395" s="779"/>
      <c r="K395" s="779"/>
      <c r="L395" s="777"/>
      <c r="M395" s="1147"/>
      <c r="N395" s="1471"/>
      <c r="O395" s="1149"/>
      <c r="P395" s="1103"/>
      <c r="S395" s="1102"/>
      <c r="T395" s="1102"/>
      <c r="U395" s="1102"/>
    </row>
    <row r="396" spans="1:23" ht="98.25" customHeight="1" x14ac:dyDescent="0.25">
      <c r="B396" s="2839" t="s">
        <v>4239</v>
      </c>
      <c r="C396" s="2839"/>
      <c r="D396" s="2839"/>
      <c r="E396" s="2839"/>
      <c r="F396" s="2839"/>
      <c r="G396" s="2839"/>
      <c r="H396" s="56"/>
      <c r="I396" s="56"/>
      <c r="J396" s="56"/>
      <c r="K396" s="56"/>
      <c r="M396" s="1220" t="s">
        <v>2240</v>
      </c>
      <c r="O396" s="1133"/>
      <c r="P396" s="1104"/>
      <c r="S396" s="1102"/>
      <c r="T396" s="1102"/>
      <c r="U396" s="1102"/>
    </row>
    <row r="397" spans="1:23" ht="62.1" hidden="1" customHeight="1" x14ac:dyDescent="0.25">
      <c r="B397" s="2840" t="s">
        <v>4240</v>
      </c>
      <c r="C397" s="2840"/>
      <c r="D397" s="2840"/>
      <c r="E397" s="2840"/>
      <c r="F397" s="2840"/>
      <c r="G397" s="2840"/>
      <c r="H397" s="56"/>
      <c r="I397" s="56"/>
      <c r="J397" s="56"/>
      <c r="K397" s="56"/>
      <c r="M397" s="1220" t="s">
        <v>2240</v>
      </c>
      <c r="O397" s="1133"/>
      <c r="P397" s="1104"/>
      <c r="S397" s="1102"/>
      <c r="T397" s="1102"/>
      <c r="U397" s="1102"/>
    </row>
    <row r="398" spans="1:23" ht="15.6" customHeight="1" x14ac:dyDescent="0.25">
      <c r="I398" s="200"/>
      <c r="J398" s="200"/>
      <c r="K398" s="200"/>
      <c r="L398" s="210"/>
      <c r="N398" s="1133"/>
      <c r="O398" s="1133"/>
      <c r="P398" s="1104"/>
      <c r="S398" s="1102"/>
      <c r="T398" s="1102"/>
      <c r="U398" s="1102"/>
    </row>
    <row r="399" spans="1:23" ht="77.45" hidden="1" customHeight="1" x14ac:dyDescent="0.25">
      <c r="A399" s="1170"/>
      <c r="B399" s="2841" t="s">
        <v>4241</v>
      </c>
      <c r="C399" s="2841"/>
      <c r="D399" s="2841"/>
      <c r="E399" s="2841"/>
      <c r="F399" s="2841"/>
      <c r="G399" s="2841"/>
      <c r="H399" s="845"/>
      <c r="I399" s="845"/>
      <c r="J399" s="845"/>
      <c r="K399" s="845"/>
      <c r="L399" s="745"/>
      <c r="M399" s="1220" t="s">
        <v>2255</v>
      </c>
      <c r="O399" s="1133"/>
      <c r="P399" s="1104"/>
      <c r="S399" s="1102"/>
      <c r="T399" s="1102"/>
      <c r="U399" s="1102"/>
    </row>
    <row r="400" spans="1:23" ht="15.6" hidden="1" customHeight="1" x14ac:dyDescent="0.25">
      <c r="A400" s="1170"/>
      <c r="B400" s="745"/>
      <c r="C400" s="745"/>
      <c r="D400" s="746"/>
      <c r="E400" s="745"/>
      <c r="F400" s="746"/>
      <c r="G400" s="746"/>
      <c r="H400" s="746"/>
      <c r="I400" s="748"/>
      <c r="J400" s="748"/>
      <c r="K400" s="748"/>
      <c r="L400" s="755"/>
      <c r="N400" s="1133"/>
      <c r="O400" s="1133"/>
      <c r="P400" s="1104"/>
      <c r="S400" s="1102"/>
      <c r="T400" s="1102"/>
      <c r="U400" s="1102"/>
    </row>
    <row r="401" spans="1:23" ht="93" hidden="1" customHeight="1" x14ac:dyDescent="0.25">
      <c r="A401" s="1170"/>
      <c r="B401" s="2841" t="s">
        <v>4242</v>
      </c>
      <c r="C401" s="2841"/>
      <c r="D401" s="2841"/>
      <c r="E401" s="2841"/>
      <c r="F401" s="2841"/>
      <c r="G401" s="2841"/>
      <c r="H401" s="845"/>
      <c r="I401" s="845"/>
      <c r="J401" s="845"/>
      <c r="K401" s="845"/>
      <c r="L401" s="745"/>
      <c r="M401" s="1220" t="s">
        <v>2241</v>
      </c>
      <c r="O401" s="1133"/>
      <c r="P401" s="1104"/>
      <c r="S401" s="1102"/>
      <c r="T401" s="1102"/>
      <c r="U401" s="1102"/>
    </row>
    <row r="402" spans="1:23" ht="15.6" hidden="1" customHeight="1" x14ac:dyDescent="0.25">
      <c r="A402" s="1170"/>
      <c r="B402" s="745"/>
      <c r="C402" s="745"/>
      <c r="D402" s="746"/>
      <c r="E402" s="745"/>
      <c r="F402" s="746"/>
      <c r="G402" s="746"/>
      <c r="H402" s="746"/>
      <c r="I402" s="748"/>
      <c r="J402" s="748"/>
      <c r="K402" s="748"/>
      <c r="L402" s="755"/>
      <c r="N402" s="1133"/>
      <c r="O402" s="1133"/>
      <c r="P402" s="1104"/>
      <c r="S402" s="1102"/>
      <c r="T402" s="1102"/>
      <c r="U402" s="1102"/>
    </row>
    <row r="403" spans="1:23" ht="62.1" hidden="1" customHeight="1" x14ac:dyDescent="0.25">
      <c r="B403" s="2840" t="s">
        <v>1908</v>
      </c>
      <c r="C403" s="2840"/>
      <c r="D403" s="2840"/>
      <c r="E403" s="2840"/>
      <c r="F403" s="2840"/>
      <c r="G403" s="2840"/>
      <c r="H403" s="56"/>
      <c r="I403" s="56"/>
      <c r="J403" s="56"/>
      <c r="K403" s="56"/>
      <c r="O403" s="1133"/>
      <c r="P403" s="1104"/>
      <c r="S403" s="1102"/>
      <c r="T403" s="1102"/>
      <c r="U403" s="1102"/>
    </row>
    <row r="404" spans="1:23" ht="15.6" hidden="1" customHeight="1" x14ac:dyDescent="0.25">
      <c r="I404" s="200"/>
      <c r="J404" s="200"/>
      <c r="K404" s="200"/>
      <c r="L404" s="210"/>
      <c r="N404" s="1133"/>
      <c r="O404" s="1133"/>
      <c r="P404" s="1103"/>
      <c r="S404" s="1102"/>
      <c r="T404" s="1102"/>
      <c r="U404" s="1102"/>
    </row>
    <row r="405" spans="1:23" ht="15.6" customHeight="1" x14ac:dyDescent="0.25">
      <c r="B405" s="229" t="s">
        <v>7529</v>
      </c>
      <c r="C405" s="50"/>
      <c r="D405" s="199"/>
      <c r="F405" s="199"/>
      <c r="G405" s="199"/>
      <c r="H405" s="199"/>
      <c r="I405" s="199"/>
      <c r="J405" s="199"/>
      <c r="K405" s="199"/>
      <c r="M405" s="1478" t="s">
        <v>1026</v>
      </c>
      <c r="O405" s="1133"/>
      <c r="P405" s="1104"/>
      <c r="S405" s="1102"/>
      <c r="T405" s="1102"/>
      <c r="U405" s="1102"/>
      <c r="W405" s="1128" t="s">
        <v>3857</v>
      </c>
    </row>
    <row r="406" spans="1:23" ht="15.6" customHeight="1" x14ac:dyDescent="0.25">
      <c r="I406" s="200"/>
      <c r="J406" s="200"/>
      <c r="K406" s="200"/>
      <c r="L406" s="210"/>
      <c r="N406" s="1133"/>
      <c r="O406" s="1133"/>
      <c r="T406" s="1102"/>
      <c r="U406" s="1102"/>
    </row>
    <row r="407" spans="1:23" ht="15.6" customHeight="1" x14ac:dyDescent="0.25">
      <c r="B407" s="842" t="s">
        <v>1527</v>
      </c>
      <c r="C407" s="50"/>
      <c r="D407" s="199"/>
      <c r="F407" s="199"/>
      <c r="G407" s="199"/>
      <c r="H407" s="199"/>
      <c r="I407" s="199"/>
      <c r="J407" s="199"/>
      <c r="K407" s="199"/>
      <c r="M407" s="1147"/>
      <c r="N407" s="1134"/>
      <c r="O407" s="1134"/>
      <c r="P407" s="1103"/>
      <c r="S407" s="1102"/>
      <c r="T407" s="1102"/>
      <c r="U407" s="1102"/>
    </row>
    <row r="408" spans="1:23" ht="15.6" customHeight="1" x14ac:dyDescent="0.25">
      <c r="B408" s="48" t="s">
        <v>1529</v>
      </c>
      <c r="D408" s="199"/>
      <c r="F408" s="199"/>
      <c r="G408" s="199"/>
      <c r="H408" s="199"/>
      <c r="I408" s="206">
        <f>C285</f>
        <v>3386158.75</v>
      </c>
      <c r="J408" s="199"/>
      <c r="K408" s="206">
        <f>C331</f>
        <v>2409852.4408503734</v>
      </c>
      <c r="O408" s="1133"/>
      <c r="T408" s="1102"/>
      <c r="U408" s="1102"/>
    </row>
    <row r="409" spans="1:23" ht="15.6" customHeight="1" x14ac:dyDescent="0.25">
      <c r="B409" s="842" t="s">
        <v>1526</v>
      </c>
      <c r="D409" s="199"/>
      <c r="F409" s="199"/>
      <c r="G409" s="199"/>
      <c r="H409" s="199"/>
      <c r="I409" s="206"/>
      <c r="J409" s="199"/>
      <c r="K409" s="206"/>
      <c r="M409" s="1147"/>
      <c r="N409" s="1134"/>
      <c r="O409" s="1134"/>
      <c r="P409" s="1103"/>
      <c r="S409" s="1102"/>
      <c r="T409" s="1102"/>
      <c r="U409" s="1102"/>
    </row>
    <row r="410" spans="1:23" ht="15.6" customHeight="1" x14ac:dyDescent="0.25">
      <c r="B410" s="48" t="s">
        <v>293</v>
      </c>
      <c r="D410" s="199"/>
      <c r="F410" s="199"/>
      <c r="G410" s="199"/>
      <c r="H410" s="199"/>
      <c r="I410" s="206">
        <f>E285</f>
        <v>2103694</v>
      </c>
      <c r="J410" s="199"/>
      <c r="K410" s="206">
        <f>E331</f>
        <v>1765948.32496426</v>
      </c>
      <c r="O410" s="1133"/>
      <c r="P410" s="1103"/>
      <c r="S410" s="1102"/>
      <c r="T410" s="1102"/>
      <c r="U410" s="1102"/>
    </row>
    <row r="411" spans="1:23" ht="15.6" customHeight="1" x14ac:dyDescent="0.25">
      <c r="B411" s="48" t="s">
        <v>294</v>
      </c>
      <c r="D411" s="199"/>
      <c r="F411" s="199"/>
      <c r="G411" s="199"/>
      <c r="H411" s="199"/>
      <c r="I411" s="206">
        <f>G285</f>
        <v>1994613</v>
      </c>
      <c r="J411" s="199"/>
      <c r="K411" s="206">
        <f>G331</f>
        <v>1630894.2901109166</v>
      </c>
      <c r="O411" s="1133"/>
      <c r="P411" s="1103"/>
      <c r="S411" s="1102"/>
      <c r="T411" s="1102"/>
      <c r="U411" s="1102"/>
    </row>
    <row r="412" spans="1:23" ht="15.6" customHeight="1" x14ac:dyDescent="0.25">
      <c r="B412" s="61" t="s">
        <v>1345</v>
      </c>
      <c r="D412" s="199"/>
      <c r="F412" s="199"/>
      <c r="G412" s="199"/>
      <c r="H412" s="199"/>
      <c r="I412" s="206">
        <f>I285</f>
        <v>59194654.43</v>
      </c>
      <c r="J412" s="199"/>
      <c r="K412" s="206">
        <f>I331</f>
        <v>36496326.781359278</v>
      </c>
      <c r="O412" s="1133"/>
      <c r="P412" s="1103"/>
      <c r="S412" s="1102"/>
      <c r="T412" s="1102"/>
      <c r="U412" s="1102"/>
    </row>
    <row r="413" spans="1:23" ht="15.6" customHeight="1" x14ac:dyDescent="0.25">
      <c r="C413" s="61"/>
      <c r="D413" s="199"/>
      <c r="F413" s="199"/>
      <c r="G413" s="199"/>
      <c r="H413" s="199"/>
      <c r="I413" s="843"/>
      <c r="J413" s="199"/>
      <c r="K413" s="843"/>
      <c r="O413" s="1133"/>
      <c r="P413" s="1103"/>
      <c r="S413" s="1102"/>
      <c r="T413" s="1102"/>
      <c r="U413" s="1102"/>
    </row>
    <row r="414" spans="1:23" ht="15.6" customHeight="1" x14ac:dyDescent="0.25">
      <c r="B414" s="50" t="s">
        <v>234</v>
      </c>
      <c r="C414" s="50"/>
      <c r="D414" s="199"/>
      <c r="F414" s="199"/>
      <c r="G414" s="199"/>
      <c r="H414" s="199"/>
      <c r="I414" s="844">
        <f>SUM(I408:I413)</f>
        <v>66679120.18</v>
      </c>
      <c r="J414" s="199"/>
      <c r="K414" s="844">
        <f>SUM(K408:K413)</f>
        <v>42303021.837284826</v>
      </c>
      <c r="O414" s="1133"/>
      <c r="P414" s="1103"/>
      <c r="S414" s="1102"/>
      <c r="T414" s="1102"/>
      <c r="U414" s="1102"/>
    </row>
    <row r="415" spans="1:23" ht="15.6" customHeight="1" x14ac:dyDescent="0.25">
      <c r="D415" s="199"/>
      <c r="F415" s="199"/>
      <c r="G415" s="199"/>
      <c r="H415" s="199"/>
      <c r="I415" s="2064">
        <f>I414-I390</f>
        <v>4.75</v>
      </c>
      <c r="J415" s="199"/>
      <c r="K415" s="2064">
        <f>K414-K390</f>
        <v>-0.16271517425775528</v>
      </c>
      <c r="O415" s="1133"/>
      <c r="P415" s="1103"/>
      <c r="S415" s="1102"/>
      <c r="T415" s="1102"/>
      <c r="U415" s="1102"/>
    </row>
    <row r="416" spans="1:23" ht="15.6" customHeight="1" x14ac:dyDescent="0.25">
      <c r="B416" s="229" t="s">
        <v>7530</v>
      </c>
      <c r="C416" s="50"/>
      <c r="D416" s="199"/>
      <c r="F416" s="199"/>
      <c r="G416" s="199"/>
      <c r="H416" s="199"/>
      <c r="I416" s="199"/>
      <c r="J416" s="199"/>
      <c r="K416" s="199"/>
      <c r="M416" s="1220" t="s">
        <v>1026</v>
      </c>
      <c r="O416" s="1133"/>
      <c r="P416" s="1104"/>
      <c r="S416" s="1102"/>
      <c r="T416" s="1102"/>
      <c r="U416" s="1102"/>
      <c r="W416" s="1128" t="s">
        <v>3857</v>
      </c>
    </row>
    <row r="417" spans="1:23" ht="15.6" customHeight="1" x14ac:dyDescent="0.25">
      <c r="I417" s="200"/>
      <c r="J417" s="200"/>
      <c r="K417" s="200"/>
      <c r="L417" s="210"/>
      <c r="N417" s="1133"/>
      <c r="O417" s="1133"/>
      <c r="P417" s="1104"/>
      <c r="S417" s="1102"/>
      <c r="T417" s="1102"/>
      <c r="U417" s="1102"/>
    </row>
    <row r="418" spans="1:23" ht="15.6" customHeight="1" x14ac:dyDescent="0.25">
      <c r="B418" s="2839" t="s">
        <v>2258</v>
      </c>
      <c r="C418" s="2839"/>
      <c r="D418" s="2839"/>
      <c r="E418" s="2839"/>
      <c r="F418" s="2839"/>
      <c r="G418" s="2839"/>
      <c r="H418" s="2839"/>
      <c r="I418" s="2839"/>
      <c r="J418" s="2839"/>
      <c r="K418" s="2839"/>
      <c r="M418" s="1217" t="s">
        <v>2257</v>
      </c>
      <c r="O418" s="1133"/>
      <c r="P418" s="1104"/>
      <c r="S418" s="1102"/>
      <c r="T418" s="1102"/>
      <c r="U418" s="1102"/>
    </row>
    <row r="419" spans="1:23" ht="15.6" customHeight="1" x14ac:dyDescent="0.25">
      <c r="I419" s="200"/>
      <c r="J419" s="200"/>
      <c r="K419" s="200"/>
      <c r="L419" s="210"/>
      <c r="N419" s="1133"/>
      <c r="O419" s="1133"/>
      <c r="P419" s="1104"/>
      <c r="S419" s="1102"/>
      <c r="T419" s="1102"/>
      <c r="U419" s="1102"/>
    </row>
    <row r="420" spans="1:23" ht="108.6" hidden="1" customHeight="1" x14ac:dyDescent="0.25">
      <c r="A420" s="1172"/>
      <c r="B420" s="2855" t="s">
        <v>2494</v>
      </c>
      <c r="C420" s="2855"/>
      <c r="D420" s="2855"/>
      <c r="E420" s="2855"/>
      <c r="F420" s="2855"/>
      <c r="G420" s="2855"/>
      <c r="H420" s="768"/>
      <c r="I420" s="768"/>
      <c r="J420" s="768"/>
      <c r="K420" s="768"/>
      <c r="L420" s="767"/>
      <c r="M420" s="1220" t="s">
        <v>2257</v>
      </c>
      <c r="O420" s="1133"/>
      <c r="P420" s="1104"/>
      <c r="S420" s="1102"/>
      <c r="T420" s="1102"/>
      <c r="U420" s="1102"/>
    </row>
    <row r="421" spans="1:23" ht="15.6" hidden="1" customHeight="1" x14ac:dyDescent="0.25">
      <c r="A421" s="1172"/>
      <c r="B421" s="767"/>
      <c r="C421" s="767"/>
      <c r="D421" s="769"/>
      <c r="E421" s="767"/>
      <c r="F421" s="769"/>
      <c r="G421" s="769"/>
      <c r="H421" s="769"/>
      <c r="I421" s="770"/>
      <c r="J421" s="770"/>
      <c r="K421" s="770"/>
      <c r="L421" s="771"/>
      <c r="N421" s="1133"/>
      <c r="O421" s="1133"/>
      <c r="T421" s="1102"/>
      <c r="U421" s="1102"/>
    </row>
    <row r="422" spans="1:23" ht="15.6" hidden="1" customHeight="1" x14ac:dyDescent="0.25">
      <c r="I422" s="199"/>
      <c r="J422" s="199"/>
      <c r="K422" s="199"/>
      <c r="M422" s="1147"/>
      <c r="N422" s="1134"/>
      <c r="O422" s="1134"/>
      <c r="T422" s="1102"/>
      <c r="U422" s="1102"/>
    </row>
    <row r="423" spans="1:23" ht="15.6" customHeight="1" x14ac:dyDescent="0.25">
      <c r="A423" s="1647" t="s">
        <v>3854</v>
      </c>
      <c r="B423" s="50" t="s">
        <v>4243</v>
      </c>
      <c r="C423" s="50"/>
      <c r="I423" s="199"/>
      <c r="J423" s="199"/>
      <c r="K423" s="199"/>
      <c r="M423" s="1147"/>
      <c r="N423" s="1134"/>
      <c r="O423" s="1134"/>
      <c r="T423" s="1102"/>
      <c r="U423" s="1102"/>
      <c r="W423" s="1128" t="s">
        <v>3520</v>
      </c>
    </row>
    <row r="424" spans="1:23" ht="15.6" customHeight="1" x14ac:dyDescent="0.25">
      <c r="A424" s="1178"/>
      <c r="I424" s="199"/>
      <c r="J424" s="199"/>
      <c r="K424" s="199"/>
      <c r="M424" s="1147"/>
      <c r="N424" s="1134"/>
      <c r="O424" s="1134"/>
      <c r="T424" s="1102"/>
      <c r="U424" s="1102"/>
    </row>
    <row r="425" spans="1:23" ht="15.6" customHeight="1" x14ac:dyDescent="0.25">
      <c r="D425" s="135"/>
      <c r="F425" s="135"/>
      <c r="G425" s="135" t="s">
        <v>191</v>
      </c>
      <c r="H425" s="135"/>
      <c r="I425" s="209" t="s">
        <v>190</v>
      </c>
      <c r="J425" s="209"/>
      <c r="K425" s="209" t="s">
        <v>193</v>
      </c>
      <c r="M425" s="1147"/>
      <c r="N425" s="1134"/>
      <c r="O425" s="1134"/>
      <c r="T425" s="1102"/>
      <c r="U425" s="1102"/>
    </row>
    <row r="426" spans="1:23" ht="15.6" customHeight="1" x14ac:dyDescent="0.25">
      <c r="B426" s="50"/>
      <c r="D426" s="135"/>
      <c r="F426" s="135"/>
      <c r="G426" s="135" t="s">
        <v>192</v>
      </c>
      <c r="H426" s="135"/>
      <c r="I426" s="209" t="s">
        <v>1022</v>
      </c>
      <c r="J426" s="209"/>
      <c r="K426" s="209" t="s">
        <v>192</v>
      </c>
      <c r="M426" s="1147"/>
      <c r="N426" s="1134"/>
      <c r="O426" s="1134"/>
      <c r="P426" s="1101"/>
      <c r="Q426" s="1102"/>
      <c r="R426" s="1102"/>
      <c r="S426" s="1102"/>
      <c r="T426" s="1102"/>
      <c r="U426" s="1102"/>
    </row>
    <row r="427" spans="1:23" ht="15.6" customHeight="1" x14ac:dyDescent="0.25">
      <c r="B427" s="249"/>
      <c r="C427" s="50"/>
      <c r="D427" s="199"/>
      <c r="E427" s="50"/>
      <c r="F427" s="199"/>
      <c r="G427" s="209" t="s">
        <v>255</v>
      </c>
      <c r="H427" s="199"/>
      <c r="I427" s="209" t="s">
        <v>255</v>
      </c>
      <c r="J427" s="199"/>
      <c r="K427" s="209" t="s">
        <v>255</v>
      </c>
      <c r="M427" s="1147"/>
      <c r="N427" s="1471"/>
      <c r="O427" s="1134"/>
      <c r="T427" s="1102"/>
      <c r="U427" s="1102"/>
    </row>
    <row r="428" spans="1:23" ht="15.6" customHeight="1" x14ac:dyDescent="0.25">
      <c r="B428" s="50" t="str">
        <f>"As at "&amp;Parameters!C11</f>
        <v>As at 30 June 2012</v>
      </c>
      <c r="I428" s="199"/>
      <c r="J428" s="199"/>
      <c r="K428" s="199"/>
      <c r="M428" s="1147"/>
      <c r="N428" s="1134"/>
      <c r="O428" s="1134"/>
      <c r="T428" s="1102"/>
      <c r="U428" s="1102"/>
    </row>
    <row r="429" spans="1:23" ht="15.6" customHeight="1" x14ac:dyDescent="0.25">
      <c r="I429" s="199"/>
      <c r="J429" s="199"/>
      <c r="K429" s="199"/>
      <c r="M429" s="1147"/>
      <c r="N429" s="1134"/>
      <c r="O429" s="1134"/>
      <c r="T429" s="1102"/>
      <c r="U429" s="1102"/>
    </row>
    <row r="430" spans="1:23" ht="15.6" customHeight="1" x14ac:dyDescent="0.25">
      <c r="B430" s="48" t="s">
        <v>2259</v>
      </c>
      <c r="D430" s="199"/>
      <c r="F430" s="199"/>
      <c r="G430" s="199">
        <f>'Trial Balance - FPos'!F61</f>
        <v>6597467.4299999997</v>
      </c>
      <c r="H430" s="199"/>
      <c r="I430" s="199">
        <v>6597107</v>
      </c>
      <c r="J430" s="199"/>
      <c r="K430" s="199">
        <f t="shared" ref="K430:K442" si="2">+G430-I430</f>
        <v>360.42999999970198</v>
      </c>
      <c r="M430" s="1147"/>
      <c r="N430" s="1134"/>
      <c r="O430" s="1134"/>
      <c r="P430" s="1097" t="s">
        <v>2824</v>
      </c>
      <c r="Q430" s="1098" t="s">
        <v>2763</v>
      </c>
      <c r="R430" s="1098" t="s">
        <v>3561</v>
      </c>
      <c r="S430" s="1098" t="s">
        <v>2781</v>
      </c>
      <c r="T430" s="1102"/>
      <c r="U430" s="1102"/>
    </row>
    <row r="431" spans="1:23" ht="15.6" hidden="1" customHeight="1" x14ac:dyDescent="0.25">
      <c r="A431" s="1168"/>
      <c r="B431" s="655" t="s">
        <v>332</v>
      </c>
      <c r="C431" s="655"/>
      <c r="D431" s="656"/>
      <c r="E431" s="655"/>
      <c r="F431" s="656"/>
      <c r="G431" s="658">
        <v>0</v>
      </c>
      <c r="H431" s="656"/>
      <c r="I431" s="658">
        <v>0</v>
      </c>
      <c r="J431" s="656"/>
      <c r="K431" s="658">
        <f t="shared" si="2"/>
        <v>0</v>
      </c>
      <c r="L431" s="655"/>
      <c r="M431" s="1147"/>
      <c r="N431" s="1134"/>
      <c r="O431" s="1134"/>
      <c r="P431" s="1097" t="s">
        <v>2825</v>
      </c>
      <c r="Q431" s="1098" t="s">
        <v>2763</v>
      </c>
      <c r="T431" s="1102"/>
      <c r="U431" s="1102"/>
    </row>
    <row r="432" spans="1:23" ht="15.6" hidden="1" customHeight="1" x14ac:dyDescent="0.25">
      <c r="B432" s="48" t="s">
        <v>6419</v>
      </c>
      <c r="G432" s="2028">
        <f>'Trial Balance - FPos'!F62</f>
        <v>0</v>
      </c>
      <c r="I432" s="2043">
        <v>0</v>
      </c>
      <c r="J432" s="57"/>
      <c r="K432" s="2028">
        <f t="shared" si="2"/>
        <v>0</v>
      </c>
      <c r="M432" s="1147"/>
      <c r="N432" s="1134"/>
      <c r="O432" s="1134"/>
      <c r="P432" s="1097" t="s">
        <v>2826</v>
      </c>
      <c r="Q432" s="1098" t="s">
        <v>2763</v>
      </c>
      <c r="T432" s="1102"/>
      <c r="U432" s="1102"/>
    </row>
    <row r="433" spans="1:24" ht="15.6" hidden="1" customHeight="1" x14ac:dyDescent="0.25">
      <c r="A433" s="1168"/>
      <c r="B433" s="655" t="s">
        <v>333</v>
      </c>
      <c r="C433" s="655"/>
      <c r="D433" s="656"/>
      <c r="E433" s="655"/>
      <c r="F433" s="656"/>
      <c r="G433" s="658">
        <v>0</v>
      </c>
      <c r="H433" s="656"/>
      <c r="I433" s="658">
        <v>0</v>
      </c>
      <c r="J433" s="656"/>
      <c r="K433" s="658">
        <f t="shared" si="2"/>
        <v>0</v>
      </c>
      <c r="L433" s="655"/>
      <c r="M433" s="1147"/>
      <c r="N433" s="1134"/>
      <c r="O433" s="1134"/>
      <c r="P433" s="1097" t="s">
        <v>2827</v>
      </c>
      <c r="Q433" s="1098" t="s">
        <v>2763</v>
      </c>
      <c r="T433" s="1102"/>
      <c r="U433" s="1102"/>
    </row>
    <row r="434" spans="1:24" ht="15.6" hidden="1" customHeight="1" x14ac:dyDescent="0.25">
      <c r="B434" s="48" t="s">
        <v>660</v>
      </c>
      <c r="G434" s="58">
        <v>0</v>
      </c>
      <c r="I434" s="58">
        <v>0</v>
      </c>
      <c r="J434" s="57"/>
      <c r="K434" s="58">
        <f t="shared" si="2"/>
        <v>0</v>
      </c>
      <c r="M434" s="1147"/>
      <c r="N434" s="1134"/>
      <c r="O434" s="1134"/>
      <c r="P434" s="1097" t="s">
        <v>2831</v>
      </c>
      <c r="Q434" s="1098" t="s">
        <v>2763</v>
      </c>
      <c r="T434" s="1102"/>
      <c r="U434" s="1102"/>
    </row>
    <row r="435" spans="1:24" ht="15.6" hidden="1" customHeight="1" x14ac:dyDescent="0.25">
      <c r="B435" s="48" t="s">
        <v>665</v>
      </c>
      <c r="G435" s="58">
        <v>0</v>
      </c>
      <c r="I435" s="58">
        <v>0</v>
      </c>
      <c r="J435" s="57"/>
      <c r="K435" s="58">
        <f t="shared" si="2"/>
        <v>0</v>
      </c>
      <c r="M435" s="1147"/>
      <c r="N435" s="1134"/>
      <c r="O435" s="1134"/>
      <c r="P435" s="1097" t="s">
        <v>2832</v>
      </c>
      <c r="Q435" s="1098" t="s">
        <v>2763</v>
      </c>
      <c r="T435" s="1102"/>
      <c r="U435" s="1102"/>
    </row>
    <row r="436" spans="1:24" ht="15.6" hidden="1" customHeight="1" x14ac:dyDescent="0.25">
      <c r="A436" s="1168"/>
      <c r="B436" s="655" t="s">
        <v>1758</v>
      </c>
      <c r="C436" s="655"/>
      <c r="D436" s="656"/>
      <c r="E436" s="655"/>
      <c r="F436" s="656"/>
      <c r="G436" s="658">
        <v>0</v>
      </c>
      <c r="H436" s="656"/>
      <c r="I436" s="658">
        <v>0</v>
      </c>
      <c r="J436" s="656"/>
      <c r="K436" s="658">
        <f t="shared" si="2"/>
        <v>0</v>
      </c>
      <c r="L436" s="655"/>
      <c r="M436" s="1147"/>
      <c r="N436" s="1134"/>
      <c r="O436" s="1134"/>
      <c r="P436" s="1097" t="s">
        <v>2828</v>
      </c>
      <c r="Q436" s="1098" t="s">
        <v>2763</v>
      </c>
      <c r="T436" s="1102"/>
      <c r="U436" s="1102"/>
    </row>
    <row r="437" spans="1:24" ht="15.6" hidden="1" customHeight="1" x14ac:dyDescent="0.25">
      <c r="B437" s="48" t="s">
        <v>3521</v>
      </c>
      <c r="G437" s="58">
        <v>0</v>
      </c>
      <c r="I437" s="58">
        <v>0</v>
      </c>
      <c r="J437" s="57"/>
      <c r="K437" s="58">
        <f t="shared" si="2"/>
        <v>0</v>
      </c>
      <c r="M437" s="1147"/>
      <c r="N437" s="1134"/>
      <c r="O437" s="1134"/>
      <c r="P437" s="1097" t="s">
        <v>3809</v>
      </c>
      <c r="Q437" s="1098" t="s">
        <v>2763</v>
      </c>
      <c r="T437" s="1102"/>
      <c r="U437" s="1102"/>
    </row>
    <row r="438" spans="1:24" ht="15.6" hidden="1" customHeight="1" x14ac:dyDescent="0.25">
      <c r="B438" s="48" t="s">
        <v>1417</v>
      </c>
      <c r="G438" s="58">
        <v>0</v>
      </c>
      <c r="I438" s="58">
        <v>0</v>
      </c>
      <c r="J438" s="57"/>
      <c r="K438" s="58">
        <f t="shared" si="2"/>
        <v>0</v>
      </c>
      <c r="M438" s="1147"/>
      <c r="N438" s="1134"/>
      <c r="O438" s="1134"/>
      <c r="P438" s="1097" t="s">
        <v>2829</v>
      </c>
      <c r="Q438" s="1098" t="s">
        <v>2763</v>
      </c>
      <c r="T438" s="1102"/>
      <c r="U438" s="1102"/>
    </row>
    <row r="439" spans="1:24" ht="15.6" hidden="1" customHeight="1" x14ac:dyDescent="0.25">
      <c r="A439" s="1168"/>
      <c r="B439" s="655" t="s">
        <v>706</v>
      </c>
      <c r="C439" s="655"/>
      <c r="D439" s="656"/>
      <c r="E439" s="655"/>
      <c r="F439" s="656"/>
      <c r="G439" s="658">
        <v>0</v>
      </c>
      <c r="H439" s="656"/>
      <c r="I439" s="658">
        <v>0</v>
      </c>
      <c r="J439" s="656"/>
      <c r="K439" s="658">
        <f t="shared" si="2"/>
        <v>0</v>
      </c>
      <c r="L439" s="655"/>
      <c r="M439" s="1147"/>
      <c r="N439" s="1134"/>
      <c r="O439" s="1134"/>
      <c r="P439" s="1097" t="s">
        <v>2830</v>
      </c>
      <c r="Q439" s="1098" t="s">
        <v>2763</v>
      </c>
      <c r="T439" s="1102"/>
      <c r="U439" s="1102"/>
    </row>
    <row r="440" spans="1:24" ht="15.6" hidden="1" customHeight="1" x14ac:dyDescent="0.25">
      <c r="A440" s="1168"/>
      <c r="B440" s="655" t="s">
        <v>296</v>
      </c>
      <c r="C440" s="655"/>
      <c r="D440" s="656"/>
      <c r="E440" s="655"/>
      <c r="F440" s="656"/>
      <c r="G440" s="658">
        <v>0</v>
      </c>
      <c r="H440" s="656"/>
      <c r="I440" s="658">
        <v>0</v>
      </c>
      <c r="J440" s="656"/>
      <c r="K440" s="658">
        <f t="shared" si="2"/>
        <v>0</v>
      </c>
      <c r="L440" s="655"/>
      <c r="M440" s="1147"/>
      <c r="N440" s="1134"/>
      <c r="O440" s="1134"/>
      <c r="P440" s="1097" t="s">
        <v>2833</v>
      </c>
      <c r="Q440" s="1098" t="s">
        <v>2763</v>
      </c>
      <c r="T440" s="1102"/>
      <c r="U440" s="1102"/>
    </row>
    <row r="441" spans="1:24" ht="15.6" hidden="1" customHeight="1" x14ac:dyDescent="0.25">
      <c r="A441" s="1168"/>
      <c r="B441" s="655" t="s">
        <v>297</v>
      </c>
      <c r="C441" s="655"/>
      <c r="D441" s="656"/>
      <c r="E441" s="655"/>
      <c r="F441" s="656"/>
      <c r="G441" s="658">
        <v>0</v>
      </c>
      <c r="H441" s="656"/>
      <c r="I441" s="658">
        <v>0</v>
      </c>
      <c r="J441" s="656"/>
      <c r="K441" s="658">
        <f t="shared" si="2"/>
        <v>0</v>
      </c>
      <c r="L441" s="655"/>
      <c r="M441" s="1147"/>
      <c r="N441" s="1134"/>
      <c r="O441" s="1134"/>
      <c r="P441" s="1097" t="s">
        <v>2834</v>
      </c>
      <c r="Q441" s="1098" t="s">
        <v>2763</v>
      </c>
      <c r="T441" s="1102"/>
      <c r="U441" s="1102"/>
    </row>
    <row r="442" spans="1:24" ht="15.6" hidden="1" customHeight="1" x14ac:dyDescent="0.25">
      <c r="A442" s="1168"/>
      <c r="B442" s="655" t="s">
        <v>298</v>
      </c>
      <c r="C442" s="655"/>
      <c r="D442" s="656"/>
      <c r="E442" s="655"/>
      <c r="F442" s="656"/>
      <c r="G442" s="658">
        <v>0</v>
      </c>
      <c r="H442" s="656"/>
      <c r="I442" s="658">
        <v>0</v>
      </c>
      <c r="J442" s="656"/>
      <c r="K442" s="658">
        <f t="shared" si="2"/>
        <v>0</v>
      </c>
      <c r="L442" s="655"/>
      <c r="M442" s="1147"/>
      <c r="N442" s="1134"/>
      <c r="O442" s="1134"/>
      <c r="P442" s="1097" t="s">
        <v>2835</v>
      </c>
      <c r="Q442" s="1098" t="s">
        <v>2763</v>
      </c>
      <c r="T442" s="1102"/>
      <c r="U442" s="1102"/>
    </row>
    <row r="443" spans="1:24" ht="15.6" customHeight="1" x14ac:dyDescent="0.25">
      <c r="D443" s="199"/>
      <c r="F443" s="199"/>
      <c r="G443" s="199"/>
      <c r="H443" s="199"/>
      <c r="I443" s="199"/>
      <c r="J443" s="199"/>
      <c r="K443" s="199"/>
      <c r="M443" s="1147"/>
      <c r="N443" s="1134"/>
      <c r="O443" s="1134"/>
      <c r="T443" s="1102"/>
      <c r="U443" s="1102"/>
    </row>
    <row r="444" spans="1:24" ht="15.6" customHeight="1" thickBot="1" x14ac:dyDescent="0.3">
      <c r="B444" s="50" t="s">
        <v>4244</v>
      </c>
      <c r="C444" s="50"/>
      <c r="D444" s="199"/>
      <c r="F444" s="199"/>
      <c r="G444" s="202">
        <f>SUM(G428:G443)</f>
        <v>6597467.4299999997</v>
      </c>
      <c r="H444" s="199"/>
      <c r="I444" s="202">
        <f>SUM(I428:I443)</f>
        <v>6597107</v>
      </c>
      <c r="J444" s="199"/>
      <c r="K444" s="202">
        <f>SUM(K428:K443)</f>
        <v>360.42999999970198</v>
      </c>
      <c r="M444" s="1147"/>
      <c r="N444" s="1134"/>
      <c r="O444" s="1134"/>
      <c r="T444" s="1102"/>
      <c r="U444" s="1102"/>
    </row>
    <row r="445" spans="1:24" ht="15.6" customHeight="1" thickTop="1" x14ac:dyDescent="0.25">
      <c r="D445" s="199"/>
      <c r="F445" s="199"/>
      <c r="G445" s="217">
        <v>0</v>
      </c>
      <c r="H445" s="199"/>
      <c r="I445" s="217">
        <v>0</v>
      </c>
      <c r="J445" s="199"/>
      <c r="K445" s="217">
        <v>0</v>
      </c>
      <c r="M445" s="1147"/>
      <c r="N445" s="1134"/>
      <c r="O445" s="1134"/>
      <c r="T445" s="1102"/>
      <c r="U445" s="1102"/>
    </row>
    <row r="446" spans="1:24" ht="15.6" customHeight="1" x14ac:dyDescent="0.25">
      <c r="D446" s="135"/>
      <c r="F446" s="135"/>
      <c r="G446" s="135" t="s">
        <v>191</v>
      </c>
      <c r="H446" s="135"/>
      <c r="I446" s="1200" t="s">
        <v>190</v>
      </c>
      <c r="J446" s="1200"/>
      <c r="K446" s="1200" t="s">
        <v>193</v>
      </c>
      <c r="M446" s="1147"/>
      <c r="N446" s="1134"/>
      <c r="O446" s="1134"/>
      <c r="T446" s="1102"/>
      <c r="U446" s="1102"/>
    </row>
    <row r="447" spans="1:24" ht="15.6" customHeight="1" x14ac:dyDescent="0.25">
      <c r="B447" s="50"/>
      <c r="D447" s="135"/>
      <c r="F447" s="135"/>
      <c r="G447" s="135" t="s">
        <v>192</v>
      </c>
      <c r="H447" s="135"/>
      <c r="I447" s="1200" t="s">
        <v>1022</v>
      </c>
      <c r="J447" s="1200"/>
      <c r="K447" s="1200" t="s">
        <v>192</v>
      </c>
      <c r="M447" s="1147"/>
      <c r="N447" s="1134"/>
      <c r="O447" s="1134"/>
      <c r="T447" s="1102"/>
      <c r="U447" s="1102"/>
      <c r="X447" s="230"/>
    </row>
    <row r="448" spans="1:24" ht="15.6" customHeight="1" x14ac:dyDescent="0.25">
      <c r="B448" s="249"/>
      <c r="C448" s="50"/>
      <c r="D448" s="199"/>
      <c r="E448" s="50"/>
      <c r="F448" s="199"/>
      <c r="G448" s="1200" t="s">
        <v>255</v>
      </c>
      <c r="H448" s="199"/>
      <c r="I448" s="1200" t="s">
        <v>255</v>
      </c>
      <c r="J448" s="199"/>
      <c r="K448" s="1200" t="s">
        <v>255</v>
      </c>
      <c r="M448" s="1147"/>
      <c r="N448" s="1471"/>
      <c r="O448" s="1134"/>
      <c r="P448" s="1101"/>
      <c r="Q448" s="1102"/>
      <c r="R448" s="1102"/>
      <c r="S448" s="1102"/>
      <c r="T448" s="1102"/>
      <c r="U448" s="1102"/>
    </row>
    <row r="449" spans="1:26" ht="15.6" customHeight="1" x14ac:dyDescent="0.25">
      <c r="B449" s="50" t="str">
        <f>"As at "&amp;Parameters!C13</f>
        <v>As at 30 June 2011</v>
      </c>
      <c r="D449" s="199"/>
      <c r="F449" s="199"/>
      <c r="G449" s="199"/>
      <c r="H449" s="199"/>
      <c r="I449" s="199"/>
      <c r="J449" s="199"/>
      <c r="K449" s="199"/>
      <c r="M449" s="1147"/>
      <c r="N449" s="1134"/>
      <c r="O449" s="1134"/>
      <c r="T449" s="1102"/>
      <c r="U449" s="1102"/>
    </row>
    <row r="450" spans="1:26" ht="15.6" customHeight="1" x14ac:dyDescent="0.25">
      <c r="D450" s="199"/>
      <c r="F450" s="199"/>
      <c r="G450" s="199"/>
      <c r="H450" s="199"/>
      <c r="I450" s="199"/>
      <c r="J450" s="199"/>
      <c r="K450" s="199"/>
      <c r="M450" s="1147"/>
      <c r="N450" s="1134"/>
      <c r="O450" s="1134"/>
      <c r="T450" s="1102"/>
      <c r="U450" s="1102"/>
    </row>
    <row r="451" spans="1:26" ht="15.6" customHeight="1" x14ac:dyDescent="0.25">
      <c r="B451" s="48" t="s">
        <v>2259</v>
      </c>
      <c r="D451" s="199"/>
      <c r="F451" s="199"/>
      <c r="G451" s="199">
        <f>'Trial Balance - FPos'!C61</f>
        <v>4126580.5</v>
      </c>
      <c r="H451" s="199"/>
      <c r="I451" s="199">
        <v>0</v>
      </c>
      <c r="J451" s="199"/>
      <c r="K451" s="199">
        <f t="shared" ref="K451:K463" si="3">+G451-I451</f>
        <v>4126580.5</v>
      </c>
      <c r="M451" s="1147"/>
      <c r="N451" s="1147">
        <v>4676433</v>
      </c>
      <c r="O451" s="1134"/>
      <c r="P451" s="1097" t="s">
        <v>2824</v>
      </c>
      <c r="Q451" s="1098" t="s">
        <v>2765</v>
      </c>
      <c r="R451" s="1098" t="s">
        <v>3561</v>
      </c>
      <c r="S451" s="1098" t="s">
        <v>2790</v>
      </c>
      <c r="T451" s="1102" t="s">
        <v>2836</v>
      </c>
      <c r="U451" s="1102" t="s">
        <v>2775</v>
      </c>
    </row>
    <row r="452" spans="1:26" ht="15.6" hidden="1" customHeight="1" x14ac:dyDescent="0.25">
      <c r="A452" s="1168"/>
      <c r="B452" s="655" t="s">
        <v>332</v>
      </c>
      <c r="C452" s="655"/>
      <c r="D452" s="656"/>
      <c r="E452" s="655"/>
      <c r="F452" s="656"/>
      <c r="G452" s="658">
        <v>0</v>
      </c>
      <c r="H452" s="656"/>
      <c r="I452" s="658">
        <v>0</v>
      </c>
      <c r="J452" s="656"/>
      <c r="K452" s="658">
        <f t="shared" si="3"/>
        <v>0</v>
      </c>
      <c r="L452" s="655"/>
      <c r="M452" s="1147"/>
      <c r="N452" s="1147">
        <v>0</v>
      </c>
      <c r="O452" s="1134"/>
      <c r="P452" s="1097" t="s">
        <v>2825</v>
      </c>
      <c r="Q452" s="1098" t="s">
        <v>2765</v>
      </c>
      <c r="T452" s="1097" t="s">
        <v>2837</v>
      </c>
      <c r="U452" s="1098" t="s">
        <v>2775</v>
      </c>
    </row>
    <row r="453" spans="1:26" ht="15.6" hidden="1" customHeight="1" x14ac:dyDescent="0.25">
      <c r="B453" s="48" t="s">
        <v>6419</v>
      </c>
      <c r="G453" s="2028">
        <f>'Trial Balance - FPos'!C62</f>
        <v>0</v>
      </c>
      <c r="I453" s="58">
        <v>0</v>
      </c>
      <c r="J453" s="57"/>
      <c r="K453" s="2028">
        <f t="shared" si="3"/>
        <v>0</v>
      </c>
      <c r="M453" s="1147"/>
      <c r="N453" s="1147">
        <v>0</v>
      </c>
      <c r="O453" s="1134"/>
      <c r="P453" s="1097" t="s">
        <v>2826</v>
      </c>
      <c r="Q453" s="1098" t="s">
        <v>2765</v>
      </c>
      <c r="T453" s="1097" t="s">
        <v>2838</v>
      </c>
      <c r="U453" s="1098" t="s">
        <v>2775</v>
      </c>
    </row>
    <row r="454" spans="1:26" ht="15.6" hidden="1" customHeight="1" x14ac:dyDescent="0.25">
      <c r="A454" s="1168"/>
      <c r="B454" s="655" t="s">
        <v>333</v>
      </c>
      <c r="C454" s="655"/>
      <c r="D454" s="656"/>
      <c r="E454" s="655"/>
      <c r="F454" s="656"/>
      <c r="G454" s="658">
        <v>0</v>
      </c>
      <c r="H454" s="656"/>
      <c r="I454" s="658">
        <v>0</v>
      </c>
      <c r="J454" s="656"/>
      <c r="K454" s="658">
        <f t="shared" si="3"/>
        <v>0</v>
      </c>
      <c r="L454" s="655"/>
      <c r="M454" s="1147"/>
      <c r="N454" s="1147">
        <v>0</v>
      </c>
      <c r="O454" s="1134"/>
      <c r="P454" s="1097" t="s">
        <v>2827</v>
      </c>
      <c r="Q454" s="1098" t="s">
        <v>2765</v>
      </c>
      <c r="T454" s="1097" t="s">
        <v>2839</v>
      </c>
      <c r="U454" s="1098" t="s">
        <v>2775</v>
      </c>
    </row>
    <row r="455" spans="1:26" ht="15.6" hidden="1" customHeight="1" x14ac:dyDescent="0.25">
      <c r="B455" s="48" t="s">
        <v>660</v>
      </c>
      <c r="G455" s="58">
        <v>0</v>
      </c>
      <c r="I455" s="58">
        <v>0</v>
      </c>
      <c r="J455" s="57"/>
      <c r="K455" s="58">
        <f t="shared" si="3"/>
        <v>0</v>
      </c>
      <c r="M455" s="1147"/>
      <c r="N455" s="1147">
        <v>463059.66</v>
      </c>
      <c r="O455" s="1134"/>
      <c r="P455" s="1097" t="s">
        <v>2831</v>
      </c>
      <c r="Q455" s="1098" t="s">
        <v>2765</v>
      </c>
      <c r="T455" s="1102" t="s">
        <v>2843</v>
      </c>
      <c r="U455" s="1102" t="s">
        <v>2775</v>
      </c>
    </row>
    <row r="456" spans="1:26" ht="15.6" hidden="1" customHeight="1" x14ac:dyDescent="0.25">
      <c r="B456" s="48" t="s">
        <v>665</v>
      </c>
      <c r="G456" s="58">
        <v>0</v>
      </c>
      <c r="I456" s="58">
        <v>0</v>
      </c>
      <c r="J456" s="57"/>
      <c r="K456" s="58">
        <f t="shared" si="3"/>
        <v>0</v>
      </c>
      <c r="M456" s="1147"/>
      <c r="N456" s="1147">
        <v>2393160.19</v>
      </c>
      <c r="O456" s="1134"/>
      <c r="P456" s="1097" t="s">
        <v>2832</v>
      </c>
      <c r="Q456" s="1098" t="s">
        <v>2765</v>
      </c>
      <c r="T456" s="1097" t="s">
        <v>2844</v>
      </c>
      <c r="U456" s="1098" t="s">
        <v>2775</v>
      </c>
      <c r="Y456" s="230"/>
    </row>
    <row r="457" spans="1:26" ht="15.6" hidden="1" customHeight="1" x14ac:dyDescent="0.25">
      <c r="A457" s="1168"/>
      <c r="B457" s="655" t="s">
        <v>1758</v>
      </c>
      <c r="C457" s="655"/>
      <c r="D457" s="656"/>
      <c r="E457" s="655"/>
      <c r="F457" s="656"/>
      <c r="G457" s="658">
        <v>0</v>
      </c>
      <c r="H457" s="656"/>
      <c r="I457" s="658">
        <v>0</v>
      </c>
      <c r="J457" s="656"/>
      <c r="K457" s="658">
        <f t="shared" si="3"/>
        <v>0</v>
      </c>
      <c r="L457" s="655"/>
      <c r="M457" s="1147"/>
      <c r="N457" s="1147">
        <v>0</v>
      </c>
      <c r="O457" s="1134"/>
      <c r="P457" s="1097" t="s">
        <v>2828</v>
      </c>
      <c r="Q457" s="1098" t="s">
        <v>2765</v>
      </c>
      <c r="T457" s="1097" t="s">
        <v>2840</v>
      </c>
      <c r="U457" s="1098" t="s">
        <v>2775</v>
      </c>
    </row>
    <row r="458" spans="1:26" ht="15.6" hidden="1" customHeight="1" x14ac:dyDescent="0.25">
      <c r="B458" s="48" t="s">
        <v>3521</v>
      </c>
      <c r="G458" s="58">
        <v>0</v>
      </c>
      <c r="I458" s="58">
        <v>0</v>
      </c>
      <c r="J458" s="57"/>
      <c r="K458" s="58">
        <f t="shared" si="3"/>
        <v>0</v>
      </c>
      <c r="M458" s="1147"/>
      <c r="N458" s="1147">
        <v>287947.10000000003</v>
      </c>
      <c r="O458" s="1134"/>
      <c r="P458" s="1097" t="s">
        <v>3809</v>
      </c>
      <c r="Q458" s="1098" t="s">
        <v>2765</v>
      </c>
      <c r="T458" s="1097" t="s">
        <v>3816</v>
      </c>
      <c r="U458" s="1098" t="s">
        <v>2775</v>
      </c>
    </row>
    <row r="459" spans="1:26" ht="15.6" hidden="1" customHeight="1" x14ac:dyDescent="0.25">
      <c r="B459" s="48" t="s">
        <v>1417</v>
      </c>
      <c r="G459" s="58">
        <v>0</v>
      </c>
      <c r="I459" s="58">
        <v>0</v>
      </c>
      <c r="J459" s="57"/>
      <c r="K459" s="58">
        <f t="shared" si="3"/>
        <v>0</v>
      </c>
      <c r="M459" s="1147"/>
      <c r="N459" s="1147">
        <v>9713418.7800000012</v>
      </c>
      <c r="O459" s="1134"/>
      <c r="P459" s="1097" t="s">
        <v>2829</v>
      </c>
      <c r="Q459" s="1098" t="s">
        <v>2765</v>
      </c>
      <c r="T459" s="1097" t="s">
        <v>2841</v>
      </c>
      <c r="U459" s="1098" t="s">
        <v>2775</v>
      </c>
    </row>
    <row r="460" spans="1:26" ht="15.6" hidden="1" customHeight="1" x14ac:dyDescent="0.25">
      <c r="A460" s="1168"/>
      <c r="B460" s="655" t="s">
        <v>706</v>
      </c>
      <c r="C460" s="655"/>
      <c r="D460" s="656"/>
      <c r="E460" s="655"/>
      <c r="F460" s="656"/>
      <c r="G460" s="658">
        <v>0</v>
      </c>
      <c r="H460" s="656"/>
      <c r="I460" s="658">
        <v>0</v>
      </c>
      <c r="J460" s="656"/>
      <c r="K460" s="658">
        <f t="shared" si="3"/>
        <v>0</v>
      </c>
      <c r="L460" s="655"/>
      <c r="M460" s="1147"/>
      <c r="N460" s="1147">
        <v>0</v>
      </c>
      <c r="O460" s="1134"/>
      <c r="P460" s="1097" t="s">
        <v>2830</v>
      </c>
      <c r="Q460" s="1098" t="s">
        <v>2765</v>
      </c>
      <c r="T460" s="1097" t="s">
        <v>2842</v>
      </c>
      <c r="U460" s="1098" t="s">
        <v>2775</v>
      </c>
    </row>
    <row r="461" spans="1:26" ht="15.6" hidden="1" customHeight="1" x14ac:dyDescent="0.25">
      <c r="A461" s="1168"/>
      <c r="B461" s="655" t="s">
        <v>296</v>
      </c>
      <c r="C461" s="655"/>
      <c r="D461" s="656"/>
      <c r="E461" s="655"/>
      <c r="F461" s="656"/>
      <c r="G461" s="658">
        <v>0</v>
      </c>
      <c r="H461" s="656"/>
      <c r="I461" s="658">
        <v>0</v>
      </c>
      <c r="J461" s="656"/>
      <c r="K461" s="658">
        <f t="shared" si="3"/>
        <v>0</v>
      </c>
      <c r="L461" s="655"/>
      <c r="M461" s="1147"/>
      <c r="N461" s="1147">
        <v>0</v>
      </c>
      <c r="O461" s="1134"/>
      <c r="P461" s="1097" t="s">
        <v>2833</v>
      </c>
      <c r="Q461" s="1098" t="s">
        <v>2765</v>
      </c>
      <c r="T461" s="1097" t="s">
        <v>2845</v>
      </c>
      <c r="U461" s="1098" t="s">
        <v>2775</v>
      </c>
    </row>
    <row r="462" spans="1:26" ht="15.6" hidden="1" customHeight="1" x14ac:dyDescent="0.25">
      <c r="A462" s="1168"/>
      <c r="B462" s="655" t="s">
        <v>297</v>
      </c>
      <c r="C462" s="655"/>
      <c r="D462" s="656"/>
      <c r="E462" s="655"/>
      <c r="F462" s="656"/>
      <c r="G462" s="658">
        <v>0</v>
      </c>
      <c r="H462" s="656"/>
      <c r="I462" s="658">
        <v>0</v>
      </c>
      <c r="J462" s="656"/>
      <c r="K462" s="658">
        <f t="shared" si="3"/>
        <v>0</v>
      </c>
      <c r="L462" s="655"/>
      <c r="M462" s="1147"/>
      <c r="N462" s="1147">
        <v>0</v>
      </c>
      <c r="O462" s="1134"/>
      <c r="P462" s="1097" t="s">
        <v>2834</v>
      </c>
      <c r="Q462" s="1098" t="s">
        <v>2765</v>
      </c>
      <c r="T462" s="1097" t="s">
        <v>2846</v>
      </c>
      <c r="U462" s="1098" t="s">
        <v>2775</v>
      </c>
    </row>
    <row r="463" spans="1:26" ht="15.6" hidden="1" customHeight="1" x14ac:dyDescent="0.25">
      <c r="A463" s="1168"/>
      <c r="B463" s="655" t="s">
        <v>298</v>
      </c>
      <c r="C463" s="655"/>
      <c r="D463" s="656"/>
      <c r="E463" s="655"/>
      <c r="F463" s="656"/>
      <c r="G463" s="658">
        <v>0</v>
      </c>
      <c r="H463" s="656"/>
      <c r="I463" s="658">
        <v>0</v>
      </c>
      <c r="J463" s="656"/>
      <c r="K463" s="658">
        <f t="shared" si="3"/>
        <v>0</v>
      </c>
      <c r="L463" s="655"/>
      <c r="M463" s="1147"/>
      <c r="N463" s="1147">
        <v>0</v>
      </c>
      <c r="O463" s="1134"/>
      <c r="P463" s="1097" t="s">
        <v>2835</v>
      </c>
      <c r="Q463" s="1098" t="s">
        <v>2765</v>
      </c>
      <c r="T463" s="1097" t="s">
        <v>2847</v>
      </c>
      <c r="U463" s="1098" t="s">
        <v>2775</v>
      </c>
      <c r="Z463" s="230"/>
    </row>
    <row r="464" spans="1:26" ht="15.6" customHeight="1" x14ac:dyDescent="0.25">
      <c r="D464" s="199"/>
      <c r="F464" s="199"/>
      <c r="G464" s="199"/>
      <c r="H464" s="199"/>
      <c r="I464" s="199"/>
      <c r="J464" s="199"/>
      <c r="K464" s="199"/>
      <c r="M464" s="1147"/>
      <c r="O464" s="1134"/>
      <c r="T464" s="1102"/>
      <c r="U464" s="1102"/>
    </row>
    <row r="465" spans="1:27" ht="15.6" customHeight="1" thickBot="1" x14ac:dyDescent="0.3">
      <c r="B465" s="50" t="s">
        <v>4244</v>
      </c>
      <c r="C465" s="50"/>
      <c r="D465" s="199"/>
      <c r="F465" s="199"/>
      <c r="G465" s="202">
        <f>SUM(G449:G464)</f>
        <v>4126580.5</v>
      </c>
      <c r="H465" s="199"/>
      <c r="I465" s="202">
        <f>SUM(I449:I464)</f>
        <v>0</v>
      </c>
      <c r="J465" s="199"/>
      <c r="K465" s="202">
        <f>SUM(K449:K464)</f>
        <v>4126580.5</v>
      </c>
      <c r="M465" s="1147"/>
      <c r="N465" s="1495">
        <v>4676433</v>
      </c>
      <c r="O465" s="1134"/>
      <c r="T465" s="1102"/>
      <c r="U465" s="1102"/>
    </row>
    <row r="466" spans="1:27" ht="15.6" customHeight="1" thickTop="1" x14ac:dyDescent="0.25">
      <c r="D466" s="199"/>
      <c r="F466" s="199"/>
      <c r="G466" s="217">
        <v>0</v>
      </c>
      <c r="H466" s="199"/>
      <c r="I466" s="217">
        <v>0</v>
      </c>
      <c r="J466" s="199"/>
      <c r="K466" s="217">
        <v>0</v>
      </c>
      <c r="M466" s="1147"/>
      <c r="N466" s="1134"/>
      <c r="O466" s="1134"/>
      <c r="T466" s="1102"/>
      <c r="U466" s="1102"/>
      <c r="AA466" s="230"/>
    </row>
    <row r="467" spans="1:27" s="230" customFormat="1" ht="15.6" hidden="1" customHeight="1" thickTop="1" thickBot="1" x14ac:dyDescent="0.3">
      <c r="A467" s="1173"/>
      <c r="B467" s="637"/>
      <c r="C467" s="637"/>
      <c r="D467" s="638"/>
      <c r="E467" s="637"/>
      <c r="F467" s="638"/>
      <c r="G467" s="638"/>
      <c r="H467" s="638"/>
      <c r="I467" s="639"/>
      <c r="J467" s="640"/>
      <c r="K467" s="639"/>
      <c r="L467" s="641"/>
      <c r="M467" s="1133"/>
      <c r="N467" s="1147"/>
      <c r="O467" s="1133"/>
      <c r="P467" s="1103"/>
      <c r="Q467" s="1098"/>
      <c r="R467" s="1098"/>
      <c r="S467" s="1102"/>
      <c r="T467" s="1102"/>
      <c r="U467" s="1102"/>
      <c r="V467" s="48"/>
      <c r="W467" s="1128"/>
      <c r="X467" s="48"/>
      <c r="Y467" s="48"/>
      <c r="Z467" s="48"/>
      <c r="AA467" s="48"/>
    </row>
    <row r="468" spans="1:27" ht="15.6" hidden="1" customHeight="1" thickBot="1" x14ac:dyDescent="0.3">
      <c r="A468" s="1174"/>
      <c r="B468" s="2850" t="s">
        <v>2670</v>
      </c>
      <c r="C468" s="2851"/>
      <c r="D468" s="2851"/>
      <c r="E468" s="2851"/>
      <c r="F468" s="2851"/>
      <c r="G468" s="2851"/>
      <c r="H468" s="2851"/>
      <c r="I468" s="2851"/>
      <c r="J468" s="2851"/>
      <c r="K468" s="2852"/>
      <c r="L468" s="643"/>
      <c r="O468" s="1133"/>
      <c r="P468" s="1103"/>
      <c r="S468" s="1102"/>
      <c r="T468" s="1102"/>
      <c r="U468" s="1102"/>
    </row>
    <row r="469" spans="1:27" ht="15.6" hidden="1" customHeight="1" thickBot="1" x14ac:dyDescent="0.3">
      <c r="A469" s="1174"/>
      <c r="B469" s="1002" t="s">
        <v>2671</v>
      </c>
      <c r="C469" s="1003"/>
      <c r="D469" s="1004"/>
      <c r="E469" s="1003"/>
      <c r="F469" s="1004"/>
      <c r="G469" s="1003"/>
      <c r="H469" s="1004"/>
      <c r="I469" s="1003"/>
      <c r="J469" s="1004"/>
      <c r="K469" s="1005"/>
      <c r="L469" s="643"/>
      <c r="O469" s="1133"/>
      <c r="P469" s="1103"/>
      <c r="S469" s="1102"/>
      <c r="T469" s="1102"/>
      <c r="U469" s="1102"/>
    </row>
    <row r="470" spans="1:27" ht="15.6" hidden="1" customHeight="1" thickBot="1" x14ac:dyDescent="0.3">
      <c r="A470" s="1174"/>
      <c r="B470" s="1006" t="s">
        <v>2672</v>
      </c>
      <c r="C470" s="1007" t="s">
        <v>2673</v>
      </c>
      <c r="D470" s="1008"/>
      <c r="E470" s="1007" t="s">
        <v>2674</v>
      </c>
      <c r="F470" s="1004"/>
      <c r="G470" s="1007" t="s">
        <v>2675</v>
      </c>
      <c r="H470" s="1004"/>
      <c r="I470" s="1007" t="s">
        <v>2676</v>
      </c>
      <c r="J470" s="1004"/>
      <c r="K470" s="1007" t="s">
        <v>861</v>
      </c>
      <c r="L470" s="643"/>
      <c r="O470" s="1133"/>
      <c r="P470" s="1101"/>
      <c r="Q470" s="1102"/>
      <c r="R470" s="1102"/>
      <c r="S470" s="1102"/>
      <c r="T470" s="1102"/>
      <c r="U470" s="1102"/>
    </row>
    <row r="471" spans="1:27" ht="15.6" hidden="1" customHeight="1" x14ac:dyDescent="0.25">
      <c r="A471" s="1174"/>
      <c r="B471" s="1009">
        <v>40262</v>
      </c>
      <c r="C471" s="1010">
        <v>0.1</v>
      </c>
      <c r="D471" s="1008"/>
      <c r="E471" s="1010">
        <v>0.01</v>
      </c>
      <c r="F471" s="1004"/>
      <c r="G471" s="1011">
        <f>C471+E471</f>
        <v>0.11</v>
      </c>
      <c r="H471" s="1004"/>
      <c r="I471" s="1011">
        <v>0</v>
      </c>
      <c r="J471" s="1004"/>
      <c r="K471" s="1011">
        <f>G471+I471</f>
        <v>0.11</v>
      </c>
      <c r="L471" s="643"/>
      <c r="O471" s="1133"/>
      <c r="P471" s="1103"/>
      <c r="S471" s="1102"/>
      <c r="T471" s="1102"/>
      <c r="U471" s="1102"/>
    </row>
    <row r="472" spans="1:27" ht="15.6" hidden="1" customHeight="1" x14ac:dyDescent="0.25">
      <c r="A472" s="1174"/>
      <c r="B472" s="1012">
        <v>40430</v>
      </c>
      <c r="C472" s="1013">
        <v>9.5000000000000001E-2</v>
      </c>
      <c r="D472" s="1008"/>
      <c r="E472" s="1013">
        <v>0.01</v>
      </c>
      <c r="F472" s="1004"/>
      <c r="G472" s="1014">
        <f>C472+E472</f>
        <v>0.105</v>
      </c>
      <c r="H472" s="1004"/>
      <c r="I472" s="1014">
        <v>0</v>
      </c>
      <c r="J472" s="1004"/>
      <c r="K472" s="1014">
        <f>G472+I472</f>
        <v>0.105</v>
      </c>
      <c r="L472" s="643"/>
      <c r="O472" s="1133"/>
      <c r="P472" s="1103"/>
      <c r="S472" s="1102"/>
      <c r="T472" s="1102"/>
      <c r="U472" s="1102"/>
    </row>
    <row r="473" spans="1:27" ht="15.6" hidden="1" customHeight="1" x14ac:dyDescent="0.25">
      <c r="A473" s="1174"/>
      <c r="B473" s="1012">
        <v>40500</v>
      </c>
      <c r="C473" s="1013">
        <v>0.09</v>
      </c>
      <c r="D473" s="1008"/>
      <c r="E473" s="1013">
        <v>0.01</v>
      </c>
      <c r="F473" s="1004"/>
      <c r="G473" s="1014">
        <f>C473+E473</f>
        <v>9.9999999999999992E-2</v>
      </c>
      <c r="H473" s="1004"/>
      <c r="I473" s="1014">
        <v>0</v>
      </c>
      <c r="J473" s="1004"/>
      <c r="K473" s="1015">
        <f>G473+I473</f>
        <v>9.9999999999999992E-2</v>
      </c>
      <c r="L473" s="643"/>
      <c r="O473" s="1133"/>
      <c r="P473" s="1103"/>
      <c r="S473" s="1102"/>
      <c r="T473" s="1102"/>
      <c r="U473" s="1102"/>
    </row>
    <row r="474" spans="1:27" ht="15.6" hidden="1" customHeight="1" thickBot="1" x14ac:dyDescent="0.3">
      <c r="A474" s="1174"/>
      <c r="B474" s="1016" t="str">
        <f>"Average for the Year "&amp;Parameters!C27</f>
        <v>Average for the Year 2010/11</v>
      </c>
      <c r="C474" s="1017"/>
      <c r="D474" s="1008"/>
      <c r="E474" s="1018"/>
      <c r="F474" s="1004"/>
      <c r="G474" s="1018"/>
      <c r="H474" s="1004"/>
      <c r="I474" s="1018"/>
      <c r="J474" s="1004"/>
      <c r="K474" s="1019">
        <f>K473</f>
        <v>9.9999999999999992E-2</v>
      </c>
      <c r="L474" s="643"/>
      <c r="O474" s="1133"/>
      <c r="P474" s="1101"/>
      <c r="Q474" s="1102"/>
      <c r="R474" s="1102"/>
      <c r="S474" s="1102"/>
      <c r="T474" s="1102"/>
      <c r="U474" s="1102"/>
    </row>
    <row r="475" spans="1:27" ht="15.6" hidden="1" customHeight="1" x14ac:dyDescent="0.25">
      <c r="A475" s="1174"/>
      <c r="B475" s="1012">
        <v>40501</v>
      </c>
      <c r="C475" s="1013">
        <v>0.09</v>
      </c>
      <c r="D475" s="1008"/>
      <c r="E475" s="1010">
        <v>0.01</v>
      </c>
      <c r="F475" s="1004"/>
      <c r="G475" s="1011">
        <f>C475+E475</f>
        <v>9.9999999999999992E-2</v>
      </c>
      <c r="H475" s="1004"/>
      <c r="I475" s="1011">
        <v>0</v>
      </c>
      <c r="J475" s="1004"/>
      <c r="K475" s="1011">
        <f>G475+I475</f>
        <v>9.9999999999999992E-2</v>
      </c>
      <c r="L475" s="643"/>
      <c r="O475" s="1133"/>
      <c r="P475" s="1104"/>
      <c r="S475" s="1102"/>
      <c r="T475" s="1102"/>
      <c r="U475" s="1102"/>
    </row>
    <row r="476" spans="1:27" ht="15.6" hidden="1" customHeight="1" x14ac:dyDescent="0.25">
      <c r="A476" s="1174"/>
      <c r="B476" s="1012">
        <v>40795</v>
      </c>
      <c r="C476" s="1013">
        <v>9.5000000000000001E-2</v>
      </c>
      <c r="D476" s="1008"/>
      <c r="E476" s="1013">
        <v>0.01</v>
      </c>
      <c r="F476" s="1004"/>
      <c r="G476" s="1014">
        <f>C476+E476</f>
        <v>0.105</v>
      </c>
      <c r="H476" s="1004"/>
      <c r="I476" s="1014">
        <v>0</v>
      </c>
      <c r="J476" s="1004"/>
      <c r="K476" s="1014">
        <f>G476+I476</f>
        <v>0.105</v>
      </c>
      <c r="L476" s="643"/>
      <c r="O476" s="1133"/>
      <c r="P476" s="1104"/>
      <c r="S476" s="1102"/>
      <c r="T476" s="1102"/>
      <c r="U476" s="1102"/>
    </row>
    <row r="477" spans="1:27" ht="15.6" hidden="1" customHeight="1" x14ac:dyDescent="0.25">
      <c r="A477" s="1174"/>
      <c r="B477" s="1012">
        <v>40865</v>
      </c>
      <c r="C477" s="1013">
        <v>0.09</v>
      </c>
      <c r="D477" s="1008"/>
      <c r="E477" s="1013">
        <v>0.01</v>
      </c>
      <c r="F477" s="1004"/>
      <c r="G477" s="1014">
        <f>C477+E477</f>
        <v>9.9999999999999992E-2</v>
      </c>
      <c r="H477" s="1004"/>
      <c r="I477" s="1014">
        <v>0</v>
      </c>
      <c r="J477" s="1004"/>
      <c r="K477" s="1015">
        <f>G477+I477</f>
        <v>9.9999999999999992E-2</v>
      </c>
      <c r="L477" s="643"/>
      <c r="O477" s="1133"/>
      <c r="T477" s="1102"/>
      <c r="U477" s="1102"/>
    </row>
    <row r="478" spans="1:27" ht="15.6" hidden="1" customHeight="1" thickBot="1" x14ac:dyDescent="0.3">
      <c r="A478" s="1174"/>
      <c r="B478" s="1016" t="str">
        <f>"Average for the Year "&amp;Parameters!C25</f>
        <v>Average for the Year 2011/12</v>
      </c>
      <c r="C478" s="1017"/>
      <c r="D478" s="1008"/>
      <c r="E478" s="1018"/>
      <c r="F478" s="1004"/>
      <c r="G478" s="1018"/>
      <c r="H478" s="1004"/>
      <c r="I478" s="1018"/>
      <c r="J478" s="1004"/>
      <c r="K478" s="1019">
        <f>K477</f>
        <v>9.9999999999999992E-2</v>
      </c>
      <c r="L478" s="643"/>
      <c r="O478" s="1133"/>
      <c r="P478" s="1104"/>
      <c r="S478" s="1102"/>
      <c r="T478" s="1102"/>
      <c r="U478" s="1102"/>
    </row>
    <row r="479" spans="1:27" ht="15.6" hidden="1" customHeight="1" x14ac:dyDescent="0.25">
      <c r="A479" s="1174"/>
      <c r="B479" s="1020"/>
      <c r="C479" s="1021"/>
      <c r="D479" s="1008"/>
      <c r="E479" s="2845">
        <f>Parameters!C17</f>
        <v>2012</v>
      </c>
      <c r="F479" s="2846"/>
      <c r="G479" s="2847"/>
      <c r="H479" s="1004"/>
      <c r="I479" s="2845">
        <f>Parameters!C19</f>
        <v>2011</v>
      </c>
      <c r="J479" s="2846"/>
      <c r="K479" s="2847"/>
      <c r="L479" s="643"/>
      <c r="O479" s="1133"/>
      <c r="T479" s="1102"/>
      <c r="U479" s="1102"/>
    </row>
    <row r="480" spans="1:27" ht="15.6" hidden="1" customHeight="1" thickBot="1" x14ac:dyDescent="0.3">
      <c r="A480" s="1174"/>
      <c r="B480" s="1022"/>
      <c r="C480" s="1023"/>
      <c r="D480" s="1008"/>
      <c r="E480" s="1024" t="s">
        <v>2677</v>
      </c>
      <c r="F480" s="1025"/>
      <c r="G480" s="1024" t="s">
        <v>2678</v>
      </c>
      <c r="H480" s="1004"/>
      <c r="I480" s="1024" t="s">
        <v>2677</v>
      </c>
      <c r="J480" s="1025"/>
      <c r="K480" s="1024" t="s">
        <v>2678</v>
      </c>
      <c r="L480" s="643"/>
      <c r="O480" s="1133"/>
      <c r="P480" s="1104"/>
      <c r="S480" s="1102"/>
      <c r="T480" s="1102"/>
      <c r="U480" s="1102"/>
      <c r="X480" s="230"/>
    </row>
    <row r="481" spans="1:25" ht="15.6" hidden="1" customHeight="1" x14ac:dyDescent="0.25">
      <c r="A481" s="1174"/>
      <c r="B481" s="1009">
        <f>B471</f>
        <v>40262</v>
      </c>
      <c r="C481" s="1010"/>
      <c r="D481" s="1008"/>
      <c r="E481" s="1026"/>
      <c r="F481" s="1004"/>
      <c r="G481" s="1011"/>
      <c r="H481" s="1004"/>
      <c r="I481" s="1027">
        <f>$B482-DATE(2010,6,30)</f>
        <v>71</v>
      </c>
      <c r="J481" s="1004"/>
      <c r="K481" s="1011">
        <f>K471*I481/365</f>
        <v>2.1397260273972603E-2</v>
      </c>
      <c r="L481" s="643"/>
      <c r="M481" s="1028" t="s">
        <v>2679</v>
      </c>
      <c r="O481" s="1133"/>
      <c r="T481" s="1102"/>
      <c r="U481" s="1102"/>
      <c r="X481" s="230"/>
    </row>
    <row r="482" spans="1:25" ht="15.6" hidden="1" customHeight="1" x14ac:dyDescent="0.25">
      <c r="A482" s="1174"/>
      <c r="B482" s="1012">
        <f>B472</f>
        <v>40430</v>
      </c>
      <c r="C482" s="1013"/>
      <c r="D482" s="1008"/>
      <c r="E482" s="1029"/>
      <c r="F482" s="1004"/>
      <c r="G482" s="1014"/>
      <c r="H482" s="1004"/>
      <c r="I482" s="1029">
        <f>$B483-$B482</f>
        <v>70</v>
      </c>
      <c r="J482" s="1004"/>
      <c r="K482" s="1014">
        <f>K472*I482/365</f>
        <v>2.0136986301369862E-2</v>
      </c>
      <c r="L482" s="643"/>
      <c r="M482" s="1028" t="s">
        <v>2679</v>
      </c>
      <c r="O482" s="1133"/>
      <c r="P482" s="1104"/>
      <c r="S482" s="1102"/>
      <c r="T482" s="1102"/>
      <c r="U482" s="1102"/>
    </row>
    <row r="483" spans="1:25" ht="15.6" hidden="1" customHeight="1" x14ac:dyDescent="0.25">
      <c r="A483" s="1174"/>
      <c r="B483" s="1012">
        <f>B473</f>
        <v>40500</v>
      </c>
      <c r="C483" s="1013"/>
      <c r="D483" s="1008"/>
      <c r="E483" s="1029"/>
      <c r="F483" s="1004"/>
      <c r="G483" s="1014"/>
      <c r="H483" s="1004"/>
      <c r="I483" s="1029">
        <f>DATE(2011,6,30)-$B483</f>
        <v>224</v>
      </c>
      <c r="J483" s="1004"/>
      <c r="K483" s="1014">
        <f>K473*I483/365</f>
        <v>6.1369863013698629E-2</v>
      </c>
      <c r="L483" s="643"/>
      <c r="M483" s="1028" t="s">
        <v>2679</v>
      </c>
      <c r="O483" s="1133"/>
      <c r="T483" s="1102"/>
      <c r="U483" s="1102"/>
    </row>
    <row r="484" spans="1:25" ht="15.6" hidden="1" customHeight="1" x14ac:dyDescent="0.25">
      <c r="A484" s="1174"/>
      <c r="B484" s="1012">
        <f>B475</f>
        <v>40501</v>
      </c>
      <c r="C484" s="1013"/>
      <c r="D484" s="1008"/>
      <c r="E484" s="1029">
        <f>$B485-DATE(2011,6,30)</f>
        <v>71</v>
      </c>
      <c r="F484" s="1004"/>
      <c r="G484" s="1014">
        <f>K475*E484/365</f>
        <v>1.9452054794520546E-2</v>
      </c>
      <c r="H484" s="1004"/>
      <c r="I484" s="1029"/>
      <c r="J484" s="1004"/>
      <c r="K484" s="1014"/>
      <c r="L484" s="643"/>
      <c r="M484" s="1028" t="s">
        <v>2679</v>
      </c>
      <c r="O484" s="1133"/>
      <c r="T484" s="1102"/>
      <c r="U484" s="1102"/>
    </row>
    <row r="485" spans="1:25" ht="15.6" hidden="1" customHeight="1" x14ac:dyDescent="0.25">
      <c r="A485" s="1174"/>
      <c r="B485" s="1012">
        <f>B476</f>
        <v>40795</v>
      </c>
      <c r="C485" s="1013"/>
      <c r="D485" s="1008"/>
      <c r="E485" s="1029">
        <f>$B486-$B485</f>
        <v>70</v>
      </c>
      <c r="F485" s="1004"/>
      <c r="G485" s="1014">
        <f>K476*E485/365</f>
        <v>2.0136986301369862E-2</v>
      </c>
      <c r="H485" s="1004"/>
      <c r="I485" s="1029"/>
      <c r="J485" s="1004"/>
      <c r="K485" s="1014"/>
      <c r="L485" s="643"/>
      <c r="M485" s="1028" t="s">
        <v>2679</v>
      </c>
      <c r="O485" s="1133"/>
      <c r="P485" s="1104"/>
      <c r="S485" s="1102"/>
      <c r="T485" s="1102"/>
      <c r="U485" s="1102"/>
    </row>
    <row r="486" spans="1:25" ht="15.6" hidden="1" customHeight="1" x14ac:dyDescent="0.25">
      <c r="A486" s="1174"/>
      <c r="B486" s="1012">
        <f>B477</f>
        <v>40865</v>
      </c>
      <c r="C486" s="1013"/>
      <c r="D486" s="1008"/>
      <c r="E486" s="1029">
        <f>DATE(2012,6,30)-$B486</f>
        <v>225</v>
      </c>
      <c r="F486" s="1004"/>
      <c r="G486" s="1014">
        <f>K477*E486/365</f>
        <v>6.1643835616438346E-2</v>
      </c>
      <c r="H486" s="1004"/>
      <c r="I486" s="1029"/>
      <c r="J486" s="1004"/>
      <c r="K486" s="1014"/>
      <c r="L486" s="643"/>
      <c r="M486" s="1028" t="s">
        <v>2679</v>
      </c>
      <c r="O486" s="1133"/>
      <c r="P486" s="1104"/>
      <c r="S486" s="1102"/>
      <c r="T486" s="1102"/>
      <c r="U486" s="1102"/>
    </row>
    <row r="487" spans="1:25" ht="15.6" hidden="1" customHeight="1" thickBot="1" x14ac:dyDescent="0.3">
      <c r="A487" s="1174"/>
      <c r="B487" s="1030"/>
      <c r="C487" s="1030"/>
      <c r="D487" s="1008"/>
      <c r="E487" s="1031">
        <f>SUM(E481:E486)</f>
        <v>366</v>
      </c>
      <c r="F487" s="1004"/>
      <c r="G487" s="1032">
        <f>SUM(G481:G486)</f>
        <v>0.10123287671232875</v>
      </c>
      <c r="H487" s="1004"/>
      <c r="I487" s="1031">
        <f>SUM(I481:I486)</f>
        <v>365</v>
      </c>
      <c r="J487" s="1004"/>
      <c r="K487" s="1032">
        <f>SUM(K481:K486)</f>
        <v>0.10290410958904109</v>
      </c>
      <c r="L487" s="643"/>
      <c r="O487" s="1133"/>
      <c r="P487" s="1104"/>
      <c r="S487" s="1102"/>
      <c r="T487" s="1102"/>
      <c r="U487" s="1102"/>
    </row>
    <row r="488" spans="1:25" ht="15.6" hidden="1" customHeight="1" thickBot="1" x14ac:dyDescent="0.3">
      <c r="A488" s="1174"/>
      <c r="B488" s="1002" t="s">
        <v>2680</v>
      </c>
      <c r="C488" s="1003"/>
      <c r="D488" s="1004"/>
      <c r="E488" s="1003"/>
      <c r="F488" s="1004"/>
      <c r="G488" s="1003"/>
      <c r="H488" s="1004"/>
      <c r="I488" s="1003"/>
      <c r="J488" s="1004"/>
      <c r="K488" s="1005"/>
      <c r="L488" s="643"/>
      <c r="O488" s="1133"/>
      <c r="P488" s="1104"/>
      <c r="S488" s="1102"/>
      <c r="T488" s="1102"/>
      <c r="U488" s="1102"/>
    </row>
    <row r="489" spans="1:25" ht="15.6" hidden="1" customHeight="1" thickBot="1" x14ac:dyDescent="0.3">
      <c r="A489" s="1174"/>
      <c r="B489" s="1033" t="s">
        <v>2681</v>
      </c>
      <c r="C489" s="1034"/>
      <c r="D489" s="1008"/>
      <c r="E489" s="1006"/>
      <c r="F489" s="1004"/>
      <c r="G489" s="1006"/>
      <c r="H489" s="1004"/>
      <c r="I489" s="1006"/>
      <c r="J489" s="1004"/>
      <c r="K489" s="1006"/>
      <c r="L489" s="643"/>
      <c r="O489" s="1133"/>
      <c r="P489" s="1104"/>
      <c r="S489" s="1102"/>
      <c r="T489" s="1102"/>
      <c r="U489" s="1102"/>
    </row>
    <row r="490" spans="1:25" ht="15.6" hidden="1" customHeight="1" x14ac:dyDescent="0.25">
      <c r="A490" s="1174"/>
      <c r="B490" s="1035" t="s">
        <v>2259</v>
      </c>
      <c r="C490" s="1036"/>
      <c r="D490" s="1008"/>
      <c r="E490" s="1037"/>
      <c r="F490" s="1004"/>
      <c r="G490" s="1038" t="s">
        <v>340</v>
      </c>
      <c r="H490" s="1004"/>
      <c r="I490" s="1039">
        <f>IF(G490="Yes",'Notes I'!G430,0)</f>
        <v>6597467.4299999997</v>
      </c>
      <c r="J490" s="1040"/>
      <c r="K490" s="1039">
        <f>IF(G490="Yes",'Notes I'!G451,0)</f>
        <v>4126580.5</v>
      </c>
      <c r="L490" s="643"/>
      <c r="O490" s="1133"/>
      <c r="T490" s="1102"/>
      <c r="U490" s="1102"/>
    </row>
    <row r="491" spans="1:25" ht="15.6" hidden="1" customHeight="1" x14ac:dyDescent="0.25">
      <c r="A491" s="1174"/>
      <c r="B491" s="1035" t="s">
        <v>332</v>
      </c>
      <c r="C491" s="1036"/>
      <c r="D491" s="1008"/>
      <c r="E491" s="1037"/>
      <c r="F491" s="1004"/>
      <c r="G491" s="1038" t="s">
        <v>2684</v>
      </c>
      <c r="H491" s="1004"/>
      <c r="I491" s="1039">
        <f>IF(G491="Yes",'Notes I'!G431,0)</f>
        <v>0</v>
      </c>
      <c r="J491" s="1040"/>
      <c r="K491" s="1039">
        <f>IF(G491="Yes",'Notes I'!G452,0)</f>
        <v>0</v>
      </c>
      <c r="L491" s="643"/>
      <c r="O491" s="1133"/>
      <c r="P491" s="1104"/>
      <c r="S491" s="1102"/>
      <c r="T491" s="1102"/>
      <c r="U491" s="1102"/>
      <c r="Y491" s="230"/>
    </row>
    <row r="492" spans="1:25" ht="15.6" hidden="1" customHeight="1" x14ac:dyDescent="0.25">
      <c r="A492" s="1174"/>
      <c r="B492" s="1035" t="s">
        <v>334</v>
      </c>
      <c r="C492" s="1036"/>
      <c r="D492" s="1008"/>
      <c r="E492" s="1037"/>
      <c r="F492" s="1004"/>
      <c r="G492" s="1038" t="s">
        <v>2684</v>
      </c>
      <c r="H492" s="1004"/>
      <c r="I492" s="1039">
        <f>IF(G492="Yes",'Notes I'!G432,0)</f>
        <v>0</v>
      </c>
      <c r="J492" s="1040"/>
      <c r="K492" s="1039">
        <f>IF(G492="Yes",'Notes I'!G453,0)</f>
        <v>0</v>
      </c>
      <c r="L492" s="643"/>
      <c r="O492" s="1133"/>
      <c r="T492" s="1102"/>
      <c r="U492" s="1102"/>
      <c r="Y492" s="230"/>
    </row>
    <row r="493" spans="1:25" ht="15.6" hidden="1" customHeight="1" x14ac:dyDescent="0.25">
      <c r="A493" s="1174"/>
      <c r="B493" s="1035" t="s">
        <v>333</v>
      </c>
      <c r="C493" s="1036"/>
      <c r="D493" s="1008"/>
      <c r="E493" s="1037"/>
      <c r="F493" s="1004"/>
      <c r="G493" s="1038" t="s">
        <v>340</v>
      </c>
      <c r="H493" s="1004"/>
      <c r="I493" s="1039">
        <f>IF(G493="Yes",'Notes I'!G433,0)</f>
        <v>0</v>
      </c>
      <c r="J493" s="1040"/>
      <c r="K493" s="1039">
        <f>IF(G493="Yes",'Notes I'!G454,0)</f>
        <v>0</v>
      </c>
      <c r="L493" s="643"/>
      <c r="O493" s="1133"/>
      <c r="P493" s="1104"/>
      <c r="S493" s="1102"/>
      <c r="T493" s="1102"/>
      <c r="U493" s="1102"/>
    </row>
    <row r="494" spans="1:25" ht="15.6" hidden="1" customHeight="1" x14ac:dyDescent="0.25">
      <c r="A494" s="1174"/>
      <c r="B494" s="1035" t="s">
        <v>660</v>
      </c>
      <c r="C494" s="1036"/>
      <c r="D494" s="1008"/>
      <c r="E494" s="1037"/>
      <c r="F494" s="1004"/>
      <c r="G494" s="1038" t="s">
        <v>340</v>
      </c>
      <c r="H494" s="1004"/>
      <c r="I494" s="1039">
        <f>IF(G494="Yes",'Notes I'!G434,0)</f>
        <v>0</v>
      </c>
      <c r="J494" s="1040"/>
      <c r="K494" s="1039">
        <f>IF(G494="Yes",'Notes I'!G455,0)</f>
        <v>0</v>
      </c>
      <c r="L494" s="643"/>
      <c r="O494" s="1133"/>
      <c r="T494" s="1102"/>
      <c r="U494" s="1102"/>
    </row>
    <row r="495" spans="1:25" ht="15.6" hidden="1" customHeight="1" x14ac:dyDescent="0.25">
      <c r="A495" s="1174"/>
      <c r="B495" s="1035" t="s">
        <v>665</v>
      </c>
      <c r="C495" s="1036"/>
      <c r="D495" s="1008"/>
      <c r="E495" s="1037"/>
      <c r="F495" s="1004"/>
      <c r="G495" s="1038" t="s">
        <v>340</v>
      </c>
      <c r="H495" s="1004"/>
      <c r="I495" s="1039">
        <f>IF(G495="Yes",'Notes I'!G435,0)</f>
        <v>0</v>
      </c>
      <c r="J495" s="1040"/>
      <c r="K495" s="1039">
        <f>IF(G495="Yes",'Notes I'!G456,0)</f>
        <v>0</v>
      </c>
      <c r="L495" s="643"/>
      <c r="O495" s="1133"/>
      <c r="P495" s="1104"/>
      <c r="S495" s="1102"/>
      <c r="T495" s="1102"/>
      <c r="U495" s="1102"/>
    </row>
    <row r="496" spans="1:25" ht="15.6" hidden="1" customHeight="1" x14ac:dyDescent="0.25">
      <c r="A496" s="1174"/>
      <c r="B496" s="1035" t="s">
        <v>1758</v>
      </c>
      <c r="C496" s="1036"/>
      <c r="D496" s="1008"/>
      <c r="E496" s="1037"/>
      <c r="F496" s="1004"/>
      <c r="G496" s="1038" t="s">
        <v>2684</v>
      </c>
      <c r="H496" s="1004"/>
      <c r="I496" s="1039">
        <f>IF(G496="Yes",'Notes I'!G436,0)</f>
        <v>0</v>
      </c>
      <c r="J496" s="1040"/>
      <c r="K496" s="1039">
        <f>IF(G496="Yes",'Notes I'!G457,0)</f>
        <v>0</v>
      </c>
      <c r="L496" s="643"/>
      <c r="O496" s="1133"/>
      <c r="P496" s="1104"/>
      <c r="S496" s="1102"/>
      <c r="T496" s="1102"/>
      <c r="U496" s="1102"/>
    </row>
    <row r="497" spans="1:27" ht="15.6" hidden="1" customHeight="1" x14ac:dyDescent="0.25">
      <c r="A497" s="1174"/>
      <c r="B497" s="1035" t="s">
        <v>3521</v>
      </c>
      <c r="C497" s="1036"/>
      <c r="D497" s="1008"/>
      <c r="E497" s="1037"/>
      <c r="F497" s="1004"/>
      <c r="G497" s="1038" t="s">
        <v>340</v>
      </c>
      <c r="H497" s="1004"/>
      <c r="I497" s="1039">
        <f>IF(G497="Yes",'Notes I'!G437,0)</f>
        <v>0</v>
      </c>
      <c r="J497" s="1040"/>
      <c r="K497" s="1039">
        <f>IF(G497="Yes",'Notes I'!G458,0)</f>
        <v>0</v>
      </c>
      <c r="L497" s="643"/>
      <c r="O497" s="1133"/>
      <c r="P497" s="1104"/>
      <c r="S497" s="1102"/>
      <c r="T497" s="1102"/>
      <c r="U497" s="1102"/>
    </row>
    <row r="498" spans="1:27" ht="15.6" hidden="1" customHeight="1" x14ac:dyDescent="0.25">
      <c r="A498" s="1174"/>
      <c r="B498" s="1035" t="s">
        <v>3521</v>
      </c>
      <c r="C498" s="1036"/>
      <c r="D498" s="1008"/>
      <c r="E498" s="1037"/>
      <c r="F498" s="1004"/>
      <c r="G498" s="1038" t="s">
        <v>340</v>
      </c>
      <c r="H498" s="1004"/>
      <c r="I498" s="1039">
        <f>IF(G498="Yes",'Notes I'!G438,0)</f>
        <v>0</v>
      </c>
      <c r="J498" s="1040"/>
      <c r="K498" s="1039">
        <f>IF(G498="Yes",'Notes I'!G459,0)</f>
        <v>0</v>
      </c>
      <c r="L498" s="643"/>
      <c r="O498" s="1133"/>
      <c r="P498" s="1104"/>
      <c r="S498" s="1102"/>
      <c r="T498" s="1102"/>
      <c r="U498" s="1102"/>
    </row>
    <row r="499" spans="1:27" ht="15.6" hidden="1" customHeight="1" x14ac:dyDescent="0.25">
      <c r="A499" s="1174"/>
      <c r="B499" s="1035" t="s">
        <v>706</v>
      </c>
      <c r="C499" s="1036"/>
      <c r="D499" s="1008"/>
      <c r="E499" s="1037"/>
      <c r="F499" s="1004"/>
      <c r="G499" s="1038" t="s">
        <v>340</v>
      </c>
      <c r="H499" s="1004"/>
      <c r="I499" s="1039">
        <f>IF(G499="Yes",'Notes I'!G439,0)</f>
        <v>0</v>
      </c>
      <c r="J499" s="1040"/>
      <c r="K499" s="1039">
        <f>IF(G499="Yes",'Notes I'!G460,0)</f>
        <v>0</v>
      </c>
      <c r="L499" s="643"/>
      <c r="O499" s="1133"/>
      <c r="P499" s="1104"/>
      <c r="S499" s="1102"/>
      <c r="T499" s="1102"/>
      <c r="U499" s="1102"/>
      <c r="Z499" s="230"/>
    </row>
    <row r="500" spans="1:27" ht="15.6" hidden="1" customHeight="1" x14ac:dyDescent="0.25">
      <c r="A500" s="1174"/>
      <c r="B500" s="1035" t="s">
        <v>296</v>
      </c>
      <c r="C500" s="1036"/>
      <c r="D500" s="1008"/>
      <c r="E500" s="1037"/>
      <c r="F500" s="1004"/>
      <c r="G500" s="1038" t="s">
        <v>2684</v>
      </c>
      <c r="H500" s="1004"/>
      <c r="I500" s="1039">
        <f>IF(G500="Yes",'Notes I'!G440,0)</f>
        <v>0</v>
      </c>
      <c r="J500" s="1040"/>
      <c r="K500" s="1039">
        <f>IF(G500="Yes",'Notes I'!G461,0)</f>
        <v>0</v>
      </c>
      <c r="L500" s="643"/>
      <c r="O500" s="1133"/>
      <c r="P500" s="1103"/>
      <c r="S500" s="1102"/>
      <c r="T500" s="1102"/>
      <c r="U500" s="1102"/>
      <c r="Z500" s="230"/>
    </row>
    <row r="501" spans="1:27" ht="15.6" hidden="1" customHeight="1" x14ac:dyDescent="0.25">
      <c r="A501" s="1174"/>
      <c r="B501" s="1035" t="s">
        <v>297</v>
      </c>
      <c r="C501" s="1036"/>
      <c r="D501" s="1008"/>
      <c r="E501" s="1037"/>
      <c r="F501" s="1004"/>
      <c r="G501" s="1038" t="s">
        <v>2684</v>
      </c>
      <c r="H501" s="1004"/>
      <c r="I501" s="1039">
        <f>IF(G501="Yes",'Notes I'!G441,0)</f>
        <v>0</v>
      </c>
      <c r="J501" s="1040"/>
      <c r="K501" s="1039">
        <f>IF(G501="Yes",'Notes I'!G462,0)</f>
        <v>0</v>
      </c>
      <c r="L501" s="643"/>
      <c r="O501" s="1133"/>
      <c r="P501" s="1104"/>
      <c r="S501" s="1102"/>
      <c r="T501" s="1102"/>
      <c r="U501" s="1102"/>
    </row>
    <row r="502" spans="1:27" ht="15.6" hidden="1" customHeight="1" x14ac:dyDescent="0.25">
      <c r="A502" s="1174"/>
      <c r="B502" s="1035" t="s">
        <v>298</v>
      </c>
      <c r="C502" s="1036"/>
      <c r="D502" s="1008"/>
      <c r="E502" s="1037"/>
      <c r="F502" s="1004"/>
      <c r="G502" s="1038" t="s">
        <v>2684</v>
      </c>
      <c r="H502" s="1004"/>
      <c r="I502" s="1039">
        <f>IF(G502="Yes",'Notes I'!G442,0)</f>
        <v>0</v>
      </c>
      <c r="J502" s="1040"/>
      <c r="K502" s="1039">
        <f>IF(G502="Yes",'Notes I'!G463,0)</f>
        <v>0</v>
      </c>
      <c r="L502" s="643"/>
      <c r="O502" s="1133"/>
      <c r="T502" s="1102"/>
      <c r="U502" s="1102"/>
      <c r="X502" s="230"/>
      <c r="AA502" s="230"/>
    </row>
    <row r="503" spans="1:27" s="230" customFormat="1" ht="15.6" hidden="1" customHeight="1" thickBot="1" x14ac:dyDescent="0.3">
      <c r="A503" s="1175"/>
      <c r="B503" s="1041" t="s">
        <v>2682</v>
      </c>
      <c r="C503" s="1042"/>
      <c r="D503" s="1004"/>
      <c r="E503" s="1043"/>
      <c r="F503" s="1004"/>
      <c r="G503" s="1044"/>
      <c r="H503" s="1045">
        <v>-234</v>
      </c>
      <c r="I503" s="1046">
        <f>SUM(I490:I502)</f>
        <v>6597467.4299999997</v>
      </c>
      <c r="J503" s="1047"/>
      <c r="K503" s="1046">
        <f>SUM(K490:K502)</f>
        <v>4126580.5</v>
      </c>
      <c r="L503" s="648"/>
      <c r="M503" s="1133"/>
      <c r="N503" s="1147"/>
      <c r="O503" s="1133"/>
      <c r="P503" s="1097"/>
      <c r="Q503" s="1098"/>
      <c r="R503" s="1098"/>
      <c r="S503" s="1098"/>
      <c r="T503" s="1102"/>
      <c r="U503" s="1102"/>
      <c r="V503" s="48"/>
      <c r="W503" s="1128"/>
      <c r="Y503" s="48"/>
      <c r="Z503" s="48"/>
    </row>
    <row r="504" spans="1:27" s="230" customFormat="1" ht="15.6" hidden="1" customHeight="1" thickBot="1" x14ac:dyDescent="0.3">
      <c r="A504" s="1175"/>
      <c r="B504" s="1048"/>
      <c r="C504" s="1048"/>
      <c r="D504" s="1004"/>
      <c r="E504" s="1048"/>
      <c r="F504" s="1004"/>
      <c r="G504" s="1004"/>
      <c r="H504" s="1004"/>
      <c r="I504" s="1005"/>
      <c r="J504" s="1049"/>
      <c r="K504" s="1005"/>
      <c r="L504" s="648"/>
      <c r="M504" s="1133"/>
      <c r="N504" s="1147"/>
      <c r="O504" s="1133"/>
      <c r="P504" s="1097"/>
      <c r="Q504" s="1098"/>
      <c r="R504" s="1098"/>
      <c r="S504" s="1098"/>
      <c r="T504" s="1102"/>
      <c r="U504" s="1102"/>
      <c r="V504" s="48"/>
      <c r="W504" s="1128"/>
      <c r="X504" s="48"/>
      <c r="Y504" s="48"/>
      <c r="Z504" s="48"/>
      <c r="AA504" s="48"/>
    </row>
    <row r="505" spans="1:27" ht="15.6" hidden="1" customHeight="1" thickBot="1" x14ac:dyDescent="0.3">
      <c r="A505" s="1174"/>
      <c r="B505" s="1033" t="s">
        <v>2699</v>
      </c>
      <c r="C505" s="1034"/>
      <c r="D505" s="1008"/>
      <c r="E505" s="1006"/>
      <c r="F505" s="1004"/>
      <c r="G505" s="1006"/>
      <c r="H505" s="1004"/>
      <c r="I505" s="1006"/>
      <c r="J505" s="1004"/>
      <c r="K505" s="1006"/>
      <c r="L505" s="643"/>
      <c r="O505" s="1133"/>
      <c r="P505" s="1104"/>
      <c r="S505" s="1102"/>
      <c r="T505" s="1102"/>
      <c r="U505" s="1102"/>
    </row>
    <row r="506" spans="1:27" ht="15.6" hidden="1" customHeight="1" x14ac:dyDescent="0.25">
      <c r="A506" s="1174"/>
      <c r="B506" s="1035" t="s">
        <v>404</v>
      </c>
      <c r="C506" s="1036"/>
      <c r="D506" s="1008"/>
      <c r="E506" s="1037"/>
      <c r="F506" s="1004"/>
      <c r="G506" s="1038" t="s">
        <v>340</v>
      </c>
      <c r="H506" s="1004"/>
      <c r="I506" s="1039">
        <f>IF(G506="Yes",'Fin Perform'!I9,0)</f>
        <v>7231215.04</v>
      </c>
      <c r="J506" s="1040"/>
      <c r="K506" s="1039">
        <f>IF(G506="Yes",'Fin Perform'!K9,0)</f>
        <v>6062906.8000000007</v>
      </c>
      <c r="L506" s="643"/>
      <c r="O506" s="1133"/>
      <c r="T506" s="1102"/>
      <c r="U506" s="1102"/>
    </row>
    <row r="507" spans="1:27" ht="15.6" hidden="1" customHeight="1" x14ac:dyDescent="0.25">
      <c r="A507" s="1174"/>
      <c r="B507" s="1035" t="s">
        <v>408</v>
      </c>
      <c r="C507" s="1036"/>
      <c r="D507" s="1008"/>
      <c r="E507" s="1037"/>
      <c r="F507" s="1004"/>
      <c r="G507" s="1038" t="s">
        <v>340</v>
      </c>
      <c r="H507" s="1004"/>
      <c r="I507" s="1039">
        <f>IF(G507="Yes",'Fin Perform'!I10,0)</f>
        <v>0</v>
      </c>
      <c r="J507" s="1040"/>
      <c r="K507" s="1039">
        <f>IF(G507="Yes",'Fin Perform'!K10,0)</f>
        <v>0</v>
      </c>
      <c r="L507" s="643"/>
      <c r="O507" s="1133"/>
      <c r="P507" s="1104"/>
      <c r="S507" s="1102"/>
      <c r="T507" s="1102"/>
      <c r="U507" s="1102"/>
    </row>
    <row r="508" spans="1:27" ht="15.6" hidden="1" customHeight="1" x14ac:dyDescent="0.25">
      <c r="A508" s="1174"/>
      <c r="B508" s="1035" t="s">
        <v>248</v>
      </c>
      <c r="C508" s="1036"/>
      <c r="D508" s="1008"/>
      <c r="E508" s="1037"/>
      <c r="F508" s="1004"/>
      <c r="G508" s="1038" t="s">
        <v>2684</v>
      </c>
      <c r="H508" s="1004"/>
      <c r="I508" s="1039">
        <f>IF(G508="Yes",'Fin Perform'!I11,0)</f>
        <v>0</v>
      </c>
      <c r="J508" s="1040"/>
      <c r="K508" s="1039">
        <f>IF(G508="Yes",'Fin Perform'!K11,0)</f>
        <v>0</v>
      </c>
      <c r="L508" s="643"/>
      <c r="O508" s="1133"/>
      <c r="P508" s="1104"/>
      <c r="S508" s="1102"/>
      <c r="T508" s="1102"/>
      <c r="U508" s="1102"/>
    </row>
    <row r="509" spans="1:27" ht="15.6" hidden="1" customHeight="1" x14ac:dyDescent="0.25">
      <c r="A509" s="1174"/>
      <c r="B509" s="1035" t="s">
        <v>411</v>
      </c>
      <c r="C509" s="1036"/>
      <c r="D509" s="1008"/>
      <c r="E509" s="1037"/>
      <c r="F509" s="1004"/>
      <c r="G509" s="1038" t="s">
        <v>2684</v>
      </c>
      <c r="H509" s="1004"/>
      <c r="I509" s="1039">
        <f>IF(G509="Yes",'Fin Perform'!I13,0)</f>
        <v>0</v>
      </c>
      <c r="J509" s="1040"/>
      <c r="K509" s="1039">
        <f>IF(G509="Yes",'Fin Perform'!K13,0)</f>
        <v>0</v>
      </c>
      <c r="L509" s="643"/>
      <c r="O509" s="1133"/>
      <c r="P509" s="1104"/>
      <c r="S509" s="1102"/>
      <c r="T509" s="1102"/>
      <c r="U509" s="1102"/>
    </row>
    <row r="510" spans="1:27" ht="15.6" hidden="1" customHeight="1" x14ac:dyDescent="0.25">
      <c r="A510" s="1174"/>
      <c r="B510" s="1035" t="s">
        <v>412</v>
      </c>
      <c r="C510" s="1036"/>
      <c r="D510" s="1008"/>
      <c r="E510" s="1037"/>
      <c r="F510" s="1004"/>
      <c r="G510" s="1038" t="s">
        <v>2684</v>
      </c>
      <c r="H510" s="1004"/>
      <c r="I510" s="1039">
        <f>IF(G510="Yes",'Fin Perform'!I14,0)</f>
        <v>0</v>
      </c>
      <c r="J510" s="1040"/>
      <c r="K510" s="1039">
        <f>IF(G510="Yes",'Fin Perform'!K14,0)</f>
        <v>0</v>
      </c>
      <c r="L510" s="643"/>
      <c r="O510" s="1133"/>
      <c r="P510" s="1104"/>
      <c r="S510" s="1102"/>
      <c r="T510" s="1102"/>
      <c r="U510" s="1102"/>
    </row>
    <row r="511" spans="1:27" ht="15.6" hidden="1" customHeight="1" x14ac:dyDescent="0.25">
      <c r="A511" s="1174"/>
      <c r="B511" s="1035" t="s">
        <v>787</v>
      </c>
      <c r="C511" s="1036"/>
      <c r="D511" s="1008"/>
      <c r="E511" s="1037"/>
      <c r="F511" s="1004"/>
      <c r="G511" s="1038" t="s">
        <v>2684</v>
      </c>
      <c r="H511" s="1004"/>
      <c r="I511" s="1039">
        <f>IF(G511="Yes",'Fin Perform'!I15,0)</f>
        <v>0</v>
      </c>
      <c r="J511" s="1040"/>
      <c r="K511" s="1039">
        <f>IF(G511="Yes",'Fin Perform'!K15,0)</f>
        <v>0</v>
      </c>
      <c r="L511" s="643"/>
      <c r="O511" s="1133"/>
      <c r="P511" s="1104"/>
      <c r="S511" s="1102"/>
      <c r="T511" s="1102"/>
      <c r="U511" s="1102"/>
    </row>
    <row r="512" spans="1:27" ht="15.6" hidden="1" customHeight="1" x14ac:dyDescent="0.25">
      <c r="A512" s="1174"/>
      <c r="B512" s="1035" t="s">
        <v>445</v>
      </c>
      <c r="C512" s="1036"/>
      <c r="D512" s="1008"/>
      <c r="E512" s="1037"/>
      <c r="F512" s="1004"/>
      <c r="G512" s="1038" t="s">
        <v>2684</v>
      </c>
      <c r="H512" s="1004"/>
      <c r="I512" s="1039">
        <f>IF(G512="Yes",'Fin Perform'!I16,0)</f>
        <v>0</v>
      </c>
      <c r="J512" s="1040"/>
      <c r="K512" s="1039">
        <f>IF(G512="Yes",'Fin Perform'!K16,0)</f>
        <v>0</v>
      </c>
      <c r="L512" s="643"/>
      <c r="O512" s="1133"/>
      <c r="T512" s="1102"/>
      <c r="U512" s="1102"/>
    </row>
    <row r="513" spans="1:27" ht="15.6" hidden="1" customHeight="1" x14ac:dyDescent="0.25">
      <c r="A513" s="1174"/>
      <c r="B513" s="1035" t="s">
        <v>405</v>
      </c>
      <c r="C513" s="1036"/>
      <c r="D513" s="1008"/>
      <c r="E513" s="1037"/>
      <c r="F513" s="1004"/>
      <c r="G513" s="1038" t="s">
        <v>2684</v>
      </c>
      <c r="H513" s="1004"/>
      <c r="I513" s="1039">
        <f>IF(G513="Yes",'Fin Perform'!I18,0)</f>
        <v>0</v>
      </c>
      <c r="J513" s="1040"/>
      <c r="K513" s="1039">
        <f>IF(G513="Yes",'Fin Perform'!K18,0)</f>
        <v>0</v>
      </c>
      <c r="L513" s="643"/>
      <c r="O513" s="1133"/>
      <c r="P513" s="1104"/>
      <c r="S513" s="1102"/>
      <c r="T513" s="1102"/>
      <c r="U513" s="1102"/>
      <c r="Y513" s="230"/>
    </row>
    <row r="514" spans="1:27" ht="15.6" hidden="1" customHeight="1" x14ac:dyDescent="0.25">
      <c r="A514" s="1174"/>
      <c r="B514" s="1035" t="s">
        <v>406</v>
      </c>
      <c r="C514" s="1036"/>
      <c r="D514" s="1008"/>
      <c r="E514" s="1037"/>
      <c r="F514" s="1004"/>
      <c r="G514" s="1038" t="s">
        <v>2684</v>
      </c>
      <c r="H514" s="1004"/>
      <c r="I514" s="1039">
        <f>IF(G514="Yes",'Fin Perform'!I19,0)</f>
        <v>0</v>
      </c>
      <c r="J514" s="1040"/>
      <c r="K514" s="1039">
        <f>IF(G514="Yes",'Fin Perform'!K19,0)</f>
        <v>0</v>
      </c>
      <c r="L514" s="643"/>
      <c r="O514" s="1133"/>
      <c r="P514" s="1104"/>
      <c r="S514" s="1102"/>
      <c r="T514" s="1102"/>
      <c r="U514" s="1102"/>
      <c r="Y514" s="230"/>
    </row>
    <row r="515" spans="1:27" ht="15.6" hidden="1" customHeight="1" x14ac:dyDescent="0.25">
      <c r="A515" s="1174"/>
      <c r="B515" s="1035" t="s">
        <v>443</v>
      </c>
      <c r="C515" s="1036"/>
      <c r="D515" s="1008"/>
      <c r="E515" s="1037"/>
      <c r="F515" s="1004"/>
      <c r="G515" s="1038" t="s">
        <v>2684</v>
      </c>
      <c r="H515" s="1004"/>
      <c r="I515" s="1039">
        <f>IF(G515="Yes",'Fin Perform'!I20,0)</f>
        <v>0</v>
      </c>
      <c r="J515" s="1040"/>
      <c r="K515" s="1039">
        <f>IF(G515="Yes",'Fin Perform'!K20,0)</f>
        <v>0</v>
      </c>
      <c r="L515" s="643"/>
      <c r="O515" s="1133"/>
      <c r="P515" s="1104"/>
      <c r="S515" s="1102"/>
      <c r="T515" s="1102"/>
      <c r="U515" s="1102"/>
    </row>
    <row r="516" spans="1:27" ht="15.6" hidden="1" customHeight="1" x14ac:dyDescent="0.25">
      <c r="A516" s="1174"/>
      <c r="B516" s="1035" t="s">
        <v>444</v>
      </c>
      <c r="C516" s="1036"/>
      <c r="D516" s="1008"/>
      <c r="E516" s="1037"/>
      <c r="F516" s="1004"/>
      <c r="G516" s="1038" t="s">
        <v>2684</v>
      </c>
      <c r="H516" s="1004"/>
      <c r="I516" s="1039">
        <f>IF(G516="Yes",'Fin Perform'!I21,0)</f>
        <v>0</v>
      </c>
      <c r="J516" s="1040"/>
      <c r="K516" s="1039">
        <f>IF(G516="Yes",'Fin Perform'!K21,0)</f>
        <v>0</v>
      </c>
      <c r="L516" s="643"/>
      <c r="O516" s="1133"/>
      <c r="P516" s="1104"/>
      <c r="S516" s="1102"/>
      <c r="T516" s="1102"/>
      <c r="U516" s="1102"/>
    </row>
    <row r="517" spans="1:27" ht="15.6" hidden="1" customHeight="1" x14ac:dyDescent="0.25">
      <c r="A517" s="1174"/>
      <c r="B517" s="1035" t="s">
        <v>410</v>
      </c>
      <c r="C517" s="1036"/>
      <c r="D517" s="1008"/>
      <c r="E517" s="1037"/>
      <c r="F517" s="1004"/>
      <c r="G517" s="1038" t="s">
        <v>2684</v>
      </c>
      <c r="H517" s="1004"/>
      <c r="I517" s="1039">
        <f>IF(G517="Yes",'Fin Perform'!I22,0)</f>
        <v>0</v>
      </c>
      <c r="J517" s="1040"/>
      <c r="K517" s="1039">
        <f>IF(G517="Yes",'Fin Perform'!K22,0)</f>
        <v>0</v>
      </c>
      <c r="L517" s="643"/>
      <c r="O517" s="1133"/>
      <c r="P517" s="1104"/>
      <c r="S517" s="1102"/>
      <c r="T517" s="1102"/>
      <c r="U517" s="1102"/>
    </row>
    <row r="518" spans="1:27" ht="15.6" hidden="1" customHeight="1" x14ac:dyDescent="0.25">
      <c r="A518" s="1174"/>
      <c r="B518" s="1035" t="s">
        <v>786</v>
      </c>
      <c r="C518" s="1036"/>
      <c r="D518" s="1008"/>
      <c r="E518" s="1037"/>
      <c r="F518" s="1004"/>
      <c r="G518" s="1038" t="s">
        <v>2684</v>
      </c>
      <c r="H518" s="1004"/>
      <c r="I518" s="1039">
        <f>IF(G518="Yes",'Fin Perform'!I12,0)</f>
        <v>0</v>
      </c>
      <c r="J518" s="1040"/>
      <c r="K518" s="1039">
        <f>IF(G518="Yes",'Fin Perform'!K12,0)</f>
        <v>0</v>
      </c>
      <c r="L518" s="643"/>
      <c r="O518" s="1133"/>
      <c r="T518" s="1102"/>
      <c r="U518" s="1102"/>
      <c r="X518" s="230"/>
    </row>
    <row r="519" spans="1:27" ht="15.6" hidden="1" customHeight="1" x14ac:dyDescent="0.25">
      <c r="A519" s="1174"/>
      <c r="B519" s="1035" t="s">
        <v>414</v>
      </c>
      <c r="C519" s="1036"/>
      <c r="D519" s="1008"/>
      <c r="E519" s="1037"/>
      <c r="F519" s="1004"/>
      <c r="G519" s="1038" t="s">
        <v>340</v>
      </c>
      <c r="H519" s="1004"/>
      <c r="I519" s="1039">
        <f>IF(G519="Yes",'Fin Perform'!I23,0)</f>
        <v>567171.72000000044</v>
      </c>
      <c r="J519" s="1040"/>
      <c r="K519" s="1039">
        <f>IF(G519="Yes",'Fin Perform'!K23,0)</f>
        <v>974842.35</v>
      </c>
      <c r="L519" s="643"/>
      <c r="O519" s="1133"/>
      <c r="P519" s="1104"/>
      <c r="S519" s="1102"/>
      <c r="T519" s="1102"/>
      <c r="U519" s="1102"/>
      <c r="Z519" s="230"/>
    </row>
    <row r="520" spans="1:27" ht="15.6" hidden="1" customHeight="1" x14ac:dyDescent="0.25">
      <c r="A520" s="1174"/>
      <c r="B520" s="1035" t="s">
        <v>788</v>
      </c>
      <c r="C520" s="1036"/>
      <c r="D520" s="1008"/>
      <c r="E520" s="1037"/>
      <c r="F520" s="1004"/>
      <c r="G520" s="1038" t="s">
        <v>2684</v>
      </c>
      <c r="H520" s="1004"/>
      <c r="I520" s="1039">
        <f>IF(G520="Yes",'Fin Perform'!I24,0)</f>
        <v>0</v>
      </c>
      <c r="J520" s="1040"/>
      <c r="K520" s="1039">
        <f>IF(G520="Yes",'Fin Perform'!K24,0)</f>
        <v>0</v>
      </c>
      <c r="L520" s="643"/>
      <c r="O520" s="1133"/>
      <c r="P520" s="1104"/>
      <c r="S520" s="1102"/>
      <c r="T520" s="1102"/>
      <c r="U520" s="1102"/>
      <c r="Z520" s="230"/>
    </row>
    <row r="521" spans="1:27" ht="15.6" hidden="1" customHeight="1" x14ac:dyDescent="0.25">
      <c r="A521" s="1174"/>
      <c r="B521" s="1035" t="s">
        <v>415</v>
      </c>
      <c r="C521" s="1036"/>
      <c r="D521" s="1008"/>
      <c r="E521" s="1037"/>
      <c r="F521" s="1004"/>
      <c r="G521" s="1038" t="s">
        <v>2684</v>
      </c>
      <c r="H521" s="1004"/>
      <c r="I521" s="1039">
        <f>IF(G521="Yes",'Fin Perform'!I25,0)</f>
        <v>0</v>
      </c>
      <c r="J521" s="1040"/>
      <c r="K521" s="1039">
        <f>IF(G521="Yes",'Fin Perform'!K25,0)</f>
        <v>0</v>
      </c>
      <c r="L521" s="643"/>
      <c r="O521" s="1133"/>
      <c r="P521" s="1104"/>
      <c r="S521" s="1102"/>
      <c r="T521" s="1102"/>
      <c r="U521" s="1102"/>
    </row>
    <row r="522" spans="1:27" ht="15.6" hidden="1" customHeight="1" x14ac:dyDescent="0.25">
      <c r="A522" s="1174"/>
      <c r="B522" s="1035" t="s">
        <v>1304</v>
      </c>
      <c r="C522" s="1036"/>
      <c r="D522" s="1008"/>
      <c r="E522" s="1037"/>
      <c r="F522" s="1004"/>
      <c r="G522" s="1038" t="s">
        <v>2684</v>
      </c>
      <c r="H522" s="1004"/>
      <c r="I522" s="1039">
        <f>IF(G522="Yes",'Fin Perform'!I26,0)</f>
        <v>0</v>
      </c>
      <c r="J522" s="1040"/>
      <c r="K522" s="1039">
        <f>IF(G522="Yes",'Fin Perform'!K26,0)</f>
        <v>0</v>
      </c>
      <c r="L522" s="643"/>
      <c r="O522" s="1133"/>
      <c r="P522" s="1104"/>
      <c r="S522" s="1102"/>
      <c r="T522" s="1102"/>
      <c r="U522" s="1102"/>
      <c r="AA522" s="230"/>
    </row>
    <row r="523" spans="1:27" s="230" customFormat="1" ht="15.6" hidden="1" customHeight="1" thickBot="1" x14ac:dyDescent="0.3">
      <c r="A523" s="1175"/>
      <c r="B523" s="1041" t="s">
        <v>2700</v>
      </c>
      <c r="C523" s="1042"/>
      <c r="D523" s="1004"/>
      <c r="E523" s="1043"/>
      <c r="F523" s="1004"/>
      <c r="G523" s="1044"/>
      <c r="H523" s="1045">
        <v>-234</v>
      </c>
      <c r="I523" s="1046">
        <f>SUM(I506:I522)</f>
        <v>7798386.7600000007</v>
      </c>
      <c r="J523" s="1047"/>
      <c r="K523" s="1046">
        <f>SUM(K506:K522)</f>
        <v>7037749.1500000004</v>
      </c>
      <c r="L523" s="648"/>
      <c r="M523" s="1133"/>
      <c r="N523" s="1147"/>
      <c r="O523" s="1133"/>
      <c r="P523" s="1104"/>
      <c r="Q523" s="1098"/>
      <c r="R523" s="1098"/>
      <c r="S523" s="1102"/>
      <c r="T523" s="1102"/>
      <c r="U523" s="1102"/>
      <c r="V523" s="48"/>
      <c r="W523" s="1128"/>
      <c r="X523" s="48"/>
      <c r="Y523" s="48"/>
      <c r="Z523" s="48"/>
    </row>
    <row r="524" spans="1:27" s="230" customFormat="1" ht="15.6" hidden="1" customHeight="1" thickBot="1" x14ac:dyDescent="0.3">
      <c r="A524" s="1175"/>
      <c r="B524" s="1048"/>
      <c r="C524" s="1048"/>
      <c r="D524" s="1004"/>
      <c r="E524" s="1048"/>
      <c r="F524" s="1004"/>
      <c r="G524" s="1004"/>
      <c r="H524" s="1004"/>
      <c r="I524" s="1005"/>
      <c r="J524" s="1049"/>
      <c r="K524" s="1005"/>
      <c r="L524" s="648"/>
      <c r="M524" s="1133"/>
      <c r="N524" s="1147"/>
      <c r="O524" s="1133"/>
      <c r="P524" s="1097"/>
      <c r="Q524" s="1098"/>
      <c r="R524" s="1098"/>
      <c r="S524" s="1098"/>
      <c r="T524" s="1102"/>
      <c r="U524" s="1102"/>
      <c r="V524" s="48"/>
      <c r="W524" s="1128"/>
      <c r="X524" s="48"/>
      <c r="Y524" s="48"/>
      <c r="Z524" s="48"/>
      <c r="AA524" s="48"/>
    </row>
    <row r="525" spans="1:27" ht="15.6" hidden="1" customHeight="1" thickBot="1" x14ac:dyDescent="0.3">
      <c r="A525" s="1174"/>
      <c r="B525" s="1033" t="s">
        <v>2686</v>
      </c>
      <c r="C525" s="1034"/>
      <c r="D525" s="1008"/>
      <c r="E525" s="1006"/>
      <c r="F525" s="1004"/>
      <c r="G525" s="1006"/>
      <c r="H525" s="1004"/>
      <c r="I525" s="1006"/>
      <c r="J525" s="1004"/>
      <c r="K525" s="1006"/>
      <c r="L525" s="643"/>
      <c r="O525" s="1133"/>
      <c r="P525" s="1104"/>
      <c r="S525" s="1102"/>
      <c r="T525" s="1102"/>
      <c r="U525" s="1102"/>
    </row>
    <row r="526" spans="1:27" ht="15.6" hidden="1" customHeight="1" x14ac:dyDescent="0.25">
      <c r="A526" s="1174"/>
      <c r="B526" s="1035"/>
      <c r="C526" s="1036"/>
      <c r="D526" s="1008"/>
      <c r="E526" s="1037"/>
      <c r="F526" s="1004"/>
      <c r="G526" s="1038"/>
      <c r="H526" s="1004"/>
      <c r="I526" s="1050"/>
      <c r="J526" s="1051"/>
      <c r="K526" s="1050"/>
      <c r="L526" s="643"/>
      <c r="O526" s="1133"/>
      <c r="P526" s="1104"/>
      <c r="S526" s="1102"/>
      <c r="T526" s="1102"/>
      <c r="U526" s="1102"/>
    </row>
    <row r="527" spans="1:27" ht="15.6" hidden="1" customHeight="1" x14ac:dyDescent="0.25">
      <c r="A527" s="1174"/>
      <c r="B527" s="1052" t="s">
        <v>2687</v>
      </c>
      <c r="C527" s="1036"/>
      <c r="D527" s="1008"/>
      <c r="E527" s="1037"/>
      <c r="F527" s="1004"/>
      <c r="G527" s="1038"/>
      <c r="H527" s="1004"/>
      <c r="I527" s="1050"/>
      <c r="J527" s="1051"/>
      <c r="K527" s="1050"/>
      <c r="L527" s="643"/>
      <c r="O527" s="1133"/>
      <c r="P527" s="1104"/>
      <c r="S527" s="1102"/>
      <c r="T527" s="1102"/>
      <c r="U527" s="1102"/>
    </row>
    <row r="528" spans="1:27" ht="15.6" hidden="1" customHeight="1" x14ac:dyDescent="0.25">
      <c r="A528" s="1174"/>
      <c r="B528" s="1035" t="s">
        <v>2688</v>
      </c>
      <c r="C528" s="2848" t="s">
        <v>2689</v>
      </c>
      <c r="D528" s="1008"/>
      <c r="E528" s="1037"/>
      <c r="F528" s="1004"/>
      <c r="G528" s="1038"/>
      <c r="H528" s="1004"/>
      <c r="I528" s="2844">
        <f>IF(SUM((I503/I523)*365)&lt;365,SUM((I503/I523)*365),365)</f>
        <v>308.79150855939332</v>
      </c>
      <c r="J528" s="1051"/>
      <c r="K528" s="2844">
        <f>IF(SUM((K503/K523)*365)&lt;365,SUM((K503/K523)*365),365)</f>
        <v>214.01755737486036</v>
      </c>
      <c r="L528" s="643"/>
      <c r="O528" s="1133"/>
      <c r="P528" s="1104"/>
      <c r="S528" s="1102"/>
      <c r="T528" s="1102"/>
      <c r="U528" s="1102"/>
    </row>
    <row r="529" spans="1:27" ht="15.6" hidden="1" customHeight="1" x14ac:dyDescent="0.25">
      <c r="A529" s="1174"/>
      <c r="B529" s="1035" t="s">
        <v>2690</v>
      </c>
      <c r="C529" s="2849"/>
      <c r="D529" s="1008"/>
      <c r="E529" s="1037"/>
      <c r="F529" s="1004"/>
      <c r="G529" s="1038"/>
      <c r="H529" s="1004"/>
      <c r="I529" s="2844"/>
      <c r="J529" s="1051"/>
      <c r="K529" s="2844"/>
      <c r="L529" s="643"/>
      <c r="O529" s="1133"/>
      <c r="P529" s="1104"/>
      <c r="S529" s="1102"/>
      <c r="T529" s="1102"/>
      <c r="U529" s="1102"/>
      <c r="Y529" s="230"/>
    </row>
    <row r="530" spans="1:27" ht="15.6" hidden="1" customHeight="1" x14ac:dyDescent="0.25">
      <c r="A530" s="1174"/>
      <c r="B530" s="1035"/>
      <c r="C530" s="1036"/>
      <c r="D530" s="1008"/>
      <c r="E530" s="1037"/>
      <c r="F530" s="1004"/>
      <c r="G530" s="1038"/>
      <c r="H530" s="1004"/>
      <c r="I530" s="1050"/>
      <c r="J530" s="1051"/>
      <c r="K530" s="1050"/>
      <c r="L530" s="643"/>
      <c r="O530" s="1133"/>
      <c r="T530" s="1102"/>
      <c r="U530" s="1102"/>
    </row>
    <row r="531" spans="1:27" ht="15.6" hidden="1" customHeight="1" x14ac:dyDescent="0.25">
      <c r="A531" s="1174"/>
      <c r="B531" s="1052" t="s">
        <v>2691</v>
      </c>
      <c r="C531" s="1036"/>
      <c r="D531" s="1008"/>
      <c r="E531" s="1037"/>
      <c r="F531" s="1004"/>
      <c r="G531" s="1038"/>
      <c r="H531" s="1004"/>
      <c r="I531" s="1053">
        <f>-PV(G487/365,I528,0,I523,0)</f>
        <v>7158391.6724493382</v>
      </c>
      <c r="J531" s="1051"/>
      <c r="K531" s="1053">
        <f>-PV(K487/365,K528,0,K523,0)</f>
        <v>6625720.5589480307</v>
      </c>
      <c r="L531" s="643"/>
      <c r="O531" s="1133"/>
      <c r="P531" s="1104"/>
      <c r="S531" s="1102"/>
      <c r="T531" s="1102"/>
      <c r="U531" s="1102"/>
    </row>
    <row r="532" spans="1:27" ht="15.6" hidden="1" customHeight="1" x14ac:dyDescent="0.25">
      <c r="A532" s="1174"/>
      <c r="B532" s="1035"/>
      <c r="C532" s="1036"/>
      <c r="D532" s="1008"/>
      <c r="E532" s="1037"/>
      <c r="F532" s="1004"/>
      <c r="G532" s="1038"/>
      <c r="H532" s="1004"/>
      <c r="I532" s="1050"/>
      <c r="J532" s="1051"/>
      <c r="K532" s="1050"/>
      <c r="L532" s="643"/>
      <c r="O532" s="1133"/>
      <c r="P532" s="1104"/>
      <c r="S532" s="1102"/>
      <c r="T532" s="1102"/>
      <c r="U532" s="1102"/>
    </row>
    <row r="533" spans="1:27" ht="15.6" hidden="1" customHeight="1" x14ac:dyDescent="0.25">
      <c r="A533" s="1174"/>
      <c r="B533" s="1052" t="s">
        <v>2692</v>
      </c>
      <c r="C533" s="1036"/>
      <c r="D533" s="1008"/>
      <c r="E533" s="1037"/>
      <c r="F533" s="1004"/>
      <c r="G533" s="1038"/>
      <c r="H533" s="1004"/>
      <c r="I533" s="1054">
        <f>I523-I531</f>
        <v>639995.08755066246</v>
      </c>
      <c r="J533" s="1051"/>
      <c r="K533" s="1054">
        <f>K523-K531</f>
        <v>412028.59105196968</v>
      </c>
      <c r="L533" s="643"/>
      <c r="O533" s="1133"/>
      <c r="P533" s="1104"/>
      <c r="S533" s="1102"/>
      <c r="T533" s="1102"/>
      <c r="U533" s="1102"/>
    </row>
    <row r="534" spans="1:27" ht="15.6" hidden="1" customHeight="1" x14ac:dyDescent="0.25">
      <c r="A534" s="1174"/>
      <c r="B534" s="1035"/>
      <c r="C534" s="1036"/>
      <c r="D534" s="1008"/>
      <c r="E534" s="1037"/>
      <c r="F534" s="1004"/>
      <c r="G534" s="1038"/>
      <c r="H534" s="1004"/>
      <c r="I534" s="1050"/>
      <c r="J534" s="1051"/>
      <c r="K534" s="1050"/>
      <c r="L534" s="643"/>
      <c r="O534" s="1133"/>
      <c r="P534" s="1104"/>
      <c r="S534" s="1102"/>
      <c r="T534" s="1102"/>
      <c r="U534" s="1102"/>
    </row>
    <row r="535" spans="1:27" ht="15.6" hidden="1" customHeight="1" x14ac:dyDescent="0.25">
      <c r="A535" s="1174"/>
      <c r="B535" s="1052" t="s">
        <v>2693</v>
      </c>
      <c r="C535" s="1036"/>
      <c r="D535" s="1008"/>
      <c r="E535" s="1037"/>
      <c r="F535" s="1004"/>
      <c r="G535" s="1038"/>
      <c r="H535" s="1004"/>
      <c r="I535" s="1053">
        <f>-PV(K478/365,I528,0,I503,0)</f>
        <v>6062347.0455310317</v>
      </c>
      <c r="J535" s="1051"/>
      <c r="K535" s="1053">
        <f>-PV(K474/365,K528,0,K503,0)</f>
        <v>3891606.9943426861</v>
      </c>
      <c r="L535" s="643"/>
      <c r="O535" s="1133"/>
      <c r="P535" s="1104"/>
      <c r="S535" s="1102"/>
      <c r="T535" s="1102"/>
      <c r="U535" s="1102"/>
      <c r="Z535" s="230"/>
    </row>
    <row r="536" spans="1:27" ht="15.6" hidden="1" customHeight="1" x14ac:dyDescent="0.25">
      <c r="A536" s="1174"/>
      <c r="B536" s="1035"/>
      <c r="C536" s="1036"/>
      <c r="D536" s="1008"/>
      <c r="E536" s="1037"/>
      <c r="F536" s="1004"/>
      <c r="G536" s="1038"/>
      <c r="H536" s="1004"/>
      <c r="I536" s="1050"/>
      <c r="J536" s="1051"/>
      <c r="K536" s="1050"/>
      <c r="L536" s="643"/>
      <c r="O536" s="1133"/>
      <c r="T536" s="1102"/>
      <c r="U536" s="1102"/>
    </row>
    <row r="537" spans="1:27" ht="15.6" hidden="1" customHeight="1" x14ac:dyDescent="0.25">
      <c r="A537" s="1174"/>
      <c r="B537" s="1052" t="s">
        <v>2694</v>
      </c>
      <c r="C537" s="1036"/>
      <c r="D537" s="1008"/>
      <c r="E537" s="1037"/>
      <c r="F537" s="1004"/>
      <c r="G537" s="1038"/>
      <c r="H537" s="1004"/>
      <c r="I537" s="1054">
        <f>I503-I535</f>
        <v>535120.38446896803</v>
      </c>
      <c r="J537" s="1051"/>
      <c r="K537" s="1054">
        <f>K503-K535</f>
        <v>234973.50565731386</v>
      </c>
      <c r="L537" s="643"/>
      <c r="O537" s="1133"/>
      <c r="P537" s="1104"/>
      <c r="S537" s="1102"/>
      <c r="T537" s="1102"/>
      <c r="U537" s="1102"/>
      <c r="X537" s="230"/>
    </row>
    <row r="538" spans="1:27" ht="15.6" hidden="1" customHeight="1" thickBot="1" x14ac:dyDescent="0.3">
      <c r="A538" s="1174"/>
      <c r="B538" s="1055"/>
      <c r="C538" s="1056"/>
      <c r="D538" s="1008"/>
      <c r="E538" s="1057"/>
      <c r="F538" s="1004"/>
      <c r="G538" s="1057"/>
      <c r="H538" s="1004"/>
      <c r="I538" s="1057"/>
      <c r="J538" s="1051"/>
      <c r="K538" s="1057"/>
      <c r="L538" s="643"/>
      <c r="O538" s="1133"/>
      <c r="P538" s="1104"/>
      <c r="S538" s="1102"/>
      <c r="T538" s="1102"/>
      <c r="U538" s="1102"/>
      <c r="X538" s="230"/>
      <c r="AA538" s="230"/>
    </row>
    <row r="539" spans="1:27" s="230" customFormat="1" ht="15.6" hidden="1" customHeight="1" thickBot="1" x14ac:dyDescent="0.3">
      <c r="A539" s="1175"/>
      <c r="B539" s="1048"/>
      <c r="C539" s="1048"/>
      <c r="D539" s="1004"/>
      <c r="E539" s="1048"/>
      <c r="F539" s="1004"/>
      <c r="G539" s="1004"/>
      <c r="H539" s="1004"/>
      <c r="I539" s="1005"/>
      <c r="J539" s="1049"/>
      <c r="K539" s="1005"/>
      <c r="L539" s="648"/>
      <c r="M539" s="1133"/>
      <c r="N539" s="1147"/>
      <c r="O539" s="1133"/>
      <c r="P539" s="1104"/>
      <c r="Q539" s="1098"/>
      <c r="R539" s="1098"/>
      <c r="S539" s="1102"/>
      <c r="T539" s="1102"/>
      <c r="U539" s="1102"/>
      <c r="V539" s="48"/>
      <c r="W539" s="1128"/>
      <c r="X539" s="48"/>
      <c r="Y539" s="48"/>
      <c r="Z539" s="48"/>
      <c r="AA539" s="48"/>
    </row>
    <row r="540" spans="1:27" ht="15.6" hidden="1" customHeight="1" thickBot="1" x14ac:dyDescent="0.3">
      <c r="A540" s="1174"/>
      <c r="B540" s="1033" t="s">
        <v>2695</v>
      </c>
      <c r="C540" s="1034"/>
      <c r="D540" s="1008"/>
      <c r="E540" s="1006"/>
      <c r="F540" s="1004"/>
      <c r="G540" s="1006"/>
      <c r="H540" s="1004"/>
      <c r="I540" s="1058" t="str">
        <f>IF(AND(SUM(I558-I533)&lt;0.001,SUM(I558-I533)&gt;-0.001),"",SUM(I558-I533))</f>
        <v/>
      </c>
      <c r="J540" s="1004"/>
      <c r="K540" s="1058" t="str">
        <f>IF(AND(SUM(K558-K533)&lt;0.001,SUM(K558-K533)&gt;-0.001),"",SUM(K558-K533))</f>
        <v/>
      </c>
      <c r="L540" s="643"/>
      <c r="O540" s="1133"/>
      <c r="P540" s="1104"/>
      <c r="S540" s="1102"/>
      <c r="T540" s="1102"/>
      <c r="U540" s="1102"/>
    </row>
    <row r="541" spans="1:27" ht="15.6" hidden="1" customHeight="1" x14ac:dyDescent="0.2">
      <c r="A541" s="1174"/>
      <c r="B541" s="1035" t="s">
        <v>404</v>
      </c>
      <c r="C541" s="1036"/>
      <c r="D541" s="1008"/>
      <c r="E541" s="1038" t="s">
        <v>2696</v>
      </c>
      <c r="F541" s="1004"/>
      <c r="G541" s="1038" t="s">
        <v>340</v>
      </c>
      <c r="H541" s="1004"/>
      <c r="I541" s="1039">
        <f t="shared" ref="I541:I557" si="4">IF($G541="Yes",I506/I$523*I$533,0)</f>
        <v>593448.65099028079</v>
      </c>
      <c r="J541" s="1040"/>
      <c r="K541" s="1039">
        <f t="shared" ref="K541:K557" si="5">IF($G541="Yes",K506/K$523*K$533,0)</f>
        <v>354955.95157485915</v>
      </c>
      <c r="L541" s="643"/>
      <c r="O541" s="1133"/>
      <c r="P541" s="1104"/>
      <c r="S541" s="1102"/>
      <c r="T541" s="1102"/>
      <c r="U541" s="1102"/>
      <c r="V541" s="230"/>
      <c r="W541" s="1114"/>
    </row>
    <row r="542" spans="1:27" ht="15.6" hidden="1" customHeight="1" x14ac:dyDescent="0.25">
      <c r="A542" s="1174"/>
      <c r="B542" s="1035" t="s">
        <v>408</v>
      </c>
      <c r="C542" s="1036"/>
      <c r="D542" s="1008"/>
      <c r="E542" s="1038" t="s">
        <v>2696</v>
      </c>
      <c r="F542" s="1004"/>
      <c r="G542" s="1038" t="s">
        <v>340</v>
      </c>
      <c r="H542" s="1004"/>
      <c r="I542" s="1039">
        <f t="shared" si="4"/>
        <v>0</v>
      </c>
      <c r="J542" s="1040"/>
      <c r="K542" s="1039">
        <f t="shared" si="5"/>
        <v>0</v>
      </c>
      <c r="L542" s="643"/>
      <c r="O542" s="1133"/>
      <c r="T542" s="1102"/>
      <c r="U542" s="1102"/>
    </row>
    <row r="543" spans="1:27" ht="15.6" hidden="1" customHeight="1" x14ac:dyDescent="0.25">
      <c r="A543" s="1174"/>
      <c r="B543" s="1035" t="s">
        <v>248</v>
      </c>
      <c r="C543" s="1036"/>
      <c r="D543" s="1008"/>
      <c r="E543" s="1038" t="s">
        <v>2696</v>
      </c>
      <c r="F543" s="1004"/>
      <c r="G543" s="1038" t="s">
        <v>2684</v>
      </c>
      <c r="H543" s="1004"/>
      <c r="I543" s="1039">
        <f t="shared" si="4"/>
        <v>0</v>
      </c>
      <c r="J543" s="1040"/>
      <c r="K543" s="1039">
        <f t="shared" si="5"/>
        <v>0</v>
      </c>
      <c r="L543" s="643"/>
      <c r="O543" s="1133"/>
      <c r="P543" s="1104"/>
      <c r="S543" s="1102"/>
      <c r="T543" s="1102"/>
      <c r="U543" s="1102"/>
    </row>
    <row r="544" spans="1:27" ht="15.6" hidden="1" customHeight="1" x14ac:dyDescent="0.25">
      <c r="A544" s="1174"/>
      <c r="B544" s="1035" t="s">
        <v>411</v>
      </c>
      <c r="C544" s="1036"/>
      <c r="D544" s="1008"/>
      <c r="E544" s="1038" t="s">
        <v>2696</v>
      </c>
      <c r="F544" s="1004"/>
      <c r="G544" s="1038" t="s">
        <v>2684</v>
      </c>
      <c r="H544" s="1004"/>
      <c r="I544" s="1039">
        <f t="shared" si="4"/>
        <v>0</v>
      </c>
      <c r="J544" s="1040"/>
      <c r="K544" s="1039">
        <f t="shared" si="5"/>
        <v>0</v>
      </c>
      <c r="L544" s="643"/>
      <c r="O544" s="1133"/>
      <c r="P544" s="1104"/>
      <c r="S544" s="1102"/>
      <c r="T544" s="1102"/>
      <c r="U544" s="1102"/>
    </row>
    <row r="545" spans="1:27" ht="15.6" hidden="1" customHeight="1" x14ac:dyDescent="0.25">
      <c r="A545" s="1174"/>
      <c r="B545" s="1035" t="s">
        <v>412</v>
      </c>
      <c r="C545" s="1036"/>
      <c r="D545" s="1008"/>
      <c r="E545" s="1038" t="s">
        <v>2696</v>
      </c>
      <c r="F545" s="1004"/>
      <c r="G545" s="1038" t="s">
        <v>2684</v>
      </c>
      <c r="H545" s="1004"/>
      <c r="I545" s="1039">
        <f t="shared" si="4"/>
        <v>0</v>
      </c>
      <c r="J545" s="1040"/>
      <c r="K545" s="1039">
        <f t="shared" si="5"/>
        <v>0</v>
      </c>
      <c r="L545" s="643"/>
      <c r="O545" s="1133"/>
      <c r="P545" s="1104"/>
      <c r="S545" s="1102"/>
      <c r="T545" s="1102"/>
      <c r="U545" s="1102"/>
    </row>
    <row r="546" spans="1:27" ht="15.6" hidden="1" customHeight="1" x14ac:dyDescent="0.25">
      <c r="A546" s="1174"/>
      <c r="B546" s="1035" t="s">
        <v>787</v>
      </c>
      <c r="C546" s="1036"/>
      <c r="D546" s="1008"/>
      <c r="E546" s="1038" t="s">
        <v>2696</v>
      </c>
      <c r="F546" s="1004"/>
      <c r="G546" s="1038" t="s">
        <v>2684</v>
      </c>
      <c r="H546" s="1004"/>
      <c r="I546" s="1039">
        <f t="shared" si="4"/>
        <v>0</v>
      </c>
      <c r="J546" s="1040"/>
      <c r="K546" s="1039">
        <f t="shared" si="5"/>
        <v>0</v>
      </c>
      <c r="L546" s="643"/>
      <c r="O546" s="1133"/>
      <c r="P546" s="1104"/>
      <c r="S546" s="1102"/>
      <c r="T546" s="1102"/>
      <c r="U546" s="1102"/>
    </row>
    <row r="547" spans="1:27" ht="15.6" hidden="1" customHeight="1" x14ac:dyDescent="0.25">
      <c r="A547" s="1174"/>
      <c r="B547" s="1035" t="s">
        <v>445</v>
      </c>
      <c r="C547" s="1036"/>
      <c r="D547" s="1008"/>
      <c r="E547" s="1038" t="s">
        <v>2696</v>
      </c>
      <c r="F547" s="1004"/>
      <c r="G547" s="1038" t="s">
        <v>2684</v>
      </c>
      <c r="H547" s="1004"/>
      <c r="I547" s="1039">
        <f t="shared" si="4"/>
        <v>0</v>
      </c>
      <c r="J547" s="1040"/>
      <c r="K547" s="1039">
        <f t="shared" si="5"/>
        <v>0</v>
      </c>
      <c r="L547" s="643"/>
      <c r="O547" s="1133"/>
      <c r="P547" s="1104"/>
      <c r="S547" s="1102"/>
      <c r="T547" s="1102"/>
      <c r="U547" s="1102"/>
    </row>
    <row r="548" spans="1:27" ht="15.6" hidden="1" customHeight="1" x14ac:dyDescent="0.25">
      <c r="A548" s="1174"/>
      <c r="B548" s="1035" t="s">
        <v>405</v>
      </c>
      <c r="C548" s="1036"/>
      <c r="D548" s="1008"/>
      <c r="E548" s="1038" t="s">
        <v>2696</v>
      </c>
      <c r="F548" s="1004"/>
      <c r="G548" s="1038" t="s">
        <v>2684</v>
      </c>
      <c r="H548" s="1004"/>
      <c r="I548" s="1039">
        <f t="shared" si="4"/>
        <v>0</v>
      </c>
      <c r="J548" s="1040"/>
      <c r="K548" s="1039">
        <f t="shared" si="5"/>
        <v>0</v>
      </c>
      <c r="L548" s="643"/>
      <c r="O548" s="1133"/>
      <c r="T548" s="1102"/>
      <c r="U548" s="1102"/>
      <c r="Y548" s="230"/>
    </row>
    <row r="549" spans="1:27" ht="15.6" hidden="1" customHeight="1" x14ac:dyDescent="0.25">
      <c r="A549" s="1174"/>
      <c r="B549" s="1035" t="s">
        <v>406</v>
      </c>
      <c r="C549" s="1036"/>
      <c r="D549" s="1008"/>
      <c r="E549" s="1038" t="s">
        <v>2696</v>
      </c>
      <c r="F549" s="1004"/>
      <c r="G549" s="1038" t="s">
        <v>2684</v>
      </c>
      <c r="H549" s="1004"/>
      <c r="I549" s="1039">
        <f t="shared" si="4"/>
        <v>0</v>
      </c>
      <c r="J549" s="1040"/>
      <c r="K549" s="1039">
        <f t="shared" si="5"/>
        <v>0</v>
      </c>
      <c r="L549" s="643"/>
      <c r="O549" s="1133"/>
      <c r="P549" s="1104"/>
      <c r="S549" s="1102"/>
      <c r="T549" s="1102"/>
      <c r="U549" s="1102"/>
      <c r="Y549" s="230"/>
    </row>
    <row r="550" spans="1:27" ht="15.6" hidden="1" customHeight="1" x14ac:dyDescent="0.25">
      <c r="A550" s="1174"/>
      <c r="B550" s="1035" t="s">
        <v>443</v>
      </c>
      <c r="C550" s="1036"/>
      <c r="D550" s="1008"/>
      <c r="E550" s="1038" t="s">
        <v>2696</v>
      </c>
      <c r="F550" s="1004"/>
      <c r="G550" s="1038" t="s">
        <v>2684</v>
      </c>
      <c r="H550" s="1004"/>
      <c r="I550" s="1039">
        <f t="shared" si="4"/>
        <v>0</v>
      </c>
      <c r="J550" s="1040"/>
      <c r="K550" s="1039">
        <f t="shared" si="5"/>
        <v>0</v>
      </c>
      <c r="L550" s="643"/>
      <c r="O550" s="1133"/>
      <c r="P550" s="1104"/>
      <c r="S550" s="1102"/>
      <c r="T550" s="1102"/>
      <c r="U550" s="1102"/>
    </row>
    <row r="551" spans="1:27" ht="15.6" hidden="1" customHeight="1" x14ac:dyDescent="0.25">
      <c r="A551" s="1174"/>
      <c r="B551" s="1035" t="s">
        <v>444</v>
      </c>
      <c r="C551" s="1036"/>
      <c r="D551" s="1008"/>
      <c r="E551" s="1038" t="s">
        <v>2696</v>
      </c>
      <c r="F551" s="1004"/>
      <c r="G551" s="1038" t="s">
        <v>2684</v>
      </c>
      <c r="H551" s="1004"/>
      <c r="I551" s="1039">
        <f t="shared" si="4"/>
        <v>0</v>
      </c>
      <c r="J551" s="1040"/>
      <c r="K551" s="1039">
        <f t="shared" si="5"/>
        <v>0</v>
      </c>
      <c r="L551" s="643"/>
      <c r="O551" s="1133"/>
      <c r="P551" s="1104"/>
      <c r="S551" s="1102"/>
      <c r="T551" s="1102"/>
      <c r="U551" s="1102"/>
      <c r="X551" s="230"/>
    </row>
    <row r="552" spans="1:27" ht="15.6" hidden="1" customHeight="1" x14ac:dyDescent="0.25">
      <c r="A552" s="1174"/>
      <c r="B552" s="1035" t="s">
        <v>410</v>
      </c>
      <c r="C552" s="1036"/>
      <c r="D552" s="1008"/>
      <c r="E552" s="1038" t="s">
        <v>2696</v>
      </c>
      <c r="F552" s="1004"/>
      <c r="G552" s="1038" t="s">
        <v>2684</v>
      </c>
      <c r="H552" s="1004"/>
      <c r="I552" s="1039">
        <f t="shared" si="4"/>
        <v>0</v>
      </c>
      <c r="J552" s="1040"/>
      <c r="K552" s="1039">
        <f t="shared" si="5"/>
        <v>0</v>
      </c>
      <c r="L552" s="643"/>
      <c r="O552" s="1133"/>
      <c r="P552" s="1104"/>
      <c r="S552" s="1102"/>
      <c r="T552" s="1102"/>
      <c r="U552" s="1102"/>
      <c r="X552" s="230"/>
    </row>
    <row r="553" spans="1:27" ht="15.6" hidden="1" customHeight="1" x14ac:dyDescent="0.25">
      <c r="A553" s="1174"/>
      <c r="B553" s="1035" t="s">
        <v>786</v>
      </c>
      <c r="C553" s="1036"/>
      <c r="D553" s="1008"/>
      <c r="E553" s="1038" t="s">
        <v>2696</v>
      </c>
      <c r="F553" s="1004"/>
      <c r="G553" s="1038" t="s">
        <v>2684</v>
      </c>
      <c r="H553" s="1004"/>
      <c r="I553" s="1039">
        <f t="shared" si="4"/>
        <v>0</v>
      </c>
      <c r="J553" s="1040"/>
      <c r="K553" s="1039">
        <f t="shared" si="5"/>
        <v>0</v>
      </c>
      <c r="L553" s="643"/>
      <c r="O553" s="1133"/>
      <c r="P553" s="1104"/>
      <c r="S553" s="1102"/>
      <c r="T553" s="1102"/>
      <c r="U553" s="1102"/>
    </row>
    <row r="554" spans="1:27" ht="15.6" hidden="1" customHeight="1" x14ac:dyDescent="0.25">
      <c r="A554" s="1174"/>
      <c r="B554" s="1035" t="s">
        <v>414</v>
      </c>
      <c r="C554" s="1036"/>
      <c r="D554" s="1008"/>
      <c r="E554" s="1038" t="s">
        <v>2696</v>
      </c>
      <c r="F554" s="1004"/>
      <c r="G554" s="1038" t="s">
        <v>340</v>
      </c>
      <c r="H554" s="1004"/>
      <c r="I554" s="1039">
        <f t="shared" si="4"/>
        <v>46546.436560381626</v>
      </c>
      <c r="J554" s="1040"/>
      <c r="K554" s="1039">
        <f t="shared" si="5"/>
        <v>57072.639477110533</v>
      </c>
      <c r="L554" s="643"/>
      <c r="O554" s="1133"/>
      <c r="T554" s="1102"/>
      <c r="U554" s="1102"/>
      <c r="Z554" s="230"/>
    </row>
    <row r="555" spans="1:27" ht="15.6" hidden="1" customHeight="1" x14ac:dyDescent="0.25">
      <c r="A555" s="1174"/>
      <c r="B555" s="1035" t="s">
        <v>788</v>
      </c>
      <c r="C555" s="1036"/>
      <c r="D555" s="1008"/>
      <c r="E555" s="1038" t="s">
        <v>2696</v>
      </c>
      <c r="F555" s="1004"/>
      <c r="G555" s="1038" t="s">
        <v>2684</v>
      </c>
      <c r="H555" s="1004"/>
      <c r="I555" s="1039">
        <f t="shared" si="4"/>
        <v>0</v>
      </c>
      <c r="J555" s="1040"/>
      <c r="K555" s="1039">
        <f t="shared" si="5"/>
        <v>0</v>
      </c>
      <c r="L555" s="643"/>
      <c r="O555" s="1133"/>
      <c r="P555" s="1104"/>
      <c r="S555" s="1102"/>
      <c r="T555" s="1102"/>
      <c r="U555" s="1102"/>
      <c r="Z555" s="230"/>
    </row>
    <row r="556" spans="1:27" ht="15.6" hidden="1" customHeight="1" x14ac:dyDescent="0.25">
      <c r="A556" s="1174"/>
      <c r="B556" s="1035" t="s">
        <v>415</v>
      </c>
      <c r="C556" s="1036"/>
      <c r="D556" s="1008"/>
      <c r="E556" s="1038" t="s">
        <v>2696</v>
      </c>
      <c r="F556" s="1004"/>
      <c r="G556" s="1038" t="s">
        <v>2684</v>
      </c>
      <c r="H556" s="1004"/>
      <c r="I556" s="1039">
        <f t="shared" si="4"/>
        <v>0</v>
      </c>
      <c r="J556" s="1040"/>
      <c r="K556" s="1039">
        <f t="shared" si="5"/>
        <v>0</v>
      </c>
      <c r="L556" s="643"/>
      <c r="O556" s="1133"/>
      <c r="P556" s="1104"/>
      <c r="S556" s="1102"/>
      <c r="T556" s="1102"/>
      <c r="U556" s="1102"/>
    </row>
    <row r="557" spans="1:27" ht="15.6" hidden="1" customHeight="1" x14ac:dyDescent="0.25">
      <c r="A557" s="1174"/>
      <c r="B557" s="1035" t="s">
        <v>1304</v>
      </c>
      <c r="C557" s="1036"/>
      <c r="D557" s="1008"/>
      <c r="E557" s="1038" t="s">
        <v>2696</v>
      </c>
      <c r="F557" s="1004"/>
      <c r="G557" s="1038" t="s">
        <v>2684</v>
      </c>
      <c r="H557" s="1004"/>
      <c r="I557" s="1039">
        <f t="shared" si="4"/>
        <v>0</v>
      </c>
      <c r="J557" s="1040"/>
      <c r="K557" s="1039">
        <f t="shared" si="5"/>
        <v>0</v>
      </c>
      <c r="L557" s="643"/>
      <c r="O557" s="1133"/>
      <c r="P557" s="1104"/>
      <c r="S557" s="1102"/>
      <c r="T557" s="1102"/>
      <c r="U557" s="1102"/>
      <c r="AA557" s="230"/>
    </row>
    <row r="558" spans="1:27" s="230" customFormat="1" ht="15.6" hidden="1" customHeight="1" thickBot="1" x14ac:dyDescent="0.3">
      <c r="A558" s="1175"/>
      <c r="B558" s="1041" t="s">
        <v>2697</v>
      </c>
      <c r="C558" s="1042"/>
      <c r="D558" s="1004"/>
      <c r="E558" s="1059" t="s">
        <v>1241</v>
      </c>
      <c r="F558" s="1004"/>
      <c r="G558" s="1044"/>
      <c r="H558" s="1045">
        <v>-234</v>
      </c>
      <c r="I558" s="1046">
        <f>SUM(I541:I557)</f>
        <v>639995.08755066246</v>
      </c>
      <c r="J558" s="1047"/>
      <c r="K558" s="1046">
        <f>SUM(K541:K557)</f>
        <v>412028.59105196968</v>
      </c>
      <c r="L558" s="648"/>
      <c r="M558" s="1133"/>
      <c r="N558" s="1147"/>
      <c r="O558" s="1133"/>
      <c r="P558" s="1104"/>
      <c r="Q558" s="1098"/>
      <c r="R558" s="1098"/>
      <c r="S558" s="1102"/>
      <c r="T558" s="1102"/>
      <c r="U558" s="1102"/>
      <c r="V558" s="48"/>
      <c r="W558" s="1128"/>
      <c r="X558" s="48"/>
      <c r="Y558" s="48"/>
      <c r="Z558" s="48"/>
    </row>
    <row r="559" spans="1:27" s="230" customFormat="1" ht="15.6" hidden="1" customHeight="1" thickBot="1" x14ac:dyDescent="0.3">
      <c r="A559" s="1175"/>
      <c r="D559" s="646"/>
      <c r="F559" s="646"/>
      <c r="G559" s="646"/>
      <c r="H559" s="646"/>
      <c r="I559" s="617"/>
      <c r="J559" s="647"/>
      <c r="K559" s="617"/>
      <c r="L559" s="648"/>
      <c r="M559" s="1133"/>
      <c r="N559" s="1147"/>
      <c r="O559" s="1133"/>
      <c r="P559" s="1104"/>
      <c r="Q559" s="1098"/>
      <c r="R559" s="1098"/>
      <c r="S559" s="1102"/>
      <c r="T559" s="1102"/>
      <c r="U559" s="1102"/>
      <c r="V559" s="48"/>
      <c r="W559" s="1128"/>
      <c r="X559" s="48"/>
      <c r="Y559" s="48"/>
      <c r="Z559" s="48"/>
      <c r="AA559" s="48"/>
    </row>
    <row r="560" spans="1:27" ht="15.6" hidden="1" customHeight="1" thickBot="1" x14ac:dyDescent="0.3">
      <c r="A560" s="1174"/>
      <c r="B560" s="1033" t="s">
        <v>2698</v>
      </c>
      <c r="C560" s="1034"/>
      <c r="D560" s="1008"/>
      <c r="E560" s="1006"/>
      <c r="F560" s="1004"/>
      <c r="G560" s="1006"/>
      <c r="H560" s="1004"/>
      <c r="I560" s="1058" t="str">
        <f>IF(AND(SUM(I574-I537)&lt;0.001,SUM(I574-I537)&gt;-0.001),"",SUM(I574-I537))</f>
        <v/>
      </c>
      <c r="J560" s="1004"/>
      <c r="K560" s="1058" t="str">
        <f>IF(AND(SUM(K574-K537)&lt;0.001,SUM(K574-K537)&gt;-0.001),"",SUM(K574-K537))</f>
        <v/>
      </c>
      <c r="L560" s="643"/>
      <c r="O560" s="1133"/>
      <c r="T560" s="1102"/>
      <c r="U560" s="1102"/>
    </row>
    <row r="561" spans="1:27" ht="15.6" hidden="1" customHeight="1" x14ac:dyDescent="0.25">
      <c r="A561" s="1174"/>
      <c r="B561" s="1035" t="s">
        <v>2259</v>
      </c>
      <c r="C561" s="1036"/>
      <c r="D561" s="1008"/>
      <c r="E561" s="1038" t="s">
        <v>1241</v>
      </c>
      <c r="F561" s="1004"/>
      <c r="G561" s="1038" t="s">
        <v>340</v>
      </c>
      <c r="H561" s="1004"/>
      <c r="I561" s="1039">
        <f t="shared" ref="I561:I573" si="6">IF($G561="Yes",I490/I$503*I$537,0)</f>
        <v>535120.38446896803</v>
      </c>
      <c r="J561" s="1040"/>
      <c r="K561" s="1039">
        <f t="shared" ref="K561:K573" si="7">IF($G561="Yes",K490/K$503*K$537,0)</f>
        <v>234973.50565731386</v>
      </c>
      <c r="L561" s="643"/>
      <c r="O561" s="1133"/>
      <c r="P561" s="1104"/>
      <c r="S561" s="1102"/>
      <c r="T561" s="1102"/>
      <c r="U561" s="1102"/>
    </row>
    <row r="562" spans="1:27" ht="15.6" hidden="1" customHeight="1" x14ac:dyDescent="0.25">
      <c r="A562" s="1174"/>
      <c r="B562" s="1035" t="s">
        <v>332</v>
      </c>
      <c r="C562" s="1036"/>
      <c r="D562" s="1008"/>
      <c r="E562" s="1038" t="s">
        <v>1241</v>
      </c>
      <c r="F562" s="1004"/>
      <c r="G562" s="1038" t="s">
        <v>340</v>
      </c>
      <c r="H562" s="1004"/>
      <c r="I562" s="1039">
        <f t="shared" si="6"/>
        <v>0</v>
      </c>
      <c r="J562" s="1040"/>
      <c r="K562" s="1039">
        <f t="shared" si="7"/>
        <v>0</v>
      </c>
      <c r="L562" s="643"/>
      <c r="O562" s="1133"/>
      <c r="P562" s="1104"/>
      <c r="S562" s="1102"/>
      <c r="T562" s="1102"/>
      <c r="U562" s="1102"/>
      <c r="Y562" s="230"/>
    </row>
    <row r="563" spans="1:27" ht="15.6" hidden="1" customHeight="1" x14ac:dyDescent="0.25">
      <c r="A563" s="1174"/>
      <c r="B563" s="1035" t="s">
        <v>334</v>
      </c>
      <c r="C563" s="1036"/>
      <c r="D563" s="1008"/>
      <c r="E563" s="1038" t="s">
        <v>1241</v>
      </c>
      <c r="F563" s="1004"/>
      <c r="G563" s="1038" t="s">
        <v>340</v>
      </c>
      <c r="H563" s="1004"/>
      <c r="I563" s="1039">
        <f t="shared" si="6"/>
        <v>0</v>
      </c>
      <c r="J563" s="1040"/>
      <c r="K563" s="1039">
        <f t="shared" si="7"/>
        <v>0</v>
      </c>
      <c r="L563" s="643"/>
      <c r="O563" s="1133"/>
      <c r="P563" s="1104"/>
      <c r="S563" s="1102"/>
      <c r="T563" s="1102"/>
      <c r="U563" s="1102"/>
      <c r="Y563" s="230"/>
    </row>
    <row r="564" spans="1:27" ht="15.6" hidden="1" customHeight="1" x14ac:dyDescent="0.25">
      <c r="A564" s="1174"/>
      <c r="B564" s="1035" t="s">
        <v>333</v>
      </c>
      <c r="C564" s="1036"/>
      <c r="D564" s="1008"/>
      <c r="E564" s="1038" t="s">
        <v>1241</v>
      </c>
      <c r="F564" s="1004"/>
      <c r="G564" s="1038" t="s">
        <v>340</v>
      </c>
      <c r="H564" s="1004"/>
      <c r="I564" s="1039">
        <f t="shared" si="6"/>
        <v>0</v>
      </c>
      <c r="J564" s="1040"/>
      <c r="K564" s="1039">
        <f t="shared" si="7"/>
        <v>0</v>
      </c>
      <c r="L564" s="643"/>
      <c r="O564" s="1133"/>
      <c r="P564" s="1104"/>
      <c r="S564" s="1102"/>
      <c r="T564" s="1102"/>
      <c r="U564" s="1102"/>
    </row>
    <row r="565" spans="1:27" ht="15.6" hidden="1" customHeight="1" x14ac:dyDescent="0.25">
      <c r="A565" s="1174"/>
      <c r="B565" s="1035" t="s">
        <v>660</v>
      </c>
      <c r="C565" s="1036"/>
      <c r="D565" s="1008"/>
      <c r="E565" s="1038" t="s">
        <v>1241</v>
      </c>
      <c r="F565" s="1004"/>
      <c r="G565" s="1038" t="s">
        <v>340</v>
      </c>
      <c r="H565" s="1004"/>
      <c r="I565" s="1039">
        <f t="shared" si="6"/>
        <v>0</v>
      </c>
      <c r="J565" s="1040"/>
      <c r="K565" s="1039">
        <f t="shared" si="7"/>
        <v>0</v>
      </c>
      <c r="L565" s="643"/>
      <c r="O565" s="1133"/>
      <c r="P565" s="1104"/>
      <c r="S565" s="1102"/>
      <c r="T565" s="1102"/>
      <c r="U565" s="1102"/>
    </row>
    <row r="566" spans="1:27" ht="15.6" hidden="1" customHeight="1" x14ac:dyDescent="0.25">
      <c r="A566" s="1174"/>
      <c r="B566" s="1035" t="s">
        <v>665</v>
      </c>
      <c r="C566" s="1036"/>
      <c r="D566" s="1008"/>
      <c r="E566" s="1038" t="s">
        <v>1241</v>
      </c>
      <c r="F566" s="1004"/>
      <c r="G566" s="1038" t="s">
        <v>340</v>
      </c>
      <c r="H566" s="1004"/>
      <c r="I566" s="1039">
        <f t="shared" si="6"/>
        <v>0</v>
      </c>
      <c r="J566" s="1040"/>
      <c r="K566" s="1039">
        <f t="shared" si="7"/>
        <v>0</v>
      </c>
      <c r="L566" s="643"/>
      <c r="O566" s="1133"/>
      <c r="T566" s="1102"/>
      <c r="U566" s="1102"/>
    </row>
    <row r="567" spans="1:27" ht="15.6" hidden="1" customHeight="1" x14ac:dyDescent="0.25">
      <c r="A567" s="1174"/>
      <c r="B567" s="1035" t="s">
        <v>1758</v>
      </c>
      <c r="C567" s="1036"/>
      <c r="D567" s="1008"/>
      <c r="E567" s="1038" t="s">
        <v>1241</v>
      </c>
      <c r="F567" s="1004"/>
      <c r="G567" s="1038" t="s">
        <v>340</v>
      </c>
      <c r="H567" s="1004"/>
      <c r="I567" s="1039">
        <f t="shared" si="6"/>
        <v>0</v>
      </c>
      <c r="J567" s="1040"/>
      <c r="K567" s="1039">
        <f t="shared" si="7"/>
        <v>0</v>
      </c>
      <c r="L567" s="643"/>
      <c r="O567" s="1133"/>
      <c r="T567" s="1102"/>
      <c r="U567" s="1102"/>
    </row>
    <row r="568" spans="1:27" ht="15.6" hidden="1" customHeight="1" x14ac:dyDescent="0.25">
      <c r="A568" s="1174"/>
      <c r="B568" s="1035" t="s">
        <v>3521</v>
      </c>
      <c r="C568" s="1036"/>
      <c r="D568" s="1008"/>
      <c r="E568" s="1038" t="s">
        <v>1241</v>
      </c>
      <c r="F568" s="1004"/>
      <c r="G568" s="1038" t="s">
        <v>340</v>
      </c>
      <c r="H568" s="1004"/>
      <c r="I568" s="1039">
        <f t="shared" si="6"/>
        <v>0</v>
      </c>
      <c r="J568" s="1040"/>
      <c r="K568" s="1039">
        <f t="shared" si="7"/>
        <v>0</v>
      </c>
      <c r="L568" s="643"/>
      <c r="O568" s="1133"/>
      <c r="T568" s="1102"/>
      <c r="U568" s="1102"/>
    </row>
    <row r="569" spans="1:27" ht="15.6" hidden="1" customHeight="1" x14ac:dyDescent="0.25">
      <c r="A569" s="1174"/>
      <c r="B569" s="1035" t="s">
        <v>3521</v>
      </c>
      <c r="C569" s="1036"/>
      <c r="D569" s="1008"/>
      <c r="E569" s="1038" t="s">
        <v>1241</v>
      </c>
      <c r="F569" s="1004"/>
      <c r="G569" s="1038" t="s">
        <v>340</v>
      </c>
      <c r="H569" s="1004"/>
      <c r="I569" s="1039">
        <f t="shared" si="6"/>
        <v>0</v>
      </c>
      <c r="J569" s="1040"/>
      <c r="K569" s="1039">
        <f t="shared" si="7"/>
        <v>0</v>
      </c>
      <c r="L569" s="643"/>
      <c r="O569" s="1133"/>
      <c r="P569" s="1104"/>
      <c r="S569" s="1102"/>
      <c r="T569" s="1102"/>
      <c r="U569" s="1102"/>
    </row>
    <row r="570" spans="1:27" ht="15.6" hidden="1" customHeight="1" x14ac:dyDescent="0.25">
      <c r="A570" s="1174"/>
      <c r="B570" s="1035" t="s">
        <v>706</v>
      </c>
      <c r="C570" s="1036"/>
      <c r="D570" s="1008"/>
      <c r="E570" s="1038" t="s">
        <v>1241</v>
      </c>
      <c r="F570" s="1004"/>
      <c r="G570" s="1038" t="s">
        <v>340</v>
      </c>
      <c r="H570" s="1004"/>
      <c r="I570" s="1039">
        <f t="shared" si="6"/>
        <v>0</v>
      </c>
      <c r="J570" s="1040"/>
      <c r="K570" s="1039">
        <f t="shared" si="7"/>
        <v>0</v>
      </c>
      <c r="L570" s="643"/>
      <c r="O570" s="1133"/>
      <c r="P570" s="1104"/>
      <c r="S570" s="1102"/>
      <c r="T570" s="1102"/>
      <c r="U570" s="1102"/>
      <c r="Z570" s="230"/>
    </row>
    <row r="571" spans="1:27" ht="15.6" hidden="1" customHeight="1" x14ac:dyDescent="0.25">
      <c r="A571" s="1174"/>
      <c r="B571" s="1035" t="s">
        <v>296</v>
      </c>
      <c r="C571" s="1036"/>
      <c r="D571" s="1008"/>
      <c r="E571" s="1038" t="s">
        <v>1241</v>
      </c>
      <c r="F571" s="1004"/>
      <c r="G571" s="1038" t="s">
        <v>340</v>
      </c>
      <c r="H571" s="1004"/>
      <c r="I571" s="1039">
        <f t="shared" si="6"/>
        <v>0</v>
      </c>
      <c r="J571" s="1040"/>
      <c r="K571" s="1039">
        <f t="shared" si="7"/>
        <v>0</v>
      </c>
      <c r="L571" s="643"/>
      <c r="O571" s="1133"/>
      <c r="P571" s="1104"/>
      <c r="S571" s="1102"/>
      <c r="T571" s="1102"/>
      <c r="U571" s="1102"/>
      <c r="Z571" s="230"/>
    </row>
    <row r="572" spans="1:27" ht="15.6" hidden="1" customHeight="1" x14ac:dyDescent="0.25">
      <c r="A572" s="1174"/>
      <c r="B572" s="1035" t="s">
        <v>297</v>
      </c>
      <c r="C572" s="1036"/>
      <c r="D572" s="1008"/>
      <c r="E572" s="1038" t="s">
        <v>1241</v>
      </c>
      <c r="F572" s="1004"/>
      <c r="G572" s="1038" t="s">
        <v>340</v>
      </c>
      <c r="H572" s="1004"/>
      <c r="I572" s="1039">
        <f t="shared" si="6"/>
        <v>0</v>
      </c>
      <c r="J572" s="1040"/>
      <c r="K572" s="1039">
        <f t="shared" si="7"/>
        <v>0</v>
      </c>
      <c r="L572" s="643"/>
      <c r="O572" s="1133"/>
      <c r="P572" s="1104"/>
      <c r="S572" s="1102"/>
      <c r="T572" s="1102"/>
      <c r="U572" s="1102"/>
    </row>
    <row r="573" spans="1:27" ht="15.6" hidden="1" customHeight="1" x14ac:dyDescent="0.25">
      <c r="A573" s="1174"/>
      <c r="B573" s="1035" t="s">
        <v>298</v>
      </c>
      <c r="C573" s="1036"/>
      <c r="D573" s="1008"/>
      <c r="E573" s="1038" t="s">
        <v>1241</v>
      </c>
      <c r="F573" s="1004"/>
      <c r="G573" s="1038" t="s">
        <v>340</v>
      </c>
      <c r="H573" s="1004"/>
      <c r="I573" s="1039">
        <f t="shared" si="6"/>
        <v>0</v>
      </c>
      <c r="J573" s="1040"/>
      <c r="K573" s="1039">
        <f t="shared" si="7"/>
        <v>0</v>
      </c>
      <c r="L573" s="643"/>
      <c r="O573" s="1133"/>
      <c r="P573" s="1104"/>
      <c r="S573" s="1102"/>
      <c r="T573" s="1102"/>
      <c r="U573" s="1102"/>
      <c r="AA573" s="230"/>
    </row>
    <row r="574" spans="1:27" s="230" customFormat="1" ht="15.6" hidden="1" customHeight="1" thickBot="1" x14ac:dyDescent="0.3">
      <c r="A574" s="1175"/>
      <c r="B574" s="1041" t="s">
        <v>2697</v>
      </c>
      <c r="C574" s="1042"/>
      <c r="D574" s="1004"/>
      <c r="E574" s="1059" t="s">
        <v>2696</v>
      </c>
      <c r="F574" s="1004"/>
      <c r="G574" s="1044"/>
      <c r="H574" s="1045">
        <v>-234</v>
      </c>
      <c r="I574" s="1046">
        <f>SUM(I561:I573)</f>
        <v>535120.38446896803</v>
      </c>
      <c r="J574" s="1047"/>
      <c r="K574" s="1046">
        <f>SUM(K561:K573)</f>
        <v>234973.50565731386</v>
      </c>
      <c r="L574" s="648"/>
      <c r="M574" s="1133"/>
      <c r="N574" s="1147"/>
      <c r="O574" s="1133"/>
      <c r="P574" s="1104"/>
      <c r="Q574" s="1098"/>
      <c r="R574" s="1098"/>
      <c r="S574" s="1102"/>
      <c r="T574" s="1102"/>
      <c r="U574" s="1102"/>
      <c r="V574" s="48"/>
      <c r="W574" s="1128"/>
      <c r="X574" s="48"/>
      <c r="Y574" s="48"/>
      <c r="Z574" s="48"/>
    </row>
    <row r="575" spans="1:27" s="230" customFormat="1" ht="15.6" hidden="1" customHeight="1" thickBot="1" x14ac:dyDescent="0.3">
      <c r="A575" s="1176"/>
      <c r="B575" s="650"/>
      <c r="C575" s="650"/>
      <c r="D575" s="651"/>
      <c r="E575" s="650"/>
      <c r="F575" s="651"/>
      <c r="G575" s="651"/>
      <c r="H575" s="651"/>
      <c r="I575" s="652"/>
      <c r="J575" s="653"/>
      <c r="K575" s="652"/>
      <c r="L575" s="654"/>
      <c r="M575" s="1133"/>
      <c r="N575" s="1147"/>
      <c r="O575" s="1133"/>
      <c r="P575" s="1104"/>
      <c r="Q575" s="1098"/>
      <c r="R575" s="1098"/>
      <c r="S575" s="1102"/>
      <c r="T575" s="1102"/>
      <c r="U575" s="1102"/>
      <c r="V575" s="48"/>
      <c r="W575" s="1128"/>
      <c r="X575" s="48"/>
      <c r="Y575" s="48"/>
      <c r="Z575" s="48"/>
      <c r="AA575" s="48"/>
    </row>
    <row r="576" spans="1:27" ht="46.5" customHeight="1" x14ac:dyDescent="0.25">
      <c r="B576" s="2856" t="s">
        <v>7531</v>
      </c>
      <c r="C576" s="2856"/>
      <c r="D576" s="2856"/>
      <c r="E576" s="2856"/>
      <c r="F576" s="2856"/>
      <c r="G576" s="2856"/>
      <c r="H576" s="2856"/>
      <c r="I576" s="2856"/>
      <c r="J576" s="2856"/>
      <c r="K576" s="2856"/>
      <c r="L576" s="59"/>
      <c r="O576" s="1133"/>
      <c r="P576" s="1104"/>
      <c r="S576" s="1102"/>
      <c r="T576" s="1102"/>
      <c r="U576" s="1102"/>
    </row>
    <row r="577" spans="1:23" ht="15.6" customHeight="1" x14ac:dyDescent="0.2">
      <c r="I577" s="58"/>
      <c r="J577" s="58"/>
      <c r="K577" s="58"/>
      <c r="L577" s="59"/>
      <c r="O577" s="1146"/>
      <c r="T577" s="1102"/>
      <c r="U577" s="1102"/>
      <c r="V577" s="230"/>
      <c r="W577" s="1114"/>
    </row>
    <row r="578" spans="1:23" ht="46.5" hidden="1" customHeight="1" x14ac:dyDescent="0.2">
      <c r="B578" s="2840" t="s">
        <v>4245</v>
      </c>
      <c r="C578" s="2840"/>
      <c r="D578" s="2840"/>
      <c r="E578" s="2840"/>
      <c r="F578" s="2840"/>
      <c r="G578" s="2840"/>
      <c r="H578" s="2840"/>
      <c r="I578" s="2840"/>
      <c r="J578" s="2840"/>
      <c r="K578" s="2840"/>
      <c r="L578" s="59"/>
      <c r="O578" s="1133"/>
      <c r="T578" s="1102"/>
      <c r="U578" s="1102"/>
      <c r="V578" s="230"/>
      <c r="W578" s="1114"/>
    </row>
    <row r="579" spans="1:23" ht="15.6" hidden="1" customHeight="1" x14ac:dyDescent="0.25">
      <c r="I579" s="58"/>
      <c r="J579" s="58"/>
      <c r="K579" s="58"/>
      <c r="L579" s="59"/>
      <c r="M579" s="1147"/>
      <c r="N579" s="1471"/>
      <c r="O579" s="1134"/>
      <c r="P579" s="1104"/>
      <c r="S579" s="1102"/>
      <c r="T579" s="1102"/>
      <c r="U579" s="1102"/>
    </row>
    <row r="580" spans="1:23" ht="46.5" hidden="1" customHeight="1" x14ac:dyDescent="0.25">
      <c r="B580" s="2840" t="s">
        <v>1670</v>
      </c>
      <c r="C580" s="2840"/>
      <c r="D580" s="2840"/>
      <c r="E580" s="2840"/>
      <c r="F580" s="2840"/>
      <c r="G580" s="2840"/>
      <c r="H580" s="2840"/>
      <c r="I580" s="2840"/>
      <c r="J580" s="2840"/>
      <c r="K580" s="2840"/>
      <c r="O580" s="1133"/>
      <c r="P580" s="1104"/>
      <c r="S580" s="1102"/>
      <c r="T580" s="1102"/>
      <c r="U580" s="1102"/>
    </row>
    <row r="581" spans="1:23" ht="15.6" hidden="1" customHeight="1" x14ac:dyDescent="0.25">
      <c r="A581" s="1172"/>
      <c r="B581" s="767"/>
      <c r="C581" s="767"/>
      <c r="D581" s="769"/>
      <c r="E581" s="767"/>
      <c r="F581" s="769"/>
      <c r="G581" s="769"/>
      <c r="H581" s="769"/>
      <c r="I581" s="770"/>
      <c r="J581" s="770"/>
      <c r="K581" s="770"/>
      <c r="L581" s="771"/>
      <c r="N581" s="1133"/>
      <c r="O581" s="1133"/>
      <c r="P581" s="1104"/>
      <c r="S581" s="1102"/>
      <c r="T581" s="1102"/>
      <c r="U581" s="1102"/>
    </row>
    <row r="582" spans="1:23" ht="15.6" hidden="1" customHeight="1" x14ac:dyDescent="0.25">
      <c r="A582" s="1172"/>
      <c r="B582" s="2855" t="s">
        <v>1689</v>
      </c>
      <c r="C582" s="2855"/>
      <c r="D582" s="2855"/>
      <c r="E582" s="2855"/>
      <c r="F582" s="2855"/>
      <c r="G582" s="2855"/>
      <c r="H582" s="2855"/>
      <c r="I582" s="2855"/>
      <c r="J582" s="2855"/>
      <c r="K582" s="2855"/>
      <c r="L582" s="767"/>
      <c r="M582" s="1147"/>
      <c r="O582" s="1133"/>
      <c r="T582" s="1102"/>
      <c r="U582" s="1102"/>
    </row>
    <row r="583" spans="1:23" ht="15.6" hidden="1" customHeight="1" x14ac:dyDescent="0.25">
      <c r="A583" s="1172"/>
      <c r="B583" s="767"/>
      <c r="C583" s="767"/>
      <c r="D583" s="769"/>
      <c r="E583" s="767"/>
      <c r="F583" s="769"/>
      <c r="G583" s="769"/>
      <c r="H583" s="769"/>
      <c r="I583" s="770"/>
      <c r="J583" s="770"/>
      <c r="K583" s="770"/>
      <c r="L583" s="771"/>
      <c r="N583" s="1133"/>
      <c r="O583" s="1133"/>
      <c r="T583" s="1102"/>
      <c r="U583" s="1102"/>
    </row>
    <row r="584" spans="1:23" ht="15.6" hidden="1" customHeight="1" x14ac:dyDescent="0.25">
      <c r="B584" s="2839" t="s">
        <v>1715</v>
      </c>
      <c r="C584" s="2839"/>
      <c r="D584" s="2839"/>
      <c r="E584" s="2839"/>
      <c r="F584" s="2839"/>
      <c r="G584" s="2839"/>
      <c r="H584" s="2839"/>
      <c r="I584" s="2839"/>
      <c r="J584" s="2839"/>
      <c r="K584" s="2839"/>
      <c r="M584" s="1147"/>
      <c r="O584" s="1133"/>
      <c r="T584" s="1102"/>
      <c r="U584" s="1102"/>
    </row>
    <row r="585" spans="1:23" ht="15.6" hidden="1" customHeight="1" x14ac:dyDescent="0.25">
      <c r="I585" s="200"/>
      <c r="J585" s="200"/>
      <c r="K585" s="200"/>
      <c r="L585" s="210"/>
      <c r="N585" s="1133"/>
      <c r="O585" s="1133"/>
      <c r="P585" s="1104"/>
      <c r="S585" s="1102"/>
      <c r="T585" s="1102"/>
      <c r="U585" s="1102"/>
    </row>
    <row r="586" spans="1:23" ht="30.95" hidden="1" customHeight="1" x14ac:dyDescent="0.25">
      <c r="A586" s="1169"/>
      <c r="B586" s="2854" t="str">
        <f>"Sundry Debtors are in respect of debits outstanding at year-end on normal business transactions entered into by the municipality.  Included in the total is an amount of R1 628 419 ("&amp;Parameters!C19&amp;": R794 887) in respect of uncleared bank reconciliation items."</f>
        <v>Sundry Debtors are in respect of debits outstanding at year-end on normal business transactions entered into by the municipality.  Included in the total is an amount of R1 628 419 (2011: R794 887) in respect of uncleared bank reconciliation items.</v>
      </c>
      <c r="C586" s="2854"/>
      <c r="D586" s="2854"/>
      <c r="E586" s="2854"/>
      <c r="F586" s="2854"/>
      <c r="G586" s="2854"/>
      <c r="H586" s="2854"/>
      <c r="I586" s="2854"/>
      <c r="J586" s="2854"/>
      <c r="K586" s="2854"/>
      <c r="L586" s="625"/>
      <c r="M586" s="1147"/>
      <c r="O586" s="1133"/>
      <c r="T586" s="1102"/>
      <c r="U586" s="1102"/>
    </row>
    <row r="587" spans="1:23" ht="15.6" hidden="1" customHeight="1" x14ac:dyDescent="0.25">
      <c r="A587" s="1169"/>
      <c r="B587" s="625"/>
      <c r="C587" s="625"/>
      <c r="D587" s="626"/>
      <c r="E587" s="625"/>
      <c r="F587" s="626"/>
      <c r="G587" s="626"/>
      <c r="H587" s="626"/>
      <c r="I587" s="627"/>
      <c r="J587" s="627"/>
      <c r="K587" s="627"/>
      <c r="L587" s="628"/>
      <c r="N587" s="1133"/>
      <c r="O587" s="1133"/>
      <c r="P587" s="1104"/>
      <c r="S587" s="1102"/>
      <c r="T587" s="1102"/>
      <c r="U587" s="1102"/>
    </row>
    <row r="588" spans="1:23" ht="30.95" hidden="1" customHeight="1" x14ac:dyDescent="0.25">
      <c r="A588" s="1169"/>
      <c r="B588" s="2854" t="s">
        <v>1371</v>
      </c>
      <c r="C588" s="2854"/>
      <c r="D588" s="2854"/>
      <c r="E588" s="2854"/>
      <c r="F588" s="2854"/>
      <c r="G588" s="2854"/>
      <c r="H588" s="2854"/>
      <c r="I588" s="2854"/>
      <c r="J588" s="2854"/>
      <c r="K588" s="2854"/>
      <c r="L588" s="625"/>
      <c r="M588" s="1147"/>
      <c r="O588" s="1133"/>
      <c r="P588" s="1104"/>
      <c r="S588" s="1102"/>
      <c r="T588" s="1102"/>
      <c r="U588" s="1102"/>
    </row>
    <row r="589" spans="1:23" ht="15.6" hidden="1" customHeight="1" x14ac:dyDescent="0.25">
      <c r="A589" s="1169"/>
      <c r="B589" s="625"/>
      <c r="C589" s="625"/>
      <c r="D589" s="626"/>
      <c r="E589" s="625"/>
      <c r="F589" s="626"/>
      <c r="G589" s="626"/>
      <c r="H589" s="626"/>
      <c r="I589" s="627"/>
      <c r="J589" s="627"/>
      <c r="K589" s="627"/>
      <c r="L589" s="628"/>
      <c r="N589" s="1133"/>
      <c r="O589" s="1133"/>
      <c r="T589" s="1102"/>
      <c r="U589" s="1102"/>
    </row>
    <row r="590" spans="1:23" ht="30.95" hidden="1" customHeight="1" x14ac:dyDescent="0.25">
      <c r="B590" s="2839" t="s">
        <v>4246</v>
      </c>
      <c r="C590" s="2839"/>
      <c r="D590" s="2839"/>
      <c r="E590" s="2839"/>
      <c r="F590" s="2839"/>
      <c r="G590" s="2839"/>
      <c r="H590" s="2839"/>
      <c r="I590" s="2839"/>
      <c r="J590" s="2839"/>
      <c r="K590" s="2839"/>
      <c r="M590" s="1147"/>
      <c r="O590" s="1133"/>
      <c r="P590" s="1104"/>
      <c r="S590" s="1102"/>
      <c r="T590" s="1102"/>
      <c r="U590" s="1102"/>
    </row>
    <row r="591" spans="1:23" ht="15.6" hidden="1" customHeight="1" x14ac:dyDescent="0.25">
      <c r="I591" s="200"/>
      <c r="J591" s="200"/>
      <c r="K591" s="200"/>
      <c r="L591" s="210"/>
      <c r="N591" s="1133"/>
      <c r="O591" s="1133"/>
      <c r="P591" s="1104"/>
      <c r="S591" s="1102"/>
      <c r="T591" s="1102"/>
      <c r="U591" s="1102"/>
    </row>
    <row r="592" spans="1:23" ht="46.5" hidden="1" customHeight="1" x14ac:dyDescent="0.25">
      <c r="A592" s="1172"/>
      <c r="B592" s="2855" t="s">
        <v>3974</v>
      </c>
      <c r="C592" s="2855"/>
      <c r="D592" s="2855"/>
      <c r="E592" s="2855"/>
      <c r="F592" s="2855"/>
      <c r="G592" s="2855"/>
      <c r="H592" s="2855"/>
      <c r="I592" s="2855"/>
      <c r="J592" s="2855"/>
      <c r="K592" s="2855"/>
      <c r="L592" s="767"/>
      <c r="O592" s="1133"/>
      <c r="P592" s="1104"/>
      <c r="S592" s="1102"/>
      <c r="T592" s="1102"/>
      <c r="U592" s="1102"/>
    </row>
    <row r="593" spans="1:23" ht="15.6" hidden="1" customHeight="1" x14ac:dyDescent="0.25">
      <c r="A593" s="1172"/>
      <c r="B593" s="767"/>
      <c r="C593" s="767"/>
      <c r="D593" s="769"/>
      <c r="E593" s="767"/>
      <c r="F593" s="769"/>
      <c r="G593" s="769"/>
      <c r="H593" s="769"/>
      <c r="I593" s="770"/>
      <c r="J593" s="770"/>
      <c r="K593" s="770"/>
      <c r="L593" s="771"/>
      <c r="N593" s="1133"/>
      <c r="O593" s="1133"/>
      <c r="T593" s="1102"/>
      <c r="U593" s="1102"/>
    </row>
    <row r="594" spans="1:23" ht="46.5" hidden="1" customHeight="1" x14ac:dyDescent="0.2">
      <c r="A594" s="1169"/>
      <c r="B594" s="2854" t="s">
        <v>4247</v>
      </c>
      <c r="C594" s="2854"/>
      <c r="D594" s="2854"/>
      <c r="E594" s="2854"/>
      <c r="F594" s="2854"/>
      <c r="G594" s="2854"/>
      <c r="H594" s="2854"/>
      <c r="I594" s="2854"/>
      <c r="J594" s="2854"/>
      <c r="K594" s="2854"/>
      <c r="L594" s="625"/>
      <c r="O594" s="1133"/>
      <c r="P594" s="1104"/>
      <c r="S594" s="1102"/>
      <c r="T594" s="1102"/>
      <c r="U594" s="1102"/>
      <c r="V594" s="230"/>
      <c r="W594" s="1114"/>
    </row>
    <row r="595" spans="1:23" ht="15.6" hidden="1" customHeight="1" x14ac:dyDescent="0.25">
      <c r="A595" s="1169"/>
      <c r="B595" s="625"/>
      <c r="C595" s="625"/>
      <c r="D595" s="626"/>
      <c r="E595" s="625"/>
      <c r="F595" s="626"/>
      <c r="G595" s="626"/>
      <c r="H595" s="626"/>
      <c r="I595" s="627"/>
      <c r="J595" s="627"/>
      <c r="K595" s="627"/>
      <c r="L595" s="628"/>
      <c r="N595" s="1133"/>
      <c r="O595" s="1133"/>
      <c r="P595" s="1104"/>
      <c r="S595" s="1102"/>
      <c r="T595" s="1102"/>
      <c r="U595" s="1102"/>
      <c r="V595" s="230"/>
      <c r="W595" s="1114"/>
    </row>
    <row r="596" spans="1:23" ht="15.6" hidden="1" customHeight="1" x14ac:dyDescent="0.25">
      <c r="B596" s="2839" t="s">
        <v>4248</v>
      </c>
      <c r="C596" s="2839"/>
      <c r="D596" s="2839"/>
      <c r="E596" s="2839"/>
      <c r="F596" s="2839"/>
      <c r="G596" s="2839"/>
      <c r="H596" s="2839"/>
      <c r="I596" s="2839"/>
      <c r="J596" s="2839"/>
      <c r="K596" s="2839"/>
      <c r="M596" s="1147"/>
      <c r="O596" s="1133"/>
      <c r="P596" s="1104"/>
      <c r="S596" s="1102"/>
      <c r="T596" s="1102"/>
      <c r="U596" s="1102"/>
    </row>
    <row r="597" spans="1:23" ht="15.6" hidden="1" customHeight="1" x14ac:dyDescent="0.25">
      <c r="I597" s="200"/>
      <c r="J597" s="200"/>
      <c r="K597" s="200"/>
      <c r="L597" s="210"/>
      <c r="N597" s="1133"/>
      <c r="O597" s="1133"/>
      <c r="P597" s="1104"/>
      <c r="S597" s="1102"/>
      <c r="T597" s="1102"/>
      <c r="U597" s="1102"/>
    </row>
    <row r="598" spans="1:23" ht="15.6" customHeight="1" x14ac:dyDescent="0.25">
      <c r="B598" s="2839" t="s">
        <v>4249</v>
      </c>
      <c r="C598" s="2839"/>
      <c r="D598" s="2839"/>
      <c r="E598" s="2839"/>
      <c r="F598" s="2839"/>
      <c r="G598" s="2839"/>
      <c r="H598" s="2839"/>
      <c r="I598" s="2839"/>
      <c r="J598" s="2839"/>
      <c r="K598" s="2839"/>
      <c r="M598" s="1214" t="s">
        <v>1907</v>
      </c>
      <c r="O598" s="1133"/>
      <c r="P598" s="1104"/>
      <c r="S598" s="1102"/>
      <c r="T598" s="1102"/>
      <c r="U598" s="1102"/>
    </row>
    <row r="599" spans="1:23" ht="15.6" customHeight="1" x14ac:dyDescent="0.25">
      <c r="I599" s="200"/>
      <c r="J599" s="200"/>
      <c r="K599" s="200"/>
      <c r="L599" s="210"/>
      <c r="N599" s="1133"/>
      <c r="O599" s="1133"/>
      <c r="T599" s="1102"/>
      <c r="U599" s="1102"/>
    </row>
    <row r="600" spans="1:23" ht="15.6" customHeight="1" x14ac:dyDescent="0.25">
      <c r="B600" s="2839" t="s">
        <v>4235</v>
      </c>
      <c r="C600" s="2839"/>
      <c r="D600" s="2839"/>
      <c r="E600" s="2839"/>
      <c r="F600" s="2839"/>
      <c r="G600" s="2839"/>
      <c r="H600" s="2839"/>
      <c r="I600" s="2839"/>
      <c r="J600" s="2839"/>
      <c r="K600" s="2839"/>
      <c r="M600" s="1147"/>
      <c r="O600" s="1133"/>
      <c r="P600" s="1104"/>
      <c r="S600" s="1102"/>
      <c r="T600" s="1102"/>
      <c r="U600" s="1102"/>
    </row>
    <row r="601" spans="1:23" ht="15.6" hidden="1" customHeight="1" x14ac:dyDescent="0.25">
      <c r="I601" s="200"/>
      <c r="J601" s="200"/>
      <c r="K601" s="200"/>
      <c r="L601" s="210"/>
      <c r="N601" s="1133"/>
      <c r="O601" s="1133"/>
      <c r="P601" s="1104"/>
      <c r="S601" s="1102"/>
      <c r="T601" s="1102"/>
      <c r="U601" s="1102"/>
    </row>
    <row r="602" spans="1:23" ht="46.5" hidden="1" customHeight="1" x14ac:dyDescent="0.25">
      <c r="B602" s="2839" t="s">
        <v>4250</v>
      </c>
      <c r="C602" s="2839"/>
      <c r="D602" s="2839"/>
      <c r="E602" s="2839"/>
      <c r="F602" s="2839"/>
      <c r="G602" s="2839"/>
      <c r="H602" s="2839"/>
      <c r="I602" s="2839"/>
      <c r="J602" s="2839"/>
      <c r="K602" s="2839"/>
      <c r="O602" s="1133"/>
      <c r="P602" s="1104"/>
      <c r="S602" s="1102"/>
      <c r="T602" s="1102"/>
      <c r="U602" s="1102"/>
    </row>
    <row r="603" spans="1:23" ht="15.6" customHeight="1" x14ac:dyDescent="0.25">
      <c r="I603" s="200"/>
      <c r="J603" s="200"/>
      <c r="K603" s="200"/>
      <c r="L603" s="210"/>
      <c r="N603" s="1133"/>
      <c r="O603" s="1133"/>
      <c r="P603" s="1104"/>
      <c r="S603" s="1102"/>
      <c r="T603" s="1102"/>
      <c r="U603" s="1102"/>
    </row>
    <row r="604" spans="1:23" ht="15.6" customHeight="1" x14ac:dyDescent="0.25">
      <c r="B604" s="229" t="s">
        <v>7532</v>
      </c>
      <c r="C604" s="50"/>
      <c r="D604" s="199"/>
      <c r="F604" s="199"/>
      <c r="G604" s="199"/>
      <c r="H604" s="199"/>
      <c r="I604" s="199"/>
      <c r="J604" s="199"/>
      <c r="K604" s="199"/>
      <c r="M604" s="1214" t="s">
        <v>2243</v>
      </c>
      <c r="O604" s="1133"/>
      <c r="P604" s="1104"/>
      <c r="S604" s="1102"/>
      <c r="T604" s="1102"/>
      <c r="U604" s="1102"/>
      <c r="W604" s="1128" t="s">
        <v>3857</v>
      </c>
    </row>
    <row r="605" spans="1:23" ht="15.6" customHeight="1" x14ac:dyDescent="0.25">
      <c r="I605" s="200"/>
      <c r="J605" s="200"/>
      <c r="K605" s="200"/>
      <c r="L605" s="210"/>
      <c r="N605" s="1133"/>
      <c r="O605" s="1133"/>
      <c r="T605" s="1102"/>
      <c r="U605" s="1102"/>
    </row>
    <row r="606" spans="1:23" ht="15.6" customHeight="1" x14ac:dyDescent="0.25">
      <c r="B606" s="50" t="str">
        <f>"As at "&amp;Parameters!C11</f>
        <v>As at 30 June 2012</v>
      </c>
      <c r="I606" s="199"/>
      <c r="J606" s="199"/>
      <c r="K606" s="199"/>
      <c r="M606" s="1147"/>
      <c r="N606" s="1134"/>
      <c r="O606" s="1134"/>
      <c r="P606" s="1104"/>
      <c r="S606" s="1102"/>
      <c r="T606" s="1102"/>
      <c r="U606" s="1102"/>
    </row>
    <row r="607" spans="1:23" ht="15.6" customHeight="1" x14ac:dyDescent="0.25">
      <c r="C607" s="977" t="s">
        <v>1441</v>
      </c>
      <c r="D607" s="135"/>
      <c r="E607" s="2834" t="s">
        <v>2244</v>
      </c>
      <c r="F607" s="2835"/>
      <c r="G607" s="2835"/>
      <c r="H607" s="2835"/>
      <c r="I607" s="2836"/>
      <c r="J607" s="209"/>
      <c r="K607" s="2837" t="s">
        <v>234</v>
      </c>
      <c r="M607" s="1214" t="s">
        <v>2243</v>
      </c>
      <c r="N607" s="1134"/>
      <c r="O607" s="1134"/>
      <c r="P607" s="1104"/>
      <c r="S607" s="1102"/>
      <c r="T607" s="1102"/>
      <c r="U607" s="1102"/>
    </row>
    <row r="608" spans="1:23" ht="15.6" customHeight="1" x14ac:dyDescent="0.25">
      <c r="B608" s="50"/>
      <c r="C608" s="976" t="s">
        <v>1528</v>
      </c>
      <c r="D608" s="974"/>
      <c r="E608" s="976" t="s">
        <v>293</v>
      </c>
      <c r="F608" s="974"/>
      <c r="G608" s="976" t="s">
        <v>294</v>
      </c>
      <c r="H608" s="974"/>
      <c r="I608" s="975" t="s">
        <v>1345</v>
      </c>
      <c r="J608" s="209"/>
      <c r="K608" s="2838"/>
      <c r="M608" s="1147"/>
      <c r="N608" s="1134"/>
      <c r="O608" s="1134"/>
      <c r="P608" s="1104"/>
      <c r="S608" s="1102"/>
      <c r="T608" s="1102"/>
      <c r="U608" s="1102"/>
    </row>
    <row r="609" spans="1:23" ht="15.6" customHeight="1" x14ac:dyDescent="0.25">
      <c r="I609" s="200"/>
      <c r="J609" s="200"/>
      <c r="K609" s="200"/>
      <c r="L609" s="210"/>
      <c r="N609" s="1133"/>
      <c r="O609" s="1133"/>
      <c r="P609" s="1104"/>
      <c r="S609" s="1102"/>
      <c r="T609" s="1102"/>
      <c r="U609" s="1102"/>
    </row>
    <row r="610" spans="1:23" ht="15.6" customHeight="1" x14ac:dyDescent="0.2">
      <c r="B610" s="229" t="s">
        <v>2242</v>
      </c>
      <c r="C610" s="881"/>
      <c r="D610" s="48"/>
      <c r="E610" s="881"/>
      <c r="F610" s="48"/>
      <c r="G610" s="881"/>
      <c r="H610" s="48"/>
      <c r="I610" s="881"/>
      <c r="J610" s="48"/>
      <c r="K610" s="881"/>
      <c r="N610" s="1134"/>
      <c r="O610" s="1134"/>
      <c r="P610" s="1104"/>
      <c r="S610" s="1102"/>
      <c r="T610" s="1102"/>
      <c r="U610" s="1102"/>
      <c r="V610" s="230"/>
      <c r="W610" s="1114"/>
    </row>
    <row r="611" spans="1:23" ht="15.6" customHeight="1" x14ac:dyDescent="0.25">
      <c r="B611" s="48" t="s">
        <v>2245</v>
      </c>
      <c r="C611" s="2219">
        <v>3131</v>
      </c>
      <c r="D611" s="199"/>
      <c r="E611" s="227">
        <v>43099</v>
      </c>
      <c r="F611" s="199"/>
      <c r="G611" s="227">
        <v>43268</v>
      </c>
      <c r="H611" s="199"/>
      <c r="I611" s="186">
        <v>6507969</v>
      </c>
      <c r="J611" s="199"/>
      <c r="K611" s="186">
        <f>SUM(C611:J611)</f>
        <v>6597467</v>
      </c>
      <c r="M611" s="1483">
        <f>K611-G430</f>
        <v>-0.42999999970197678</v>
      </c>
      <c r="N611" s="1133"/>
      <c r="O611" s="1133"/>
      <c r="T611" s="1102"/>
      <c r="U611" s="1102"/>
    </row>
    <row r="612" spans="1:23" ht="15.6" customHeight="1" x14ac:dyDescent="0.25">
      <c r="B612" s="48" t="s">
        <v>2246</v>
      </c>
      <c r="C612" s="227">
        <f>C611-C614</f>
        <v>3131</v>
      </c>
      <c r="E612" s="227">
        <f>E611-E614</f>
        <v>42919</v>
      </c>
      <c r="G612" s="227">
        <f>G611-G614</f>
        <v>43088</v>
      </c>
      <c r="I612" s="227">
        <f>I611-I614</f>
        <v>6507969</v>
      </c>
      <c r="J612" s="200"/>
      <c r="K612" s="186">
        <f>SUM(C612:J612)</f>
        <v>6597107</v>
      </c>
      <c r="L612" s="210"/>
      <c r="M612" s="1483">
        <f>K612-I430</f>
        <v>0</v>
      </c>
      <c r="N612" s="1133"/>
      <c r="O612" s="1133"/>
      <c r="P612" s="1104"/>
      <c r="S612" s="1102"/>
      <c r="T612" s="1102"/>
      <c r="U612" s="1102"/>
    </row>
    <row r="613" spans="1:23" ht="15.6" customHeight="1" x14ac:dyDescent="0.25">
      <c r="C613" s="185"/>
      <c r="E613" s="185"/>
      <c r="G613" s="689"/>
      <c r="I613" s="978"/>
      <c r="J613" s="200"/>
      <c r="K613" s="978"/>
      <c r="L613" s="210"/>
      <c r="N613" s="1133"/>
      <c r="O613" s="1133"/>
      <c r="P613" s="1104"/>
      <c r="S613" s="1102"/>
      <c r="T613" s="1102"/>
      <c r="U613" s="1102"/>
    </row>
    <row r="614" spans="1:23" ht="15.6" customHeight="1" thickBot="1" x14ac:dyDescent="0.3">
      <c r="B614" s="50" t="s">
        <v>2247</v>
      </c>
      <c r="C614" s="690">
        <v>0</v>
      </c>
      <c r="E614" s="690">
        <v>180</v>
      </c>
      <c r="G614" s="690">
        <v>180</v>
      </c>
      <c r="I614" s="690">
        <v>0</v>
      </c>
      <c r="J614" s="200"/>
      <c r="K614" s="690">
        <f>K611-K612</f>
        <v>360</v>
      </c>
      <c r="L614" s="210"/>
      <c r="M614" s="1483">
        <f>K614-K430</f>
        <v>-0.42999999970197678</v>
      </c>
      <c r="N614" s="1133"/>
      <c r="O614" s="1133"/>
      <c r="P614" s="1104"/>
      <c r="S614" s="1102"/>
      <c r="T614" s="1102"/>
      <c r="U614" s="1102"/>
    </row>
    <row r="615" spans="1:23" ht="15.6" customHeight="1" thickTop="1" x14ac:dyDescent="0.25">
      <c r="I615" s="200"/>
      <c r="J615" s="200"/>
      <c r="K615" s="200"/>
      <c r="L615" s="210"/>
      <c r="N615" s="1133"/>
      <c r="O615" s="1133"/>
      <c r="P615" s="1104"/>
      <c r="S615" s="1102"/>
      <c r="T615" s="1102"/>
      <c r="U615" s="1102"/>
    </row>
    <row r="616" spans="1:23" ht="15.6" hidden="1" customHeight="1" x14ac:dyDescent="0.25">
      <c r="A616" s="1168"/>
      <c r="B616" s="1456" t="s">
        <v>2263</v>
      </c>
      <c r="C616" s="1462"/>
      <c r="D616" s="655"/>
      <c r="E616" s="1462"/>
      <c r="F616" s="655"/>
      <c r="G616" s="1462"/>
      <c r="H616" s="655"/>
      <c r="I616" s="1462"/>
      <c r="J616" s="655"/>
      <c r="K616" s="1462"/>
      <c r="L616" s="655"/>
      <c r="N616" s="1134"/>
      <c r="O616" s="1134"/>
      <c r="P616" s="1104"/>
      <c r="S616" s="1102"/>
      <c r="T616" s="1102"/>
      <c r="U616" s="1102"/>
    </row>
    <row r="617" spans="1:23" ht="15.6" hidden="1" customHeight="1" x14ac:dyDescent="0.25">
      <c r="A617" s="1168"/>
      <c r="B617" s="655" t="s">
        <v>2245</v>
      </c>
      <c r="C617" s="1417">
        <v>0</v>
      </c>
      <c r="D617" s="661"/>
      <c r="E617" s="1417">
        <v>0</v>
      </c>
      <c r="F617" s="661"/>
      <c r="G617" s="1417">
        <v>0</v>
      </c>
      <c r="H617" s="661"/>
      <c r="I617" s="1417">
        <v>0</v>
      </c>
      <c r="J617" s="661"/>
      <c r="K617" s="673">
        <f>SUM(C617:J617)</f>
        <v>0</v>
      </c>
      <c r="L617" s="655"/>
      <c r="M617" s="1483">
        <f>K617-G431</f>
        <v>0</v>
      </c>
      <c r="N617" s="1133"/>
      <c r="O617" s="1133"/>
      <c r="T617" s="1102"/>
      <c r="U617" s="1102"/>
    </row>
    <row r="618" spans="1:23" ht="15.6" hidden="1" customHeight="1" x14ac:dyDescent="0.25">
      <c r="A618" s="1168"/>
      <c r="B618" s="655" t="s">
        <v>2246</v>
      </c>
      <c r="C618" s="1417">
        <v>0</v>
      </c>
      <c r="D618" s="656"/>
      <c r="E618" s="1417">
        <v>0</v>
      </c>
      <c r="F618" s="656"/>
      <c r="G618" s="1417">
        <v>0</v>
      </c>
      <c r="H618" s="656"/>
      <c r="I618" s="1417">
        <v>0</v>
      </c>
      <c r="J618" s="657"/>
      <c r="K618" s="673">
        <f>SUM(C618:J618)</f>
        <v>0</v>
      </c>
      <c r="L618" s="664"/>
      <c r="M618" s="1483">
        <f>K618-I431</f>
        <v>0</v>
      </c>
      <c r="N618" s="1133"/>
      <c r="O618" s="1133"/>
      <c r="P618" s="1104"/>
      <c r="S618" s="1102"/>
      <c r="T618" s="1102"/>
      <c r="U618" s="1102"/>
    </row>
    <row r="619" spans="1:23" ht="15.6" hidden="1" customHeight="1" x14ac:dyDescent="0.25">
      <c r="A619" s="1168"/>
      <c r="B619" s="655"/>
      <c r="C619" s="1232"/>
      <c r="D619" s="656"/>
      <c r="E619" s="1232"/>
      <c r="F619" s="656"/>
      <c r="G619" s="1463"/>
      <c r="H619" s="656"/>
      <c r="I619" s="1464"/>
      <c r="J619" s="657"/>
      <c r="K619" s="1464"/>
      <c r="L619" s="664"/>
      <c r="N619" s="1133"/>
      <c r="O619" s="1133"/>
      <c r="P619" s="1104"/>
      <c r="S619" s="1102"/>
      <c r="T619" s="1102"/>
      <c r="U619" s="1102"/>
    </row>
    <row r="620" spans="1:23" ht="15.6" hidden="1" customHeight="1" thickBot="1" x14ac:dyDescent="0.3">
      <c r="A620" s="1168"/>
      <c r="B620" s="659" t="s">
        <v>2247</v>
      </c>
      <c r="C620" s="1465">
        <f>C617-C618</f>
        <v>0</v>
      </c>
      <c r="D620" s="656"/>
      <c r="E620" s="1465">
        <f>E617-E618</f>
        <v>0</v>
      </c>
      <c r="F620" s="656"/>
      <c r="G620" s="1465">
        <f>G617-G618</f>
        <v>0</v>
      </c>
      <c r="H620" s="656"/>
      <c r="I620" s="1465">
        <f>I617-I618</f>
        <v>0</v>
      </c>
      <c r="J620" s="657"/>
      <c r="K620" s="1465">
        <f>K617-K618</f>
        <v>0</v>
      </c>
      <c r="L620" s="664"/>
      <c r="M620" s="1483">
        <f>K620-K431</f>
        <v>0</v>
      </c>
      <c r="N620" s="1133"/>
      <c r="O620" s="1133"/>
      <c r="P620" s="1104"/>
      <c r="S620" s="1102"/>
      <c r="T620" s="1102"/>
      <c r="U620" s="1102"/>
    </row>
    <row r="621" spans="1:23" ht="15.6" hidden="1" customHeight="1" thickTop="1" x14ac:dyDescent="0.25">
      <c r="A621" s="1168"/>
      <c r="B621" s="655"/>
      <c r="C621" s="655"/>
      <c r="D621" s="656"/>
      <c r="E621" s="655"/>
      <c r="F621" s="656"/>
      <c r="G621" s="656"/>
      <c r="H621" s="656"/>
      <c r="I621" s="657"/>
      <c r="J621" s="657"/>
      <c r="K621" s="657"/>
      <c r="L621" s="664"/>
      <c r="N621" s="1133"/>
      <c r="O621" s="1133"/>
      <c r="P621" s="1104"/>
      <c r="S621" s="1102"/>
      <c r="T621" s="1102"/>
      <c r="U621" s="1102"/>
    </row>
    <row r="622" spans="1:23" ht="15.6" hidden="1" customHeight="1" x14ac:dyDescent="0.25">
      <c r="B622" s="229" t="s">
        <v>6420</v>
      </c>
      <c r="C622" s="881"/>
      <c r="D622" s="48"/>
      <c r="E622" s="881"/>
      <c r="F622" s="48"/>
      <c r="G622" s="881"/>
      <c r="H622" s="48"/>
      <c r="I622" s="881"/>
      <c r="J622" s="48"/>
      <c r="K622" s="881"/>
      <c r="N622" s="1134"/>
      <c r="O622" s="1134"/>
      <c r="P622" s="1104"/>
      <c r="S622" s="1102"/>
      <c r="T622" s="1102"/>
      <c r="U622" s="1102"/>
    </row>
    <row r="623" spans="1:23" ht="15.6" hidden="1" customHeight="1" x14ac:dyDescent="0.25">
      <c r="B623" s="48" t="s">
        <v>2245</v>
      </c>
      <c r="C623" s="227">
        <v>0</v>
      </c>
      <c r="D623" s="199"/>
      <c r="E623" s="227">
        <v>0</v>
      </c>
      <c r="F623" s="199"/>
      <c r="G623" s="227">
        <v>0</v>
      </c>
      <c r="H623" s="199"/>
      <c r="I623" s="2056">
        <f>G432</f>
        <v>0</v>
      </c>
      <c r="J623" s="199"/>
      <c r="K623" s="2055">
        <f>SUM(C623:J623)</f>
        <v>0</v>
      </c>
      <c r="M623" s="1483">
        <f>K623-G432</f>
        <v>0</v>
      </c>
      <c r="N623" s="1133"/>
      <c r="O623" s="1133"/>
      <c r="T623" s="1102"/>
      <c r="U623" s="1102"/>
    </row>
    <row r="624" spans="1:23" ht="15.6" hidden="1" customHeight="1" x14ac:dyDescent="0.25">
      <c r="B624" s="48" t="s">
        <v>2246</v>
      </c>
      <c r="C624" s="227">
        <v>0</v>
      </c>
      <c r="E624" s="227">
        <v>0</v>
      </c>
      <c r="G624" s="227">
        <v>0</v>
      </c>
      <c r="I624" s="2058">
        <v>0</v>
      </c>
      <c r="J624" s="200"/>
      <c r="K624" s="2053">
        <f>SUM(C624:J624)</f>
        <v>0</v>
      </c>
      <c r="L624" s="210"/>
      <c r="M624" s="1483">
        <f>K624-I432</f>
        <v>0</v>
      </c>
      <c r="N624" s="1133"/>
      <c r="O624" s="1133"/>
      <c r="P624" s="1104"/>
      <c r="S624" s="1102"/>
      <c r="T624" s="1102"/>
      <c r="U624" s="1102"/>
    </row>
    <row r="625" spans="1:23" ht="15.6" hidden="1" customHeight="1" x14ac:dyDescent="0.25">
      <c r="C625" s="185"/>
      <c r="E625" s="185"/>
      <c r="G625" s="689"/>
      <c r="I625" s="978"/>
      <c r="J625" s="200"/>
      <c r="K625" s="978"/>
      <c r="L625" s="210"/>
      <c r="N625" s="1133"/>
      <c r="O625" s="1133"/>
      <c r="P625" s="1104"/>
      <c r="S625" s="1102"/>
      <c r="T625" s="1102"/>
      <c r="U625" s="1102"/>
    </row>
    <row r="626" spans="1:23" ht="15" hidden="1" customHeight="1" thickBot="1" x14ac:dyDescent="0.3">
      <c r="B626" s="50" t="s">
        <v>2247</v>
      </c>
      <c r="C626" s="690">
        <f>C623-C624</f>
        <v>0</v>
      </c>
      <c r="E626" s="690">
        <f>E623-E624</f>
        <v>0</v>
      </c>
      <c r="G626" s="690">
        <f>G623-G624</f>
        <v>0</v>
      </c>
      <c r="I626" s="690">
        <f>I623-I624</f>
        <v>0</v>
      </c>
      <c r="J626" s="200"/>
      <c r="K626" s="690">
        <f>K623-K624</f>
        <v>0</v>
      </c>
      <c r="L626" s="210"/>
      <c r="M626" s="1483">
        <f>K626-K432</f>
        <v>0</v>
      </c>
      <c r="N626" s="1133"/>
      <c r="O626" s="1133"/>
      <c r="P626" s="1104"/>
      <c r="S626" s="1102"/>
      <c r="T626" s="1102"/>
      <c r="U626" s="1102"/>
    </row>
    <row r="627" spans="1:23" ht="15.6" hidden="1" customHeight="1" thickTop="1" x14ac:dyDescent="0.25">
      <c r="I627" s="200"/>
      <c r="J627" s="200"/>
      <c r="K627" s="200"/>
      <c r="L627" s="210"/>
      <c r="N627" s="1133"/>
      <c r="O627" s="1133"/>
      <c r="P627" s="1104"/>
      <c r="S627" s="1102"/>
      <c r="T627" s="1102"/>
      <c r="U627" s="1102"/>
    </row>
    <row r="628" spans="1:23" ht="15.6" hidden="1" customHeight="1" x14ac:dyDescent="0.25">
      <c r="A628" s="1168"/>
      <c r="B628" s="1456" t="s">
        <v>2265</v>
      </c>
      <c r="C628" s="1462"/>
      <c r="D628" s="655"/>
      <c r="E628" s="1462"/>
      <c r="F628" s="655"/>
      <c r="G628" s="1462"/>
      <c r="H628" s="655"/>
      <c r="I628" s="1462"/>
      <c r="J628" s="655"/>
      <c r="K628" s="1462"/>
      <c r="L628" s="655"/>
      <c r="N628" s="1134"/>
      <c r="O628" s="1134"/>
      <c r="P628" s="1104"/>
      <c r="S628" s="1102"/>
      <c r="T628" s="1102"/>
      <c r="U628" s="1102"/>
    </row>
    <row r="629" spans="1:23" ht="15.6" hidden="1" customHeight="1" x14ac:dyDescent="0.25">
      <c r="A629" s="1168"/>
      <c r="B629" s="655" t="s">
        <v>2245</v>
      </c>
      <c r="C629" s="1417">
        <v>0</v>
      </c>
      <c r="D629" s="661"/>
      <c r="E629" s="1417">
        <v>0</v>
      </c>
      <c r="F629" s="661"/>
      <c r="G629" s="1417">
        <v>0</v>
      </c>
      <c r="H629" s="661"/>
      <c r="I629" s="673">
        <v>0</v>
      </c>
      <c r="J629" s="661"/>
      <c r="K629" s="673">
        <f>SUM(C629:J629)</f>
        <v>0</v>
      </c>
      <c r="L629" s="655"/>
      <c r="M629" s="1483">
        <f>K629-G433</f>
        <v>0</v>
      </c>
      <c r="N629" s="1133"/>
      <c r="O629" s="1133"/>
      <c r="T629" s="1102"/>
      <c r="U629" s="1102"/>
    </row>
    <row r="630" spans="1:23" ht="15.6" hidden="1" customHeight="1" x14ac:dyDescent="0.25">
      <c r="A630" s="1168"/>
      <c r="B630" s="655" t="s">
        <v>2246</v>
      </c>
      <c r="C630" s="1417">
        <v>0</v>
      </c>
      <c r="D630" s="656"/>
      <c r="E630" s="1417">
        <v>0</v>
      </c>
      <c r="F630" s="656"/>
      <c r="G630" s="1417">
        <v>0</v>
      </c>
      <c r="H630" s="656"/>
      <c r="I630" s="1417">
        <v>0</v>
      </c>
      <c r="J630" s="657"/>
      <c r="K630" s="673">
        <f>SUM(C630:J630)</f>
        <v>0</v>
      </c>
      <c r="L630" s="664"/>
      <c r="M630" s="1483">
        <f>K630-I433</f>
        <v>0</v>
      </c>
      <c r="N630" s="1133"/>
      <c r="O630" s="1133"/>
      <c r="P630" s="1104"/>
      <c r="S630" s="1102"/>
      <c r="T630" s="1102"/>
      <c r="U630" s="1102"/>
    </row>
    <row r="631" spans="1:23" ht="15.6" hidden="1" customHeight="1" x14ac:dyDescent="0.25">
      <c r="A631" s="1168"/>
      <c r="B631" s="655"/>
      <c r="C631" s="1232"/>
      <c r="D631" s="656"/>
      <c r="E631" s="1232"/>
      <c r="F631" s="656"/>
      <c r="G631" s="1463"/>
      <c r="H631" s="656"/>
      <c r="I631" s="1464"/>
      <c r="J631" s="657"/>
      <c r="K631" s="1464"/>
      <c r="L631" s="664"/>
      <c r="N631" s="1133"/>
      <c r="O631" s="1133"/>
      <c r="P631" s="1104"/>
      <c r="S631" s="1102"/>
      <c r="T631" s="1102"/>
      <c r="U631" s="1102"/>
      <c r="V631" s="230"/>
      <c r="W631" s="1114"/>
    </row>
    <row r="632" spans="1:23" ht="15.6" hidden="1" customHeight="1" thickBot="1" x14ac:dyDescent="0.3">
      <c r="A632" s="1168"/>
      <c r="B632" s="659" t="s">
        <v>2247</v>
      </c>
      <c r="C632" s="1465">
        <f>C629-C630</f>
        <v>0</v>
      </c>
      <c r="D632" s="656"/>
      <c r="E632" s="1465">
        <f>E629-E630</f>
        <v>0</v>
      </c>
      <c r="F632" s="656"/>
      <c r="G632" s="1465">
        <f>G629-G630</f>
        <v>0</v>
      </c>
      <c r="H632" s="656"/>
      <c r="I632" s="1465">
        <f>I629-I630</f>
        <v>0</v>
      </c>
      <c r="J632" s="657"/>
      <c r="K632" s="1465">
        <f>K629-K630</f>
        <v>0</v>
      </c>
      <c r="L632" s="664"/>
      <c r="M632" s="1483">
        <f>K632-K433</f>
        <v>0</v>
      </c>
      <c r="N632" s="1133"/>
      <c r="O632" s="1133"/>
      <c r="P632" s="1104"/>
      <c r="S632" s="1102"/>
      <c r="T632" s="1102"/>
      <c r="U632" s="1102"/>
      <c r="V632" s="230"/>
      <c r="W632" s="1114"/>
    </row>
    <row r="633" spans="1:23" ht="15.6" hidden="1" customHeight="1" thickTop="1" x14ac:dyDescent="0.25">
      <c r="A633" s="1168"/>
      <c r="B633" s="655"/>
      <c r="C633" s="655"/>
      <c r="D633" s="656"/>
      <c r="E633" s="655"/>
      <c r="F633" s="656"/>
      <c r="G633" s="656"/>
      <c r="H633" s="656"/>
      <c r="I633" s="657"/>
      <c r="J633" s="657"/>
      <c r="K633" s="657"/>
      <c r="L633" s="664"/>
      <c r="N633" s="1133"/>
      <c r="O633" s="1133"/>
      <c r="P633" s="1104"/>
      <c r="S633" s="1102"/>
      <c r="T633" s="1102"/>
      <c r="U633" s="1102"/>
    </row>
    <row r="634" spans="1:23" ht="15.6" hidden="1" customHeight="1" x14ac:dyDescent="0.25">
      <c r="B634" s="229" t="s">
        <v>2266</v>
      </c>
      <c r="C634" s="881"/>
      <c r="D634" s="48"/>
      <c r="E634" s="881"/>
      <c r="F634" s="48"/>
      <c r="G634" s="881"/>
      <c r="H634" s="48"/>
      <c r="I634" s="881"/>
      <c r="J634" s="48"/>
      <c r="K634" s="881"/>
      <c r="N634" s="1134"/>
      <c r="O634" s="1134"/>
      <c r="P634" s="1104"/>
      <c r="S634" s="1102"/>
      <c r="T634" s="1102"/>
      <c r="U634" s="1102"/>
    </row>
    <row r="635" spans="1:23" ht="15.6" hidden="1" customHeight="1" x14ac:dyDescent="0.25">
      <c r="B635" s="48" t="s">
        <v>2245</v>
      </c>
      <c r="C635" s="186">
        <v>0</v>
      </c>
      <c r="D635" s="199"/>
      <c r="E635" s="227">
        <v>0</v>
      </c>
      <c r="F635" s="199"/>
      <c r="G635" s="227">
        <v>0</v>
      </c>
      <c r="H635" s="199"/>
      <c r="I635" s="186">
        <v>0</v>
      </c>
      <c r="J635" s="199"/>
      <c r="K635" s="186">
        <f>SUM(C635:J635)</f>
        <v>0</v>
      </c>
      <c r="M635" s="1483">
        <f>K635-G434</f>
        <v>0</v>
      </c>
      <c r="N635" s="1133"/>
      <c r="O635" s="1133"/>
      <c r="T635" s="1102"/>
      <c r="U635" s="1102"/>
    </row>
    <row r="636" spans="1:23" ht="15.6" hidden="1" customHeight="1" x14ac:dyDescent="0.25">
      <c r="B636" s="48" t="s">
        <v>2246</v>
      </c>
      <c r="C636" s="227">
        <v>0</v>
      </c>
      <c r="E636" s="227">
        <v>0</v>
      </c>
      <c r="G636" s="227">
        <v>0</v>
      </c>
      <c r="I636" s="227">
        <v>0</v>
      </c>
      <c r="J636" s="200"/>
      <c r="K636" s="186">
        <f>SUM(C636:J636)</f>
        <v>0</v>
      </c>
      <c r="L636" s="210"/>
      <c r="M636" s="1483">
        <f>K636-I434</f>
        <v>0</v>
      </c>
      <c r="N636" s="1133"/>
      <c r="O636" s="1133"/>
      <c r="P636" s="1104"/>
      <c r="S636" s="1102"/>
      <c r="T636" s="1102"/>
      <c r="U636" s="1102"/>
    </row>
    <row r="637" spans="1:23" ht="15.6" hidden="1" customHeight="1" x14ac:dyDescent="0.25">
      <c r="C637" s="185"/>
      <c r="E637" s="185"/>
      <c r="G637" s="689"/>
      <c r="I637" s="978"/>
      <c r="J637" s="200"/>
      <c r="K637" s="978"/>
      <c r="L637" s="210"/>
      <c r="N637" s="1133"/>
      <c r="O637" s="1133"/>
      <c r="P637" s="1104"/>
      <c r="S637" s="1102"/>
      <c r="T637" s="1102"/>
      <c r="U637" s="1102"/>
    </row>
    <row r="638" spans="1:23" ht="15.6" hidden="1" customHeight="1" thickBot="1" x14ac:dyDescent="0.3">
      <c r="B638" s="50" t="s">
        <v>2247</v>
      </c>
      <c r="C638" s="690">
        <f>C635-C636</f>
        <v>0</v>
      </c>
      <c r="E638" s="690">
        <f>E635-E636</f>
        <v>0</v>
      </c>
      <c r="G638" s="690">
        <f>G635-G636</f>
        <v>0</v>
      </c>
      <c r="I638" s="690">
        <f>I635-I636</f>
        <v>0</v>
      </c>
      <c r="J638" s="200"/>
      <c r="K638" s="690">
        <f>K635-K636</f>
        <v>0</v>
      </c>
      <c r="L638" s="210"/>
      <c r="M638" s="1483">
        <f>K638-K434</f>
        <v>0</v>
      </c>
      <c r="N638" s="1133"/>
      <c r="O638" s="1133"/>
      <c r="P638" s="1104"/>
      <c r="S638" s="1102"/>
      <c r="T638" s="1102"/>
      <c r="U638" s="1102"/>
    </row>
    <row r="639" spans="1:23" ht="15.6" hidden="1" customHeight="1" thickTop="1" x14ac:dyDescent="0.25">
      <c r="I639" s="200"/>
      <c r="J639" s="200"/>
      <c r="K639" s="200"/>
      <c r="L639" s="210"/>
      <c r="N639" s="1133"/>
      <c r="O639" s="1133"/>
      <c r="P639" s="1104"/>
      <c r="S639" s="1102"/>
      <c r="T639" s="1102"/>
      <c r="U639" s="1102"/>
    </row>
    <row r="640" spans="1:23" ht="15.6" hidden="1" customHeight="1" x14ac:dyDescent="0.25">
      <c r="B640" s="229" t="s">
        <v>2267</v>
      </c>
      <c r="C640" s="881"/>
      <c r="D640" s="48"/>
      <c r="E640" s="881"/>
      <c r="F640" s="48"/>
      <c r="G640" s="881"/>
      <c r="H640" s="48"/>
      <c r="I640" s="881"/>
      <c r="J640" s="48"/>
      <c r="K640" s="881"/>
      <c r="N640" s="1134"/>
      <c r="O640" s="1134"/>
      <c r="P640" s="1104"/>
      <c r="S640" s="1102"/>
      <c r="T640" s="1102"/>
      <c r="U640" s="1102"/>
    </row>
    <row r="641" spans="1:23" ht="15.6" hidden="1" customHeight="1" x14ac:dyDescent="0.25">
      <c r="B641" s="48" t="s">
        <v>2245</v>
      </c>
      <c r="C641" s="227">
        <v>0</v>
      </c>
      <c r="D641" s="199"/>
      <c r="E641" s="227">
        <v>0</v>
      </c>
      <c r="F641" s="199"/>
      <c r="G641" s="227">
        <v>0</v>
      </c>
      <c r="H641" s="199"/>
      <c r="I641" s="227">
        <v>0</v>
      </c>
      <c r="J641" s="199"/>
      <c r="K641" s="186">
        <f>SUM(C641:J641)</f>
        <v>0</v>
      </c>
      <c r="M641" s="1483">
        <f>K641-G435</f>
        <v>0</v>
      </c>
      <c r="N641" s="1133"/>
      <c r="O641" s="1133"/>
      <c r="P641" s="1104"/>
      <c r="S641" s="1102"/>
      <c r="T641" s="1102"/>
      <c r="U641" s="1102"/>
    </row>
    <row r="642" spans="1:23" ht="15.6" hidden="1" customHeight="1" x14ac:dyDescent="0.25">
      <c r="B642" s="48" t="s">
        <v>2246</v>
      </c>
      <c r="C642" s="227">
        <v>0</v>
      </c>
      <c r="E642" s="227">
        <v>0</v>
      </c>
      <c r="G642" s="227">
        <v>0</v>
      </c>
      <c r="I642" s="227">
        <v>0</v>
      </c>
      <c r="J642" s="200"/>
      <c r="K642" s="186">
        <f>SUM(C642:J642)</f>
        <v>0</v>
      </c>
      <c r="L642" s="210"/>
      <c r="M642" s="1483">
        <f>K642-I435</f>
        <v>0</v>
      </c>
      <c r="N642" s="1133"/>
      <c r="O642" s="1133"/>
      <c r="P642" s="1104"/>
      <c r="S642" s="1102"/>
      <c r="T642" s="1102"/>
      <c r="U642" s="1102"/>
    </row>
    <row r="643" spans="1:23" ht="15.6" hidden="1" customHeight="1" x14ac:dyDescent="0.25">
      <c r="C643" s="185"/>
      <c r="E643" s="185"/>
      <c r="G643" s="689"/>
      <c r="I643" s="978"/>
      <c r="J643" s="200"/>
      <c r="K643" s="978"/>
      <c r="L643" s="210"/>
      <c r="N643" s="1133"/>
      <c r="O643" s="1133"/>
      <c r="P643" s="1104"/>
      <c r="S643" s="1102"/>
      <c r="T643" s="1102"/>
      <c r="U643" s="1102"/>
    </row>
    <row r="644" spans="1:23" ht="15.6" hidden="1" customHeight="1" thickBot="1" x14ac:dyDescent="0.3">
      <c r="B644" s="50" t="s">
        <v>2247</v>
      </c>
      <c r="C644" s="690">
        <f>C641-C642</f>
        <v>0</v>
      </c>
      <c r="E644" s="690">
        <f>E641-E642</f>
        <v>0</v>
      </c>
      <c r="G644" s="690">
        <f>G641-G642</f>
        <v>0</v>
      </c>
      <c r="I644" s="690">
        <f>I641-I642</f>
        <v>0</v>
      </c>
      <c r="J644" s="200"/>
      <c r="K644" s="690">
        <f>K641-K642</f>
        <v>0</v>
      </c>
      <c r="L644" s="210"/>
      <c r="M644" s="1483">
        <f>K644-K435</f>
        <v>0</v>
      </c>
      <c r="N644" s="1133"/>
      <c r="O644" s="1133"/>
      <c r="T644" s="1102"/>
      <c r="U644" s="1102"/>
    </row>
    <row r="645" spans="1:23" ht="15.6" hidden="1" customHeight="1" thickTop="1" x14ac:dyDescent="0.25">
      <c r="I645" s="200"/>
      <c r="J645" s="200"/>
      <c r="K645" s="200"/>
      <c r="L645" s="210"/>
      <c r="N645" s="1133"/>
      <c r="O645" s="1133"/>
      <c r="T645" s="1102"/>
      <c r="U645" s="1102"/>
    </row>
    <row r="646" spans="1:23" ht="15.6" hidden="1" customHeight="1" x14ac:dyDescent="0.25">
      <c r="A646" s="1168"/>
      <c r="B646" s="1456" t="s">
        <v>3975</v>
      </c>
      <c r="C646" s="1462"/>
      <c r="D646" s="655"/>
      <c r="E646" s="1462"/>
      <c r="F646" s="655"/>
      <c r="G646" s="1462"/>
      <c r="H646" s="655"/>
      <c r="I646" s="1462"/>
      <c r="J646" s="655"/>
      <c r="K646" s="1462"/>
      <c r="L646" s="655"/>
      <c r="N646" s="1134"/>
      <c r="O646" s="1134"/>
      <c r="P646" s="1104"/>
      <c r="S646" s="1102"/>
      <c r="T646" s="1102"/>
      <c r="U646" s="1102"/>
    </row>
    <row r="647" spans="1:23" ht="15.6" hidden="1" customHeight="1" x14ac:dyDescent="0.2">
      <c r="A647" s="1168"/>
      <c r="B647" s="655" t="s">
        <v>2245</v>
      </c>
      <c r="C647" s="1417">
        <v>0</v>
      </c>
      <c r="D647" s="661"/>
      <c r="E647" s="1417">
        <v>0</v>
      </c>
      <c r="F647" s="661"/>
      <c r="G647" s="1417">
        <v>0</v>
      </c>
      <c r="H647" s="661"/>
      <c r="I647" s="1417">
        <v>0</v>
      </c>
      <c r="J647" s="661"/>
      <c r="K647" s="673">
        <f>SUM(C647:J647)</f>
        <v>0</v>
      </c>
      <c r="L647" s="655"/>
      <c r="M647" s="1483">
        <f>K647-G436</f>
        <v>0</v>
      </c>
      <c r="N647" s="1133"/>
      <c r="O647" s="1133"/>
      <c r="T647" s="1102"/>
      <c r="U647" s="1102"/>
      <c r="V647" s="230"/>
      <c r="W647" s="1114"/>
    </row>
    <row r="648" spans="1:23" ht="15.6" hidden="1" customHeight="1" x14ac:dyDescent="0.25">
      <c r="A648" s="1168"/>
      <c r="B648" s="655" t="s">
        <v>2246</v>
      </c>
      <c r="C648" s="1417">
        <v>0</v>
      </c>
      <c r="D648" s="656"/>
      <c r="E648" s="1417">
        <v>0</v>
      </c>
      <c r="F648" s="656"/>
      <c r="G648" s="1417">
        <v>0</v>
      </c>
      <c r="H648" s="656"/>
      <c r="I648" s="1417">
        <v>0</v>
      </c>
      <c r="J648" s="657"/>
      <c r="K648" s="673">
        <f>SUM(C648:J648)</f>
        <v>0</v>
      </c>
      <c r="L648" s="664"/>
      <c r="M648" s="1483">
        <f>K648-I436</f>
        <v>0</v>
      </c>
      <c r="N648" s="1133"/>
      <c r="O648" s="1133"/>
      <c r="P648" s="1104"/>
      <c r="S648" s="1102"/>
      <c r="T648" s="1102"/>
      <c r="U648" s="1102"/>
      <c r="V648" s="230"/>
      <c r="W648" s="1114"/>
    </row>
    <row r="649" spans="1:23" ht="15.6" hidden="1" customHeight="1" x14ac:dyDescent="0.25">
      <c r="A649" s="1168"/>
      <c r="B649" s="655"/>
      <c r="C649" s="1232"/>
      <c r="D649" s="656"/>
      <c r="E649" s="1232"/>
      <c r="F649" s="656"/>
      <c r="G649" s="1463"/>
      <c r="H649" s="656"/>
      <c r="I649" s="1464"/>
      <c r="J649" s="657"/>
      <c r="K649" s="1464"/>
      <c r="L649" s="664"/>
      <c r="N649" s="1133"/>
      <c r="O649" s="1133"/>
      <c r="P649" s="1104"/>
      <c r="S649" s="1102"/>
      <c r="T649" s="1102"/>
      <c r="U649" s="1102"/>
    </row>
    <row r="650" spans="1:23" ht="15.6" hidden="1" customHeight="1" thickBot="1" x14ac:dyDescent="0.3">
      <c r="A650" s="1168"/>
      <c r="B650" s="659" t="s">
        <v>2247</v>
      </c>
      <c r="C650" s="1465">
        <f>C647-C648</f>
        <v>0</v>
      </c>
      <c r="D650" s="656"/>
      <c r="E650" s="1465">
        <f>E647-E648</f>
        <v>0</v>
      </c>
      <c r="F650" s="656"/>
      <c r="G650" s="1465">
        <f>G647-G648</f>
        <v>0</v>
      </c>
      <c r="H650" s="656"/>
      <c r="I650" s="1465">
        <f>I647-I648</f>
        <v>0</v>
      </c>
      <c r="J650" s="657"/>
      <c r="K650" s="1465">
        <f>K647-K648</f>
        <v>0</v>
      </c>
      <c r="L650" s="664"/>
      <c r="M650" s="1483">
        <f>K650-K436</f>
        <v>0</v>
      </c>
      <c r="N650" s="1133"/>
      <c r="O650" s="1133"/>
      <c r="P650" s="1104"/>
      <c r="S650" s="1102"/>
      <c r="T650" s="1102"/>
      <c r="U650" s="1102"/>
    </row>
    <row r="651" spans="1:23" ht="15.6" hidden="1" customHeight="1" thickTop="1" x14ac:dyDescent="0.25">
      <c r="A651" s="1168"/>
      <c r="B651" s="655"/>
      <c r="C651" s="655"/>
      <c r="D651" s="656"/>
      <c r="E651" s="655"/>
      <c r="F651" s="656"/>
      <c r="G651" s="656"/>
      <c r="H651" s="656"/>
      <c r="I651" s="657"/>
      <c r="J651" s="657"/>
      <c r="K651" s="657"/>
      <c r="L651" s="664"/>
      <c r="N651" s="1133"/>
      <c r="O651" s="1133"/>
      <c r="P651" s="1104"/>
      <c r="S651" s="1102"/>
      <c r="T651" s="1102"/>
      <c r="U651" s="1102"/>
    </row>
    <row r="652" spans="1:23" ht="15.6" hidden="1" customHeight="1" x14ac:dyDescent="0.25">
      <c r="B652" s="229" t="s">
        <v>3976</v>
      </c>
      <c r="C652" s="881"/>
      <c r="D652" s="48"/>
      <c r="E652" s="881"/>
      <c r="F652" s="48"/>
      <c r="G652" s="881"/>
      <c r="H652" s="48"/>
      <c r="I652" s="881"/>
      <c r="J652" s="48"/>
      <c r="K652" s="881"/>
      <c r="N652" s="1134"/>
      <c r="O652" s="1134"/>
      <c r="P652" s="1104"/>
      <c r="S652" s="1102"/>
      <c r="T652" s="1102"/>
      <c r="U652" s="1102"/>
    </row>
    <row r="653" spans="1:23" ht="15.6" hidden="1" customHeight="1" x14ac:dyDescent="0.25">
      <c r="B653" s="48" t="s">
        <v>2245</v>
      </c>
      <c r="C653" s="227">
        <v>0</v>
      </c>
      <c r="D653" s="199"/>
      <c r="E653" s="227">
        <v>0</v>
      </c>
      <c r="F653" s="199"/>
      <c r="G653" s="227">
        <v>0</v>
      </c>
      <c r="H653" s="199"/>
      <c r="I653" s="227">
        <v>0</v>
      </c>
      <c r="J653" s="199"/>
      <c r="K653" s="186">
        <f>SUM(C653:J653)</f>
        <v>0</v>
      </c>
      <c r="M653" s="1483">
        <f>K653-G437</f>
        <v>0</v>
      </c>
      <c r="N653" s="1133"/>
      <c r="O653" s="1133"/>
      <c r="T653" s="1102"/>
      <c r="U653" s="1102"/>
    </row>
    <row r="654" spans="1:23" ht="15.6" hidden="1" customHeight="1" x14ac:dyDescent="0.25">
      <c r="B654" s="48" t="s">
        <v>2246</v>
      </c>
      <c r="C654" s="227">
        <v>0</v>
      </c>
      <c r="E654" s="227">
        <v>0</v>
      </c>
      <c r="G654" s="227">
        <v>0</v>
      </c>
      <c r="I654" s="227">
        <v>0</v>
      </c>
      <c r="J654" s="200"/>
      <c r="K654" s="186">
        <f>SUM(C654:J654)</f>
        <v>0</v>
      </c>
      <c r="L654" s="210"/>
      <c r="M654" s="1483">
        <f>K654-I437</f>
        <v>0</v>
      </c>
      <c r="N654" s="1133"/>
      <c r="O654" s="1133"/>
      <c r="P654" s="1104"/>
      <c r="S654" s="1102"/>
      <c r="T654" s="1102"/>
      <c r="U654" s="1102"/>
    </row>
    <row r="655" spans="1:23" ht="15.6" hidden="1" customHeight="1" x14ac:dyDescent="0.25">
      <c r="C655" s="185"/>
      <c r="E655" s="185"/>
      <c r="G655" s="689"/>
      <c r="I655" s="978"/>
      <c r="J655" s="200"/>
      <c r="K655" s="978"/>
      <c r="L655" s="210"/>
      <c r="N655" s="1133"/>
      <c r="O655" s="1133"/>
      <c r="P655" s="1104"/>
      <c r="S655" s="1102"/>
      <c r="T655" s="1102"/>
      <c r="U655" s="1102"/>
    </row>
    <row r="656" spans="1:23" ht="15.6" hidden="1" customHeight="1" thickBot="1" x14ac:dyDescent="0.3">
      <c r="B656" s="50" t="s">
        <v>2247</v>
      </c>
      <c r="C656" s="690">
        <f>C653-C654</f>
        <v>0</v>
      </c>
      <c r="E656" s="690">
        <f>E653-E654</f>
        <v>0</v>
      </c>
      <c r="G656" s="690">
        <f>G653-G654</f>
        <v>0</v>
      </c>
      <c r="I656" s="690">
        <f>I653-I654</f>
        <v>0</v>
      </c>
      <c r="J656" s="200"/>
      <c r="K656" s="690">
        <f>K653-K654</f>
        <v>0</v>
      </c>
      <c r="L656" s="210"/>
      <c r="M656" s="1483">
        <f>K656-K437</f>
        <v>0</v>
      </c>
      <c r="N656" s="1133"/>
      <c r="O656" s="1133"/>
      <c r="P656" s="1104"/>
      <c r="S656" s="1102"/>
      <c r="T656" s="1102"/>
      <c r="U656" s="1102"/>
    </row>
    <row r="657" spans="1:21" ht="15.6" hidden="1" customHeight="1" thickTop="1" x14ac:dyDescent="0.25">
      <c r="I657" s="200"/>
      <c r="J657" s="200"/>
      <c r="K657" s="200"/>
      <c r="L657" s="210"/>
      <c r="N657" s="1133"/>
      <c r="O657" s="1133"/>
      <c r="P657" s="1104"/>
      <c r="S657" s="1102"/>
      <c r="T657" s="1102"/>
      <c r="U657" s="1102"/>
    </row>
    <row r="658" spans="1:21" ht="15.6" hidden="1" customHeight="1" x14ac:dyDescent="0.25">
      <c r="B658" s="229" t="s">
        <v>2264</v>
      </c>
      <c r="C658" s="881"/>
      <c r="D658" s="48"/>
      <c r="E658" s="881"/>
      <c r="F658" s="48"/>
      <c r="G658" s="881"/>
      <c r="H658" s="48"/>
      <c r="I658" s="881"/>
      <c r="J658" s="48"/>
      <c r="K658" s="881"/>
      <c r="N658" s="1134"/>
      <c r="O658" s="1134"/>
      <c r="P658" s="1104"/>
      <c r="S658" s="1102"/>
      <c r="T658" s="1102"/>
      <c r="U658" s="1102"/>
    </row>
    <row r="659" spans="1:21" ht="15.6" hidden="1" customHeight="1" x14ac:dyDescent="0.25">
      <c r="B659" s="48" t="s">
        <v>2245</v>
      </c>
      <c r="C659" s="227">
        <v>0</v>
      </c>
      <c r="D659" s="199"/>
      <c r="E659" s="227">
        <v>0</v>
      </c>
      <c r="F659" s="199"/>
      <c r="G659" s="227">
        <v>0</v>
      </c>
      <c r="H659" s="199"/>
      <c r="I659" s="227">
        <v>0</v>
      </c>
      <c r="J659" s="199"/>
      <c r="K659" s="186">
        <f>SUM(C659:J659)</f>
        <v>0</v>
      </c>
      <c r="M659" s="1483">
        <f>K659-G438</f>
        <v>0</v>
      </c>
      <c r="N659" s="1133"/>
      <c r="O659" s="1133"/>
      <c r="T659" s="1102"/>
      <c r="U659" s="1102"/>
    </row>
    <row r="660" spans="1:21" ht="15.6" hidden="1" customHeight="1" x14ac:dyDescent="0.25">
      <c r="B660" s="48" t="s">
        <v>2246</v>
      </c>
      <c r="C660" s="227">
        <v>0</v>
      </c>
      <c r="E660" s="227">
        <v>0</v>
      </c>
      <c r="G660" s="227">
        <v>0</v>
      </c>
      <c r="I660" s="227">
        <v>0</v>
      </c>
      <c r="J660" s="200"/>
      <c r="K660" s="186">
        <f>SUM(C660:J660)</f>
        <v>0</v>
      </c>
      <c r="L660" s="210"/>
      <c r="M660" s="1483">
        <f>K660-I438</f>
        <v>0</v>
      </c>
      <c r="N660" s="1133"/>
      <c r="O660" s="1133"/>
      <c r="P660" s="1104"/>
      <c r="S660" s="1102"/>
      <c r="T660" s="1102"/>
      <c r="U660" s="1102"/>
    </row>
    <row r="661" spans="1:21" ht="15.6" hidden="1" customHeight="1" x14ac:dyDescent="0.25">
      <c r="C661" s="185"/>
      <c r="E661" s="185"/>
      <c r="G661" s="689"/>
      <c r="I661" s="978"/>
      <c r="J661" s="200"/>
      <c r="K661" s="978"/>
      <c r="L661" s="210"/>
      <c r="N661" s="1133"/>
      <c r="O661" s="1133"/>
      <c r="P661" s="1104"/>
      <c r="S661" s="1102"/>
      <c r="T661" s="1102"/>
      <c r="U661" s="1102"/>
    </row>
    <row r="662" spans="1:21" ht="15.6" hidden="1" customHeight="1" thickBot="1" x14ac:dyDescent="0.3">
      <c r="B662" s="50" t="s">
        <v>2247</v>
      </c>
      <c r="C662" s="690">
        <f>C659-C660</f>
        <v>0</v>
      </c>
      <c r="E662" s="690">
        <f>E659-E660</f>
        <v>0</v>
      </c>
      <c r="G662" s="690">
        <f>G659-G660</f>
        <v>0</v>
      </c>
      <c r="I662" s="690">
        <f>I659-I660</f>
        <v>0</v>
      </c>
      <c r="J662" s="200"/>
      <c r="K662" s="690">
        <f>K659-K660</f>
        <v>0</v>
      </c>
      <c r="L662" s="210"/>
      <c r="M662" s="1483">
        <f>K662-K438</f>
        <v>0</v>
      </c>
      <c r="N662" s="1133"/>
      <c r="O662" s="1133"/>
      <c r="P662" s="1104"/>
      <c r="S662" s="1102"/>
      <c r="T662" s="1102"/>
      <c r="U662" s="1102"/>
    </row>
    <row r="663" spans="1:21" ht="15.6" hidden="1" customHeight="1" thickTop="1" x14ac:dyDescent="0.25">
      <c r="I663" s="200"/>
      <c r="J663" s="200"/>
      <c r="K663" s="200"/>
      <c r="L663" s="210"/>
      <c r="N663" s="1133"/>
      <c r="O663" s="1133"/>
      <c r="P663" s="1104"/>
      <c r="S663" s="1102"/>
      <c r="T663" s="1102"/>
      <c r="U663" s="1102"/>
    </row>
    <row r="664" spans="1:21" ht="15.6" hidden="1" customHeight="1" x14ac:dyDescent="0.25">
      <c r="A664" s="1168"/>
      <c r="B664" s="1456" t="s">
        <v>3977</v>
      </c>
      <c r="C664" s="1462"/>
      <c r="D664" s="655"/>
      <c r="E664" s="1462"/>
      <c r="F664" s="655"/>
      <c r="G664" s="1462"/>
      <c r="H664" s="655"/>
      <c r="I664" s="1462"/>
      <c r="J664" s="655"/>
      <c r="K664" s="1462"/>
      <c r="L664" s="655"/>
      <c r="N664" s="1134"/>
      <c r="O664" s="1134"/>
      <c r="P664" s="1104"/>
      <c r="S664" s="1102"/>
      <c r="T664" s="1102"/>
      <c r="U664" s="1102"/>
    </row>
    <row r="665" spans="1:21" ht="15.6" hidden="1" customHeight="1" x14ac:dyDescent="0.25">
      <c r="A665" s="1168"/>
      <c r="B665" s="655" t="s">
        <v>2245</v>
      </c>
      <c r="C665" s="1417">
        <v>0</v>
      </c>
      <c r="D665" s="661"/>
      <c r="E665" s="1417">
        <v>0</v>
      </c>
      <c r="F665" s="661"/>
      <c r="G665" s="1417">
        <v>0</v>
      </c>
      <c r="H665" s="661"/>
      <c r="I665" s="1417">
        <v>0</v>
      </c>
      <c r="J665" s="661"/>
      <c r="K665" s="673">
        <f>SUM(C665:J665)</f>
        <v>0</v>
      </c>
      <c r="L665" s="655"/>
      <c r="M665" s="1483">
        <f>K665-G439</f>
        <v>0</v>
      </c>
      <c r="N665" s="1133"/>
      <c r="O665" s="1133"/>
      <c r="T665" s="1102"/>
      <c r="U665" s="1102"/>
    </row>
    <row r="666" spans="1:21" ht="15.6" hidden="1" customHeight="1" x14ac:dyDescent="0.25">
      <c r="A666" s="1168"/>
      <c r="B666" s="655" t="s">
        <v>2246</v>
      </c>
      <c r="C666" s="1417">
        <v>0</v>
      </c>
      <c r="D666" s="656"/>
      <c r="E666" s="1417">
        <v>0</v>
      </c>
      <c r="F666" s="656"/>
      <c r="G666" s="1417">
        <v>0</v>
      </c>
      <c r="H666" s="656"/>
      <c r="I666" s="1417">
        <v>0</v>
      </c>
      <c r="J666" s="657"/>
      <c r="K666" s="673">
        <f>SUM(C666:J666)</f>
        <v>0</v>
      </c>
      <c r="L666" s="664"/>
      <c r="M666" s="1483">
        <f>K666-I439</f>
        <v>0</v>
      </c>
      <c r="N666" s="1133"/>
      <c r="O666" s="1133"/>
      <c r="P666" s="1104"/>
      <c r="S666" s="1102"/>
      <c r="T666" s="1102"/>
      <c r="U666" s="1102"/>
    </row>
    <row r="667" spans="1:21" ht="15.6" hidden="1" customHeight="1" x14ac:dyDescent="0.25">
      <c r="A667" s="1168"/>
      <c r="B667" s="655"/>
      <c r="C667" s="1232"/>
      <c r="D667" s="656"/>
      <c r="E667" s="1232"/>
      <c r="F667" s="656"/>
      <c r="G667" s="1463"/>
      <c r="H667" s="656"/>
      <c r="I667" s="1464"/>
      <c r="J667" s="657"/>
      <c r="K667" s="1464"/>
      <c r="L667" s="664"/>
      <c r="N667" s="1133"/>
      <c r="O667" s="1133"/>
      <c r="P667" s="1104"/>
      <c r="S667" s="1102"/>
      <c r="T667" s="1102"/>
      <c r="U667" s="1102"/>
    </row>
    <row r="668" spans="1:21" ht="15.6" hidden="1" customHeight="1" thickBot="1" x14ac:dyDescent="0.3">
      <c r="A668" s="1168"/>
      <c r="B668" s="659" t="s">
        <v>2247</v>
      </c>
      <c r="C668" s="1465">
        <f>C665-C666</f>
        <v>0</v>
      </c>
      <c r="D668" s="656"/>
      <c r="E668" s="1465">
        <f>E665-E666</f>
        <v>0</v>
      </c>
      <c r="F668" s="656"/>
      <c r="G668" s="1465">
        <f>G665-G666</f>
        <v>0</v>
      </c>
      <c r="H668" s="656"/>
      <c r="I668" s="1465">
        <f>I665-I666</f>
        <v>0</v>
      </c>
      <c r="J668" s="657"/>
      <c r="K668" s="1465">
        <f>K665-K666</f>
        <v>0</v>
      </c>
      <c r="L668" s="664"/>
      <c r="M668" s="1483">
        <f>K668-K439</f>
        <v>0</v>
      </c>
      <c r="N668" s="1133"/>
      <c r="O668" s="1133"/>
      <c r="P668" s="1104"/>
      <c r="S668" s="1102"/>
      <c r="T668" s="1102"/>
      <c r="U668" s="1102"/>
    </row>
    <row r="669" spans="1:21" ht="15.6" hidden="1" customHeight="1" thickTop="1" x14ac:dyDescent="0.25">
      <c r="A669" s="1168"/>
      <c r="B669" s="655"/>
      <c r="C669" s="655"/>
      <c r="D669" s="656"/>
      <c r="E669" s="655"/>
      <c r="F669" s="656"/>
      <c r="G669" s="656"/>
      <c r="H669" s="656"/>
      <c r="I669" s="657"/>
      <c r="J669" s="657"/>
      <c r="K669" s="657"/>
      <c r="L669" s="664"/>
      <c r="N669" s="1133"/>
      <c r="O669" s="1133"/>
      <c r="P669" s="1104"/>
      <c r="S669" s="1102"/>
      <c r="T669" s="1102"/>
      <c r="U669" s="1102"/>
    </row>
    <row r="670" spans="1:21" ht="15.6" hidden="1" customHeight="1" x14ac:dyDescent="0.25">
      <c r="A670" s="1168"/>
      <c r="B670" s="1456" t="s">
        <v>2268</v>
      </c>
      <c r="C670" s="1462"/>
      <c r="D670" s="655"/>
      <c r="E670" s="1462"/>
      <c r="F670" s="655"/>
      <c r="G670" s="1462"/>
      <c r="H670" s="655"/>
      <c r="I670" s="1462"/>
      <c r="J670" s="655"/>
      <c r="K670" s="1462"/>
      <c r="L670" s="655"/>
      <c r="N670" s="1134"/>
      <c r="O670" s="1134"/>
      <c r="P670" s="1104"/>
      <c r="S670" s="1102"/>
      <c r="T670" s="1102"/>
      <c r="U670" s="1102"/>
    </row>
    <row r="671" spans="1:21" ht="15.6" hidden="1" customHeight="1" x14ac:dyDescent="0.25">
      <c r="A671" s="1168"/>
      <c r="B671" s="655" t="s">
        <v>2245</v>
      </c>
      <c r="C671" s="1417">
        <v>0</v>
      </c>
      <c r="D671" s="661"/>
      <c r="E671" s="1417">
        <v>0</v>
      </c>
      <c r="F671" s="661"/>
      <c r="G671" s="1417">
        <v>0</v>
      </c>
      <c r="H671" s="661"/>
      <c r="I671" s="1417">
        <v>0</v>
      </c>
      <c r="J671" s="661"/>
      <c r="K671" s="673">
        <f>SUM(C671:J671)</f>
        <v>0</v>
      </c>
      <c r="L671" s="655"/>
      <c r="M671" s="1483">
        <f>K671-G440</f>
        <v>0</v>
      </c>
      <c r="N671" s="1133"/>
      <c r="O671" s="1133"/>
      <c r="T671" s="1102"/>
      <c r="U671" s="1102"/>
    </row>
    <row r="672" spans="1:21" ht="15.6" hidden="1" customHeight="1" x14ac:dyDescent="0.25">
      <c r="A672" s="1168"/>
      <c r="B672" s="655" t="s">
        <v>2246</v>
      </c>
      <c r="C672" s="1417">
        <v>0</v>
      </c>
      <c r="D672" s="656"/>
      <c r="E672" s="1417">
        <v>0</v>
      </c>
      <c r="F672" s="656"/>
      <c r="G672" s="1417">
        <v>0</v>
      </c>
      <c r="H672" s="656"/>
      <c r="I672" s="1417">
        <v>0</v>
      </c>
      <c r="J672" s="657"/>
      <c r="K672" s="673">
        <f>SUM(C672:J672)</f>
        <v>0</v>
      </c>
      <c r="L672" s="664"/>
      <c r="M672" s="1483">
        <f>K672-I440</f>
        <v>0</v>
      </c>
      <c r="N672" s="1133"/>
      <c r="O672" s="1133"/>
      <c r="P672" s="1104"/>
      <c r="S672" s="1102"/>
      <c r="T672" s="1102"/>
      <c r="U672" s="1102"/>
    </row>
    <row r="673" spans="1:21" ht="15.6" hidden="1" customHeight="1" x14ac:dyDescent="0.25">
      <c r="A673" s="1168"/>
      <c r="B673" s="655"/>
      <c r="C673" s="1232"/>
      <c r="D673" s="656"/>
      <c r="E673" s="1232"/>
      <c r="F673" s="656"/>
      <c r="G673" s="1463"/>
      <c r="H673" s="656"/>
      <c r="I673" s="1464"/>
      <c r="J673" s="657"/>
      <c r="K673" s="1464"/>
      <c r="L673" s="664"/>
      <c r="N673" s="1133"/>
      <c r="O673" s="1133"/>
      <c r="P673" s="1104"/>
      <c r="S673" s="1102"/>
      <c r="T673" s="1102"/>
      <c r="U673" s="1102"/>
    </row>
    <row r="674" spans="1:21" ht="15.6" hidden="1" customHeight="1" thickBot="1" x14ac:dyDescent="0.3">
      <c r="A674" s="1168"/>
      <c r="B674" s="659" t="s">
        <v>2247</v>
      </c>
      <c r="C674" s="1465">
        <f>C671-C672</f>
        <v>0</v>
      </c>
      <c r="D674" s="656"/>
      <c r="E674" s="1465">
        <f>E671-E672</f>
        <v>0</v>
      </c>
      <c r="F674" s="656"/>
      <c r="G674" s="1465">
        <f>G671-G672</f>
        <v>0</v>
      </c>
      <c r="H674" s="656"/>
      <c r="I674" s="1465">
        <f>I671-I672</f>
        <v>0</v>
      </c>
      <c r="J674" s="657"/>
      <c r="K674" s="1465">
        <f>K671-K672</f>
        <v>0</v>
      </c>
      <c r="L674" s="664"/>
      <c r="M674" s="1483">
        <f>K674-K440</f>
        <v>0</v>
      </c>
      <c r="N674" s="1133"/>
      <c r="O674" s="1133"/>
      <c r="P674" s="1104"/>
      <c r="S674" s="1102"/>
      <c r="T674" s="1102"/>
      <c r="U674" s="1102"/>
    </row>
    <row r="675" spans="1:21" ht="15.6" hidden="1" customHeight="1" thickTop="1" x14ac:dyDescent="0.25">
      <c r="A675" s="1168"/>
      <c r="B675" s="655"/>
      <c r="C675" s="655"/>
      <c r="D675" s="656"/>
      <c r="E675" s="655"/>
      <c r="F675" s="656"/>
      <c r="G675" s="656"/>
      <c r="H675" s="656"/>
      <c r="I675" s="657"/>
      <c r="J675" s="657"/>
      <c r="K675" s="657"/>
      <c r="L675" s="664"/>
      <c r="N675" s="1133"/>
      <c r="O675" s="1133"/>
      <c r="P675" s="1104"/>
      <c r="S675" s="1102"/>
      <c r="T675" s="1102"/>
      <c r="U675" s="1102"/>
    </row>
    <row r="676" spans="1:21" ht="15.6" hidden="1" customHeight="1" x14ac:dyDescent="0.25">
      <c r="A676" s="1168"/>
      <c r="B676" s="1456" t="s">
        <v>2269</v>
      </c>
      <c r="C676" s="1462"/>
      <c r="D676" s="655"/>
      <c r="E676" s="1462"/>
      <c r="F676" s="655"/>
      <c r="G676" s="1462"/>
      <c r="H676" s="655"/>
      <c r="I676" s="1462"/>
      <c r="J676" s="655"/>
      <c r="K676" s="1462"/>
      <c r="L676" s="655"/>
      <c r="N676" s="1134"/>
      <c r="O676" s="1134"/>
      <c r="P676" s="1104"/>
      <c r="S676" s="1102"/>
      <c r="T676" s="1102"/>
      <c r="U676" s="1102"/>
    </row>
    <row r="677" spans="1:21" ht="15.6" hidden="1" customHeight="1" x14ac:dyDescent="0.25">
      <c r="A677" s="1168"/>
      <c r="B677" s="655" t="s">
        <v>2245</v>
      </c>
      <c r="C677" s="1417">
        <v>0</v>
      </c>
      <c r="D677" s="661"/>
      <c r="E677" s="1417">
        <v>0</v>
      </c>
      <c r="F677" s="661"/>
      <c r="G677" s="1417">
        <v>0</v>
      </c>
      <c r="H677" s="661"/>
      <c r="I677" s="673">
        <v>0</v>
      </c>
      <c r="J677" s="661"/>
      <c r="K677" s="673">
        <f>SUM(C677:J677)</f>
        <v>0</v>
      </c>
      <c r="L677" s="655"/>
      <c r="M677" s="1483">
        <f>K677-G441</f>
        <v>0</v>
      </c>
      <c r="N677" s="1133"/>
      <c r="O677" s="1133"/>
      <c r="P677" s="1105"/>
      <c r="S677" s="1102"/>
      <c r="T677" s="1102"/>
      <c r="U677" s="1102"/>
    </row>
    <row r="678" spans="1:21" ht="15.6" hidden="1" customHeight="1" x14ac:dyDescent="0.25">
      <c r="A678" s="1168"/>
      <c r="B678" s="655" t="s">
        <v>2246</v>
      </c>
      <c r="C678" s="1417">
        <v>0</v>
      </c>
      <c r="D678" s="656"/>
      <c r="E678" s="1417">
        <v>0</v>
      </c>
      <c r="F678" s="656"/>
      <c r="G678" s="1417">
        <v>0</v>
      </c>
      <c r="H678" s="656"/>
      <c r="I678" s="1417">
        <v>0</v>
      </c>
      <c r="J678" s="657"/>
      <c r="K678" s="673">
        <f>SUM(C678:J678)</f>
        <v>0</v>
      </c>
      <c r="L678" s="664"/>
      <c r="M678" s="1483">
        <f>K678-I441</f>
        <v>0</v>
      </c>
      <c r="N678" s="1133"/>
      <c r="O678" s="1133"/>
      <c r="P678" s="1104"/>
      <c r="S678" s="1102"/>
      <c r="T678" s="1102"/>
      <c r="U678" s="1102"/>
    </row>
    <row r="679" spans="1:21" ht="15.6" hidden="1" customHeight="1" x14ac:dyDescent="0.25">
      <c r="A679" s="1168"/>
      <c r="B679" s="655"/>
      <c r="C679" s="1232"/>
      <c r="D679" s="656"/>
      <c r="E679" s="1232"/>
      <c r="F679" s="656"/>
      <c r="G679" s="1463"/>
      <c r="H679" s="656"/>
      <c r="I679" s="1464"/>
      <c r="J679" s="657"/>
      <c r="K679" s="1464"/>
      <c r="L679" s="664"/>
      <c r="N679" s="1133"/>
      <c r="O679" s="1133"/>
      <c r="T679" s="1102"/>
      <c r="U679" s="1102"/>
    </row>
    <row r="680" spans="1:21" ht="15.6" hidden="1" customHeight="1" thickBot="1" x14ac:dyDescent="0.3">
      <c r="A680" s="1168"/>
      <c r="B680" s="659" t="s">
        <v>2247</v>
      </c>
      <c r="C680" s="1465">
        <f>C677-C678</f>
        <v>0</v>
      </c>
      <c r="D680" s="656"/>
      <c r="E680" s="1465">
        <f>E677-E678</f>
        <v>0</v>
      </c>
      <c r="F680" s="656"/>
      <c r="G680" s="1465">
        <f>G677-G678</f>
        <v>0</v>
      </c>
      <c r="H680" s="656"/>
      <c r="I680" s="1465">
        <f>I677-I678</f>
        <v>0</v>
      </c>
      <c r="J680" s="657"/>
      <c r="K680" s="1465">
        <f>K677-K678</f>
        <v>0</v>
      </c>
      <c r="L680" s="664"/>
      <c r="M680" s="1483">
        <f>K680-K441</f>
        <v>0</v>
      </c>
      <c r="N680" s="1133"/>
      <c r="O680" s="1133"/>
      <c r="T680" s="1102"/>
      <c r="U680" s="1102"/>
    </row>
    <row r="681" spans="1:21" ht="15.6" hidden="1" customHeight="1" thickTop="1" x14ac:dyDescent="0.25">
      <c r="A681" s="1168"/>
      <c r="B681" s="655"/>
      <c r="C681" s="655"/>
      <c r="D681" s="656"/>
      <c r="E681" s="655"/>
      <c r="F681" s="656"/>
      <c r="G681" s="656"/>
      <c r="H681" s="656"/>
      <c r="I681" s="657"/>
      <c r="J681" s="657"/>
      <c r="K681" s="657"/>
      <c r="L681" s="664"/>
      <c r="N681" s="1133"/>
      <c r="O681" s="1133"/>
      <c r="T681" s="1102"/>
      <c r="U681" s="1102"/>
    </row>
    <row r="682" spans="1:21" ht="15.6" hidden="1" customHeight="1" x14ac:dyDescent="0.25">
      <c r="A682" s="1168"/>
      <c r="B682" s="1456" t="s">
        <v>2270</v>
      </c>
      <c r="C682" s="1462"/>
      <c r="D682" s="655"/>
      <c r="E682" s="1462"/>
      <c r="F682" s="655"/>
      <c r="G682" s="1462"/>
      <c r="H682" s="655"/>
      <c r="I682" s="1462"/>
      <c r="J682" s="655"/>
      <c r="K682" s="1462"/>
      <c r="L682" s="655"/>
      <c r="N682" s="1134"/>
      <c r="O682" s="1134"/>
      <c r="T682" s="1102"/>
      <c r="U682" s="1102"/>
    </row>
    <row r="683" spans="1:21" ht="15.6" hidden="1" customHeight="1" x14ac:dyDescent="0.25">
      <c r="A683" s="1168"/>
      <c r="B683" s="655" t="s">
        <v>2245</v>
      </c>
      <c r="C683" s="1417">
        <v>0</v>
      </c>
      <c r="D683" s="661"/>
      <c r="E683" s="1417">
        <v>0</v>
      </c>
      <c r="F683" s="661"/>
      <c r="G683" s="1417">
        <v>0</v>
      </c>
      <c r="H683" s="661"/>
      <c r="I683" s="673">
        <v>0</v>
      </c>
      <c r="J683" s="661"/>
      <c r="K683" s="673">
        <f>SUM(C683:J683)</f>
        <v>0</v>
      </c>
      <c r="L683" s="655"/>
      <c r="M683" s="1483">
        <f>K683-G442</f>
        <v>0</v>
      </c>
      <c r="N683" s="1133"/>
      <c r="O683" s="1133"/>
      <c r="T683" s="1102"/>
      <c r="U683" s="1102"/>
    </row>
    <row r="684" spans="1:21" ht="15.6" hidden="1" customHeight="1" x14ac:dyDescent="0.25">
      <c r="A684" s="1168"/>
      <c r="B684" s="655" t="s">
        <v>2246</v>
      </c>
      <c r="C684" s="1417">
        <v>0</v>
      </c>
      <c r="D684" s="656"/>
      <c r="E684" s="1417">
        <v>0</v>
      </c>
      <c r="F684" s="656"/>
      <c r="G684" s="1417">
        <v>0</v>
      </c>
      <c r="H684" s="656"/>
      <c r="I684" s="1417">
        <v>0</v>
      </c>
      <c r="J684" s="657"/>
      <c r="K684" s="673">
        <f>SUM(C684:J684)</f>
        <v>0</v>
      </c>
      <c r="L684" s="664"/>
      <c r="M684" s="1483">
        <f>K684-I442</f>
        <v>0</v>
      </c>
      <c r="N684" s="1133"/>
      <c r="O684" s="1133"/>
      <c r="T684" s="1102"/>
      <c r="U684" s="1102"/>
    </row>
    <row r="685" spans="1:21" ht="15.6" hidden="1" customHeight="1" x14ac:dyDescent="0.25">
      <c r="A685" s="1168"/>
      <c r="B685" s="655"/>
      <c r="C685" s="1232"/>
      <c r="D685" s="656"/>
      <c r="E685" s="1232"/>
      <c r="F685" s="656"/>
      <c r="G685" s="1463"/>
      <c r="H685" s="656"/>
      <c r="I685" s="1464"/>
      <c r="J685" s="657"/>
      <c r="K685" s="1464"/>
      <c r="L685" s="664"/>
      <c r="N685" s="1133"/>
      <c r="O685" s="1133"/>
      <c r="T685" s="1102"/>
      <c r="U685" s="1102"/>
    </row>
    <row r="686" spans="1:21" ht="15.6" hidden="1" customHeight="1" thickBot="1" x14ac:dyDescent="0.3">
      <c r="A686" s="1168"/>
      <c r="B686" s="659" t="s">
        <v>2247</v>
      </c>
      <c r="C686" s="1465">
        <f>C683-C684</f>
        <v>0</v>
      </c>
      <c r="D686" s="656"/>
      <c r="E686" s="1465">
        <f>E683-E684</f>
        <v>0</v>
      </c>
      <c r="F686" s="656"/>
      <c r="G686" s="1465">
        <f>G683-G684</f>
        <v>0</v>
      </c>
      <c r="H686" s="656"/>
      <c r="I686" s="1465">
        <f>I683-I684</f>
        <v>0</v>
      </c>
      <c r="J686" s="657"/>
      <c r="K686" s="1465">
        <f>K683-K684</f>
        <v>0</v>
      </c>
      <c r="L686" s="664"/>
      <c r="M686" s="1483">
        <f>K686-K442</f>
        <v>0</v>
      </c>
      <c r="N686" s="1133"/>
      <c r="O686" s="1133"/>
      <c r="T686" s="1102"/>
      <c r="U686" s="1102"/>
    </row>
    <row r="687" spans="1:21" ht="15.6" hidden="1" customHeight="1" thickTop="1" x14ac:dyDescent="0.25">
      <c r="A687" s="1168"/>
      <c r="B687" s="655"/>
      <c r="C687" s="655"/>
      <c r="D687" s="656"/>
      <c r="E687" s="655"/>
      <c r="F687" s="656"/>
      <c r="G687" s="656"/>
      <c r="H687" s="656"/>
      <c r="I687" s="657"/>
      <c r="J687" s="657"/>
      <c r="K687" s="657"/>
      <c r="L687" s="664"/>
      <c r="N687" s="1133"/>
      <c r="O687" s="1133"/>
      <c r="T687" s="1102"/>
      <c r="U687" s="1102"/>
    </row>
    <row r="688" spans="1:21" ht="15.6" customHeight="1" x14ac:dyDescent="0.25">
      <c r="B688" s="2839" t="str">
        <f>"As at 30 June Receivables of R"&amp;FIXED(K698,0,FALSE)&amp;" were past due but not impaired.  The age analysis of these Receivables are as follows:"</f>
        <v>As at 30 June Receivables of R360 were past due but not impaired.  The age analysis of these Receivables are as follows:</v>
      </c>
      <c r="C688" s="2839"/>
      <c r="D688" s="2839"/>
      <c r="E688" s="2839"/>
      <c r="F688" s="2839"/>
      <c r="G688" s="2839"/>
      <c r="H688" s="2839"/>
      <c r="I688" s="2839"/>
      <c r="J688" s="2839"/>
      <c r="K688" s="2839"/>
      <c r="M688" s="1217" t="s">
        <v>2243</v>
      </c>
      <c r="O688" s="1133"/>
      <c r="R688" s="1097"/>
      <c r="T688" s="1101"/>
      <c r="U688" s="1102"/>
    </row>
    <row r="689" spans="1:21" ht="30.95" hidden="1" customHeight="1" x14ac:dyDescent="0.25">
      <c r="A689" s="1177"/>
      <c r="B689" s="2842" t="s">
        <v>2250</v>
      </c>
      <c r="C689" s="2843"/>
      <c r="D689" s="2843"/>
      <c r="E689" s="2843"/>
      <c r="F689" s="2843"/>
      <c r="G689" s="2843"/>
      <c r="H689" s="2843"/>
      <c r="I689" s="2843"/>
      <c r="J689" s="2843"/>
      <c r="K689" s="2843"/>
      <c r="L689" s="980"/>
      <c r="N689" s="1133"/>
      <c r="O689" s="1133"/>
      <c r="T689" s="1102"/>
      <c r="U689" s="1102"/>
    </row>
    <row r="690" spans="1:21" ht="30.95" hidden="1" customHeight="1" x14ac:dyDescent="0.25">
      <c r="A690" s="1177"/>
      <c r="B690" s="2842" t="s">
        <v>2251</v>
      </c>
      <c r="C690" s="2843"/>
      <c r="D690" s="2843"/>
      <c r="E690" s="2843"/>
      <c r="F690" s="2843"/>
      <c r="G690" s="2843"/>
      <c r="H690" s="2843"/>
      <c r="I690" s="2843"/>
      <c r="J690" s="2843"/>
      <c r="K690" s="2843"/>
      <c r="L690" s="980"/>
      <c r="N690" s="1133"/>
      <c r="O690" s="1133"/>
      <c r="T690" s="1102"/>
      <c r="U690" s="1102"/>
    </row>
    <row r="691" spans="1:21" ht="15.6" customHeight="1" x14ac:dyDescent="0.25">
      <c r="D691" s="135"/>
      <c r="E691" s="2834" t="s">
        <v>2244</v>
      </c>
      <c r="F691" s="2835"/>
      <c r="G691" s="2835"/>
      <c r="H691" s="2835"/>
      <c r="I691" s="2836"/>
      <c r="J691" s="209"/>
      <c r="K691" s="2837" t="s">
        <v>234</v>
      </c>
      <c r="M691" s="1147"/>
      <c r="N691" s="1134"/>
      <c r="O691" s="1134"/>
      <c r="T691" s="1102"/>
      <c r="U691" s="1102"/>
    </row>
    <row r="692" spans="1:21" ht="15.6" customHeight="1" x14ac:dyDescent="0.25">
      <c r="B692" s="50"/>
      <c r="C692" s="50"/>
      <c r="D692" s="974"/>
      <c r="E692" s="976" t="s">
        <v>293</v>
      </c>
      <c r="F692" s="974"/>
      <c r="G692" s="976" t="s">
        <v>294</v>
      </c>
      <c r="H692" s="974"/>
      <c r="I692" s="975" t="s">
        <v>1345</v>
      </c>
      <c r="J692" s="209"/>
      <c r="K692" s="2838"/>
      <c r="M692" s="1147"/>
      <c r="N692" s="1134"/>
      <c r="O692" s="1134"/>
      <c r="T692" s="1102"/>
      <c r="U692" s="1102"/>
    </row>
    <row r="693" spans="1:21" ht="15.6" customHeight="1" x14ac:dyDescent="0.25">
      <c r="I693" s="200"/>
      <c r="J693" s="200"/>
      <c r="K693" s="200"/>
      <c r="L693" s="210"/>
      <c r="N693" s="1133"/>
      <c r="O693" s="1133"/>
      <c r="T693" s="1102"/>
      <c r="U693" s="1102"/>
    </row>
    <row r="694" spans="1:21" ht="15.6" customHeight="1" x14ac:dyDescent="0.25">
      <c r="B694" s="229" t="s">
        <v>4238</v>
      </c>
      <c r="D694" s="48"/>
      <c r="E694" s="881"/>
      <c r="F694" s="48"/>
      <c r="G694" s="881"/>
      <c r="H694" s="48"/>
      <c r="I694" s="881"/>
      <c r="J694" s="48"/>
      <c r="K694" s="881"/>
      <c r="N694" s="1134"/>
      <c r="O694" s="1134"/>
      <c r="T694" s="1102"/>
      <c r="U694" s="1102"/>
    </row>
    <row r="695" spans="1:21" ht="15.6" customHeight="1" x14ac:dyDescent="0.25">
      <c r="B695" s="48" t="s">
        <v>2245</v>
      </c>
      <c r="C695" s="962">
        <f>SUM(C611,C617,C623,C629,C635,C641,C647,C653,C659,C665,C671,C677,C683)</f>
        <v>3131</v>
      </c>
      <c r="D695" s="199"/>
      <c r="E695" s="227">
        <f>SUM(E611,E617,E623,E629,E635,E641,E647,E653,E659,E665,E671,E677,E683)</f>
        <v>43099</v>
      </c>
      <c r="F695" s="199"/>
      <c r="G695" s="227">
        <f>SUM(G611,G617,G623,G629,G635,G641,G647,G653,G659,G665,G671,G677,G683)</f>
        <v>43268</v>
      </c>
      <c r="H695" s="199"/>
      <c r="I695" s="227">
        <f>SUM(I611,I617,I623,I629,I635,I641,I647,I653,I659,I665,I671,I677,I683)</f>
        <v>6507969</v>
      </c>
      <c r="J695" s="199"/>
      <c r="K695" s="186">
        <f>SUM(E695:J695)</f>
        <v>6594336</v>
      </c>
      <c r="M695" s="1483">
        <f>K695-G444+SUM(C611,C617,C623,C629,C635,C641,C647,C653,C659,C665,C671,C677,C683)</f>
        <v>-0.42999999970197678</v>
      </c>
      <c r="N695" s="1133"/>
      <c r="O695" s="1133"/>
      <c r="T695" s="1102"/>
      <c r="U695" s="1102"/>
    </row>
    <row r="696" spans="1:21" ht="15.6" customHeight="1" x14ac:dyDescent="0.25">
      <c r="B696" s="48" t="s">
        <v>2246</v>
      </c>
      <c r="C696" s="962">
        <f>SUM(C612,C618,C624,C630,C636,C642,C648,C654,C660,C666,C672,C678,C684)</f>
        <v>3131</v>
      </c>
      <c r="E696" s="227">
        <f>SUM(E612,E618,E624,E630,E636,E642,E648,E654,E660,E666,E672,E678,E684)</f>
        <v>42919</v>
      </c>
      <c r="G696" s="227">
        <f>SUM(G612,G618,G624,G630,G636,G642,G648,G654,G660,G666,G672,G678,G684)</f>
        <v>43088</v>
      </c>
      <c r="I696" s="227">
        <f>SUM(I612,I618,I624,I630,I636,I642,I648,I654,I660,I666,I672,I678,I684)</f>
        <v>6507969</v>
      </c>
      <c r="J696" s="200"/>
      <c r="K696" s="186">
        <f>SUM(E696:J696)</f>
        <v>6593976</v>
      </c>
      <c r="L696" s="210"/>
      <c r="M696" s="1483">
        <f>K696-I444+SUM(C612,C618,C624,C630,C636,C642,C648,C654,C660,C666,C672,C678,C684)</f>
        <v>0</v>
      </c>
      <c r="N696" s="1133"/>
      <c r="O696" s="1133"/>
      <c r="T696" s="1102"/>
      <c r="U696" s="1102"/>
    </row>
    <row r="697" spans="1:21" ht="15.6" customHeight="1" x14ac:dyDescent="0.25">
      <c r="C697" s="961"/>
      <c r="E697" s="185"/>
      <c r="G697" s="689"/>
      <c r="I697" s="978"/>
      <c r="J697" s="200"/>
      <c r="K697" s="978"/>
      <c r="L697" s="210"/>
      <c r="N697" s="1133"/>
      <c r="O697" s="1133"/>
      <c r="T697" s="1102"/>
      <c r="U697" s="1102"/>
    </row>
    <row r="698" spans="1:21" ht="15.6" customHeight="1" thickBot="1" x14ac:dyDescent="0.3">
      <c r="B698" s="50" t="s">
        <v>2247</v>
      </c>
      <c r="C698" s="985">
        <f>C695-C696</f>
        <v>0</v>
      </c>
      <c r="E698" s="690">
        <f>E695-E696</f>
        <v>180</v>
      </c>
      <c r="G698" s="690">
        <f>G695-G696</f>
        <v>180</v>
      </c>
      <c r="I698" s="690">
        <f>I695-I696</f>
        <v>0</v>
      </c>
      <c r="J698" s="200"/>
      <c r="K698" s="690">
        <f>K695-K696</f>
        <v>360</v>
      </c>
      <c r="L698" s="210"/>
      <c r="M698" s="1483">
        <f>K698-K444+SUM(C614,C620,C626,C632,C638,C644,C650,C656,C662,C668,C674,C680,C686)</f>
        <v>-0.42999999970197678</v>
      </c>
      <c r="N698" s="1133"/>
      <c r="O698" s="1133"/>
      <c r="T698" s="1102"/>
      <c r="U698" s="1102"/>
    </row>
    <row r="699" spans="1:21" ht="15.6" customHeight="1" thickTop="1" x14ac:dyDescent="0.25">
      <c r="C699" s="986"/>
      <c r="I699" s="200"/>
      <c r="J699" s="200"/>
      <c r="K699" s="200"/>
      <c r="L699" s="210"/>
      <c r="N699" s="1133"/>
      <c r="O699" s="1133"/>
      <c r="T699" s="1102"/>
      <c r="U699" s="1102"/>
    </row>
    <row r="700" spans="1:21" ht="15.6" customHeight="1" x14ac:dyDescent="0.25">
      <c r="B700" s="50" t="str">
        <f>"As at "&amp;Parameters!C13</f>
        <v>As at 30 June 2011</v>
      </c>
      <c r="C700" s="881"/>
      <c r="I700" s="199"/>
      <c r="J700" s="199"/>
      <c r="K700" s="199"/>
      <c r="M700" s="1147"/>
      <c r="N700" s="1134"/>
      <c r="O700" s="1134"/>
      <c r="T700" s="1102"/>
      <c r="U700" s="1102"/>
    </row>
    <row r="701" spans="1:21" ht="15.6" customHeight="1" x14ac:dyDescent="0.25">
      <c r="C701" s="977" t="s">
        <v>1441</v>
      </c>
      <c r="D701" s="135"/>
      <c r="E701" s="2834" t="s">
        <v>2244</v>
      </c>
      <c r="F701" s="2835"/>
      <c r="G701" s="2835"/>
      <c r="H701" s="2835"/>
      <c r="I701" s="2836"/>
      <c r="J701" s="209"/>
      <c r="K701" s="2837" t="s">
        <v>234</v>
      </c>
      <c r="M701" s="1214" t="s">
        <v>2243</v>
      </c>
      <c r="N701" s="1134"/>
      <c r="O701" s="1134"/>
      <c r="T701" s="1102"/>
      <c r="U701" s="1102"/>
    </row>
    <row r="702" spans="1:21" ht="15.6" customHeight="1" x14ac:dyDescent="0.25">
      <c r="B702" s="50"/>
      <c r="C702" s="976" t="s">
        <v>1528</v>
      </c>
      <c r="D702" s="974"/>
      <c r="E702" s="976" t="s">
        <v>293</v>
      </c>
      <c r="F702" s="974"/>
      <c r="G702" s="976" t="s">
        <v>294</v>
      </c>
      <c r="H702" s="974"/>
      <c r="I702" s="975" t="s">
        <v>1345</v>
      </c>
      <c r="J702" s="209"/>
      <c r="K702" s="2838"/>
      <c r="M702" s="1147"/>
      <c r="N702" s="1134"/>
      <c r="O702" s="1134"/>
      <c r="T702" s="1102"/>
      <c r="U702" s="1102"/>
    </row>
    <row r="703" spans="1:21" ht="15.6" customHeight="1" x14ac:dyDescent="0.25">
      <c r="I703" s="200"/>
      <c r="J703" s="200"/>
      <c r="K703" s="200"/>
      <c r="L703" s="210"/>
      <c r="N703" s="1133"/>
      <c r="O703" s="1133"/>
      <c r="T703" s="1102"/>
      <c r="U703" s="1102"/>
    </row>
    <row r="704" spans="1:21" ht="15.6" customHeight="1" x14ac:dyDescent="0.25">
      <c r="B704" s="229" t="s">
        <v>2242</v>
      </c>
      <c r="C704" s="881"/>
      <c r="D704" s="48"/>
      <c r="E704" s="881"/>
      <c r="F704" s="48"/>
      <c r="G704" s="881"/>
      <c r="H704" s="48"/>
      <c r="I704" s="881"/>
      <c r="J704" s="48"/>
      <c r="K704" s="881"/>
      <c r="N704" s="1134"/>
      <c r="O704" s="1134"/>
      <c r="T704" s="1102"/>
      <c r="U704" s="1102"/>
    </row>
    <row r="705" spans="1:21" ht="15.6" customHeight="1" x14ac:dyDescent="0.25">
      <c r="B705" s="48" t="s">
        <v>2245</v>
      </c>
      <c r="C705" s="2219">
        <v>11263</v>
      </c>
      <c r="D705" s="199"/>
      <c r="E705" s="227">
        <v>11137</v>
      </c>
      <c r="F705" s="199"/>
      <c r="G705" s="227">
        <v>13194</v>
      </c>
      <c r="H705" s="199"/>
      <c r="I705" s="186">
        <v>4090987</v>
      </c>
      <c r="J705" s="199"/>
      <c r="K705" s="186">
        <f>SUM(C705:J705)</f>
        <v>4126581</v>
      </c>
      <c r="M705" s="1483">
        <f>K705-G451</f>
        <v>0.5</v>
      </c>
      <c r="N705" s="1133"/>
      <c r="O705" s="1133"/>
      <c r="T705" s="1102"/>
      <c r="U705" s="1102"/>
    </row>
    <row r="706" spans="1:21" ht="15.6" customHeight="1" x14ac:dyDescent="0.25">
      <c r="B706" s="48" t="s">
        <v>2246</v>
      </c>
      <c r="C706" s="227">
        <v>0</v>
      </c>
      <c r="E706" s="227">
        <v>0</v>
      </c>
      <c r="G706" s="227">
        <v>0</v>
      </c>
      <c r="I706" s="227">
        <v>0</v>
      </c>
      <c r="J706" s="200"/>
      <c r="K706" s="186">
        <f>SUM(C706:J706)</f>
        <v>0</v>
      </c>
      <c r="L706" s="210"/>
      <c r="M706" s="1483">
        <f>K706-I451</f>
        <v>0</v>
      </c>
      <c r="N706" s="1133"/>
      <c r="O706" s="1133"/>
      <c r="T706" s="1102"/>
      <c r="U706" s="1102"/>
    </row>
    <row r="707" spans="1:21" ht="15.6" customHeight="1" x14ac:dyDescent="0.25">
      <c r="C707" s="185"/>
      <c r="E707" s="185"/>
      <c r="G707" s="689"/>
      <c r="I707" s="978"/>
      <c r="J707" s="200"/>
      <c r="K707" s="978"/>
      <c r="L707" s="210"/>
      <c r="N707" s="1133"/>
      <c r="O707" s="1133"/>
      <c r="T707" s="1102"/>
      <c r="U707" s="1102"/>
    </row>
    <row r="708" spans="1:21" ht="15.6" customHeight="1" thickBot="1" x14ac:dyDescent="0.3">
      <c r="B708" s="50" t="s">
        <v>2247</v>
      </c>
      <c r="C708" s="690">
        <f>C705-C706</f>
        <v>11263</v>
      </c>
      <c r="E708" s="690">
        <f>E705-E706</f>
        <v>11137</v>
      </c>
      <c r="G708" s="690">
        <f>G705-G706</f>
        <v>13194</v>
      </c>
      <c r="I708" s="690">
        <f>I705-I706</f>
        <v>4090987</v>
      </c>
      <c r="J708" s="200"/>
      <c r="K708" s="690">
        <f>K705-K706</f>
        <v>4126581</v>
      </c>
      <c r="L708" s="210"/>
      <c r="M708" s="1483">
        <f>K708-K451</f>
        <v>0.5</v>
      </c>
      <c r="N708" s="1133"/>
      <c r="O708" s="1133"/>
      <c r="T708" s="1102"/>
      <c r="U708" s="1102"/>
    </row>
    <row r="709" spans="1:21" ht="15.6" customHeight="1" thickTop="1" x14ac:dyDescent="0.25">
      <c r="I709" s="200"/>
      <c r="J709" s="200"/>
      <c r="K709" s="200"/>
      <c r="L709" s="210"/>
      <c r="N709" s="1133"/>
      <c r="O709" s="1133"/>
      <c r="T709" s="1102"/>
      <c r="U709" s="1102"/>
    </row>
    <row r="710" spans="1:21" ht="15.6" hidden="1" customHeight="1" x14ac:dyDescent="0.25">
      <c r="A710" s="1168"/>
      <c r="B710" s="1456" t="s">
        <v>2263</v>
      </c>
      <c r="C710" s="1462"/>
      <c r="D710" s="655"/>
      <c r="E710" s="1462"/>
      <c r="F710" s="655"/>
      <c r="G710" s="1462"/>
      <c r="H710" s="655"/>
      <c r="I710" s="1462"/>
      <c r="J710" s="655"/>
      <c r="K710" s="1462"/>
      <c r="L710" s="655"/>
      <c r="N710" s="1134"/>
      <c r="O710" s="1134"/>
      <c r="T710" s="1102"/>
      <c r="U710" s="1102"/>
    </row>
    <row r="711" spans="1:21" ht="15.6" hidden="1" customHeight="1" x14ac:dyDescent="0.25">
      <c r="A711" s="1168"/>
      <c r="B711" s="655" t="s">
        <v>2245</v>
      </c>
      <c r="C711" s="1417">
        <v>0</v>
      </c>
      <c r="D711" s="661"/>
      <c r="E711" s="1417">
        <v>0</v>
      </c>
      <c r="F711" s="661"/>
      <c r="G711" s="1417">
        <v>0</v>
      </c>
      <c r="H711" s="661"/>
      <c r="I711" s="1417">
        <v>0</v>
      </c>
      <c r="J711" s="661"/>
      <c r="K711" s="673">
        <f>SUM(C711:J711)</f>
        <v>0</v>
      </c>
      <c r="L711" s="655"/>
      <c r="M711" s="1483">
        <f>K711-G452</f>
        <v>0</v>
      </c>
      <c r="N711" s="1133"/>
      <c r="O711" s="1133"/>
      <c r="P711" s="1106"/>
    </row>
    <row r="712" spans="1:21" ht="15.6" hidden="1" customHeight="1" x14ac:dyDescent="0.25">
      <c r="A712" s="1168"/>
      <c r="B712" s="655" t="s">
        <v>2246</v>
      </c>
      <c r="C712" s="1417">
        <v>0</v>
      </c>
      <c r="D712" s="656"/>
      <c r="E712" s="1417">
        <v>0</v>
      </c>
      <c r="F712" s="656"/>
      <c r="G712" s="1417">
        <v>0</v>
      </c>
      <c r="H712" s="656"/>
      <c r="I712" s="1417">
        <v>0</v>
      </c>
      <c r="J712" s="657"/>
      <c r="K712" s="673">
        <f>SUM(C712:J712)</f>
        <v>0</v>
      </c>
      <c r="L712" s="664"/>
      <c r="M712" s="1483">
        <f>K712-I452</f>
        <v>0</v>
      </c>
      <c r="N712" s="1133"/>
      <c r="O712" s="1133"/>
      <c r="P712" s="1103"/>
    </row>
    <row r="713" spans="1:21" ht="15.6" hidden="1" customHeight="1" x14ac:dyDescent="0.25">
      <c r="A713" s="1168"/>
      <c r="B713" s="655"/>
      <c r="C713" s="1232"/>
      <c r="D713" s="656"/>
      <c r="E713" s="1232"/>
      <c r="F713" s="656"/>
      <c r="G713" s="1463"/>
      <c r="H713" s="656"/>
      <c r="I713" s="1464"/>
      <c r="J713" s="657"/>
      <c r="K713" s="1464"/>
      <c r="L713" s="664"/>
      <c r="N713" s="1133"/>
      <c r="O713" s="1133"/>
      <c r="P713" s="1103"/>
    </row>
    <row r="714" spans="1:21" ht="15.6" hidden="1" customHeight="1" thickBot="1" x14ac:dyDescent="0.3">
      <c r="A714" s="1168"/>
      <c r="B714" s="659" t="s">
        <v>2247</v>
      </c>
      <c r="C714" s="1465">
        <f>C711-C712</f>
        <v>0</v>
      </c>
      <c r="D714" s="656"/>
      <c r="E714" s="1465">
        <f>E711-E712</f>
        <v>0</v>
      </c>
      <c r="F714" s="656"/>
      <c r="G714" s="1465">
        <f>G711-G712</f>
        <v>0</v>
      </c>
      <c r="H714" s="656"/>
      <c r="I714" s="1465">
        <f>I711-I712</f>
        <v>0</v>
      </c>
      <c r="J714" s="657"/>
      <c r="K714" s="1465">
        <f>K711-K712</f>
        <v>0</v>
      </c>
      <c r="L714" s="664"/>
      <c r="M714" s="1483">
        <f>K714-K452</f>
        <v>0</v>
      </c>
      <c r="N714" s="1133"/>
      <c r="O714" s="1133"/>
      <c r="P714" s="1105"/>
      <c r="S714" s="1102"/>
      <c r="T714" s="1102"/>
      <c r="U714" s="1102"/>
    </row>
    <row r="715" spans="1:21" ht="15.6" hidden="1" customHeight="1" thickTop="1" x14ac:dyDescent="0.25">
      <c r="A715" s="1168"/>
      <c r="B715" s="655"/>
      <c r="C715" s="655"/>
      <c r="D715" s="656"/>
      <c r="E715" s="655"/>
      <c r="F715" s="656"/>
      <c r="G715" s="656"/>
      <c r="H715" s="656"/>
      <c r="I715" s="657"/>
      <c r="J715" s="657"/>
      <c r="K715" s="657"/>
      <c r="L715" s="664"/>
      <c r="N715" s="1133"/>
      <c r="O715" s="1133"/>
      <c r="P715" s="1105"/>
      <c r="S715" s="1102"/>
      <c r="T715" s="1102"/>
      <c r="U715" s="1102"/>
    </row>
    <row r="716" spans="1:21" ht="15.6" hidden="1" customHeight="1" x14ac:dyDescent="0.25">
      <c r="B716" s="229" t="s">
        <v>6420</v>
      </c>
      <c r="C716" s="881"/>
      <c r="D716" s="48"/>
      <c r="E716" s="881"/>
      <c r="F716" s="48"/>
      <c r="G716" s="881"/>
      <c r="H716" s="48"/>
      <c r="I716" s="881"/>
      <c r="J716" s="48"/>
      <c r="K716" s="881"/>
      <c r="N716" s="1134"/>
      <c r="O716" s="1134"/>
      <c r="P716" s="1105"/>
      <c r="R716" s="1097"/>
      <c r="S716" s="1102"/>
      <c r="T716" s="1101"/>
      <c r="U716" s="1102"/>
    </row>
    <row r="717" spans="1:21" ht="15.6" hidden="1" customHeight="1" x14ac:dyDescent="0.25">
      <c r="B717" s="48" t="s">
        <v>2245</v>
      </c>
      <c r="C717" s="227">
        <v>0</v>
      </c>
      <c r="D717" s="199"/>
      <c r="E717" s="227">
        <v>0</v>
      </c>
      <c r="F717" s="199"/>
      <c r="G717" s="227">
        <v>0</v>
      </c>
      <c r="H717" s="199"/>
      <c r="I717" s="2056">
        <f>G453</f>
        <v>0</v>
      </c>
      <c r="J717" s="199"/>
      <c r="K717" s="2055">
        <f>SUM(C717:J717)</f>
        <v>0</v>
      </c>
      <c r="M717" s="1483">
        <f>K717-G453</f>
        <v>0</v>
      </c>
      <c r="N717" s="1133"/>
      <c r="O717" s="1133"/>
      <c r="P717" s="1105"/>
      <c r="R717" s="1097"/>
      <c r="S717" s="1102"/>
      <c r="T717" s="1101"/>
      <c r="U717" s="1102"/>
    </row>
    <row r="718" spans="1:21" ht="15.6" hidden="1" customHeight="1" x14ac:dyDescent="0.25">
      <c r="B718" s="48" t="s">
        <v>2246</v>
      </c>
      <c r="C718" s="227">
        <v>0</v>
      </c>
      <c r="E718" s="227">
        <v>0</v>
      </c>
      <c r="G718" s="227">
        <v>0</v>
      </c>
      <c r="I718" s="2056">
        <v>0</v>
      </c>
      <c r="J718" s="200"/>
      <c r="K718" s="2055">
        <f>SUM(C718:J718)</f>
        <v>0</v>
      </c>
      <c r="L718" s="210"/>
      <c r="M718" s="1483">
        <f>K718-I453</f>
        <v>0</v>
      </c>
      <c r="N718" s="1133"/>
      <c r="O718" s="1133"/>
      <c r="P718" s="1105"/>
      <c r="R718" s="1097"/>
      <c r="S718" s="1102"/>
      <c r="T718" s="1101"/>
      <c r="U718" s="1102"/>
    </row>
    <row r="719" spans="1:21" ht="15.6" hidden="1" customHeight="1" x14ac:dyDescent="0.25">
      <c r="C719" s="185"/>
      <c r="E719" s="185"/>
      <c r="G719" s="689"/>
      <c r="I719" s="978"/>
      <c r="J719" s="200"/>
      <c r="K719" s="978"/>
      <c r="L719" s="210"/>
      <c r="N719" s="1133"/>
      <c r="O719" s="1133"/>
      <c r="P719" s="1105"/>
      <c r="R719" s="1097"/>
      <c r="S719" s="1102"/>
      <c r="T719" s="1101"/>
      <c r="U719" s="1102"/>
    </row>
    <row r="720" spans="1:21" ht="15.6" hidden="1" customHeight="1" thickBot="1" x14ac:dyDescent="0.3">
      <c r="B720" s="50" t="s">
        <v>2247</v>
      </c>
      <c r="C720" s="690">
        <f>C717-C718</f>
        <v>0</v>
      </c>
      <c r="E720" s="690">
        <f>E717-E718</f>
        <v>0</v>
      </c>
      <c r="G720" s="690">
        <f>G717-G718</f>
        <v>0</v>
      </c>
      <c r="I720" s="690">
        <f>I717-I718</f>
        <v>0</v>
      </c>
      <c r="J720" s="200"/>
      <c r="K720" s="690">
        <f>K717-K718</f>
        <v>0</v>
      </c>
      <c r="L720" s="210"/>
      <c r="M720" s="1483">
        <f>K720-K453</f>
        <v>0</v>
      </c>
      <c r="N720" s="1133"/>
      <c r="O720" s="1133"/>
      <c r="P720" s="1105"/>
      <c r="R720" s="1097"/>
      <c r="S720" s="1102"/>
      <c r="T720" s="1101"/>
      <c r="U720" s="1102"/>
    </row>
    <row r="721" spans="1:21" ht="15.6" hidden="1" customHeight="1" thickTop="1" x14ac:dyDescent="0.25">
      <c r="I721" s="200"/>
      <c r="J721" s="200"/>
      <c r="K721" s="200"/>
      <c r="L721" s="210"/>
      <c r="N721" s="1133"/>
      <c r="O721" s="1133"/>
      <c r="P721" s="1105"/>
      <c r="R721" s="1097"/>
      <c r="S721" s="1102"/>
      <c r="T721" s="1101"/>
      <c r="U721" s="1102"/>
    </row>
    <row r="722" spans="1:21" ht="15.6" hidden="1" customHeight="1" x14ac:dyDescent="0.25">
      <c r="A722" s="1168"/>
      <c r="B722" s="1456" t="s">
        <v>2265</v>
      </c>
      <c r="C722" s="1462"/>
      <c r="D722" s="655"/>
      <c r="E722" s="1462"/>
      <c r="F722" s="655"/>
      <c r="G722" s="1462"/>
      <c r="H722" s="655"/>
      <c r="I722" s="1462"/>
      <c r="J722" s="655"/>
      <c r="K722" s="1462"/>
      <c r="L722" s="655"/>
      <c r="N722" s="1134"/>
      <c r="O722" s="1134"/>
      <c r="P722" s="1105"/>
      <c r="R722" s="1097"/>
      <c r="S722" s="1102"/>
      <c r="T722" s="1101"/>
      <c r="U722" s="1102"/>
    </row>
    <row r="723" spans="1:21" ht="15.6" hidden="1" customHeight="1" x14ac:dyDescent="0.25">
      <c r="A723" s="1168"/>
      <c r="B723" s="655" t="s">
        <v>2245</v>
      </c>
      <c r="C723" s="1417">
        <v>0</v>
      </c>
      <c r="D723" s="661"/>
      <c r="E723" s="1417">
        <v>0</v>
      </c>
      <c r="F723" s="661"/>
      <c r="G723" s="1417">
        <v>0</v>
      </c>
      <c r="H723" s="661"/>
      <c r="I723" s="1417">
        <v>0</v>
      </c>
      <c r="J723" s="661"/>
      <c r="K723" s="673">
        <f>SUM(C723:J723)</f>
        <v>0</v>
      </c>
      <c r="L723" s="655"/>
      <c r="M723" s="1483">
        <f>K723-G454</f>
        <v>0</v>
      </c>
      <c r="N723" s="1133"/>
      <c r="O723" s="1133"/>
      <c r="P723" s="1105"/>
      <c r="R723" s="1097"/>
      <c r="S723" s="1102"/>
      <c r="T723" s="1101"/>
      <c r="U723" s="1102"/>
    </row>
    <row r="724" spans="1:21" ht="15.6" hidden="1" customHeight="1" x14ac:dyDescent="0.25">
      <c r="A724" s="1168"/>
      <c r="B724" s="655" t="s">
        <v>2246</v>
      </c>
      <c r="C724" s="1417">
        <v>0</v>
      </c>
      <c r="D724" s="656"/>
      <c r="E724" s="1417">
        <v>0</v>
      </c>
      <c r="F724" s="656"/>
      <c r="G724" s="1417">
        <v>0</v>
      </c>
      <c r="H724" s="656"/>
      <c r="I724" s="1417">
        <v>0</v>
      </c>
      <c r="J724" s="657"/>
      <c r="K724" s="673">
        <f>SUM(C724:J724)</f>
        <v>0</v>
      </c>
      <c r="L724" s="664"/>
      <c r="M724" s="1483">
        <f>K724-I454</f>
        <v>0</v>
      </c>
      <c r="N724" s="1133"/>
      <c r="O724" s="1133"/>
      <c r="P724" s="1105"/>
      <c r="R724" s="1097"/>
      <c r="S724" s="1102"/>
      <c r="T724" s="1101"/>
      <c r="U724" s="1102"/>
    </row>
    <row r="725" spans="1:21" ht="15.6" hidden="1" customHeight="1" x14ac:dyDescent="0.25">
      <c r="A725" s="1168"/>
      <c r="B725" s="655"/>
      <c r="C725" s="1232"/>
      <c r="D725" s="656"/>
      <c r="E725" s="1232"/>
      <c r="F725" s="656"/>
      <c r="G725" s="1463"/>
      <c r="H725" s="656"/>
      <c r="I725" s="1464"/>
      <c r="J725" s="657"/>
      <c r="K725" s="1464"/>
      <c r="L725" s="664"/>
      <c r="N725" s="1133"/>
      <c r="O725" s="1133"/>
      <c r="P725" s="1105"/>
      <c r="R725" s="1097"/>
      <c r="S725" s="1102"/>
      <c r="T725" s="1101"/>
      <c r="U725" s="1102"/>
    </row>
    <row r="726" spans="1:21" ht="15.6" hidden="1" customHeight="1" thickBot="1" x14ac:dyDescent="0.3">
      <c r="A726" s="1168"/>
      <c r="B726" s="659" t="s">
        <v>2247</v>
      </c>
      <c r="C726" s="1465">
        <f>C723-C724</f>
        <v>0</v>
      </c>
      <c r="D726" s="656"/>
      <c r="E726" s="1465">
        <f>E723-E724</f>
        <v>0</v>
      </c>
      <c r="F726" s="656"/>
      <c r="G726" s="1465">
        <f>G723-G724</f>
        <v>0</v>
      </c>
      <c r="H726" s="656"/>
      <c r="I726" s="1465">
        <f>I723-I724</f>
        <v>0</v>
      </c>
      <c r="J726" s="657"/>
      <c r="K726" s="1465">
        <f>K723-K724</f>
        <v>0</v>
      </c>
      <c r="L726" s="664"/>
      <c r="M726" s="1483">
        <f>K726-K454</f>
        <v>0</v>
      </c>
      <c r="N726" s="1133"/>
      <c r="O726" s="1133"/>
      <c r="P726" s="1105"/>
      <c r="R726" s="1097"/>
      <c r="S726" s="1102"/>
      <c r="T726" s="1101"/>
      <c r="U726" s="1102"/>
    </row>
    <row r="727" spans="1:21" ht="15.6" hidden="1" customHeight="1" thickTop="1" x14ac:dyDescent="0.25">
      <c r="A727" s="1168"/>
      <c r="B727" s="655"/>
      <c r="C727" s="655"/>
      <c r="D727" s="656"/>
      <c r="E727" s="655"/>
      <c r="F727" s="656"/>
      <c r="G727" s="656"/>
      <c r="H727" s="656"/>
      <c r="I727" s="657"/>
      <c r="J727" s="657"/>
      <c r="K727" s="657"/>
      <c r="L727" s="664"/>
      <c r="N727" s="1133"/>
      <c r="O727" s="1133"/>
      <c r="P727" s="1105"/>
      <c r="R727" s="1097"/>
      <c r="S727" s="1102"/>
      <c r="T727" s="1101"/>
      <c r="U727" s="1102"/>
    </row>
    <row r="728" spans="1:21" ht="15.6" hidden="1" customHeight="1" x14ac:dyDescent="0.25">
      <c r="B728" s="229" t="s">
        <v>2266</v>
      </c>
      <c r="C728" s="881"/>
      <c r="D728" s="48"/>
      <c r="E728" s="881"/>
      <c r="F728" s="48"/>
      <c r="G728" s="881"/>
      <c r="H728" s="48"/>
      <c r="I728" s="881"/>
      <c r="J728" s="48"/>
      <c r="K728" s="881"/>
      <c r="N728" s="1134"/>
      <c r="O728" s="1134"/>
      <c r="P728" s="1105"/>
      <c r="R728" s="1097"/>
      <c r="S728" s="1102"/>
      <c r="T728" s="1101"/>
      <c r="U728" s="1102"/>
    </row>
    <row r="729" spans="1:21" ht="15.6" hidden="1" customHeight="1" x14ac:dyDescent="0.25">
      <c r="B729" s="48" t="s">
        <v>2245</v>
      </c>
      <c r="C729" s="186">
        <v>0</v>
      </c>
      <c r="D729" s="199"/>
      <c r="E729" s="227">
        <v>0</v>
      </c>
      <c r="F729" s="199"/>
      <c r="G729" s="227">
        <v>0</v>
      </c>
      <c r="H729" s="199"/>
      <c r="I729" s="186">
        <v>0</v>
      </c>
      <c r="J729" s="199"/>
      <c r="K729" s="186">
        <f>SUM(C729:J729)</f>
        <v>0</v>
      </c>
      <c r="M729" s="1483">
        <f>K729-G455</f>
        <v>0</v>
      </c>
      <c r="N729" s="1133"/>
      <c r="O729" s="1133"/>
      <c r="P729" s="1105"/>
      <c r="R729" s="1097"/>
      <c r="S729" s="1102"/>
      <c r="T729" s="1101"/>
      <c r="U729" s="1102"/>
    </row>
    <row r="730" spans="1:21" ht="15.6" hidden="1" customHeight="1" x14ac:dyDescent="0.25">
      <c r="B730" s="48" t="s">
        <v>2246</v>
      </c>
      <c r="C730" s="227">
        <v>0</v>
      </c>
      <c r="E730" s="227">
        <v>0</v>
      </c>
      <c r="G730" s="227">
        <v>0</v>
      </c>
      <c r="I730" s="227">
        <v>0</v>
      </c>
      <c r="J730" s="200"/>
      <c r="K730" s="186">
        <f>SUM(C730:J730)</f>
        <v>0</v>
      </c>
      <c r="L730" s="210"/>
      <c r="M730" s="1483">
        <f>K730-I455</f>
        <v>0</v>
      </c>
      <c r="N730" s="1133"/>
      <c r="O730" s="1133"/>
      <c r="P730" s="1105"/>
      <c r="R730" s="1097"/>
      <c r="S730" s="1102"/>
      <c r="T730" s="1101"/>
      <c r="U730" s="1102"/>
    </row>
    <row r="731" spans="1:21" ht="15.6" hidden="1" customHeight="1" x14ac:dyDescent="0.25">
      <c r="C731" s="185"/>
      <c r="E731" s="185"/>
      <c r="G731" s="689"/>
      <c r="I731" s="978"/>
      <c r="J731" s="200"/>
      <c r="K731" s="978"/>
      <c r="L731" s="210"/>
      <c r="N731" s="1133"/>
      <c r="O731" s="1133"/>
      <c r="P731" s="1105"/>
      <c r="R731" s="1097"/>
      <c r="S731" s="1102"/>
      <c r="T731" s="1101"/>
      <c r="U731" s="1102"/>
    </row>
    <row r="732" spans="1:21" ht="15.6" hidden="1" customHeight="1" thickBot="1" x14ac:dyDescent="0.3">
      <c r="B732" s="50" t="s">
        <v>2247</v>
      </c>
      <c r="C732" s="690">
        <f>C729-C730</f>
        <v>0</v>
      </c>
      <c r="E732" s="690">
        <f>E729-E730</f>
        <v>0</v>
      </c>
      <c r="G732" s="690">
        <f>G729-G730</f>
        <v>0</v>
      </c>
      <c r="I732" s="690">
        <f>I729-I730</f>
        <v>0</v>
      </c>
      <c r="J732" s="200"/>
      <c r="K732" s="690">
        <f>K729-K730</f>
        <v>0</v>
      </c>
      <c r="L732" s="210"/>
      <c r="M732" s="1483">
        <f>K732-K455</f>
        <v>0</v>
      </c>
      <c r="N732" s="1133"/>
      <c r="O732" s="1133"/>
      <c r="P732" s="1105"/>
      <c r="R732" s="1097"/>
      <c r="S732" s="1102"/>
      <c r="T732" s="1101"/>
      <c r="U732" s="1102"/>
    </row>
    <row r="733" spans="1:21" ht="15.6" hidden="1" customHeight="1" thickTop="1" x14ac:dyDescent="0.25">
      <c r="I733" s="200"/>
      <c r="J733" s="200"/>
      <c r="K733" s="200"/>
      <c r="L733" s="210"/>
      <c r="N733" s="1133"/>
      <c r="O733" s="1133"/>
      <c r="P733" s="1105"/>
      <c r="R733" s="1097"/>
      <c r="S733" s="1102"/>
      <c r="T733" s="1101"/>
      <c r="U733" s="1102"/>
    </row>
    <row r="734" spans="1:21" ht="15.6" hidden="1" customHeight="1" x14ac:dyDescent="0.25">
      <c r="B734" s="229" t="s">
        <v>2267</v>
      </c>
      <c r="C734" s="881"/>
      <c r="D734" s="48"/>
      <c r="E734" s="881"/>
      <c r="F734" s="48"/>
      <c r="G734" s="881"/>
      <c r="H734" s="48"/>
      <c r="I734" s="881"/>
      <c r="J734" s="48"/>
      <c r="K734" s="881"/>
      <c r="N734" s="1134"/>
      <c r="O734" s="1134"/>
      <c r="P734" s="1105"/>
      <c r="R734" s="1097"/>
      <c r="S734" s="1102"/>
      <c r="T734" s="1101"/>
      <c r="U734" s="1102"/>
    </row>
    <row r="735" spans="1:21" ht="15.6" hidden="1" customHeight="1" x14ac:dyDescent="0.25">
      <c r="B735" s="48" t="s">
        <v>2245</v>
      </c>
      <c r="C735" s="227">
        <v>0</v>
      </c>
      <c r="D735" s="199"/>
      <c r="E735" s="227">
        <v>0</v>
      </c>
      <c r="F735" s="199"/>
      <c r="G735" s="227">
        <v>0</v>
      </c>
      <c r="H735" s="199"/>
      <c r="I735" s="227">
        <v>0</v>
      </c>
      <c r="J735" s="199"/>
      <c r="K735" s="186">
        <f>SUM(C735:J735)</f>
        <v>0</v>
      </c>
      <c r="M735" s="1483">
        <f>K735-G456</f>
        <v>0</v>
      </c>
      <c r="N735" s="1133"/>
      <c r="O735" s="1133"/>
      <c r="P735" s="1105"/>
      <c r="R735" s="1097"/>
      <c r="S735" s="1102"/>
      <c r="T735" s="1101"/>
      <c r="U735" s="1102"/>
    </row>
    <row r="736" spans="1:21" ht="15.6" hidden="1" customHeight="1" x14ac:dyDescent="0.25">
      <c r="B736" s="48" t="s">
        <v>2246</v>
      </c>
      <c r="C736" s="227">
        <v>0</v>
      </c>
      <c r="E736" s="227">
        <v>0</v>
      </c>
      <c r="G736" s="227">
        <v>0</v>
      </c>
      <c r="I736" s="227">
        <v>0</v>
      </c>
      <c r="J736" s="200"/>
      <c r="K736" s="186">
        <f>SUM(C736:J736)</f>
        <v>0</v>
      </c>
      <c r="L736" s="210"/>
      <c r="M736" s="1483">
        <f>K736-I456</f>
        <v>0</v>
      </c>
      <c r="N736" s="1133"/>
      <c r="O736" s="1133"/>
      <c r="P736" s="1105"/>
      <c r="R736" s="1097"/>
      <c r="S736" s="1102"/>
      <c r="T736" s="1101"/>
      <c r="U736" s="1102"/>
    </row>
    <row r="737" spans="1:21" ht="15.6" hidden="1" customHeight="1" x14ac:dyDescent="0.25">
      <c r="C737" s="185"/>
      <c r="E737" s="185"/>
      <c r="G737" s="689"/>
      <c r="I737" s="978"/>
      <c r="J737" s="200"/>
      <c r="K737" s="978"/>
      <c r="L737" s="210"/>
      <c r="N737" s="1133"/>
      <c r="O737" s="1133"/>
      <c r="P737" s="1105"/>
      <c r="R737" s="1097"/>
      <c r="S737" s="1102"/>
      <c r="T737" s="1101"/>
      <c r="U737" s="1102"/>
    </row>
    <row r="738" spans="1:21" ht="15.6" hidden="1" customHeight="1" thickBot="1" x14ac:dyDescent="0.3">
      <c r="B738" s="50" t="s">
        <v>2247</v>
      </c>
      <c r="C738" s="690">
        <f>C735-C736</f>
        <v>0</v>
      </c>
      <c r="E738" s="690">
        <f>E735-E736</f>
        <v>0</v>
      </c>
      <c r="G738" s="690">
        <f>G735-G736</f>
        <v>0</v>
      </c>
      <c r="I738" s="690">
        <f>I735-I736</f>
        <v>0</v>
      </c>
      <c r="J738" s="200"/>
      <c r="K738" s="690">
        <f>K735-K736</f>
        <v>0</v>
      </c>
      <c r="L738" s="210"/>
      <c r="M738" s="1483">
        <f>K738-K456</f>
        <v>0</v>
      </c>
      <c r="N738" s="1133"/>
      <c r="O738" s="1133"/>
      <c r="P738" s="1105"/>
      <c r="R738" s="1097"/>
      <c r="S738" s="1102"/>
      <c r="T738" s="1101"/>
      <c r="U738" s="1102"/>
    </row>
    <row r="739" spans="1:21" ht="15.6" hidden="1" customHeight="1" thickTop="1" x14ac:dyDescent="0.25">
      <c r="I739" s="200"/>
      <c r="J739" s="200"/>
      <c r="K739" s="200"/>
      <c r="L739" s="210"/>
      <c r="N739" s="1133"/>
      <c r="O739" s="1133"/>
      <c r="P739" s="1105"/>
      <c r="R739" s="1097"/>
      <c r="S739" s="1102"/>
      <c r="T739" s="1101"/>
      <c r="U739" s="1102"/>
    </row>
    <row r="740" spans="1:21" ht="15.6" hidden="1" customHeight="1" x14ac:dyDescent="0.25">
      <c r="A740" s="1168"/>
      <c r="B740" s="1456" t="s">
        <v>3975</v>
      </c>
      <c r="C740" s="1462"/>
      <c r="D740" s="655"/>
      <c r="E740" s="1462"/>
      <c r="F740" s="655"/>
      <c r="G740" s="1462"/>
      <c r="H740" s="655"/>
      <c r="I740" s="1462"/>
      <c r="J740" s="655"/>
      <c r="K740" s="1462"/>
      <c r="L740" s="655"/>
      <c r="N740" s="1134"/>
      <c r="O740" s="1134"/>
      <c r="P740" s="1105"/>
      <c r="R740" s="1097"/>
      <c r="S740" s="1102"/>
      <c r="T740" s="1101"/>
      <c r="U740" s="1102"/>
    </row>
    <row r="741" spans="1:21" ht="15.6" hidden="1" customHeight="1" x14ac:dyDescent="0.25">
      <c r="A741" s="1168"/>
      <c r="B741" s="655" t="s">
        <v>2245</v>
      </c>
      <c r="C741" s="1417">
        <v>0</v>
      </c>
      <c r="D741" s="661"/>
      <c r="E741" s="1417">
        <v>0</v>
      </c>
      <c r="F741" s="661"/>
      <c r="G741" s="1417">
        <v>0</v>
      </c>
      <c r="H741" s="661"/>
      <c r="I741" s="1417">
        <v>0</v>
      </c>
      <c r="J741" s="661"/>
      <c r="K741" s="673">
        <f>SUM(C741:J741)</f>
        <v>0</v>
      </c>
      <c r="L741" s="655"/>
      <c r="M741" s="1483">
        <f>K741-G457</f>
        <v>0</v>
      </c>
      <c r="N741" s="1133"/>
      <c r="O741" s="1133"/>
      <c r="P741" s="1105"/>
      <c r="R741" s="1097"/>
      <c r="S741" s="1102"/>
      <c r="T741" s="1101"/>
      <c r="U741" s="1102"/>
    </row>
    <row r="742" spans="1:21" ht="15.6" hidden="1" customHeight="1" x14ac:dyDescent="0.25">
      <c r="A742" s="1168"/>
      <c r="B742" s="655" t="s">
        <v>2246</v>
      </c>
      <c r="C742" s="1417">
        <v>0</v>
      </c>
      <c r="D742" s="656"/>
      <c r="E742" s="1417">
        <v>0</v>
      </c>
      <c r="F742" s="656"/>
      <c r="G742" s="1417">
        <v>0</v>
      </c>
      <c r="H742" s="656"/>
      <c r="I742" s="1417">
        <v>0</v>
      </c>
      <c r="J742" s="657"/>
      <c r="K742" s="673">
        <f>SUM(C742:J742)</f>
        <v>0</v>
      </c>
      <c r="L742" s="664"/>
      <c r="M742" s="1483">
        <f>K742-I457</f>
        <v>0</v>
      </c>
      <c r="N742" s="1133"/>
      <c r="O742" s="1133"/>
      <c r="P742" s="1105"/>
      <c r="R742" s="1097"/>
      <c r="S742" s="1102"/>
      <c r="T742" s="1101"/>
      <c r="U742" s="1102"/>
    </row>
    <row r="743" spans="1:21" ht="15.6" hidden="1" customHeight="1" x14ac:dyDescent="0.25">
      <c r="A743" s="1168"/>
      <c r="B743" s="655"/>
      <c r="C743" s="1232"/>
      <c r="D743" s="656"/>
      <c r="E743" s="1232"/>
      <c r="F743" s="656"/>
      <c r="G743" s="1463"/>
      <c r="H743" s="656"/>
      <c r="I743" s="1464"/>
      <c r="J743" s="657"/>
      <c r="K743" s="1464"/>
      <c r="L743" s="664"/>
      <c r="N743" s="1133"/>
      <c r="O743" s="1133"/>
      <c r="P743" s="1105"/>
      <c r="R743" s="1097"/>
      <c r="S743" s="1102"/>
      <c r="T743" s="1101"/>
      <c r="U743" s="1102"/>
    </row>
    <row r="744" spans="1:21" ht="15.6" hidden="1" customHeight="1" thickBot="1" x14ac:dyDescent="0.3">
      <c r="A744" s="1168"/>
      <c r="B744" s="659" t="s">
        <v>2247</v>
      </c>
      <c r="C744" s="1465">
        <f>C741-C742</f>
        <v>0</v>
      </c>
      <c r="D744" s="656"/>
      <c r="E744" s="1465">
        <f>E741-E742</f>
        <v>0</v>
      </c>
      <c r="F744" s="656"/>
      <c r="G744" s="1465">
        <f>G741-G742</f>
        <v>0</v>
      </c>
      <c r="H744" s="656"/>
      <c r="I744" s="1465">
        <f>I741-I742</f>
        <v>0</v>
      </c>
      <c r="J744" s="657"/>
      <c r="K744" s="1465">
        <f>K741-K742</f>
        <v>0</v>
      </c>
      <c r="L744" s="664"/>
      <c r="M744" s="1483">
        <f>K744-K457</f>
        <v>0</v>
      </c>
      <c r="N744" s="1133"/>
      <c r="O744" s="1133"/>
      <c r="P744" s="1105"/>
      <c r="R744" s="1097"/>
      <c r="S744" s="1102"/>
      <c r="T744" s="1101"/>
      <c r="U744" s="1102"/>
    </row>
    <row r="745" spans="1:21" ht="15.6" hidden="1" customHeight="1" thickTop="1" x14ac:dyDescent="0.25">
      <c r="A745" s="1168"/>
      <c r="B745" s="655"/>
      <c r="C745" s="655"/>
      <c r="D745" s="656"/>
      <c r="E745" s="655"/>
      <c r="F745" s="656"/>
      <c r="G745" s="656"/>
      <c r="H745" s="656"/>
      <c r="I745" s="657"/>
      <c r="J745" s="657"/>
      <c r="K745" s="657"/>
      <c r="L745" s="664"/>
      <c r="N745" s="1133"/>
      <c r="O745" s="1133"/>
      <c r="P745" s="1105"/>
      <c r="R745" s="1097"/>
      <c r="S745" s="1102"/>
      <c r="T745" s="1101"/>
      <c r="U745" s="1102"/>
    </row>
    <row r="746" spans="1:21" ht="15.6" hidden="1" customHeight="1" x14ac:dyDescent="0.25">
      <c r="B746" s="229" t="s">
        <v>3976</v>
      </c>
      <c r="C746" s="881"/>
      <c r="D746" s="48"/>
      <c r="E746" s="881"/>
      <c r="F746" s="48"/>
      <c r="G746" s="881"/>
      <c r="H746" s="48"/>
      <c r="I746" s="881"/>
      <c r="J746" s="48"/>
      <c r="K746" s="881"/>
      <c r="N746" s="1134"/>
      <c r="O746" s="1134"/>
      <c r="P746" s="1105"/>
      <c r="R746" s="1097"/>
      <c r="S746" s="1102"/>
      <c r="T746" s="1101"/>
      <c r="U746" s="1102"/>
    </row>
    <row r="747" spans="1:21" ht="15.6" hidden="1" customHeight="1" x14ac:dyDescent="0.25">
      <c r="B747" s="48" t="s">
        <v>2245</v>
      </c>
      <c r="C747" s="227">
        <v>0</v>
      </c>
      <c r="D747" s="199"/>
      <c r="E747" s="227">
        <v>0</v>
      </c>
      <c r="F747" s="199"/>
      <c r="G747" s="227">
        <v>0</v>
      </c>
      <c r="H747" s="199"/>
      <c r="I747" s="186">
        <v>0</v>
      </c>
      <c r="J747" s="199"/>
      <c r="K747" s="186">
        <f>SUM(C747:J747)</f>
        <v>0</v>
      </c>
      <c r="M747" s="1483">
        <f>K747-G458</f>
        <v>0</v>
      </c>
      <c r="N747" s="1133"/>
      <c r="O747" s="1133"/>
      <c r="P747" s="1105"/>
      <c r="R747" s="1097"/>
      <c r="S747" s="1102"/>
      <c r="T747" s="1101"/>
      <c r="U747" s="1102"/>
    </row>
    <row r="748" spans="1:21" ht="15.6" hidden="1" customHeight="1" x14ac:dyDescent="0.25">
      <c r="B748" s="48" t="s">
        <v>2246</v>
      </c>
      <c r="C748" s="227">
        <v>0</v>
      </c>
      <c r="E748" s="227">
        <v>0</v>
      </c>
      <c r="G748" s="227">
        <v>0</v>
      </c>
      <c r="I748" s="227">
        <v>0</v>
      </c>
      <c r="J748" s="200"/>
      <c r="K748" s="186">
        <f>SUM(C748:J748)</f>
        <v>0</v>
      </c>
      <c r="L748" s="210"/>
      <c r="M748" s="1483">
        <f>K748-I458</f>
        <v>0</v>
      </c>
      <c r="N748" s="1133"/>
      <c r="O748" s="1133"/>
      <c r="P748" s="1105"/>
      <c r="R748" s="1097"/>
      <c r="S748" s="1102"/>
      <c r="T748" s="1101"/>
      <c r="U748" s="1102"/>
    </row>
    <row r="749" spans="1:21" ht="15.6" hidden="1" customHeight="1" x14ac:dyDescent="0.25">
      <c r="C749" s="185"/>
      <c r="E749" s="185"/>
      <c r="G749" s="689"/>
      <c r="I749" s="978"/>
      <c r="J749" s="200"/>
      <c r="K749" s="978"/>
      <c r="L749" s="210"/>
      <c r="N749" s="1133"/>
      <c r="O749" s="1133"/>
      <c r="P749" s="1105"/>
      <c r="R749" s="1097"/>
      <c r="S749" s="1102"/>
      <c r="T749" s="1101"/>
      <c r="U749" s="1102"/>
    </row>
    <row r="750" spans="1:21" ht="15.6" hidden="1" customHeight="1" thickBot="1" x14ac:dyDescent="0.3">
      <c r="B750" s="50" t="s">
        <v>2247</v>
      </c>
      <c r="C750" s="690">
        <f>C747-C748</f>
        <v>0</v>
      </c>
      <c r="E750" s="690">
        <f>E747-E748</f>
        <v>0</v>
      </c>
      <c r="G750" s="690">
        <f>G747-G748</f>
        <v>0</v>
      </c>
      <c r="I750" s="690">
        <f>I747-I748</f>
        <v>0</v>
      </c>
      <c r="J750" s="200"/>
      <c r="K750" s="690">
        <f>K747-K748</f>
        <v>0</v>
      </c>
      <c r="L750" s="210"/>
      <c r="M750" s="1483">
        <f>K750-K458</f>
        <v>0</v>
      </c>
      <c r="N750" s="1133"/>
      <c r="O750" s="1133"/>
      <c r="P750" s="1105"/>
      <c r="R750" s="1097"/>
      <c r="S750" s="1102"/>
      <c r="T750" s="1101"/>
      <c r="U750" s="1102"/>
    </row>
    <row r="751" spans="1:21" ht="15.6" hidden="1" customHeight="1" thickTop="1" x14ac:dyDescent="0.25">
      <c r="I751" s="200"/>
      <c r="J751" s="200"/>
      <c r="K751" s="200"/>
      <c r="L751" s="210"/>
      <c r="N751" s="1133"/>
      <c r="O751" s="1133"/>
      <c r="P751" s="1105"/>
      <c r="R751" s="1097"/>
      <c r="S751" s="1102"/>
      <c r="T751" s="1101"/>
      <c r="U751" s="1102"/>
    </row>
    <row r="752" spans="1:21" ht="15.6" hidden="1" customHeight="1" x14ac:dyDescent="0.25">
      <c r="B752" s="229" t="s">
        <v>2264</v>
      </c>
      <c r="C752" s="881"/>
      <c r="D752" s="48"/>
      <c r="E752" s="881"/>
      <c r="F752" s="48"/>
      <c r="G752" s="881"/>
      <c r="H752" s="48"/>
      <c r="I752" s="881"/>
      <c r="J752" s="48"/>
      <c r="K752" s="881"/>
      <c r="N752" s="1134"/>
      <c r="O752" s="1134"/>
      <c r="P752" s="1105"/>
      <c r="R752" s="1097"/>
      <c r="S752" s="1102"/>
      <c r="T752" s="1101"/>
      <c r="U752" s="1102"/>
    </row>
    <row r="753" spans="1:21" ht="15.6" hidden="1" customHeight="1" x14ac:dyDescent="0.25">
      <c r="B753" s="48" t="s">
        <v>2245</v>
      </c>
      <c r="C753" s="227">
        <v>0</v>
      </c>
      <c r="D753" s="199"/>
      <c r="E753" s="227">
        <v>0</v>
      </c>
      <c r="F753" s="199"/>
      <c r="G753" s="227">
        <v>0</v>
      </c>
      <c r="H753" s="199"/>
      <c r="I753" s="186">
        <v>0</v>
      </c>
      <c r="J753" s="199"/>
      <c r="K753" s="186">
        <f>SUM(C753:J753)</f>
        <v>0</v>
      </c>
      <c r="M753" s="1483">
        <f>K753-G459</f>
        <v>0</v>
      </c>
      <c r="N753" s="1133"/>
      <c r="O753" s="1133"/>
      <c r="P753" s="1105"/>
      <c r="R753" s="1097"/>
      <c r="S753" s="1102"/>
      <c r="T753" s="1101"/>
      <c r="U753" s="1102"/>
    </row>
    <row r="754" spans="1:21" ht="15.6" hidden="1" customHeight="1" x14ac:dyDescent="0.25">
      <c r="B754" s="48" t="s">
        <v>2246</v>
      </c>
      <c r="C754" s="227">
        <v>0</v>
      </c>
      <c r="E754" s="227">
        <v>0</v>
      </c>
      <c r="G754" s="227">
        <v>0</v>
      </c>
      <c r="I754" s="227">
        <v>0</v>
      </c>
      <c r="J754" s="200"/>
      <c r="K754" s="186">
        <f>SUM(C754:J754)</f>
        <v>0</v>
      </c>
      <c r="L754" s="210"/>
      <c r="M754" s="1483">
        <f>K754-I459</f>
        <v>0</v>
      </c>
      <c r="N754" s="1133"/>
      <c r="O754" s="1133"/>
      <c r="P754" s="1105"/>
      <c r="R754" s="1097"/>
      <c r="S754" s="1102"/>
      <c r="T754" s="1101"/>
      <c r="U754" s="1102"/>
    </row>
    <row r="755" spans="1:21" ht="15.6" hidden="1" customHeight="1" x14ac:dyDescent="0.25">
      <c r="C755" s="185"/>
      <c r="E755" s="185"/>
      <c r="G755" s="689"/>
      <c r="I755" s="978"/>
      <c r="J755" s="200"/>
      <c r="K755" s="978"/>
      <c r="L755" s="210"/>
      <c r="N755" s="1133"/>
      <c r="O755" s="1133"/>
      <c r="P755" s="1105"/>
      <c r="R755" s="1097"/>
      <c r="S755" s="1102"/>
      <c r="T755" s="1101"/>
      <c r="U755" s="1102"/>
    </row>
    <row r="756" spans="1:21" ht="15.6" hidden="1" customHeight="1" thickBot="1" x14ac:dyDescent="0.3">
      <c r="B756" s="50" t="s">
        <v>2247</v>
      </c>
      <c r="C756" s="690">
        <f>C753-C754</f>
        <v>0</v>
      </c>
      <c r="E756" s="690">
        <f>E753-E754</f>
        <v>0</v>
      </c>
      <c r="G756" s="690">
        <f>G753-G754</f>
        <v>0</v>
      </c>
      <c r="I756" s="690">
        <f>I753-I754</f>
        <v>0</v>
      </c>
      <c r="J756" s="200"/>
      <c r="K756" s="690">
        <f>K753-K754</f>
        <v>0</v>
      </c>
      <c r="L756" s="210"/>
      <c r="M756" s="1483">
        <f>K756-K459</f>
        <v>0</v>
      </c>
      <c r="N756" s="1133"/>
      <c r="O756" s="1133"/>
      <c r="P756" s="1105"/>
      <c r="R756" s="1097"/>
      <c r="S756" s="1102"/>
      <c r="T756" s="1101"/>
      <c r="U756" s="1102"/>
    </row>
    <row r="757" spans="1:21" ht="15.6" hidden="1" customHeight="1" thickTop="1" x14ac:dyDescent="0.25">
      <c r="I757" s="200"/>
      <c r="J757" s="200"/>
      <c r="K757" s="200"/>
      <c r="L757" s="210"/>
      <c r="N757" s="1133"/>
      <c r="O757" s="1133"/>
      <c r="P757" s="1105"/>
      <c r="R757" s="1097"/>
      <c r="S757" s="1102"/>
      <c r="T757" s="1101"/>
      <c r="U757" s="1102"/>
    </row>
    <row r="758" spans="1:21" ht="15.6" hidden="1" customHeight="1" x14ac:dyDescent="0.25">
      <c r="A758" s="1168"/>
      <c r="B758" s="1456" t="s">
        <v>3977</v>
      </c>
      <c r="C758" s="1462"/>
      <c r="D758" s="655"/>
      <c r="E758" s="1462"/>
      <c r="F758" s="655"/>
      <c r="G758" s="1462"/>
      <c r="H758" s="655"/>
      <c r="I758" s="1462"/>
      <c r="J758" s="655"/>
      <c r="K758" s="1462"/>
      <c r="L758" s="655"/>
      <c r="N758" s="1134"/>
      <c r="O758" s="1134"/>
      <c r="P758" s="1105"/>
      <c r="R758" s="1097"/>
      <c r="S758" s="1102"/>
      <c r="T758" s="1101"/>
      <c r="U758" s="1102"/>
    </row>
    <row r="759" spans="1:21" ht="15.6" hidden="1" customHeight="1" x14ac:dyDescent="0.25">
      <c r="A759" s="1168"/>
      <c r="B759" s="655" t="s">
        <v>2245</v>
      </c>
      <c r="C759" s="1417">
        <v>0</v>
      </c>
      <c r="D759" s="661"/>
      <c r="E759" s="1417">
        <v>0</v>
      </c>
      <c r="F759" s="661"/>
      <c r="G759" s="1417">
        <v>0</v>
      </c>
      <c r="H759" s="661"/>
      <c r="I759" s="1417">
        <v>0</v>
      </c>
      <c r="J759" s="661"/>
      <c r="K759" s="673">
        <f>SUM(C759:J759)</f>
        <v>0</v>
      </c>
      <c r="L759" s="655"/>
      <c r="M759" s="1483">
        <f>K759-G460</f>
        <v>0</v>
      </c>
      <c r="N759" s="1133"/>
      <c r="O759" s="1133"/>
      <c r="P759" s="1105"/>
      <c r="R759" s="1097"/>
      <c r="S759" s="1102"/>
      <c r="T759" s="1101"/>
      <c r="U759" s="1102"/>
    </row>
    <row r="760" spans="1:21" ht="15.6" hidden="1" customHeight="1" x14ac:dyDescent="0.25">
      <c r="A760" s="1168"/>
      <c r="B760" s="655" t="s">
        <v>2246</v>
      </c>
      <c r="C760" s="1417">
        <v>0</v>
      </c>
      <c r="D760" s="656"/>
      <c r="E760" s="1417">
        <v>0</v>
      </c>
      <c r="F760" s="656"/>
      <c r="G760" s="1417">
        <v>0</v>
      </c>
      <c r="H760" s="656"/>
      <c r="I760" s="1417">
        <v>0</v>
      </c>
      <c r="J760" s="657"/>
      <c r="K760" s="673">
        <f>SUM(C760:J760)</f>
        <v>0</v>
      </c>
      <c r="L760" s="664"/>
      <c r="M760" s="1483">
        <f>K760-I460</f>
        <v>0</v>
      </c>
      <c r="N760" s="1133"/>
      <c r="O760" s="1133"/>
      <c r="P760" s="1105"/>
      <c r="R760" s="1097"/>
      <c r="S760" s="1102"/>
      <c r="T760" s="1101"/>
      <c r="U760" s="1102"/>
    </row>
    <row r="761" spans="1:21" ht="15.6" hidden="1" customHeight="1" x14ac:dyDescent="0.25">
      <c r="A761" s="1168"/>
      <c r="B761" s="655"/>
      <c r="C761" s="1232"/>
      <c r="D761" s="656"/>
      <c r="E761" s="1232"/>
      <c r="F761" s="656"/>
      <c r="G761" s="1463"/>
      <c r="H761" s="656"/>
      <c r="I761" s="1464"/>
      <c r="J761" s="657"/>
      <c r="K761" s="1464"/>
      <c r="L761" s="664"/>
      <c r="N761" s="1133"/>
      <c r="O761" s="1133"/>
      <c r="P761" s="1105"/>
      <c r="R761" s="1097"/>
      <c r="S761" s="1102"/>
      <c r="T761" s="1101"/>
      <c r="U761" s="1102"/>
    </row>
    <row r="762" spans="1:21" ht="15.6" hidden="1" customHeight="1" thickBot="1" x14ac:dyDescent="0.3">
      <c r="A762" s="1168"/>
      <c r="B762" s="659" t="s">
        <v>2247</v>
      </c>
      <c r="C762" s="1465">
        <f>C759-C760</f>
        <v>0</v>
      </c>
      <c r="D762" s="656"/>
      <c r="E762" s="1465">
        <f>E759-E760</f>
        <v>0</v>
      </c>
      <c r="F762" s="656"/>
      <c r="G762" s="1465">
        <f>G759-G760</f>
        <v>0</v>
      </c>
      <c r="H762" s="656"/>
      <c r="I762" s="1465">
        <f>I759-I760</f>
        <v>0</v>
      </c>
      <c r="J762" s="657"/>
      <c r="K762" s="1465">
        <f>K759-K760</f>
        <v>0</v>
      </c>
      <c r="L762" s="664"/>
      <c r="M762" s="1483">
        <f>K762-K460</f>
        <v>0</v>
      </c>
      <c r="N762" s="1133"/>
      <c r="O762" s="1133"/>
      <c r="P762" s="1105"/>
      <c r="R762" s="1097"/>
      <c r="S762" s="1102"/>
      <c r="T762" s="1101"/>
      <c r="U762" s="1102"/>
    </row>
    <row r="763" spans="1:21" ht="15.6" hidden="1" customHeight="1" thickTop="1" x14ac:dyDescent="0.25">
      <c r="A763" s="1168"/>
      <c r="B763" s="655"/>
      <c r="C763" s="655"/>
      <c r="D763" s="656"/>
      <c r="E763" s="655"/>
      <c r="F763" s="656"/>
      <c r="G763" s="656"/>
      <c r="H763" s="656"/>
      <c r="I763" s="657"/>
      <c r="J763" s="657"/>
      <c r="K763" s="657"/>
      <c r="L763" s="664"/>
      <c r="N763" s="1133"/>
      <c r="O763" s="1133"/>
      <c r="P763" s="1105"/>
      <c r="R763" s="1097"/>
      <c r="S763" s="1102"/>
      <c r="T763" s="1101"/>
      <c r="U763" s="1102"/>
    </row>
    <row r="764" spans="1:21" ht="15.6" hidden="1" customHeight="1" x14ac:dyDescent="0.25">
      <c r="A764" s="1168"/>
      <c r="B764" s="1456" t="s">
        <v>2268</v>
      </c>
      <c r="C764" s="1462"/>
      <c r="D764" s="655"/>
      <c r="E764" s="1462"/>
      <c r="F764" s="655"/>
      <c r="G764" s="1462"/>
      <c r="H764" s="655"/>
      <c r="I764" s="1462"/>
      <c r="J764" s="655"/>
      <c r="K764" s="1462"/>
      <c r="L764" s="655"/>
      <c r="N764" s="1134"/>
      <c r="O764" s="1134"/>
      <c r="P764" s="1105"/>
      <c r="R764" s="1097"/>
      <c r="S764" s="1102"/>
      <c r="T764" s="1101"/>
      <c r="U764" s="1102"/>
    </row>
    <row r="765" spans="1:21" ht="15.6" hidden="1" customHeight="1" x14ac:dyDescent="0.25">
      <c r="A765" s="1168"/>
      <c r="B765" s="655" t="s">
        <v>2245</v>
      </c>
      <c r="C765" s="1417">
        <v>0</v>
      </c>
      <c r="D765" s="661"/>
      <c r="E765" s="1417">
        <v>0</v>
      </c>
      <c r="F765" s="661"/>
      <c r="G765" s="1417">
        <v>0</v>
      </c>
      <c r="H765" s="661"/>
      <c r="I765" s="673">
        <v>0</v>
      </c>
      <c r="J765" s="661"/>
      <c r="K765" s="673">
        <f>SUM(C765:J765)</f>
        <v>0</v>
      </c>
      <c r="L765" s="655"/>
      <c r="M765" s="1483">
        <f>K765-G461</f>
        <v>0</v>
      </c>
      <c r="N765" s="1133"/>
      <c r="O765" s="1133"/>
      <c r="P765" s="1105"/>
      <c r="R765" s="1097"/>
      <c r="S765" s="1102"/>
      <c r="T765" s="1101"/>
      <c r="U765" s="1102"/>
    </row>
    <row r="766" spans="1:21" ht="15.6" hidden="1" customHeight="1" x14ac:dyDescent="0.25">
      <c r="A766" s="1168"/>
      <c r="B766" s="655" t="s">
        <v>2246</v>
      </c>
      <c r="C766" s="1417">
        <v>0</v>
      </c>
      <c r="D766" s="656"/>
      <c r="E766" s="1417">
        <v>0</v>
      </c>
      <c r="F766" s="656"/>
      <c r="G766" s="1417">
        <v>0</v>
      </c>
      <c r="H766" s="656"/>
      <c r="I766" s="1417">
        <v>0</v>
      </c>
      <c r="J766" s="657"/>
      <c r="K766" s="673">
        <f>SUM(C766:J766)</f>
        <v>0</v>
      </c>
      <c r="L766" s="664"/>
      <c r="M766" s="1483">
        <f>K766-I461</f>
        <v>0</v>
      </c>
      <c r="N766" s="1133"/>
      <c r="O766" s="1133"/>
      <c r="P766" s="1105"/>
      <c r="R766" s="1097"/>
      <c r="S766" s="1102"/>
      <c r="T766" s="1101"/>
      <c r="U766" s="1102"/>
    </row>
    <row r="767" spans="1:21" ht="15.6" hidden="1" customHeight="1" x14ac:dyDescent="0.25">
      <c r="A767" s="1168"/>
      <c r="B767" s="655"/>
      <c r="C767" s="1232"/>
      <c r="D767" s="656"/>
      <c r="E767" s="1232"/>
      <c r="F767" s="656"/>
      <c r="G767" s="1463"/>
      <c r="H767" s="656"/>
      <c r="I767" s="1464"/>
      <c r="J767" s="657"/>
      <c r="K767" s="1464"/>
      <c r="L767" s="664"/>
      <c r="N767" s="1133"/>
      <c r="O767" s="1133"/>
      <c r="P767" s="1105"/>
      <c r="R767" s="1097"/>
      <c r="S767" s="1102"/>
      <c r="T767" s="1101"/>
      <c r="U767" s="1102"/>
    </row>
    <row r="768" spans="1:21" ht="15.6" hidden="1" customHeight="1" thickBot="1" x14ac:dyDescent="0.3">
      <c r="A768" s="1168"/>
      <c r="B768" s="659" t="s">
        <v>2247</v>
      </c>
      <c r="C768" s="1465">
        <f>C765-C766</f>
        <v>0</v>
      </c>
      <c r="D768" s="656"/>
      <c r="E768" s="1465">
        <f>E765-E766</f>
        <v>0</v>
      </c>
      <c r="F768" s="656"/>
      <c r="G768" s="1465">
        <f>G765-G766</f>
        <v>0</v>
      </c>
      <c r="H768" s="656"/>
      <c r="I768" s="1465">
        <f>I765-I766</f>
        <v>0</v>
      </c>
      <c r="J768" s="657"/>
      <c r="K768" s="1465">
        <f>K765-K766</f>
        <v>0</v>
      </c>
      <c r="L768" s="664"/>
      <c r="M768" s="1483">
        <f>K768-K461</f>
        <v>0</v>
      </c>
      <c r="N768" s="1133"/>
      <c r="O768" s="1133"/>
      <c r="P768" s="1105"/>
      <c r="R768" s="1097"/>
      <c r="S768" s="1102"/>
      <c r="T768" s="1101"/>
      <c r="U768" s="1102"/>
    </row>
    <row r="769" spans="1:21" ht="15.6" hidden="1" customHeight="1" thickTop="1" x14ac:dyDescent="0.25">
      <c r="A769" s="1168"/>
      <c r="B769" s="655"/>
      <c r="C769" s="655"/>
      <c r="D769" s="656"/>
      <c r="E769" s="655"/>
      <c r="F769" s="656"/>
      <c r="G769" s="656"/>
      <c r="H769" s="656"/>
      <c r="I769" s="657"/>
      <c r="J769" s="657"/>
      <c r="K769" s="657"/>
      <c r="L769" s="664"/>
      <c r="N769" s="1133"/>
      <c r="O769" s="1133"/>
      <c r="P769" s="1105"/>
      <c r="R769" s="1097"/>
      <c r="S769" s="1102"/>
      <c r="T769" s="1101"/>
      <c r="U769" s="1102"/>
    </row>
    <row r="770" spans="1:21" ht="15.6" hidden="1" customHeight="1" x14ac:dyDescent="0.25">
      <c r="A770" s="1168"/>
      <c r="B770" s="1456" t="s">
        <v>2269</v>
      </c>
      <c r="C770" s="1462"/>
      <c r="D770" s="655"/>
      <c r="E770" s="1462"/>
      <c r="F770" s="655"/>
      <c r="G770" s="1462"/>
      <c r="H770" s="655"/>
      <c r="I770" s="1462"/>
      <c r="J770" s="655"/>
      <c r="K770" s="1462"/>
      <c r="L770" s="655"/>
      <c r="N770" s="1134"/>
      <c r="O770" s="1134"/>
      <c r="P770" s="1105"/>
      <c r="R770" s="1097"/>
      <c r="S770" s="1102"/>
      <c r="T770" s="1101"/>
      <c r="U770" s="1102"/>
    </row>
    <row r="771" spans="1:21" ht="15.6" hidden="1" customHeight="1" x14ac:dyDescent="0.25">
      <c r="A771" s="1168"/>
      <c r="B771" s="655" t="s">
        <v>2245</v>
      </c>
      <c r="C771" s="1417">
        <v>0</v>
      </c>
      <c r="D771" s="661"/>
      <c r="E771" s="1417">
        <v>0</v>
      </c>
      <c r="F771" s="661"/>
      <c r="G771" s="1417">
        <v>0</v>
      </c>
      <c r="H771" s="661"/>
      <c r="I771" s="673">
        <v>0</v>
      </c>
      <c r="J771" s="661"/>
      <c r="K771" s="673">
        <f>SUM(C771:J771)</f>
        <v>0</v>
      </c>
      <c r="L771" s="655"/>
      <c r="M771" s="1483">
        <f>K771-G462</f>
        <v>0</v>
      </c>
      <c r="N771" s="1133"/>
      <c r="O771" s="1133"/>
      <c r="P771" s="1105"/>
      <c r="R771" s="1097"/>
      <c r="S771" s="1102"/>
      <c r="T771" s="1101"/>
      <c r="U771" s="1102"/>
    </row>
    <row r="772" spans="1:21" ht="15.6" hidden="1" customHeight="1" x14ac:dyDescent="0.25">
      <c r="A772" s="1168"/>
      <c r="B772" s="655" t="s">
        <v>2246</v>
      </c>
      <c r="C772" s="1417">
        <v>0</v>
      </c>
      <c r="D772" s="656"/>
      <c r="E772" s="1417">
        <v>0</v>
      </c>
      <c r="F772" s="656"/>
      <c r="G772" s="1417">
        <v>0</v>
      </c>
      <c r="H772" s="656"/>
      <c r="I772" s="1417">
        <v>0</v>
      </c>
      <c r="J772" s="657"/>
      <c r="K772" s="673">
        <f>SUM(C772:J772)</f>
        <v>0</v>
      </c>
      <c r="L772" s="664"/>
      <c r="M772" s="1483">
        <f>K772-I462</f>
        <v>0</v>
      </c>
      <c r="N772" s="1133"/>
      <c r="O772" s="1133"/>
      <c r="P772" s="1105"/>
      <c r="R772" s="1097"/>
      <c r="S772" s="1102"/>
      <c r="T772" s="1101"/>
      <c r="U772" s="1102"/>
    </row>
    <row r="773" spans="1:21" ht="15.6" hidden="1" customHeight="1" x14ac:dyDescent="0.25">
      <c r="A773" s="1168"/>
      <c r="B773" s="655"/>
      <c r="C773" s="1232"/>
      <c r="D773" s="656"/>
      <c r="E773" s="1232"/>
      <c r="F773" s="656"/>
      <c r="G773" s="1463"/>
      <c r="H773" s="656"/>
      <c r="I773" s="1464"/>
      <c r="J773" s="657"/>
      <c r="K773" s="1464"/>
      <c r="L773" s="664"/>
      <c r="N773" s="1133"/>
      <c r="O773" s="1133"/>
      <c r="P773" s="1105"/>
      <c r="R773" s="1097"/>
      <c r="S773" s="1102"/>
      <c r="T773" s="1101"/>
      <c r="U773" s="1102"/>
    </row>
    <row r="774" spans="1:21" ht="15.6" hidden="1" customHeight="1" thickBot="1" x14ac:dyDescent="0.3">
      <c r="A774" s="1168"/>
      <c r="B774" s="659" t="s">
        <v>2247</v>
      </c>
      <c r="C774" s="1465">
        <f>C771-C772</f>
        <v>0</v>
      </c>
      <c r="D774" s="656"/>
      <c r="E774" s="1465">
        <f>E771-E772</f>
        <v>0</v>
      </c>
      <c r="F774" s="656"/>
      <c r="G774" s="1465">
        <f>G771-G772</f>
        <v>0</v>
      </c>
      <c r="H774" s="656"/>
      <c r="I774" s="1465">
        <f>I771-I772</f>
        <v>0</v>
      </c>
      <c r="J774" s="657"/>
      <c r="K774" s="1465">
        <f>K771-K772</f>
        <v>0</v>
      </c>
      <c r="L774" s="664"/>
      <c r="M774" s="1483">
        <f>K774-K462</f>
        <v>0</v>
      </c>
      <c r="N774" s="1133"/>
      <c r="O774" s="1133"/>
      <c r="P774" s="1105"/>
      <c r="R774" s="1097"/>
      <c r="S774" s="1102"/>
      <c r="T774" s="1101"/>
      <c r="U774" s="1102"/>
    </row>
    <row r="775" spans="1:21" ht="15.6" hidden="1" customHeight="1" thickTop="1" x14ac:dyDescent="0.25">
      <c r="A775" s="1168"/>
      <c r="B775" s="655"/>
      <c r="C775" s="655"/>
      <c r="D775" s="656"/>
      <c r="E775" s="655"/>
      <c r="F775" s="656"/>
      <c r="G775" s="656"/>
      <c r="H775" s="656"/>
      <c r="I775" s="657"/>
      <c r="J775" s="657"/>
      <c r="K775" s="657"/>
      <c r="L775" s="664"/>
      <c r="N775" s="1133"/>
      <c r="O775" s="1133"/>
      <c r="P775" s="1105"/>
      <c r="R775" s="1097"/>
      <c r="S775" s="1102"/>
      <c r="T775" s="1101"/>
      <c r="U775" s="1102"/>
    </row>
    <row r="776" spans="1:21" ht="15.6" hidden="1" customHeight="1" x14ac:dyDescent="0.25">
      <c r="A776" s="1168"/>
      <c r="B776" s="1456" t="s">
        <v>2270</v>
      </c>
      <c r="C776" s="1462"/>
      <c r="D776" s="655"/>
      <c r="E776" s="1462"/>
      <c r="F776" s="655"/>
      <c r="G776" s="1462"/>
      <c r="H776" s="655"/>
      <c r="I776" s="1462"/>
      <c r="J776" s="655"/>
      <c r="K776" s="1462"/>
      <c r="L776" s="655"/>
      <c r="N776" s="1134"/>
      <c r="O776" s="1134"/>
      <c r="P776" s="1105"/>
      <c r="R776" s="1097"/>
      <c r="S776" s="1102"/>
      <c r="T776" s="1101"/>
      <c r="U776" s="1102"/>
    </row>
    <row r="777" spans="1:21" ht="15.6" hidden="1" customHeight="1" x14ac:dyDescent="0.25">
      <c r="A777" s="1168"/>
      <c r="B777" s="655" t="s">
        <v>2245</v>
      </c>
      <c r="C777" s="1417">
        <v>0</v>
      </c>
      <c r="D777" s="661"/>
      <c r="E777" s="1417">
        <v>0</v>
      </c>
      <c r="F777" s="661"/>
      <c r="G777" s="1417">
        <v>0</v>
      </c>
      <c r="H777" s="661"/>
      <c r="I777" s="673">
        <v>0</v>
      </c>
      <c r="J777" s="661"/>
      <c r="K777" s="673">
        <f>SUM(C777:J777)</f>
        <v>0</v>
      </c>
      <c r="L777" s="655"/>
      <c r="M777" s="1483">
        <f>K777-G463</f>
        <v>0</v>
      </c>
      <c r="N777" s="1133"/>
      <c r="O777" s="1133"/>
      <c r="P777" s="1105"/>
      <c r="R777" s="1097"/>
      <c r="S777" s="1102"/>
      <c r="T777" s="1101"/>
      <c r="U777" s="1102"/>
    </row>
    <row r="778" spans="1:21" ht="15.6" hidden="1" customHeight="1" x14ac:dyDescent="0.25">
      <c r="A778" s="1168"/>
      <c r="B778" s="655" t="s">
        <v>2246</v>
      </c>
      <c r="C778" s="1417">
        <v>0</v>
      </c>
      <c r="D778" s="656"/>
      <c r="E778" s="1417">
        <v>0</v>
      </c>
      <c r="F778" s="656"/>
      <c r="G778" s="1417">
        <v>0</v>
      </c>
      <c r="H778" s="656"/>
      <c r="I778" s="1417">
        <v>0</v>
      </c>
      <c r="J778" s="657"/>
      <c r="K778" s="673">
        <f>SUM(C778:J778)</f>
        <v>0</v>
      </c>
      <c r="L778" s="664"/>
      <c r="M778" s="1483">
        <f>K778-I463</f>
        <v>0</v>
      </c>
      <c r="N778" s="1133"/>
      <c r="O778" s="1133"/>
      <c r="P778" s="1105"/>
      <c r="R778" s="1097"/>
      <c r="S778" s="1102"/>
      <c r="T778" s="1101"/>
      <c r="U778" s="1102"/>
    </row>
    <row r="779" spans="1:21" ht="15.6" hidden="1" customHeight="1" x14ac:dyDescent="0.25">
      <c r="A779" s="1168"/>
      <c r="B779" s="655"/>
      <c r="C779" s="1232"/>
      <c r="D779" s="656"/>
      <c r="E779" s="1232"/>
      <c r="F779" s="656"/>
      <c r="G779" s="1463"/>
      <c r="H779" s="656"/>
      <c r="I779" s="1464"/>
      <c r="J779" s="657"/>
      <c r="K779" s="1464"/>
      <c r="L779" s="664"/>
      <c r="N779" s="1133"/>
      <c r="O779" s="1133"/>
      <c r="P779" s="1105"/>
      <c r="R779" s="1097"/>
      <c r="S779" s="1102"/>
      <c r="T779" s="1101"/>
      <c r="U779" s="1102"/>
    </row>
    <row r="780" spans="1:21" ht="15.6" hidden="1" customHeight="1" thickBot="1" x14ac:dyDescent="0.3">
      <c r="A780" s="1168"/>
      <c r="B780" s="659" t="s">
        <v>2247</v>
      </c>
      <c r="C780" s="1465">
        <f>C777-C778</f>
        <v>0</v>
      </c>
      <c r="D780" s="656"/>
      <c r="E780" s="1465">
        <f>E777-E778</f>
        <v>0</v>
      </c>
      <c r="F780" s="656"/>
      <c r="G780" s="1465">
        <f>G777-G778</f>
        <v>0</v>
      </c>
      <c r="H780" s="656"/>
      <c r="I780" s="1465">
        <f>I777-I778</f>
        <v>0</v>
      </c>
      <c r="J780" s="657"/>
      <c r="K780" s="1465">
        <f>K777-K778</f>
        <v>0</v>
      </c>
      <c r="L780" s="664"/>
      <c r="M780" s="1483">
        <f>K780-K463</f>
        <v>0</v>
      </c>
      <c r="N780" s="1133"/>
      <c r="O780" s="1133"/>
      <c r="P780" s="1105"/>
      <c r="R780" s="1097"/>
      <c r="S780" s="1102"/>
      <c r="T780" s="1101"/>
      <c r="U780" s="1102"/>
    </row>
    <row r="781" spans="1:21" ht="15.6" hidden="1" customHeight="1" thickTop="1" x14ac:dyDescent="0.25">
      <c r="A781" s="1168"/>
      <c r="B781" s="655"/>
      <c r="C781" s="655"/>
      <c r="D781" s="656"/>
      <c r="E781" s="655"/>
      <c r="F781" s="656"/>
      <c r="G781" s="656"/>
      <c r="H781" s="656"/>
      <c r="I781" s="657"/>
      <c r="J781" s="657"/>
      <c r="K781" s="657"/>
      <c r="L781" s="664"/>
      <c r="N781" s="1133"/>
      <c r="O781" s="1133"/>
      <c r="P781" s="1105"/>
      <c r="R781" s="1097"/>
      <c r="S781" s="1102"/>
      <c r="T781" s="1101"/>
      <c r="U781" s="1102"/>
    </row>
    <row r="782" spans="1:21" ht="15.6" customHeight="1" x14ac:dyDescent="0.25">
      <c r="B782" s="2839" t="str">
        <f>"As at 30 June Receivables of R"&amp;FIXED(K792,0,FALSE)&amp;" were past due but not impaired.  The age analysis of these Receivables are as follows:"</f>
        <v>As at 30 June Receivables of R4 115 318 were past due but not impaired.  The age analysis of these Receivables are as follows:</v>
      </c>
      <c r="C782" s="2839"/>
      <c r="D782" s="2839"/>
      <c r="E782" s="2839"/>
      <c r="F782" s="2839"/>
      <c r="G782" s="2839"/>
      <c r="H782" s="2839"/>
      <c r="I782" s="2839"/>
      <c r="J782" s="2839"/>
      <c r="K782" s="2839"/>
      <c r="M782" s="1217" t="s">
        <v>2243</v>
      </c>
      <c r="O782" s="1133"/>
      <c r="R782" s="1097"/>
      <c r="T782" s="1101"/>
      <c r="U782" s="1102"/>
    </row>
    <row r="783" spans="1:21" ht="30.95" hidden="1" customHeight="1" x14ac:dyDescent="0.25">
      <c r="A783" s="1177"/>
      <c r="B783" s="2842" t="s">
        <v>2493</v>
      </c>
      <c r="C783" s="2843"/>
      <c r="D783" s="2843"/>
      <c r="E783" s="2843"/>
      <c r="F783" s="2843"/>
      <c r="G783" s="2843"/>
      <c r="H783" s="2843"/>
      <c r="I783" s="2843"/>
      <c r="J783" s="2843"/>
      <c r="K783" s="2843"/>
      <c r="L783" s="980"/>
      <c r="N783" s="1133"/>
      <c r="O783" s="1133"/>
      <c r="P783" s="1105"/>
      <c r="R783" s="1097"/>
      <c r="S783" s="1102"/>
      <c r="T783" s="1101"/>
      <c r="U783" s="1102"/>
    </row>
    <row r="784" spans="1:21" ht="30.95" hidden="1" customHeight="1" x14ac:dyDescent="0.25">
      <c r="A784" s="1177"/>
      <c r="B784" s="2842" t="s">
        <v>2251</v>
      </c>
      <c r="C784" s="2843"/>
      <c r="D784" s="2843"/>
      <c r="E784" s="2843"/>
      <c r="F784" s="2843"/>
      <c r="G784" s="2843"/>
      <c r="H784" s="2843"/>
      <c r="I784" s="2843"/>
      <c r="J784" s="2843"/>
      <c r="K784" s="2843"/>
      <c r="L784" s="980"/>
      <c r="N784" s="1133"/>
      <c r="O784" s="1133"/>
      <c r="P784" s="1105"/>
      <c r="R784" s="1097"/>
      <c r="S784" s="1102"/>
      <c r="T784" s="1101"/>
      <c r="U784" s="1102"/>
    </row>
    <row r="785" spans="2:23" ht="15.6" customHeight="1" x14ac:dyDescent="0.25">
      <c r="D785" s="135"/>
      <c r="E785" s="2834" t="s">
        <v>2244</v>
      </c>
      <c r="F785" s="2835"/>
      <c r="G785" s="2835"/>
      <c r="H785" s="2835"/>
      <c r="I785" s="2836"/>
      <c r="J785" s="209"/>
      <c r="K785" s="2837" t="s">
        <v>234</v>
      </c>
      <c r="M785" s="1147"/>
      <c r="N785" s="1134"/>
      <c r="O785" s="1134"/>
      <c r="P785" s="1105"/>
      <c r="R785" s="1097"/>
      <c r="S785" s="1102"/>
      <c r="T785" s="1101"/>
      <c r="U785" s="1102"/>
    </row>
    <row r="786" spans="2:23" ht="15.6" customHeight="1" x14ac:dyDescent="0.25">
      <c r="B786" s="50"/>
      <c r="C786" s="50"/>
      <c r="D786" s="974"/>
      <c r="E786" s="976" t="s">
        <v>293</v>
      </c>
      <c r="F786" s="974"/>
      <c r="G786" s="976" t="s">
        <v>294</v>
      </c>
      <c r="H786" s="974"/>
      <c r="I786" s="975" t="s">
        <v>1345</v>
      </c>
      <c r="J786" s="209"/>
      <c r="K786" s="2838"/>
      <c r="M786" s="1147"/>
      <c r="N786" s="1134"/>
      <c r="O786" s="1134"/>
      <c r="P786" s="1105"/>
      <c r="R786" s="1097"/>
      <c r="S786" s="1102"/>
      <c r="T786" s="1101"/>
      <c r="U786" s="1102"/>
    </row>
    <row r="787" spans="2:23" ht="15.6" customHeight="1" x14ac:dyDescent="0.25">
      <c r="I787" s="200"/>
      <c r="J787" s="200"/>
      <c r="K787" s="200"/>
      <c r="L787" s="210"/>
      <c r="N787" s="1133"/>
      <c r="O787" s="1133"/>
      <c r="P787" s="1105"/>
      <c r="R787" s="1097"/>
      <c r="S787" s="1102"/>
      <c r="T787" s="1101"/>
      <c r="U787" s="1102"/>
    </row>
    <row r="788" spans="2:23" ht="15.6" customHeight="1" x14ac:dyDescent="0.25">
      <c r="B788" s="229" t="s">
        <v>4238</v>
      </c>
      <c r="D788" s="48"/>
      <c r="E788" s="881"/>
      <c r="F788" s="48"/>
      <c r="G788" s="881"/>
      <c r="H788" s="48"/>
      <c r="I788" s="881"/>
      <c r="J788" s="48"/>
      <c r="K788" s="881"/>
      <c r="N788" s="1134"/>
      <c r="O788" s="1134"/>
      <c r="P788" s="1105"/>
      <c r="R788" s="1097"/>
      <c r="S788" s="1102"/>
      <c r="T788" s="1101"/>
      <c r="U788" s="1102"/>
    </row>
    <row r="789" spans="2:23" ht="15.6" customHeight="1" x14ac:dyDescent="0.25">
      <c r="B789" s="48" t="s">
        <v>2245</v>
      </c>
      <c r="C789" s="962">
        <f>SUM(C705,C711,C717,C723,C729,C735,C741,C747,C753,C759,C765,C771,C777)</f>
        <v>11263</v>
      </c>
      <c r="D789" s="199"/>
      <c r="E789" s="227">
        <f>SUM(E705,E711,E717,E723,E729,E735,E741,E747,E753,E759,E765,E771,E777)</f>
        <v>11137</v>
      </c>
      <c r="F789" s="199"/>
      <c r="G789" s="227">
        <f>SUM(G705,G711,G717,G723,G729,G735,G741,G747,G753,G759,G765,G771,G777)</f>
        <v>13194</v>
      </c>
      <c r="H789" s="199"/>
      <c r="I789" s="227">
        <f>SUM(I705,I711,I717,I723,I729,I735,I741,I747,I753,I759,I765,I771,I777)</f>
        <v>4090987</v>
      </c>
      <c r="J789" s="199"/>
      <c r="K789" s="186">
        <f>SUM(E789:J789)</f>
        <v>4115318</v>
      </c>
      <c r="M789" s="1483">
        <f>K789-G465+SUM(C705,C711,C717,C723,C729,C735,C741,C747,C753,C759,C765,C771,C777)</f>
        <v>0.5</v>
      </c>
      <c r="N789" s="1133"/>
      <c r="O789" s="1133"/>
      <c r="P789" s="1105"/>
      <c r="R789" s="1097"/>
      <c r="S789" s="1102"/>
      <c r="T789" s="1101"/>
      <c r="U789" s="1102"/>
    </row>
    <row r="790" spans="2:23" ht="15.6" customHeight="1" x14ac:dyDescent="0.25">
      <c r="B790" s="48" t="s">
        <v>2246</v>
      </c>
      <c r="C790" s="962">
        <f>SUM(C706,C712,C718,C724,C730,C736,C742,C748,C754,C760,C766,C772,C778)</f>
        <v>0</v>
      </c>
      <c r="E790" s="227">
        <f>SUM(E706,E712,E718,E724,E730,E736,E742,E748,E754,E760,E766,E772,E778)</f>
        <v>0</v>
      </c>
      <c r="G790" s="227">
        <f>SUM(G706,G712,G718,G724,G730,G736,G742,G748,G754,G760,G766,G772,G778)</f>
        <v>0</v>
      </c>
      <c r="I790" s="227">
        <f>SUM(I706,I712,I718,I724,I730,I736,I742,I748,I754,I760,I766,I772,I778)</f>
        <v>0</v>
      </c>
      <c r="J790" s="200"/>
      <c r="K790" s="186">
        <f>SUM(E790:J790)</f>
        <v>0</v>
      </c>
      <c r="L790" s="210"/>
      <c r="M790" s="1483">
        <f>K790-I465+SUM(C706,C712,C718,C724,C730,C736,C742,C748,C754,C760,C766,C772,C778)</f>
        <v>0</v>
      </c>
      <c r="N790" s="1133"/>
      <c r="O790" s="1133"/>
      <c r="P790" s="1105"/>
      <c r="R790" s="1097"/>
      <c r="S790" s="1102"/>
      <c r="T790" s="1101"/>
      <c r="U790" s="1102"/>
    </row>
    <row r="791" spans="2:23" ht="15.6" customHeight="1" x14ac:dyDescent="0.25">
      <c r="C791" s="961"/>
      <c r="E791" s="185"/>
      <c r="G791" s="689"/>
      <c r="I791" s="978"/>
      <c r="J791" s="200"/>
      <c r="K791" s="978"/>
      <c r="L791" s="210"/>
      <c r="N791" s="1133"/>
      <c r="O791" s="1133"/>
      <c r="P791" s="1105"/>
      <c r="R791" s="1097"/>
      <c r="S791" s="1102"/>
      <c r="T791" s="1101"/>
      <c r="U791" s="1102"/>
    </row>
    <row r="792" spans="2:23" ht="15.6" customHeight="1" thickBot="1" x14ac:dyDescent="0.3">
      <c r="B792" s="50" t="s">
        <v>2247</v>
      </c>
      <c r="C792" s="985">
        <f>C789-C790</f>
        <v>11263</v>
      </c>
      <c r="E792" s="690">
        <f>E789-E790</f>
        <v>11137</v>
      </c>
      <c r="G792" s="690">
        <f>G789-G790</f>
        <v>13194</v>
      </c>
      <c r="I792" s="690">
        <f>I789-I790</f>
        <v>4090987</v>
      </c>
      <c r="J792" s="200"/>
      <c r="K792" s="690">
        <f>K789-K790</f>
        <v>4115318</v>
      </c>
      <c r="L792" s="210"/>
      <c r="M792" s="1483">
        <f>K792-K465+SUM(C708,C714,C720,C726,C732,C738,C744,C750,C756,C762,C768,C774,C780)</f>
        <v>0.5</v>
      </c>
      <c r="N792" s="1133"/>
      <c r="O792" s="1133"/>
      <c r="P792" s="1105"/>
      <c r="R792" s="1097"/>
      <c r="S792" s="1102"/>
      <c r="T792" s="1101"/>
      <c r="U792" s="1102"/>
    </row>
    <row r="793" spans="2:23" ht="15.6" customHeight="1" thickTop="1" x14ac:dyDescent="0.25">
      <c r="C793" s="986"/>
      <c r="I793" s="200"/>
      <c r="J793" s="200"/>
      <c r="K793" s="200"/>
      <c r="L793" s="210"/>
      <c r="N793" s="1133"/>
      <c r="O793" s="1133"/>
      <c r="P793" s="1105"/>
      <c r="R793" s="1097"/>
      <c r="S793" s="1102"/>
      <c r="T793" s="1101"/>
      <c r="U793" s="1102"/>
    </row>
    <row r="794" spans="2:23" ht="15.6" customHeight="1" x14ac:dyDescent="0.25">
      <c r="B794" s="229" t="s">
        <v>7533</v>
      </c>
      <c r="C794" s="50"/>
      <c r="D794" s="199"/>
      <c r="F794" s="199"/>
      <c r="G794" s="199"/>
      <c r="H794" s="199"/>
      <c r="I794" s="199"/>
      <c r="J794" s="199"/>
      <c r="K794" s="199"/>
      <c r="M794" s="1147"/>
      <c r="N794" s="1134"/>
      <c r="O794" s="1134"/>
      <c r="P794" s="1105"/>
      <c r="R794" s="1097"/>
      <c r="S794" s="1102"/>
      <c r="T794" s="1101"/>
      <c r="U794" s="1102"/>
      <c r="W794" s="1128" t="s">
        <v>3857</v>
      </c>
    </row>
    <row r="795" spans="2:23" ht="15.6" customHeight="1" x14ac:dyDescent="0.25">
      <c r="I795" s="200"/>
      <c r="J795" s="200"/>
      <c r="K795" s="200"/>
      <c r="L795" s="210"/>
      <c r="N795" s="1133"/>
      <c r="O795" s="1133"/>
      <c r="P795" s="1105"/>
      <c r="R795" s="1097"/>
      <c r="S795" s="1102"/>
      <c r="T795" s="1101"/>
      <c r="U795" s="1102"/>
    </row>
    <row r="796" spans="2:23" ht="15.6" customHeight="1" x14ac:dyDescent="0.25">
      <c r="B796" s="50"/>
      <c r="C796" s="50"/>
      <c r="D796" s="209"/>
      <c r="E796" s="209"/>
      <c r="F796" s="209"/>
      <c r="G796" s="2273" t="s">
        <v>171</v>
      </c>
      <c r="H796" s="2273"/>
      <c r="I796" s="2273" t="s">
        <v>172</v>
      </c>
      <c r="J796" s="209"/>
      <c r="K796" s="209"/>
      <c r="M796" s="1147"/>
      <c r="N796" s="1134"/>
      <c r="O796" s="1134"/>
      <c r="P796" s="1105"/>
      <c r="R796" s="1097"/>
      <c r="S796" s="1102"/>
      <c r="T796" s="1101"/>
      <c r="U796" s="1102"/>
    </row>
    <row r="797" spans="2:23" ht="15.6" customHeight="1" x14ac:dyDescent="0.25">
      <c r="B797" s="50"/>
      <c r="C797" s="50"/>
      <c r="D797" s="209"/>
      <c r="F797" s="209"/>
      <c r="G797" s="2273"/>
      <c r="H797" s="2273"/>
      <c r="I797" s="2273" t="s">
        <v>17</v>
      </c>
      <c r="J797" s="209"/>
      <c r="K797" s="209" t="s">
        <v>731</v>
      </c>
      <c r="M797" s="1147"/>
      <c r="N797" s="1134"/>
      <c r="O797" s="1134"/>
      <c r="P797" s="1105"/>
      <c r="R797" s="1097"/>
      <c r="S797" s="1102"/>
      <c r="T797" s="1101"/>
      <c r="U797" s="1102"/>
    </row>
    <row r="798" spans="2:23" ht="15.6" customHeight="1" x14ac:dyDescent="0.25">
      <c r="C798" s="50"/>
      <c r="D798" s="209"/>
      <c r="F798" s="209"/>
      <c r="G798" s="2273" t="s">
        <v>116</v>
      </c>
      <c r="H798" s="2273"/>
      <c r="I798" s="2273" t="s">
        <v>18</v>
      </c>
      <c r="J798" s="209"/>
      <c r="K798" s="209"/>
      <c r="M798" s="1147"/>
      <c r="N798" s="1134"/>
      <c r="O798" s="1134"/>
      <c r="P798" s="1105"/>
      <c r="R798" s="1097"/>
      <c r="S798" s="1102"/>
      <c r="T798" s="1101"/>
      <c r="U798" s="1102"/>
    </row>
    <row r="799" spans="2:23" ht="15.6" customHeight="1" x14ac:dyDescent="0.25">
      <c r="B799" s="249"/>
      <c r="C799" s="50"/>
      <c r="D799" s="199"/>
      <c r="F799" s="199"/>
      <c r="G799" s="2273" t="s">
        <v>255</v>
      </c>
      <c r="H799" s="287"/>
      <c r="I799" s="2273" t="s">
        <v>255</v>
      </c>
      <c r="J799" s="199"/>
      <c r="K799" s="209" t="s">
        <v>255</v>
      </c>
      <c r="M799" s="1147"/>
      <c r="N799" s="1134"/>
      <c r="O799" s="1134"/>
      <c r="P799" s="1105"/>
      <c r="R799" s="1097"/>
      <c r="S799" s="1102"/>
      <c r="T799" s="1101"/>
      <c r="U799" s="1102"/>
    </row>
    <row r="800" spans="2:23" ht="15.6" customHeight="1" x14ac:dyDescent="0.25">
      <c r="B800" s="50" t="str">
        <f>"As at "&amp;Parameters!C11</f>
        <v>As at 30 June 2012</v>
      </c>
      <c r="C800" s="50"/>
      <c r="D800" s="199"/>
      <c r="F800" s="199"/>
      <c r="G800" s="287"/>
      <c r="H800" s="287"/>
      <c r="I800" s="287"/>
      <c r="J800" s="199"/>
      <c r="K800" s="199"/>
      <c r="M800" s="1147"/>
      <c r="N800" s="1134"/>
      <c r="O800" s="1134"/>
      <c r="P800" s="1105"/>
      <c r="R800" s="1097"/>
      <c r="S800" s="1102"/>
      <c r="T800" s="1101"/>
      <c r="U800" s="1102"/>
    </row>
    <row r="801" spans="2:21" ht="15.6" customHeight="1" x14ac:dyDescent="0.25">
      <c r="B801" s="50"/>
      <c r="C801" s="50"/>
      <c r="D801" s="199"/>
      <c r="F801" s="199"/>
      <c r="G801" s="287"/>
      <c r="H801" s="287"/>
      <c r="I801" s="287"/>
      <c r="J801" s="199"/>
      <c r="K801" s="199"/>
      <c r="M801" s="1147"/>
      <c r="N801" s="1134"/>
      <c r="O801" s="1134"/>
      <c r="P801" s="1105"/>
      <c r="R801" s="1097"/>
      <c r="S801" s="1102"/>
      <c r="T801" s="1101"/>
      <c r="U801" s="1102"/>
    </row>
    <row r="802" spans="2:21" ht="15.6" customHeight="1" x14ac:dyDescent="0.25">
      <c r="B802" s="842" t="s">
        <v>1527</v>
      </c>
      <c r="C802" s="50"/>
      <c r="D802" s="199"/>
      <c r="F802" s="199"/>
      <c r="G802" s="287"/>
      <c r="H802" s="287"/>
      <c r="I802" s="287"/>
      <c r="J802" s="199"/>
      <c r="K802" s="48"/>
      <c r="M802" s="1147"/>
      <c r="N802" s="1134"/>
      <c r="O802" s="1134"/>
      <c r="P802" s="1105"/>
      <c r="R802" s="1097"/>
      <c r="S802" s="1102"/>
      <c r="T802" s="1101"/>
      <c r="U802" s="1102"/>
    </row>
    <row r="803" spans="2:21" ht="15.6" customHeight="1" x14ac:dyDescent="0.25">
      <c r="B803" s="48" t="s">
        <v>1528</v>
      </c>
      <c r="D803" s="199"/>
      <c r="F803" s="199"/>
      <c r="G803" s="287">
        <v>0</v>
      </c>
      <c r="H803" s="287"/>
      <c r="I803" s="287">
        <v>0</v>
      </c>
      <c r="J803" s="199"/>
      <c r="K803" s="199">
        <f>C611</f>
        <v>3131</v>
      </c>
      <c r="M803" s="1147"/>
      <c r="N803" s="1134">
        <f>SUM(F803:K803)-C611</f>
        <v>0</v>
      </c>
      <c r="O803" s="1134" t="e">
        <f>SUM(K803,G803,#REF!)</f>
        <v>#REF!</v>
      </c>
      <c r="P803" s="1105"/>
      <c r="R803" s="1097"/>
      <c r="S803" s="1102"/>
      <c r="T803" s="1101"/>
      <c r="U803" s="1102"/>
    </row>
    <row r="804" spans="2:21" ht="15.6" customHeight="1" x14ac:dyDescent="0.25">
      <c r="B804" s="842" t="s">
        <v>1526</v>
      </c>
      <c r="D804" s="199"/>
      <c r="F804" s="199"/>
      <c r="G804" s="287"/>
      <c r="H804" s="287"/>
      <c r="I804" s="962"/>
      <c r="J804" s="199"/>
      <c r="K804" s="48"/>
      <c r="M804" s="1147"/>
      <c r="N804" s="1134"/>
      <c r="O804" s="1134"/>
      <c r="P804" s="1105"/>
      <c r="R804" s="1097"/>
      <c r="S804" s="1102"/>
      <c r="T804" s="1101"/>
      <c r="U804" s="1102"/>
    </row>
    <row r="805" spans="2:21" ht="15.6" customHeight="1" x14ac:dyDescent="0.25">
      <c r="B805" s="48" t="s">
        <v>293</v>
      </c>
      <c r="D805" s="199"/>
      <c r="F805" s="199"/>
      <c r="G805" s="287">
        <v>0</v>
      </c>
      <c r="H805" s="287"/>
      <c r="I805" s="287">
        <v>0</v>
      </c>
      <c r="J805" s="199"/>
      <c r="K805" s="199">
        <f>E611</f>
        <v>43099</v>
      </c>
      <c r="M805" s="1147"/>
      <c r="N805" s="1134">
        <f>SUM(F805:K805)-E611</f>
        <v>0</v>
      </c>
      <c r="O805" s="1134" t="e">
        <f>SUM(K805,G805,#REF!)</f>
        <v>#REF!</v>
      </c>
      <c r="P805" s="1105"/>
      <c r="R805" s="1097"/>
      <c r="S805" s="1102"/>
      <c r="T805" s="1101"/>
      <c r="U805" s="1102"/>
    </row>
    <row r="806" spans="2:21" ht="15.6" customHeight="1" x14ac:dyDescent="0.25">
      <c r="B806" s="48" t="s">
        <v>294</v>
      </c>
      <c r="D806" s="199"/>
      <c r="F806" s="199"/>
      <c r="G806" s="287">
        <v>0</v>
      </c>
      <c r="H806" s="287"/>
      <c r="I806" s="287">
        <v>0</v>
      </c>
      <c r="J806" s="199"/>
      <c r="K806" s="199">
        <f>G611</f>
        <v>43268</v>
      </c>
      <c r="M806" s="1147"/>
      <c r="N806" s="1134">
        <f>SUM(F806:K806)-G611</f>
        <v>0</v>
      </c>
      <c r="O806" s="1134" t="e">
        <f>SUM(K806,G806,#REF!)</f>
        <v>#REF!</v>
      </c>
      <c r="P806" s="1105"/>
      <c r="R806" s="1097"/>
      <c r="S806" s="1102"/>
      <c r="T806" s="1101"/>
      <c r="U806" s="1102"/>
    </row>
    <row r="807" spans="2:21" ht="15.6" customHeight="1" x14ac:dyDescent="0.25">
      <c r="B807" s="61" t="s">
        <v>1345</v>
      </c>
      <c r="D807" s="199"/>
      <c r="F807" s="199"/>
      <c r="G807" s="287">
        <v>0</v>
      </c>
      <c r="H807" s="287"/>
      <c r="I807" s="287">
        <f>I717</f>
        <v>0</v>
      </c>
      <c r="J807" s="199"/>
      <c r="K807" s="199">
        <f>I611</f>
        <v>6507969</v>
      </c>
      <c r="M807" s="1147"/>
      <c r="N807" s="1134">
        <f>SUM(F807:K807)-I611</f>
        <v>0</v>
      </c>
      <c r="O807" s="1134" t="e">
        <f>SUM(K807,G807,#REF!)</f>
        <v>#REF!</v>
      </c>
      <c r="P807" s="1105"/>
      <c r="R807" s="1097"/>
      <c r="S807" s="1102"/>
      <c r="T807" s="1101"/>
      <c r="U807" s="1102"/>
    </row>
    <row r="808" spans="2:21" ht="15.6" customHeight="1" x14ac:dyDescent="0.25">
      <c r="B808" s="48" t="s">
        <v>271</v>
      </c>
      <c r="C808" s="50"/>
      <c r="D808" s="199"/>
      <c r="F808" s="199"/>
      <c r="G808" s="287">
        <f>SUM(G803:G807)</f>
        <v>0</v>
      </c>
      <c r="H808" s="287"/>
      <c r="I808" s="287">
        <f>SUM(I805:I807,I803)</f>
        <v>0</v>
      </c>
      <c r="J808" s="199"/>
      <c r="K808" s="250">
        <f>SUM(K803:K807)</f>
        <v>6597467</v>
      </c>
      <c r="M808" s="1147"/>
      <c r="N808" s="1134">
        <f>SUM(F808:K808)-K611</f>
        <v>0</v>
      </c>
      <c r="O808" s="1134" t="e">
        <f>SUM(K808,G808,#REF!)</f>
        <v>#REF!</v>
      </c>
      <c r="P808" s="1105"/>
      <c r="R808" s="1097"/>
      <c r="S808" s="1102"/>
      <c r="T808" s="1101"/>
      <c r="U808" s="1102"/>
    </row>
    <row r="809" spans="2:21" ht="15.6" customHeight="1" x14ac:dyDescent="0.25">
      <c r="B809" s="48" t="s">
        <v>1027</v>
      </c>
      <c r="D809" s="199"/>
      <c r="F809" s="199"/>
      <c r="G809" s="287">
        <v>0</v>
      </c>
      <c r="H809" s="287"/>
      <c r="I809" s="287">
        <f>I790</f>
        <v>0</v>
      </c>
      <c r="J809" s="199"/>
      <c r="K809" s="199">
        <f>I430</f>
        <v>6597107</v>
      </c>
      <c r="M809" s="1147"/>
      <c r="N809" s="1134">
        <f>SUM(F809:K809)-K612</f>
        <v>0</v>
      </c>
      <c r="O809" s="1134"/>
      <c r="P809" s="1105"/>
      <c r="R809" s="1097"/>
      <c r="S809" s="1102"/>
      <c r="T809" s="1101"/>
      <c r="U809" s="1102"/>
    </row>
    <row r="810" spans="2:21" ht="15.6" customHeight="1" thickBot="1" x14ac:dyDescent="0.3">
      <c r="B810" s="50" t="s">
        <v>2272</v>
      </c>
      <c r="D810" s="251"/>
      <c r="F810" s="251"/>
      <c r="G810" s="985">
        <f>+G808-G809</f>
        <v>0</v>
      </c>
      <c r="H810" s="985"/>
      <c r="I810" s="985">
        <f>+I808-I809</f>
        <v>0</v>
      </c>
      <c r="J810" s="251"/>
      <c r="K810" s="202">
        <f>+K808-K809</f>
        <v>360</v>
      </c>
      <c r="M810" s="1147"/>
      <c r="N810" s="1134"/>
      <c r="O810" s="1134"/>
      <c r="P810" s="1105"/>
      <c r="R810" s="1097"/>
      <c r="S810" s="1102"/>
      <c r="T810" s="1101"/>
      <c r="U810" s="1102"/>
    </row>
    <row r="811" spans="2:21" ht="15.6" customHeight="1" thickTop="1" x14ac:dyDescent="0.25">
      <c r="E811" s="57"/>
      <c r="G811" s="199"/>
      <c r="H811" s="199"/>
      <c r="I811" s="199"/>
      <c r="J811" s="199"/>
      <c r="K811" s="199"/>
      <c r="M811" s="1147"/>
      <c r="N811" s="1134"/>
      <c r="O811" s="1134"/>
      <c r="P811" s="1105"/>
      <c r="R811" s="1097"/>
      <c r="S811" s="1102"/>
      <c r="T811" s="1101"/>
      <c r="U811" s="1102"/>
    </row>
    <row r="812" spans="2:21" ht="15.6" customHeight="1" x14ac:dyDescent="0.25">
      <c r="B812" s="50"/>
      <c r="C812" s="50"/>
      <c r="D812" s="209"/>
      <c r="E812" s="209"/>
      <c r="F812" s="209"/>
      <c r="G812" s="2273" t="s">
        <v>171</v>
      </c>
      <c r="H812" s="2273"/>
      <c r="I812" s="2273" t="s">
        <v>172</v>
      </c>
      <c r="J812" s="209"/>
      <c r="K812" s="209"/>
      <c r="M812" s="1147"/>
      <c r="N812" s="1134"/>
      <c r="O812" s="1134"/>
      <c r="P812" s="1105"/>
      <c r="R812" s="1097"/>
      <c r="S812" s="1102"/>
      <c r="T812" s="1101"/>
      <c r="U812" s="1102"/>
    </row>
    <row r="813" spans="2:21" ht="15.6" customHeight="1" x14ac:dyDescent="0.25">
      <c r="B813" s="50"/>
      <c r="C813" s="50"/>
      <c r="D813" s="209"/>
      <c r="F813" s="209"/>
      <c r="G813" s="2273"/>
      <c r="H813" s="2273"/>
      <c r="I813" s="2273" t="s">
        <v>17</v>
      </c>
      <c r="J813" s="209"/>
      <c r="K813" s="209" t="s">
        <v>731</v>
      </c>
      <c r="M813" s="1147"/>
      <c r="N813" s="1134"/>
      <c r="O813" s="1134"/>
      <c r="P813" s="1105"/>
      <c r="R813" s="1097"/>
      <c r="S813" s="1102"/>
      <c r="T813" s="1101"/>
      <c r="U813" s="1102"/>
    </row>
    <row r="814" spans="2:21" ht="15.6" customHeight="1" x14ac:dyDescent="0.25">
      <c r="C814" s="50"/>
      <c r="D814" s="209"/>
      <c r="F814" s="209"/>
      <c r="G814" s="2273" t="s">
        <v>116</v>
      </c>
      <c r="H814" s="2273"/>
      <c r="I814" s="2273" t="s">
        <v>18</v>
      </c>
      <c r="J814" s="209"/>
      <c r="K814" s="209"/>
      <c r="M814" s="1147"/>
      <c r="N814" s="1134"/>
      <c r="O814" s="1134"/>
      <c r="P814" s="1105"/>
      <c r="R814" s="1097"/>
      <c r="S814" s="1102"/>
      <c r="T814" s="1101"/>
      <c r="U814" s="1102"/>
    </row>
    <row r="815" spans="2:21" ht="15.6" customHeight="1" x14ac:dyDescent="0.25">
      <c r="B815" s="249"/>
      <c r="C815" s="50"/>
      <c r="D815" s="199"/>
      <c r="F815" s="199"/>
      <c r="G815" s="2273" t="s">
        <v>255</v>
      </c>
      <c r="H815" s="287"/>
      <c r="I815" s="2273" t="s">
        <v>255</v>
      </c>
      <c r="J815" s="199"/>
      <c r="K815" s="209" t="s">
        <v>255</v>
      </c>
      <c r="M815" s="1147"/>
      <c r="N815" s="1134"/>
      <c r="O815" s="1134"/>
      <c r="P815" s="1105"/>
      <c r="R815" s="1097"/>
      <c r="S815" s="1102"/>
      <c r="T815" s="1101"/>
      <c r="U815" s="1102"/>
    </row>
    <row r="816" spans="2:21" ht="15.6" customHeight="1" x14ac:dyDescent="0.25">
      <c r="B816" s="50" t="str">
        <f>"As at "&amp;Parameters!C13</f>
        <v>As at 30 June 2011</v>
      </c>
      <c r="C816" s="50"/>
      <c r="F816" s="199"/>
      <c r="G816" s="287"/>
      <c r="H816" s="287"/>
      <c r="I816" s="287"/>
      <c r="J816" s="199"/>
      <c r="K816" s="199"/>
      <c r="M816" s="1147"/>
      <c r="N816" s="1134"/>
      <c r="O816" s="1134"/>
      <c r="P816" s="1105"/>
      <c r="R816" s="1097"/>
      <c r="S816" s="1102"/>
      <c r="T816" s="1101"/>
      <c r="U816" s="1102"/>
    </row>
    <row r="817" spans="1:23" ht="15.6" customHeight="1" x14ac:dyDescent="0.25">
      <c r="B817" s="50"/>
      <c r="C817" s="50"/>
      <c r="F817" s="199"/>
      <c r="G817" s="287"/>
      <c r="H817" s="287"/>
      <c r="I817" s="287"/>
      <c r="J817" s="199"/>
      <c r="K817" s="199"/>
      <c r="M817" s="1147"/>
      <c r="N817" s="1134"/>
      <c r="O817" s="1134"/>
      <c r="P817" s="1105"/>
      <c r="R817" s="1097"/>
      <c r="S817" s="1102"/>
      <c r="T817" s="1101"/>
      <c r="U817" s="1102"/>
    </row>
    <row r="818" spans="1:23" ht="15.6" customHeight="1" x14ac:dyDescent="0.25">
      <c r="B818" s="842" t="s">
        <v>1527</v>
      </c>
      <c r="C818" s="50"/>
      <c r="D818" s="199"/>
      <c r="F818" s="199"/>
      <c r="G818" s="287"/>
      <c r="H818" s="287"/>
      <c r="I818" s="287"/>
      <c r="J818" s="199"/>
      <c r="K818" s="48"/>
      <c r="M818" s="1147"/>
      <c r="N818" s="1134"/>
      <c r="O818" s="1134"/>
      <c r="P818" s="1105"/>
      <c r="R818" s="1097"/>
      <c r="S818" s="1102"/>
      <c r="T818" s="1101"/>
      <c r="U818" s="1102"/>
    </row>
    <row r="819" spans="1:23" ht="15.6" customHeight="1" x14ac:dyDescent="0.25">
      <c r="B819" s="48" t="s">
        <v>1528</v>
      </c>
      <c r="D819" s="199"/>
      <c r="F819" s="199"/>
      <c r="G819" s="287">
        <v>0</v>
      </c>
      <c r="H819" s="287"/>
      <c r="I819" s="287">
        <v>0</v>
      </c>
      <c r="J819" s="199"/>
      <c r="K819" s="199">
        <f>C705</f>
        <v>11263</v>
      </c>
      <c r="M819" s="1147"/>
      <c r="N819" s="1134">
        <f>SUM(F819:K819)-C705</f>
        <v>0</v>
      </c>
      <c r="O819" s="1134" t="e">
        <f>SUM(K819,G819,#REF!)</f>
        <v>#REF!</v>
      </c>
      <c r="P819" s="1105"/>
      <c r="R819" s="1097"/>
      <c r="S819" s="1102"/>
      <c r="T819" s="1101"/>
      <c r="U819" s="1102"/>
    </row>
    <row r="820" spans="1:23" ht="15.6" customHeight="1" x14ac:dyDescent="0.25">
      <c r="B820" s="842" t="s">
        <v>1526</v>
      </c>
      <c r="D820" s="199"/>
      <c r="F820" s="199"/>
      <c r="G820" s="287"/>
      <c r="H820" s="287"/>
      <c r="I820" s="962"/>
      <c r="J820" s="199"/>
      <c r="K820" s="48"/>
      <c r="M820" s="1147"/>
      <c r="N820" s="1134"/>
      <c r="O820" s="1134"/>
      <c r="P820" s="1105"/>
      <c r="R820" s="1097"/>
      <c r="S820" s="1102"/>
      <c r="T820" s="1101"/>
      <c r="U820" s="1102"/>
    </row>
    <row r="821" spans="1:23" ht="15.6" customHeight="1" x14ac:dyDescent="0.25">
      <c r="B821" s="48" t="s">
        <v>293</v>
      </c>
      <c r="D821" s="199"/>
      <c r="F821" s="199"/>
      <c r="G821" s="287">
        <v>0</v>
      </c>
      <c r="H821" s="287"/>
      <c r="I821" s="287">
        <v>0</v>
      </c>
      <c r="J821" s="199"/>
      <c r="K821" s="199">
        <f>E705</f>
        <v>11137</v>
      </c>
      <c r="M821" s="1147"/>
      <c r="N821" s="1134">
        <f>SUM(F821:K821)-E705</f>
        <v>0</v>
      </c>
      <c r="O821" s="1134" t="e">
        <f>SUM(K821,G821,#REF!)</f>
        <v>#REF!</v>
      </c>
      <c r="P821" s="1105"/>
      <c r="R821" s="1097"/>
      <c r="S821" s="1102"/>
      <c r="T821" s="1101"/>
      <c r="U821" s="1102"/>
    </row>
    <row r="822" spans="1:23" ht="15.6" customHeight="1" x14ac:dyDescent="0.25">
      <c r="B822" s="48" t="s">
        <v>294</v>
      </c>
      <c r="D822" s="199"/>
      <c r="F822" s="199"/>
      <c r="G822" s="287">
        <v>0</v>
      </c>
      <c r="H822" s="287"/>
      <c r="I822" s="287">
        <v>0</v>
      </c>
      <c r="J822" s="199"/>
      <c r="K822" s="199">
        <f>G705</f>
        <v>13194</v>
      </c>
      <c r="M822" s="1147"/>
      <c r="N822" s="1134">
        <f>SUM(F822:K822)-G705</f>
        <v>0</v>
      </c>
      <c r="O822" s="1134" t="e">
        <f>SUM(K822,G822,#REF!)</f>
        <v>#REF!</v>
      </c>
      <c r="P822" s="1105"/>
      <c r="R822" s="1097"/>
      <c r="S822" s="1102"/>
      <c r="T822" s="1101"/>
      <c r="U822" s="1102"/>
    </row>
    <row r="823" spans="1:23" ht="15.6" customHeight="1" x14ac:dyDescent="0.25">
      <c r="B823" s="61" t="s">
        <v>1345</v>
      </c>
      <c r="D823" s="199"/>
      <c r="F823" s="199"/>
      <c r="G823" s="287">
        <v>0</v>
      </c>
      <c r="H823" s="287"/>
      <c r="I823" s="287">
        <f>I717</f>
        <v>0</v>
      </c>
      <c r="J823" s="199"/>
      <c r="K823" s="199">
        <f>I705</f>
        <v>4090987</v>
      </c>
      <c r="M823" s="1147"/>
      <c r="N823" s="1134">
        <f>SUM(F823:K823)-I705</f>
        <v>0</v>
      </c>
      <c r="O823" s="1134" t="e">
        <f>SUM(K823,G823,#REF!)</f>
        <v>#REF!</v>
      </c>
      <c r="P823" s="1105"/>
      <c r="R823" s="1097"/>
      <c r="S823" s="1102"/>
      <c r="T823" s="1101"/>
      <c r="U823" s="1102"/>
    </row>
    <row r="824" spans="1:23" ht="15.6" customHeight="1" x14ac:dyDescent="0.25">
      <c r="B824" s="48" t="s">
        <v>271</v>
      </c>
      <c r="C824" s="50"/>
      <c r="D824" s="199"/>
      <c r="F824" s="199"/>
      <c r="G824" s="287">
        <f>SUM(G819:G823)</f>
        <v>0</v>
      </c>
      <c r="H824" s="287"/>
      <c r="I824" s="287">
        <f>SUM(I819:I823)</f>
        <v>0</v>
      </c>
      <c r="J824" s="199"/>
      <c r="K824" s="250">
        <f>SUM(K819:K823)</f>
        <v>4126581</v>
      </c>
      <c r="M824" s="1147"/>
      <c r="N824" s="1134">
        <f>SUM(F824:K824)-K705</f>
        <v>0</v>
      </c>
      <c r="O824" s="1134" t="e">
        <f>SUM(K824,G824,#REF!)</f>
        <v>#REF!</v>
      </c>
      <c r="P824" s="1105"/>
      <c r="R824" s="1097"/>
      <c r="S824" s="1102"/>
      <c r="T824" s="1101"/>
      <c r="U824" s="1102"/>
    </row>
    <row r="825" spans="1:23" ht="15.6" customHeight="1" x14ac:dyDescent="0.25">
      <c r="B825" s="48" t="s">
        <v>1027</v>
      </c>
      <c r="D825" s="199"/>
      <c r="F825" s="199"/>
      <c r="G825" s="287">
        <v>0</v>
      </c>
      <c r="H825" s="287"/>
      <c r="I825" s="287">
        <v>0</v>
      </c>
      <c r="J825" s="199"/>
      <c r="K825" s="199">
        <v>0</v>
      </c>
      <c r="M825" s="1147"/>
      <c r="N825" s="1134">
        <f>SUM(F825:K825)-K706</f>
        <v>0</v>
      </c>
      <c r="O825" s="1134"/>
      <c r="P825" s="1105"/>
      <c r="R825" s="1097"/>
      <c r="S825" s="1102"/>
      <c r="T825" s="1101"/>
      <c r="U825" s="1102"/>
    </row>
    <row r="826" spans="1:23" ht="15.6" customHeight="1" thickBot="1" x14ac:dyDescent="0.3">
      <c r="B826" s="50" t="s">
        <v>2272</v>
      </c>
      <c r="D826" s="251"/>
      <c r="F826" s="251"/>
      <c r="G826" s="985">
        <f>+G824-G825</f>
        <v>0</v>
      </c>
      <c r="H826" s="985"/>
      <c r="I826" s="985">
        <f>+I824-I825</f>
        <v>0</v>
      </c>
      <c r="J826" s="251"/>
      <c r="K826" s="202">
        <f>+K824-K825</f>
        <v>4126581</v>
      </c>
      <c r="M826" s="1147"/>
      <c r="N826" s="1134"/>
      <c r="O826" s="1134"/>
      <c r="P826" s="1105"/>
      <c r="R826" s="1097"/>
      <c r="S826" s="1102"/>
      <c r="T826" s="1101"/>
      <c r="U826" s="1102"/>
    </row>
    <row r="827" spans="1:23" ht="15.6" customHeight="1" thickTop="1" x14ac:dyDescent="0.25">
      <c r="E827" s="57"/>
      <c r="G827" s="199"/>
      <c r="H827" s="199"/>
      <c r="I827" s="199"/>
      <c r="J827" s="199"/>
      <c r="K827" s="199"/>
      <c r="M827" s="1147"/>
      <c r="N827" s="1134"/>
      <c r="O827" s="1134"/>
      <c r="P827" s="1105"/>
      <c r="R827" s="1097"/>
      <c r="S827" s="1102"/>
      <c r="T827" s="1101"/>
      <c r="U827" s="1102"/>
    </row>
    <row r="828" spans="1:23" ht="15.6" customHeight="1" x14ac:dyDescent="0.25">
      <c r="A828" s="1165"/>
      <c r="D828" s="48"/>
      <c r="F828" s="48"/>
      <c r="H828" s="209"/>
      <c r="I828" s="1189">
        <f>Parameters!C17</f>
        <v>2012</v>
      </c>
      <c r="J828" s="209"/>
      <c r="K828" s="1189">
        <f>Parameters!C19</f>
        <v>2011</v>
      </c>
      <c r="M828" s="232" t="s">
        <v>803</v>
      </c>
      <c r="N828" s="1193">
        <f>Parameters!C21</f>
        <v>2010</v>
      </c>
      <c r="O828" s="1419" t="s">
        <v>804</v>
      </c>
      <c r="P828" s="1105"/>
      <c r="R828" s="1097"/>
      <c r="S828" s="1102"/>
      <c r="T828" s="1101"/>
      <c r="U828" s="1102"/>
    </row>
    <row r="829" spans="1:23" ht="15.6" customHeight="1" x14ac:dyDescent="0.25">
      <c r="I829" s="209" t="s">
        <v>255</v>
      </c>
      <c r="J829" s="200"/>
      <c r="K829" s="209" t="s">
        <v>255</v>
      </c>
      <c r="L829" s="210"/>
      <c r="O829" s="1133"/>
      <c r="P829" s="1105"/>
      <c r="R829" s="1097"/>
      <c r="S829" s="1102"/>
      <c r="T829" s="1101"/>
      <c r="U829" s="1102"/>
    </row>
    <row r="830" spans="1:23" ht="15.6" customHeight="1" x14ac:dyDescent="0.25">
      <c r="I830" s="199"/>
      <c r="J830" s="57"/>
      <c r="K830" s="199"/>
      <c r="O830" s="1133"/>
      <c r="P830" s="1105"/>
      <c r="R830" s="1097"/>
      <c r="S830" s="1102"/>
      <c r="T830" s="1101"/>
      <c r="U830" s="1102"/>
    </row>
    <row r="831" spans="1:23" ht="15.6" customHeight="1" x14ac:dyDescent="0.25">
      <c r="B831" s="2853" t="s">
        <v>7534</v>
      </c>
      <c r="C831" s="2853"/>
      <c r="D831" s="2853"/>
      <c r="E831" s="2853"/>
      <c r="F831" s="2853"/>
      <c r="G831" s="2853"/>
      <c r="I831" s="200"/>
      <c r="J831" s="200"/>
      <c r="K831" s="200"/>
      <c r="L831" s="210"/>
      <c r="M831" s="1214" t="s">
        <v>2271</v>
      </c>
      <c r="O831" s="1133"/>
      <c r="P831" s="1105"/>
      <c r="R831" s="1097"/>
      <c r="S831" s="1102"/>
      <c r="T831" s="1101"/>
      <c r="U831" s="1102"/>
      <c r="W831" s="1128" t="s">
        <v>3857</v>
      </c>
    </row>
    <row r="832" spans="1:23" ht="15.6" customHeight="1" x14ac:dyDescent="0.25">
      <c r="I832" s="199"/>
      <c r="J832" s="199"/>
      <c r="K832" s="199"/>
      <c r="M832" s="1147"/>
      <c r="O832" s="1133"/>
      <c r="P832" s="1105"/>
      <c r="R832" s="1097"/>
      <c r="S832" s="1102"/>
      <c r="T832" s="1101"/>
      <c r="U832" s="1102"/>
    </row>
    <row r="833" spans="1:23" ht="15.6" customHeight="1" x14ac:dyDescent="0.25">
      <c r="B833" s="48" t="s">
        <v>273</v>
      </c>
      <c r="I833" s="206">
        <f>SUM(I834:I835)</f>
        <v>0</v>
      </c>
      <c r="J833" s="206"/>
      <c r="K833" s="206">
        <f>SUM(K834:K835)</f>
        <v>0</v>
      </c>
      <c r="L833" s="210"/>
      <c r="N833" s="1484">
        <f>SUM(N834:N835)</f>
        <v>0</v>
      </c>
      <c r="O833" s="1133"/>
      <c r="R833" s="1097"/>
      <c r="T833" s="1097"/>
    </row>
    <row r="834" spans="1:23" s="767" customFormat="1" ht="15.6" customHeight="1" x14ac:dyDescent="0.25">
      <c r="A834" s="1166"/>
      <c r="B834" s="2152" t="s">
        <v>402</v>
      </c>
      <c r="C834" s="48"/>
      <c r="D834" s="57"/>
      <c r="E834" s="48"/>
      <c r="F834" s="57"/>
      <c r="G834" s="57"/>
      <c r="H834" s="57"/>
      <c r="I834" s="2219">
        <v>0</v>
      </c>
      <c r="J834" s="206"/>
      <c r="K834" s="2219">
        <v>0</v>
      </c>
      <c r="L834" s="210"/>
      <c r="M834" s="1135"/>
      <c r="N834" s="1485">
        <v>0</v>
      </c>
      <c r="O834" s="1136"/>
      <c r="P834" s="1131" t="s">
        <v>4251</v>
      </c>
      <c r="Q834" s="1098" t="s">
        <v>2781</v>
      </c>
      <c r="R834" s="1131" t="s">
        <v>4256</v>
      </c>
      <c r="S834" s="1132" t="s">
        <v>2790</v>
      </c>
      <c r="T834" s="1131" t="s">
        <v>4261</v>
      </c>
      <c r="U834" s="1132" t="s">
        <v>2799</v>
      </c>
      <c r="W834" s="1163"/>
    </row>
    <row r="835" spans="1:23" s="767" customFormat="1" ht="15.6" customHeight="1" x14ac:dyDescent="0.25">
      <c r="A835" s="1166"/>
      <c r="B835" s="2152" t="s">
        <v>2259</v>
      </c>
      <c r="C835" s="48"/>
      <c r="D835" s="57"/>
      <c r="E835" s="48"/>
      <c r="F835" s="57"/>
      <c r="G835" s="57"/>
      <c r="H835" s="57"/>
      <c r="I835" s="228">
        <v>0</v>
      </c>
      <c r="J835" s="206"/>
      <c r="K835" s="228">
        <v>0</v>
      </c>
      <c r="L835" s="210"/>
      <c r="M835" s="1135"/>
      <c r="N835" s="1486">
        <v>0</v>
      </c>
      <c r="O835" s="1136"/>
      <c r="P835" s="1097" t="s">
        <v>2800</v>
      </c>
      <c r="Q835" s="1098" t="s">
        <v>2781</v>
      </c>
      <c r="R835" s="1097" t="s">
        <v>2801</v>
      </c>
      <c r="S835" s="1098" t="s">
        <v>2790</v>
      </c>
      <c r="T835" s="1097" t="s">
        <v>2802</v>
      </c>
      <c r="U835" s="1098" t="s">
        <v>2799</v>
      </c>
      <c r="W835" s="1163"/>
    </row>
    <row r="836" spans="1:23" ht="15.6" customHeight="1" x14ac:dyDescent="0.25">
      <c r="B836" s="48" t="s">
        <v>1010</v>
      </c>
      <c r="I836" s="206">
        <f>SUM(I837:I838)</f>
        <v>6597107</v>
      </c>
      <c r="J836" s="206"/>
      <c r="K836" s="206">
        <f>SUM(K837:K838)</f>
        <v>0</v>
      </c>
      <c r="L836" s="210"/>
      <c r="N836" s="1484">
        <f>SUM(N837:N838)</f>
        <v>0</v>
      </c>
      <c r="O836" s="1133"/>
      <c r="R836" s="1097"/>
      <c r="T836" s="1097"/>
    </row>
    <row r="837" spans="1:23" s="767" customFormat="1" ht="15.6" customHeight="1" x14ac:dyDescent="0.25">
      <c r="A837" s="1166"/>
      <c r="B837" s="2152" t="s">
        <v>402</v>
      </c>
      <c r="C837" s="48"/>
      <c r="D837" s="57"/>
      <c r="E837" s="48"/>
      <c r="F837" s="57"/>
      <c r="G837" s="57"/>
      <c r="H837" s="57"/>
      <c r="I837" s="2219">
        <f>K809</f>
        <v>6597107</v>
      </c>
      <c r="J837" s="206"/>
      <c r="K837" s="2219">
        <v>0</v>
      </c>
      <c r="L837" s="210"/>
      <c r="M837" s="1135"/>
      <c r="N837" s="1485">
        <v>0</v>
      </c>
      <c r="O837" s="1136"/>
      <c r="P837" s="1131" t="s">
        <v>4252</v>
      </c>
      <c r="Q837" s="1132" t="s">
        <v>2781</v>
      </c>
      <c r="R837" s="1131" t="s">
        <v>4257</v>
      </c>
      <c r="S837" s="1132" t="s">
        <v>2790</v>
      </c>
      <c r="T837" s="1131" t="s">
        <v>4262</v>
      </c>
      <c r="U837" s="1132" t="s">
        <v>2799</v>
      </c>
      <c r="W837" s="1163"/>
    </row>
    <row r="838" spans="1:23" s="767" customFormat="1" ht="15.6" customHeight="1" x14ac:dyDescent="0.25">
      <c r="A838" s="1166"/>
      <c r="B838" s="2152" t="s">
        <v>2259</v>
      </c>
      <c r="C838" s="48"/>
      <c r="D838" s="57"/>
      <c r="E838" s="48"/>
      <c r="F838" s="57"/>
      <c r="G838" s="57"/>
      <c r="H838" s="57"/>
      <c r="I838" s="228">
        <v>0</v>
      </c>
      <c r="J838" s="206"/>
      <c r="K838" s="228">
        <v>0</v>
      </c>
      <c r="L838" s="210"/>
      <c r="M838" s="1135"/>
      <c r="N838" s="1486">
        <v>0</v>
      </c>
      <c r="O838" s="1136"/>
      <c r="P838" s="1097" t="s">
        <v>2806</v>
      </c>
      <c r="Q838" s="1098" t="s">
        <v>2781</v>
      </c>
      <c r="R838" s="1097" t="s">
        <v>2807</v>
      </c>
      <c r="S838" s="1098" t="s">
        <v>2790</v>
      </c>
      <c r="T838" s="1097" t="s">
        <v>2808</v>
      </c>
      <c r="U838" s="1098" t="s">
        <v>2799</v>
      </c>
      <c r="W838" s="1163"/>
    </row>
    <row r="839" spans="1:23" ht="15.6" hidden="1" customHeight="1" x14ac:dyDescent="0.25">
      <c r="B839" s="48" t="s">
        <v>1011</v>
      </c>
      <c r="I839" s="206">
        <f>SUM(I840:I841)</f>
        <v>0</v>
      </c>
      <c r="J839" s="206"/>
      <c r="K839" s="206">
        <f>SUM(K840:K841)</f>
        <v>0</v>
      </c>
      <c r="L839" s="210"/>
      <c r="N839" s="1484">
        <f>SUM(N840:N841)</f>
        <v>0</v>
      </c>
      <c r="O839" s="1133"/>
      <c r="R839" s="1097"/>
      <c r="T839" s="1097"/>
    </row>
    <row r="840" spans="1:23" s="767" customFormat="1" ht="15.75" hidden="1" customHeight="1" x14ac:dyDescent="0.25">
      <c r="A840" s="1166"/>
      <c r="B840" s="2152" t="s">
        <v>402</v>
      </c>
      <c r="C840" s="48"/>
      <c r="D840" s="57"/>
      <c r="E840" s="48"/>
      <c r="F840" s="57"/>
      <c r="G840" s="57"/>
      <c r="H840" s="57"/>
      <c r="I840" s="2219">
        <v>0</v>
      </c>
      <c r="J840" s="206"/>
      <c r="K840" s="2219">
        <v>0</v>
      </c>
      <c r="L840" s="210"/>
      <c r="M840" s="1135"/>
      <c r="N840" s="1485">
        <v>0</v>
      </c>
      <c r="O840" s="1135"/>
      <c r="P840" s="1131" t="s">
        <v>4253</v>
      </c>
      <c r="Q840" s="1132" t="s">
        <v>2781</v>
      </c>
      <c r="R840" s="1131" t="s">
        <v>4258</v>
      </c>
      <c r="S840" s="1132" t="s">
        <v>2790</v>
      </c>
      <c r="T840" s="1131" t="s">
        <v>4263</v>
      </c>
      <c r="U840" s="1132" t="s">
        <v>2799</v>
      </c>
      <c r="W840" s="1163"/>
    </row>
    <row r="841" spans="1:23" s="767" customFormat="1" ht="15.75" hidden="1" customHeight="1" x14ac:dyDescent="0.25">
      <c r="A841" s="1166"/>
      <c r="B841" s="2152" t="s">
        <v>2259</v>
      </c>
      <c r="C841" s="48"/>
      <c r="D841" s="57"/>
      <c r="E841" s="48"/>
      <c r="F841" s="57"/>
      <c r="G841" s="57"/>
      <c r="H841" s="57"/>
      <c r="I841" s="228">
        <v>0</v>
      </c>
      <c r="J841" s="206"/>
      <c r="K841" s="228">
        <v>0</v>
      </c>
      <c r="L841" s="210"/>
      <c r="M841" s="1135"/>
      <c r="N841" s="1486">
        <v>0</v>
      </c>
      <c r="O841" s="1135"/>
      <c r="P841" s="1097" t="s">
        <v>2812</v>
      </c>
      <c r="Q841" s="1098" t="s">
        <v>2781</v>
      </c>
      <c r="R841" s="1097" t="s">
        <v>2813</v>
      </c>
      <c r="S841" s="1098" t="s">
        <v>2790</v>
      </c>
      <c r="T841" s="1097" t="s">
        <v>2814</v>
      </c>
      <c r="U841" s="1098" t="s">
        <v>2799</v>
      </c>
      <c r="W841" s="1163"/>
    </row>
    <row r="842" spans="1:23" ht="15.6" hidden="1" customHeight="1" x14ac:dyDescent="0.25">
      <c r="B842" s="48" t="s">
        <v>1012</v>
      </c>
      <c r="I842" s="206">
        <f>SUM(I843:I844)</f>
        <v>0</v>
      </c>
      <c r="J842" s="206"/>
      <c r="K842" s="206">
        <f>SUM(K843:K844)</f>
        <v>0</v>
      </c>
      <c r="L842" s="210"/>
      <c r="N842" s="1484">
        <f>SUM(N843:N844)</f>
        <v>0</v>
      </c>
      <c r="O842" s="1133"/>
      <c r="R842" s="1097"/>
      <c r="T842" s="1097"/>
    </row>
    <row r="843" spans="1:23" s="767" customFormat="1" ht="15.6" hidden="1" customHeight="1" x14ac:dyDescent="0.25">
      <c r="A843" s="1166"/>
      <c r="B843" s="2152" t="s">
        <v>402</v>
      </c>
      <c r="C843" s="48"/>
      <c r="D843" s="57"/>
      <c r="E843" s="48"/>
      <c r="F843" s="57"/>
      <c r="G843" s="57"/>
      <c r="H843" s="57"/>
      <c r="I843" s="2219">
        <v>0</v>
      </c>
      <c r="J843" s="206"/>
      <c r="K843" s="2219">
        <v>0</v>
      </c>
      <c r="L843" s="210"/>
      <c r="M843" s="1135"/>
      <c r="N843" s="1485">
        <v>0</v>
      </c>
      <c r="O843" s="1136"/>
      <c r="P843" s="1131" t="s">
        <v>4254</v>
      </c>
      <c r="Q843" s="1132" t="s">
        <v>2781</v>
      </c>
      <c r="R843" s="1131" t="s">
        <v>4259</v>
      </c>
      <c r="S843" s="1132" t="s">
        <v>2790</v>
      </c>
      <c r="T843" s="1131" t="s">
        <v>4264</v>
      </c>
      <c r="U843" s="1132" t="s">
        <v>2799</v>
      </c>
      <c r="W843" s="1163"/>
    </row>
    <row r="844" spans="1:23" s="767" customFormat="1" ht="15.6" hidden="1" customHeight="1" x14ac:dyDescent="0.25">
      <c r="A844" s="1166"/>
      <c r="B844" s="2152" t="s">
        <v>2259</v>
      </c>
      <c r="C844" s="48"/>
      <c r="D844" s="57"/>
      <c r="E844" s="48"/>
      <c r="F844" s="57"/>
      <c r="G844" s="57"/>
      <c r="H844" s="57"/>
      <c r="I844" s="228">
        <v>0</v>
      </c>
      <c r="J844" s="206"/>
      <c r="K844" s="228">
        <v>0</v>
      </c>
      <c r="L844" s="210"/>
      <c r="M844" s="1135"/>
      <c r="N844" s="1486">
        <v>0</v>
      </c>
      <c r="O844" s="1136"/>
      <c r="P844" s="1097" t="s">
        <v>2848</v>
      </c>
      <c r="Q844" s="1098" t="s">
        <v>2781</v>
      </c>
      <c r="R844" s="1097" t="s">
        <v>2849</v>
      </c>
      <c r="S844" s="1098" t="s">
        <v>2790</v>
      </c>
      <c r="T844" s="1097" t="s">
        <v>2850</v>
      </c>
      <c r="U844" s="1098" t="s">
        <v>2799</v>
      </c>
      <c r="W844" s="1163"/>
    </row>
    <row r="845" spans="1:23" ht="15.6" hidden="1" customHeight="1" x14ac:dyDescent="0.25">
      <c r="B845" s="48" t="s">
        <v>1013</v>
      </c>
      <c r="I845" s="206">
        <f>SUM(I846:I847)</f>
        <v>0</v>
      </c>
      <c r="J845" s="206"/>
      <c r="K845" s="206">
        <f>SUM(K846:K847)</f>
        <v>0</v>
      </c>
      <c r="L845" s="210"/>
      <c r="N845" s="1484">
        <f>SUM(N846:N847)</f>
        <v>0</v>
      </c>
      <c r="O845" s="1133"/>
      <c r="R845" s="1097"/>
      <c r="T845" s="1097"/>
    </row>
    <row r="846" spans="1:23" s="767" customFormat="1" ht="15.75" hidden="1" customHeight="1" x14ac:dyDescent="0.25">
      <c r="A846" s="1166"/>
      <c r="B846" s="2152" t="s">
        <v>402</v>
      </c>
      <c r="C846" s="48"/>
      <c r="D846" s="57"/>
      <c r="E846" s="48"/>
      <c r="F846" s="57"/>
      <c r="G846" s="57"/>
      <c r="H846" s="57"/>
      <c r="I846" s="2219">
        <v>0</v>
      </c>
      <c r="J846" s="206"/>
      <c r="K846" s="2219">
        <v>0</v>
      </c>
      <c r="L846" s="210"/>
      <c r="M846" s="1135"/>
      <c r="N846" s="1485">
        <v>0</v>
      </c>
      <c r="O846" s="1135"/>
      <c r="P846" s="1131" t="s">
        <v>4255</v>
      </c>
      <c r="Q846" s="1132" t="s">
        <v>2781</v>
      </c>
      <c r="R846" s="1131" t="s">
        <v>4260</v>
      </c>
      <c r="S846" s="1132" t="s">
        <v>2790</v>
      </c>
      <c r="T846" s="1131" t="s">
        <v>4265</v>
      </c>
      <c r="U846" s="1132" t="s">
        <v>2799</v>
      </c>
      <c r="W846" s="1163"/>
    </row>
    <row r="847" spans="1:23" s="767" customFormat="1" ht="15.75" hidden="1" customHeight="1" x14ac:dyDescent="0.25">
      <c r="A847" s="1166"/>
      <c r="B847" s="2152" t="s">
        <v>2259</v>
      </c>
      <c r="C847" s="48"/>
      <c r="D847" s="57"/>
      <c r="E847" s="48"/>
      <c r="F847" s="57"/>
      <c r="G847" s="57"/>
      <c r="H847" s="57"/>
      <c r="I847" s="228">
        <v>0</v>
      </c>
      <c r="J847" s="206"/>
      <c r="K847" s="228">
        <v>0</v>
      </c>
      <c r="L847" s="210"/>
      <c r="M847" s="1135"/>
      <c r="N847" s="1486">
        <v>0</v>
      </c>
      <c r="O847" s="1135"/>
      <c r="P847" s="1097" t="s">
        <v>2821</v>
      </c>
      <c r="Q847" s="1098" t="s">
        <v>2781</v>
      </c>
      <c r="R847" s="1097" t="s">
        <v>2822</v>
      </c>
      <c r="S847" s="1098" t="s">
        <v>2790</v>
      </c>
      <c r="T847" s="1097" t="s">
        <v>2823</v>
      </c>
      <c r="U847" s="1098" t="s">
        <v>2799</v>
      </c>
      <c r="W847" s="1163"/>
    </row>
    <row r="848" spans="1:23" ht="15.6" customHeight="1" x14ac:dyDescent="0.25">
      <c r="I848" s="206"/>
      <c r="J848" s="206"/>
      <c r="K848" s="206"/>
      <c r="L848" s="210"/>
      <c r="N848" s="1484"/>
      <c r="O848" s="1133"/>
      <c r="T848" s="1102"/>
      <c r="U848" s="1102"/>
    </row>
    <row r="849" spans="1:21" ht="15.6" customHeight="1" thickBot="1" x14ac:dyDescent="0.3">
      <c r="B849" s="50" t="s">
        <v>274</v>
      </c>
      <c r="C849" s="50"/>
      <c r="I849" s="222">
        <f>SUM(I833,I836,I839,I842,I845)</f>
        <v>6597107</v>
      </c>
      <c r="J849" s="200"/>
      <c r="K849" s="222">
        <f>SUM(K833,K836,K839,K842,K845)</f>
        <v>0</v>
      </c>
      <c r="L849" s="210"/>
      <c r="N849" s="1487">
        <f>SUM(N833,N836,N839,N842,N845)</f>
        <v>0</v>
      </c>
      <c r="T849" s="1102"/>
      <c r="U849" s="1102"/>
    </row>
    <row r="850" spans="1:21" ht="15.6" customHeight="1" thickTop="1" x14ac:dyDescent="0.25">
      <c r="I850" s="217">
        <f>I849-I444</f>
        <v>0</v>
      </c>
      <c r="J850" s="218"/>
      <c r="K850" s="217">
        <f>K849-I465</f>
        <v>0</v>
      </c>
      <c r="L850" s="59"/>
      <c r="O850" s="1133"/>
      <c r="T850" s="1102"/>
      <c r="U850" s="1102"/>
    </row>
    <row r="851" spans="1:21" ht="62.1" customHeight="1" x14ac:dyDescent="0.25">
      <c r="B851" s="2839" t="s">
        <v>7535</v>
      </c>
      <c r="C851" s="2839"/>
      <c r="D851" s="2839"/>
      <c r="E851" s="2839"/>
      <c r="F851" s="2839"/>
      <c r="G851" s="2839"/>
      <c r="H851" s="56"/>
      <c r="I851" s="56"/>
      <c r="J851" s="56"/>
      <c r="K851" s="56"/>
      <c r="L851" s="59"/>
      <c r="O851" s="1146"/>
      <c r="P851" s="1103"/>
      <c r="S851" s="1102"/>
      <c r="T851" s="1102"/>
      <c r="U851" s="1102"/>
    </row>
    <row r="852" spans="1:21" ht="15.6" customHeight="1" x14ac:dyDescent="0.25">
      <c r="I852" s="58"/>
      <c r="J852" s="58"/>
      <c r="K852" s="58"/>
      <c r="L852" s="59"/>
      <c r="M852" s="1147"/>
      <c r="N852" s="1471"/>
      <c r="O852" s="1149"/>
      <c r="P852" s="1101"/>
      <c r="Q852" s="1102"/>
      <c r="R852" s="1102"/>
      <c r="S852" s="1102"/>
      <c r="T852" s="1102"/>
      <c r="U852" s="1102"/>
    </row>
    <row r="853" spans="1:21" ht="62.1" hidden="1" customHeight="1" x14ac:dyDescent="0.25">
      <c r="A853" s="1170"/>
      <c r="B853" s="2841" t="s">
        <v>4266</v>
      </c>
      <c r="C853" s="2841"/>
      <c r="D853" s="2841"/>
      <c r="E853" s="2841"/>
      <c r="F853" s="2841"/>
      <c r="G853" s="2841"/>
      <c r="H853" s="746"/>
      <c r="I853" s="953"/>
      <c r="J853" s="953"/>
      <c r="K853" s="953"/>
      <c r="L853" s="745"/>
      <c r="M853" s="1147"/>
      <c r="O853" s="1133"/>
      <c r="T853" s="1102"/>
      <c r="U853" s="1102"/>
    </row>
    <row r="854" spans="1:21" ht="15.6" hidden="1" customHeight="1" x14ac:dyDescent="0.25">
      <c r="A854" s="1170"/>
      <c r="B854" s="745"/>
      <c r="C854" s="745"/>
      <c r="D854" s="746"/>
      <c r="E854" s="745"/>
      <c r="F854" s="746"/>
      <c r="G854" s="746"/>
      <c r="H854" s="746"/>
      <c r="I854" s="750"/>
      <c r="J854" s="750"/>
      <c r="K854" s="750"/>
      <c r="L854" s="745"/>
      <c r="M854" s="1147"/>
      <c r="O854" s="1133"/>
      <c r="P854" s="1105"/>
      <c r="S854" s="1102"/>
      <c r="T854" s="1102"/>
      <c r="U854" s="1102"/>
    </row>
    <row r="855" spans="1:21" ht="46.5" hidden="1" customHeight="1" x14ac:dyDescent="0.25">
      <c r="A855" s="1169"/>
      <c r="B855" s="2854" t="s">
        <v>1671</v>
      </c>
      <c r="C855" s="2854"/>
      <c r="D855" s="2854"/>
      <c r="E855" s="2854"/>
      <c r="F855" s="2854"/>
      <c r="G855" s="2854"/>
      <c r="H855" s="632"/>
      <c r="I855" s="632"/>
      <c r="J855" s="632"/>
      <c r="K855" s="632"/>
      <c r="L855" s="625"/>
      <c r="O855" s="1133"/>
      <c r="P855" s="1104"/>
      <c r="S855" s="1102"/>
      <c r="T855" s="1102"/>
      <c r="U855" s="1102"/>
    </row>
    <row r="856" spans="1:21" ht="30.95" hidden="1" customHeight="1" x14ac:dyDescent="0.25">
      <c r="B856" s="2839" t="s">
        <v>1636</v>
      </c>
      <c r="C856" s="2839"/>
      <c r="D856" s="2839"/>
      <c r="E856" s="2839"/>
      <c r="F856" s="2839"/>
      <c r="G856" s="2839"/>
      <c r="H856" s="56"/>
      <c r="I856" s="56"/>
      <c r="J856" s="56"/>
      <c r="K856" s="56"/>
      <c r="M856" s="1147"/>
      <c r="O856" s="1133"/>
      <c r="P856" s="1101"/>
      <c r="Q856" s="1102"/>
      <c r="R856" s="1102"/>
      <c r="S856" s="1102"/>
      <c r="T856" s="1102"/>
      <c r="U856" s="1102"/>
    </row>
    <row r="857" spans="1:21" ht="15.6" hidden="1" customHeight="1" x14ac:dyDescent="0.25">
      <c r="I857" s="209"/>
      <c r="J857" s="200"/>
      <c r="K857" s="209"/>
      <c r="L857" s="210"/>
      <c r="M857" s="1147"/>
      <c r="O857" s="1133"/>
      <c r="T857" s="1102"/>
      <c r="U857" s="1102"/>
    </row>
    <row r="858" spans="1:21" ht="77.45" hidden="1" customHeight="1" x14ac:dyDescent="0.25">
      <c r="A858" s="1169"/>
      <c r="B858" s="2854" t="s">
        <v>1306</v>
      </c>
      <c r="C858" s="2854"/>
      <c r="D858" s="2854"/>
      <c r="E858" s="2854"/>
      <c r="F858" s="2854"/>
      <c r="G858" s="2854"/>
      <c r="H858" s="632"/>
      <c r="I858" s="632"/>
      <c r="J858" s="632"/>
      <c r="K858" s="632"/>
      <c r="L858" s="625"/>
      <c r="M858" s="1226" t="s">
        <v>2240</v>
      </c>
      <c r="O858" s="1133"/>
      <c r="P858" s="1104"/>
      <c r="S858" s="1102"/>
      <c r="T858" s="1102"/>
      <c r="U858" s="1102"/>
    </row>
    <row r="859" spans="1:21" ht="77.45" hidden="1" customHeight="1" x14ac:dyDescent="0.25">
      <c r="B859" s="2839" t="s">
        <v>4267</v>
      </c>
      <c r="C859" s="2839"/>
      <c r="D859" s="2839"/>
      <c r="E859" s="2839"/>
      <c r="F859" s="2839"/>
      <c r="G859" s="2839"/>
      <c r="H859" s="56"/>
      <c r="I859" s="56"/>
      <c r="J859" s="56"/>
      <c r="K859" s="56"/>
      <c r="M859" s="1226" t="s">
        <v>2240</v>
      </c>
      <c r="O859" s="1133"/>
      <c r="P859" s="1101"/>
      <c r="Q859" s="1102"/>
      <c r="R859" s="1102"/>
      <c r="S859" s="1102"/>
      <c r="T859" s="1102"/>
      <c r="U859" s="1102"/>
    </row>
    <row r="860" spans="1:21" ht="15.6" hidden="1" customHeight="1" x14ac:dyDescent="0.25">
      <c r="I860" s="209"/>
      <c r="J860" s="200"/>
      <c r="K860" s="209"/>
      <c r="L860" s="210"/>
      <c r="M860" s="1147"/>
      <c r="O860" s="1133"/>
      <c r="T860" s="1102"/>
      <c r="U860" s="1102"/>
    </row>
    <row r="861" spans="1:21" ht="62.1" hidden="1" customHeight="1" x14ac:dyDescent="0.25">
      <c r="B861" s="2839" t="s">
        <v>2273</v>
      </c>
      <c r="C861" s="2839"/>
      <c r="D861" s="2839"/>
      <c r="E861" s="2839"/>
      <c r="F861" s="2839"/>
      <c r="G861" s="2839"/>
      <c r="H861" s="56"/>
      <c r="I861" s="56"/>
      <c r="J861" s="56"/>
      <c r="K861" s="56"/>
      <c r="M861" s="1147"/>
      <c r="O861" s="1133"/>
      <c r="P861" s="1101"/>
      <c r="Q861" s="1102"/>
      <c r="R861" s="1102"/>
      <c r="S861" s="1102"/>
      <c r="T861" s="1102"/>
      <c r="U861" s="1102"/>
    </row>
    <row r="862" spans="1:21" ht="15.6" hidden="1" customHeight="1" x14ac:dyDescent="0.25">
      <c r="I862" s="209"/>
      <c r="J862" s="200"/>
      <c r="K862" s="209"/>
      <c r="L862" s="210"/>
      <c r="M862" s="1147"/>
      <c r="O862" s="1133"/>
      <c r="T862" s="1102"/>
      <c r="U862" s="1102"/>
    </row>
    <row r="863" spans="1:21" ht="46.5" hidden="1" customHeight="1" x14ac:dyDescent="0.25">
      <c r="B863" s="2839" t="s">
        <v>4268</v>
      </c>
      <c r="C863" s="2839"/>
      <c r="D863" s="2839"/>
      <c r="E863" s="2839"/>
      <c r="F863" s="2839"/>
      <c r="G863" s="2839"/>
      <c r="H863" s="56"/>
      <c r="I863" s="56"/>
      <c r="J863" s="56"/>
      <c r="K863" s="56"/>
      <c r="M863" s="1147"/>
      <c r="O863" s="1133"/>
      <c r="P863" s="1101"/>
      <c r="Q863" s="1102"/>
      <c r="R863" s="1102"/>
      <c r="S863" s="1102"/>
      <c r="T863" s="1102"/>
      <c r="U863" s="1102"/>
    </row>
    <row r="864" spans="1:21" ht="15.6" hidden="1" customHeight="1" x14ac:dyDescent="0.25">
      <c r="I864" s="209"/>
      <c r="J864" s="200"/>
      <c r="K864" s="209"/>
      <c r="L864" s="210"/>
      <c r="M864" s="1147"/>
      <c r="O864" s="1133"/>
      <c r="T864" s="1102"/>
      <c r="U864" s="1102"/>
    </row>
    <row r="865" spans="1:23" ht="77.45" hidden="1" customHeight="1" x14ac:dyDescent="0.25">
      <c r="A865" s="1169"/>
      <c r="B865" s="2854" t="s">
        <v>1307</v>
      </c>
      <c r="C865" s="2854"/>
      <c r="D865" s="2854"/>
      <c r="E865" s="2854"/>
      <c r="F865" s="2854"/>
      <c r="G865" s="2854"/>
      <c r="H865" s="632"/>
      <c r="I865" s="632"/>
      <c r="J865" s="632"/>
      <c r="K865" s="632"/>
      <c r="L865" s="625"/>
      <c r="M865" s="1220" t="s">
        <v>2255</v>
      </c>
      <c r="O865" s="1133"/>
      <c r="P865" s="1104"/>
      <c r="S865" s="1102"/>
      <c r="T865" s="1102"/>
      <c r="U865" s="1102"/>
    </row>
    <row r="866" spans="1:23" ht="93" hidden="1" customHeight="1" x14ac:dyDescent="0.25">
      <c r="A866" s="1170"/>
      <c r="B866" s="2841" t="s">
        <v>4269</v>
      </c>
      <c r="C866" s="2841"/>
      <c r="D866" s="2841"/>
      <c r="E866" s="2841"/>
      <c r="F866" s="2841"/>
      <c r="G866" s="2841"/>
      <c r="H866" s="845"/>
      <c r="I866" s="845"/>
      <c r="J866" s="845"/>
      <c r="K866" s="845"/>
      <c r="L866" s="745"/>
      <c r="M866" s="1220" t="s">
        <v>2255</v>
      </c>
      <c r="O866" s="1133"/>
      <c r="P866" s="1101"/>
      <c r="Q866" s="1102"/>
      <c r="R866" s="1102"/>
      <c r="S866" s="1102"/>
      <c r="T866" s="1102"/>
      <c r="U866" s="1102"/>
    </row>
    <row r="867" spans="1:23" ht="15.6" hidden="1" customHeight="1" x14ac:dyDescent="0.25">
      <c r="I867" s="1264"/>
      <c r="J867" s="200"/>
      <c r="K867" s="1264"/>
      <c r="L867" s="210"/>
      <c r="M867" s="1147"/>
      <c r="O867" s="1133"/>
      <c r="T867" s="1102"/>
      <c r="U867" s="1102"/>
    </row>
    <row r="868" spans="1:23" ht="15.6" hidden="1" customHeight="1" x14ac:dyDescent="0.25">
      <c r="B868" s="2839" t="s">
        <v>4271</v>
      </c>
      <c r="C868" s="2839"/>
      <c r="D868" s="2839"/>
      <c r="E868" s="2839"/>
      <c r="F868" s="2839"/>
      <c r="G868" s="2839"/>
      <c r="H868" s="56"/>
      <c r="I868" s="56"/>
      <c r="J868" s="56"/>
      <c r="K868" s="56"/>
      <c r="M868" s="1147"/>
      <c r="O868" s="1133"/>
      <c r="T868" s="1102"/>
      <c r="U868" s="1102"/>
    </row>
    <row r="869" spans="1:23" ht="15.6" hidden="1" customHeight="1" x14ac:dyDescent="0.25">
      <c r="I869" s="199"/>
      <c r="J869" s="199"/>
      <c r="K869" s="199"/>
      <c r="M869" s="1147"/>
      <c r="O869" s="1133"/>
      <c r="T869" s="1102"/>
      <c r="U869" s="1102"/>
    </row>
    <row r="870" spans="1:23" ht="15.6" hidden="1" customHeight="1" x14ac:dyDescent="0.25">
      <c r="B870" s="48" t="s">
        <v>6421</v>
      </c>
      <c r="I870" s="199">
        <v>0</v>
      </c>
      <c r="J870" s="199"/>
      <c r="K870" s="199">
        <v>0</v>
      </c>
      <c r="M870" s="1147"/>
      <c r="O870" s="1133"/>
      <c r="T870" s="1102"/>
      <c r="U870" s="1102"/>
    </row>
    <row r="871" spans="1:23" ht="15.6" hidden="1" customHeight="1" x14ac:dyDescent="0.25">
      <c r="B871" s="48" t="s">
        <v>1416</v>
      </c>
      <c r="I871" s="199">
        <v>0</v>
      </c>
      <c r="J871" s="199"/>
      <c r="K871" s="199">
        <v>0</v>
      </c>
      <c r="M871" s="1147"/>
      <c r="O871" s="1133"/>
      <c r="T871" s="1102"/>
      <c r="U871" s="1102"/>
    </row>
    <row r="872" spans="1:23" ht="15.6" hidden="1" customHeight="1" x14ac:dyDescent="0.25">
      <c r="B872" s="48" t="s">
        <v>1417</v>
      </c>
      <c r="I872" s="199">
        <v>0</v>
      </c>
      <c r="J872" s="199"/>
      <c r="K872" s="199">
        <v>0</v>
      </c>
      <c r="M872" s="1147"/>
      <c r="O872" s="1133"/>
      <c r="T872" s="1102"/>
      <c r="U872" s="1102"/>
    </row>
    <row r="873" spans="1:23" ht="15.6" hidden="1" customHeight="1" x14ac:dyDescent="0.25">
      <c r="B873" s="48" t="s">
        <v>333</v>
      </c>
      <c r="I873" s="199">
        <v>0</v>
      </c>
      <c r="J873" s="199"/>
      <c r="K873" s="199">
        <v>0</v>
      </c>
      <c r="M873" s="1147"/>
      <c r="O873" s="1133"/>
      <c r="T873" s="1102"/>
      <c r="U873" s="1102"/>
    </row>
    <row r="874" spans="1:23" ht="15.6" hidden="1" customHeight="1" x14ac:dyDescent="0.25">
      <c r="B874" s="48" t="s">
        <v>665</v>
      </c>
      <c r="I874" s="199">
        <v>0</v>
      </c>
      <c r="J874" s="199"/>
      <c r="K874" s="199">
        <v>0</v>
      </c>
      <c r="M874" s="1147"/>
      <c r="O874" s="1133"/>
      <c r="T874" s="1102"/>
      <c r="U874" s="1102"/>
    </row>
    <row r="875" spans="1:23" ht="15.6" hidden="1" customHeight="1" x14ac:dyDescent="0.25">
      <c r="I875" s="199"/>
      <c r="J875" s="199"/>
      <c r="K875" s="199"/>
      <c r="M875" s="1147"/>
      <c r="O875" s="1133"/>
      <c r="T875" s="1102"/>
      <c r="U875" s="1102"/>
    </row>
    <row r="876" spans="1:23" ht="15.6" hidden="1" customHeight="1" thickBot="1" x14ac:dyDescent="0.3">
      <c r="B876" s="50" t="s">
        <v>4270</v>
      </c>
      <c r="C876" s="50"/>
      <c r="I876" s="202">
        <f>SUM(I870:I875)</f>
        <v>0</v>
      </c>
      <c r="J876" s="199"/>
      <c r="K876" s="202">
        <f>SUM(K870:K875)</f>
        <v>0</v>
      </c>
      <c r="M876" s="1147"/>
      <c r="O876" s="1133"/>
      <c r="T876" s="1102"/>
      <c r="U876" s="1102"/>
    </row>
    <row r="877" spans="1:23" ht="15.6" hidden="1" customHeight="1" thickTop="1" x14ac:dyDescent="0.25">
      <c r="I877" s="252">
        <f>I876-I849</f>
        <v>-6597107</v>
      </c>
      <c r="J877" s="199"/>
      <c r="K877" s="252">
        <f>K876-K849</f>
        <v>0</v>
      </c>
      <c r="M877" s="1147"/>
      <c r="O877" s="1133"/>
      <c r="T877" s="1102"/>
      <c r="U877" s="1102"/>
    </row>
    <row r="878" spans="1:23" ht="15.6" hidden="1" customHeight="1" x14ac:dyDescent="0.25">
      <c r="I878" s="199"/>
      <c r="J878" s="199"/>
      <c r="K878" s="199"/>
    </row>
    <row r="879" spans="1:23" ht="15.6" customHeight="1" x14ac:dyDescent="0.25">
      <c r="A879" s="1647" t="s">
        <v>3855</v>
      </c>
      <c r="B879" s="50" t="s">
        <v>7392</v>
      </c>
      <c r="C879" s="50"/>
      <c r="I879" s="58"/>
      <c r="J879" s="58"/>
      <c r="K879" s="58"/>
      <c r="M879" s="1217" t="s">
        <v>2238</v>
      </c>
      <c r="W879" s="1128" t="s">
        <v>3520</v>
      </c>
    </row>
    <row r="880" spans="1:23" ht="15.6" customHeight="1" x14ac:dyDescent="0.25">
      <c r="I880" s="58"/>
      <c r="J880" s="58"/>
      <c r="K880" s="58"/>
    </row>
    <row r="881" spans="1:27" ht="15.6" hidden="1" customHeight="1" x14ac:dyDescent="0.25">
      <c r="B881" s="2869" t="s">
        <v>4272</v>
      </c>
      <c r="C881" s="2870"/>
      <c r="D881" s="2870"/>
      <c r="E881" s="2870"/>
      <c r="F881" s="2870"/>
      <c r="G881" s="2870"/>
      <c r="H881" s="2870"/>
      <c r="I881" s="2870"/>
      <c r="J881" s="2870"/>
      <c r="K881" s="2870"/>
      <c r="L881" s="210"/>
      <c r="O881" s="1133"/>
      <c r="R881" s="1097"/>
      <c r="T881" s="1101"/>
      <c r="U881" s="1102"/>
    </row>
    <row r="882" spans="1:27" s="767" customFormat="1" ht="15.6" customHeight="1" x14ac:dyDescent="0.25">
      <c r="A882" s="1166"/>
      <c r="B882" s="48" t="s">
        <v>3522</v>
      </c>
      <c r="C882" s="48"/>
      <c r="D882" s="57"/>
      <c r="E882" s="48"/>
      <c r="F882" s="57"/>
      <c r="G882" s="57"/>
      <c r="H882" s="57"/>
      <c r="I882" s="213">
        <f>SUM('Trial Balance - FPos'!F93:F94)</f>
        <v>-6673414.25</v>
      </c>
      <c r="J882" s="58"/>
      <c r="K882" s="213">
        <f>SUM('Trial Balance - FPos'!C93:C94)</f>
        <v>-2428492.4699999997</v>
      </c>
      <c r="L882" s="48"/>
      <c r="M882" s="1135"/>
      <c r="N882" s="1496">
        <v>0</v>
      </c>
      <c r="O882" s="1477"/>
      <c r="P882" s="1097" t="s">
        <v>2851</v>
      </c>
      <c r="Q882" s="1098" t="s">
        <v>2763</v>
      </c>
      <c r="R882" s="1097" t="s">
        <v>2852</v>
      </c>
      <c r="S882" s="1098" t="s">
        <v>2765</v>
      </c>
      <c r="T882" s="1097" t="s">
        <v>2853</v>
      </c>
      <c r="U882" s="1102" t="s">
        <v>2775</v>
      </c>
      <c r="V882" s="48"/>
      <c r="W882" s="1128"/>
    </row>
    <row r="883" spans="1:27" s="767" customFormat="1" ht="15.6" customHeight="1" x14ac:dyDescent="0.25">
      <c r="A883" s="1166"/>
      <c r="B883" s="48" t="s">
        <v>3523</v>
      </c>
      <c r="C883" s="48"/>
      <c r="D883" s="57"/>
      <c r="E883" s="48"/>
      <c r="F883" s="57"/>
      <c r="G883" s="57"/>
      <c r="H883" s="57"/>
      <c r="I883" s="215">
        <f>SUM('Trial Balance - FPos'!F98)</f>
        <v>19041081.810000002</v>
      </c>
      <c r="J883" s="58"/>
      <c r="K883" s="215">
        <f>SUM('Trial Balance - FPos'!C98)</f>
        <v>17611755.57</v>
      </c>
      <c r="L883" s="48"/>
      <c r="M883" s="1135"/>
      <c r="N883" s="1497">
        <v>8391394.4000000022</v>
      </c>
      <c r="O883" s="1477"/>
      <c r="P883" s="1097" t="s">
        <v>2854</v>
      </c>
      <c r="Q883" s="1098" t="s">
        <v>2781</v>
      </c>
      <c r="R883" s="1097" t="s">
        <v>2855</v>
      </c>
      <c r="S883" s="1098" t="s">
        <v>2790</v>
      </c>
      <c r="T883" s="1097" t="s">
        <v>2856</v>
      </c>
      <c r="U883" s="1098" t="s">
        <v>2799</v>
      </c>
      <c r="V883" s="48"/>
      <c r="W883" s="1128"/>
    </row>
    <row r="884" spans="1:27" ht="15.6" customHeight="1" thickBot="1" x14ac:dyDescent="0.3">
      <c r="B884" s="48" t="s">
        <v>7393</v>
      </c>
      <c r="C884" s="50"/>
      <c r="I884" s="226">
        <f>I882+I883</f>
        <v>12367667.560000002</v>
      </c>
      <c r="J884" s="58"/>
      <c r="K884" s="226">
        <f>IF((K882+K883)&gt;0,(K882+K883),0)</f>
        <v>15183263.100000001</v>
      </c>
      <c r="N884" s="1498">
        <f>IF((N882+N883)&gt;0,(N882+N883),0)</f>
        <v>8391394.4000000022</v>
      </c>
    </row>
    <row r="885" spans="1:27" ht="15.6" customHeight="1" thickTop="1" x14ac:dyDescent="0.25">
      <c r="I885" s="217">
        <v>0</v>
      </c>
      <c r="J885" s="218"/>
      <c r="K885" s="217">
        <v>0</v>
      </c>
    </row>
    <row r="886" spans="1:27" ht="30.95" customHeight="1" x14ac:dyDescent="0.25">
      <c r="B886" s="2839" t="s">
        <v>7394</v>
      </c>
      <c r="C886" s="2839"/>
      <c r="D886" s="2839"/>
      <c r="E886" s="2839"/>
      <c r="F886" s="2839"/>
      <c r="G886" s="2839"/>
      <c r="H886" s="56"/>
      <c r="I886" s="56"/>
      <c r="J886" s="56"/>
      <c r="K886" s="56"/>
      <c r="M886" s="1147"/>
    </row>
    <row r="887" spans="1:27" ht="15.6" customHeight="1" x14ac:dyDescent="0.25">
      <c r="I887" s="199"/>
      <c r="J887" s="199"/>
      <c r="K887" s="199"/>
      <c r="Z887" s="256"/>
    </row>
    <row r="888" spans="1:27" ht="46.5" customHeight="1" x14ac:dyDescent="0.25">
      <c r="B888" s="2839" t="s">
        <v>922</v>
      </c>
      <c r="C888" s="2839"/>
      <c r="D888" s="2839"/>
      <c r="E888" s="2839"/>
      <c r="F888" s="2839"/>
      <c r="G888" s="2839"/>
      <c r="H888" s="56"/>
      <c r="I888" s="56"/>
      <c r="J888" s="56"/>
      <c r="K888" s="56"/>
      <c r="M888" s="1147"/>
      <c r="O888" s="1212"/>
      <c r="Z888" s="256"/>
    </row>
    <row r="889" spans="1:27" ht="15.6" customHeight="1" x14ac:dyDescent="0.25">
      <c r="I889" s="199"/>
      <c r="J889" s="199"/>
      <c r="K889" s="199"/>
      <c r="Z889" s="256"/>
    </row>
    <row r="890" spans="1:27" ht="15.6" customHeight="1" x14ac:dyDescent="0.25">
      <c r="I890" s="199"/>
      <c r="J890" s="199"/>
      <c r="K890" s="199"/>
      <c r="M890" s="1147"/>
      <c r="N890" s="1134"/>
      <c r="O890" s="1134"/>
      <c r="T890" s="1102"/>
      <c r="U890" s="1102"/>
      <c r="Z890" s="256"/>
      <c r="AA890" s="256"/>
    </row>
    <row r="891" spans="1:27" s="256" customFormat="1" ht="15.6" customHeight="1" x14ac:dyDescent="0.25">
      <c r="A891" s="1185" t="s">
        <v>102</v>
      </c>
      <c r="B891" s="254" t="s">
        <v>4273</v>
      </c>
      <c r="C891" s="254"/>
      <c r="D891" s="255"/>
      <c r="F891" s="255"/>
      <c r="G891" s="255"/>
      <c r="H891" s="255"/>
      <c r="I891" s="257"/>
      <c r="J891" s="258"/>
      <c r="K891" s="257"/>
      <c r="M891" s="1468"/>
      <c r="N891" s="1469"/>
      <c r="O891" s="1469"/>
      <c r="P891" s="1107"/>
      <c r="Q891" s="1108"/>
      <c r="R891" s="1108"/>
      <c r="S891" s="1108"/>
      <c r="T891" s="1109"/>
      <c r="U891" s="1109"/>
      <c r="V891" s="48"/>
      <c r="W891" s="1128" t="s">
        <v>3520</v>
      </c>
      <c r="X891" s="48"/>
      <c r="Y891" s="48"/>
    </row>
    <row r="892" spans="1:27" s="256" customFormat="1" ht="15.6" customHeight="1" x14ac:dyDescent="0.25">
      <c r="A892" s="1179"/>
      <c r="B892" s="254"/>
      <c r="C892" s="254"/>
      <c r="D892" s="255"/>
      <c r="F892" s="255"/>
      <c r="G892" s="255"/>
      <c r="H892" s="255"/>
      <c r="I892" s="257"/>
      <c r="J892" s="258"/>
      <c r="K892" s="257"/>
      <c r="M892" s="1468"/>
      <c r="N892" s="1469"/>
      <c r="O892" s="1469"/>
      <c r="P892" s="1107"/>
      <c r="Q892" s="1108"/>
      <c r="R892" s="1108"/>
      <c r="S892" s="1108"/>
      <c r="T892" s="1109"/>
      <c r="U892" s="1109"/>
      <c r="V892" s="48"/>
      <c r="W892" s="1128"/>
      <c r="X892" s="48"/>
      <c r="Y892" s="48"/>
    </row>
    <row r="893" spans="1:27" s="256" customFormat="1" ht="15.6" customHeight="1" x14ac:dyDescent="0.2">
      <c r="A893" s="1467"/>
      <c r="B893" s="256" t="s">
        <v>4275</v>
      </c>
      <c r="D893" s="255"/>
      <c r="F893" s="255"/>
      <c r="G893" s="255"/>
      <c r="H893" s="255"/>
      <c r="I893" s="257">
        <f>SUM('Trial Balance - FPos'!F18:F23)</f>
        <v>271206.52999999688</v>
      </c>
      <c r="J893" s="258"/>
      <c r="K893" s="257">
        <f>SUM('Trial Balance - FPos'!C18:C23)</f>
        <v>299229.11</v>
      </c>
      <c r="M893" s="1468"/>
      <c r="N893" s="1469">
        <v>0</v>
      </c>
      <c r="O893" s="1469"/>
      <c r="P893" s="1107"/>
      <c r="Q893" s="1108"/>
      <c r="R893" s="1108"/>
      <c r="S893" s="1108"/>
      <c r="T893" s="1109"/>
      <c r="U893" s="1109"/>
      <c r="V893" s="48"/>
      <c r="W893" s="185"/>
      <c r="X893" s="48"/>
      <c r="Y893" s="48"/>
    </row>
    <row r="894" spans="1:27" s="256" customFormat="1" ht="15.6" customHeight="1" x14ac:dyDescent="0.25">
      <c r="A894" s="1180"/>
      <c r="B894" s="259" t="s">
        <v>4276</v>
      </c>
      <c r="C894" s="259"/>
      <c r="D894" s="255"/>
      <c r="F894" s="255"/>
      <c r="G894" s="255"/>
      <c r="H894" s="255"/>
      <c r="I894" s="257">
        <f>I938</f>
        <v>16209</v>
      </c>
      <c r="J894" s="258"/>
      <c r="K894" s="257">
        <f>K938</f>
        <v>212465</v>
      </c>
      <c r="M894" s="1468"/>
      <c r="N894" s="1470">
        <f>N938</f>
        <v>0</v>
      </c>
      <c r="O894" s="1469"/>
      <c r="P894" s="1107"/>
      <c r="Q894" s="1108"/>
      <c r="R894" s="1108"/>
      <c r="S894" s="1108"/>
      <c r="T894" s="1109"/>
      <c r="U894" s="1109"/>
      <c r="V894" s="48"/>
      <c r="W894" s="1128"/>
      <c r="X894" s="48"/>
      <c r="Y894" s="48"/>
    </row>
    <row r="895" spans="1:27" s="256" customFormat="1" ht="15.6" customHeight="1" x14ac:dyDescent="0.25">
      <c r="A895" s="1180"/>
      <c r="B895" s="259" t="s">
        <v>395</v>
      </c>
      <c r="C895" s="259"/>
      <c r="D895" s="255"/>
      <c r="F895" s="255"/>
      <c r="G895" s="255"/>
      <c r="H895" s="255"/>
      <c r="I895" s="257">
        <f>I939</f>
        <v>-3915357</v>
      </c>
      <c r="J895" s="258"/>
      <c r="K895" s="257">
        <f>K939</f>
        <v>-2065666.0399999998</v>
      </c>
      <c r="M895" s="1468"/>
      <c r="N895" s="1470">
        <v>0</v>
      </c>
      <c r="O895" s="1469"/>
      <c r="P895" s="1107"/>
      <c r="Q895" s="1108"/>
      <c r="R895" s="1108"/>
      <c r="S895" s="1108"/>
      <c r="T895" s="1109"/>
      <c r="U895" s="1109"/>
      <c r="V895" s="48"/>
      <c r="W895" s="1128"/>
      <c r="X895" s="48"/>
      <c r="Y895" s="48"/>
      <c r="Z895" s="48"/>
    </row>
    <row r="896" spans="1:27" s="256" customFormat="1" ht="15.6" customHeight="1" x14ac:dyDescent="0.25">
      <c r="A896" s="1180"/>
      <c r="B896" s="259" t="s">
        <v>4217</v>
      </c>
      <c r="C896" s="259"/>
      <c r="D896" s="255"/>
      <c r="F896" s="255"/>
      <c r="G896" s="255"/>
      <c r="H896" s="255"/>
      <c r="I896" s="257">
        <f>I990</f>
        <v>1179.9000000000001</v>
      </c>
      <c r="J896" s="258"/>
      <c r="K896" s="257">
        <f>K990</f>
        <v>1179.9000000000001</v>
      </c>
      <c r="M896" s="1468"/>
      <c r="N896" s="1470">
        <v>0</v>
      </c>
      <c r="O896" s="1469"/>
      <c r="P896" s="1107"/>
      <c r="Q896" s="1108"/>
      <c r="R896" s="1108"/>
      <c r="S896" s="1108"/>
      <c r="T896" s="1109"/>
      <c r="U896" s="1109"/>
      <c r="V896" s="48"/>
      <c r="W896" s="1128"/>
      <c r="X896" s="48"/>
      <c r="Y896" s="48"/>
      <c r="Z896" s="48"/>
    </row>
    <row r="897" spans="1:27" s="256" customFormat="1" ht="15.6" customHeight="1" x14ac:dyDescent="0.25">
      <c r="A897" s="1180"/>
      <c r="B897" s="259"/>
      <c r="C897" s="259"/>
      <c r="D897" s="255"/>
      <c r="F897" s="255"/>
      <c r="G897" s="255"/>
      <c r="H897" s="255"/>
      <c r="I897" s="257"/>
      <c r="J897" s="258"/>
      <c r="K897" s="257"/>
      <c r="M897" s="1468"/>
      <c r="N897" s="1470"/>
      <c r="O897" s="1469"/>
      <c r="P897" s="1107"/>
      <c r="Q897" s="1108"/>
      <c r="R897" s="1108"/>
      <c r="S897" s="1108"/>
      <c r="T897" s="1109"/>
      <c r="U897" s="1109"/>
      <c r="V897" s="48"/>
      <c r="W897" s="1128"/>
      <c r="X897" s="48"/>
      <c r="Y897" s="48"/>
      <c r="Z897" s="48"/>
    </row>
    <row r="898" spans="1:27" s="256" customFormat="1" ht="15.6" customHeight="1" thickBot="1" x14ac:dyDescent="0.3">
      <c r="A898" s="1181"/>
      <c r="B898" s="260" t="s">
        <v>1531</v>
      </c>
      <c r="C898" s="260"/>
      <c r="D898" s="255"/>
      <c r="E898" s="254"/>
      <c r="F898" s="255"/>
      <c r="G898" s="255"/>
      <c r="H898" s="255"/>
      <c r="I898" s="263">
        <f>SUM(I893:I897)</f>
        <v>-3626761.5700000031</v>
      </c>
      <c r="J898" s="264"/>
      <c r="K898" s="263">
        <f>SUM(K893:K897)</f>
        <v>-1552792.0299999998</v>
      </c>
      <c r="M898" s="1468"/>
      <c r="N898" s="623">
        <v>-972358</v>
      </c>
      <c r="O898" s="1469"/>
      <c r="P898" s="1107"/>
      <c r="Q898" s="1108"/>
      <c r="R898" s="1108"/>
      <c r="S898" s="1108"/>
      <c r="T898" s="1109"/>
      <c r="U898" s="1109"/>
      <c r="V898" s="48"/>
      <c r="W898" s="1128"/>
      <c r="X898" s="48"/>
      <c r="Y898" s="48"/>
      <c r="Z898" s="48"/>
    </row>
    <row r="899" spans="1:27" s="256" customFormat="1" ht="15.6" customHeight="1" thickTop="1" x14ac:dyDescent="0.25">
      <c r="A899" s="1181"/>
      <c r="B899" s="260"/>
      <c r="C899" s="260"/>
      <c r="D899" s="255"/>
      <c r="E899" s="254"/>
      <c r="F899" s="255"/>
      <c r="G899" s="255"/>
      <c r="H899" s="255"/>
      <c r="I899" s="199">
        <v>0</v>
      </c>
      <c r="J899" s="199"/>
      <c r="K899" s="199">
        <v>0</v>
      </c>
      <c r="M899" s="1468"/>
      <c r="N899" s="1469"/>
      <c r="O899" s="1469"/>
      <c r="P899" s="1107"/>
      <c r="Q899" s="1108"/>
      <c r="R899" s="1108"/>
      <c r="S899" s="1108"/>
      <c r="T899" s="1109"/>
      <c r="U899" s="1109"/>
      <c r="V899" s="48"/>
      <c r="W899" s="1128"/>
      <c r="X899" s="48"/>
      <c r="Y899" s="48"/>
      <c r="Z899" s="48"/>
      <c r="AA899" s="48"/>
    </row>
    <row r="900" spans="1:27" ht="46.5" customHeight="1" x14ac:dyDescent="0.25">
      <c r="B900" s="2839" t="s">
        <v>4274</v>
      </c>
      <c r="C900" s="2839"/>
      <c r="D900" s="2839"/>
      <c r="E900" s="2839"/>
      <c r="F900" s="2839"/>
      <c r="G900" s="2839"/>
      <c r="H900" s="56"/>
      <c r="I900" s="56"/>
      <c r="J900" s="56"/>
      <c r="K900" s="56"/>
      <c r="M900" s="1220" t="s">
        <v>1947</v>
      </c>
      <c r="O900" s="1469"/>
      <c r="P900" s="1104"/>
      <c r="S900" s="1102"/>
      <c r="T900" s="1102"/>
      <c r="U900" s="1102"/>
    </row>
    <row r="901" spans="1:27" ht="15.6" customHeight="1" x14ac:dyDescent="0.25">
      <c r="I901" s="200"/>
      <c r="J901" s="200"/>
      <c r="K901" s="200"/>
      <c r="L901" s="210"/>
      <c r="N901" s="1133"/>
      <c r="O901" s="1469"/>
      <c r="P901" s="1104"/>
      <c r="S901" s="1102"/>
      <c r="T901" s="1102"/>
      <c r="U901" s="1102"/>
    </row>
    <row r="902" spans="1:27" ht="15.6" customHeight="1" x14ac:dyDescent="0.25">
      <c r="B902" s="2853" t="s">
        <v>7536</v>
      </c>
      <c r="C902" s="2853"/>
      <c r="D902" s="2853"/>
      <c r="E902" s="2853"/>
      <c r="F902" s="2853"/>
      <c r="G902" s="2853"/>
      <c r="I902" s="200"/>
      <c r="J902" s="200"/>
      <c r="K902" s="200"/>
      <c r="L902" s="210"/>
      <c r="M902" s="1147"/>
      <c r="O902" s="1469"/>
      <c r="P902" s="1105"/>
      <c r="S902" s="1102"/>
      <c r="T902" s="1102"/>
      <c r="U902" s="1102"/>
      <c r="W902" s="1128" t="s">
        <v>3857</v>
      </c>
    </row>
    <row r="903" spans="1:27" ht="15.6" customHeight="1" x14ac:dyDescent="0.25">
      <c r="I903" s="209"/>
      <c r="J903" s="200"/>
      <c r="K903" s="209"/>
      <c r="L903" s="210"/>
      <c r="M903" s="1147"/>
      <c r="O903" s="1469"/>
      <c r="T903" s="1102"/>
      <c r="U903" s="1102"/>
    </row>
    <row r="904" spans="1:27" ht="15.6" customHeight="1" x14ac:dyDescent="0.25">
      <c r="A904" s="1178"/>
      <c r="B904" s="48" t="s">
        <v>580</v>
      </c>
      <c r="I904" s="199">
        <f>I893</f>
        <v>271206.52999999688</v>
      </c>
      <c r="J904" s="199"/>
      <c r="K904" s="199">
        <f>K893</f>
        <v>299229.11</v>
      </c>
      <c r="M904" s="1147"/>
      <c r="N904" s="1134">
        <v>11618097.450000001</v>
      </c>
      <c r="O904" s="1469"/>
      <c r="P904" s="1097" t="s">
        <v>2857</v>
      </c>
      <c r="Q904" s="1098" t="s">
        <v>2763</v>
      </c>
      <c r="R904" s="1097" t="s">
        <v>2858</v>
      </c>
      <c r="S904" s="1098" t="s">
        <v>2765</v>
      </c>
      <c r="T904" s="1097" t="s">
        <v>2859</v>
      </c>
      <c r="U904" s="1098" t="s">
        <v>2775</v>
      </c>
    </row>
    <row r="905" spans="1:27" ht="15.6" hidden="1" customHeight="1" x14ac:dyDescent="0.25">
      <c r="B905" s="48" t="s">
        <v>581</v>
      </c>
      <c r="I905" s="2043">
        <v>0</v>
      </c>
      <c r="J905" s="58"/>
      <c r="K905" s="2043">
        <v>0</v>
      </c>
      <c r="M905" s="1147"/>
      <c r="N905" s="1134">
        <v>0</v>
      </c>
      <c r="O905" s="1469"/>
      <c r="P905" s="1097" t="s">
        <v>2860</v>
      </c>
      <c r="Q905" s="1098" t="s">
        <v>2763</v>
      </c>
      <c r="R905" s="1097" t="s">
        <v>2861</v>
      </c>
      <c r="S905" s="1098" t="s">
        <v>2765</v>
      </c>
      <c r="T905" s="1097" t="s">
        <v>2862</v>
      </c>
      <c r="U905" s="1098" t="s">
        <v>2775</v>
      </c>
      <c r="Z905" s="256"/>
    </row>
    <row r="906" spans="1:27" ht="15.6" hidden="1" customHeight="1" x14ac:dyDescent="0.25">
      <c r="B906" s="48" t="s">
        <v>455</v>
      </c>
      <c r="I906" s="2028">
        <v>0</v>
      </c>
      <c r="J906" s="58"/>
      <c r="K906" s="2028">
        <v>0</v>
      </c>
      <c r="M906" s="1147"/>
      <c r="N906" s="1134">
        <v>0</v>
      </c>
      <c r="O906" s="1469"/>
      <c r="P906" s="1097" t="s">
        <v>2863</v>
      </c>
      <c r="Q906" s="1098" t="s">
        <v>2763</v>
      </c>
      <c r="R906" s="1097" t="s">
        <v>2864</v>
      </c>
      <c r="S906" s="1098" t="s">
        <v>2765</v>
      </c>
      <c r="T906" s="1097" t="s">
        <v>2865</v>
      </c>
      <c r="U906" s="1098" t="s">
        <v>2775</v>
      </c>
    </row>
    <row r="907" spans="1:27" ht="15.6" hidden="1" customHeight="1" x14ac:dyDescent="0.25">
      <c r="A907" s="1178"/>
      <c r="I907" s="199"/>
      <c r="J907" s="199"/>
      <c r="K907" s="199"/>
      <c r="M907" s="1147"/>
      <c r="N907" s="1134"/>
      <c r="O907" s="1469"/>
      <c r="T907" s="1102"/>
      <c r="U907" s="1102"/>
    </row>
    <row r="908" spans="1:27" ht="15.6" hidden="1" customHeight="1" thickBot="1" x14ac:dyDescent="0.3">
      <c r="B908" s="50" t="s">
        <v>1532</v>
      </c>
      <c r="C908" s="50"/>
      <c r="I908" s="204">
        <f>SUM(I904:I907)</f>
        <v>271206.52999999688</v>
      </c>
      <c r="J908" s="58"/>
      <c r="K908" s="204">
        <f>SUM(K904:K907)</f>
        <v>299229.11</v>
      </c>
      <c r="M908" s="1147"/>
      <c r="N908" s="623">
        <f>SUM(N904:N907)</f>
        <v>11618097.450000001</v>
      </c>
      <c r="O908" s="1469"/>
      <c r="T908" s="1102"/>
      <c r="U908" s="1102"/>
      <c r="AA908" s="256"/>
    </row>
    <row r="909" spans="1:27" s="256" customFormat="1" ht="15.6" hidden="1" customHeight="1" thickTop="1" x14ac:dyDescent="0.25">
      <c r="A909" s="1181"/>
      <c r="B909" s="260"/>
      <c r="C909" s="260"/>
      <c r="D909" s="255"/>
      <c r="E909" s="254"/>
      <c r="F909" s="255"/>
      <c r="G909" s="255"/>
      <c r="H909" s="255"/>
      <c r="I909" s="262">
        <f>IF(I908&gt;0,I908,0)</f>
        <v>271206.52999999688</v>
      </c>
      <c r="J909" s="258"/>
      <c r="K909" s="262">
        <f>IF(K908&gt;0,K908,0)</f>
        <v>299229.11</v>
      </c>
      <c r="M909" s="1468"/>
      <c r="N909" s="1479">
        <f>IF(N908&gt;0,N908,0)</f>
        <v>11618097.450000001</v>
      </c>
      <c r="O909" s="1469"/>
      <c r="P909" s="1107"/>
      <c r="Q909" s="1108"/>
      <c r="R909" s="1108"/>
      <c r="S909" s="1108"/>
      <c r="T909" s="1109"/>
      <c r="U909" s="1109"/>
      <c r="V909" s="48"/>
      <c r="W909" s="1128"/>
      <c r="X909" s="48"/>
      <c r="Y909" s="48"/>
      <c r="Z909" s="48"/>
      <c r="AA909" s="48"/>
    </row>
    <row r="910" spans="1:27" ht="30.95" hidden="1" customHeight="1" x14ac:dyDescent="0.25">
      <c r="B910" s="2840" t="s">
        <v>4277</v>
      </c>
      <c r="C910" s="2840"/>
      <c r="D910" s="2840"/>
      <c r="E910" s="2840"/>
      <c r="F910" s="2840"/>
      <c r="G910" s="2840"/>
      <c r="H910" s="56"/>
      <c r="I910" s="56"/>
      <c r="J910" s="56"/>
      <c r="K910" s="56"/>
      <c r="O910" s="1469"/>
      <c r="P910" s="1104"/>
      <c r="S910" s="1102"/>
      <c r="T910" s="1102"/>
      <c r="U910" s="1102"/>
    </row>
    <row r="911" spans="1:27" ht="15.6" hidden="1" customHeight="1" x14ac:dyDescent="0.25">
      <c r="I911" s="200"/>
      <c r="J911" s="200"/>
      <c r="K911" s="200"/>
      <c r="L911" s="210"/>
      <c r="N911" s="1133"/>
      <c r="O911" s="1133"/>
      <c r="P911" s="1104"/>
      <c r="S911" s="1102"/>
      <c r="T911" s="1102"/>
      <c r="U911" s="1102"/>
    </row>
    <row r="912" spans="1:27" ht="30.95" hidden="1" customHeight="1" x14ac:dyDescent="0.25">
      <c r="B912" s="2840" t="s">
        <v>4278</v>
      </c>
      <c r="C912" s="2840"/>
      <c r="D912" s="2840"/>
      <c r="E912" s="2840"/>
      <c r="F912" s="2840"/>
      <c r="G912" s="2840"/>
      <c r="H912" s="56"/>
      <c r="I912" s="56"/>
      <c r="J912" s="56"/>
      <c r="K912" s="56"/>
      <c r="O912" s="1133"/>
      <c r="P912" s="1104"/>
      <c r="S912" s="1102"/>
      <c r="T912" s="1102"/>
      <c r="U912" s="1102"/>
    </row>
    <row r="913" spans="1:23" ht="15.6" hidden="1" customHeight="1" x14ac:dyDescent="0.25">
      <c r="I913" s="200"/>
      <c r="J913" s="200"/>
      <c r="K913" s="200"/>
      <c r="L913" s="210"/>
      <c r="N913" s="1133"/>
      <c r="O913" s="1133"/>
      <c r="P913" s="1104"/>
      <c r="S913" s="1102"/>
      <c r="T913" s="1102"/>
      <c r="U913" s="1102"/>
    </row>
    <row r="914" spans="1:23" ht="15.6" hidden="1" customHeight="1" x14ac:dyDescent="0.25">
      <c r="B914" s="2839" t="s">
        <v>2608</v>
      </c>
      <c r="C914" s="2839"/>
      <c r="D914" s="2839"/>
      <c r="E914" s="2839"/>
      <c r="F914" s="2839"/>
      <c r="G914" s="2839"/>
      <c r="H914" s="56"/>
      <c r="I914" s="2065">
        <v>0</v>
      </c>
      <c r="J914" s="56"/>
      <c r="K914" s="2065">
        <v>0</v>
      </c>
      <c r="M914" s="1214" t="s">
        <v>2274</v>
      </c>
      <c r="N914" s="1134"/>
      <c r="O914" s="1134"/>
      <c r="T914" s="1102"/>
      <c r="U914" s="1102"/>
    </row>
    <row r="915" spans="1:23" ht="15.6" hidden="1" customHeight="1" x14ac:dyDescent="0.25">
      <c r="B915" s="2839" t="s">
        <v>4279</v>
      </c>
      <c r="C915" s="2839"/>
      <c r="D915" s="2839"/>
      <c r="E915" s="2839"/>
      <c r="F915" s="2839"/>
      <c r="G915" s="2839"/>
      <c r="H915" s="56"/>
      <c r="I915" s="2065">
        <v>0</v>
      </c>
      <c r="J915" s="56"/>
      <c r="K915" s="2065">
        <v>0</v>
      </c>
      <c r="M915" s="1214" t="s">
        <v>2274</v>
      </c>
      <c r="N915" s="1134"/>
      <c r="O915" s="1134"/>
      <c r="T915" s="1102"/>
      <c r="U915" s="1102"/>
    </row>
    <row r="916" spans="1:23" ht="15.6" hidden="1" customHeight="1" x14ac:dyDescent="0.25">
      <c r="B916" s="2839" t="s">
        <v>2609</v>
      </c>
      <c r="C916" s="2839"/>
      <c r="D916" s="2839"/>
      <c r="E916" s="2839"/>
      <c r="F916" s="2839"/>
      <c r="G916" s="2839"/>
      <c r="H916" s="56"/>
      <c r="I916" s="2065">
        <v>0</v>
      </c>
      <c r="J916" s="56"/>
      <c r="K916" s="2065">
        <v>0</v>
      </c>
      <c r="M916" s="1214" t="s">
        <v>2274</v>
      </c>
      <c r="N916" s="1134"/>
      <c r="O916" s="1134"/>
      <c r="T916" s="1102"/>
      <c r="U916" s="1102"/>
    </row>
    <row r="917" spans="1:23" ht="15.6" hidden="1" customHeight="1" x14ac:dyDescent="0.25">
      <c r="B917" s="2839" t="s">
        <v>2610</v>
      </c>
      <c r="C917" s="2839"/>
      <c r="D917" s="2839"/>
      <c r="E917" s="2839"/>
      <c r="F917" s="2839"/>
      <c r="G917" s="2839"/>
      <c r="H917" s="56"/>
      <c r="I917" s="2065">
        <v>0</v>
      </c>
      <c r="J917" s="56"/>
      <c r="K917" s="2065">
        <v>0</v>
      </c>
      <c r="M917" s="1214" t="s">
        <v>2274</v>
      </c>
      <c r="N917" s="1134"/>
      <c r="O917" s="1134"/>
      <c r="T917" s="1102"/>
      <c r="U917" s="1102"/>
    </row>
    <row r="918" spans="1:23" ht="15.6" hidden="1" customHeight="1" x14ac:dyDescent="0.25">
      <c r="B918" s="2839" t="s">
        <v>2611</v>
      </c>
      <c r="C918" s="2839"/>
      <c r="D918" s="2839"/>
      <c r="E918" s="2839"/>
      <c r="F918" s="2839"/>
      <c r="G918" s="2839"/>
      <c r="H918" s="56"/>
      <c r="I918" s="2065">
        <v>0</v>
      </c>
      <c r="J918" s="56"/>
      <c r="K918" s="2065">
        <v>0</v>
      </c>
      <c r="M918" s="1214" t="s">
        <v>2274</v>
      </c>
      <c r="N918" s="1134"/>
      <c r="O918" s="1134"/>
      <c r="T918" s="1102"/>
      <c r="U918" s="1102"/>
    </row>
    <row r="919" spans="1:23" ht="15.6" hidden="1" customHeight="1" x14ac:dyDescent="0.25">
      <c r="B919" s="2839" t="s">
        <v>2612</v>
      </c>
      <c r="C919" s="2839"/>
      <c r="D919" s="2839"/>
      <c r="E919" s="2839"/>
      <c r="F919" s="2839"/>
      <c r="G919" s="2839"/>
      <c r="H919" s="56"/>
      <c r="I919" s="2065">
        <v>0</v>
      </c>
      <c r="J919" s="56"/>
      <c r="K919" s="2065">
        <v>0</v>
      </c>
      <c r="M919" s="1214" t="s">
        <v>2274</v>
      </c>
      <c r="N919" s="1134"/>
      <c r="O919" s="1134"/>
      <c r="T919" s="1102"/>
      <c r="U919" s="1102"/>
    </row>
    <row r="920" spans="1:23" ht="15.6" hidden="1" customHeight="1" x14ac:dyDescent="0.25">
      <c r="B920" s="2839" t="s">
        <v>4471</v>
      </c>
      <c r="C920" s="2839"/>
      <c r="D920" s="2839"/>
      <c r="E920" s="2839"/>
      <c r="F920" s="2839"/>
      <c r="G920" s="2839"/>
      <c r="H920" s="56"/>
      <c r="I920" s="2065">
        <v>0</v>
      </c>
      <c r="J920" s="56"/>
      <c r="K920" s="2065">
        <v>0</v>
      </c>
      <c r="M920" s="1214" t="s">
        <v>2274</v>
      </c>
      <c r="N920" s="1134"/>
      <c r="O920" s="1134"/>
      <c r="T920" s="1102"/>
      <c r="U920" s="1102"/>
    </row>
    <row r="921" spans="1:23" ht="15.6" hidden="1" customHeight="1" x14ac:dyDescent="0.25">
      <c r="B921" s="2839" t="s">
        <v>4472</v>
      </c>
      <c r="C921" s="2839"/>
      <c r="D921" s="2839"/>
      <c r="E921" s="2839"/>
      <c r="F921" s="2839"/>
      <c r="G921" s="2839"/>
      <c r="H921" s="56"/>
      <c r="I921" s="2065">
        <v>0</v>
      </c>
      <c r="J921" s="56"/>
      <c r="K921" s="2065">
        <v>0</v>
      </c>
      <c r="M921" s="1214" t="s">
        <v>2274</v>
      </c>
      <c r="N921" s="1134"/>
      <c r="O921" s="1134"/>
      <c r="T921" s="1102"/>
      <c r="U921" s="1102"/>
    </row>
    <row r="922" spans="1:23" ht="15.6" customHeight="1" x14ac:dyDescent="0.25">
      <c r="B922" s="2839" t="s">
        <v>4280</v>
      </c>
      <c r="C922" s="2839"/>
      <c r="D922" s="2839"/>
      <c r="E922" s="2839"/>
      <c r="F922" s="2839"/>
      <c r="G922" s="2839"/>
      <c r="H922" s="56"/>
      <c r="I922" s="2157">
        <f>I904</f>
        <v>271206.52999999688</v>
      </c>
      <c r="J922" s="56"/>
      <c r="K922" s="2157">
        <f>K904</f>
        <v>299229.11</v>
      </c>
      <c r="M922" s="1214" t="s">
        <v>2274</v>
      </c>
      <c r="N922" s="1134"/>
      <c r="O922" s="1134"/>
      <c r="T922" s="1102"/>
      <c r="U922" s="1102"/>
    </row>
    <row r="923" spans="1:23" ht="15.6" customHeight="1" x14ac:dyDescent="0.25">
      <c r="A923" s="1178"/>
      <c r="I923" s="199"/>
      <c r="J923" s="199"/>
      <c r="K923" s="199"/>
      <c r="M923" s="1147"/>
      <c r="N923" s="1134"/>
      <c r="O923" s="1134"/>
      <c r="T923" s="1102"/>
      <c r="U923" s="1102"/>
    </row>
    <row r="924" spans="1:23" ht="15.6" customHeight="1" thickBot="1" x14ac:dyDescent="0.3">
      <c r="B924" s="50" t="s">
        <v>2613</v>
      </c>
      <c r="C924" s="50"/>
      <c r="I924" s="204">
        <f>SUM(I914:I923)</f>
        <v>271206.52999999688</v>
      </c>
      <c r="J924" s="58"/>
      <c r="K924" s="204">
        <f>SUM(K914:K923)</f>
        <v>299229.11</v>
      </c>
      <c r="M924" s="1147"/>
      <c r="N924" s="1134"/>
      <c r="O924" s="1134"/>
      <c r="T924" s="1102"/>
      <c r="U924" s="1102"/>
    </row>
    <row r="925" spans="1:23" ht="15.6" customHeight="1" thickTop="1" x14ac:dyDescent="0.25">
      <c r="I925" s="262">
        <f>I924-I908</f>
        <v>0</v>
      </c>
      <c r="J925" s="199"/>
      <c r="K925" s="262">
        <f>K924-K908</f>
        <v>0</v>
      </c>
      <c r="M925" s="1147"/>
      <c r="N925" s="1134"/>
      <c r="O925" s="1134"/>
      <c r="T925" s="1102"/>
      <c r="U925" s="1102"/>
    </row>
    <row r="926" spans="1:23" s="655" customFormat="1" ht="30.95" hidden="1" customHeight="1" x14ac:dyDescent="0.25">
      <c r="A926" s="48"/>
      <c r="B926" s="2840" t="s">
        <v>4281</v>
      </c>
      <c r="C926" s="2840"/>
      <c r="D926" s="2840"/>
      <c r="E926" s="2840"/>
      <c r="F926" s="2840"/>
      <c r="G926" s="2840"/>
      <c r="H926" s="56"/>
      <c r="I926" s="56"/>
      <c r="J926" s="56"/>
      <c r="K926" s="56"/>
      <c r="L926" s="48"/>
      <c r="M926" s="1234" t="s">
        <v>2274</v>
      </c>
      <c r="N926" s="1229"/>
      <c r="O926" s="1229"/>
      <c r="P926" s="1230"/>
      <c r="Q926" s="1230"/>
      <c r="R926" s="1230"/>
      <c r="S926" s="1230"/>
      <c r="T926" s="1231"/>
      <c r="U926" s="1231"/>
      <c r="V926" s="1232"/>
      <c r="W926" s="1164"/>
    </row>
    <row r="927" spans="1:23" s="655" customFormat="1" ht="15.6" hidden="1" customHeight="1" x14ac:dyDescent="0.25">
      <c r="A927" s="625"/>
      <c r="B927" s="625"/>
      <c r="C927" s="625"/>
      <c r="D927" s="626"/>
      <c r="E927" s="625"/>
      <c r="F927" s="626"/>
      <c r="G927" s="626"/>
      <c r="H927" s="626"/>
      <c r="I927" s="286"/>
      <c r="J927" s="286"/>
      <c r="K927" s="286"/>
      <c r="L927" s="625"/>
      <c r="M927" s="1234"/>
      <c r="N927" s="1229"/>
      <c r="O927" s="1229"/>
      <c r="P927" s="1230"/>
      <c r="Q927" s="1230"/>
      <c r="R927" s="1230"/>
      <c r="S927" s="1230"/>
      <c r="T927" s="1231"/>
      <c r="U927" s="1231"/>
      <c r="V927" s="1232"/>
      <c r="W927" s="1164"/>
    </row>
    <row r="928" spans="1:23" s="655" customFormat="1" ht="30.95" hidden="1" customHeight="1" x14ac:dyDescent="0.25">
      <c r="A928" s="625"/>
      <c r="B928" s="2854" t="s">
        <v>4282</v>
      </c>
      <c r="C928" s="2854"/>
      <c r="D928" s="2854"/>
      <c r="E928" s="2854"/>
      <c r="F928" s="2854"/>
      <c r="G928" s="2854"/>
      <c r="H928" s="632"/>
      <c r="I928" s="1233"/>
      <c r="J928" s="632"/>
      <c r="K928" s="632"/>
      <c r="L928" s="625"/>
      <c r="M928" s="1234" t="s">
        <v>2274</v>
      </c>
      <c r="N928" s="1229"/>
      <c r="O928" s="1229"/>
      <c r="P928" s="1230"/>
      <c r="Q928" s="1230"/>
      <c r="R928" s="1230"/>
      <c r="S928" s="1230"/>
      <c r="T928" s="1231"/>
      <c r="U928" s="1231"/>
      <c r="V928" s="1232"/>
      <c r="W928" s="1164"/>
    </row>
    <row r="929" spans="1:27" s="655" customFormat="1" ht="15.6" hidden="1" customHeight="1" x14ac:dyDescent="0.25">
      <c r="A929" s="625"/>
      <c r="B929" s="625"/>
      <c r="C929" s="625"/>
      <c r="D929" s="626"/>
      <c r="E929" s="625"/>
      <c r="F929" s="626"/>
      <c r="G929" s="626"/>
      <c r="H929" s="626"/>
      <c r="I929" s="286"/>
      <c r="J929" s="286"/>
      <c r="K929" s="286"/>
      <c r="L929" s="625"/>
      <c r="M929" s="1234"/>
      <c r="N929" s="1229"/>
      <c r="O929" s="1229"/>
      <c r="P929" s="1230"/>
      <c r="Q929" s="1230"/>
      <c r="R929" s="1230"/>
      <c r="S929" s="1230"/>
      <c r="T929" s="1231"/>
      <c r="U929" s="1231"/>
      <c r="V929" s="1232"/>
      <c r="W929" s="1164"/>
    </row>
    <row r="930" spans="1:27" ht="30.95" hidden="1" customHeight="1" x14ac:dyDescent="0.25">
      <c r="A930" s="625"/>
      <c r="B930" s="2854" t="s">
        <v>4283</v>
      </c>
      <c r="C930" s="2854"/>
      <c r="D930" s="2854"/>
      <c r="E930" s="2854"/>
      <c r="F930" s="2854"/>
      <c r="G930" s="2854"/>
      <c r="H930" s="632"/>
      <c r="I930" s="632"/>
      <c r="J930" s="632"/>
      <c r="K930" s="632"/>
      <c r="L930" s="625"/>
      <c r="M930" s="1147"/>
      <c r="N930" s="1471"/>
      <c r="O930" s="1134"/>
      <c r="T930" s="1102"/>
      <c r="U930" s="1102"/>
    </row>
    <row r="931" spans="1:27" ht="15.6" hidden="1" customHeight="1" x14ac:dyDescent="0.25">
      <c r="A931" s="625"/>
      <c r="B931" s="625"/>
      <c r="C931" s="625"/>
      <c r="D931" s="626"/>
      <c r="E931" s="625"/>
      <c r="F931" s="626"/>
      <c r="G931" s="626"/>
      <c r="H931" s="626"/>
      <c r="I931" s="286"/>
      <c r="J931" s="286"/>
      <c r="K931" s="286"/>
      <c r="L931" s="625"/>
      <c r="M931" s="1147"/>
      <c r="N931" s="1471"/>
      <c r="O931" s="1134"/>
      <c r="T931" s="1102"/>
      <c r="U931" s="1102"/>
    </row>
    <row r="932" spans="1:27" s="655" customFormat="1" ht="15.6" hidden="1" customHeight="1" x14ac:dyDescent="0.25">
      <c r="A932" s="625"/>
      <c r="B932" s="2854" t="str">
        <f>"Deposits of R0 ("&amp;Prior&amp;": RXX) are ring-fenced and attributable to Creditors of the municipality."</f>
        <v>Deposits of R0 (2011: RXX) are ring-fenced and attributable to Creditors of the municipality.</v>
      </c>
      <c r="C932" s="2854"/>
      <c r="D932" s="2854"/>
      <c r="E932" s="2854"/>
      <c r="F932" s="2854"/>
      <c r="G932" s="2854"/>
      <c r="H932" s="632"/>
      <c r="I932" s="632"/>
      <c r="J932" s="632"/>
      <c r="K932" s="632"/>
      <c r="L932" s="625"/>
      <c r="M932" s="1234" t="s">
        <v>2274</v>
      </c>
      <c r="N932" s="1229"/>
      <c r="O932" s="1229"/>
      <c r="P932" s="1230"/>
      <c r="Q932" s="1230"/>
      <c r="R932" s="1230"/>
      <c r="S932" s="1230"/>
      <c r="T932" s="1231"/>
      <c r="U932" s="1231"/>
      <c r="V932" s="1232"/>
      <c r="W932" s="1164"/>
    </row>
    <row r="933" spans="1:27" ht="15.6" hidden="1" customHeight="1" x14ac:dyDescent="0.25">
      <c r="A933" s="625"/>
      <c r="B933" s="625"/>
      <c r="C933" s="625"/>
      <c r="D933" s="626"/>
      <c r="E933" s="625"/>
      <c r="F933" s="626"/>
      <c r="G933" s="626"/>
      <c r="H933" s="626"/>
      <c r="I933" s="286"/>
      <c r="J933" s="286"/>
      <c r="K933" s="286"/>
      <c r="L933" s="625"/>
      <c r="M933" s="1214"/>
      <c r="N933" s="1134"/>
      <c r="O933" s="1134"/>
      <c r="P933" s="1098"/>
      <c r="T933" s="1102"/>
      <c r="U933" s="1102"/>
      <c r="V933" s="185"/>
    </row>
    <row r="934" spans="1:27" ht="15.6" hidden="1" customHeight="1" x14ac:dyDescent="0.25">
      <c r="A934" s="1170"/>
      <c r="B934" s="2841" t="s">
        <v>2219</v>
      </c>
      <c r="C934" s="2841"/>
      <c r="D934" s="2841"/>
      <c r="E934" s="2841"/>
      <c r="F934" s="2841"/>
      <c r="G934" s="2841"/>
      <c r="H934" s="845"/>
      <c r="I934" s="845"/>
      <c r="J934" s="845"/>
      <c r="K934" s="845"/>
      <c r="L934" s="745"/>
      <c r="M934" s="1214" t="s">
        <v>2274</v>
      </c>
      <c r="N934" s="1134"/>
      <c r="O934" s="1134"/>
      <c r="T934" s="1102"/>
      <c r="U934" s="1102"/>
      <c r="Z934" s="256"/>
    </row>
    <row r="935" spans="1:27" ht="15.6" hidden="1" customHeight="1" x14ac:dyDescent="0.25">
      <c r="I935" s="199"/>
      <c r="J935" s="199"/>
      <c r="K935" s="199"/>
      <c r="M935" s="1147"/>
      <c r="N935" s="1134"/>
      <c r="O935" s="1134"/>
      <c r="T935" s="1102"/>
      <c r="U935" s="1102"/>
      <c r="Z935" s="256"/>
    </row>
    <row r="936" spans="1:27" ht="15.6" customHeight="1" x14ac:dyDescent="0.25">
      <c r="B936" s="2853" t="s">
        <v>7537</v>
      </c>
      <c r="C936" s="2853"/>
      <c r="D936" s="2853"/>
      <c r="E936" s="2853"/>
      <c r="F936" s="2853"/>
      <c r="G936" s="2853"/>
      <c r="I936" s="200"/>
      <c r="J936" s="200"/>
      <c r="K936" s="200"/>
      <c r="L936" s="210"/>
      <c r="M936" s="1147"/>
      <c r="O936" s="1133"/>
      <c r="P936" s="1105"/>
      <c r="S936" s="1102"/>
      <c r="T936" s="1102"/>
      <c r="U936" s="1102"/>
      <c r="W936" s="1128" t="s">
        <v>3857</v>
      </c>
      <c r="Z936" s="256"/>
    </row>
    <row r="937" spans="1:27" ht="15.6" customHeight="1" x14ac:dyDescent="0.25">
      <c r="I937" s="209"/>
      <c r="J937" s="200"/>
      <c r="K937" s="209"/>
      <c r="L937" s="210"/>
      <c r="M937" s="1147"/>
      <c r="O937" s="1133"/>
      <c r="T937" s="1102"/>
      <c r="U937" s="1102"/>
      <c r="Z937" s="256"/>
      <c r="AA937" s="256"/>
    </row>
    <row r="938" spans="1:27" s="256" customFormat="1" ht="15.6" customHeight="1" x14ac:dyDescent="0.25">
      <c r="A938" s="1180"/>
      <c r="B938" s="259" t="s">
        <v>1657</v>
      </c>
      <c r="C938" s="259"/>
      <c r="D938" s="255"/>
      <c r="F938" s="255"/>
      <c r="G938" s="255"/>
      <c r="H938" s="255"/>
      <c r="I938" s="257">
        <f>SUM(I956,I963,I970)</f>
        <v>16209</v>
      </c>
      <c r="J938" s="258"/>
      <c r="K938" s="257">
        <f>SUM(K956,K963,K970)</f>
        <v>212465</v>
      </c>
      <c r="M938" s="1468"/>
      <c r="N938" s="1470">
        <f>SUM(N949)</f>
        <v>0</v>
      </c>
      <c r="O938" s="1133"/>
      <c r="P938" s="1107"/>
      <c r="Q938" s="1108"/>
      <c r="R938" s="1108"/>
      <c r="S938" s="1108"/>
      <c r="T938" s="1109"/>
      <c r="U938" s="1109"/>
      <c r="V938" s="48"/>
      <c r="W938" s="1128"/>
      <c r="X938" s="48"/>
      <c r="Y938" s="48"/>
    </row>
    <row r="939" spans="1:27" s="256" customFormat="1" ht="15.6" customHeight="1" x14ac:dyDescent="0.25">
      <c r="A939" s="1180"/>
      <c r="B939" s="259" t="s">
        <v>395</v>
      </c>
      <c r="C939" s="259"/>
      <c r="D939" s="255"/>
      <c r="F939" s="255"/>
      <c r="G939" s="255"/>
      <c r="H939" s="255"/>
      <c r="I939" s="257">
        <f>I948</f>
        <v>-3915357</v>
      </c>
      <c r="J939" s="258"/>
      <c r="K939" s="257">
        <f>K948</f>
        <v>-2065666.0399999998</v>
      </c>
      <c r="M939" s="1468"/>
      <c r="N939" s="1470">
        <f>N941-N938</f>
        <v>-1494654</v>
      </c>
      <c r="O939" s="1133"/>
      <c r="P939" s="1107"/>
      <c r="Q939" s="1108"/>
      <c r="R939" s="1108"/>
      <c r="S939" s="1108"/>
      <c r="T939" s="1109"/>
      <c r="U939" s="1109"/>
      <c r="V939" s="48"/>
      <c r="W939" s="1128"/>
      <c r="X939" s="48"/>
      <c r="Y939" s="48"/>
    </row>
    <row r="940" spans="1:27" s="256" customFormat="1" ht="15.6" customHeight="1" x14ac:dyDescent="0.25">
      <c r="A940" s="1180"/>
      <c r="B940" s="259"/>
      <c r="C940" s="259"/>
      <c r="D940" s="255"/>
      <c r="F940" s="255"/>
      <c r="G940" s="255"/>
      <c r="H940" s="255"/>
      <c r="I940" s="257"/>
      <c r="J940" s="258"/>
      <c r="K940" s="257"/>
      <c r="M940" s="1468"/>
      <c r="N940" s="1470"/>
      <c r="O940" s="1133"/>
      <c r="P940" s="1107"/>
      <c r="Q940" s="1108"/>
      <c r="R940" s="1108"/>
      <c r="S940" s="1108"/>
      <c r="T940" s="1109"/>
      <c r="U940" s="1109"/>
      <c r="V940" s="48"/>
      <c r="W940" s="1128"/>
      <c r="X940" s="48"/>
      <c r="Y940" s="48"/>
    </row>
    <row r="941" spans="1:27" s="256" customFormat="1" ht="15.6" customHeight="1" thickBot="1" x14ac:dyDescent="0.3">
      <c r="A941" s="1181"/>
      <c r="B941" s="260" t="s">
        <v>1658</v>
      </c>
      <c r="C941" s="260"/>
      <c r="D941" s="255"/>
      <c r="E941" s="254"/>
      <c r="F941" s="255"/>
      <c r="G941" s="255"/>
      <c r="H941" s="255"/>
      <c r="I941" s="263">
        <f>SUM(I938:I939)</f>
        <v>-3899148</v>
      </c>
      <c r="J941" s="264"/>
      <c r="K941" s="263">
        <f>SUM(K938:K939)</f>
        <v>-1853201.0399999998</v>
      </c>
      <c r="M941" s="1468"/>
      <c r="N941" s="790">
        <f>SUM(N948)</f>
        <v>-1494654</v>
      </c>
      <c r="O941" s="1133"/>
      <c r="P941" s="1107"/>
      <c r="Q941" s="1108"/>
      <c r="R941" s="1108"/>
      <c r="S941" s="1108"/>
      <c r="T941" s="1109"/>
      <c r="U941" s="1109"/>
      <c r="V941" s="48"/>
      <c r="W941" s="1128"/>
      <c r="X941" s="48"/>
      <c r="Y941" s="48"/>
    </row>
    <row r="942" spans="1:27" s="256" customFormat="1" ht="15.6" customHeight="1" thickTop="1" x14ac:dyDescent="0.25">
      <c r="A942" s="1181"/>
      <c r="B942" s="260"/>
      <c r="C942" s="260"/>
      <c r="D942" s="255"/>
      <c r="E942" s="254"/>
      <c r="F942" s="255"/>
      <c r="G942" s="255"/>
      <c r="H942" s="255"/>
      <c r="I942" s="199">
        <v>0</v>
      </c>
      <c r="J942" s="199"/>
      <c r="K942" s="199">
        <v>0</v>
      </c>
      <c r="M942" s="1468"/>
      <c r="N942" s="1469"/>
      <c r="O942" s="1133"/>
      <c r="P942" s="1107"/>
      <c r="Q942" s="1108"/>
      <c r="R942" s="1108"/>
      <c r="S942" s="1108"/>
      <c r="T942" s="1109"/>
      <c r="U942" s="1109"/>
      <c r="V942" s="48"/>
      <c r="W942" s="1128"/>
      <c r="X942" s="48"/>
      <c r="Y942" s="48"/>
    </row>
    <row r="943" spans="1:27" s="256" customFormat="1" ht="15.6" customHeight="1" x14ac:dyDescent="0.25">
      <c r="A943" s="1180"/>
      <c r="B943" s="259" t="s">
        <v>173</v>
      </c>
      <c r="C943" s="259"/>
      <c r="D943" s="255"/>
      <c r="F943" s="255"/>
      <c r="G943" s="255"/>
      <c r="H943" s="255"/>
      <c r="I943" s="257"/>
      <c r="J943" s="258"/>
      <c r="K943" s="257"/>
      <c r="M943" s="1468"/>
      <c r="N943" s="1469"/>
      <c r="O943" s="1133"/>
      <c r="P943" s="1107"/>
      <c r="Q943" s="1108"/>
      <c r="R943" s="1108"/>
      <c r="S943" s="1108"/>
      <c r="T943" s="1109"/>
      <c r="U943" s="1109"/>
      <c r="V943" s="48"/>
      <c r="W943" s="1128"/>
      <c r="X943" s="48"/>
      <c r="Y943" s="48"/>
    </row>
    <row r="944" spans="1:27" s="256" customFormat="1" ht="15.6" customHeight="1" x14ac:dyDescent="0.25">
      <c r="A944" s="1180"/>
      <c r="B944" s="259"/>
      <c r="C944" s="259"/>
      <c r="D944" s="255"/>
      <c r="F944" s="255"/>
      <c r="G944" s="255"/>
      <c r="H944" s="255"/>
      <c r="I944" s="257"/>
      <c r="J944" s="258"/>
      <c r="K944" s="257"/>
      <c r="M944" s="1468"/>
      <c r="N944" s="1469"/>
      <c r="O944" s="1133"/>
      <c r="P944" s="1107"/>
      <c r="Q944" s="1108"/>
      <c r="R944" s="1108"/>
      <c r="S944" s="1108"/>
      <c r="T944" s="1109"/>
      <c r="U944" s="1109"/>
      <c r="V944" s="48"/>
      <c r="W944" s="1128"/>
      <c r="X944" s="48"/>
      <c r="Y944" s="48"/>
    </row>
    <row r="945" spans="1:27" s="256" customFormat="1" ht="15.6" customHeight="1" x14ac:dyDescent="0.25">
      <c r="A945" s="1180"/>
      <c r="B945" s="260" t="s">
        <v>146</v>
      </c>
      <c r="C945" s="259"/>
      <c r="D945" s="255"/>
      <c r="F945" s="255"/>
      <c r="G945" s="255"/>
      <c r="H945" s="255"/>
      <c r="I945" s="257"/>
      <c r="J945" s="258"/>
      <c r="K945" s="257"/>
      <c r="M945" s="1468"/>
      <c r="N945" s="1469"/>
      <c r="O945" s="1133"/>
      <c r="P945" s="1107"/>
      <c r="Q945" s="1108"/>
      <c r="R945" s="1108"/>
      <c r="S945" s="1108"/>
      <c r="T945" s="1109"/>
      <c r="U945" s="1109"/>
      <c r="V945" s="48"/>
      <c r="W945" s="1128"/>
      <c r="X945" s="48"/>
      <c r="Y945" s="48"/>
    </row>
    <row r="946" spans="1:27" s="256" customFormat="1" ht="15.6" customHeight="1" x14ac:dyDescent="0.25">
      <c r="A946" s="1180"/>
      <c r="B946" s="261" t="s">
        <v>6900</v>
      </c>
      <c r="C946" s="259"/>
      <c r="D946" s="255"/>
      <c r="F946" s="255"/>
      <c r="G946" s="255"/>
      <c r="H946" s="255"/>
      <c r="I946" s="257"/>
      <c r="J946" s="258"/>
      <c r="K946" s="257"/>
      <c r="M946" s="1468"/>
      <c r="N946" s="1469"/>
      <c r="O946" s="1133"/>
      <c r="P946" s="1107"/>
      <c r="Q946" s="1108"/>
      <c r="R946" s="1108"/>
      <c r="S946" s="1108"/>
      <c r="T946" s="1109"/>
      <c r="U946" s="1109"/>
      <c r="V946" s="48"/>
      <c r="W946" s="1128"/>
      <c r="X946" s="48"/>
      <c r="Y946" s="48"/>
    </row>
    <row r="947" spans="1:27" s="256" customFormat="1" ht="15.6" customHeight="1" x14ac:dyDescent="0.25">
      <c r="A947" s="1180"/>
      <c r="B947" s="259" t="s">
        <v>376</v>
      </c>
      <c r="C947" s="259"/>
      <c r="D947" s="255"/>
      <c r="F947" s="255"/>
      <c r="G947" s="255"/>
      <c r="H947" s="255"/>
      <c r="I947" s="257">
        <f>K948</f>
        <v>-2065666.0399999998</v>
      </c>
      <c r="J947" s="258"/>
      <c r="K947" s="257">
        <f>N948</f>
        <v>-1494654</v>
      </c>
      <c r="M947" s="1468"/>
      <c r="N947" s="1469"/>
      <c r="O947" s="1133"/>
      <c r="P947" s="1107"/>
      <c r="Q947" s="1108"/>
      <c r="R947" s="1108"/>
      <c r="S947" s="1108"/>
      <c r="T947" s="1109"/>
      <c r="U947" s="1109"/>
      <c r="V947" s="48"/>
      <c r="W947" s="1128"/>
      <c r="X947" s="48"/>
      <c r="Y947" s="48"/>
    </row>
    <row r="948" spans="1:27" s="256" customFormat="1" ht="15.6" customHeight="1" thickBot="1" x14ac:dyDescent="0.3">
      <c r="A948" s="1180"/>
      <c r="B948" s="259" t="s">
        <v>377</v>
      </c>
      <c r="C948" s="259"/>
      <c r="D948" s="255"/>
      <c r="F948" s="255"/>
      <c r="G948" s="255"/>
      <c r="H948" s="255"/>
      <c r="I948" s="2466">
        <v>-3915357</v>
      </c>
      <c r="J948" s="258"/>
      <c r="K948" s="2466">
        <f>'Trial Balance - FPos'!C24+'Trial Balance - FPos'!C17</f>
        <v>-2065666.0399999998</v>
      </c>
      <c r="M948" s="1468"/>
      <c r="N948" s="1480">
        <v>-1494654</v>
      </c>
      <c r="O948" s="1133"/>
      <c r="P948" s="1107" t="s">
        <v>2866</v>
      </c>
      <c r="Q948" s="1098" t="s">
        <v>2763</v>
      </c>
      <c r="R948" s="1107" t="s">
        <v>2867</v>
      </c>
      <c r="S948" s="1098" t="s">
        <v>2765</v>
      </c>
      <c r="T948" s="1107" t="s">
        <v>2868</v>
      </c>
      <c r="U948" s="1098" t="s">
        <v>2775</v>
      </c>
      <c r="V948" s="48"/>
      <c r="W948" s="1128"/>
      <c r="X948" s="48"/>
      <c r="Y948" s="48"/>
    </row>
    <row r="949" spans="1:27" s="256" customFormat="1" ht="15.6" customHeight="1" thickTop="1" x14ac:dyDescent="0.25">
      <c r="A949" s="1180"/>
      <c r="B949" s="259"/>
      <c r="C949" s="259"/>
      <c r="D949" s="255"/>
      <c r="F949" s="255"/>
      <c r="G949" s="255"/>
      <c r="H949" s="255"/>
      <c r="I949" s="262">
        <f>IF(I948&gt;0,I948,0)</f>
        <v>0</v>
      </c>
      <c r="J949" s="258"/>
      <c r="K949" s="262">
        <f>IF(K948&gt;0,K948,0)</f>
        <v>0</v>
      </c>
      <c r="M949" s="1468"/>
      <c r="N949" s="1479">
        <f>IF(N948&gt;0,N948,0)</f>
        <v>0</v>
      </c>
      <c r="O949" s="1133"/>
      <c r="P949" s="1107"/>
      <c r="Q949" s="1108"/>
      <c r="R949" s="1108"/>
      <c r="S949" s="1108"/>
      <c r="T949" s="1109"/>
      <c r="U949" s="1109"/>
      <c r="V949" s="48"/>
      <c r="W949" s="1128"/>
      <c r="X949" s="48"/>
      <c r="Y949" s="48"/>
      <c r="Z949" s="48"/>
    </row>
    <row r="950" spans="1:27" s="256" customFormat="1" ht="15.6" customHeight="1" x14ac:dyDescent="0.25">
      <c r="A950" s="1180"/>
      <c r="B950" s="259" t="s">
        <v>378</v>
      </c>
      <c r="C950" s="259"/>
      <c r="D950" s="255"/>
      <c r="F950" s="255"/>
      <c r="G950" s="255"/>
      <c r="H950" s="255"/>
      <c r="I950" s="257">
        <f>K951</f>
        <v>193464</v>
      </c>
      <c r="J950" s="258"/>
      <c r="K950" s="257">
        <v>358584</v>
      </c>
      <c r="M950" s="1468"/>
      <c r="N950" s="1469"/>
      <c r="O950" s="1133"/>
      <c r="P950" s="1107"/>
      <c r="Q950" s="1108"/>
      <c r="R950" s="1108"/>
      <c r="S950" s="1108"/>
      <c r="T950" s="1109"/>
      <c r="U950" s="1109"/>
      <c r="V950" s="48"/>
      <c r="W950" s="1128"/>
      <c r="X950" s="48"/>
      <c r="Y950" s="48"/>
      <c r="Z950" s="48"/>
    </row>
    <row r="951" spans="1:27" s="256" customFormat="1" ht="15.6" customHeight="1" thickBot="1" x14ac:dyDescent="0.3">
      <c r="A951" s="1180"/>
      <c r="B951" s="259" t="s">
        <v>379</v>
      </c>
      <c r="C951" s="259"/>
      <c r="D951" s="255"/>
      <c r="F951" s="255"/>
      <c r="G951" s="255"/>
      <c r="H951" s="255"/>
      <c r="I951" s="2466">
        <v>610138</v>
      </c>
      <c r="J951" s="258"/>
      <c r="K951" s="2466">
        <v>193464</v>
      </c>
      <c r="M951" s="1468"/>
      <c r="N951" s="1469"/>
      <c r="O951" s="1469"/>
      <c r="P951" s="1107"/>
      <c r="Q951" s="1108"/>
      <c r="R951" s="1108"/>
      <c r="S951" s="1108"/>
      <c r="T951" s="1109"/>
      <c r="U951" s="1109"/>
      <c r="V951" s="48"/>
      <c r="W951" s="1128"/>
      <c r="X951" s="48"/>
      <c r="Y951" s="48"/>
      <c r="Z951" s="48"/>
    </row>
    <row r="952" spans="1:27" s="256" customFormat="1" ht="15.6" customHeight="1" thickTop="1" x14ac:dyDescent="0.25">
      <c r="A952" s="1180"/>
      <c r="B952" s="259"/>
      <c r="C952" s="259"/>
      <c r="D952" s="255"/>
      <c r="F952" s="255"/>
      <c r="G952" s="255"/>
      <c r="H952" s="255"/>
      <c r="I952" s="257"/>
      <c r="J952" s="258"/>
      <c r="K952" s="257"/>
      <c r="M952" s="1468"/>
      <c r="N952" s="1469"/>
      <c r="O952" s="1469"/>
      <c r="P952" s="1107"/>
      <c r="Q952" s="1108"/>
      <c r="R952" s="1108"/>
      <c r="S952" s="1108"/>
      <c r="T952" s="1109"/>
      <c r="U952" s="1109"/>
      <c r="V952" s="48"/>
      <c r="W952" s="1128"/>
      <c r="X952" s="48"/>
      <c r="Y952" s="48"/>
      <c r="Z952" s="48"/>
      <c r="AA952" s="48"/>
    </row>
    <row r="953" spans="1:27" s="256" customFormat="1" ht="15.6" customHeight="1" x14ac:dyDescent="0.25">
      <c r="A953" s="1180"/>
      <c r="B953" s="260" t="s">
        <v>6426</v>
      </c>
      <c r="C953" s="259"/>
      <c r="D953" s="255"/>
      <c r="F953" s="255"/>
      <c r="G953" s="255"/>
      <c r="H953" s="255"/>
      <c r="I953" s="257"/>
      <c r="J953" s="258"/>
      <c r="K953" s="257"/>
      <c r="M953" s="1468"/>
      <c r="N953" s="1469"/>
      <c r="O953" s="1469"/>
      <c r="P953" s="1107"/>
      <c r="Q953" s="1108"/>
      <c r="R953" s="1108"/>
      <c r="S953" s="1108"/>
      <c r="T953" s="1109"/>
      <c r="U953" s="1109"/>
      <c r="V953" s="48"/>
      <c r="W953" s="1128"/>
      <c r="X953" s="48"/>
      <c r="Y953" s="48"/>
      <c r="Z953" s="48"/>
      <c r="AA953" s="48"/>
    </row>
    <row r="954" spans="1:27" s="256" customFormat="1" ht="15.6" customHeight="1" x14ac:dyDescent="0.25">
      <c r="A954" s="1180"/>
      <c r="B954" s="261" t="s">
        <v>6425</v>
      </c>
      <c r="C954" s="259"/>
      <c r="D954" s="255"/>
      <c r="F954" s="255"/>
      <c r="G954" s="255"/>
      <c r="H954" s="255"/>
      <c r="I954" s="257"/>
      <c r="J954" s="258"/>
      <c r="K954" s="257"/>
      <c r="M954" s="1468"/>
      <c r="N954" s="1469"/>
      <c r="O954" s="1469"/>
      <c r="P954" s="1107"/>
      <c r="Q954" s="1108"/>
      <c r="R954" s="1108"/>
      <c r="S954" s="1108"/>
      <c r="T954" s="1109"/>
      <c r="U954" s="1109"/>
      <c r="V954" s="48"/>
      <c r="W954" s="1128"/>
      <c r="X954" s="48"/>
      <c r="Y954" s="48"/>
      <c r="Z954" s="48"/>
      <c r="AA954" s="48"/>
    </row>
    <row r="955" spans="1:27" s="256" customFormat="1" ht="15.6" customHeight="1" x14ac:dyDescent="0.25">
      <c r="A955" s="1180"/>
      <c r="B955" s="259" t="s">
        <v>376</v>
      </c>
      <c r="C955" s="259"/>
      <c r="D955" s="255"/>
      <c r="F955" s="255"/>
      <c r="G955" s="255"/>
      <c r="H955" s="255"/>
      <c r="I955" s="257">
        <f>K956</f>
        <v>18052</v>
      </c>
      <c r="J955" s="258"/>
      <c r="K955" s="257">
        <f>N956</f>
        <v>91780</v>
      </c>
      <c r="M955" s="1468"/>
      <c r="N955" s="1469"/>
      <c r="O955" s="1469"/>
      <c r="P955" s="1107"/>
      <c r="Q955" s="1108"/>
      <c r="R955" s="1108"/>
      <c r="S955" s="1108"/>
      <c r="T955" s="1109"/>
      <c r="U955" s="1109"/>
      <c r="V955" s="48"/>
      <c r="W955" s="1128"/>
      <c r="X955" s="48"/>
      <c r="Y955" s="48"/>
      <c r="Z955" s="48"/>
      <c r="AA955" s="48"/>
    </row>
    <row r="956" spans="1:27" s="256" customFormat="1" ht="15.6" customHeight="1" thickBot="1" x14ac:dyDescent="0.3">
      <c r="A956" s="1180"/>
      <c r="B956" s="259" t="s">
        <v>377</v>
      </c>
      <c r="C956" s="259"/>
      <c r="D956" s="255"/>
      <c r="F956" s="255"/>
      <c r="G956" s="255"/>
      <c r="H956" s="255"/>
      <c r="I956" s="2466">
        <v>730</v>
      </c>
      <c r="J956" s="258"/>
      <c r="K956" s="2466">
        <v>18052</v>
      </c>
      <c r="M956" s="1468"/>
      <c r="N956" s="1469">
        <v>91780</v>
      </c>
      <c r="O956" s="1469"/>
      <c r="P956" s="1107"/>
      <c r="Q956" s="1108"/>
      <c r="R956" s="1108"/>
      <c r="S956" s="1108"/>
      <c r="T956" s="1109"/>
      <c r="U956" s="1109"/>
      <c r="V956" s="48"/>
      <c r="W956" s="1128"/>
      <c r="X956" s="48"/>
      <c r="Y956" s="48"/>
      <c r="Z956" s="48"/>
      <c r="AA956" s="48"/>
    </row>
    <row r="957" spans="1:27" s="256" customFormat="1" ht="15.6" customHeight="1" thickTop="1" x14ac:dyDescent="0.25">
      <c r="A957" s="1180"/>
      <c r="B957" s="259"/>
      <c r="C957" s="259"/>
      <c r="D957" s="255"/>
      <c r="F957" s="255"/>
      <c r="G957" s="255"/>
      <c r="H957" s="255"/>
      <c r="I957" s="262">
        <f>IF(I956&gt;0,I956,0)</f>
        <v>730</v>
      </c>
      <c r="J957" s="258"/>
      <c r="K957" s="262">
        <f>IF(K956&gt;0,K956,0)</f>
        <v>18052</v>
      </c>
      <c r="M957" s="1468"/>
      <c r="N957" s="1469"/>
      <c r="O957" s="1469"/>
      <c r="P957" s="1107"/>
      <c r="Q957" s="1108"/>
      <c r="R957" s="1108"/>
      <c r="S957" s="1108"/>
      <c r="T957" s="1109"/>
      <c r="U957" s="1109"/>
      <c r="V957" s="48"/>
      <c r="W957" s="1128"/>
      <c r="X957" s="48"/>
      <c r="Y957" s="48"/>
      <c r="Z957" s="48"/>
      <c r="AA957" s="48"/>
    </row>
    <row r="958" spans="1:27" s="256" customFormat="1" ht="15.6" customHeight="1" x14ac:dyDescent="0.25">
      <c r="A958" s="1180"/>
      <c r="B958" s="259" t="s">
        <v>378</v>
      </c>
      <c r="C958" s="259"/>
      <c r="D958" s="255"/>
      <c r="F958" s="255"/>
      <c r="G958" s="255"/>
      <c r="H958" s="255"/>
      <c r="I958" s="257">
        <f>K959</f>
        <v>18052</v>
      </c>
      <c r="J958" s="258"/>
      <c r="K958" s="257">
        <v>69518</v>
      </c>
      <c r="M958" s="1468"/>
      <c r="N958" s="1469"/>
      <c r="O958" s="1469"/>
      <c r="P958" s="1107"/>
      <c r="Q958" s="1108"/>
      <c r="R958" s="1108"/>
      <c r="S958" s="1108"/>
      <c r="T958" s="1109"/>
      <c r="U958" s="1109"/>
      <c r="V958" s="48"/>
      <c r="W958" s="1128"/>
      <c r="X958" s="48"/>
      <c r="Y958" s="48"/>
      <c r="Z958" s="48"/>
      <c r="AA958" s="48"/>
    </row>
    <row r="959" spans="1:27" s="256" customFormat="1" ht="15.6" customHeight="1" thickBot="1" x14ac:dyDescent="0.3">
      <c r="A959" s="1180"/>
      <c r="B959" s="259" t="s">
        <v>379</v>
      </c>
      <c r="C959" s="259"/>
      <c r="D959" s="255"/>
      <c r="F959" s="255"/>
      <c r="G959" s="255"/>
      <c r="H959" s="255"/>
      <c r="I959" s="2466">
        <v>730</v>
      </c>
      <c r="J959" s="258"/>
      <c r="K959" s="2466">
        <v>18052</v>
      </c>
      <c r="M959" s="1468"/>
      <c r="N959" s="1469"/>
      <c r="O959" s="1469"/>
      <c r="P959" s="1107"/>
      <c r="Q959" s="1108"/>
      <c r="R959" s="1108"/>
      <c r="S959" s="1108"/>
      <c r="T959" s="1109"/>
      <c r="U959" s="1109"/>
      <c r="V959" s="48"/>
      <c r="W959" s="1128"/>
      <c r="X959" s="48"/>
      <c r="Y959" s="48"/>
      <c r="Z959" s="48"/>
      <c r="AA959" s="48"/>
    </row>
    <row r="960" spans="1:27" s="256" customFormat="1" ht="15.6" customHeight="1" thickTop="1" x14ac:dyDescent="0.25">
      <c r="A960" s="1180"/>
      <c r="B960" s="259"/>
      <c r="C960" s="259"/>
      <c r="D960" s="255"/>
      <c r="F960" s="255"/>
      <c r="G960" s="255"/>
      <c r="H960" s="255"/>
      <c r="I960" s="257"/>
      <c r="J960" s="258"/>
      <c r="K960" s="257"/>
      <c r="M960" s="1468"/>
      <c r="N960" s="1469"/>
      <c r="O960" s="1469"/>
      <c r="P960" s="1107"/>
      <c r="Q960" s="1108"/>
      <c r="R960" s="1108"/>
      <c r="S960" s="1108"/>
      <c r="T960" s="1109"/>
      <c r="U960" s="1109"/>
      <c r="V960" s="48"/>
      <c r="W960" s="1128"/>
      <c r="X960" s="48"/>
      <c r="Y960" s="48"/>
      <c r="Z960" s="48"/>
      <c r="AA960" s="48"/>
    </row>
    <row r="961" spans="1:27" s="256" customFormat="1" ht="15.6" customHeight="1" x14ac:dyDescent="0.25">
      <c r="A961" s="1180"/>
      <c r="B961" s="261" t="s">
        <v>6901</v>
      </c>
      <c r="C961" s="259"/>
      <c r="D961" s="255"/>
      <c r="F961" s="255"/>
      <c r="G961" s="255"/>
      <c r="H961" s="255"/>
      <c r="I961" s="257"/>
      <c r="J961" s="258"/>
      <c r="K961" s="257"/>
      <c r="M961" s="1468"/>
      <c r="N961" s="1469"/>
      <c r="O961" s="1469"/>
      <c r="P961" s="1107"/>
      <c r="Q961" s="1108"/>
      <c r="R961" s="1108"/>
      <c r="S961" s="1108"/>
      <c r="T961" s="1109"/>
      <c r="U961" s="1109"/>
      <c r="V961" s="48"/>
      <c r="W961" s="1128"/>
      <c r="X961" s="48"/>
      <c r="Y961" s="48"/>
      <c r="Z961" s="48"/>
      <c r="AA961" s="48"/>
    </row>
    <row r="962" spans="1:27" s="256" customFormat="1" ht="15.6" customHeight="1" x14ac:dyDescent="0.25">
      <c r="A962" s="1180"/>
      <c r="B962" s="259" t="s">
        <v>376</v>
      </c>
      <c r="C962" s="259"/>
      <c r="D962" s="255"/>
      <c r="F962" s="255"/>
      <c r="G962" s="255"/>
      <c r="H962" s="255"/>
      <c r="I962" s="257">
        <f>K963</f>
        <v>107085</v>
      </c>
      <c r="J962" s="258"/>
      <c r="K962" s="257">
        <f>N963</f>
        <v>70926</v>
      </c>
      <c r="M962" s="1468"/>
      <c r="N962" s="1469"/>
      <c r="O962" s="1469"/>
      <c r="P962" s="1107"/>
      <c r="Q962" s="1108"/>
      <c r="R962" s="1108"/>
      <c r="S962" s="1108"/>
      <c r="T962" s="1109"/>
      <c r="U962" s="1109"/>
      <c r="V962" s="48"/>
      <c r="W962" s="1128"/>
      <c r="X962" s="48"/>
      <c r="Y962" s="48"/>
      <c r="Z962" s="48"/>
      <c r="AA962" s="48"/>
    </row>
    <row r="963" spans="1:27" s="256" customFormat="1" ht="15.6" customHeight="1" thickBot="1" x14ac:dyDescent="0.3">
      <c r="A963" s="1180"/>
      <c r="B963" s="259" t="s">
        <v>377</v>
      </c>
      <c r="C963" s="259"/>
      <c r="D963" s="255"/>
      <c r="F963" s="255"/>
      <c r="G963" s="255"/>
      <c r="H963" s="255"/>
      <c r="I963" s="2466">
        <v>8711</v>
      </c>
      <c r="J963" s="258"/>
      <c r="K963" s="2466">
        <v>107085</v>
      </c>
      <c r="M963" s="1468"/>
      <c r="N963" s="1469">
        <v>70926</v>
      </c>
      <c r="O963" s="1469"/>
      <c r="P963" s="1107"/>
      <c r="Q963" s="1108"/>
      <c r="R963" s="1108"/>
      <c r="S963" s="1108"/>
      <c r="T963" s="1109"/>
      <c r="U963" s="1109"/>
      <c r="V963" s="48"/>
      <c r="W963" s="1128"/>
      <c r="X963" s="48"/>
      <c r="Y963" s="48"/>
      <c r="Z963" s="48"/>
      <c r="AA963" s="48"/>
    </row>
    <row r="964" spans="1:27" s="256" customFormat="1" ht="15.6" customHeight="1" thickTop="1" x14ac:dyDescent="0.25">
      <c r="A964" s="1180"/>
      <c r="B964" s="259"/>
      <c r="C964" s="259"/>
      <c r="D964" s="255"/>
      <c r="F964" s="255"/>
      <c r="G964" s="255"/>
      <c r="H964" s="255"/>
      <c r="I964" s="262">
        <f>IF(I963&gt;0,I963,0)</f>
        <v>8711</v>
      </c>
      <c r="J964" s="258"/>
      <c r="K964" s="262">
        <f>IF(K963&gt;0,K963,0)</f>
        <v>107085</v>
      </c>
      <c r="M964" s="1468"/>
      <c r="N964" s="1469"/>
      <c r="O964" s="1469"/>
      <c r="P964" s="1107"/>
      <c r="Q964" s="1108"/>
      <c r="R964" s="1108"/>
      <c r="S964" s="1108"/>
      <c r="T964" s="1109"/>
      <c r="U964" s="1109"/>
      <c r="V964" s="48"/>
      <c r="W964" s="1128"/>
      <c r="X964" s="48"/>
      <c r="Y964" s="48"/>
      <c r="Z964" s="48"/>
      <c r="AA964" s="48"/>
    </row>
    <row r="965" spans="1:27" s="256" customFormat="1" ht="15.6" customHeight="1" x14ac:dyDescent="0.25">
      <c r="A965" s="1180"/>
      <c r="B965" s="259" t="s">
        <v>378</v>
      </c>
      <c r="C965" s="259"/>
      <c r="D965" s="255"/>
      <c r="F965" s="255"/>
      <c r="G965" s="255"/>
      <c r="H965" s="255"/>
      <c r="I965" s="257">
        <f>K966</f>
        <v>107085</v>
      </c>
      <c r="J965" s="258"/>
      <c r="K965" s="257">
        <v>69518</v>
      </c>
      <c r="M965" s="1468"/>
      <c r="N965" s="1469"/>
      <c r="O965" s="1469"/>
      <c r="P965" s="1107"/>
      <c r="Q965" s="1108"/>
      <c r="R965" s="1108"/>
      <c r="S965" s="1108"/>
      <c r="T965" s="1109"/>
      <c r="U965" s="1109"/>
      <c r="V965" s="48"/>
      <c r="W965" s="1128"/>
      <c r="X965" s="48"/>
      <c r="Y965" s="48"/>
      <c r="Z965" s="48"/>
      <c r="AA965" s="48"/>
    </row>
    <row r="966" spans="1:27" s="256" customFormat="1" ht="15.6" customHeight="1" thickBot="1" x14ac:dyDescent="0.3">
      <c r="A966" s="1180"/>
      <c r="B966" s="259" t="s">
        <v>379</v>
      </c>
      <c r="C966" s="259"/>
      <c r="D966" s="255"/>
      <c r="F966" s="255"/>
      <c r="G966" s="255"/>
      <c r="H966" s="255"/>
      <c r="I966" s="2466">
        <v>8711</v>
      </c>
      <c r="J966" s="258"/>
      <c r="K966" s="2466">
        <v>107085</v>
      </c>
      <c r="M966" s="1468"/>
      <c r="N966" s="1469">
        <v>585463</v>
      </c>
      <c r="O966" s="1469"/>
      <c r="P966" s="1107"/>
      <c r="Q966" s="1108"/>
      <c r="R966" s="1108"/>
      <c r="S966" s="1108"/>
      <c r="T966" s="1109"/>
      <c r="U966" s="1109"/>
      <c r="V966" s="48"/>
      <c r="W966" s="1128"/>
      <c r="X966" s="48"/>
      <c r="Y966" s="48"/>
      <c r="Z966" s="48"/>
      <c r="AA966" s="48"/>
    </row>
    <row r="967" spans="1:27" s="256" customFormat="1" ht="15.6" customHeight="1" thickTop="1" x14ac:dyDescent="0.25">
      <c r="A967" s="1180"/>
      <c r="B967" s="259"/>
      <c r="C967" s="259"/>
      <c r="D967" s="255"/>
      <c r="F967" s="255"/>
      <c r="G967" s="255"/>
      <c r="H967" s="255"/>
      <c r="I967" s="257"/>
      <c r="J967" s="258"/>
      <c r="K967" s="257"/>
      <c r="M967" s="1468"/>
      <c r="N967" s="1469"/>
      <c r="O967" s="1469"/>
      <c r="P967" s="1107"/>
      <c r="Q967" s="1108"/>
      <c r="R967" s="1108"/>
      <c r="S967" s="1108"/>
      <c r="T967" s="1109"/>
      <c r="U967" s="1109"/>
      <c r="V967" s="48"/>
      <c r="W967" s="1128"/>
      <c r="X967" s="48"/>
      <c r="Y967" s="48"/>
      <c r="Z967" s="48"/>
      <c r="AA967" s="48"/>
    </row>
    <row r="968" spans="1:27" s="256" customFormat="1" ht="15.6" customHeight="1" x14ac:dyDescent="0.25">
      <c r="A968" s="1180"/>
      <c r="B968" s="261" t="s">
        <v>6902</v>
      </c>
      <c r="C968" s="259"/>
      <c r="D968" s="255"/>
      <c r="F968" s="255"/>
      <c r="G968" s="255"/>
      <c r="H968" s="255"/>
      <c r="I968" s="257"/>
      <c r="J968" s="258"/>
      <c r="K968" s="257"/>
      <c r="M968" s="1468"/>
      <c r="N968" s="1469"/>
      <c r="O968" s="1469"/>
      <c r="P968" s="1107"/>
      <c r="Q968" s="1108"/>
      <c r="R968" s="1108"/>
      <c r="S968" s="1108"/>
      <c r="T968" s="1109"/>
      <c r="U968" s="1109"/>
      <c r="V968" s="48"/>
      <c r="W968" s="1128"/>
      <c r="X968" s="48"/>
      <c r="Y968" s="48"/>
      <c r="Z968" s="48"/>
      <c r="AA968" s="48"/>
    </row>
    <row r="969" spans="1:27" s="256" customFormat="1" ht="15.6" customHeight="1" x14ac:dyDescent="0.25">
      <c r="A969" s="1180"/>
      <c r="B969" s="259" t="s">
        <v>376</v>
      </c>
      <c r="C969" s="259"/>
      <c r="D969" s="255"/>
      <c r="F969" s="255"/>
      <c r="G969" s="255"/>
      <c r="H969" s="255"/>
      <c r="I969" s="257">
        <f>K970</f>
        <v>87328</v>
      </c>
      <c r="J969" s="258"/>
      <c r="K969" s="257">
        <f>N970</f>
        <v>69809</v>
      </c>
      <c r="M969" s="1468"/>
      <c r="N969" s="1469"/>
      <c r="O969" s="1469"/>
      <c r="P969" s="1107"/>
      <c r="Q969" s="1108"/>
      <c r="R969" s="1108"/>
      <c r="S969" s="1108"/>
      <c r="T969" s="1109"/>
      <c r="U969" s="1109"/>
      <c r="V969" s="48"/>
      <c r="W969" s="1128"/>
      <c r="X969" s="48"/>
      <c r="Y969" s="48"/>
      <c r="Z969" s="48"/>
      <c r="AA969" s="48"/>
    </row>
    <row r="970" spans="1:27" s="256" customFormat="1" ht="15.6" customHeight="1" thickBot="1" x14ac:dyDescent="0.3">
      <c r="A970" s="1180"/>
      <c r="B970" s="259" t="s">
        <v>377</v>
      </c>
      <c r="C970" s="259"/>
      <c r="D970" s="255"/>
      <c r="F970" s="255"/>
      <c r="G970" s="255"/>
      <c r="H970" s="255"/>
      <c r="I970" s="2466">
        <v>6768</v>
      </c>
      <c r="J970" s="258"/>
      <c r="K970" s="2466">
        <v>87328</v>
      </c>
      <c r="M970" s="1468"/>
      <c r="N970" s="1469">
        <v>69809</v>
      </c>
      <c r="O970" s="1469"/>
      <c r="P970" s="1107"/>
      <c r="Q970" s="1108"/>
      <c r="R970" s="1108"/>
      <c r="S970" s="1108"/>
      <c r="T970" s="1109"/>
      <c r="U970" s="1109"/>
      <c r="V970" s="48"/>
      <c r="W970" s="1128"/>
      <c r="X970" s="48"/>
      <c r="Y970" s="48"/>
      <c r="Z970" s="48"/>
      <c r="AA970" s="48"/>
    </row>
    <row r="971" spans="1:27" s="256" customFormat="1" ht="15.6" customHeight="1" thickTop="1" x14ac:dyDescent="0.25">
      <c r="A971" s="1180"/>
      <c r="B971" s="259"/>
      <c r="C971" s="259"/>
      <c r="D971" s="255"/>
      <c r="F971" s="255"/>
      <c r="G971" s="255"/>
      <c r="H971" s="255"/>
      <c r="I971" s="262">
        <f>IF(I970&gt;0,I970,0)</f>
        <v>6768</v>
      </c>
      <c r="J971" s="258"/>
      <c r="K971" s="262">
        <f>IF(K970&gt;0,K970,0)</f>
        <v>87328</v>
      </c>
      <c r="M971" s="1468"/>
      <c r="N971" s="1469"/>
      <c r="O971" s="1469"/>
      <c r="P971" s="1107"/>
      <c r="Q971" s="1108"/>
      <c r="R971" s="1108"/>
      <c r="S971" s="1108"/>
      <c r="T971" s="1109"/>
      <c r="U971" s="1109"/>
      <c r="V971" s="48"/>
      <c r="W971" s="1128"/>
      <c r="X971" s="48"/>
      <c r="Y971" s="48"/>
      <c r="Z971" s="48"/>
      <c r="AA971" s="48"/>
    </row>
    <row r="972" spans="1:27" s="256" customFormat="1" ht="15.6" customHeight="1" x14ac:dyDescent="0.25">
      <c r="A972" s="1180"/>
      <c r="B972" s="259" t="s">
        <v>378</v>
      </c>
      <c r="C972" s="259"/>
      <c r="D972" s="255"/>
      <c r="F972" s="255"/>
      <c r="G972" s="255"/>
      <c r="H972" s="255"/>
      <c r="I972" s="257">
        <f>K973</f>
        <v>87327</v>
      </c>
      <c r="J972" s="258"/>
      <c r="K972" s="257">
        <v>69809</v>
      </c>
      <c r="M972" s="1468"/>
      <c r="N972" s="1469"/>
      <c r="O972" s="1469"/>
      <c r="P972" s="1107"/>
      <c r="Q972" s="1108"/>
      <c r="R972" s="1108"/>
      <c r="S972" s="1108"/>
      <c r="T972" s="1109"/>
      <c r="U972" s="1109"/>
      <c r="V972" s="48"/>
      <c r="W972" s="1128"/>
      <c r="X972" s="48"/>
      <c r="Y972" s="48"/>
      <c r="Z972" s="48"/>
      <c r="AA972" s="48"/>
    </row>
    <row r="973" spans="1:27" s="256" customFormat="1" ht="15.6" customHeight="1" thickBot="1" x14ac:dyDescent="0.3">
      <c r="A973" s="1180"/>
      <c r="B973" s="259" t="s">
        <v>379</v>
      </c>
      <c r="C973" s="259"/>
      <c r="D973" s="255"/>
      <c r="F973" s="255"/>
      <c r="G973" s="255"/>
      <c r="H973" s="255"/>
      <c r="I973" s="2466">
        <v>6768</v>
      </c>
      <c r="J973" s="258"/>
      <c r="K973" s="2466">
        <v>87327</v>
      </c>
      <c r="M973" s="1468"/>
      <c r="N973" s="1469"/>
      <c r="O973" s="1469"/>
      <c r="P973" s="1107"/>
      <c r="Q973" s="1108"/>
      <c r="R973" s="1108"/>
      <c r="S973" s="1108"/>
      <c r="T973" s="1109"/>
      <c r="U973" s="1109"/>
      <c r="V973" s="48"/>
      <c r="W973" s="1128"/>
      <c r="X973" s="48"/>
      <c r="Y973" s="48"/>
      <c r="Z973" s="48"/>
      <c r="AA973" s="48"/>
    </row>
    <row r="974" spans="1:27" s="256" customFormat="1" ht="15.6" customHeight="1" thickTop="1" x14ac:dyDescent="0.25">
      <c r="A974" s="1180"/>
      <c r="B974" s="259"/>
      <c r="C974" s="259"/>
      <c r="D974" s="255"/>
      <c r="F974" s="255"/>
      <c r="G974" s="255"/>
      <c r="H974" s="255"/>
      <c r="I974" s="257"/>
      <c r="J974" s="258"/>
      <c r="K974" s="257"/>
      <c r="M974" s="1468"/>
      <c r="N974" s="1469"/>
      <c r="O974" s="1469"/>
      <c r="P974" s="1107"/>
      <c r="Q974" s="1108"/>
      <c r="R974" s="1108"/>
      <c r="S974" s="1108"/>
      <c r="T974" s="1109"/>
      <c r="U974" s="1109"/>
      <c r="V974" s="48"/>
      <c r="W974" s="1128"/>
      <c r="X974" s="48"/>
      <c r="Y974" s="48"/>
      <c r="Z974" s="48"/>
      <c r="AA974" s="48"/>
    </row>
    <row r="975" spans="1:27" s="256" customFormat="1" ht="15.6" customHeight="1" x14ac:dyDescent="0.25">
      <c r="A975" s="1180"/>
      <c r="B975" s="259"/>
      <c r="C975" s="259"/>
      <c r="D975" s="255"/>
      <c r="F975" s="255"/>
      <c r="G975" s="255"/>
      <c r="H975" s="255"/>
      <c r="I975" s="257"/>
      <c r="J975" s="258"/>
      <c r="K975" s="257"/>
      <c r="M975" s="1468"/>
      <c r="N975" s="1469"/>
      <c r="O975" s="1469"/>
      <c r="P975" s="1107"/>
      <c r="Q975" s="1108"/>
      <c r="R975" s="1108"/>
      <c r="S975" s="1108"/>
      <c r="T975" s="1109"/>
      <c r="U975" s="1109"/>
      <c r="V975" s="48"/>
      <c r="W975" s="1128"/>
      <c r="X975" s="48"/>
      <c r="Y975" s="48"/>
      <c r="Z975" s="48"/>
      <c r="AA975" s="48"/>
    </row>
    <row r="976" spans="1:27" ht="15.6" customHeight="1" x14ac:dyDescent="0.25">
      <c r="B976" s="2839" t="s">
        <v>7318</v>
      </c>
      <c r="C976" s="2839"/>
      <c r="D976" s="2839"/>
      <c r="E976" s="2839"/>
      <c r="F976" s="2839"/>
      <c r="G976" s="2839"/>
      <c r="H976" s="56"/>
      <c r="I976" s="56"/>
      <c r="J976" s="56"/>
      <c r="K976" s="56"/>
      <c r="M976" s="1147"/>
      <c r="N976" s="1134"/>
      <c r="O976" s="1134"/>
      <c r="P976" s="1105"/>
      <c r="S976" s="1102"/>
      <c r="T976" s="1102"/>
      <c r="U976" s="1102"/>
    </row>
    <row r="977" spans="1:27" ht="15.6" customHeight="1" x14ac:dyDescent="0.25">
      <c r="I977" s="199"/>
      <c r="J977" s="199"/>
      <c r="K977" s="199"/>
      <c r="M977" s="1147"/>
      <c r="N977" s="1134"/>
      <c r="O977" s="1134"/>
      <c r="P977" s="1105"/>
      <c r="S977" s="1102"/>
      <c r="T977" s="1102"/>
      <c r="U977" s="1102"/>
    </row>
    <row r="978" spans="1:27" ht="15.6" hidden="1" customHeight="1" x14ac:dyDescent="0.25">
      <c r="B978" s="2840" t="s">
        <v>1710</v>
      </c>
      <c r="C978" s="2840"/>
      <c r="D978" s="2840"/>
      <c r="E978" s="2840"/>
      <c r="F978" s="2840"/>
      <c r="G978" s="2840"/>
      <c r="H978" s="56"/>
      <c r="I978" s="56"/>
      <c r="J978" s="56"/>
      <c r="K978" s="56"/>
      <c r="M978" s="1147"/>
      <c r="N978" s="1134"/>
      <c r="O978" s="1134"/>
      <c r="P978" s="1105"/>
      <c r="S978" s="1102"/>
      <c r="T978" s="1102"/>
      <c r="U978" s="1102"/>
    </row>
    <row r="979" spans="1:27" ht="15.6" hidden="1" customHeight="1" x14ac:dyDescent="0.25">
      <c r="I979" s="199"/>
      <c r="J979" s="199"/>
      <c r="K979" s="199"/>
      <c r="M979" s="1147"/>
      <c r="N979" s="1134"/>
      <c r="O979" s="1134"/>
      <c r="P979" s="1105"/>
      <c r="S979" s="1102"/>
      <c r="T979" s="1102"/>
      <c r="U979" s="1102"/>
    </row>
    <row r="980" spans="1:27" ht="30.95" hidden="1" customHeight="1" x14ac:dyDescent="0.25">
      <c r="B980" s="2840" t="s">
        <v>1948</v>
      </c>
      <c r="C980" s="2840"/>
      <c r="D980" s="2840"/>
      <c r="E980" s="2840"/>
      <c r="F980" s="2840"/>
      <c r="G980" s="2840"/>
      <c r="H980" s="201"/>
      <c r="I980" s="58"/>
      <c r="J980" s="199"/>
      <c r="K980" s="58"/>
      <c r="L980" s="201"/>
      <c r="O980" s="1133"/>
      <c r="S980" s="1102"/>
      <c r="T980" s="1102"/>
      <c r="U980" s="1102"/>
    </row>
    <row r="981" spans="1:27" ht="15.6" hidden="1" customHeight="1" x14ac:dyDescent="0.25">
      <c r="I981" s="58"/>
      <c r="J981" s="200"/>
      <c r="K981" s="58"/>
      <c r="O981" s="1133"/>
      <c r="S981" s="1102"/>
      <c r="T981" s="1102"/>
      <c r="U981" s="1102"/>
    </row>
    <row r="982" spans="1:27" ht="30.95" hidden="1" customHeight="1" x14ac:dyDescent="0.25">
      <c r="B982" s="2840" t="s">
        <v>1909</v>
      </c>
      <c r="C982" s="2840"/>
      <c r="D982" s="2840"/>
      <c r="E982" s="2840"/>
      <c r="F982" s="2840"/>
      <c r="G982" s="2840"/>
      <c r="H982" s="56"/>
      <c r="I982" s="56"/>
      <c r="J982" s="56"/>
      <c r="K982" s="56"/>
      <c r="O982" s="1133"/>
      <c r="P982" s="1104"/>
      <c r="S982" s="1102"/>
      <c r="T982" s="1102"/>
      <c r="U982" s="1102"/>
      <c r="Z982" s="256"/>
    </row>
    <row r="983" spans="1:27" ht="46.5" customHeight="1" x14ac:dyDescent="0.25">
      <c r="B983" s="2839" t="s">
        <v>2126</v>
      </c>
      <c r="C983" s="2839"/>
      <c r="D983" s="2839"/>
      <c r="E983" s="2839"/>
      <c r="F983" s="2839"/>
      <c r="G983" s="2839"/>
      <c r="H983" s="56"/>
      <c r="I983" s="56"/>
      <c r="J983" s="56"/>
      <c r="K983" s="56"/>
      <c r="O983" s="1133"/>
      <c r="P983" s="1104"/>
      <c r="S983" s="1102"/>
      <c r="T983" s="1102"/>
      <c r="U983" s="1102"/>
    </row>
    <row r="984" spans="1:27" ht="15.6" customHeight="1" x14ac:dyDescent="0.25">
      <c r="I984" s="200"/>
      <c r="J984" s="200"/>
      <c r="K984" s="200"/>
      <c r="L984" s="210"/>
      <c r="N984" s="1133"/>
      <c r="O984" s="1133"/>
      <c r="P984" s="1104"/>
      <c r="S984" s="1102"/>
      <c r="T984" s="1102"/>
      <c r="U984" s="1102"/>
      <c r="Z984" s="256"/>
    </row>
    <row r="985" spans="1:27" ht="15.6" customHeight="1" x14ac:dyDescent="0.25">
      <c r="B985" s="2853" t="s">
        <v>7538</v>
      </c>
      <c r="C985" s="2853"/>
      <c r="D985" s="2853"/>
      <c r="E985" s="2853"/>
      <c r="F985" s="2853"/>
      <c r="G985" s="2853"/>
      <c r="I985" s="200"/>
      <c r="J985" s="200"/>
      <c r="K985" s="200"/>
      <c r="L985" s="210"/>
      <c r="M985" s="1147"/>
      <c r="O985" s="1133"/>
      <c r="P985" s="1105"/>
      <c r="S985" s="1102"/>
      <c r="T985" s="1102"/>
      <c r="U985" s="1102"/>
      <c r="W985" s="1128" t="s">
        <v>3857</v>
      </c>
      <c r="Z985" s="256"/>
    </row>
    <row r="986" spans="1:27" ht="15.6" customHeight="1" x14ac:dyDescent="0.25">
      <c r="I986" s="209"/>
      <c r="J986" s="200"/>
      <c r="K986" s="209"/>
      <c r="L986" s="210"/>
      <c r="M986" s="1147"/>
      <c r="O986" s="1133"/>
      <c r="T986" s="1102"/>
      <c r="U986" s="1102"/>
      <c r="Z986" s="256"/>
      <c r="AA986" s="256"/>
    </row>
    <row r="987" spans="1:27" s="256" customFormat="1" ht="15.6" customHeight="1" x14ac:dyDescent="0.25">
      <c r="A987" s="1180"/>
      <c r="B987" s="259" t="s">
        <v>335</v>
      </c>
      <c r="C987" s="259"/>
      <c r="D987" s="255"/>
      <c r="F987" s="255"/>
      <c r="G987" s="255"/>
      <c r="H987" s="255"/>
      <c r="I987" s="257">
        <f>'Trial Balance - FPos'!F27</f>
        <v>1179.9000000000001</v>
      </c>
      <c r="J987" s="258"/>
      <c r="K987" s="257">
        <f>'Trial Balance - FPos'!C27</f>
        <v>1179.9000000000001</v>
      </c>
      <c r="M987" s="1468"/>
      <c r="N987" s="1470">
        <v>21405</v>
      </c>
      <c r="O987" s="1133"/>
      <c r="P987" s="1107" t="s">
        <v>2869</v>
      </c>
      <c r="Q987" s="1098" t="s">
        <v>2763</v>
      </c>
      <c r="R987" s="1107" t="s">
        <v>2870</v>
      </c>
      <c r="S987" s="1098" t="s">
        <v>2765</v>
      </c>
      <c r="T987" s="1107" t="s">
        <v>2871</v>
      </c>
      <c r="U987" s="1098" t="s">
        <v>2775</v>
      </c>
      <c r="V987" s="48"/>
      <c r="W987" s="1128"/>
      <c r="X987" s="48"/>
      <c r="Y987" s="48"/>
    </row>
    <row r="988" spans="1:27" s="256" customFormat="1" ht="15.6" hidden="1" customHeight="1" x14ac:dyDescent="0.25">
      <c r="A988" s="1500"/>
      <c r="B988" s="1501" t="s">
        <v>336</v>
      </c>
      <c r="C988" s="1501"/>
      <c r="D988" s="1502"/>
      <c r="E988" s="1503"/>
      <c r="F988" s="1502"/>
      <c r="G988" s="1502"/>
      <c r="H988" s="1502"/>
      <c r="I988" s="676">
        <v>0</v>
      </c>
      <c r="J988" s="1504"/>
      <c r="K988" s="676">
        <v>0</v>
      </c>
      <c r="L988" s="1503"/>
      <c r="M988" s="1468"/>
      <c r="N988" s="1470">
        <v>0</v>
      </c>
      <c r="O988" s="1133"/>
      <c r="P988" s="1107"/>
      <c r="Q988" s="1108"/>
      <c r="R988" s="1108"/>
      <c r="S988" s="1108"/>
      <c r="T988" s="1109"/>
      <c r="U988" s="1109"/>
      <c r="V988" s="48"/>
      <c r="W988" s="1128"/>
      <c r="X988" s="48"/>
      <c r="Y988" s="48"/>
      <c r="Z988" s="48"/>
    </row>
    <row r="989" spans="1:27" s="256" customFormat="1" ht="15.6" customHeight="1" x14ac:dyDescent="0.25">
      <c r="A989" s="1180"/>
      <c r="B989" s="259"/>
      <c r="C989" s="259"/>
      <c r="D989" s="255"/>
      <c r="F989" s="255"/>
      <c r="G989" s="255"/>
      <c r="H989" s="255"/>
      <c r="I989" s="257"/>
      <c r="J989" s="258"/>
      <c r="K989" s="257"/>
      <c r="M989" s="1468"/>
      <c r="N989" s="1470"/>
      <c r="O989" s="1133"/>
      <c r="P989" s="1107"/>
      <c r="Q989" s="1108"/>
      <c r="R989" s="1108"/>
      <c r="S989" s="1108"/>
      <c r="T989" s="1109"/>
      <c r="U989" s="1109"/>
      <c r="V989" s="48"/>
      <c r="W989" s="1128"/>
      <c r="X989" s="48"/>
      <c r="Y989" s="48"/>
      <c r="Z989" s="48"/>
    </row>
    <row r="990" spans="1:27" s="256" customFormat="1" ht="15.6" customHeight="1" thickBot="1" x14ac:dyDescent="0.3">
      <c r="A990" s="1181"/>
      <c r="B990" s="260" t="s">
        <v>1642</v>
      </c>
      <c r="C990" s="260"/>
      <c r="D990" s="255"/>
      <c r="E990" s="254"/>
      <c r="F990" s="255"/>
      <c r="G990" s="255"/>
      <c r="H990" s="255"/>
      <c r="I990" s="263">
        <f>SUM(I987:I989)</f>
        <v>1179.9000000000001</v>
      </c>
      <c r="J990" s="258"/>
      <c r="K990" s="263">
        <f>SUM(K987:K989)</f>
        <v>1179.9000000000001</v>
      </c>
      <c r="M990" s="1468"/>
      <c r="N990" s="1481">
        <f>SUM(N987:N989)</f>
        <v>21405</v>
      </c>
      <c r="O990" s="1133"/>
      <c r="P990" s="1107"/>
      <c r="Q990" s="1108"/>
      <c r="R990" s="1108"/>
      <c r="S990" s="1108"/>
      <c r="T990" s="1109"/>
      <c r="U990" s="1109"/>
      <c r="V990" s="48"/>
      <c r="W990" s="1128"/>
      <c r="X990" s="48"/>
      <c r="Y990" s="48"/>
      <c r="Z990" s="48"/>
    </row>
    <row r="991" spans="1:27" s="256" customFormat="1" ht="15.6" customHeight="1" thickTop="1" x14ac:dyDescent="0.25">
      <c r="A991" s="1181"/>
      <c r="B991" s="260"/>
      <c r="C991" s="260"/>
      <c r="D991" s="255"/>
      <c r="E991" s="254"/>
      <c r="F991" s="255"/>
      <c r="G991" s="255"/>
      <c r="H991" s="255"/>
      <c r="I991" s="262">
        <f>IF(I990&gt;0,I990,0)</f>
        <v>1179.9000000000001</v>
      </c>
      <c r="J991" s="258"/>
      <c r="K991" s="262">
        <f>IF(K990&gt;0,K990,0)</f>
        <v>1179.9000000000001</v>
      </c>
      <c r="M991" s="1468"/>
      <c r="N991" s="1479">
        <f>IF(N990&gt;0,N990,0)</f>
        <v>21405</v>
      </c>
      <c r="O991" s="1133"/>
      <c r="P991" s="1107"/>
      <c r="Q991" s="1108"/>
      <c r="R991" s="1108"/>
      <c r="S991" s="1108"/>
      <c r="T991" s="1109"/>
      <c r="U991" s="1109"/>
      <c r="V991" s="48"/>
      <c r="W991" s="1128"/>
      <c r="X991" s="48"/>
      <c r="Y991" s="48"/>
      <c r="Z991" s="48"/>
      <c r="AA991" s="48"/>
    </row>
    <row r="992" spans="1:27" ht="30.95" customHeight="1" x14ac:dyDescent="0.25">
      <c r="B992" s="2839" t="s">
        <v>2008</v>
      </c>
      <c r="C992" s="2839"/>
      <c r="D992" s="2839"/>
      <c r="E992" s="2839"/>
      <c r="F992" s="2839"/>
      <c r="G992" s="2839"/>
      <c r="I992" s="199"/>
      <c r="J992" s="57"/>
      <c r="K992" s="199"/>
      <c r="M992" s="1217" t="s">
        <v>1944</v>
      </c>
      <c r="O992" s="1133"/>
      <c r="P992" s="1103"/>
      <c r="S992" s="1102"/>
      <c r="T992" s="1102"/>
      <c r="U992" s="1102"/>
    </row>
    <row r="993" spans="1:23" ht="15.6" customHeight="1" x14ac:dyDescent="0.25">
      <c r="I993" s="199"/>
      <c r="J993" s="57"/>
      <c r="K993" s="199"/>
      <c r="O993" s="1133"/>
      <c r="P993" s="1103"/>
      <c r="S993" s="1102"/>
      <c r="T993" s="1102"/>
      <c r="U993" s="1102"/>
    </row>
    <row r="994" spans="1:23" ht="30.95" customHeight="1" x14ac:dyDescent="0.25">
      <c r="B994" s="2839" t="s">
        <v>2009</v>
      </c>
      <c r="C994" s="2839"/>
      <c r="D994" s="2839"/>
      <c r="E994" s="2839"/>
      <c r="F994" s="2839"/>
      <c r="G994" s="2839"/>
      <c r="I994" s="199"/>
      <c r="J994" s="57"/>
      <c r="K994" s="199"/>
      <c r="M994" s="1217" t="s">
        <v>1944</v>
      </c>
      <c r="O994" s="1133"/>
      <c r="P994" s="1103"/>
      <c r="S994" s="1102"/>
      <c r="T994" s="1102"/>
      <c r="U994" s="1102"/>
    </row>
    <row r="995" spans="1:23" ht="15.6" customHeight="1" x14ac:dyDescent="0.25">
      <c r="I995" s="199"/>
      <c r="J995" s="57"/>
      <c r="K995" s="199"/>
      <c r="O995" s="1133"/>
      <c r="P995" s="1103"/>
      <c r="S995" s="1102"/>
      <c r="T995" s="1102"/>
      <c r="U995" s="1102"/>
    </row>
    <row r="996" spans="1:23" ht="46.5" hidden="1" customHeight="1" x14ac:dyDescent="0.25">
      <c r="B996" s="2839" t="s">
        <v>1643</v>
      </c>
      <c r="C996" s="2839"/>
      <c r="D996" s="2839"/>
      <c r="E996" s="2839"/>
      <c r="F996" s="2839"/>
      <c r="G996" s="2839"/>
      <c r="H996" s="56"/>
      <c r="I996" s="56"/>
      <c r="J996" s="56"/>
      <c r="K996" s="56"/>
      <c r="O996" s="1133"/>
      <c r="P996" s="1104"/>
      <c r="S996" s="1102"/>
      <c r="T996" s="1102"/>
      <c r="U996" s="1102"/>
    </row>
    <row r="997" spans="1:23" ht="15.6" hidden="1" customHeight="1" x14ac:dyDescent="0.25">
      <c r="I997" s="200"/>
      <c r="J997" s="200"/>
      <c r="K997" s="200"/>
      <c r="L997" s="210"/>
      <c r="N997" s="1133"/>
      <c r="O997" s="1133"/>
      <c r="P997" s="1104"/>
      <c r="S997" s="1102"/>
      <c r="T997" s="1102"/>
      <c r="U997" s="1102"/>
    </row>
    <row r="998" spans="1:23" ht="46.5" customHeight="1" x14ac:dyDescent="0.25">
      <c r="B998" s="2839" t="s">
        <v>1644</v>
      </c>
      <c r="C998" s="2839"/>
      <c r="D998" s="2839"/>
      <c r="E998" s="2839"/>
      <c r="F998" s="2839"/>
      <c r="G998" s="2839"/>
      <c r="H998" s="56"/>
      <c r="I998" s="56"/>
      <c r="J998" s="56"/>
      <c r="K998" s="56"/>
      <c r="O998" s="1133"/>
      <c r="P998" s="1104"/>
      <c r="S998" s="1102"/>
      <c r="T998" s="1102"/>
      <c r="U998" s="1102"/>
    </row>
    <row r="999" spans="1:23" ht="15.6" hidden="1" customHeight="1" x14ac:dyDescent="0.25">
      <c r="A999" s="1169"/>
      <c r="B999" s="625"/>
      <c r="C999" s="625"/>
      <c r="D999" s="626"/>
      <c r="E999" s="625"/>
      <c r="F999" s="626"/>
      <c r="G999" s="626"/>
      <c r="H999" s="626"/>
      <c r="I999" s="627"/>
      <c r="J999" s="627"/>
      <c r="K999" s="627"/>
      <c r="L999" s="628"/>
      <c r="N999" s="1133"/>
      <c r="O999" s="1133"/>
      <c r="P999" s="1104"/>
      <c r="S999" s="1102"/>
      <c r="T999" s="1102"/>
      <c r="U999" s="1102"/>
    </row>
    <row r="1000" spans="1:23" ht="15.6" hidden="1" customHeight="1" x14ac:dyDescent="0.25">
      <c r="I1000" s="58"/>
      <c r="J1000" s="200"/>
      <c r="K1000" s="58"/>
      <c r="O1000" s="1133"/>
      <c r="S1000" s="1102"/>
      <c r="T1000" s="1102"/>
      <c r="U1000" s="1102"/>
    </row>
    <row r="1001" spans="1:23" ht="15.6" hidden="1" customHeight="1" x14ac:dyDescent="0.25">
      <c r="A1001" s="1647" t="s">
        <v>3856</v>
      </c>
      <c r="B1001" s="275" t="s">
        <v>1493</v>
      </c>
      <c r="C1001" s="201"/>
      <c r="D1001" s="201"/>
      <c r="E1001" s="201"/>
      <c r="F1001" s="201"/>
      <c r="G1001" s="201"/>
      <c r="H1001" s="201"/>
      <c r="I1001" s="58"/>
      <c r="J1001" s="199"/>
      <c r="K1001" s="58"/>
      <c r="L1001" s="201"/>
      <c r="O1001" s="1133"/>
      <c r="S1001" s="1102"/>
      <c r="T1001" s="1102"/>
      <c r="U1001" s="1102"/>
      <c r="W1001" s="1128" t="s">
        <v>3520</v>
      </c>
    </row>
    <row r="1002" spans="1:23" ht="15.6" hidden="1" customHeight="1" x14ac:dyDescent="0.25">
      <c r="B1002" s="201"/>
      <c r="C1002" s="201"/>
      <c r="D1002" s="201"/>
      <c r="E1002" s="201"/>
      <c r="F1002" s="201"/>
      <c r="G1002" s="201"/>
      <c r="H1002" s="201"/>
      <c r="I1002" s="58"/>
      <c r="J1002" s="199"/>
      <c r="K1002" s="58"/>
      <c r="L1002" s="201"/>
      <c r="O1002" s="1133"/>
      <c r="S1002" s="1102"/>
      <c r="T1002" s="1102"/>
      <c r="U1002" s="1102"/>
    </row>
    <row r="1003" spans="1:23" ht="15.6" hidden="1" customHeight="1" x14ac:dyDescent="0.25">
      <c r="A1003" s="1177"/>
      <c r="B1003" s="2842" t="s">
        <v>2444</v>
      </c>
      <c r="C1003" s="2843"/>
      <c r="D1003" s="2843"/>
      <c r="E1003" s="2843"/>
      <c r="F1003" s="2843"/>
      <c r="G1003" s="2843"/>
      <c r="H1003" s="2843"/>
      <c r="I1003" s="2843"/>
      <c r="J1003" s="2843"/>
      <c r="K1003" s="2843"/>
      <c r="L1003" s="980"/>
      <c r="N1003" s="1133"/>
      <c r="O1003" s="1133"/>
      <c r="P1003" s="1104"/>
      <c r="S1003" s="1102"/>
      <c r="T1003" s="1102"/>
      <c r="U1003" s="1102"/>
    </row>
    <row r="1004" spans="1:23" ht="30.95" hidden="1" customHeight="1" x14ac:dyDescent="0.25">
      <c r="A1004" s="1169"/>
      <c r="B1004" s="2867" t="s">
        <v>1350</v>
      </c>
      <c r="C1004" s="2867"/>
      <c r="D1004" s="2867"/>
      <c r="E1004" s="2867"/>
      <c r="F1004" s="2867"/>
      <c r="G1004" s="2867"/>
      <c r="H1004" s="633"/>
      <c r="I1004" s="630"/>
      <c r="J1004" s="286"/>
      <c r="K1004" s="630"/>
      <c r="L1004" s="633"/>
      <c r="M1004" s="1217" t="s">
        <v>1950</v>
      </c>
      <c r="O1004" s="1133"/>
      <c r="S1004" s="1102"/>
      <c r="T1004" s="1102"/>
      <c r="U1004" s="1102"/>
    </row>
    <row r="1005" spans="1:23" ht="15.6" hidden="1" customHeight="1" x14ac:dyDescent="0.25">
      <c r="A1005" s="1169"/>
      <c r="B1005" s="625"/>
      <c r="C1005" s="625"/>
      <c r="D1005" s="626"/>
      <c r="E1005" s="625"/>
      <c r="F1005" s="626"/>
      <c r="G1005" s="626"/>
      <c r="H1005" s="626"/>
      <c r="I1005" s="630"/>
      <c r="J1005" s="627"/>
      <c r="K1005" s="630"/>
      <c r="L1005" s="625"/>
      <c r="O1005" s="1133"/>
      <c r="S1005" s="1102"/>
      <c r="T1005" s="1102"/>
      <c r="U1005" s="1102"/>
    </row>
    <row r="1006" spans="1:23" ht="30.95" hidden="1" customHeight="1" x14ac:dyDescent="0.25">
      <c r="A1006" s="1169"/>
      <c r="B1006" s="2854" t="s">
        <v>1402</v>
      </c>
      <c r="C1006" s="2854"/>
      <c r="D1006" s="2854"/>
      <c r="E1006" s="2854"/>
      <c r="F1006" s="2854"/>
      <c r="G1006" s="2854"/>
      <c r="H1006" s="632"/>
      <c r="I1006" s="632"/>
      <c r="J1006" s="632"/>
      <c r="K1006" s="632"/>
      <c r="L1006" s="625"/>
      <c r="M1006" s="1147"/>
      <c r="O1006" s="1212"/>
    </row>
    <row r="1007" spans="1:23" ht="30.95" hidden="1" customHeight="1" x14ac:dyDescent="0.25">
      <c r="B1007" s="2839" t="s">
        <v>1496</v>
      </c>
      <c r="C1007" s="2839"/>
      <c r="D1007" s="2839"/>
      <c r="E1007" s="2839"/>
      <c r="F1007" s="2839"/>
      <c r="G1007" s="2839"/>
      <c r="H1007" s="56"/>
      <c r="I1007" s="56"/>
      <c r="J1007" s="56"/>
      <c r="K1007" s="56"/>
      <c r="M1007" s="1147"/>
      <c r="O1007" s="1212"/>
    </row>
    <row r="1008" spans="1:23" ht="15.6" hidden="1" customHeight="1" x14ac:dyDescent="0.25">
      <c r="A1008" s="1178"/>
      <c r="I1008" s="199"/>
      <c r="J1008" s="199"/>
      <c r="K1008" s="199"/>
      <c r="O1008" s="1212"/>
    </row>
    <row r="1009" spans="1:25" ht="15.6" hidden="1" customHeight="1" x14ac:dyDescent="0.25">
      <c r="A1009" s="1178"/>
      <c r="B1009" s="48" t="s">
        <v>273</v>
      </c>
      <c r="I1009" s="199">
        <v>0</v>
      </c>
      <c r="J1009" s="199"/>
      <c r="K1009" s="199">
        <v>0</v>
      </c>
      <c r="N1009" s="1147">
        <v>0</v>
      </c>
      <c r="O1009" s="1212"/>
      <c r="P1009" s="1097" t="s">
        <v>2872</v>
      </c>
      <c r="Q1009" s="1098" t="s">
        <v>2763</v>
      </c>
      <c r="R1009" s="1097" t="s">
        <v>2873</v>
      </c>
      <c r="S1009" s="1098" t="s">
        <v>2765</v>
      </c>
      <c r="T1009" s="1097" t="s">
        <v>2874</v>
      </c>
      <c r="U1009" s="1098" t="s">
        <v>2775</v>
      </c>
    </row>
    <row r="1010" spans="1:25" ht="15.6" hidden="1" customHeight="1" x14ac:dyDescent="0.25">
      <c r="A1010" s="1165"/>
      <c r="B1010" s="48" t="s">
        <v>2042</v>
      </c>
      <c r="I1010" s="58">
        <v>0</v>
      </c>
      <c r="J1010" s="199"/>
      <c r="K1010" s="58">
        <v>0</v>
      </c>
      <c r="N1010" s="1499">
        <v>0</v>
      </c>
      <c r="O1010" s="1212"/>
      <c r="P1010" s="1097" t="s">
        <v>2875</v>
      </c>
      <c r="Q1010" s="1098" t="s">
        <v>2763</v>
      </c>
      <c r="R1010" s="1097" t="s">
        <v>2876</v>
      </c>
      <c r="S1010" s="1098" t="s">
        <v>2765</v>
      </c>
      <c r="T1010" s="1097" t="s">
        <v>2877</v>
      </c>
      <c r="U1010" s="1098" t="s">
        <v>2775</v>
      </c>
    </row>
    <row r="1011" spans="1:25" ht="15.6" hidden="1" customHeight="1" x14ac:dyDescent="0.25">
      <c r="A1011" s="1165"/>
      <c r="B1011" s="48" t="s">
        <v>2043</v>
      </c>
      <c r="I1011" s="58">
        <v>0</v>
      </c>
      <c r="J1011" s="199"/>
      <c r="K1011" s="58">
        <v>0</v>
      </c>
      <c r="N1011" s="1499">
        <v>0</v>
      </c>
      <c r="O1011" s="1212"/>
      <c r="P1011" s="1097" t="s">
        <v>2878</v>
      </c>
      <c r="Q1011" s="1098" t="s">
        <v>2763</v>
      </c>
      <c r="R1011" s="1097" t="s">
        <v>2879</v>
      </c>
      <c r="S1011" s="1098" t="s">
        <v>2765</v>
      </c>
      <c r="T1011" s="1097" t="s">
        <v>2880</v>
      </c>
      <c r="U1011" s="1098" t="s">
        <v>2775</v>
      </c>
      <c r="X1011" s="256"/>
    </row>
    <row r="1012" spans="1:25" ht="15.6" hidden="1" customHeight="1" x14ac:dyDescent="0.25">
      <c r="I1012" s="58"/>
      <c r="J1012" s="58"/>
      <c r="K1012" s="58"/>
      <c r="L1012" s="59"/>
      <c r="N1012" s="1499"/>
      <c r="O1012" s="1212"/>
      <c r="X1012" s="256"/>
    </row>
    <row r="1013" spans="1:25" ht="15.6" hidden="1" customHeight="1" thickBot="1" x14ac:dyDescent="0.3">
      <c r="B1013" s="50" t="s">
        <v>1553</v>
      </c>
      <c r="C1013" s="50"/>
      <c r="I1013" s="204">
        <f>SUM(I1009:I1012)</f>
        <v>0</v>
      </c>
      <c r="J1013" s="58"/>
      <c r="K1013" s="204">
        <f>SUM(K1009:K1012)</f>
        <v>0</v>
      </c>
      <c r="L1013" s="59"/>
      <c r="N1013" s="236">
        <f>SUM(N1009:N1012)</f>
        <v>0</v>
      </c>
      <c r="O1013" s="1133"/>
      <c r="X1013" s="256"/>
    </row>
    <row r="1014" spans="1:25" ht="15.6" hidden="1" customHeight="1" thickTop="1" x14ac:dyDescent="0.25">
      <c r="B1014" s="50"/>
      <c r="C1014" s="50"/>
      <c r="I1014" s="217">
        <v>0</v>
      </c>
      <c r="J1014" s="218"/>
      <c r="K1014" s="217">
        <v>0</v>
      </c>
      <c r="L1014" s="59"/>
      <c r="O1014" s="1212"/>
      <c r="X1014" s="256"/>
    </row>
    <row r="1015" spans="1:25" ht="30.95" hidden="1" customHeight="1" x14ac:dyDescent="0.25">
      <c r="A1015" s="1170"/>
      <c r="B1015" s="2841" t="s">
        <v>2495</v>
      </c>
      <c r="C1015" s="2841"/>
      <c r="D1015" s="2841"/>
      <c r="E1015" s="2841"/>
      <c r="F1015" s="2841"/>
      <c r="G1015" s="2841"/>
      <c r="H1015" s="845"/>
      <c r="I1015" s="845"/>
      <c r="J1015" s="845"/>
      <c r="K1015" s="845"/>
      <c r="L1015" s="754"/>
      <c r="O1015" s="1133"/>
      <c r="P1015" s="1103"/>
      <c r="S1015" s="1102"/>
      <c r="T1015" s="1102"/>
      <c r="U1015" s="1102"/>
      <c r="X1015" s="256"/>
    </row>
    <row r="1016" spans="1:25" ht="15.6" hidden="1" customHeight="1" x14ac:dyDescent="0.25">
      <c r="A1016" s="1170"/>
      <c r="B1016" s="745"/>
      <c r="C1016" s="745"/>
      <c r="D1016" s="746"/>
      <c r="E1016" s="745"/>
      <c r="F1016" s="746"/>
      <c r="G1016" s="746"/>
      <c r="H1016" s="746"/>
      <c r="I1016" s="747"/>
      <c r="J1016" s="747"/>
      <c r="K1016" s="747"/>
      <c r="L1016" s="754"/>
      <c r="M1016" s="1147"/>
      <c r="N1016" s="1471"/>
      <c r="O1016" s="1134"/>
      <c r="P1016" s="1101"/>
      <c r="Q1016" s="1102"/>
      <c r="R1016" s="1102"/>
      <c r="S1016" s="1102"/>
      <c r="T1016" s="1102"/>
      <c r="U1016" s="1102"/>
      <c r="X1016" s="256"/>
    </row>
    <row r="1017" spans="1:25" ht="15.6" hidden="1" customHeight="1" x14ac:dyDescent="0.25">
      <c r="B1017" s="229" t="s">
        <v>3864</v>
      </c>
      <c r="C1017" s="50"/>
      <c r="I1017" s="58"/>
      <c r="J1017" s="199"/>
      <c r="K1017" s="58"/>
      <c r="O1017" s="1133"/>
      <c r="S1017" s="1102"/>
      <c r="T1017" s="1102"/>
      <c r="U1017" s="1102"/>
      <c r="W1017" s="1128" t="s">
        <v>3857</v>
      </c>
      <c r="X1017" s="256"/>
    </row>
    <row r="1018" spans="1:25" ht="15.6" hidden="1" customHeight="1" x14ac:dyDescent="0.25">
      <c r="I1018" s="58"/>
      <c r="J1018" s="200"/>
      <c r="K1018" s="58"/>
      <c r="O1018" s="1133"/>
      <c r="S1018" s="1102"/>
      <c r="T1018" s="1102"/>
      <c r="U1018" s="1102"/>
    </row>
    <row r="1019" spans="1:25" ht="15.6" hidden="1" customHeight="1" x14ac:dyDescent="0.25">
      <c r="B1019" s="50" t="s">
        <v>1140</v>
      </c>
      <c r="I1019" s="58"/>
      <c r="J1019" s="200"/>
      <c r="K1019" s="58"/>
      <c r="O1019" s="1133"/>
      <c r="S1019" s="1102"/>
      <c r="T1019" s="1102"/>
      <c r="U1019" s="1102"/>
    </row>
    <row r="1020" spans="1:25" ht="62.1" hidden="1" customHeight="1" x14ac:dyDescent="0.25">
      <c r="B1020" s="2861" t="s">
        <v>2595</v>
      </c>
      <c r="C1020" s="2861"/>
      <c r="D1020" s="2861"/>
      <c r="E1020" s="2861"/>
      <c r="F1020" s="2861"/>
      <c r="G1020" s="2861"/>
      <c r="H1020" s="201"/>
      <c r="I1020" s="58"/>
      <c r="J1020" s="199"/>
      <c r="K1020" s="58"/>
      <c r="L1020" s="201"/>
      <c r="O1020" s="1133"/>
      <c r="S1020" s="1102"/>
      <c r="T1020" s="1102"/>
      <c r="U1020" s="1102"/>
    </row>
    <row r="1021" spans="1:25" ht="15.6" hidden="1" customHeight="1" x14ac:dyDescent="0.25">
      <c r="I1021" s="58"/>
      <c r="J1021" s="200"/>
      <c r="K1021" s="58"/>
      <c r="O1021" s="1133"/>
      <c r="S1021" s="1102"/>
      <c r="T1021" s="1102"/>
      <c r="U1021" s="1102"/>
    </row>
    <row r="1022" spans="1:25" ht="46.5" hidden="1" customHeight="1" x14ac:dyDescent="0.25">
      <c r="A1022" s="1169"/>
      <c r="B1022" s="2867" t="s">
        <v>2596</v>
      </c>
      <c r="C1022" s="2867"/>
      <c r="D1022" s="2867"/>
      <c r="E1022" s="2867"/>
      <c r="F1022" s="2867"/>
      <c r="G1022" s="2867"/>
      <c r="H1022" s="633"/>
      <c r="I1022" s="630"/>
      <c r="J1022" s="286"/>
      <c r="K1022" s="630"/>
      <c r="L1022" s="633"/>
      <c r="M1022" s="1217" t="s">
        <v>2275</v>
      </c>
      <c r="O1022" s="1133"/>
      <c r="S1022" s="1102"/>
      <c r="T1022" s="1102"/>
      <c r="U1022" s="1102"/>
      <c r="Y1022" s="256"/>
    </row>
    <row r="1023" spans="1:25" ht="30.95" hidden="1" customHeight="1" x14ac:dyDescent="0.25">
      <c r="B1023" s="2861" t="s">
        <v>4284</v>
      </c>
      <c r="C1023" s="2861"/>
      <c r="D1023" s="2861"/>
      <c r="E1023" s="2861"/>
      <c r="F1023" s="2861"/>
      <c r="G1023" s="2861"/>
      <c r="H1023" s="201"/>
      <c r="I1023" s="58"/>
      <c r="J1023" s="199"/>
      <c r="K1023" s="58"/>
      <c r="L1023" s="201"/>
      <c r="M1023" s="1217" t="s">
        <v>2275</v>
      </c>
      <c r="O1023" s="1133"/>
      <c r="S1023" s="1102"/>
      <c r="T1023" s="1102"/>
      <c r="U1023" s="1102"/>
      <c r="Y1023" s="256"/>
    </row>
    <row r="1024" spans="1:25" ht="15" hidden="1" customHeight="1" x14ac:dyDescent="0.25">
      <c r="I1024" s="58"/>
      <c r="J1024" s="200"/>
      <c r="K1024" s="58"/>
      <c r="O1024" s="1133"/>
      <c r="S1024" s="1102"/>
      <c r="T1024" s="1102"/>
      <c r="U1024" s="1102"/>
      <c r="Y1024" s="256"/>
    </row>
    <row r="1025" spans="1:25" ht="15.6" hidden="1" customHeight="1" x14ac:dyDescent="0.25">
      <c r="B1025" s="229" t="s">
        <v>3865</v>
      </c>
      <c r="C1025" s="50"/>
      <c r="I1025" s="58"/>
      <c r="J1025" s="199"/>
      <c r="K1025" s="58"/>
      <c r="O1025" s="1133"/>
      <c r="S1025" s="1102"/>
      <c r="T1025" s="1102"/>
      <c r="U1025" s="1102"/>
      <c r="W1025" s="1128" t="s">
        <v>3857</v>
      </c>
      <c r="Y1025" s="256"/>
    </row>
    <row r="1026" spans="1:25" ht="15.6" hidden="1" customHeight="1" x14ac:dyDescent="0.25">
      <c r="I1026" s="58"/>
      <c r="J1026" s="200"/>
      <c r="K1026" s="58"/>
      <c r="O1026" s="1133"/>
      <c r="S1026" s="1102"/>
      <c r="T1026" s="1102"/>
      <c r="U1026" s="1102"/>
      <c r="Y1026" s="256"/>
    </row>
    <row r="1027" spans="1:25" ht="30.95" hidden="1" customHeight="1" x14ac:dyDescent="0.25">
      <c r="B1027" s="2861" t="s">
        <v>1949</v>
      </c>
      <c r="C1027" s="2861"/>
      <c r="D1027" s="2861"/>
      <c r="E1027" s="2861"/>
      <c r="F1027" s="2861"/>
      <c r="G1027" s="2861"/>
      <c r="H1027" s="201"/>
      <c r="I1027" s="58"/>
      <c r="J1027" s="199"/>
      <c r="K1027" s="58"/>
      <c r="L1027" s="201"/>
      <c r="M1027" s="1217" t="s">
        <v>1950</v>
      </c>
      <c r="O1027" s="1133"/>
      <c r="S1027" s="1102"/>
      <c r="T1027" s="1102"/>
      <c r="U1027" s="1102"/>
      <c r="X1027" s="256"/>
      <c r="Y1027" s="256"/>
    </row>
    <row r="1028" spans="1:25" ht="15.6" hidden="1" customHeight="1" x14ac:dyDescent="0.25">
      <c r="I1028" s="58"/>
      <c r="J1028" s="200"/>
      <c r="K1028" s="58"/>
      <c r="O1028" s="1133"/>
      <c r="S1028" s="1102"/>
      <c r="T1028" s="1102"/>
      <c r="U1028" s="1102"/>
      <c r="Y1028" s="256"/>
    </row>
    <row r="1029" spans="1:25" ht="15.6" hidden="1" customHeight="1" x14ac:dyDescent="0.25">
      <c r="B1029" s="48" t="s">
        <v>507</v>
      </c>
      <c r="I1029" s="58">
        <v>0</v>
      </c>
      <c r="J1029" s="200"/>
      <c r="K1029" s="58">
        <v>0</v>
      </c>
      <c r="O1029" s="1133"/>
      <c r="S1029" s="1102"/>
      <c r="T1029" s="1102"/>
      <c r="U1029" s="1102"/>
    </row>
    <row r="1030" spans="1:25" ht="15.6" hidden="1" customHeight="1" x14ac:dyDescent="0.25">
      <c r="B1030" s="48" t="s">
        <v>1202</v>
      </c>
      <c r="I1030" s="58">
        <v>0</v>
      </c>
      <c r="J1030" s="200"/>
      <c r="K1030" s="58">
        <v>0</v>
      </c>
      <c r="O1030" s="1133"/>
      <c r="S1030" s="1102"/>
      <c r="T1030" s="1102"/>
      <c r="U1030" s="1102"/>
    </row>
    <row r="1031" spans="1:25" ht="15.6" hidden="1" customHeight="1" x14ac:dyDescent="0.25">
      <c r="B1031" s="48" t="s">
        <v>1128</v>
      </c>
      <c r="I1031" s="58">
        <v>0</v>
      </c>
      <c r="J1031" s="200"/>
      <c r="K1031" s="58">
        <v>0</v>
      </c>
      <c r="O1031" s="1133"/>
      <c r="S1031" s="1102"/>
      <c r="T1031" s="1102"/>
      <c r="U1031" s="1102"/>
    </row>
    <row r="1032" spans="1:25" ht="15.6" hidden="1" customHeight="1" x14ac:dyDescent="0.25">
      <c r="I1032" s="58"/>
      <c r="J1032" s="200"/>
      <c r="K1032" s="58"/>
      <c r="O1032" s="1133"/>
      <c r="S1032" s="1102"/>
      <c r="T1032" s="1102"/>
      <c r="U1032" s="1102"/>
    </row>
    <row r="1033" spans="1:25" ht="15.6" hidden="1" customHeight="1" thickBot="1" x14ac:dyDescent="0.3">
      <c r="B1033" s="50" t="s">
        <v>1308</v>
      </c>
      <c r="C1033" s="50"/>
      <c r="I1033" s="202">
        <f>SUM(I1029:I1032)</f>
        <v>0</v>
      </c>
      <c r="J1033" s="199"/>
      <c r="K1033" s="202">
        <f>SUM(K1029:K1032)</f>
        <v>0</v>
      </c>
      <c r="O1033" s="1133"/>
      <c r="S1033" s="1102"/>
      <c r="T1033" s="1102"/>
      <c r="U1033" s="1102"/>
    </row>
    <row r="1034" spans="1:25" ht="15.6" hidden="1" customHeight="1" thickTop="1" x14ac:dyDescent="0.25">
      <c r="I1034" s="58"/>
      <c r="J1034" s="200"/>
      <c r="K1034" s="58"/>
      <c r="O1034" s="1133"/>
      <c r="S1034" s="1102"/>
      <c r="T1034" s="1102"/>
      <c r="U1034" s="1102"/>
    </row>
    <row r="1035" spans="1:25" ht="30.95" hidden="1" customHeight="1" x14ac:dyDescent="0.25">
      <c r="B1035" s="2861" t="s">
        <v>4285</v>
      </c>
      <c r="C1035" s="2861"/>
      <c r="D1035" s="2861"/>
      <c r="E1035" s="2861"/>
      <c r="F1035" s="2861"/>
      <c r="G1035" s="2861"/>
      <c r="H1035" s="201"/>
      <c r="I1035" s="58"/>
      <c r="J1035" s="199"/>
      <c r="K1035" s="58"/>
      <c r="L1035" s="201"/>
      <c r="M1035" s="1482"/>
      <c r="O1035" s="1133"/>
      <c r="S1035" s="1102"/>
      <c r="T1035" s="1102"/>
      <c r="U1035" s="1102"/>
    </row>
    <row r="1036" spans="1:25" ht="15" hidden="1" customHeight="1" x14ac:dyDescent="0.25">
      <c r="I1036" s="58"/>
      <c r="J1036" s="200"/>
      <c r="K1036" s="58"/>
      <c r="O1036" s="1133"/>
      <c r="S1036" s="1102"/>
      <c r="T1036" s="1102"/>
      <c r="U1036" s="1102"/>
    </row>
    <row r="1037" spans="1:25" ht="30.95" hidden="1" customHeight="1" x14ac:dyDescent="0.25">
      <c r="A1037" s="1170"/>
      <c r="B1037" s="2866" t="s">
        <v>2001</v>
      </c>
      <c r="C1037" s="2866"/>
      <c r="D1037" s="2866"/>
      <c r="E1037" s="2866"/>
      <c r="F1037" s="2866"/>
      <c r="G1037" s="2866"/>
      <c r="H1037" s="744"/>
      <c r="I1037" s="747"/>
      <c r="J1037" s="750"/>
      <c r="K1037" s="747"/>
      <c r="L1037" s="744"/>
      <c r="M1037" s="1482"/>
      <c r="O1037" s="1133"/>
      <c r="S1037" s="1102"/>
      <c r="T1037" s="1102"/>
      <c r="U1037" s="1102"/>
    </row>
    <row r="1038" spans="1:25" ht="15" hidden="1" customHeight="1" x14ac:dyDescent="0.25">
      <c r="A1038" s="1170"/>
      <c r="B1038" s="745"/>
      <c r="C1038" s="745"/>
      <c r="D1038" s="746"/>
      <c r="E1038" s="745"/>
      <c r="F1038" s="746"/>
      <c r="G1038" s="746"/>
      <c r="H1038" s="746"/>
      <c r="I1038" s="747"/>
      <c r="J1038" s="748"/>
      <c r="K1038" s="747"/>
      <c r="L1038" s="745"/>
      <c r="O1038" s="1133"/>
      <c r="S1038" s="1102"/>
      <c r="T1038" s="1102"/>
      <c r="U1038" s="1102"/>
      <c r="Y1038" s="256"/>
    </row>
    <row r="1039" spans="1:25" ht="15.6" hidden="1" customHeight="1" x14ac:dyDescent="0.25">
      <c r="A1039" s="1170"/>
      <c r="B1039" s="745" t="s">
        <v>2002</v>
      </c>
      <c r="C1039" s="745"/>
      <c r="D1039" s="746"/>
      <c r="E1039" s="745"/>
      <c r="F1039" s="746"/>
      <c r="G1039" s="746"/>
      <c r="H1039" s="746"/>
      <c r="I1039" s="747">
        <v>0</v>
      </c>
      <c r="J1039" s="748"/>
      <c r="K1039" s="747">
        <v>0</v>
      </c>
      <c r="L1039" s="745"/>
      <c r="O1039" s="1133"/>
      <c r="S1039" s="1102"/>
      <c r="T1039" s="1102"/>
      <c r="U1039" s="1102"/>
    </row>
    <row r="1040" spans="1:25" ht="15.6" hidden="1" customHeight="1" x14ac:dyDescent="0.25">
      <c r="A1040" s="1170"/>
      <c r="B1040" s="745" t="s">
        <v>418</v>
      </c>
      <c r="C1040" s="745"/>
      <c r="D1040" s="746"/>
      <c r="E1040" s="745"/>
      <c r="F1040" s="746"/>
      <c r="G1040" s="746"/>
      <c r="H1040" s="746"/>
      <c r="I1040" s="747">
        <v>0</v>
      </c>
      <c r="J1040" s="748"/>
      <c r="K1040" s="747">
        <v>0</v>
      </c>
      <c r="L1040" s="745"/>
      <c r="O1040" s="1133"/>
      <c r="S1040" s="1102"/>
      <c r="T1040" s="1102"/>
      <c r="U1040" s="1102"/>
    </row>
    <row r="1041" spans="1:24" ht="15" hidden="1" customHeight="1" x14ac:dyDescent="0.25">
      <c r="A1041" s="1170"/>
      <c r="B1041" s="745"/>
      <c r="C1041" s="745"/>
      <c r="D1041" s="746"/>
      <c r="E1041" s="745"/>
      <c r="F1041" s="746"/>
      <c r="G1041" s="746"/>
      <c r="H1041" s="746"/>
      <c r="I1041" s="747"/>
      <c r="J1041" s="748"/>
      <c r="K1041" s="747"/>
      <c r="L1041" s="745"/>
      <c r="O1041" s="1133"/>
      <c r="S1041" s="1102"/>
      <c r="T1041" s="1102"/>
      <c r="U1041" s="1102"/>
    </row>
    <row r="1042" spans="1:24" ht="15.6" hidden="1" customHeight="1" x14ac:dyDescent="0.25">
      <c r="A1042" s="1169"/>
      <c r="B1042" s="2867" t="s">
        <v>1319</v>
      </c>
      <c r="C1042" s="2867"/>
      <c r="D1042" s="2867"/>
      <c r="E1042" s="2867"/>
      <c r="F1042" s="2867"/>
      <c r="G1042" s="2867"/>
      <c r="H1042" s="633"/>
      <c r="I1042" s="630"/>
      <c r="J1042" s="286"/>
      <c r="K1042" s="630"/>
      <c r="L1042" s="633"/>
      <c r="O1042" s="1133"/>
      <c r="S1042" s="1102"/>
      <c r="T1042" s="1102"/>
      <c r="U1042" s="1102"/>
    </row>
    <row r="1043" spans="1:24" ht="15.6" hidden="1" customHeight="1" x14ac:dyDescent="0.25">
      <c r="A1043" s="1177"/>
      <c r="B1043" s="2842" t="s">
        <v>4287</v>
      </c>
      <c r="C1043" s="2843"/>
      <c r="D1043" s="2843"/>
      <c r="E1043" s="2843"/>
      <c r="F1043" s="2843"/>
      <c r="G1043" s="2843"/>
      <c r="H1043" s="2843"/>
      <c r="I1043" s="2843"/>
      <c r="J1043" s="2843"/>
      <c r="K1043" s="2843"/>
      <c r="L1043" s="980"/>
      <c r="N1043" s="1133"/>
      <c r="O1043" s="1133"/>
      <c r="P1043" s="1104"/>
      <c r="S1043" s="1102"/>
      <c r="T1043" s="1102"/>
      <c r="U1043" s="1102"/>
    </row>
    <row r="1044" spans="1:24" ht="15.6" hidden="1" customHeight="1" x14ac:dyDescent="0.25">
      <c r="B1044" s="2861" t="s">
        <v>4286</v>
      </c>
      <c r="C1044" s="2861"/>
      <c r="D1044" s="2861"/>
      <c r="E1044" s="2861"/>
      <c r="F1044" s="2861"/>
      <c r="G1044" s="2861"/>
      <c r="H1044" s="201"/>
      <c r="I1044" s="58"/>
      <c r="J1044" s="199"/>
      <c r="K1044" s="58"/>
      <c r="L1044" s="201"/>
      <c r="M1044" s="1147"/>
      <c r="O1044" s="1133"/>
      <c r="T1044" s="1102"/>
      <c r="U1044" s="1102"/>
    </row>
    <row r="1045" spans="1:24" ht="30.95" hidden="1" customHeight="1" x14ac:dyDescent="0.25">
      <c r="B1045" s="2861" t="s">
        <v>1716</v>
      </c>
      <c r="C1045" s="2861"/>
      <c r="D1045" s="2861"/>
      <c r="E1045" s="2861"/>
      <c r="F1045" s="2861"/>
      <c r="G1045" s="2861"/>
      <c r="H1045" s="201"/>
      <c r="I1045" s="58"/>
      <c r="J1045" s="199"/>
      <c r="K1045" s="58"/>
      <c r="L1045" s="201"/>
      <c r="O1045" s="1133"/>
      <c r="S1045" s="1102"/>
      <c r="T1045" s="1102"/>
      <c r="U1045" s="1102"/>
    </row>
    <row r="1046" spans="1:24" ht="30.95" hidden="1" customHeight="1" x14ac:dyDescent="0.25">
      <c r="B1046" s="2861" t="s">
        <v>1717</v>
      </c>
      <c r="C1046" s="2861"/>
      <c r="D1046" s="2861"/>
      <c r="E1046" s="2861"/>
      <c r="F1046" s="2861"/>
      <c r="G1046" s="2861"/>
      <c r="H1046" s="201"/>
      <c r="I1046" s="58"/>
      <c r="J1046" s="199"/>
      <c r="K1046" s="58"/>
      <c r="L1046" s="201"/>
      <c r="O1046" s="1133"/>
      <c r="S1046" s="1102"/>
      <c r="T1046" s="1102"/>
      <c r="U1046" s="1102"/>
      <c r="X1046" s="256"/>
    </row>
    <row r="1047" spans="1:24" ht="15.6" hidden="1" customHeight="1" x14ac:dyDescent="0.25">
      <c r="B1047" s="2861" t="s">
        <v>1718</v>
      </c>
      <c r="C1047" s="2861"/>
      <c r="D1047" s="2861"/>
      <c r="E1047" s="2861"/>
      <c r="F1047" s="2861"/>
      <c r="G1047" s="2861"/>
      <c r="H1047" s="201"/>
      <c r="I1047" s="58"/>
      <c r="J1047" s="199"/>
      <c r="K1047" s="58"/>
      <c r="L1047" s="201"/>
      <c r="O1047" s="1133"/>
      <c r="S1047" s="1102"/>
      <c r="T1047" s="1102"/>
      <c r="U1047" s="1102"/>
      <c r="X1047" s="256"/>
    </row>
    <row r="1048" spans="1:24" ht="15.6" hidden="1" customHeight="1" x14ac:dyDescent="0.25">
      <c r="I1048" s="58"/>
      <c r="J1048" s="200"/>
      <c r="K1048" s="58"/>
      <c r="O1048" s="1133"/>
      <c r="S1048" s="1102"/>
      <c r="T1048" s="1102"/>
      <c r="U1048" s="1102"/>
    </row>
    <row r="1049" spans="1:24" ht="15.6" hidden="1" customHeight="1" x14ac:dyDescent="0.25">
      <c r="I1049" s="58"/>
      <c r="J1049" s="200"/>
      <c r="K1049" s="58"/>
      <c r="O1049" s="1133"/>
      <c r="S1049" s="1102"/>
      <c r="T1049" s="1102"/>
      <c r="U1049" s="1102"/>
    </row>
    <row r="1050" spans="1:24" ht="15.6" hidden="1" customHeight="1" x14ac:dyDescent="0.25">
      <c r="A1050" s="1647" t="s">
        <v>102</v>
      </c>
      <c r="B1050" s="275" t="s">
        <v>3934</v>
      </c>
      <c r="C1050" s="201"/>
      <c r="D1050" s="201"/>
      <c r="E1050" s="201"/>
      <c r="F1050" s="201"/>
      <c r="G1050" s="201"/>
      <c r="H1050" s="201"/>
      <c r="I1050" s="58"/>
      <c r="J1050" s="199"/>
      <c r="K1050" s="58"/>
      <c r="L1050" s="201"/>
      <c r="O1050" s="1133"/>
      <c r="S1050" s="1102"/>
      <c r="T1050" s="1102"/>
      <c r="U1050" s="1102"/>
      <c r="W1050" s="1128" t="s">
        <v>3520</v>
      </c>
    </row>
    <row r="1051" spans="1:24" ht="15.6" hidden="1" customHeight="1" x14ac:dyDescent="0.25">
      <c r="B1051" s="201"/>
      <c r="C1051" s="201"/>
      <c r="D1051" s="201"/>
      <c r="E1051" s="201"/>
      <c r="F1051" s="201"/>
      <c r="G1051" s="201"/>
      <c r="H1051" s="201"/>
      <c r="I1051" s="58"/>
      <c r="J1051" s="199"/>
      <c r="K1051" s="58"/>
      <c r="L1051" s="201"/>
      <c r="O1051" s="1133"/>
      <c r="S1051" s="1102"/>
      <c r="T1051" s="1102"/>
      <c r="U1051" s="1102"/>
    </row>
    <row r="1052" spans="1:24" ht="15.6" hidden="1" customHeight="1" x14ac:dyDescent="0.25">
      <c r="B1052" s="48" t="s">
        <v>1720</v>
      </c>
      <c r="C1052" s="201"/>
      <c r="D1052" s="201"/>
      <c r="E1052" s="201"/>
      <c r="F1052" s="201"/>
      <c r="G1052" s="201"/>
      <c r="H1052" s="201"/>
      <c r="I1052" s="199">
        <v>0</v>
      </c>
      <c r="J1052" s="199"/>
      <c r="K1052" s="199">
        <v>0</v>
      </c>
      <c r="L1052" s="201"/>
      <c r="N1052" s="1499">
        <v>0</v>
      </c>
      <c r="O1052" s="1133"/>
      <c r="P1052" s="1097" t="s">
        <v>3935</v>
      </c>
      <c r="Q1052" s="1098" t="s">
        <v>2763</v>
      </c>
      <c r="R1052" s="1097" t="s">
        <v>3941</v>
      </c>
      <c r="S1052" s="1102" t="s">
        <v>2765</v>
      </c>
      <c r="T1052" s="1102" t="s">
        <v>3810</v>
      </c>
      <c r="U1052" s="1102" t="s">
        <v>2775</v>
      </c>
    </row>
    <row r="1053" spans="1:24" ht="15.6" hidden="1" customHeight="1" x14ac:dyDescent="0.25">
      <c r="A1053" s="1168"/>
      <c r="B1053" s="655" t="s">
        <v>1719</v>
      </c>
      <c r="C1053" s="1505"/>
      <c r="D1053" s="1505"/>
      <c r="E1053" s="1505"/>
      <c r="F1053" s="1505"/>
      <c r="G1053" s="1505"/>
      <c r="H1053" s="1505"/>
      <c r="I1053" s="661">
        <v>0</v>
      </c>
      <c r="J1053" s="661"/>
      <c r="K1053" s="661">
        <v>0</v>
      </c>
      <c r="L1053" s="1505"/>
      <c r="N1053" s="1499">
        <v>0</v>
      </c>
      <c r="O1053" s="1133"/>
      <c r="P1053" s="1097" t="s">
        <v>3936</v>
      </c>
      <c r="Q1053" s="1098" t="s">
        <v>2763</v>
      </c>
      <c r="R1053" s="1097" t="s">
        <v>3942</v>
      </c>
      <c r="S1053" s="1102" t="s">
        <v>2765</v>
      </c>
      <c r="T1053" s="1097" t="s">
        <v>3811</v>
      </c>
      <c r="U1053" s="1102" t="s">
        <v>2775</v>
      </c>
    </row>
    <row r="1054" spans="1:24" ht="15.6" hidden="1" customHeight="1" x14ac:dyDescent="0.25">
      <c r="B1054" s="48" t="s">
        <v>1721</v>
      </c>
      <c r="C1054" s="201"/>
      <c r="D1054" s="201"/>
      <c r="E1054" s="201"/>
      <c r="F1054" s="201"/>
      <c r="G1054" s="201"/>
      <c r="H1054" s="201"/>
      <c r="I1054" s="199">
        <v>0</v>
      </c>
      <c r="J1054" s="199"/>
      <c r="K1054" s="199">
        <v>0</v>
      </c>
      <c r="L1054" s="201"/>
      <c r="N1054" s="1499">
        <v>0</v>
      </c>
      <c r="O1054" s="1133"/>
      <c r="P1054" s="1097" t="s">
        <v>3937</v>
      </c>
      <c r="Q1054" s="1098" t="s">
        <v>2763</v>
      </c>
      <c r="R1054" s="1097" t="s">
        <v>3943</v>
      </c>
      <c r="S1054" s="1102" t="s">
        <v>2765</v>
      </c>
      <c r="T1054" s="1097" t="s">
        <v>3812</v>
      </c>
      <c r="U1054" s="1102" t="s">
        <v>2775</v>
      </c>
    </row>
    <row r="1055" spans="1:24" ht="15.6" hidden="1" customHeight="1" x14ac:dyDescent="0.25">
      <c r="B1055" s="48" t="s">
        <v>1722</v>
      </c>
      <c r="C1055" s="201"/>
      <c r="D1055" s="201"/>
      <c r="E1055" s="201"/>
      <c r="F1055" s="201"/>
      <c r="G1055" s="201"/>
      <c r="H1055" s="201"/>
      <c r="I1055" s="199">
        <v>0</v>
      </c>
      <c r="J1055" s="199"/>
      <c r="K1055" s="199">
        <v>0</v>
      </c>
      <c r="L1055" s="201"/>
      <c r="N1055" s="1499">
        <v>0</v>
      </c>
      <c r="O1055" s="1133"/>
      <c r="P1055" s="1097" t="s">
        <v>3938</v>
      </c>
      <c r="Q1055" s="1098" t="s">
        <v>2763</v>
      </c>
      <c r="R1055" s="1097" t="s">
        <v>3944</v>
      </c>
      <c r="S1055" s="1102" t="s">
        <v>2765</v>
      </c>
      <c r="T1055" s="1097" t="s">
        <v>3813</v>
      </c>
      <c r="U1055" s="1102" t="s">
        <v>2775</v>
      </c>
    </row>
    <row r="1056" spans="1:24" ht="15.6" hidden="1" customHeight="1" x14ac:dyDescent="0.25">
      <c r="B1056" s="48" t="s">
        <v>1723</v>
      </c>
      <c r="C1056" s="201"/>
      <c r="D1056" s="201"/>
      <c r="E1056" s="201"/>
      <c r="F1056" s="201"/>
      <c r="G1056" s="201"/>
      <c r="H1056" s="201"/>
      <c r="I1056" s="199">
        <v>0</v>
      </c>
      <c r="J1056" s="199"/>
      <c r="K1056" s="199">
        <v>0</v>
      </c>
      <c r="L1056" s="201"/>
      <c r="N1056" s="1499">
        <v>0</v>
      </c>
      <c r="O1056" s="1133"/>
      <c r="P1056" s="1097" t="s">
        <v>3939</v>
      </c>
      <c r="Q1056" s="1098" t="s">
        <v>2763</v>
      </c>
      <c r="R1056" s="1097" t="s">
        <v>3945</v>
      </c>
      <c r="S1056" s="1102" t="s">
        <v>2765</v>
      </c>
      <c r="T1056" s="1097" t="s">
        <v>3814</v>
      </c>
      <c r="U1056" s="1102" t="s">
        <v>2775</v>
      </c>
    </row>
    <row r="1057" spans="1:24" ht="15.6" hidden="1" customHeight="1" x14ac:dyDescent="0.25">
      <c r="A1057" s="1168"/>
      <c r="B1057" s="655" t="s">
        <v>1724</v>
      </c>
      <c r="C1057" s="1505"/>
      <c r="D1057" s="1505"/>
      <c r="E1057" s="1505"/>
      <c r="F1057" s="1505"/>
      <c r="G1057" s="1505"/>
      <c r="H1057" s="1505"/>
      <c r="I1057" s="661">
        <v>0</v>
      </c>
      <c r="J1057" s="661"/>
      <c r="K1057" s="661">
        <v>0</v>
      </c>
      <c r="L1057" s="1505"/>
      <c r="N1057" s="1499">
        <v>0</v>
      </c>
      <c r="O1057" s="1133"/>
      <c r="P1057" s="1097" t="s">
        <v>3940</v>
      </c>
      <c r="Q1057" s="1098" t="s">
        <v>2763</v>
      </c>
      <c r="R1057" s="1097" t="s">
        <v>3946</v>
      </c>
      <c r="S1057" s="1102" t="s">
        <v>2765</v>
      </c>
      <c r="T1057" s="1097" t="s">
        <v>3815</v>
      </c>
      <c r="U1057" s="1102" t="s">
        <v>2775</v>
      </c>
    </row>
    <row r="1058" spans="1:24" ht="15.6" hidden="1" customHeight="1" x14ac:dyDescent="0.25">
      <c r="B1058" s="201"/>
      <c r="C1058" s="201"/>
      <c r="D1058" s="201"/>
      <c r="E1058" s="201"/>
      <c r="F1058" s="201"/>
      <c r="G1058" s="201"/>
      <c r="H1058" s="201"/>
      <c r="I1058" s="58"/>
      <c r="J1058" s="199"/>
      <c r="K1058" s="58"/>
      <c r="L1058" s="201"/>
      <c r="O1058" s="1133"/>
      <c r="S1058" s="1102"/>
      <c r="T1058" s="1102"/>
      <c r="U1058" s="1102"/>
    </row>
    <row r="1059" spans="1:24" ht="15.6" hidden="1" customHeight="1" thickBot="1" x14ac:dyDescent="0.3">
      <c r="B1059" s="201"/>
      <c r="C1059" s="201"/>
      <c r="D1059" s="201"/>
      <c r="E1059" s="201"/>
      <c r="F1059" s="201"/>
      <c r="G1059" s="201"/>
      <c r="H1059" s="201"/>
      <c r="I1059" s="202">
        <f>SUM(I1052:I1058)</f>
        <v>0</v>
      </c>
      <c r="J1059" s="199"/>
      <c r="K1059" s="202">
        <f>SUM(K1052:K1058)</f>
        <v>0</v>
      </c>
      <c r="L1059" s="201"/>
      <c r="N1059" s="623">
        <f>SUM(N1052:N1058)</f>
        <v>0</v>
      </c>
      <c r="O1059" s="1133"/>
      <c r="S1059" s="1102"/>
      <c r="T1059" s="1102"/>
      <c r="U1059" s="1102"/>
    </row>
    <row r="1060" spans="1:24" ht="15.6" hidden="1" customHeight="1" thickTop="1" x14ac:dyDescent="0.25">
      <c r="B1060" s="2861"/>
      <c r="C1060" s="2861"/>
      <c r="D1060" s="2861"/>
      <c r="E1060" s="2861"/>
      <c r="F1060" s="2861"/>
      <c r="G1060" s="2861"/>
      <c r="H1060" s="201"/>
      <c r="I1060" s="58"/>
      <c r="J1060" s="199"/>
      <c r="K1060" s="58"/>
      <c r="L1060" s="201"/>
      <c r="O1060" s="1133"/>
      <c r="S1060" s="1102"/>
      <c r="T1060" s="1102"/>
      <c r="U1060" s="1102"/>
      <c r="X1060" s="256"/>
    </row>
  </sheetData>
  <mergeCells count="164">
    <mergeCell ref="B918:G918"/>
    <mergeCell ref="B323:K323"/>
    <mergeCell ref="B596:K596"/>
    <mergeCell ref="B598:K598"/>
    <mergeCell ref="E326:I326"/>
    <mergeCell ref="K326:K327"/>
    <mergeCell ref="B325:K325"/>
    <mergeCell ref="B996:G996"/>
    <mergeCell ref="B982:G982"/>
    <mergeCell ref="B983:G983"/>
    <mergeCell ref="B881:K881"/>
    <mergeCell ref="B921:G921"/>
    <mergeCell ref="B602:K602"/>
    <mergeCell ref="K691:K692"/>
    <mergeCell ref="B994:G994"/>
    <mergeCell ref="B865:G865"/>
    <mergeCell ref="B863:G863"/>
    <mergeCell ref="B858:G858"/>
    <mergeCell ref="B861:G861"/>
    <mergeCell ref="B976:G976"/>
    <mergeCell ref="B934:G934"/>
    <mergeCell ref="B912:G912"/>
    <mergeCell ref="B888:G888"/>
    <mergeCell ref="B859:G859"/>
    <mergeCell ref="B915:G915"/>
    <mergeCell ref="B65:G65"/>
    <mergeCell ref="B227:K227"/>
    <mergeCell ref="B70:G70"/>
    <mergeCell ref="K244:K245"/>
    <mergeCell ref="B222:K222"/>
    <mergeCell ref="B224:K224"/>
    <mergeCell ref="B226:K226"/>
    <mergeCell ref="B234:K234"/>
    <mergeCell ref="B69:G69"/>
    <mergeCell ref="B232:K232"/>
    <mergeCell ref="B75:G75"/>
    <mergeCell ref="E244:I244"/>
    <mergeCell ref="B235:K235"/>
    <mergeCell ref="B237:K237"/>
    <mergeCell ref="B229:K229"/>
    <mergeCell ref="B230:K230"/>
    <mergeCell ref="B239:K239"/>
    <mergeCell ref="B71:G71"/>
    <mergeCell ref="B130:K130"/>
    <mergeCell ref="E141:G141"/>
    <mergeCell ref="I141:K141"/>
    <mergeCell ref="C182:C183"/>
    <mergeCell ref="I182:I183"/>
    <mergeCell ref="K182:K183"/>
    <mergeCell ref="B1037:G1037"/>
    <mergeCell ref="B978:G978"/>
    <mergeCell ref="B1060:G1060"/>
    <mergeCell ref="B998:G998"/>
    <mergeCell ref="B1042:G1042"/>
    <mergeCell ref="B1020:G1020"/>
    <mergeCell ref="B980:G980"/>
    <mergeCell ref="B1047:G1047"/>
    <mergeCell ref="B1045:G1045"/>
    <mergeCell ref="B1046:G1046"/>
    <mergeCell ref="B992:G992"/>
    <mergeCell ref="B1044:G1044"/>
    <mergeCell ref="B1004:G1004"/>
    <mergeCell ref="B1006:G1006"/>
    <mergeCell ref="B1007:G1007"/>
    <mergeCell ref="B1015:G1015"/>
    <mergeCell ref="B1027:G1027"/>
    <mergeCell ref="B1035:G1035"/>
    <mergeCell ref="B1023:G1023"/>
    <mergeCell ref="B1003:K1003"/>
    <mergeCell ref="B1043:K1043"/>
    <mergeCell ref="B1022:G1022"/>
    <mergeCell ref="B278:K278"/>
    <mergeCell ref="A1:L1"/>
    <mergeCell ref="A2:L2"/>
    <mergeCell ref="B9:K9"/>
    <mergeCell ref="B48:G48"/>
    <mergeCell ref="B37:G37"/>
    <mergeCell ref="B40:G40"/>
    <mergeCell ref="B11:K11"/>
    <mergeCell ref="B54:G54"/>
    <mergeCell ref="B35:G35"/>
    <mergeCell ref="B42:G42"/>
    <mergeCell ref="B44:G44"/>
    <mergeCell ref="B24:G24"/>
    <mergeCell ref="B25:K25"/>
    <mergeCell ref="B26:K26"/>
    <mergeCell ref="B27:K27"/>
    <mergeCell ref="B28:G28"/>
    <mergeCell ref="B34:G34"/>
    <mergeCell ref="B39:G39"/>
    <mergeCell ref="B49:G49"/>
    <mergeCell ref="B30:G30"/>
    <mergeCell ref="B32:G32"/>
    <mergeCell ref="B46:G46"/>
    <mergeCell ref="B277:K277"/>
    <mergeCell ref="B279:K279"/>
    <mergeCell ref="K290:K291"/>
    <mergeCell ref="B851:G851"/>
    <mergeCell ref="B582:K582"/>
    <mergeCell ref="B782:K782"/>
    <mergeCell ref="B396:G396"/>
    <mergeCell ref="B783:K783"/>
    <mergeCell ref="B576:K576"/>
    <mergeCell ref="B420:G420"/>
    <mergeCell ref="B588:K588"/>
    <mergeCell ref="B586:K586"/>
    <mergeCell ref="B592:K592"/>
    <mergeCell ref="B594:K594"/>
    <mergeCell ref="B403:G403"/>
    <mergeCell ref="B392:G392"/>
    <mergeCell ref="B394:G394"/>
    <mergeCell ref="B689:K689"/>
    <mergeCell ref="B690:K690"/>
    <mergeCell ref="E691:I691"/>
    <mergeCell ref="B590:K590"/>
    <mergeCell ref="E607:I607"/>
    <mergeCell ref="B831:G831"/>
    <mergeCell ref="B372:G372"/>
    <mergeCell ref="B985:G985"/>
    <mergeCell ref="E701:I701"/>
    <mergeCell ref="K701:K702"/>
    <mergeCell ref="B866:G866"/>
    <mergeCell ref="B886:G886"/>
    <mergeCell ref="B926:G926"/>
    <mergeCell ref="B928:G928"/>
    <mergeCell ref="B932:G932"/>
    <mergeCell ref="B855:G855"/>
    <mergeCell ref="K785:K786"/>
    <mergeCell ref="B784:K784"/>
    <mergeCell ref="B910:G910"/>
    <mergeCell ref="B856:G856"/>
    <mergeCell ref="B900:G900"/>
    <mergeCell ref="B902:G902"/>
    <mergeCell ref="B868:G868"/>
    <mergeCell ref="B922:G922"/>
    <mergeCell ref="B930:G930"/>
    <mergeCell ref="B916:G916"/>
    <mergeCell ref="B917:G917"/>
    <mergeCell ref="B919:G919"/>
    <mergeCell ref="B936:G936"/>
    <mergeCell ref="B920:G920"/>
    <mergeCell ref="B914:G914"/>
    <mergeCell ref="E785:I785"/>
    <mergeCell ref="K607:K608"/>
    <mergeCell ref="B688:K688"/>
    <mergeCell ref="B578:K578"/>
    <mergeCell ref="E280:I280"/>
    <mergeCell ref="K280:K281"/>
    <mergeCell ref="B853:G853"/>
    <mergeCell ref="E290:I290"/>
    <mergeCell ref="B324:K324"/>
    <mergeCell ref="B600:K600"/>
    <mergeCell ref="B418:K418"/>
    <mergeCell ref="B399:G399"/>
    <mergeCell ref="B580:K580"/>
    <mergeCell ref="B401:G401"/>
    <mergeCell ref="I528:I529"/>
    <mergeCell ref="K528:K529"/>
    <mergeCell ref="I479:K479"/>
    <mergeCell ref="C528:C529"/>
    <mergeCell ref="B468:K468"/>
    <mergeCell ref="E479:G479"/>
    <mergeCell ref="B584:K584"/>
    <mergeCell ref="B397:G397"/>
  </mergeCells>
  <phoneticPr fontId="0" type="noConversion"/>
  <conditionalFormatting sqref="K1016 I1016 K1014 I1014 I909 K863 I863 I856 K856 K859 I859 K861 I861 K829 I829 K850:K852 I850:I852 I579 K579 K866 I866 I885:I889 K885:K889 I877:I880 N882:N883 I882:I883 K882:K883 K445 G445 I445 K466 K370 I370 K230 G230 I230 N223 I420:I421 K420:K421 G394:G395 G222:G225 K232 G232 I232 K277 G277 I277 K415:K418 G418 I415:I418 K222:K225 I391:I395 K391:K395 I222:I225 I466 G466 G128 K128 I128 K111 G111 I111 N29 K23:K29 I23:I29 K64:K66 N64:N66 I64:I66 K33 N33 N31 K31 I31 I33 I35 N35 K35 K877:K880">
    <cfRule type="cellIs" dxfId="71" priority="456" stopIfTrue="1" operator="between">
      <formula>0.001</formula>
      <formula>-0.001</formula>
    </cfRule>
  </conditionalFormatting>
  <conditionalFormatting sqref="K851 I851 I394 K394 I223 K223 K392 I392 K33 K31 I31 I33 I35 K35 I29 K29 I65:I66 K65:K66">
    <cfRule type="cellIs" dxfId="70" priority="423" stopIfTrue="1" operator="equal">
      <formula>0</formula>
    </cfRule>
  </conditionalFormatting>
  <conditionalFormatting sqref="K909 I909 I899 K899 K942 I942 M611:M612 M614 M638 M644 M620 M632 M617:M618 M677:M678 M623:M624 M626 M647:M648 M650 M653:M654 M656 M629:M630 M635:M636 M680 M683:M684 M768 M686 M780 M641:M642 M671:M672 M674 M762 M765:M766 M777:M778 M705:M706 M708 M714 M711:M712 M717:M718 M720 M723:M724 M726 M741:M742 M744 M747:M748 M750 M729:M730 M732 M735:M736 M738 M759:M760 K851 I851 M659:M660 M662 M665:M666 M668 M753:M754 M756 M774 M771:M772 K394 I394 M248:M249 M251 M294:M295 M297 M254:M255 M263 M300:M301 M309 M257 M269 M303 M260:M261 M315 M306:M307 M275 M266:M267 M287 M312:M313 M272:M273 M284:M285 M321 M318:M319 M333 M330:M331 K392 I392 M789:M790 M792">
    <cfRule type="cellIs" dxfId="69" priority="366" stopIfTrue="1" operator="between">
      <formula>-0.001</formula>
      <formula>0.001</formula>
    </cfRule>
  </conditionalFormatting>
  <conditionalFormatting sqref="I991 N991 N909 K949 I949 N949 K909 I909 K991">
    <cfRule type="cellIs" dxfId="68" priority="365" stopIfTrue="1" operator="greaterThanOrEqual">
      <formula>0</formula>
    </cfRule>
  </conditionalFormatting>
  <conditionalFormatting sqref="M260:M261 M263 M307 M309 M267 M269 M313 M315 M273 M275 M285 M287 M319 M321 M331 M333">
    <cfRule type="cellIs" dxfId="67" priority="364" stopIfTrue="1" operator="between">
      <formula>-0.001</formula>
      <formula>0.001</formula>
    </cfRule>
  </conditionalFormatting>
  <conditionalFormatting sqref="I221 K221 K129:K130 I129:I130">
    <cfRule type="cellIs" dxfId="66" priority="15" stopIfTrue="1" operator="between">
      <formula>0.001</formula>
      <formula>-0.001</formula>
    </cfRule>
  </conditionalFormatting>
  <conditionalFormatting sqref="K221 I221 I129:I130 K129:K130">
    <cfRule type="cellIs" dxfId="65" priority="14" stopIfTrue="1" operator="equal">
      <formula>0</formula>
    </cfRule>
  </conditionalFormatting>
  <conditionalFormatting sqref="K323 G323 I323">
    <cfRule type="cellIs" dxfId="64" priority="13" stopIfTrue="1" operator="between">
      <formula>0.001</formula>
      <formula>-0.001</formula>
    </cfRule>
  </conditionalFormatting>
  <conditionalFormatting sqref="I575 K575 K467:K468 I467:I468">
    <cfRule type="cellIs" dxfId="63" priority="12" stopIfTrue="1" operator="between">
      <formula>0.001</formula>
      <formula>-0.001</formula>
    </cfRule>
  </conditionalFormatting>
  <conditionalFormatting sqref="K575 I575 I467:I468 K467:K468">
    <cfRule type="cellIs" dxfId="62" priority="11" stopIfTrue="1" operator="equal">
      <formula>0</formula>
    </cfRule>
  </conditionalFormatting>
  <conditionalFormatting sqref="K688 G688 I688">
    <cfRule type="cellIs" dxfId="61" priority="10" stopIfTrue="1" operator="between">
      <formula>0.001</formula>
      <formula>-0.001</formula>
    </cfRule>
  </conditionalFormatting>
  <conditionalFormatting sqref="K782 G782 I782">
    <cfRule type="cellIs" dxfId="60" priority="9" stopIfTrue="1" operator="between">
      <formula>0.001</formula>
      <formula>-0.001</formula>
    </cfRule>
  </conditionalFormatting>
  <conditionalFormatting sqref="M695:M696 M698">
    <cfRule type="cellIs" dxfId="59" priority="8" stopIfTrue="1" operator="between">
      <formula>-0.001</formula>
      <formula>0.001</formula>
    </cfRule>
  </conditionalFormatting>
  <conditionalFormatting sqref="K925">
    <cfRule type="cellIs" dxfId="58" priority="7" stopIfTrue="1" operator="between">
      <formula>-0.001</formula>
      <formula>0.001</formula>
    </cfRule>
  </conditionalFormatting>
  <conditionalFormatting sqref="K925">
    <cfRule type="cellIs" dxfId="57" priority="6" stopIfTrue="1" operator="greaterThanOrEqual">
      <formula>0</formula>
    </cfRule>
  </conditionalFormatting>
  <conditionalFormatting sqref="I925">
    <cfRule type="cellIs" dxfId="56" priority="5" stopIfTrue="1" operator="between">
      <formula>-0.001</formula>
      <formula>0.001</formula>
    </cfRule>
  </conditionalFormatting>
  <conditionalFormatting sqref="I925">
    <cfRule type="cellIs" dxfId="55" priority="4" stopIfTrue="1" operator="greaterThanOrEqual">
      <formula>0</formula>
    </cfRule>
  </conditionalFormatting>
  <conditionalFormatting sqref="K957 I957">
    <cfRule type="cellIs" dxfId="54" priority="3" stopIfTrue="1" operator="greaterThanOrEqual">
      <formula>0</formula>
    </cfRule>
  </conditionalFormatting>
  <conditionalFormatting sqref="K964 I964">
    <cfRule type="cellIs" dxfId="53" priority="2" stopIfTrue="1" operator="greaterThanOrEqual">
      <formula>0</formula>
    </cfRule>
  </conditionalFormatting>
  <conditionalFormatting sqref="K971 I971">
    <cfRule type="cellIs" dxfId="52" priority="1" stopIfTrue="1" operator="greaterThanOrEqual">
      <formula>0</formula>
    </cfRule>
  </conditionalFormatting>
  <printOptions horizontalCentered="1"/>
  <pageMargins left="0.39370078740157483" right="0.39370078740157483" top="0.39370078740157483" bottom="0.39370078740157483" header="0.19685039370078741" footer="0.19685039370078741"/>
  <pageSetup paperSize="9" scale="70" firstPageNumber="58" orientation="portrait" useFirstPageNumber="1" verticalDpi="180" r:id="rId1"/>
  <headerFooter alignWithMargins="0"/>
  <rowBreaks count="8" manualBreakCount="8">
    <brk id="111" max="11" man="1"/>
    <brk id="270" max="11" man="1"/>
    <brk id="334" max="11" man="1"/>
    <brk id="398" max="11" man="1"/>
    <brk id="699" max="11" man="1"/>
    <brk id="830" max="11" man="1"/>
    <brk id="952" max="11" man="1"/>
    <brk id="999" max="11" man="1"/>
  </rowBreaks>
  <ignoredErrors>
    <ignoredError sqref="K122 K105" formula="1"/>
    <ignoredError sqref="A1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Button 2">
              <controlPr defaultSize="0" print="0" autoFill="0" autoPict="0" macro="[0]!LoadfrmMapItem">
                <anchor moveWithCells="1" sizeWithCells="1">
                  <from>
                    <xdr:col>15</xdr:col>
                    <xdr:colOff>66675</xdr:colOff>
                    <xdr:row>0</xdr:row>
                    <xdr:rowOff>38100</xdr:rowOff>
                  </from>
                  <to>
                    <xdr:col>15</xdr:col>
                    <xdr:colOff>1047750</xdr:colOff>
                    <xdr:row>1</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172"/>
  <sheetViews>
    <sheetView view="pageBreakPreview" topLeftCell="A8" zoomScale="70" zoomScaleNormal="75" zoomScaleSheetLayoutView="70" workbookViewId="0">
      <selection activeCell="K65" sqref="K65"/>
    </sheetView>
  </sheetViews>
  <sheetFormatPr defaultColWidth="9.140625" defaultRowHeight="15" outlineLevelCol="1" x14ac:dyDescent="0.2"/>
  <cols>
    <col min="1" max="1" width="5.7109375" style="1" customWidth="1"/>
    <col min="2" max="2" width="35.7109375" style="1" customWidth="1"/>
    <col min="3" max="4" width="17.7109375" style="1" hidden="1" customWidth="1" outlineLevel="1"/>
    <col min="5" max="5" width="17.7109375" style="1" customWidth="1" collapsed="1"/>
    <col min="6" max="8" width="17.7109375" style="1" customWidth="1"/>
    <col min="9" max="9" width="17.7109375" style="1" hidden="1" customWidth="1"/>
    <col min="10" max="11" width="17.7109375" style="1" customWidth="1"/>
    <col min="12" max="12" width="20.140625" style="1506" bestFit="1" customWidth="1"/>
    <col min="13" max="13" width="17.85546875" style="1127" bestFit="1" customWidth="1"/>
    <col min="14" max="15" width="9.140625" style="1127"/>
    <col min="16" max="16" width="15.140625" style="1114" bestFit="1" customWidth="1"/>
    <col min="17" max="19" width="9.140625" style="1127"/>
    <col min="20" max="16384" width="9.140625" style="1"/>
  </cols>
  <sheetData>
    <row r="1" spans="1:19" s="18" customFormat="1" ht="20.100000000000001" customHeight="1" x14ac:dyDescent="0.25">
      <c r="A1" s="2808" t="str">
        <f>Parameters!C5</f>
        <v>Mohokare Local Municipality</v>
      </c>
      <c r="B1" s="2871"/>
      <c r="C1" s="2871"/>
      <c r="D1" s="2871"/>
      <c r="E1" s="2871"/>
      <c r="F1" s="2871"/>
      <c r="G1" s="2871"/>
      <c r="H1" s="2871"/>
      <c r="I1" s="2871"/>
      <c r="J1" s="2871"/>
      <c r="K1" s="2871"/>
      <c r="L1" s="1506"/>
      <c r="M1" s="1127"/>
      <c r="N1" s="1127"/>
      <c r="O1" s="1127"/>
      <c r="P1" s="1114"/>
      <c r="Q1" s="1127"/>
      <c r="R1" s="1127"/>
      <c r="S1" s="1127"/>
    </row>
    <row r="2" spans="1:19" ht="18" customHeight="1" x14ac:dyDescent="0.25">
      <c r="A2" s="2859" t="str">
        <f>"NOTES TO THE FINANCIAL STATEMENTS FOR THE YEAR ENDED "&amp;Parameters!C6</f>
        <v>NOTES TO THE FINANCIAL STATEMENTS FOR THE YEAR ENDED 30 JUNE 2012</v>
      </c>
      <c r="B2" s="2860"/>
      <c r="C2" s="2860"/>
      <c r="D2" s="2860"/>
      <c r="E2" s="2860"/>
      <c r="F2" s="2860"/>
      <c r="G2" s="2860"/>
      <c r="H2" s="2860"/>
      <c r="I2" s="2860"/>
      <c r="J2" s="2860"/>
      <c r="K2" s="2860"/>
      <c r="P2" s="1114" t="s">
        <v>2881</v>
      </c>
    </row>
    <row r="3" spans="1:19" ht="15.95" customHeight="1" x14ac:dyDescent="0.25">
      <c r="A3" s="240"/>
      <c r="B3" s="11"/>
      <c r="C3" s="11"/>
      <c r="D3" s="11"/>
      <c r="E3" s="11"/>
      <c r="F3" s="12"/>
      <c r="G3" s="22"/>
      <c r="H3" s="241"/>
      <c r="I3" s="12"/>
    </row>
    <row r="4" spans="1:19" s="66" customFormat="1" ht="15.95" customHeight="1" x14ac:dyDescent="0.25">
      <c r="A4" s="882">
        <v>8</v>
      </c>
      <c r="B4" s="74" t="s">
        <v>284</v>
      </c>
      <c r="C4" s="74"/>
      <c r="D4" s="74"/>
      <c r="E4" s="74"/>
      <c r="F4" s="68"/>
      <c r="G4" s="135"/>
      <c r="H4" s="438"/>
      <c r="I4" s="68"/>
      <c r="L4" s="1506"/>
      <c r="M4" s="1127"/>
      <c r="N4" s="1127"/>
      <c r="O4" s="1127"/>
      <c r="P4" s="1114" t="s">
        <v>3520</v>
      </c>
      <c r="Q4" s="1127"/>
      <c r="R4" s="1127"/>
      <c r="S4" s="1127"/>
    </row>
    <row r="5" spans="1:19" s="66" customFormat="1" ht="15.95" customHeight="1" x14ac:dyDescent="0.25">
      <c r="A5" s="882"/>
      <c r="B5" s="68"/>
      <c r="C5" s="74"/>
      <c r="D5" s="74"/>
      <c r="E5" s="74"/>
      <c r="F5" s="68"/>
      <c r="G5" s="135"/>
      <c r="H5" s="147"/>
      <c r="I5" s="68"/>
      <c r="L5" s="1506"/>
      <c r="M5" s="1127"/>
      <c r="N5" s="1127"/>
      <c r="O5" s="1127"/>
      <c r="P5" s="1114"/>
      <c r="Q5" s="1127"/>
      <c r="R5" s="1127"/>
      <c r="S5" s="1127"/>
    </row>
    <row r="6" spans="1:19" s="66" customFormat="1" ht="15.95" customHeight="1" x14ac:dyDescent="0.25">
      <c r="A6" s="68"/>
      <c r="B6" s="1162" t="str">
        <f>Parameters!C11</f>
        <v>30 June 2012</v>
      </c>
      <c r="C6" s="68"/>
      <c r="D6" s="68"/>
      <c r="E6" s="68"/>
      <c r="F6" s="68"/>
      <c r="G6" s="135"/>
      <c r="H6" s="883"/>
      <c r="I6" s="168"/>
      <c r="L6" s="1506"/>
      <c r="M6" s="1127"/>
      <c r="N6" s="1127"/>
      <c r="O6" s="1127"/>
      <c r="P6" s="1114"/>
      <c r="Q6" s="1127"/>
      <c r="R6" s="1127"/>
      <c r="S6" s="1127"/>
    </row>
    <row r="7" spans="1:19" s="66" customFormat="1" ht="15.95" customHeight="1" x14ac:dyDescent="0.25">
      <c r="A7" s="68"/>
      <c r="B7" s="74"/>
      <c r="C7" s="68"/>
      <c r="D7" s="68"/>
      <c r="E7" s="68"/>
      <c r="F7" s="68"/>
      <c r="G7" s="135"/>
      <c r="H7" s="883"/>
      <c r="I7" s="168"/>
      <c r="L7" s="1506"/>
      <c r="M7" s="1127"/>
      <c r="N7" s="1127"/>
      <c r="O7" s="1127"/>
      <c r="P7" s="1114"/>
      <c r="Q7" s="1127"/>
      <c r="R7" s="1127"/>
      <c r="S7" s="1127"/>
    </row>
    <row r="8" spans="1:19" s="66" customFormat="1" ht="15.95" customHeight="1" thickBot="1" x14ac:dyDescent="0.3">
      <c r="A8" s="74" t="s">
        <v>606</v>
      </c>
      <c r="B8" s="68"/>
      <c r="C8" s="68"/>
      <c r="D8" s="68"/>
      <c r="E8" s="68"/>
      <c r="F8" s="68"/>
      <c r="G8" s="135"/>
      <c r="H8" s="883"/>
      <c r="I8" s="168"/>
      <c r="L8" s="1506"/>
      <c r="M8" s="1127"/>
      <c r="N8" s="1127"/>
      <c r="O8" s="1127"/>
      <c r="P8" s="1114"/>
      <c r="Q8" s="1127"/>
      <c r="R8" s="1127"/>
      <c r="S8" s="1127"/>
    </row>
    <row r="9" spans="1:19" s="66" customFormat="1" ht="15.95" customHeight="1" x14ac:dyDescent="0.25">
      <c r="A9" s="884"/>
      <c r="B9" s="885"/>
      <c r="C9" s="887"/>
      <c r="D9" s="887"/>
      <c r="E9" s="886" t="s">
        <v>385</v>
      </c>
      <c r="F9" s="887" t="s">
        <v>94</v>
      </c>
      <c r="G9" s="888"/>
      <c r="H9" s="889"/>
      <c r="I9" s="891" t="s">
        <v>202</v>
      </c>
      <c r="J9" s="890" t="s">
        <v>96</v>
      </c>
      <c r="K9" s="892"/>
      <c r="L9" s="1507" t="s">
        <v>2276</v>
      </c>
      <c r="M9" s="1127"/>
      <c r="N9" s="1127"/>
      <c r="O9" s="1127"/>
      <c r="P9" s="1114"/>
      <c r="Q9" s="1127"/>
      <c r="R9" s="1127"/>
      <c r="S9" s="1127"/>
    </row>
    <row r="10" spans="1:19" s="66" customFormat="1" ht="15.95" customHeight="1" x14ac:dyDescent="0.25">
      <c r="A10" s="2873" t="s">
        <v>7</v>
      </c>
      <c r="B10" s="2874"/>
      <c r="C10" s="1378" t="s">
        <v>385</v>
      </c>
      <c r="D10" s="1378" t="s">
        <v>200</v>
      </c>
      <c r="E10" s="893" t="s">
        <v>6</v>
      </c>
      <c r="F10" s="110"/>
      <c r="G10" s="894" t="s">
        <v>287</v>
      </c>
      <c r="H10" s="1660" t="s">
        <v>237</v>
      </c>
      <c r="I10" s="895" t="s">
        <v>596</v>
      </c>
      <c r="J10" s="893"/>
      <c r="K10" s="597" t="s">
        <v>234</v>
      </c>
      <c r="L10" s="1506"/>
      <c r="M10" s="1127"/>
      <c r="N10" s="1127"/>
      <c r="O10" s="1127"/>
      <c r="P10" s="1114"/>
      <c r="Q10" s="1127"/>
      <c r="R10" s="1127"/>
      <c r="S10" s="1127"/>
    </row>
    <row r="11" spans="1:19" s="66" customFormat="1" ht="15.95" customHeight="1" thickBot="1" x14ac:dyDescent="0.3">
      <c r="A11" s="896"/>
      <c r="B11" s="897"/>
      <c r="C11" s="1390"/>
      <c r="D11" s="1390"/>
      <c r="E11" s="1381" t="s">
        <v>200</v>
      </c>
      <c r="F11" s="899" t="s">
        <v>95</v>
      </c>
      <c r="G11" s="1656"/>
      <c r="H11" s="1661"/>
      <c r="I11" s="900" t="s">
        <v>5</v>
      </c>
      <c r="J11" s="898" t="s">
        <v>1195</v>
      </c>
      <c r="K11" s="901"/>
      <c r="L11" s="1506"/>
      <c r="M11" s="1127"/>
      <c r="N11" s="1127"/>
      <c r="O11" s="1127"/>
      <c r="P11" s="1114"/>
      <c r="Q11" s="1127"/>
      <c r="R11" s="1127"/>
      <c r="S11" s="1127"/>
    </row>
    <row r="12" spans="1:19" s="66" customFormat="1" ht="15.95" customHeight="1" x14ac:dyDescent="0.25">
      <c r="A12" s="902"/>
      <c r="B12" s="903"/>
      <c r="C12" s="904" t="s">
        <v>255</v>
      </c>
      <c r="D12" s="904" t="s">
        <v>255</v>
      </c>
      <c r="E12" s="905" t="s">
        <v>255</v>
      </c>
      <c r="F12" s="904" t="s">
        <v>255</v>
      </c>
      <c r="G12" s="905" t="s">
        <v>255</v>
      </c>
      <c r="H12" s="904" t="s">
        <v>255</v>
      </c>
      <c r="I12" s="904" t="s">
        <v>255</v>
      </c>
      <c r="J12" s="905" t="s">
        <v>255</v>
      </c>
      <c r="K12" s="906" t="s">
        <v>255</v>
      </c>
      <c r="L12" s="1506"/>
      <c r="M12" s="1127"/>
      <c r="N12" s="1127"/>
      <c r="O12" s="1127"/>
      <c r="P12" s="1114"/>
      <c r="Q12" s="1127"/>
      <c r="R12" s="1127"/>
      <c r="S12" s="1127"/>
    </row>
    <row r="13" spans="1:19" s="66" customFormat="1" ht="15.95" customHeight="1" x14ac:dyDescent="0.25">
      <c r="A13" s="907"/>
      <c r="B13" s="880"/>
      <c r="C13" s="185"/>
      <c r="D13" s="185"/>
      <c r="E13" s="48"/>
      <c r="F13" s="185"/>
      <c r="G13" s="135"/>
      <c r="H13" s="1662"/>
      <c r="I13" s="908"/>
      <c r="J13" s="48"/>
      <c r="K13" s="580"/>
      <c r="L13" s="1506"/>
      <c r="M13" s="1127"/>
      <c r="N13" s="1127"/>
      <c r="O13" s="1127"/>
      <c r="P13" s="1114"/>
      <c r="Q13" s="1127"/>
      <c r="R13" s="1127"/>
      <c r="S13" s="1127"/>
    </row>
    <row r="14" spans="1:19" s="66" customFormat="1" ht="15.95" customHeight="1" x14ac:dyDescent="0.25">
      <c r="A14" s="407" t="str">
        <f>"Carrying values at "&amp;Parameters!C31</f>
        <v>Carrying values at 01 July 2011</v>
      </c>
      <c r="B14" s="877"/>
      <c r="C14" s="1391">
        <f t="shared" ref="C14:D14" si="0">SUM(C15,C18:C21)</f>
        <v>-67492977.359999985</v>
      </c>
      <c r="D14" s="1391">
        <f t="shared" si="0"/>
        <v>86768999.579999983</v>
      </c>
      <c r="E14" s="1382">
        <f t="shared" ref="E14:K14" si="1">SUM(E15,E18:E21)</f>
        <v>19276022.220000003</v>
      </c>
      <c r="F14" s="909">
        <f t="shared" si="1"/>
        <v>224654871.60999998</v>
      </c>
      <c r="G14" s="909">
        <f t="shared" si="1"/>
        <v>59928332.140000001</v>
      </c>
      <c r="H14" s="1391">
        <f t="shared" si="1"/>
        <v>4927211</v>
      </c>
      <c r="I14" s="909">
        <f t="shared" si="1"/>
        <v>0</v>
      </c>
      <c r="J14" s="909">
        <f t="shared" si="1"/>
        <v>666482</v>
      </c>
      <c r="K14" s="910">
        <f t="shared" si="1"/>
        <v>309452918.97000003</v>
      </c>
      <c r="L14" s="1506">
        <v>0</v>
      </c>
      <c r="M14" s="1127"/>
      <c r="N14" s="1127"/>
      <c r="O14" s="1127"/>
      <c r="P14" s="1114"/>
      <c r="Q14" s="1127"/>
      <c r="R14" s="1127"/>
      <c r="S14" s="1127"/>
    </row>
    <row r="15" spans="1:19" s="66" customFormat="1" ht="15.95" customHeight="1" x14ac:dyDescent="0.2">
      <c r="A15" s="415" t="s">
        <v>157</v>
      </c>
      <c r="B15" s="877"/>
      <c r="C15" s="1392">
        <f t="shared" ref="C15:D15" si="2">SUM(C16:C17)</f>
        <v>-50838350.839999989</v>
      </c>
      <c r="D15" s="1392">
        <f t="shared" si="2"/>
        <v>93893479.089999989</v>
      </c>
      <c r="E15" s="1383">
        <f t="shared" ref="E15:J15" si="3">SUM(E16:E17)</f>
        <v>43055128.25</v>
      </c>
      <c r="F15" s="911">
        <f t="shared" si="3"/>
        <v>481745721.09999996</v>
      </c>
      <c r="G15" s="911">
        <f t="shared" si="3"/>
        <v>125090596.42</v>
      </c>
      <c r="H15" s="1392">
        <f t="shared" si="3"/>
        <v>6734182</v>
      </c>
      <c r="I15" s="911">
        <f t="shared" si="3"/>
        <v>0</v>
      </c>
      <c r="J15" s="911">
        <f t="shared" si="3"/>
        <v>1291611</v>
      </c>
      <c r="K15" s="912">
        <f t="shared" ref="K15:K20" si="4">SUM(E15:J15)</f>
        <v>657917238.76999998</v>
      </c>
      <c r="L15" s="1508">
        <v>0</v>
      </c>
      <c r="M15" s="1509"/>
      <c r="N15" s="1127"/>
      <c r="O15" s="1127"/>
      <c r="P15" s="1114"/>
      <c r="Q15" s="1127"/>
      <c r="R15" s="1127"/>
      <c r="S15" s="1127"/>
    </row>
    <row r="16" spans="1:19" s="920" customFormat="1" ht="15.95" customHeight="1" x14ac:dyDescent="0.2">
      <c r="A16" s="913" t="s">
        <v>747</v>
      </c>
      <c r="B16" s="914"/>
      <c r="C16" s="916">
        <f t="shared" ref="C16:D16" si="5">C138</f>
        <v>-50800535.839999989</v>
      </c>
      <c r="D16" s="916">
        <f t="shared" si="5"/>
        <v>93855664.089999989</v>
      </c>
      <c r="E16" s="1384">
        <f>E138</f>
        <v>43055128.25</v>
      </c>
      <c r="F16" s="916">
        <f t="shared" ref="F16:J16" si="6">F138</f>
        <v>451673665.39999998</v>
      </c>
      <c r="G16" s="917">
        <f t="shared" si="6"/>
        <v>125090596.42</v>
      </c>
      <c r="H16" s="1663">
        <f t="shared" si="6"/>
        <v>6734182</v>
      </c>
      <c r="I16" s="918">
        <f t="shared" si="6"/>
        <v>0</v>
      </c>
      <c r="J16" s="918">
        <f t="shared" si="6"/>
        <v>1291611</v>
      </c>
      <c r="K16" s="919">
        <f t="shared" si="4"/>
        <v>627845183.06999993</v>
      </c>
      <c r="L16" s="1508">
        <v>0</v>
      </c>
      <c r="M16" s="1510"/>
      <c r="N16" s="1511"/>
      <c r="O16" s="1511"/>
      <c r="P16" s="1114"/>
      <c r="Q16" s="1511"/>
      <c r="R16" s="1511"/>
      <c r="S16" s="1511"/>
    </row>
    <row r="17" spans="1:35" s="920" customFormat="1" ht="15.95" customHeight="1" x14ac:dyDescent="0.2">
      <c r="A17" s="913" t="s">
        <v>748</v>
      </c>
      <c r="B17" s="914"/>
      <c r="C17" s="921">
        <f t="shared" ref="C17:D17" si="7">C139</f>
        <v>-37815</v>
      </c>
      <c r="D17" s="921">
        <f t="shared" si="7"/>
        <v>37815</v>
      </c>
      <c r="E17" s="922">
        <f t="shared" ref="E17:J17" si="8">E139</f>
        <v>0</v>
      </c>
      <c r="F17" s="921">
        <f t="shared" si="8"/>
        <v>30072055.699999999</v>
      </c>
      <c r="G17" s="922">
        <f t="shared" si="8"/>
        <v>0</v>
      </c>
      <c r="H17" s="921">
        <f t="shared" si="8"/>
        <v>0</v>
      </c>
      <c r="I17" s="921">
        <f t="shared" si="8"/>
        <v>0</v>
      </c>
      <c r="J17" s="921">
        <f t="shared" si="8"/>
        <v>0</v>
      </c>
      <c r="K17" s="923">
        <f>SUM(E17:J17)</f>
        <v>30072055.699999999</v>
      </c>
      <c r="L17" s="1508">
        <v>0</v>
      </c>
      <c r="M17" s="1511"/>
      <c r="N17" s="1511"/>
      <c r="O17" s="1511"/>
      <c r="P17" s="1114"/>
      <c r="Q17" s="1511"/>
      <c r="R17" s="1511"/>
      <c r="S17" s="1511"/>
    </row>
    <row r="18" spans="1:35" s="66" customFormat="1" ht="15.95" hidden="1" customHeight="1" x14ac:dyDescent="0.2">
      <c r="A18" s="415" t="s">
        <v>2496</v>
      </c>
      <c r="B18" s="877"/>
      <c r="C18" s="925">
        <f>E18-D18</f>
        <v>0</v>
      </c>
      <c r="D18" s="925">
        <v>0</v>
      </c>
      <c r="E18" s="936">
        <v>0</v>
      </c>
      <c r="F18" s="925">
        <v>0</v>
      </c>
      <c r="G18" s="926">
        <v>0</v>
      </c>
      <c r="H18" s="1664">
        <v>0</v>
      </c>
      <c r="I18" s="927">
        <v>0</v>
      </c>
      <c r="J18" s="927">
        <v>0</v>
      </c>
      <c r="K18" s="928">
        <f t="shared" si="4"/>
        <v>0</v>
      </c>
      <c r="L18" s="1506"/>
      <c r="M18" s="1127"/>
      <c r="N18" s="1127"/>
      <c r="O18" s="1127"/>
      <c r="P18" s="1114"/>
      <c r="Q18" s="1127"/>
      <c r="R18" s="1127"/>
      <c r="S18" s="1127"/>
    </row>
    <row r="19" spans="1:35" s="66" customFormat="1" ht="15.95" hidden="1" customHeight="1" x14ac:dyDescent="0.2">
      <c r="A19" s="415" t="s">
        <v>39</v>
      </c>
      <c r="B19" s="877"/>
      <c r="C19" s="194">
        <f t="shared" ref="C19:D19" si="9">C140</f>
        <v>0</v>
      </c>
      <c r="D19" s="194">
        <f t="shared" si="9"/>
        <v>0</v>
      </c>
      <c r="E19" s="929">
        <f t="shared" ref="E19:J19" si="10">E140</f>
        <v>0</v>
      </c>
      <c r="F19" s="194">
        <f t="shared" si="10"/>
        <v>0</v>
      </c>
      <c r="G19" s="143">
        <f t="shared" si="10"/>
        <v>0</v>
      </c>
      <c r="H19" s="1665">
        <f t="shared" si="10"/>
        <v>0</v>
      </c>
      <c r="I19" s="930">
        <f t="shared" si="10"/>
        <v>0</v>
      </c>
      <c r="J19" s="930">
        <f t="shared" si="10"/>
        <v>0</v>
      </c>
      <c r="K19" s="931">
        <f t="shared" si="4"/>
        <v>0</v>
      </c>
      <c r="L19" s="1506">
        <v>0</v>
      </c>
      <c r="M19" s="1127"/>
      <c r="N19" s="1127"/>
      <c r="O19" s="1127"/>
      <c r="P19" s="1114"/>
      <c r="Q19" s="1127"/>
      <c r="R19" s="1127"/>
      <c r="S19" s="1127"/>
    </row>
    <row r="20" spans="1:35" s="66" customFormat="1" ht="15.95" hidden="1" customHeight="1" x14ac:dyDescent="0.2">
      <c r="A20" s="415" t="s">
        <v>762</v>
      </c>
      <c r="B20" s="877"/>
      <c r="C20" s="194">
        <f t="shared" ref="C20:D20" si="11">C141</f>
        <v>0</v>
      </c>
      <c r="D20" s="194">
        <f t="shared" si="11"/>
        <v>0</v>
      </c>
      <c r="E20" s="929">
        <f>E141</f>
        <v>0</v>
      </c>
      <c r="F20" s="194">
        <f t="shared" ref="F20:J20" si="12">F141</f>
        <v>0</v>
      </c>
      <c r="G20" s="143">
        <f t="shared" si="12"/>
        <v>0</v>
      </c>
      <c r="H20" s="1665">
        <f t="shared" si="12"/>
        <v>0</v>
      </c>
      <c r="I20" s="930">
        <f t="shared" si="12"/>
        <v>0</v>
      </c>
      <c r="J20" s="930">
        <f t="shared" si="12"/>
        <v>0</v>
      </c>
      <c r="K20" s="931">
        <f t="shared" si="4"/>
        <v>0</v>
      </c>
      <c r="L20" s="1506">
        <v>0</v>
      </c>
      <c r="M20" s="1127"/>
      <c r="N20" s="1127"/>
      <c r="O20" s="1127"/>
      <c r="P20" s="1114"/>
      <c r="Q20" s="1127"/>
      <c r="R20" s="1127"/>
      <c r="S20" s="1127"/>
    </row>
    <row r="21" spans="1:35" s="66" customFormat="1" ht="15.95" customHeight="1" x14ac:dyDescent="0.2">
      <c r="A21" s="415" t="s">
        <v>749</v>
      </c>
      <c r="B21" s="877"/>
      <c r="C21" s="194">
        <f t="shared" ref="C21:D21" si="13">SUM(C22:C23)</f>
        <v>-16654626.52</v>
      </c>
      <c r="D21" s="194">
        <f t="shared" si="13"/>
        <v>-7124479.5100000007</v>
      </c>
      <c r="E21" s="1385">
        <f t="shared" ref="E21:K21" si="14">SUM(E22:E23)</f>
        <v>-23779106.029999997</v>
      </c>
      <c r="F21" s="194">
        <f t="shared" si="14"/>
        <v>-257090849.48999998</v>
      </c>
      <c r="G21" s="937">
        <f t="shared" si="14"/>
        <v>-65162264.280000001</v>
      </c>
      <c r="H21" s="194">
        <f t="shared" si="14"/>
        <v>-1806971</v>
      </c>
      <c r="I21" s="194">
        <f t="shared" si="14"/>
        <v>0</v>
      </c>
      <c r="J21" s="194">
        <f t="shared" si="14"/>
        <v>-625129</v>
      </c>
      <c r="K21" s="931">
        <f t="shared" si="14"/>
        <v>-348464319.79999995</v>
      </c>
      <c r="L21" s="1508">
        <v>0</v>
      </c>
      <c r="M21" s="1127"/>
      <c r="N21" s="1127"/>
      <c r="O21" s="1127"/>
      <c r="P21" s="1114"/>
      <c r="Q21" s="1127"/>
      <c r="R21" s="1127"/>
      <c r="S21" s="1127"/>
    </row>
    <row r="22" spans="1:35" s="920" customFormat="1" ht="15.95" customHeight="1" x14ac:dyDescent="0.2">
      <c r="A22" s="913" t="s">
        <v>750</v>
      </c>
      <c r="B22" s="914"/>
      <c r="C22" s="916">
        <f t="shared" ref="C22:D22" si="15">C143</f>
        <v>-16654626.52</v>
      </c>
      <c r="D22" s="916">
        <f t="shared" si="15"/>
        <v>-7124479.5100000007</v>
      </c>
      <c r="E22" s="1384">
        <f>E143</f>
        <v>-23779106.029999997</v>
      </c>
      <c r="F22" s="916">
        <f t="shared" ref="F22:J22" si="16">F143</f>
        <v>-257090849.48999998</v>
      </c>
      <c r="G22" s="917">
        <f t="shared" si="16"/>
        <v>-65162264.280000001</v>
      </c>
      <c r="H22" s="1663">
        <f t="shared" si="16"/>
        <v>-1806971</v>
      </c>
      <c r="I22" s="918">
        <f t="shared" si="16"/>
        <v>0</v>
      </c>
      <c r="J22" s="918">
        <f t="shared" si="16"/>
        <v>-625129</v>
      </c>
      <c r="K22" s="919">
        <f>SUM(E22:J22)</f>
        <v>-348464319.79999995</v>
      </c>
      <c r="L22" s="1508">
        <v>0</v>
      </c>
      <c r="M22" s="1510"/>
      <c r="N22" s="1511"/>
      <c r="O22" s="1511"/>
      <c r="P22" s="1114"/>
      <c r="Q22" s="1511"/>
      <c r="R22" s="1511"/>
      <c r="S22" s="1511"/>
    </row>
    <row r="23" spans="1:35" s="920" customFormat="1" ht="15.95" hidden="1" customHeight="1" x14ac:dyDescent="0.2">
      <c r="A23" s="913" t="s">
        <v>751</v>
      </c>
      <c r="B23" s="914"/>
      <c r="C23" s="921">
        <f t="shared" ref="C23:D23" si="17">C144</f>
        <v>0</v>
      </c>
      <c r="D23" s="921">
        <f t="shared" si="17"/>
        <v>0</v>
      </c>
      <c r="E23" s="922">
        <f t="shared" ref="E23:J23" si="18">E144</f>
        <v>0</v>
      </c>
      <c r="F23" s="921">
        <f t="shared" si="18"/>
        <v>0</v>
      </c>
      <c r="G23" s="922">
        <f t="shared" si="18"/>
        <v>0</v>
      </c>
      <c r="H23" s="921">
        <f t="shared" si="18"/>
        <v>0</v>
      </c>
      <c r="I23" s="921">
        <f t="shared" si="18"/>
        <v>0</v>
      </c>
      <c r="J23" s="921">
        <f t="shared" si="18"/>
        <v>0</v>
      </c>
      <c r="K23" s="923">
        <f>SUM(E23:J23)</f>
        <v>0</v>
      </c>
      <c r="L23" s="1508">
        <v>0</v>
      </c>
      <c r="M23" s="1511"/>
      <c r="N23" s="1511"/>
      <c r="O23" s="1511"/>
      <c r="P23" s="1114"/>
      <c r="Q23" s="1511"/>
      <c r="R23" s="1511"/>
      <c r="S23" s="1511"/>
    </row>
    <row r="24" spans="1:35" s="66" customFormat="1" ht="15.95" customHeight="1" x14ac:dyDescent="0.2">
      <c r="A24" s="415"/>
      <c r="B24" s="877"/>
      <c r="C24" s="876"/>
      <c r="D24" s="876"/>
      <c r="E24" s="934"/>
      <c r="F24" s="876"/>
      <c r="G24" s="934"/>
      <c r="H24" s="1666"/>
      <c r="I24" s="876"/>
      <c r="J24" s="876"/>
      <c r="K24" s="935"/>
      <c r="L24" s="1506"/>
      <c r="M24" s="1127"/>
      <c r="N24" s="1127"/>
      <c r="O24" s="1127"/>
      <c r="P24" s="1114"/>
      <c r="Q24" s="1127"/>
      <c r="R24" s="1127"/>
      <c r="S24" s="1127"/>
    </row>
    <row r="25" spans="1:35" s="66" customFormat="1" ht="15.95" customHeight="1" x14ac:dyDescent="0.2">
      <c r="A25" s="415" t="s">
        <v>97</v>
      </c>
      <c r="B25" s="877"/>
      <c r="C25" s="111">
        <f t="shared" ref="C25:C26" si="19">E25-D25</f>
        <v>0</v>
      </c>
      <c r="D25" s="111">
        <v>0</v>
      </c>
      <c r="E25" s="423">
        <v>0</v>
      </c>
      <c r="F25" s="111">
        <v>0</v>
      </c>
      <c r="G25" s="423">
        <v>0</v>
      </c>
      <c r="H25" s="111">
        <v>0</v>
      </c>
      <c r="I25" s="111">
        <v>0</v>
      </c>
      <c r="J25" s="111">
        <v>0</v>
      </c>
      <c r="K25" s="183">
        <f>SUM(E25:J25)</f>
        <v>0</v>
      </c>
      <c r="L25" s="1506">
        <v>0</v>
      </c>
      <c r="M25" s="1506" t="s">
        <v>2882</v>
      </c>
      <c r="N25" s="1127" t="s">
        <v>2883</v>
      </c>
      <c r="O25" s="1127" t="s">
        <v>2884</v>
      </c>
      <c r="P25" s="1520"/>
      <c r="Q25" s="1127" t="s">
        <v>2885</v>
      </c>
      <c r="R25" s="1127" t="s">
        <v>2886</v>
      </c>
      <c r="S25" s="1127" t="s">
        <v>2887</v>
      </c>
    </row>
    <row r="26" spans="1:35" s="66" customFormat="1" ht="15.95" hidden="1" customHeight="1" x14ac:dyDescent="0.2">
      <c r="A26" s="415" t="s">
        <v>1497</v>
      </c>
      <c r="B26" s="877"/>
      <c r="C26" s="111">
        <f t="shared" si="19"/>
        <v>0</v>
      </c>
      <c r="D26" s="111">
        <v>0</v>
      </c>
      <c r="E26" s="423">
        <v>0</v>
      </c>
      <c r="F26" s="111">
        <v>0</v>
      </c>
      <c r="G26" s="423">
        <v>0</v>
      </c>
      <c r="H26" s="111">
        <v>0</v>
      </c>
      <c r="I26" s="111">
        <v>0</v>
      </c>
      <c r="J26" s="111">
        <v>0</v>
      </c>
      <c r="K26" s="183">
        <f>SUM(E26:J26)</f>
        <v>0</v>
      </c>
      <c r="L26" s="1506">
        <v>0</v>
      </c>
      <c r="M26" s="1506" t="s">
        <v>2888</v>
      </c>
      <c r="N26" s="1127" t="s">
        <v>2889</v>
      </c>
      <c r="O26" s="1127" t="s">
        <v>2890</v>
      </c>
      <c r="P26" s="1520"/>
      <c r="Q26" s="1127" t="s">
        <v>2891</v>
      </c>
      <c r="R26" s="1127" t="s">
        <v>2892</v>
      </c>
      <c r="S26" s="1127" t="s">
        <v>2893</v>
      </c>
    </row>
    <row r="27" spans="1:35" s="66" customFormat="1" ht="15.95" customHeight="1" x14ac:dyDescent="0.2">
      <c r="A27" s="415" t="s">
        <v>1634</v>
      </c>
      <c r="B27" s="877"/>
      <c r="C27" s="111">
        <f t="shared" ref="C27:D27" si="20">C28+C31</f>
        <v>0</v>
      </c>
      <c r="D27" s="111">
        <f t="shared" si="20"/>
        <v>0</v>
      </c>
      <c r="E27" s="423">
        <f>E28+E31</f>
        <v>0</v>
      </c>
      <c r="F27" s="111">
        <f t="shared" ref="F27:K27" si="21">F28+F31</f>
        <v>20098951.68</v>
      </c>
      <c r="G27" s="423">
        <f t="shared" si="21"/>
        <v>0</v>
      </c>
      <c r="H27" s="111">
        <f t="shared" si="21"/>
        <v>0</v>
      </c>
      <c r="I27" s="111">
        <f t="shared" si="21"/>
        <v>0</v>
      </c>
      <c r="J27" s="111">
        <f t="shared" si="21"/>
        <v>0</v>
      </c>
      <c r="K27" s="183">
        <f t="shared" si="21"/>
        <v>20098951.68</v>
      </c>
      <c r="L27" s="1506"/>
      <c r="M27" s="1506"/>
      <c r="N27" s="1127"/>
      <c r="O27" s="1127"/>
      <c r="P27" s="1520"/>
      <c r="Q27" s="1127"/>
      <c r="R27" s="1127"/>
      <c r="S27" s="1127"/>
    </row>
    <row r="28" spans="1:35" s="920" customFormat="1" ht="15.95" customHeight="1" x14ac:dyDescent="0.2">
      <c r="A28" s="913" t="s">
        <v>750</v>
      </c>
      <c r="B28" s="914"/>
      <c r="C28" s="916">
        <f t="shared" ref="C28:D28" si="22">C29+C30</f>
        <v>0</v>
      </c>
      <c r="D28" s="916">
        <f t="shared" si="22"/>
        <v>0</v>
      </c>
      <c r="E28" s="1384">
        <f>E29+E30</f>
        <v>0</v>
      </c>
      <c r="F28" s="915">
        <f>F29+F30-3447167.23-654700.52</f>
        <v>20098951.68</v>
      </c>
      <c r="G28" s="915">
        <f t="shared" ref="G28:J28" si="23">G29+G30</f>
        <v>0</v>
      </c>
      <c r="H28" s="916">
        <f t="shared" si="23"/>
        <v>0</v>
      </c>
      <c r="I28" s="915">
        <f t="shared" si="23"/>
        <v>0</v>
      </c>
      <c r="J28" s="915">
        <f t="shared" si="23"/>
        <v>0</v>
      </c>
      <c r="K28" s="919">
        <f t="shared" ref="K28:K36" si="24">SUM(E28:J28)</f>
        <v>20098951.68</v>
      </c>
      <c r="L28" s="1508">
        <v>0</v>
      </c>
      <c r="M28" s="1506"/>
      <c r="N28" s="1127"/>
      <c r="O28" s="1127"/>
      <c r="P28" s="1520"/>
      <c r="Q28" s="1127"/>
      <c r="R28" s="1127"/>
      <c r="S28" s="1127"/>
      <c r="T28" s="66"/>
      <c r="U28" s="66"/>
      <c r="V28" s="66"/>
      <c r="W28" s="66"/>
      <c r="X28" s="66"/>
      <c r="Y28" s="66"/>
      <c r="Z28" s="66"/>
      <c r="AA28" s="66"/>
      <c r="AB28" s="66"/>
    </row>
    <row r="29" spans="1:35" s="1139" customFormat="1" ht="15.95" hidden="1" customHeight="1" x14ac:dyDescent="0.2">
      <c r="A29" s="1235"/>
      <c r="B29" s="1236" t="s">
        <v>683</v>
      </c>
      <c r="C29" s="1237">
        <f t="shared" ref="C29:C30" si="25">E29-D29</f>
        <v>0</v>
      </c>
      <c r="D29" s="1237">
        <v>0</v>
      </c>
      <c r="E29" s="2552">
        <v>0</v>
      </c>
      <c r="F29" s="2553">
        <f>13301533.43+10899286</f>
        <v>24200819.43</v>
      </c>
      <c r="G29" s="2554">
        <v>0</v>
      </c>
      <c r="H29" s="2555">
        <v>0</v>
      </c>
      <c r="I29" s="2556">
        <v>0</v>
      </c>
      <c r="J29" s="2556">
        <v>0</v>
      </c>
      <c r="K29" s="2557">
        <f t="shared" si="24"/>
        <v>24200819.43</v>
      </c>
      <c r="L29" s="1512"/>
      <c r="M29" s="1508" t="s">
        <v>2894</v>
      </c>
      <c r="N29" s="1510" t="s">
        <v>2895</v>
      </c>
      <c r="O29" s="1511" t="s">
        <v>2896</v>
      </c>
      <c r="P29" s="1521"/>
      <c r="Q29" s="1511" t="s">
        <v>2897</v>
      </c>
      <c r="R29" s="1511" t="s">
        <v>2898</v>
      </c>
      <c r="S29" s="1511" t="s">
        <v>2899</v>
      </c>
      <c r="T29" s="920"/>
      <c r="U29" s="920"/>
      <c r="V29" s="920"/>
      <c r="W29" s="920"/>
      <c r="X29" s="920"/>
      <c r="Y29" s="920"/>
      <c r="Z29" s="920"/>
      <c r="AA29" s="920"/>
      <c r="AB29" s="920"/>
      <c r="AC29" s="66"/>
      <c r="AD29" s="66"/>
      <c r="AE29" s="66"/>
      <c r="AF29" s="66"/>
      <c r="AG29" s="66"/>
      <c r="AH29" s="66"/>
      <c r="AI29" s="66"/>
    </row>
    <row r="30" spans="1:35" s="1139" customFormat="1" ht="15.95" hidden="1" customHeight="1" x14ac:dyDescent="0.2">
      <c r="A30" s="1235"/>
      <c r="B30" s="1236" t="s">
        <v>3570</v>
      </c>
      <c r="C30" s="1237">
        <f t="shared" si="25"/>
        <v>0</v>
      </c>
      <c r="D30" s="1237">
        <v>0</v>
      </c>
      <c r="E30" s="1386">
        <v>0</v>
      </c>
      <c r="F30" s="1237">
        <v>0</v>
      </c>
      <c r="G30" s="1238">
        <v>0</v>
      </c>
      <c r="H30" s="1667">
        <v>0</v>
      </c>
      <c r="I30" s="1239">
        <v>0</v>
      </c>
      <c r="J30" s="1239">
        <v>0</v>
      </c>
      <c r="K30" s="1240">
        <f t="shared" si="24"/>
        <v>0</v>
      </c>
      <c r="L30" s="1512"/>
      <c r="M30" s="1508" t="s">
        <v>2900</v>
      </c>
      <c r="N30" s="1510" t="s">
        <v>2901</v>
      </c>
      <c r="O30" s="1511" t="s">
        <v>2902</v>
      </c>
      <c r="P30" s="1521"/>
      <c r="Q30" s="1511" t="s">
        <v>2903</v>
      </c>
      <c r="R30" s="1511" t="s">
        <v>2904</v>
      </c>
      <c r="S30" s="1511" t="s">
        <v>2905</v>
      </c>
      <c r="T30" s="66"/>
      <c r="U30" s="66"/>
      <c r="V30" s="66"/>
      <c r="W30" s="66"/>
      <c r="X30" s="66"/>
      <c r="Y30" s="66"/>
      <c r="Z30" s="66"/>
      <c r="AA30" s="66"/>
      <c r="AB30" s="66"/>
      <c r="AC30" s="66"/>
      <c r="AD30" s="66"/>
      <c r="AE30" s="66"/>
      <c r="AF30" s="66"/>
      <c r="AG30" s="66"/>
      <c r="AH30" s="66"/>
      <c r="AI30" s="66"/>
    </row>
    <row r="31" spans="1:35" s="920" customFormat="1" ht="15.95" hidden="1" customHeight="1" x14ac:dyDescent="0.2">
      <c r="A31" s="913" t="s">
        <v>1498</v>
      </c>
      <c r="B31" s="914"/>
      <c r="C31" s="921">
        <f>E31-D31</f>
        <v>0</v>
      </c>
      <c r="D31" s="921">
        <v>0</v>
      </c>
      <c r="E31" s="922">
        <v>0</v>
      </c>
      <c r="F31" s="921">
        <v>0</v>
      </c>
      <c r="G31" s="922">
        <v>0</v>
      </c>
      <c r="H31" s="921">
        <v>0</v>
      </c>
      <c r="I31" s="921">
        <v>0</v>
      </c>
      <c r="J31" s="921">
        <v>0</v>
      </c>
      <c r="K31" s="923">
        <f t="shared" si="24"/>
        <v>0</v>
      </c>
      <c r="L31" s="1508">
        <v>0</v>
      </c>
      <c r="M31" s="1508" t="s">
        <v>2906</v>
      </c>
      <c r="N31" s="1511" t="s">
        <v>2907</v>
      </c>
      <c r="O31" s="1511" t="s">
        <v>2908</v>
      </c>
      <c r="P31" s="1521"/>
      <c r="Q31" s="1511" t="s">
        <v>2909</v>
      </c>
      <c r="R31" s="1511" t="s">
        <v>2910</v>
      </c>
      <c r="S31" s="1511" t="s">
        <v>2911</v>
      </c>
      <c r="T31" s="66"/>
      <c r="U31" s="66"/>
      <c r="V31" s="66"/>
      <c r="W31" s="66"/>
      <c r="X31" s="66"/>
      <c r="Y31" s="66"/>
      <c r="Z31" s="66"/>
      <c r="AA31" s="66"/>
      <c r="AB31" s="66"/>
      <c r="AC31" s="66"/>
      <c r="AD31" s="66"/>
      <c r="AE31" s="66"/>
      <c r="AF31" s="66"/>
      <c r="AG31" s="66"/>
      <c r="AH31" s="66"/>
      <c r="AI31" s="66"/>
    </row>
    <row r="32" spans="1:35" s="66" customFormat="1" ht="15.95" hidden="1" customHeight="1" x14ac:dyDescent="0.2">
      <c r="A32" s="415" t="s">
        <v>752</v>
      </c>
      <c r="B32" s="877"/>
      <c r="C32" s="111">
        <f t="shared" ref="C32:C33" si="26">E32-D32</f>
        <v>0</v>
      </c>
      <c r="D32" s="111">
        <v>0</v>
      </c>
      <c r="E32" s="423">
        <v>0</v>
      </c>
      <c r="F32" s="111">
        <v>0</v>
      </c>
      <c r="G32" s="423">
        <v>0</v>
      </c>
      <c r="H32" s="938">
        <v>0</v>
      </c>
      <c r="I32" s="111">
        <v>0</v>
      </c>
      <c r="J32" s="111">
        <v>0</v>
      </c>
      <c r="K32" s="183">
        <f t="shared" si="24"/>
        <v>0</v>
      </c>
      <c r="L32" s="1506">
        <v>0</v>
      </c>
      <c r="M32" s="1506"/>
      <c r="N32" s="1127"/>
      <c r="O32" s="1127"/>
      <c r="P32" s="1520"/>
      <c r="Q32" s="1127"/>
      <c r="R32" s="1127"/>
      <c r="S32" s="1127"/>
      <c r="AC32" s="920"/>
      <c r="AD32" s="920"/>
      <c r="AE32" s="920"/>
      <c r="AF32" s="920"/>
      <c r="AG32" s="920"/>
      <c r="AH32" s="920"/>
      <c r="AI32" s="920"/>
    </row>
    <row r="33" spans="1:35" s="66" customFormat="1" ht="15.95" hidden="1" customHeight="1" x14ac:dyDescent="0.2">
      <c r="A33" s="415" t="s">
        <v>753</v>
      </c>
      <c r="B33" s="877"/>
      <c r="C33" s="111">
        <f t="shared" si="26"/>
        <v>0</v>
      </c>
      <c r="D33" s="111">
        <v>0</v>
      </c>
      <c r="E33" s="423">
        <v>0</v>
      </c>
      <c r="F33" s="111">
        <v>0</v>
      </c>
      <c r="G33" s="423">
        <v>0</v>
      </c>
      <c r="H33" s="938">
        <v>0</v>
      </c>
      <c r="I33" s="111">
        <v>0</v>
      </c>
      <c r="J33" s="111">
        <v>0</v>
      </c>
      <c r="K33" s="183">
        <f t="shared" si="24"/>
        <v>0</v>
      </c>
      <c r="L33" s="1506">
        <v>0</v>
      </c>
      <c r="M33" s="1506"/>
      <c r="N33" s="1127"/>
      <c r="O33" s="1127"/>
      <c r="P33" s="1520"/>
      <c r="Q33" s="1127"/>
      <c r="R33" s="1127"/>
      <c r="S33" s="1127"/>
      <c r="T33" s="920"/>
      <c r="U33" s="920"/>
      <c r="V33" s="920"/>
      <c r="W33" s="920"/>
      <c r="X33" s="920"/>
      <c r="Y33" s="920"/>
      <c r="Z33" s="920"/>
      <c r="AA33" s="920"/>
      <c r="AB33" s="920"/>
      <c r="AC33" s="920"/>
      <c r="AD33" s="920"/>
      <c r="AE33" s="920"/>
      <c r="AF33" s="920"/>
      <c r="AG33" s="920"/>
      <c r="AH33" s="920"/>
      <c r="AI33" s="920"/>
    </row>
    <row r="34" spans="1:35" s="66" customFormat="1" ht="15.95" customHeight="1" x14ac:dyDescent="0.2">
      <c r="A34" s="415" t="s">
        <v>8</v>
      </c>
      <c r="B34" s="877"/>
      <c r="C34" s="112">
        <f t="shared" ref="C34:D34" si="27">C35+C36</f>
        <v>-1007343.51</v>
      </c>
      <c r="D34" s="112">
        <f t="shared" si="27"/>
        <v>0</v>
      </c>
      <c r="E34" s="1387">
        <f t="shared" ref="E34:J34" si="28">E35+E36</f>
        <v>-1007343.51</v>
      </c>
      <c r="F34" s="112">
        <f t="shared" si="28"/>
        <v>-15111731.26</v>
      </c>
      <c r="G34" s="1657">
        <f t="shared" si="28"/>
        <v>-3939668.72</v>
      </c>
      <c r="H34" s="112">
        <f t="shared" si="28"/>
        <v>-829247</v>
      </c>
      <c r="I34" s="112">
        <f t="shared" si="28"/>
        <v>0</v>
      </c>
      <c r="J34" s="112">
        <f t="shared" si="28"/>
        <v>-327445</v>
      </c>
      <c r="K34" s="933">
        <f t="shared" si="24"/>
        <v>-21215435.489999998</v>
      </c>
      <c r="L34" s="1508">
        <v>0</v>
      </c>
      <c r="M34" s="1508"/>
      <c r="N34" s="1127"/>
      <c r="O34" s="1127"/>
      <c r="P34" s="1520"/>
      <c r="Q34" s="1127"/>
      <c r="R34" s="1127"/>
      <c r="S34" s="1127"/>
      <c r="T34" s="920"/>
      <c r="U34" s="920"/>
      <c r="V34" s="920"/>
      <c r="W34" s="920"/>
      <c r="X34" s="920"/>
      <c r="Y34" s="920"/>
      <c r="Z34" s="920"/>
      <c r="AA34" s="920"/>
      <c r="AB34" s="920"/>
    </row>
    <row r="35" spans="1:35" s="920" customFormat="1" ht="15.95" customHeight="1" x14ac:dyDescent="0.2">
      <c r="A35" s="913" t="s">
        <v>754</v>
      </c>
      <c r="B35" s="914"/>
      <c r="C35" s="916">
        <f t="shared" ref="C35:C36" si="29">E35-D35</f>
        <v>-1007343.51</v>
      </c>
      <c r="D35" s="916">
        <v>0</v>
      </c>
      <c r="E35" s="1384">
        <f>-1007343.51</f>
        <v>-1007343.51</v>
      </c>
      <c r="F35" s="916">
        <v>-15111731.26</v>
      </c>
      <c r="G35" s="917">
        <v>-3939668.72</v>
      </c>
      <c r="H35" s="1663">
        <v>-829247</v>
      </c>
      <c r="I35" s="918">
        <v>0</v>
      </c>
      <c r="J35" s="918">
        <v>-327445</v>
      </c>
      <c r="K35" s="919">
        <f t="shared" si="24"/>
        <v>-21215435.489999998</v>
      </c>
      <c r="L35" s="1508">
        <v>0</v>
      </c>
      <c r="M35" s="1512" t="s">
        <v>2912</v>
      </c>
      <c r="N35" s="1513" t="s">
        <v>2913</v>
      </c>
      <c r="O35" s="1514" t="s">
        <v>2914</v>
      </c>
      <c r="P35" s="1522"/>
      <c r="Q35" s="1514" t="s">
        <v>2915</v>
      </c>
      <c r="R35" s="1514" t="s">
        <v>2916</v>
      </c>
      <c r="S35" s="1514" t="s">
        <v>2917</v>
      </c>
      <c r="T35" s="66"/>
      <c r="U35" s="66"/>
      <c r="V35" s="66"/>
      <c r="W35" s="66"/>
      <c r="X35" s="66"/>
      <c r="Y35" s="66"/>
      <c r="Z35" s="66"/>
      <c r="AA35" s="66"/>
      <c r="AB35" s="66"/>
      <c r="AC35" s="66"/>
      <c r="AD35" s="66"/>
      <c r="AE35" s="66"/>
      <c r="AF35" s="66"/>
      <c r="AG35" s="66"/>
      <c r="AH35" s="66"/>
      <c r="AI35" s="66"/>
    </row>
    <row r="36" spans="1:35" s="920" customFormat="1" ht="15.95" hidden="1" customHeight="1" x14ac:dyDescent="0.2">
      <c r="A36" s="913" t="s">
        <v>755</v>
      </c>
      <c r="B36" s="914"/>
      <c r="C36" s="921">
        <f t="shared" si="29"/>
        <v>0</v>
      </c>
      <c r="D36" s="921">
        <v>0</v>
      </c>
      <c r="E36" s="922">
        <v>0</v>
      </c>
      <c r="F36" s="921">
        <v>0</v>
      </c>
      <c r="G36" s="922">
        <v>0</v>
      </c>
      <c r="H36" s="921">
        <v>0</v>
      </c>
      <c r="I36" s="921">
        <v>0</v>
      </c>
      <c r="J36" s="921">
        <v>0</v>
      </c>
      <c r="K36" s="923">
        <f t="shared" si="24"/>
        <v>0</v>
      </c>
      <c r="L36" s="1508">
        <v>0</v>
      </c>
      <c r="M36" s="1508" t="s">
        <v>2918</v>
      </c>
      <c r="N36" s="1511" t="s">
        <v>2919</v>
      </c>
      <c r="O36" s="1511" t="s">
        <v>2920</v>
      </c>
      <c r="P36" s="1521"/>
      <c r="Q36" s="1511" t="s">
        <v>2921</v>
      </c>
      <c r="R36" s="1511" t="s">
        <v>2922</v>
      </c>
      <c r="S36" s="1511" t="s">
        <v>2923</v>
      </c>
      <c r="T36" s="66"/>
      <c r="U36" s="66"/>
      <c r="V36" s="66"/>
      <c r="W36" s="66"/>
      <c r="X36" s="66"/>
      <c r="Y36" s="66"/>
      <c r="Z36" s="66"/>
      <c r="AA36" s="66"/>
      <c r="AB36" s="66"/>
      <c r="AC36" s="66"/>
      <c r="AD36" s="66"/>
      <c r="AE36" s="66"/>
      <c r="AF36" s="66"/>
      <c r="AG36" s="66"/>
      <c r="AH36" s="66"/>
      <c r="AI36" s="66"/>
    </row>
    <row r="37" spans="1:35" s="66" customFormat="1" ht="15.95" customHeight="1" x14ac:dyDescent="0.2">
      <c r="A37" s="415"/>
      <c r="B37" s="877"/>
      <c r="C37" s="876"/>
      <c r="D37" s="876"/>
      <c r="E37" s="934"/>
      <c r="F37" s="876"/>
      <c r="G37" s="934"/>
      <c r="H37" s="1666"/>
      <c r="I37" s="876"/>
      <c r="J37" s="876"/>
      <c r="K37" s="935"/>
      <c r="L37" s="1506"/>
      <c r="M37" s="1506"/>
      <c r="N37" s="1127"/>
      <c r="O37" s="1127"/>
      <c r="P37" s="1520"/>
      <c r="Q37" s="1127"/>
      <c r="R37" s="1127"/>
      <c r="S37" s="1127"/>
    </row>
    <row r="38" spans="1:35" s="66" customFormat="1" ht="15.95" customHeight="1" x14ac:dyDescent="0.2">
      <c r="A38" s="415" t="s">
        <v>756</v>
      </c>
      <c r="B38" s="877"/>
      <c r="C38" s="112">
        <f t="shared" ref="C38:D38" si="30">SUM(C39:C42)</f>
        <v>-131104.14000000001</v>
      </c>
      <c r="D38" s="112">
        <f t="shared" si="30"/>
        <v>0</v>
      </c>
      <c r="E38" s="1387">
        <f>SUM(E39:E42)</f>
        <v>-131104.14000000001</v>
      </c>
      <c r="F38" s="112">
        <f t="shared" ref="F38:K38" si="31">SUM(F39:F42)</f>
        <v>0</v>
      </c>
      <c r="G38" s="1657">
        <f t="shared" si="31"/>
        <v>0</v>
      </c>
      <c r="H38" s="112">
        <f t="shared" si="31"/>
        <v>0</v>
      </c>
      <c r="I38" s="112">
        <f t="shared" si="31"/>
        <v>0</v>
      </c>
      <c r="J38" s="112">
        <f t="shared" si="31"/>
        <v>0</v>
      </c>
      <c r="K38" s="933">
        <f t="shared" si="31"/>
        <v>-131104.14000000001</v>
      </c>
      <c r="L38" s="1506"/>
      <c r="M38" s="1506"/>
      <c r="N38" s="1127"/>
      <c r="O38" s="1127"/>
      <c r="P38" s="1520"/>
      <c r="Q38" s="1127"/>
      <c r="R38" s="1127"/>
      <c r="S38" s="1127"/>
    </row>
    <row r="39" spans="1:35" s="66" customFormat="1" ht="15.95" customHeight="1" x14ac:dyDescent="0.2">
      <c r="A39" s="415" t="s">
        <v>750</v>
      </c>
      <c r="B39" s="877"/>
      <c r="C39" s="925">
        <f t="shared" ref="C39:C41" si="32">E39-D39</f>
        <v>-230376.14</v>
      </c>
      <c r="D39" s="925">
        <v>0</v>
      </c>
      <c r="E39" s="936">
        <v>-230376.14</v>
      </c>
      <c r="F39" s="925">
        <v>0</v>
      </c>
      <c r="G39" s="936">
        <v>0</v>
      </c>
      <c r="H39" s="925">
        <v>0</v>
      </c>
      <c r="I39" s="925">
        <v>0</v>
      </c>
      <c r="J39" s="925">
        <v>0</v>
      </c>
      <c r="K39" s="931">
        <f>SUM(E39:J39)</f>
        <v>-230376.14</v>
      </c>
      <c r="L39" s="1506">
        <v>2.1827872842550278E-10</v>
      </c>
      <c r="M39" s="1508" t="s">
        <v>2924</v>
      </c>
      <c r="N39" s="1510" t="s">
        <v>2925</v>
      </c>
      <c r="O39" s="1511" t="s">
        <v>2926</v>
      </c>
      <c r="P39" s="1521"/>
      <c r="Q39" s="1511" t="s">
        <v>2927</v>
      </c>
      <c r="R39" s="1511" t="s">
        <v>2928</v>
      </c>
      <c r="S39" s="1511" t="s">
        <v>2929</v>
      </c>
    </row>
    <row r="40" spans="1:35" s="66" customFormat="1" ht="15.95" hidden="1" customHeight="1" x14ac:dyDescent="0.2">
      <c r="A40" s="415" t="s">
        <v>751</v>
      </c>
      <c r="B40" s="877"/>
      <c r="C40" s="194">
        <f t="shared" si="32"/>
        <v>0</v>
      </c>
      <c r="D40" s="194">
        <v>0</v>
      </c>
      <c r="E40" s="929">
        <v>0</v>
      </c>
      <c r="F40" s="937">
        <v>0</v>
      </c>
      <c r="G40" s="937">
        <v>0</v>
      </c>
      <c r="H40" s="194">
        <v>0</v>
      </c>
      <c r="I40" s="937">
        <v>0</v>
      </c>
      <c r="J40" s="937">
        <v>0</v>
      </c>
      <c r="K40" s="931">
        <f>SUM(E40:J40)</f>
        <v>0</v>
      </c>
      <c r="L40" s="1506">
        <v>0</v>
      </c>
      <c r="M40" s="1508" t="s">
        <v>2930</v>
      </c>
      <c r="N40" s="1510" t="s">
        <v>2931</v>
      </c>
      <c r="O40" s="1511" t="s">
        <v>2932</v>
      </c>
      <c r="P40" s="1521"/>
      <c r="Q40" s="1511" t="s">
        <v>2933</v>
      </c>
      <c r="R40" s="1511" t="s">
        <v>2934</v>
      </c>
      <c r="S40" s="1511" t="s">
        <v>2935</v>
      </c>
      <c r="AC40" s="920"/>
      <c r="AD40" s="920"/>
      <c r="AE40" s="920"/>
      <c r="AF40" s="920"/>
      <c r="AG40" s="920"/>
      <c r="AH40" s="920"/>
      <c r="AI40" s="920"/>
    </row>
    <row r="41" spans="1:35" s="66" customFormat="1" ht="15.95" hidden="1" customHeight="1" x14ac:dyDescent="0.2">
      <c r="A41" s="415" t="s">
        <v>757</v>
      </c>
      <c r="B41" s="877"/>
      <c r="C41" s="194">
        <f t="shared" si="32"/>
        <v>0</v>
      </c>
      <c r="D41" s="194">
        <v>0</v>
      </c>
      <c r="E41" s="929">
        <v>0</v>
      </c>
      <c r="F41" s="937">
        <v>0</v>
      </c>
      <c r="G41" s="937">
        <v>0</v>
      </c>
      <c r="H41" s="194">
        <v>0</v>
      </c>
      <c r="I41" s="937">
        <v>0</v>
      </c>
      <c r="J41" s="937">
        <v>0</v>
      </c>
      <c r="K41" s="931">
        <f>SUM(E41:J41)</f>
        <v>0</v>
      </c>
      <c r="L41" s="1506">
        <v>0</v>
      </c>
      <c r="M41" s="1508" t="s">
        <v>2936</v>
      </c>
      <c r="N41" s="1510" t="s">
        <v>2937</v>
      </c>
      <c r="O41" s="1511" t="s">
        <v>2938</v>
      </c>
      <c r="P41" s="1521"/>
      <c r="Q41" s="1511" t="s">
        <v>2939</v>
      </c>
      <c r="R41" s="1511" t="s">
        <v>2940</v>
      </c>
      <c r="S41" s="1511" t="s">
        <v>2941</v>
      </c>
      <c r="T41" s="920"/>
      <c r="U41" s="920"/>
      <c r="V41" s="920"/>
      <c r="W41" s="920"/>
      <c r="X41" s="920"/>
      <c r="Y41" s="920"/>
      <c r="Z41" s="920"/>
      <c r="AA41" s="920"/>
      <c r="AB41" s="920"/>
      <c r="AC41" s="920"/>
      <c r="AD41" s="920"/>
      <c r="AE41" s="920"/>
      <c r="AF41" s="920"/>
      <c r="AG41" s="920"/>
      <c r="AH41" s="920"/>
      <c r="AI41" s="920"/>
    </row>
    <row r="42" spans="1:35" s="66" customFormat="1" ht="15.95" customHeight="1" x14ac:dyDescent="0.2">
      <c r="A42" s="415" t="s">
        <v>758</v>
      </c>
      <c r="B42" s="877"/>
      <c r="C42" s="194">
        <f t="shared" ref="C42:D42" si="33">SUM(C43:C44)</f>
        <v>99272</v>
      </c>
      <c r="D42" s="194">
        <f t="shared" si="33"/>
        <v>0</v>
      </c>
      <c r="E42" s="937">
        <f t="shared" ref="E42:K42" si="34">SUM(E43:E44)</f>
        <v>99272</v>
      </c>
      <c r="F42" s="937">
        <f t="shared" si="34"/>
        <v>0</v>
      </c>
      <c r="G42" s="937">
        <f t="shared" si="34"/>
        <v>0</v>
      </c>
      <c r="H42" s="194">
        <f t="shared" si="34"/>
        <v>0</v>
      </c>
      <c r="I42" s="937">
        <f t="shared" si="34"/>
        <v>0</v>
      </c>
      <c r="J42" s="937">
        <f t="shared" si="34"/>
        <v>0</v>
      </c>
      <c r="K42" s="931">
        <f t="shared" si="34"/>
        <v>99272</v>
      </c>
      <c r="L42" s="1508">
        <v>0</v>
      </c>
      <c r="M42" s="1508"/>
      <c r="N42" s="1127"/>
      <c r="O42" s="1127"/>
      <c r="P42" s="1520"/>
      <c r="Q42" s="1127"/>
      <c r="R42" s="1127"/>
      <c r="S42" s="1127"/>
      <c r="T42" s="920"/>
      <c r="U42" s="920"/>
      <c r="V42" s="920"/>
      <c r="W42" s="920"/>
      <c r="X42" s="920"/>
      <c r="Y42" s="920"/>
      <c r="Z42" s="920"/>
      <c r="AA42" s="920"/>
      <c r="AB42" s="920"/>
    </row>
    <row r="43" spans="1:35" s="920" customFormat="1" ht="15.95" customHeight="1" x14ac:dyDescent="0.2">
      <c r="A43" s="913"/>
      <c r="B43" s="914" t="s">
        <v>754</v>
      </c>
      <c r="C43" s="916">
        <f t="shared" ref="C43:C44" si="35">E43-D43</f>
        <v>99272</v>
      </c>
      <c r="D43" s="916">
        <v>0</v>
      </c>
      <c r="E43" s="1384">
        <v>99272</v>
      </c>
      <c r="F43" s="916">
        <v>0</v>
      </c>
      <c r="G43" s="917">
        <v>0</v>
      </c>
      <c r="H43" s="1663">
        <v>0</v>
      </c>
      <c r="I43" s="918">
        <v>0</v>
      </c>
      <c r="J43" s="918">
        <v>0</v>
      </c>
      <c r="K43" s="919">
        <f>SUM(E43:J43)</f>
        <v>99272</v>
      </c>
      <c r="L43" s="1508">
        <v>0</v>
      </c>
      <c r="M43" s="1508" t="s">
        <v>2942</v>
      </c>
      <c r="N43" s="1510" t="s">
        <v>2943</v>
      </c>
      <c r="O43" s="1511" t="s">
        <v>2944</v>
      </c>
      <c r="P43" s="1521"/>
      <c r="Q43" s="1511" t="s">
        <v>2945</v>
      </c>
      <c r="R43" s="1511" t="s">
        <v>2946</v>
      </c>
      <c r="S43" s="1511" t="s">
        <v>2947</v>
      </c>
      <c r="T43" s="66"/>
      <c r="U43" s="66"/>
      <c r="V43" s="66"/>
      <c r="W43" s="66"/>
      <c r="X43" s="66"/>
      <c r="Y43" s="66"/>
      <c r="Z43" s="66"/>
      <c r="AA43" s="66"/>
      <c r="AB43" s="66"/>
      <c r="AC43" s="66"/>
      <c r="AD43" s="66"/>
      <c r="AE43" s="66"/>
      <c r="AF43" s="66"/>
      <c r="AG43" s="66"/>
      <c r="AH43" s="66"/>
      <c r="AI43" s="66"/>
    </row>
    <row r="44" spans="1:35" s="920" customFormat="1" ht="15.95" hidden="1" customHeight="1" x14ac:dyDescent="0.2">
      <c r="A44" s="913"/>
      <c r="B44" s="914" t="s">
        <v>755</v>
      </c>
      <c r="C44" s="921">
        <f t="shared" si="35"/>
        <v>0</v>
      </c>
      <c r="D44" s="921">
        <v>0</v>
      </c>
      <c r="E44" s="922">
        <v>0</v>
      </c>
      <c r="F44" s="921">
        <v>0</v>
      </c>
      <c r="G44" s="922">
        <v>0</v>
      </c>
      <c r="H44" s="921">
        <v>0</v>
      </c>
      <c r="I44" s="921">
        <v>0</v>
      </c>
      <c r="J44" s="921">
        <v>0</v>
      </c>
      <c r="K44" s="923">
        <f>SUM(E44:J44)</f>
        <v>0</v>
      </c>
      <c r="L44" s="1508">
        <v>0</v>
      </c>
      <c r="M44" s="1508" t="s">
        <v>2948</v>
      </c>
      <c r="N44" s="1511" t="s">
        <v>2949</v>
      </c>
      <c r="O44" s="1511" t="s">
        <v>2950</v>
      </c>
      <c r="P44" s="1521"/>
      <c r="Q44" s="1511" t="s">
        <v>2951</v>
      </c>
      <c r="R44" s="1511" t="s">
        <v>2952</v>
      </c>
      <c r="S44" s="1511" t="s">
        <v>2953</v>
      </c>
      <c r="T44" s="66"/>
      <c r="U44" s="66"/>
      <c r="V44" s="66"/>
      <c r="W44" s="66"/>
      <c r="X44" s="66"/>
      <c r="Y44" s="66"/>
      <c r="Z44" s="66"/>
      <c r="AA44" s="66"/>
      <c r="AB44" s="66"/>
      <c r="AC44" s="66"/>
      <c r="AD44" s="66"/>
      <c r="AE44" s="66"/>
      <c r="AF44" s="66"/>
      <c r="AG44" s="66"/>
      <c r="AH44" s="66"/>
      <c r="AI44" s="66"/>
    </row>
    <row r="45" spans="1:35" s="66" customFormat="1" ht="15.95" customHeight="1" x14ac:dyDescent="0.2">
      <c r="A45" s="415"/>
      <c r="B45" s="877"/>
      <c r="C45" s="876"/>
      <c r="D45" s="876"/>
      <c r="E45" s="934"/>
      <c r="F45" s="876"/>
      <c r="G45" s="934"/>
      <c r="H45" s="1666"/>
      <c r="I45" s="876"/>
      <c r="J45" s="876"/>
      <c r="K45" s="935"/>
      <c r="L45" s="1506"/>
      <c r="M45" s="1506"/>
      <c r="N45" s="1127"/>
      <c r="O45" s="1127"/>
      <c r="P45" s="1520"/>
      <c r="Q45" s="1127"/>
      <c r="R45" s="1127"/>
      <c r="S45" s="1127"/>
    </row>
    <row r="46" spans="1:35" s="66" customFormat="1" ht="15.95" hidden="1" customHeight="1" x14ac:dyDescent="0.2">
      <c r="A46" s="415" t="s">
        <v>759</v>
      </c>
      <c r="B46" s="877"/>
      <c r="C46" s="112">
        <f t="shared" ref="C46:D46" si="36">SUM(C47:C50)</f>
        <v>0</v>
      </c>
      <c r="D46" s="112">
        <f t="shared" si="36"/>
        <v>0</v>
      </c>
      <c r="E46" s="1387">
        <f t="shared" ref="E46:K46" si="37">SUM(E47:E50)</f>
        <v>0</v>
      </c>
      <c r="F46" s="112">
        <f t="shared" si="37"/>
        <v>0</v>
      </c>
      <c r="G46" s="1657">
        <f t="shared" si="37"/>
        <v>0</v>
      </c>
      <c r="H46" s="112">
        <f t="shared" si="37"/>
        <v>0</v>
      </c>
      <c r="I46" s="112">
        <f t="shared" si="37"/>
        <v>0</v>
      </c>
      <c r="J46" s="112">
        <f t="shared" si="37"/>
        <v>0</v>
      </c>
      <c r="K46" s="933">
        <f t="shared" si="37"/>
        <v>0</v>
      </c>
      <c r="L46" s="1506"/>
      <c r="M46" s="1506"/>
      <c r="N46" s="1127"/>
      <c r="O46" s="1127"/>
      <c r="P46" s="1520"/>
      <c r="Q46" s="1127"/>
      <c r="R46" s="1127"/>
      <c r="S46" s="1127"/>
    </row>
    <row r="47" spans="1:35" s="66" customFormat="1" ht="15.95" hidden="1" customHeight="1" x14ac:dyDescent="0.2">
      <c r="A47" s="415" t="s">
        <v>750</v>
      </c>
      <c r="B47" s="877"/>
      <c r="C47" s="925">
        <f t="shared" ref="C47:C49" si="38">E47-D47</f>
        <v>0</v>
      </c>
      <c r="D47" s="925">
        <v>0</v>
      </c>
      <c r="E47" s="936">
        <v>0</v>
      </c>
      <c r="F47" s="924">
        <v>0</v>
      </c>
      <c r="G47" s="924">
        <v>0</v>
      </c>
      <c r="H47" s="925">
        <v>0</v>
      </c>
      <c r="I47" s="924">
        <v>0</v>
      </c>
      <c r="J47" s="924">
        <v>0</v>
      </c>
      <c r="K47" s="931">
        <f>SUM(E47:J47)</f>
        <v>0</v>
      </c>
      <c r="L47" s="1506">
        <v>0</v>
      </c>
      <c r="M47" s="1508" t="s">
        <v>2954</v>
      </c>
      <c r="N47" s="1510" t="s">
        <v>2955</v>
      </c>
      <c r="O47" s="1511" t="s">
        <v>2956</v>
      </c>
      <c r="P47" s="1521"/>
      <c r="Q47" s="1511" t="s">
        <v>2957</v>
      </c>
      <c r="R47" s="1511" t="s">
        <v>2958</v>
      </c>
      <c r="S47" s="1511" t="s">
        <v>2959</v>
      </c>
    </row>
    <row r="48" spans="1:35" s="66" customFormat="1" ht="15.95" hidden="1" customHeight="1" x14ac:dyDescent="0.2">
      <c r="A48" s="415" t="s">
        <v>751</v>
      </c>
      <c r="B48" s="877"/>
      <c r="C48" s="194">
        <f t="shared" si="38"/>
        <v>0</v>
      </c>
      <c r="D48" s="194">
        <v>0</v>
      </c>
      <c r="E48" s="929">
        <v>0</v>
      </c>
      <c r="F48" s="937">
        <v>0</v>
      </c>
      <c r="G48" s="937">
        <v>0</v>
      </c>
      <c r="H48" s="194">
        <v>0</v>
      </c>
      <c r="I48" s="937">
        <v>0</v>
      </c>
      <c r="J48" s="937">
        <v>0</v>
      </c>
      <c r="K48" s="931">
        <f>SUM(E48:J48)</f>
        <v>0</v>
      </c>
      <c r="L48" s="1506">
        <v>0</v>
      </c>
      <c r="M48" s="1508" t="s">
        <v>2960</v>
      </c>
      <c r="N48" s="1510" t="s">
        <v>2961</v>
      </c>
      <c r="O48" s="1511" t="s">
        <v>2962</v>
      </c>
      <c r="P48" s="1521"/>
      <c r="Q48" s="1511" t="s">
        <v>2963</v>
      </c>
      <c r="R48" s="1511" t="s">
        <v>2964</v>
      </c>
      <c r="S48" s="1511" t="s">
        <v>2965</v>
      </c>
      <c r="AC48" s="920"/>
      <c r="AD48" s="920"/>
      <c r="AE48" s="920"/>
      <c r="AF48" s="920"/>
      <c r="AG48" s="920"/>
      <c r="AH48" s="920"/>
      <c r="AI48" s="920"/>
    </row>
    <row r="49" spans="1:35" s="66" customFormat="1" ht="15.95" hidden="1" customHeight="1" x14ac:dyDescent="0.2">
      <c r="A49" s="415" t="s">
        <v>757</v>
      </c>
      <c r="B49" s="877"/>
      <c r="C49" s="194">
        <f t="shared" si="38"/>
        <v>0</v>
      </c>
      <c r="D49" s="194">
        <v>0</v>
      </c>
      <c r="E49" s="929">
        <v>0</v>
      </c>
      <c r="F49" s="937">
        <v>0</v>
      </c>
      <c r="G49" s="937">
        <v>0</v>
      </c>
      <c r="H49" s="194">
        <v>0</v>
      </c>
      <c r="I49" s="937">
        <v>0</v>
      </c>
      <c r="J49" s="937">
        <v>0</v>
      </c>
      <c r="K49" s="931">
        <f>SUM(E49:J49)</f>
        <v>0</v>
      </c>
      <c r="L49" s="1506">
        <v>0</v>
      </c>
      <c r="M49" s="1508" t="s">
        <v>2966</v>
      </c>
      <c r="N49" s="1510" t="s">
        <v>2967</v>
      </c>
      <c r="O49" s="1511" t="s">
        <v>2968</v>
      </c>
      <c r="P49" s="1521"/>
      <c r="Q49" s="1511" t="s">
        <v>2969</v>
      </c>
      <c r="R49" s="1511" t="s">
        <v>2970</v>
      </c>
      <c r="S49" s="1511" t="s">
        <v>2971</v>
      </c>
      <c r="T49" s="920"/>
      <c r="U49" s="920"/>
      <c r="V49" s="920"/>
      <c r="W49" s="920"/>
      <c r="X49" s="920"/>
      <c r="Y49" s="920"/>
      <c r="Z49" s="920"/>
      <c r="AA49" s="920"/>
      <c r="AB49" s="920"/>
      <c r="AC49" s="920"/>
      <c r="AD49" s="920"/>
      <c r="AE49" s="920"/>
      <c r="AF49" s="920"/>
      <c r="AG49" s="920"/>
      <c r="AH49" s="920"/>
      <c r="AI49" s="920"/>
    </row>
    <row r="50" spans="1:35" s="66" customFormat="1" ht="15.95" hidden="1" customHeight="1" x14ac:dyDescent="0.2">
      <c r="A50" s="415" t="s">
        <v>758</v>
      </c>
      <c r="B50" s="877"/>
      <c r="C50" s="194">
        <f t="shared" ref="C50:D50" si="39">SUM(C51:C52)</f>
        <v>0</v>
      </c>
      <c r="D50" s="194">
        <f t="shared" si="39"/>
        <v>0</v>
      </c>
      <c r="E50" s="937">
        <f t="shared" ref="E50:K50" si="40">SUM(E51:E52)</f>
        <v>0</v>
      </c>
      <c r="F50" s="937">
        <f t="shared" si="40"/>
        <v>0</v>
      </c>
      <c r="G50" s="937">
        <f t="shared" si="40"/>
        <v>0</v>
      </c>
      <c r="H50" s="194">
        <f t="shared" si="40"/>
        <v>0</v>
      </c>
      <c r="I50" s="937">
        <f t="shared" si="40"/>
        <v>0</v>
      </c>
      <c r="J50" s="937">
        <f t="shared" si="40"/>
        <v>0</v>
      </c>
      <c r="K50" s="931">
        <f t="shared" si="40"/>
        <v>0</v>
      </c>
      <c r="L50" s="1506">
        <v>0</v>
      </c>
      <c r="M50" s="1508"/>
      <c r="N50" s="1127"/>
      <c r="O50" s="1127"/>
      <c r="P50" s="1520"/>
      <c r="Q50" s="1127"/>
      <c r="R50" s="1127"/>
      <c r="S50" s="1127"/>
      <c r="T50" s="920"/>
      <c r="U50" s="920"/>
      <c r="V50" s="920"/>
      <c r="W50" s="920"/>
      <c r="X50" s="920"/>
      <c r="Y50" s="920"/>
      <c r="Z50" s="920"/>
      <c r="AA50" s="920"/>
      <c r="AB50" s="920"/>
    </row>
    <row r="51" spans="1:35" s="920" customFormat="1" ht="15.95" hidden="1" customHeight="1" x14ac:dyDescent="0.2">
      <c r="A51" s="913"/>
      <c r="B51" s="914" t="s">
        <v>754</v>
      </c>
      <c r="C51" s="916">
        <f t="shared" ref="C51:C52" si="41">E51-D51</f>
        <v>0</v>
      </c>
      <c r="D51" s="916">
        <v>0</v>
      </c>
      <c r="E51" s="1384"/>
      <c r="F51" s="915">
        <v>0</v>
      </c>
      <c r="G51" s="915">
        <v>0</v>
      </c>
      <c r="H51" s="916">
        <v>0</v>
      </c>
      <c r="I51" s="915">
        <v>0</v>
      </c>
      <c r="J51" s="915">
        <v>0</v>
      </c>
      <c r="K51" s="919">
        <f>SUM(E51:J51)</f>
        <v>0</v>
      </c>
      <c r="L51" s="1508">
        <v>0</v>
      </c>
      <c r="M51" s="1508" t="s">
        <v>2972</v>
      </c>
      <c r="N51" s="1510" t="s">
        <v>2973</v>
      </c>
      <c r="O51" s="1511" t="s">
        <v>2974</v>
      </c>
      <c r="P51" s="1521"/>
      <c r="Q51" s="1511" t="s">
        <v>2975</v>
      </c>
      <c r="R51" s="1511" t="s">
        <v>2976</v>
      </c>
      <c r="S51" s="1511" t="s">
        <v>2977</v>
      </c>
      <c r="T51" s="66"/>
      <c r="U51" s="66"/>
      <c r="V51" s="66"/>
      <c r="W51" s="66"/>
      <c r="X51" s="66"/>
      <c r="Y51" s="66"/>
      <c r="Z51" s="66"/>
      <c r="AA51" s="66"/>
      <c r="AB51" s="66"/>
      <c r="AC51" s="66"/>
      <c r="AD51" s="66"/>
      <c r="AE51" s="66"/>
      <c r="AF51" s="66"/>
      <c r="AG51" s="66"/>
      <c r="AH51" s="66"/>
      <c r="AI51" s="66"/>
    </row>
    <row r="52" spans="1:35" s="920" customFormat="1" ht="15.95" hidden="1" customHeight="1" x14ac:dyDescent="0.2">
      <c r="A52" s="913"/>
      <c r="B52" s="914" t="s">
        <v>755</v>
      </c>
      <c r="C52" s="921">
        <f t="shared" si="41"/>
        <v>0</v>
      </c>
      <c r="D52" s="921">
        <v>0</v>
      </c>
      <c r="E52" s="922">
        <v>0</v>
      </c>
      <c r="F52" s="921">
        <v>0</v>
      </c>
      <c r="G52" s="922">
        <v>0</v>
      </c>
      <c r="H52" s="921">
        <v>0</v>
      </c>
      <c r="I52" s="921">
        <v>0</v>
      </c>
      <c r="J52" s="921">
        <v>0</v>
      </c>
      <c r="K52" s="923">
        <f>SUM(E52:J52)</f>
        <v>0</v>
      </c>
      <c r="L52" s="1508">
        <v>0</v>
      </c>
      <c r="M52" s="1508" t="s">
        <v>2978</v>
      </c>
      <c r="N52" s="1511" t="s">
        <v>2979</v>
      </c>
      <c r="O52" s="1511" t="s">
        <v>2980</v>
      </c>
      <c r="P52" s="1521"/>
      <c r="Q52" s="1511" t="s">
        <v>2981</v>
      </c>
      <c r="R52" s="1511" t="s">
        <v>2982</v>
      </c>
      <c r="S52" s="1511" t="s">
        <v>2983</v>
      </c>
      <c r="T52" s="66"/>
      <c r="U52" s="66"/>
      <c r="V52" s="66"/>
      <c r="W52" s="66"/>
      <c r="X52" s="66"/>
      <c r="Y52" s="66"/>
      <c r="Z52" s="66"/>
      <c r="AA52" s="66"/>
      <c r="AB52" s="66"/>
      <c r="AC52" s="66"/>
      <c r="AD52" s="66"/>
      <c r="AE52" s="66"/>
      <c r="AF52" s="66"/>
      <c r="AG52" s="66"/>
      <c r="AH52" s="66"/>
      <c r="AI52" s="66"/>
    </row>
    <row r="53" spans="1:35" s="66" customFormat="1" ht="15.95" hidden="1" customHeight="1" x14ac:dyDescent="0.2">
      <c r="A53" s="415"/>
      <c r="B53" s="877"/>
      <c r="C53" s="876"/>
      <c r="D53" s="876"/>
      <c r="E53" s="934"/>
      <c r="F53" s="876"/>
      <c r="G53" s="934"/>
      <c r="H53" s="1666"/>
      <c r="I53" s="876"/>
      <c r="J53" s="876"/>
      <c r="K53" s="935"/>
      <c r="L53" s="1506"/>
      <c r="M53" s="1506"/>
      <c r="N53" s="1127"/>
      <c r="O53" s="1127"/>
      <c r="P53" s="1520"/>
      <c r="Q53" s="1127"/>
      <c r="R53" s="1127"/>
      <c r="S53" s="1127"/>
    </row>
    <row r="54" spans="1:35" s="66" customFormat="1" ht="15.95" hidden="1" customHeight="1" x14ac:dyDescent="0.2">
      <c r="A54" s="415" t="s">
        <v>760</v>
      </c>
      <c r="B54" s="877"/>
      <c r="C54" s="111">
        <f t="shared" ref="C54:C56" si="42">E54-D54</f>
        <v>0</v>
      </c>
      <c r="D54" s="111">
        <v>0</v>
      </c>
      <c r="E54" s="423">
        <v>0</v>
      </c>
      <c r="F54" s="111">
        <v>0</v>
      </c>
      <c r="G54" s="423">
        <v>0</v>
      </c>
      <c r="H54" s="938">
        <v>0</v>
      </c>
      <c r="I54" s="111">
        <v>0</v>
      </c>
      <c r="J54" s="111">
        <v>0</v>
      </c>
      <c r="K54" s="183">
        <f>SUM(E54:J54)</f>
        <v>0</v>
      </c>
      <c r="L54" s="1506">
        <v>0</v>
      </c>
      <c r="M54" s="1508" t="s">
        <v>2984</v>
      </c>
      <c r="N54" s="1511" t="s">
        <v>2985</v>
      </c>
      <c r="O54" s="1511" t="s">
        <v>2986</v>
      </c>
      <c r="P54" s="1521"/>
      <c r="Q54" s="1511" t="s">
        <v>2987</v>
      </c>
      <c r="R54" s="1511" t="s">
        <v>2988</v>
      </c>
      <c r="S54" s="1511" t="s">
        <v>2989</v>
      </c>
    </row>
    <row r="55" spans="1:35" s="66" customFormat="1" ht="15.95" customHeight="1" x14ac:dyDescent="0.2">
      <c r="A55" s="415" t="s">
        <v>154</v>
      </c>
      <c r="B55" s="877"/>
      <c r="C55" s="111">
        <f t="shared" si="42"/>
        <v>-137213.59</v>
      </c>
      <c r="D55" s="111">
        <v>0</v>
      </c>
      <c r="E55" s="423">
        <v>-137213.59</v>
      </c>
      <c r="F55" s="111">
        <v>0</v>
      </c>
      <c r="G55" s="423">
        <v>0</v>
      </c>
      <c r="H55" s="111">
        <v>-16781</v>
      </c>
      <c r="I55" s="111">
        <v>0</v>
      </c>
      <c r="J55" s="111">
        <v>0</v>
      </c>
      <c r="K55" s="183">
        <f>SUM(E55:J55)</f>
        <v>-153994.59</v>
      </c>
      <c r="L55" s="1506">
        <v>0</v>
      </c>
      <c r="M55" s="1508" t="s">
        <v>2990</v>
      </c>
      <c r="N55" s="1511" t="s">
        <v>2991</v>
      </c>
      <c r="O55" s="1511" t="s">
        <v>2992</v>
      </c>
      <c r="P55" s="1521"/>
      <c r="Q55" s="1511" t="s">
        <v>2993</v>
      </c>
      <c r="R55" s="1511" t="s">
        <v>2994</v>
      </c>
      <c r="S55" s="1511" t="s">
        <v>2995</v>
      </c>
    </row>
    <row r="56" spans="1:35" s="66" customFormat="1" ht="15.95" hidden="1" customHeight="1" x14ac:dyDescent="0.2">
      <c r="A56" s="415" t="s">
        <v>761</v>
      </c>
      <c r="B56" s="877"/>
      <c r="C56" s="111">
        <f t="shared" si="42"/>
        <v>0</v>
      </c>
      <c r="D56" s="111">
        <v>0</v>
      </c>
      <c r="E56" s="423">
        <v>0</v>
      </c>
      <c r="F56" s="111">
        <v>0</v>
      </c>
      <c r="G56" s="423">
        <v>0</v>
      </c>
      <c r="H56" s="938">
        <v>0</v>
      </c>
      <c r="I56" s="938">
        <v>0</v>
      </c>
      <c r="J56" s="938">
        <v>0</v>
      </c>
      <c r="K56" s="183">
        <f>SUM(E56:J56)</f>
        <v>0</v>
      </c>
      <c r="L56" s="1506">
        <v>0</v>
      </c>
      <c r="M56" s="1508" t="s">
        <v>2996</v>
      </c>
      <c r="N56" s="1511" t="s">
        <v>2997</v>
      </c>
      <c r="O56" s="1511" t="s">
        <v>2998</v>
      </c>
      <c r="P56" s="1521"/>
      <c r="Q56" s="1511" t="s">
        <v>2999</v>
      </c>
      <c r="R56" s="1511" t="s">
        <v>3000</v>
      </c>
      <c r="S56" s="1511" t="s">
        <v>3001</v>
      </c>
    </row>
    <row r="57" spans="1:35" s="66" customFormat="1" ht="15.95" hidden="1" customHeight="1" x14ac:dyDescent="0.2">
      <c r="A57" s="415" t="s">
        <v>620</v>
      </c>
      <c r="B57" s="877"/>
      <c r="C57" s="112">
        <f t="shared" ref="C57:D57" si="43">SUM(C58:C61)</f>
        <v>0</v>
      </c>
      <c r="D57" s="112">
        <f t="shared" si="43"/>
        <v>0</v>
      </c>
      <c r="E57" s="1387">
        <f t="shared" ref="E57:K57" si="44">SUM(E58:E61)</f>
        <v>0</v>
      </c>
      <c r="F57" s="112">
        <f t="shared" si="44"/>
        <v>0</v>
      </c>
      <c r="G57" s="1657">
        <f t="shared" si="44"/>
        <v>0</v>
      </c>
      <c r="H57" s="112">
        <f t="shared" si="44"/>
        <v>0</v>
      </c>
      <c r="I57" s="112">
        <f t="shared" si="44"/>
        <v>0</v>
      </c>
      <c r="J57" s="112">
        <f t="shared" si="44"/>
        <v>0</v>
      </c>
      <c r="K57" s="933">
        <f t="shared" si="44"/>
        <v>0</v>
      </c>
      <c r="L57" s="1506"/>
      <c r="M57" s="1506"/>
      <c r="N57" s="1127"/>
      <c r="O57" s="1127"/>
      <c r="P57" s="1520"/>
      <c r="Q57" s="1127"/>
      <c r="R57" s="1127"/>
      <c r="S57" s="1127"/>
    </row>
    <row r="58" spans="1:35" s="66" customFormat="1" ht="15.95" hidden="1" customHeight="1" x14ac:dyDescent="0.2">
      <c r="A58" s="415" t="s">
        <v>750</v>
      </c>
      <c r="B58" s="877"/>
      <c r="C58" s="925">
        <f t="shared" ref="C58:C60" si="45">E58-D58</f>
        <v>0</v>
      </c>
      <c r="D58" s="925">
        <v>0</v>
      </c>
      <c r="E58" s="936">
        <v>0</v>
      </c>
      <c r="F58" s="924">
        <v>0</v>
      </c>
      <c r="G58" s="924">
        <v>0</v>
      </c>
      <c r="H58" s="925">
        <v>0</v>
      </c>
      <c r="I58" s="924">
        <v>0</v>
      </c>
      <c r="J58" s="924">
        <v>0</v>
      </c>
      <c r="K58" s="931">
        <f>SUM(E58:J58)</f>
        <v>0</v>
      </c>
      <c r="L58" s="1506">
        <v>0</v>
      </c>
      <c r="M58" s="1506" t="s">
        <v>3002</v>
      </c>
      <c r="N58" s="1511" t="s">
        <v>3003</v>
      </c>
      <c r="O58" s="1511" t="s">
        <v>3004</v>
      </c>
      <c r="P58" s="1521"/>
      <c r="Q58" s="1511" t="s">
        <v>3005</v>
      </c>
      <c r="R58" s="1511" t="s">
        <v>3006</v>
      </c>
      <c r="S58" s="1511" t="s">
        <v>3007</v>
      </c>
    </row>
    <row r="59" spans="1:35" s="66" customFormat="1" ht="15.95" hidden="1" customHeight="1" x14ac:dyDescent="0.2">
      <c r="A59" s="415" t="s">
        <v>751</v>
      </c>
      <c r="B59" s="877"/>
      <c r="C59" s="194">
        <f t="shared" si="45"/>
        <v>0</v>
      </c>
      <c r="D59" s="194">
        <v>0</v>
      </c>
      <c r="E59" s="929">
        <v>0</v>
      </c>
      <c r="F59" s="937">
        <v>0</v>
      </c>
      <c r="G59" s="937">
        <v>0</v>
      </c>
      <c r="H59" s="194">
        <v>0</v>
      </c>
      <c r="I59" s="937">
        <v>0</v>
      </c>
      <c r="J59" s="937">
        <v>0</v>
      </c>
      <c r="K59" s="931">
        <f>SUM(E59:J59)</f>
        <v>0</v>
      </c>
      <c r="L59" s="1506">
        <v>0</v>
      </c>
      <c r="M59" s="1508" t="s">
        <v>3797</v>
      </c>
      <c r="N59" s="1510" t="s">
        <v>3799</v>
      </c>
      <c r="O59" s="1511" t="s">
        <v>3801</v>
      </c>
      <c r="P59" s="1521"/>
      <c r="Q59" s="1511" t="s">
        <v>3803</v>
      </c>
      <c r="R59" s="1511" t="s">
        <v>3805</v>
      </c>
      <c r="S59" s="1511" t="s">
        <v>3807</v>
      </c>
      <c r="AC59" s="920"/>
      <c r="AD59" s="920"/>
      <c r="AE59" s="920"/>
      <c r="AF59" s="920"/>
      <c r="AG59" s="920"/>
      <c r="AH59" s="920"/>
      <c r="AI59" s="920"/>
    </row>
    <row r="60" spans="1:35" s="66" customFormat="1" ht="15.95" hidden="1" customHeight="1" x14ac:dyDescent="0.2">
      <c r="A60" s="415" t="s">
        <v>757</v>
      </c>
      <c r="B60" s="877"/>
      <c r="C60" s="194">
        <f t="shared" si="45"/>
        <v>0</v>
      </c>
      <c r="D60" s="194">
        <v>0</v>
      </c>
      <c r="E60" s="929">
        <v>0</v>
      </c>
      <c r="F60" s="937">
        <v>0</v>
      </c>
      <c r="G60" s="937">
        <v>0</v>
      </c>
      <c r="H60" s="194">
        <v>0</v>
      </c>
      <c r="I60" s="937">
        <v>0</v>
      </c>
      <c r="J60" s="937">
        <v>0</v>
      </c>
      <c r="K60" s="931">
        <f>SUM(E60:J60)</f>
        <v>0</v>
      </c>
      <c r="L60" s="1506">
        <v>0</v>
      </c>
      <c r="M60" s="1508" t="s">
        <v>3798</v>
      </c>
      <c r="N60" s="1510" t="s">
        <v>3800</v>
      </c>
      <c r="O60" s="1511" t="s">
        <v>3802</v>
      </c>
      <c r="P60" s="1521"/>
      <c r="Q60" s="1511" t="s">
        <v>3804</v>
      </c>
      <c r="R60" s="1511" t="s">
        <v>3806</v>
      </c>
      <c r="S60" s="1511" t="s">
        <v>3808</v>
      </c>
      <c r="T60" s="920"/>
      <c r="U60" s="920"/>
      <c r="V60" s="920"/>
      <c r="W60" s="920"/>
      <c r="X60" s="920"/>
      <c r="Y60" s="920"/>
      <c r="Z60" s="920"/>
      <c r="AA60" s="920"/>
      <c r="AB60" s="920"/>
      <c r="AC60" s="920"/>
      <c r="AD60" s="920"/>
      <c r="AE60" s="920"/>
      <c r="AF60" s="920"/>
      <c r="AG60" s="920"/>
      <c r="AH60" s="920"/>
      <c r="AI60" s="920"/>
    </row>
    <row r="61" spans="1:35" s="66" customFormat="1" ht="15.95" hidden="1" customHeight="1" x14ac:dyDescent="0.2">
      <c r="A61" s="415" t="s">
        <v>758</v>
      </c>
      <c r="B61" s="877"/>
      <c r="C61" s="194">
        <f t="shared" ref="C61:D61" si="46">SUM(C62:C63)</f>
        <v>0</v>
      </c>
      <c r="D61" s="194">
        <f t="shared" si="46"/>
        <v>0</v>
      </c>
      <c r="E61" s="929">
        <f t="shared" ref="E61:K61" si="47">SUM(E62:E63)</f>
        <v>0</v>
      </c>
      <c r="F61" s="937">
        <f t="shared" si="47"/>
        <v>0</v>
      </c>
      <c r="G61" s="937">
        <f t="shared" si="47"/>
        <v>0</v>
      </c>
      <c r="H61" s="194">
        <f t="shared" si="47"/>
        <v>0</v>
      </c>
      <c r="I61" s="937">
        <f t="shared" si="47"/>
        <v>0</v>
      </c>
      <c r="J61" s="937">
        <f t="shared" si="47"/>
        <v>0</v>
      </c>
      <c r="K61" s="931">
        <f t="shared" si="47"/>
        <v>0</v>
      </c>
      <c r="L61" s="1506">
        <v>0</v>
      </c>
      <c r="M61" s="1127"/>
      <c r="N61" s="1127"/>
      <c r="O61" s="1127"/>
      <c r="P61" s="1520"/>
      <c r="Q61" s="1127"/>
      <c r="R61" s="1127"/>
      <c r="S61" s="1127"/>
      <c r="T61" s="920"/>
      <c r="U61" s="920"/>
      <c r="V61" s="920"/>
      <c r="W61" s="920"/>
      <c r="X61" s="920"/>
      <c r="Y61" s="920"/>
      <c r="Z61" s="920"/>
      <c r="AA61" s="920"/>
      <c r="AB61" s="920"/>
    </row>
    <row r="62" spans="1:35" s="920" customFormat="1" ht="15.95" hidden="1" customHeight="1" x14ac:dyDescent="0.2">
      <c r="A62" s="913"/>
      <c r="B62" s="914" t="s">
        <v>754</v>
      </c>
      <c r="C62" s="916">
        <f t="shared" ref="C62:C63" si="48">E62-D62</f>
        <v>0</v>
      </c>
      <c r="D62" s="916">
        <v>0</v>
      </c>
      <c r="E62" s="1384">
        <v>0</v>
      </c>
      <c r="F62" s="915">
        <v>0</v>
      </c>
      <c r="G62" s="915">
        <v>0</v>
      </c>
      <c r="H62" s="916">
        <v>0</v>
      </c>
      <c r="I62" s="915">
        <v>0</v>
      </c>
      <c r="J62" s="915">
        <v>0</v>
      </c>
      <c r="K62" s="919">
        <f>SUM(E62:J62)</f>
        <v>0</v>
      </c>
      <c r="L62" s="1508">
        <v>0</v>
      </c>
      <c r="M62" s="1512" t="s">
        <v>3044</v>
      </c>
      <c r="N62" s="1513" t="s">
        <v>3045</v>
      </c>
      <c r="O62" s="1514" t="s">
        <v>3046</v>
      </c>
      <c r="P62" s="1522"/>
      <c r="Q62" s="1514" t="s">
        <v>3047</v>
      </c>
      <c r="R62" s="1514" t="s">
        <v>3048</v>
      </c>
      <c r="S62" s="1514" t="s">
        <v>3049</v>
      </c>
      <c r="T62" s="66"/>
      <c r="U62" s="66"/>
      <c r="V62" s="66"/>
      <c r="W62" s="66"/>
      <c r="X62" s="66"/>
      <c r="Y62" s="66"/>
      <c r="Z62" s="66"/>
      <c r="AA62" s="66"/>
      <c r="AB62" s="66"/>
      <c r="AC62" s="66"/>
      <c r="AD62" s="66"/>
      <c r="AE62" s="66"/>
      <c r="AF62" s="66"/>
      <c r="AG62" s="66"/>
      <c r="AH62" s="66"/>
      <c r="AI62" s="66"/>
    </row>
    <row r="63" spans="1:35" s="920" customFormat="1" ht="15.95" hidden="1" customHeight="1" x14ac:dyDescent="0.2">
      <c r="A63" s="913"/>
      <c r="B63" s="914" t="s">
        <v>755</v>
      </c>
      <c r="C63" s="921">
        <f t="shared" si="48"/>
        <v>0</v>
      </c>
      <c r="D63" s="921">
        <v>0</v>
      </c>
      <c r="E63" s="922">
        <v>0</v>
      </c>
      <c r="F63" s="921">
        <v>0</v>
      </c>
      <c r="G63" s="922">
        <v>0</v>
      </c>
      <c r="H63" s="921">
        <v>0</v>
      </c>
      <c r="I63" s="921">
        <v>0</v>
      </c>
      <c r="J63" s="921">
        <v>0</v>
      </c>
      <c r="K63" s="923">
        <f>SUM(E63:J63)</f>
        <v>0</v>
      </c>
      <c r="L63" s="1508">
        <v>0</v>
      </c>
      <c r="M63" s="1512" t="s">
        <v>3791</v>
      </c>
      <c r="N63" s="1513" t="s">
        <v>3792</v>
      </c>
      <c r="O63" s="1514" t="s">
        <v>3793</v>
      </c>
      <c r="P63" s="1522"/>
      <c r="Q63" s="1514" t="s">
        <v>3794</v>
      </c>
      <c r="R63" s="1514" t="s">
        <v>3795</v>
      </c>
      <c r="S63" s="1514" t="s">
        <v>3796</v>
      </c>
      <c r="T63" s="66"/>
      <c r="U63" s="66"/>
      <c r="V63" s="66"/>
      <c r="W63" s="66"/>
      <c r="X63" s="66"/>
      <c r="Y63" s="66"/>
      <c r="Z63" s="66"/>
      <c r="AA63" s="66"/>
      <c r="AB63" s="66"/>
      <c r="AC63" s="66"/>
      <c r="AD63" s="66"/>
      <c r="AE63" s="66"/>
      <c r="AF63" s="66"/>
      <c r="AG63" s="66"/>
      <c r="AH63" s="66"/>
      <c r="AI63" s="66"/>
    </row>
    <row r="64" spans="1:35" s="66" customFormat="1" ht="15.95" customHeight="1" x14ac:dyDescent="0.2">
      <c r="A64" s="415"/>
      <c r="B64" s="877"/>
      <c r="C64" s="876"/>
      <c r="D64" s="876"/>
      <c r="E64" s="934"/>
      <c r="F64" s="876"/>
      <c r="G64" s="934"/>
      <c r="H64" s="876"/>
      <c r="I64" s="876"/>
      <c r="J64" s="876"/>
      <c r="K64" s="935"/>
      <c r="L64" s="1506"/>
      <c r="M64" s="1506"/>
      <c r="N64" s="1127"/>
      <c r="O64" s="1127"/>
      <c r="P64" s="1114"/>
      <c r="Q64" s="1127"/>
      <c r="R64" s="1127"/>
      <c r="S64" s="1127"/>
      <c r="AC64" s="920"/>
      <c r="AD64" s="920"/>
      <c r="AE64" s="920"/>
      <c r="AF64" s="920"/>
      <c r="AG64" s="920"/>
      <c r="AH64" s="920"/>
      <c r="AI64" s="920"/>
    </row>
    <row r="65" spans="1:35" s="66" customFormat="1" ht="15.95" customHeight="1" x14ac:dyDescent="0.25">
      <c r="A65" s="407" t="str">
        <f>"Carrying values at "&amp;Parameters!C11</f>
        <v>Carrying values at 30 June 2012</v>
      </c>
      <c r="B65" s="877"/>
      <c r="C65" s="1391">
        <f t="shared" ref="C65:D65" si="49">SUM(C66,C69:C71)</f>
        <v>-68768638.599999994</v>
      </c>
      <c r="D65" s="1391">
        <f t="shared" si="49"/>
        <v>86768999.579999983</v>
      </c>
      <c r="E65" s="1382">
        <f>SUM(E66,E69:E71)</f>
        <v>18000360.979999997</v>
      </c>
      <c r="F65" s="909">
        <f t="shared" ref="F65:K65" si="50">SUM(F66,F69:F71)</f>
        <v>229642092.02999997</v>
      </c>
      <c r="G65" s="909">
        <f t="shared" si="50"/>
        <v>55988663.420000002</v>
      </c>
      <c r="H65" s="1391">
        <f t="shared" si="50"/>
        <v>4081183</v>
      </c>
      <c r="I65" s="909">
        <f t="shared" si="50"/>
        <v>0</v>
      </c>
      <c r="J65" s="909">
        <f t="shared" si="50"/>
        <v>339037</v>
      </c>
      <c r="K65" s="910">
        <f t="shared" si="50"/>
        <v>308051336.42999989</v>
      </c>
      <c r="L65" s="1506">
        <v>0</v>
      </c>
      <c r="M65" s="1506"/>
      <c r="N65" s="1127"/>
      <c r="O65" s="1127"/>
      <c r="P65" s="1114"/>
      <c r="Q65" s="1127"/>
      <c r="R65" s="1127"/>
      <c r="S65" s="1127"/>
      <c r="T65" s="920"/>
      <c r="U65" s="920"/>
      <c r="V65" s="920"/>
      <c r="W65" s="920"/>
      <c r="X65" s="920"/>
      <c r="Y65" s="920"/>
      <c r="Z65" s="920"/>
      <c r="AA65" s="920"/>
      <c r="AB65" s="920"/>
      <c r="AC65" s="920"/>
      <c r="AD65" s="920"/>
      <c r="AE65" s="920"/>
      <c r="AF65" s="920"/>
      <c r="AG65" s="920"/>
      <c r="AH65" s="920"/>
      <c r="AI65" s="920"/>
    </row>
    <row r="66" spans="1:35" s="66" customFormat="1" ht="15.95" customHeight="1" x14ac:dyDescent="0.2">
      <c r="A66" s="415" t="s">
        <v>157</v>
      </c>
      <c r="B66" s="877"/>
      <c r="C66" s="1392">
        <f t="shared" ref="C66:D66" si="51">SUM(C67:C68)</f>
        <v>-51068726.979999989</v>
      </c>
      <c r="D66" s="1392">
        <f t="shared" si="51"/>
        <v>93893479.089999989</v>
      </c>
      <c r="E66" s="1383">
        <f t="shared" ref="E66:K66" si="52">SUM(E67:E68)</f>
        <v>42824752.109999999</v>
      </c>
      <c r="F66" s="911">
        <f t="shared" si="52"/>
        <v>501844672.77999997</v>
      </c>
      <c r="G66" s="911">
        <f t="shared" si="52"/>
        <v>125090596.42</v>
      </c>
      <c r="H66" s="1392">
        <f t="shared" si="52"/>
        <v>6734182</v>
      </c>
      <c r="I66" s="911">
        <f t="shared" si="52"/>
        <v>0</v>
      </c>
      <c r="J66" s="911">
        <f t="shared" si="52"/>
        <v>1291611</v>
      </c>
      <c r="K66" s="912">
        <f t="shared" si="52"/>
        <v>677785814.30999994</v>
      </c>
      <c r="L66" s="1506">
        <v>0</v>
      </c>
      <c r="M66" s="1506"/>
      <c r="N66" s="1509"/>
      <c r="O66" s="1127"/>
      <c r="P66" s="1114"/>
      <c r="Q66" s="1127"/>
      <c r="R66" s="1127"/>
      <c r="S66" s="1127"/>
      <c r="T66" s="920"/>
      <c r="U66" s="920"/>
      <c r="V66" s="920"/>
      <c r="W66" s="920"/>
      <c r="X66" s="920"/>
      <c r="Y66" s="920"/>
      <c r="Z66" s="920"/>
      <c r="AA66" s="920"/>
      <c r="AB66" s="920"/>
    </row>
    <row r="67" spans="1:35" s="920" customFormat="1" ht="15.95" customHeight="1" x14ac:dyDescent="0.2">
      <c r="A67" s="913" t="s">
        <v>747</v>
      </c>
      <c r="B67" s="914"/>
      <c r="C67" s="916">
        <f t="shared" ref="C67:D67" si="53">+C16+C18+C25+C26+C39+C47+C58</f>
        <v>-51030911.979999989</v>
      </c>
      <c r="D67" s="916">
        <f t="shared" si="53"/>
        <v>93855664.089999989</v>
      </c>
      <c r="E67" s="1384">
        <f t="shared" ref="E67:J67" si="54">+E16+E18+E25+E26+E39+E47+E58</f>
        <v>42824752.109999999</v>
      </c>
      <c r="F67" s="915">
        <f t="shared" si="54"/>
        <v>451673665.39999998</v>
      </c>
      <c r="G67" s="915">
        <f t="shared" si="54"/>
        <v>125090596.42</v>
      </c>
      <c r="H67" s="916">
        <f t="shared" si="54"/>
        <v>6734182</v>
      </c>
      <c r="I67" s="915">
        <f t="shared" si="54"/>
        <v>0</v>
      </c>
      <c r="J67" s="918">
        <f t="shared" si="54"/>
        <v>1291611</v>
      </c>
      <c r="K67" s="919">
        <f>SUM(E67:J67)</f>
        <v>627614806.92999995</v>
      </c>
      <c r="L67" s="1508">
        <v>0</v>
      </c>
      <c r="M67" s="1508"/>
      <c r="N67" s="1510"/>
      <c r="O67" s="1511"/>
      <c r="P67" s="1114"/>
      <c r="Q67" s="1511"/>
      <c r="R67" s="1511"/>
      <c r="S67" s="1511"/>
      <c r="T67" s="66"/>
      <c r="U67" s="66"/>
      <c r="V67" s="66"/>
      <c r="W67" s="66"/>
      <c r="X67" s="66"/>
      <c r="Y67" s="66"/>
      <c r="Z67" s="66"/>
      <c r="AA67" s="66"/>
      <c r="AB67" s="66"/>
      <c r="AC67" s="66"/>
      <c r="AD67" s="66"/>
      <c r="AE67" s="66"/>
      <c r="AF67" s="66"/>
      <c r="AG67" s="66"/>
      <c r="AH67" s="66"/>
      <c r="AI67" s="66"/>
    </row>
    <row r="68" spans="1:35" s="920" customFormat="1" ht="15.95" customHeight="1" x14ac:dyDescent="0.2">
      <c r="A68" s="913" t="s">
        <v>748</v>
      </c>
      <c r="B68" s="914"/>
      <c r="C68" s="921">
        <f t="shared" ref="C68:D68" si="55">C17+C27+C56</f>
        <v>-37815</v>
      </c>
      <c r="D68" s="921">
        <f t="shared" si="55"/>
        <v>37815</v>
      </c>
      <c r="E68" s="922">
        <f t="shared" ref="E68:J68" si="56">E17+E27+E56</f>
        <v>0</v>
      </c>
      <c r="F68" s="921">
        <f t="shared" si="56"/>
        <v>50171007.379999995</v>
      </c>
      <c r="G68" s="922">
        <f t="shared" si="56"/>
        <v>0</v>
      </c>
      <c r="H68" s="921">
        <f t="shared" si="56"/>
        <v>0</v>
      </c>
      <c r="I68" s="921">
        <f t="shared" si="56"/>
        <v>0</v>
      </c>
      <c r="J68" s="921">
        <f t="shared" si="56"/>
        <v>0</v>
      </c>
      <c r="K68" s="923">
        <f>SUM(E68:J68)</f>
        <v>50171007.379999995</v>
      </c>
      <c r="L68" s="1508">
        <v>0</v>
      </c>
      <c r="M68" s="1508"/>
      <c r="N68" s="1511"/>
      <c r="O68" s="1511"/>
      <c r="P68" s="1114"/>
      <c r="Q68" s="1511"/>
      <c r="R68" s="1511"/>
      <c r="S68" s="1511"/>
      <c r="T68" s="66"/>
      <c r="U68" s="66"/>
      <c r="V68" s="66"/>
      <c r="W68" s="66"/>
      <c r="X68" s="66"/>
      <c r="Y68" s="66"/>
      <c r="Z68" s="66"/>
      <c r="AA68" s="66"/>
      <c r="AB68" s="66"/>
      <c r="AC68" s="66"/>
      <c r="AD68" s="66"/>
      <c r="AE68" s="66"/>
      <c r="AF68" s="66"/>
      <c r="AG68" s="66"/>
      <c r="AH68" s="66"/>
      <c r="AI68" s="66"/>
    </row>
    <row r="69" spans="1:35" s="66" customFormat="1" ht="15.95" hidden="1" customHeight="1" x14ac:dyDescent="0.2">
      <c r="A69" s="415" t="s">
        <v>39</v>
      </c>
      <c r="B69" s="877"/>
      <c r="C69" s="194">
        <f t="shared" ref="C69:D69" si="57">+C19+C32+C40+C48+C54+C59</f>
        <v>0</v>
      </c>
      <c r="D69" s="194">
        <f t="shared" si="57"/>
        <v>0</v>
      </c>
      <c r="E69" s="1385">
        <f>+E19+E32+E40+E48+E54+E59</f>
        <v>0</v>
      </c>
      <c r="F69" s="194">
        <f t="shared" ref="F69:J69" si="58">+F19+F32+F40+F59</f>
        <v>0</v>
      </c>
      <c r="G69" s="937">
        <f t="shared" si="58"/>
        <v>0</v>
      </c>
      <c r="H69" s="194">
        <f t="shared" si="58"/>
        <v>0</v>
      </c>
      <c r="I69" s="194">
        <f t="shared" si="58"/>
        <v>0</v>
      </c>
      <c r="J69" s="194">
        <f t="shared" si="58"/>
        <v>0</v>
      </c>
      <c r="K69" s="931">
        <f>SUM(E69:J69)</f>
        <v>0</v>
      </c>
      <c r="L69" s="1506">
        <v>0</v>
      </c>
      <c r="M69" s="1506"/>
      <c r="N69" s="1127"/>
      <c r="O69" s="1127"/>
      <c r="P69" s="1114"/>
      <c r="Q69" s="1127"/>
      <c r="R69" s="1127"/>
      <c r="S69" s="1127"/>
      <c r="AC69" s="920"/>
      <c r="AD69" s="920"/>
      <c r="AE69" s="920"/>
      <c r="AF69" s="920"/>
      <c r="AG69" s="920"/>
      <c r="AH69" s="920"/>
      <c r="AI69" s="920"/>
    </row>
    <row r="70" spans="1:35" s="66" customFormat="1" ht="15.95" customHeight="1" x14ac:dyDescent="0.2">
      <c r="A70" s="415" t="s">
        <v>762</v>
      </c>
      <c r="B70" s="877"/>
      <c r="C70" s="194">
        <f t="shared" ref="C70:D70" si="59">+C20+C33+C41+C49+C55+C60</f>
        <v>-137213.59</v>
      </c>
      <c r="D70" s="194">
        <f t="shared" si="59"/>
        <v>0</v>
      </c>
      <c r="E70" s="1385">
        <f>+E20+E33+E41+E49+E55+E60</f>
        <v>-137213.59</v>
      </c>
      <c r="F70" s="194">
        <f t="shared" ref="F70:J70" si="60">+F20+F41+F55+F33+F60</f>
        <v>0</v>
      </c>
      <c r="G70" s="937">
        <f t="shared" si="60"/>
        <v>0</v>
      </c>
      <c r="H70" s="194">
        <f t="shared" si="60"/>
        <v>-16781</v>
      </c>
      <c r="I70" s="194">
        <f t="shared" si="60"/>
        <v>0</v>
      </c>
      <c r="J70" s="194">
        <f t="shared" si="60"/>
        <v>0</v>
      </c>
      <c r="K70" s="931">
        <f>SUM(E70:J70)</f>
        <v>-153994.59</v>
      </c>
      <c r="L70" s="1506">
        <v>0</v>
      </c>
      <c r="M70" s="1506"/>
      <c r="N70" s="1127"/>
      <c r="O70" s="1127"/>
      <c r="P70" s="1114"/>
      <c r="Q70" s="1127"/>
      <c r="R70" s="1127"/>
      <c r="S70" s="1127"/>
      <c r="T70" s="920"/>
      <c r="U70" s="920"/>
      <c r="V70" s="920"/>
      <c r="W70" s="920"/>
      <c r="X70" s="920"/>
      <c r="Y70" s="920"/>
      <c r="Z70" s="920"/>
      <c r="AA70" s="920"/>
      <c r="AB70" s="920"/>
      <c r="AC70" s="920"/>
      <c r="AD70" s="920"/>
      <c r="AE70" s="920"/>
      <c r="AF70" s="920"/>
      <c r="AG70" s="920"/>
      <c r="AH70" s="920"/>
      <c r="AI70" s="920"/>
    </row>
    <row r="71" spans="1:35" s="66" customFormat="1" ht="15.95" customHeight="1" x14ac:dyDescent="0.2">
      <c r="A71" s="415" t="s">
        <v>749</v>
      </c>
      <c r="B71" s="877"/>
      <c r="C71" s="939">
        <f t="shared" ref="C71:D71" si="61">SUM(C72:C73)</f>
        <v>-17562698.030000001</v>
      </c>
      <c r="D71" s="939">
        <f t="shared" si="61"/>
        <v>-7124479.5100000007</v>
      </c>
      <c r="E71" s="1388">
        <f t="shared" ref="E71:I71" si="62">SUM(E72:E73)</f>
        <v>-24687177.539999999</v>
      </c>
      <c r="F71" s="939">
        <f t="shared" si="62"/>
        <v>-272202580.75</v>
      </c>
      <c r="G71" s="1658">
        <f t="shared" si="62"/>
        <v>-69101933</v>
      </c>
      <c r="H71" s="939">
        <f t="shared" si="62"/>
        <v>-2636218</v>
      </c>
      <c r="I71" s="939">
        <f t="shared" si="62"/>
        <v>0</v>
      </c>
      <c r="J71" s="939">
        <f>SUM(J72:J73)</f>
        <v>-952574</v>
      </c>
      <c r="K71" s="931">
        <f>SUM(K72:K73)</f>
        <v>-369580483.29000002</v>
      </c>
      <c r="L71" s="1506">
        <v>0</v>
      </c>
      <c r="M71" s="1506"/>
      <c r="N71" s="1127"/>
      <c r="O71" s="1127"/>
      <c r="P71" s="1114"/>
      <c r="Q71" s="1127"/>
      <c r="R71" s="1127"/>
      <c r="S71" s="1127"/>
      <c r="T71" s="920"/>
      <c r="U71" s="920"/>
      <c r="V71" s="920"/>
      <c r="W71" s="920"/>
      <c r="X71" s="920"/>
      <c r="Y71" s="920"/>
      <c r="Z71" s="920"/>
      <c r="AA71" s="920"/>
      <c r="AB71" s="920"/>
    </row>
    <row r="72" spans="1:35" s="920" customFormat="1" ht="15.95" customHeight="1" thickBot="1" x14ac:dyDescent="0.25">
      <c r="A72" s="913" t="s">
        <v>750</v>
      </c>
      <c r="B72" s="914"/>
      <c r="C72" s="916">
        <f t="shared" ref="C72:D72" si="63">+C22+C35+C43+C51+C62</f>
        <v>-17562698.030000001</v>
      </c>
      <c r="D72" s="916">
        <f t="shared" si="63"/>
        <v>-7124479.5100000007</v>
      </c>
      <c r="E72" s="1384">
        <f t="shared" ref="E72:J73" si="64">+E22+E35+E43+E51+E62</f>
        <v>-24687177.539999999</v>
      </c>
      <c r="F72" s="915">
        <f t="shared" si="64"/>
        <v>-272202580.75</v>
      </c>
      <c r="G72" s="915">
        <f t="shared" si="64"/>
        <v>-69101933</v>
      </c>
      <c r="H72" s="916">
        <f t="shared" si="64"/>
        <v>-2636218</v>
      </c>
      <c r="I72" s="915">
        <f t="shared" si="64"/>
        <v>0</v>
      </c>
      <c r="J72" s="915">
        <f t="shared" si="64"/>
        <v>-952574</v>
      </c>
      <c r="K72" s="919">
        <f>SUM(E72:J72)</f>
        <v>-369580483.29000002</v>
      </c>
      <c r="L72" s="1506">
        <v>0</v>
      </c>
      <c r="M72" s="1506"/>
      <c r="N72" s="1510"/>
      <c r="O72" s="1511"/>
      <c r="P72" s="1114"/>
      <c r="Q72" s="1511"/>
      <c r="R72" s="1511"/>
      <c r="S72" s="1511"/>
      <c r="T72" s="66"/>
      <c r="U72" s="66"/>
      <c r="V72" s="66"/>
      <c r="W72" s="66"/>
      <c r="X72" s="66"/>
      <c r="Y72" s="66"/>
      <c r="Z72" s="66"/>
      <c r="AA72" s="66"/>
      <c r="AB72" s="66"/>
      <c r="AC72" s="66"/>
      <c r="AD72" s="66"/>
      <c r="AE72" s="66"/>
      <c r="AF72" s="66"/>
      <c r="AG72" s="66"/>
      <c r="AH72" s="66"/>
      <c r="AI72" s="66"/>
    </row>
    <row r="73" spans="1:35" s="920" customFormat="1" ht="15.95" hidden="1" customHeight="1" thickBot="1" x14ac:dyDescent="0.25">
      <c r="A73" s="913" t="s">
        <v>751</v>
      </c>
      <c r="B73" s="914"/>
      <c r="C73" s="1393">
        <f t="shared" ref="C73:D73" si="65">+C23+C36+C44+C52+C63</f>
        <v>0</v>
      </c>
      <c r="D73" s="1393">
        <f t="shared" si="65"/>
        <v>0</v>
      </c>
      <c r="E73" s="1389">
        <f t="shared" si="64"/>
        <v>0</v>
      </c>
      <c r="F73" s="940">
        <f t="shared" si="64"/>
        <v>0</v>
      </c>
      <c r="G73" s="1659">
        <f t="shared" si="64"/>
        <v>0</v>
      </c>
      <c r="H73" s="1393">
        <f t="shared" si="64"/>
        <v>0</v>
      </c>
      <c r="I73" s="940">
        <f t="shared" si="64"/>
        <v>0</v>
      </c>
      <c r="J73" s="940">
        <f t="shared" si="64"/>
        <v>0</v>
      </c>
      <c r="K73" s="941">
        <f>SUM(E73:J73)</f>
        <v>0</v>
      </c>
      <c r="L73" s="1506">
        <v>0</v>
      </c>
      <c r="M73" s="1506"/>
      <c r="N73" s="1511"/>
      <c r="O73" s="1511"/>
      <c r="P73" s="1114"/>
      <c r="Q73" s="1511"/>
      <c r="R73" s="1511"/>
      <c r="S73" s="1511"/>
      <c r="T73" s="66"/>
      <c r="U73" s="66"/>
      <c r="V73" s="66"/>
      <c r="W73" s="66"/>
      <c r="X73" s="66"/>
      <c r="Y73" s="66"/>
      <c r="Z73" s="66"/>
      <c r="AA73" s="66"/>
      <c r="AB73" s="66"/>
      <c r="AC73" s="66"/>
      <c r="AD73" s="66"/>
      <c r="AE73" s="66"/>
      <c r="AF73" s="66"/>
      <c r="AG73" s="66"/>
      <c r="AH73" s="66"/>
      <c r="AI73" s="66"/>
    </row>
    <row r="74" spans="1:35" s="188" customFormat="1" ht="15.95" customHeight="1" x14ac:dyDescent="0.2">
      <c r="A74" s="1241"/>
      <c r="B74" s="1241"/>
      <c r="C74" s="1242">
        <f>C65-'APPENDIX B'!AI28</f>
        <v>-68669364.439999998</v>
      </c>
      <c r="D74" s="1242">
        <f>D65-'APPENDIX B'!AJ28</f>
        <v>61944610.605113067</v>
      </c>
      <c r="E74" s="2564">
        <f>E65-'APPENDIX B'!AK28</f>
        <v>-2.1505130901932716</v>
      </c>
      <c r="F74" s="2564">
        <f>F65-'APPENDIX B'!AK114</f>
        <v>2.8399999737739563</v>
      </c>
      <c r="G74" s="2564">
        <f>G65-'APPENDIX B'!AK164</f>
        <v>-9.9999904632568359E-3</v>
      </c>
      <c r="H74" s="2564">
        <f>H65-'APPENDIX B'!AK262</f>
        <v>-693426</v>
      </c>
      <c r="I74" s="2564">
        <f>I65-'APPENDIX B'!AK169</f>
        <v>0</v>
      </c>
      <c r="J74" s="2564">
        <f>J65-'APPENDIX B'!AK174</f>
        <v>339037</v>
      </c>
      <c r="K74" s="2564">
        <f>K65-'APPENDIX B'!AK264</f>
        <v>-354388.32051318884</v>
      </c>
      <c r="L74" s="1515"/>
      <c r="M74" s="1516"/>
      <c r="N74" s="1517"/>
      <c r="O74" s="1517"/>
      <c r="P74" s="1114"/>
      <c r="Q74" s="1517"/>
      <c r="R74" s="1517"/>
      <c r="S74" s="1517"/>
    </row>
    <row r="75" spans="1:35" s="66" customFormat="1" ht="15.95" hidden="1" customHeight="1" x14ac:dyDescent="0.25">
      <c r="A75" s="882">
        <v>7</v>
      </c>
      <c r="B75" s="74" t="s">
        <v>584</v>
      </c>
      <c r="C75" s="74"/>
      <c r="D75" s="74"/>
      <c r="E75" s="74"/>
      <c r="F75" s="68"/>
      <c r="G75" s="135"/>
      <c r="H75" s="438"/>
      <c r="I75" s="68"/>
      <c r="L75" s="1506"/>
      <c r="M75" s="1506"/>
      <c r="N75" s="1127"/>
      <c r="O75" s="1127"/>
      <c r="P75" s="1114" t="s">
        <v>3520</v>
      </c>
      <c r="Q75" s="1127"/>
      <c r="R75" s="1127"/>
      <c r="S75" s="1127"/>
    </row>
    <row r="76" spans="1:35" s="66" customFormat="1" ht="15.95" hidden="1" customHeight="1" x14ac:dyDescent="0.25">
      <c r="A76" s="882"/>
      <c r="B76" s="68"/>
      <c r="C76" s="74"/>
      <c r="D76" s="74"/>
      <c r="E76" s="74"/>
      <c r="F76" s="68"/>
      <c r="G76" s="135"/>
      <c r="H76" s="147"/>
      <c r="I76" s="68"/>
      <c r="L76" s="1506"/>
      <c r="M76" s="1506"/>
      <c r="N76" s="1127"/>
      <c r="O76" s="1127"/>
      <c r="P76" s="1114"/>
      <c r="Q76" s="1127"/>
      <c r="R76" s="1127"/>
      <c r="S76" s="1127"/>
    </row>
    <row r="77" spans="1:35" s="66" customFormat="1" ht="15.95" customHeight="1" x14ac:dyDescent="0.25">
      <c r="A77" s="68"/>
      <c r="B77" s="1162" t="str">
        <f>Parameters!C13</f>
        <v>30 June 2011</v>
      </c>
      <c r="C77" s="423"/>
      <c r="D77" s="423"/>
      <c r="E77" s="423"/>
      <c r="F77" s="423"/>
      <c r="G77" s="421"/>
      <c r="H77" s="944"/>
      <c r="I77" s="932"/>
      <c r="J77" s="932"/>
      <c r="K77" s="423"/>
      <c r="L77" s="1506"/>
      <c r="M77" s="1506"/>
      <c r="N77" s="1127"/>
      <c r="O77" s="1127"/>
      <c r="P77" s="1114"/>
      <c r="Q77" s="1127"/>
      <c r="R77" s="1127"/>
      <c r="S77" s="1127"/>
    </row>
    <row r="78" spans="1:35" s="66" customFormat="1" ht="15.95" customHeight="1" x14ac:dyDescent="0.25">
      <c r="A78" s="68"/>
      <c r="B78" s="74"/>
      <c r="C78" s="423"/>
      <c r="D78" s="423"/>
      <c r="E78" s="423"/>
      <c r="F78" s="423"/>
      <c r="G78" s="421"/>
      <c r="H78" s="944"/>
      <c r="I78" s="932"/>
      <c r="J78" s="932"/>
      <c r="K78" s="423"/>
      <c r="L78" s="1506"/>
      <c r="M78" s="1506"/>
      <c r="N78" s="1127"/>
      <c r="O78" s="1127"/>
      <c r="P78" s="1114"/>
      <c r="Q78" s="1127"/>
      <c r="R78" s="1127"/>
      <c r="S78" s="1127"/>
    </row>
    <row r="79" spans="1:35" s="66" customFormat="1" ht="15.95" customHeight="1" thickBot="1" x14ac:dyDescent="0.3">
      <c r="A79" s="945" t="s">
        <v>606</v>
      </c>
      <c r="B79" s="946"/>
      <c r="C79" s="946"/>
      <c r="D79" s="946"/>
      <c r="E79" s="946"/>
      <c r="F79" s="946"/>
      <c r="G79" s="947"/>
      <c r="H79" s="948"/>
      <c r="I79" s="949"/>
      <c r="J79" s="949"/>
      <c r="K79" s="946"/>
      <c r="L79" s="1506"/>
      <c r="M79" s="1506"/>
      <c r="N79" s="1127"/>
      <c r="O79" s="1127"/>
      <c r="P79" s="1114"/>
      <c r="Q79" s="1127"/>
      <c r="R79" s="1127"/>
      <c r="S79" s="1127"/>
    </row>
    <row r="80" spans="1:35" s="66" customFormat="1" ht="15.95" customHeight="1" x14ac:dyDescent="0.25">
      <c r="A80" s="884"/>
      <c r="B80" s="885"/>
      <c r="C80" s="887"/>
      <c r="D80" s="887"/>
      <c r="E80" s="886" t="s">
        <v>385</v>
      </c>
      <c r="F80" s="887" t="s">
        <v>94</v>
      </c>
      <c r="G80" s="888"/>
      <c r="H80" s="889"/>
      <c r="I80" s="891" t="s">
        <v>202</v>
      </c>
      <c r="J80" s="891" t="s">
        <v>96</v>
      </c>
      <c r="K80" s="892"/>
      <c r="L80" s="1506"/>
      <c r="M80" s="1506"/>
      <c r="N80" s="1127"/>
      <c r="O80" s="1127"/>
      <c r="P80" s="1114"/>
      <c r="Q80" s="1127"/>
      <c r="R80" s="1127"/>
      <c r="S80" s="1127"/>
    </row>
    <row r="81" spans="1:35" s="66" customFormat="1" ht="15.95" customHeight="1" x14ac:dyDescent="0.25">
      <c r="A81" s="2873" t="s">
        <v>7</v>
      </c>
      <c r="B81" s="2874"/>
      <c r="C81" s="1378" t="s">
        <v>385</v>
      </c>
      <c r="D81" s="1378" t="s">
        <v>200</v>
      </c>
      <c r="E81" s="893" t="s">
        <v>6</v>
      </c>
      <c r="F81" s="110"/>
      <c r="G81" s="894" t="s">
        <v>287</v>
      </c>
      <c r="H81" s="1660" t="s">
        <v>237</v>
      </c>
      <c r="I81" s="895" t="s">
        <v>596</v>
      </c>
      <c r="J81" s="895"/>
      <c r="K81" s="597" t="s">
        <v>234</v>
      </c>
      <c r="L81" s="1506"/>
      <c r="M81" s="1506"/>
      <c r="N81" s="1127"/>
      <c r="O81" s="1127"/>
      <c r="P81" s="1114"/>
      <c r="Q81" s="1127"/>
      <c r="R81" s="1127"/>
      <c r="S81" s="1127"/>
    </row>
    <row r="82" spans="1:35" s="66" customFormat="1" ht="15.95" customHeight="1" thickBot="1" x14ac:dyDescent="0.3">
      <c r="A82" s="896"/>
      <c r="B82" s="897"/>
      <c r="C82" s="1390"/>
      <c r="D82" s="1390"/>
      <c r="E82" s="1381" t="s">
        <v>200</v>
      </c>
      <c r="F82" s="899" t="s">
        <v>95</v>
      </c>
      <c r="G82" s="1656"/>
      <c r="H82" s="1661"/>
      <c r="I82" s="900" t="s">
        <v>5</v>
      </c>
      <c r="J82" s="900" t="s">
        <v>1195</v>
      </c>
      <c r="K82" s="901"/>
      <c r="L82" s="1506"/>
      <c r="M82" s="1506"/>
      <c r="N82" s="1127"/>
      <c r="O82" s="1127"/>
      <c r="P82" s="1114"/>
      <c r="Q82" s="1127"/>
      <c r="R82" s="1127"/>
      <c r="S82" s="1127"/>
    </row>
    <row r="83" spans="1:35" s="66" customFormat="1" ht="15.95" customHeight="1" x14ac:dyDescent="0.25">
      <c r="A83" s="902"/>
      <c r="B83" s="903"/>
      <c r="C83" s="904" t="s">
        <v>255</v>
      </c>
      <c r="D83" s="904" t="s">
        <v>255</v>
      </c>
      <c r="E83" s="905" t="s">
        <v>255</v>
      </c>
      <c r="F83" s="904" t="s">
        <v>255</v>
      </c>
      <c r="G83" s="905" t="s">
        <v>255</v>
      </c>
      <c r="H83" s="904" t="s">
        <v>255</v>
      </c>
      <c r="I83" s="904" t="s">
        <v>255</v>
      </c>
      <c r="J83" s="904" t="s">
        <v>255</v>
      </c>
      <c r="K83" s="906" t="s">
        <v>255</v>
      </c>
      <c r="L83" s="1506"/>
      <c r="M83" s="1506"/>
      <c r="N83" s="1127"/>
      <c r="O83" s="1127"/>
      <c r="P83" s="1114"/>
      <c r="Q83" s="1127"/>
      <c r="R83" s="1127"/>
      <c r="S83" s="1127"/>
    </row>
    <row r="84" spans="1:35" s="66" customFormat="1" ht="15.95" customHeight="1" x14ac:dyDescent="0.25">
      <c r="A84" s="907"/>
      <c r="B84" s="880"/>
      <c r="C84" s="186"/>
      <c r="D84" s="186"/>
      <c r="E84" s="199"/>
      <c r="F84" s="186"/>
      <c r="G84" s="209"/>
      <c r="H84" s="1668"/>
      <c r="I84" s="950"/>
      <c r="J84" s="950"/>
      <c r="K84" s="187"/>
      <c r="L84" s="1506"/>
      <c r="M84" s="1506"/>
      <c r="N84" s="1127"/>
      <c r="O84" s="1127"/>
      <c r="P84" s="1114"/>
      <c r="Q84" s="1127"/>
      <c r="R84" s="1127"/>
      <c r="S84" s="1127"/>
      <c r="AC84" s="920"/>
      <c r="AD84" s="920"/>
      <c r="AE84" s="920"/>
      <c r="AF84" s="920"/>
      <c r="AG84" s="920"/>
      <c r="AH84" s="920"/>
      <c r="AI84" s="920"/>
    </row>
    <row r="85" spans="1:35" s="66" customFormat="1" ht="15.95" customHeight="1" x14ac:dyDescent="0.25">
      <c r="A85" s="407" t="str">
        <f>"Carrying values at "&amp;Parameters!C33</f>
        <v>Carrying values at 01 July 2010</v>
      </c>
      <c r="B85" s="877"/>
      <c r="C85" s="1391">
        <f t="shared" ref="C85:D85" si="66">SUM(C86,C89:C92)</f>
        <v>-73668079.059999987</v>
      </c>
      <c r="D85" s="1391">
        <f t="shared" si="66"/>
        <v>87454932.659999996</v>
      </c>
      <c r="E85" s="1382">
        <f t="shared" ref="E85:K85" si="67">SUM(E86,E89:E92)</f>
        <v>13786853.600000001</v>
      </c>
      <c r="F85" s="909">
        <f t="shared" si="67"/>
        <v>216281705.54999998</v>
      </c>
      <c r="G85" s="909">
        <f t="shared" si="67"/>
        <v>63868000.859999999</v>
      </c>
      <c r="H85" s="1391">
        <f t="shared" si="67"/>
        <v>6360676</v>
      </c>
      <c r="I85" s="909">
        <f t="shared" si="67"/>
        <v>0</v>
      </c>
      <c r="J85" s="909">
        <f t="shared" si="67"/>
        <v>993927</v>
      </c>
      <c r="K85" s="910">
        <f t="shared" si="67"/>
        <v>301291163.00999993</v>
      </c>
      <c r="L85" s="1506">
        <v>0</v>
      </c>
      <c r="M85" s="1506"/>
      <c r="N85" s="1127"/>
      <c r="O85" s="1127"/>
      <c r="P85" s="1114"/>
      <c r="Q85" s="1127"/>
      <c r="R85" s="1127"/>
      <c r="S85" s="1127"/>
      <c r="T85" s="920"/>
      <c r="U85" s="920"/>
      <c r="V85" s="920"/>
      <c r="W85" s="920"/>
      <c r="X85" s="920"/>
      <c r="Y85" s="920"/>
      <c r="Z85" s="920"/>
      <c r="AA85" s="920"/>
      <c r="AB85" s="920"/>
      <c r="AC85" s="920"/>
      <c r="AD85" s="920"/>
      <c r="AE85" s="920"/>
      <c r="AF85" s="920"/>
      <c r="AG85" s="920"/>
      <c r="AH85" s="920"/>
      <c r="AI85" s="920"/>
    </row>
    <row r="86" spans="1:35" s="66" customFormat="1" ht="15.95" customHeight="1" x14ac:dyDescent="0.2">
      <c r="A86" s="415" t="s">
        <v>157</v>
      </c>
      <c r="B86" s="877"/>
      <c r="C86" s="1392">
        <f t="shared" ref="C86:D86" si="68">SUM(C87:C88)</f>
        <v>-57267962.679999992</v>
      </c>
      <c r="D86" s="1392">
        <f t="shared" si="68"/>
        <v>93823090.929999992</v>
      </c>
      <c r="E86" s="1383">
        <f t="shared" ref="E86:J86" si="69">SUM(E87:E88)</f>
        <v>36555128.25</v>
      </c>
      <c r="F86" s="911">
        <f t="shared" si="69"/>
        <v>458265494.02999997</v>
      </c>
      <c r="G86" s="911">
        <f t="shared" si="69"/>
        <v>125090596.42</v>
      </c>
      <c r="H86" s="1392">
        <f t="shared" si="69"/>
        <v>7474490</v>
      </c>
      <c r="I86" s="911">
        <f t="shared" si="69"/>
        <v>0</v>
      </c>
      <c r="J86" s="911">
        <f t="shared" si="69"/>
        <v>1291611</v>
      </c>
      <c r="K86" s="912">
        <f t="shared" ref="K86:K91" si="70">SUM(E86:J86)</f>
        <v>628677319.69999993</v>
      </c>
      <c r="L86" s="1508">
        <v>168770562</v>
      </c>
      <c r="M86" s="1506">
        <f>K86-L86</f>
        <v>459906757.69999993</v>
      </c>
      <c r="N86" s="1509"/>
      <c r="O86" s="1127"/>
      <c r="P86" s="1114"/>
      <c r="Q86" s="1127"/>
      <c r="R86" s="1127"/>
      <c r="S86" s="1127"/>
      <c r="T86" s="920"/>
      <c r="U86" s="920"/>
      <c r="V86" s="920"/>
      <c r="W86" s="920"/>
      <c r="X86" s="920"/>
      <c r="Y86" s="920"/>
      <c r="Z86" s="920"/>
      <c r="AA86" s="920"/>
      <c r="AB86" s="920"/>
    </row>
    <row r="87" spans="1:35" s="920" customFormat="1" ht="15.95" customHeight="1" x14ac:dyDescent="0.2">
      <c r="A87" s="913" t="s">
        <v>747</v>
      </c>
      <c r="B87" s="914"/>
      <c r="C87" s="916">
        <f t="shared" ref="C87:C91" si="71">E87-D87</f>
        <v>-57267962.679999992</v>
      </c>
      <c r="D87" s="916">
        <v>93823090.929999992</v>
      </c>
      <c r="E87" s="1384">
        <f>36555128.25</f>
        <v>36555128.25</v>
      </c>
      <c r="F87" s="916">
        <v>445941496.02999997</v>
      </c>
      <c r="G87" s="917">
        <v>125090596.42</v>
      </c>
      <c r="H87" s="2551">
        <v>7474490</v>
      </c>
      <c r="I87" s="918">
        <v>0</v>
      </c>
      <c r="J87" s="918">
        <v>1291611</v>
      </c>
      <c r="K87" s="919">
        <f t="shared" si="70"/>
        <v>616353321.69999993</v>
      </c>
      <c r="L87" s="1508">
        <v>0</v>
      </c>
      <c r="M87" s="1506" t="s">
        <v>3008</v>
      </c>
      <c r="N87" s="1127" t="s">
        <v>3009</v>
      </c>
      <c r="O87" s="1127" t="s">
        <v>3010</v>
      </c>
      <c r="P87" s="1520"/>
      <c r="Q87" s="1127" t="s">
        <v>3011</v>
      </c>
      <c r="R87" s="1127" t="s">
        <v>3012</v>
      </c>
      <c r="S87" s="1127" t="s">
        <v>3013</v>
      </c>
      <c r="T87" s="66"/>
      <c r="U87" s="66"/>
      <c r="V87" s="66"/>
      <c r="W87" s="66"/>
      <c r="X87" s="66"/>
      <c r="Y87" s="66"/>
      <c r="Z87" s="66"/>
      <c r="AA87" s="66"/>
      <c r="AB87" s="66"/>
      <c r="AC87" s="66"/>
      <c r="AD87" s="66"/>
      <c r="AE87" s="66"/>
      <c r="AF87" s="66"/>
      <c r="AG87" s="66"/>
      <c r="AH87" s="66"/>
      <c r="AI87" s="66"/>
    </row>
    <row r="88" spans="1:35" s="920" customFormat="1" ht="15.95" customHeight="1" x14ac:dyDescent="0.2">
      <c r="A88" s="913" t="s">
        <v>748</v>
      </c>
      <c r="B88" s="914"/>
      <c r="C88" s="921">
        <f t="shared" si="71"/>
        <v>0</v>
      </c>
      <c r="D88" s="921">
        <v>0</v>
      </c>
      <c r="E88" s="922">
        <v>0</v>
      </c>
      <c r="F88" s="921">
        <v>12323998</v>
      </c>
      <c r="G88" s="922">
        <v>0</v>
      </c>
      <c r="H88" s="921">
        <v>0</v>
      </c>
      <c r="I88" s="921">
        <v>0</v>
      </c>
      <c r="J88" s="921">
        <v>0</v>
      </c>
      <c r="K88" s="923">
        <f>SUM(E88:J88)</f>
        <v>12323998</v>
      </c>
      <c r="L88" s="1508">
        <v>0</v>
      </c>
      <c r="M88" s="1506" t="s">
        <v>3014</v>
      </c>
      <c r="N88" s="1127" t="s">
        <v>3015</v>
      </c>
      <c r="O88" s="1127" t="s">
        <v>3016</v>
      </c>
      <c r="P88" s="1520"/>
      <c r="Q88" s="1127" t="s">
        <v>3017</v>
      </c>
      <c r="R88" s="1127" t="s">
        <v>3018</v>
      </c>
      <c r="S88" s="1127" t="s">
        <v>3019</v>
      </c>
      <c r="T88" s="66"/>
      <c r="U88" s="66"/>
      <c r="V88" s="66"/>
      <c r="W88" s="66"/>
      <c r="X88" s="66"/>
      <c r="Y88" s="66"/>
      <c r="Z88" s="66"/>
      <c r="AA88" s="66"/>
      <c r="AB88" s="66"/>
      <c r="AC88" s="66"/>
      <c r="AD88" s="66"/>
      <c r="AE88" s="66"/>
      <c r="AF88" s="66"/>
      <c r="AG88" s="66"/>
      <c r="AH88" s="66"/>
      <c r="AI88" s="66"/>
    </row>
    <row r="89" spans="1:35" s="66" customFormat="1" ht="15.95" hidden="1" customHeight="1" x14ac:dyDescent="0.2">
      <c r="A89" s="415" t="s">
        <v>2496</v>
      </c>
      <c r="B89" s="877"/>
      <c r="C89" s="925">
        <f t="shared" si="71"/>
        <v>0</v>
      </c>
      <c r="D89" s="925">
        <v>0</v>
      </c>
      <c r="E89" s="936">
        <v>0</v>
      </c>
      <c r="F89" s="925">
        <v>0</v>
      </c>
      <c r="G89" s="926">
        <v>0</v>
      </c>
      <c r="H89" s="1664">
        <v>0</v>
      </c>
      <c r="I89" s="927">
        <v>0</v>
      </c>
      <c r="J89" s="927">
        <v>0</v>
      </c>
      <c r="K89" s="928">
        <f t="shared" si="70"/>
        <v>0</v>
      </c>
      <c r="L89" s="1506"/>
      <c r="M89" s="1506"/>
      <c r="N89" s="1127"/>
      <c r="O89" s="1127"/>
      <c r="P89" s="1520"/>
      <c r="Q89" s="1127"/>
      <c r="R89" s="1127"/>
      <c r="S89" s="1127"/>
    </row>
    <row r="90" spans="1:35" s="66" customFormat="1" ht="15.95" hidden="1" customHeight="1" x14ac:dyDescent="0.2">
      <c r="A90" s="415" t="s">
        <v>39</v>
      </c>
      <c r="B90" s="877"/>
      <c r="C90" s="194">
        <f t="shared" si="71"/>
        <v>0</v>
      </c>
      <c r="D90" s="194">
        <v>0</v>
      </c>
      <c r="E90" s="929">
        <v>0</v>
      </c>
      <c r="F90" s="194">
        <v>0</v>
      </c>
      <c r="G90" s="143">
        <v>0</v>
      </c>
      <c r="H90" s="1665">
        <v>0</v>
      </c>
      <c r="I90" s="930">
        <v>0</v>
      </c>
      <c r="J90" s="930">
        <v>0</v>
      </c>
      <c r="K90" s="931">
        <f t="shared" si="70"/>
        <v>0</v>
      </c>
      <c r="L90" s="1506">
        <v>0</v>
      </c>
      <c r="M90" s="1506" t="s">
        <v>3020</v>
      </c>
      <c r="N90" s="1127" t="s">
        <v>3021</v>
      </c>
      <c r="O90" s="1127" t="s">
        <v>3022</v>
      </c>
      <c r="P90" s="1520"/>
      <c r="Q90" s="1127" t="s">
        <v>3023</v>
      </c>
      <c r="R90" s="1127" t="s">
        <v>3024</v>
      </c>
      <c r="S90" s="1127" t="s">
        <v>3025</v>
      </c>
      <c r="AC90" s="920"/>
      <c r="AD90" s="920"/>
      <c r="AE90" s="920"/>
      <c r="AF90" s="920"/>
      <c r="AG90" s="920"/>
      <c r="AH90" s="920"/>
      <c r="AI90" s="920"/>
    </row>
    <row r="91" spans="1:35" s="66" customFormat="1" ht="15.95" hidden="1" customHeight="1" x14ac:dyDescent="0.2">
      <c r="A91" s="415" t="s">
        <v>762</v>
      </c>
      <c r="B91" s="877"/>
      <c r="C91" s="194">
        <f t="shared" si="71"/>
        <v>0</v>
      </c>
      <c r="D91" s="194">
        <v>0</v>
      </c>
      <c r="E91" s="929">
        <v>0</v>
      </c>
      <c r="F91" s="194">
        <v>0</v>
      </c>
      <c r="G91" s="143">
        <v>0</v>
      </c>
      <c r="H91" s="1665">
        <v>0</v>
      </c>
      <c r="I91" s="930">
        <v>0</v>
      </c>
      <c r="J91" s="930">
        <v>0</v>
      </c>
      <c r="K91" s="931">
        <f t="shared" si="70"/>
        <v>0</v>
      </c>
      <c r="L91" s="1506">
        <v>0</v>
      </c>
      <c r="M91" s="1506" t="s">
        <v>3026</v>
      </c>
      <c r="N91" s="1127" t="s">
        <v>3027</v>
      </c>
      <c r="O91" s="1127" t="s">
        <v>3028</v>
      </c>
      <c r="P91" s="1520"/>
      <c r="Q91" s="1127" t="s">
        <v>3029</v>
      </c>
      <c r="R91" s="1127" t="s">
        <v>3030</v>
      </c>
      <c r="S91" s="1127" t="s">
        <v>3031</v>
      </c>
      <c r="T91" s="920"/>
      <c r="U91" s="920"/>
      <c r="V91" s="920"/>
      <c r="W91" s="920"/>
      <c r="X91" s="920"/>
      <c r="Y91" s="920"/>
      <c r="Z91" s="920"/>
      <c r="AA91" s="920"/>
      <c r="AB91" s="920"/>
      <c r="AC91" s="920"/>
      <c r="AD91" s="920"/>
      <c r="AE91" s="920"/>
      <c r="AF91" s="920"/>
      <c r="AG91" s="920"/>
      <c r="AH91" s="920"/>
      <c r="AI91" s="920"/>
    </row>
    <row r="92" spans="1:35" s="66" customFormat="1" ht="15.95" customHeight="1" x14ac:dyDescent="0.2">
      <c r="A92" s="415" t="s">
        <v>749</v>
      </c>
      <c r="B92" s="877"/>
      <c r="C92" s="194">
        <f t="shared" ref="C92:D92" si="72">SUM(C93:C94)</f>
        <v>-16400116.379999999</v>
      </c>
      <c r="D92" s="194">
        <f t="shared" si="72"/>
        <v>-6368158.2700000005</v>
      </c>
      <c r="E92" s="1385">
        <f t="shared" ref="E92:K92" si="73">SUM(E93:E94)</f>
        <v>-22768274.649999999</v>
      </c>
      <c r="F92" s="194">
        <f t="shared" si="73"/>
        <v>-241983788.47999999</v>
      </c>
      <c r="G92" s="937">
        <f t="shared" si="73"/>
        <v>-61222595.560000002</v>
      </c>
      <c r="H92" s="194">
        <f t="shared" si="73"/>
        <v>-1113814</v>
      </c>
      <c r="I92" s="194">
        <f t="shared" si="73"/>
        <v>0</v>
      </c>
      <c r="J92" s="194">
        <f t="shared" si="73"/>
        <v>-297684</v>
      </c>
      <c r="K92" s="931">
        <f t="shared" si="73"/>
        <v>-327386156.69</v>
      </c>
      <c r="L92" s="1508">
        <v>0</v>
      </c>
      <c r="M92" s="1506"/>
      <c r="N92" s="1127"/>
      <c r="O92" s="1127"/>
      <c r="P92" s="1520"/>
      <c r="Q92" s="1127"/>
      <c r="R92" s="1127"/>
      <c r="S92" s="1127"/>
      <c r="T92" s="920"/>
      <c r="U92" s="920"/>
      <c r="V92" s="920"/>
      <c r="W92" s="920"/>
      <c r="X92" s="920"/>
      <c r="Y92" s="920"/>
      <c r="Z92" s="920"/>
      <c r="AA92" s="920"/>
      <c r="AB92" s="920"/>
    </row>
    <row r="93" spans="1:35" s="920" customFormat="1" ht="15.95" customHeight="1" x14ac:dyDescent="0.2">
      <c r="A93" s="913" t="s">
        <v>750</v>
      </c>
      <c r="B93" s="914"/>
      <c r="C93" s="916">
        <f t="shared" ref="C93:C94" si="74">E93-D93</f>
        <v>-16400116.379999999</v>
      </c>
      <c r="D93" s="916">
        <v>-6368158.2700000005</v>
      </c>
      <c r="E93" s="1384">
        <f>-22768274.65</f>
        <v>-22768274.649999999</v>
      </c>
      <c r="F93" s="916">
        <v>-241983788.47999999</v>
      </c>
      <c r="G93" s="917">
        <v>-61222595.560000002</v>
      </c>
      <c r="H93" s="1663">
        <v>-1113814</v>
      </c>
      <c r="I93" s="918">
        <v>0</v>
      </c>
      <c r="J93" s="918">
        <v>-297684</v>
      </c>
      <c r="K93" s="919">
        <f>SUM(E93:J93)</f>
        <v>-327386156.69</v>
      </c>
      <c r="L93" s="1508">
        <v>0</v>
      </c>
      <c r="M93" s="1506" t="s">
        <v>3032</v>
      </c>
      <c r="N93" s="1127" t="s">
        <v>3033</v>
      </c>
      <c r="O93" s="1127" t="s">
        <v>3034</v>
      </c>
      <c r="P93" s="1520"/>
      <c r="Q93" s="1127" t="s">
        <v>3035</v>
      </c>
      <c r="R93" s="1127" t="s">
        <v>3036</v>
      </c>
      <c r="S93" s="1127" t="s">
        <v>3037</v>
      </c>
      <c r="T93" s="66"/>
      <c r="U93" s="66"/>
      <c r="V93" s="66"/>
      <c r="W93" s="66"/>
      <c r="X93" s="66"/>
      <c r="Y93" s="66"/>
      <c r="Z93" s="66"/>
      <c r="AA93" s="66"/>
      <c r="AB93" s="66"/>
      <c r="AC93" s="66"/>
      <c r="AD93" s="66"/>
      <c r="AE93" s="66"/>
      <c r="AF93" s="66"/>
      <c r="AG93" s="66"/>
      <c r="AH93" s="66"/>
      <c r="AI93" s="66"/>
    </row>
    <row r="94" spans="1:35" s="920" customFormat="1" ht="15.95" hidden="1" customHeight="1" x14ac:dyDescent="0.2">
      <c r="A94" s="913" t="s">
        <v>751</v>
      </c>
      <c r="B94" s="914"/>
      <c r="C94" s="921">
        <f t="shared" si="74"/>
        <v>0</v>
      </c>
      <c r="D94" s="921">
        <v>0</v>
      </c>
      <c r="E94" s="922">
        <v>0</v>
      </c>
      <c r="F94" s="921">
        <v>0</v>
      </c>
      <c r="G94" s="922">
        <v>0</v>
      </c>
      <c r="H94" s="921">
        <v>0</v>
      </c>
      <c r="I94" s="921">
        <v>0</v>
      </c>
      <c r="J94" s="921">
        <v>0</v>
      </c>
      <c r="K94" s="923">
        <f>SUM(E94:J94)</f>
        <v>0</v>
      </c>
      <c r="L94" s="1508">
        <v>0</v>
      </c>
      <c r="M94" s="1506" t="s">
        <v>3038</v>
      </c>
      <c r="N94" s="1127" t="s">
        <v>3039</v>
      </c>
      <c r="O94" s="1127" t="s">
        <v>3040</v>
      </c>
      <c r="P94" s="1520"/>
      <c r="Q94" s="1127" t="s">
        <v>3041</v>
      </c>
      <c r="R94" s="1127" t="s">
        <v>3042</v>
      </c>
      <c r="S94" s="1127" t="s">
        <v>3043</v>
      </c>
      <c r="T94" s="66"/>
      <c r="U94" s="66"/>
      <c r="V94" s="66"/>
      <c r="W94" s="66"/>
      <c r="X94" s="66"/>
      <c r="Y94" s="66"/>
      <c r="Z94" s="66"/>
      <c r="AA94" s="66"/>
      <c r="AB94" s="66"/>
      <c r="AC94" s="66"/>
      <c r="AD94" s="66"/>
      <c r="AE94" s="66"/>
      <c r="AF94" s="66"/>
      <c r="AG94" s="66"/>
      <c r="AH94" s="66"/>
      <c r="AI94" s="66"/>
    </row>
    <row r="95" spans="1:35" s="66" customFormat="1" ht="15.95" customHeight="1" x14ac:dyDescent="0.2">
      <c r="A95" s="415"/>
      <c r="B95" s="877"/>
      <c r="C95" s="876"/>
      <c r="D95" s="876"/>
      <c r="E95" s="934"/>
      <c r="F95" s="876"/>
      <c r="G95" s="934"/>
      <c r="H95" s="1666"/>
      <c r="I95" s="876"/>
      <c r="J95" s="876"/>
      <c r="K95" s="935"/>
      <c r="L95" s="1506"/>
      <c r="M95" s="1508"/>
      <c r="N95" s="1511"/>
      <c r="O95" s="1511"/>
      <c r="P95" s="1521"/>
      <c r="Q95" s="1511"/>
      <c r="R95" s="1511"/>
      <c r="S95" s="1511"/>
    </row>
    <row r="96" spans="1:35" s="66" customFormat="1" ht="15.95" customHeight="1" x14ac:dyDescent="0.2">
      <c r="A96" s="415" t="s">
        <v>97</v>
      </c>
      <c r="B96" s="877"/>
      <c r="C96" s="111">
        <f t="shared" ref="C96:C97" si="75">E96-D96</f>
        <v>6467426.8399999999</v>
      </c>
      <c r="D96" s="111">
        <v>32573.16</v>
      </c>
      <c r="E96" s="423">
        <v>6500000</v>
      </c>
      <c r="F96" s="111">
        <v>5732169.3700000001</v>
      </c>
      <c r="G96" s="423">
        <v>0</v>
      </c>
      <c r="H96" s="111">
        <v>0</v>
      </c>
      <c r="I96" s="111">
        <v>0</v>
      </c>
      <c r="J96" s="111">
        <v>0</v>
      </c>
      <c r="K96" s="183">
        <f>SUM(E96:J96)</f>
        <v>12232169.370000001</v>
      </c>
      <c r="L96" s="1506">
        <v>0</v>
      </c>
      <c r="M96" s="1506" t="s">
        <v>2882</v>
      </c>
      <c r="N96" s="1127" t="s">
        <v>2883</v>
      </c>
      <c r="O96" s="1127" t="s">
        <v>2884</v>
      </c>
      <c r="P96" s="1520"/>
      <c r="Q96" s="1127" t="s">
        <v>2885</v>
      </c>
      <c r="R96" s="1127" t="s">
        <v>2886</v>
      </c>
      <c r="S96" s="1127" t="s">
        <v>2887</v>
      </c>
    </row>
    <row r="97" spans="1:35" s="66" customFormat="1" ht="15.95" hidden="1" customHeight="1" x14ac:dyDescent="0.2">
      <c r="A97" s="415" t="s">
        <v>1497</v>
      </c>
      <c r="B97" s="877"/>
      <c r="C97" s="111">
        <f t="shared" si="75"/>
        <v>0</v>
      </c>
      <c r="D97" s="111">
        <v>0</v>
      </c>
      <c r="E97" s="423">
        <v>0</v>
      </c>
      <c r="F97" s="111">
        <v>0</v>
      </c>
      <c r="G97" s="423">
        <v>0</v>
      </c>
      <c r="H97" s="111">
        <v>0</v>
      </c>
      <c r="I97" s="111">
        <v>0</v>
      </c>
      <c r="J97" s="111">
        <v>0</v>
      </c>
      <c r="K97" s="183">
        <f>SUM(E97:J97)</f>
        <v>0</v>
      </c>
      <c r="L97" s="1506">
        <v>0</v>
      </c>
      <c r="M97" s="1506" t="s">
        <v>2888</v>
      </c>
      <c r="N97" s="1127" t="s">
        <v>2889</v>
      </c>
      <c r="O97" s="1127" t="s">
        <v>2890</v>
      </c>
      <c r="P97" s="1520"/>
      <c r="Q97" s="1127" t="s">
        <v>2891</v>
      </c>
      <c r="R97" s="1127" t="s">
        <v>2892</v>
      </c>
      <c r="S97" s="1127" t="s">
        <v>2893</v>
      </c>
    </row>
    <row r="98" spans="1:35" s="66" customFormat="1" ht="15.95" customHeight="1" x14ac:dyDescent="0.2">
      <c r="A98" s="415" t="s">
        <v>1634</v>
      </c>
      <c r="B98" s="877"/>
      <c r="C98" s="111">
        <f t="shared" ref="C98:D98" si="76">C99+C102</f>
        <v>-37815</v>
      </c>
      <c r="D98" s="111">
        <f t="shared" si="76"/>
        <v>37815</v>
      </c>
      <c r="E98" s="423">
        <f t="shared" ref="E98:K98" si="77">E99+E102</f>
        <v>0</v>
      </c>
      <c r="F98" s="111">
        <f t="shared" si="77"/>
        <v>17748057.699999999</v>
      </c>
      <c r="G98" s="423">
        <f t="shared" si="77"/>
        <v>0</v>
      </c>
      <c r="H98" s="111">
        <f t="shared" si="77"/>
        <v>0</v>
      </c>
      <c r="I98" s="111">
        <f t="shared" si="77"/>
        <v>0</v>
      </c>
      <c r="J98" s="111">
        <f t="shared" si="77"/>
        <v>0</v>
      </c>
      <c r="K98" s="183">
        <f t="shared" si="77"/>
        <v>17748057.699999999</v>
      </c>
      <c r="L98" s="1506"/>
      <c r="M98" s="1506"/>
      <c r="N98" s="1127"/>
      <c r="O98" s="1127"/>
      <c r="P98" s="1520"/>
      <c r="Q98" s="1127"/>
      <c r="R98" s="1127"/>
      <c r="S98" s="1127"/>
    </row>
    <row r="99" spans="1:35" s="66" customFormat="1" ht="15.95" customHeight="1" x14ac:dyDescent="0.2">
      <c r="A99" s="913" t="s">
        <v>750</v>
      </c>
      <c r="B99" s="914"/>
      <c r="C99" s="916">
        <f t="shared" ref="C99:D99" si="78">C100+C101</f>
        <v>-37815</v>
      </c>
      <c r="D99" s="916">
        <f t="shared" si="78"/>
        <v>37815</v>
      </c>
      <c r="E99" s="1384">
        <f t="shared" ref="E99:J99" si="79">E100+E101</f>
        <v>0</v>
      </c>
      <c r="F99" s="915">
        <f t="shared" si="79"/>
        <v>17748057.699999999</v>
      </c>
      <c r="G99" s="915">
        <f t="shared" si="79"/>
        <v>0</v>
      </c>
      <c r="H99" s="916">
        <f t="shared" si="79"/>
        <v>0</v>
      </c>
      <c r="I99" s="915">
        <f t="shared" si="79"/>
        <v>0</v>
      </c>
      <c r="J99" s="915">
        <f t="shared" si="79"/>
        <v>0</v>
      </c>
      <c r="K99" s="919">
        <f t="shared" ref="K99:K107" si="80">SUM(E99:J99)</f>
        <v>17748057.699999999</v>
      </c>
      <c r="L99" s="1506">
        <v>0</v>
      </c>
      <c r="M99" s="1127"/>
      <c r="N99" s="1127"/>
      <c r="O99" s="1127"/>
      <c r="P99" s="1520"/>
      <c r="Q99" s="1127"/>
      <c r="R99" s="1127"/>
      <c r="S99" s="1127"/>
    </row>
    <row r="100" spans="1:35" s="1140" customFormat="1" ht="15.95" customHeight="1" x14ac:dyDescent="0.2">
      <c r="A100" s="1235"/>
      <c r="B100" s="1236" t="s">
        <v>683</v>
      </c>
      <c r="C100" s="1237">
        <f t="shared" ref="C100:C104" si="81">E100-D100</f>
        <v>-37815</v>
      </c>
      <c r="D100" s="1237">
        <v>37815</v>
      </c>
      <c r="E100" s="1386">
        <v>0</v>
      </c>
      <c r="F100" s="1237">
        <f>15057353+3023830.9+574298.7</f>
        <v>18655482.599999998</v>
      </c>
      <c r="G100" s="1238">
        <v>0</v>
      </c>
      <c r="H100" s="1667">
        <v>0</v>
      </c>
      <c r="I100" s="1239">
        <v>0</v>
      </c>
      <c r="J100" s="1239">
        <v>0</v>
      </c>
      <c r="K100" s="1240">
        <f t="shared" si="80"/>
        <v>18655482.599999998</v>
      </c>
      <c r="L100" s="1518"/>
      <c r="M100" s="1508" t="s">
        <v>2894</v>
      </c>
      <c r="N100" s="1510" t="s">
        <v>2895</v>
      </c>
      <c r="O100" s="1511" t="s">
        <v>2896</v>
      </c>
      <c r="P100" s="1521"/>
      <c r="Q100" s="1511" t="s">
        <v>2897</v>
      </c>
      <c r="R100" s="1511" t="s">
        <v>2898</v>
      </c>
      <c r="S100" s="1511" t="s">
        <v>2899</v>
      </c>
      <c r="T100" s="66"/>
      <c r="U100" s="66"/>
      <c r="V100" s="66"/>
      <c r="W100" s="66"/>
      <c r="X100" s="66"/>
      <c r="Y100" s="66"/>
      <c r="Z100" s="66"/>
      <c r="AA100" s="66"/>
      <c r="AB100" s="66"/>
      <c r="AC100" s="66"/>
      <c r="AD100" s="66"/>
      <c r="AE100" s="66"/>
      <c r="AF100" s="66"/>
    </row>
    <row r="101" spans="1:35" s="1140" customFormat="1" ht="15.95" customHeight="1" x14ac:dyDescent="0.2">
      <c r="A101" s="1235"/>
      <c r="B101" s="1236" t="s">
        <v>3570</v>
      </c>
      <c r="C101" s="1237">
        <f t="shared" si="81"/>
        <v>0</v>
      </c>
      <c r="D101" s="1237">
        <v>0</v>
      </c>
      <c r="E101" s="1386">
        <v>0</v>
      </c>
      <c r="F101" s="1237">
        <v>-907424.9</v>
      </c>
      <c r="G101" s="1238">
        <v>0</v>
      </c>
      <c r="H101" s="1667">
        <v>0</v>
      </c>
      <c r="I101" s="1239">
        <v>0</v>
      </c>
      <c r="J101" s="1239">
        <v>0</v>
      </c>
      <c r="K101" s="1240">
        <f t="shared" si="80"/>
        <v>-907424.9</v>
      </c>
      <c r="L101" s="1518"/>
      <c r="M101" s="1508" t="s">
        <v>2900</v>
      </c>
      <c r="N101" s="1510" t="s">
        <v>2901</v>
      </c>
      <c r="O101" s="1511" t="s">
        <v>2902</v>
      </c>
      <c r="P101" s="1521"/>
      <c r="Q101" s="1511" t="s">
        <v>2903</v>
      </c>
      <c r="R101" s="1511" t="s">
        <v>2904</v>
      </c>
      <c r="S101" s="1511" t="s">
        <v>2905</v>
      </c>
      <c r="T101" s="66"/>
      <c r="U101" s="66"/>
      <c r="V101" s="66"/>
      <c r="W101" s="66"/>
      <c r="X101" s="66"/>
      <c r="Y101" s="66"/>
      <c r="Z101" s="66"/>
      <c r="AA101" s="66"/>
      <c r="AB101" s="66"/>
      <c r="AC101" s="920"/>
      <c r="AD101" s="920"/>
      <c r="AE101" s="920"/>
      <c r="AF101" s="920"/>
    </row>
    <row r="102" spans="1:35" s="66" customFormat="1" ht="15.95" hidden="1" customHeight="1" x14ac:dyDescent="0.2">
      <c r="A102" s="913" t="s">
        <v>1498</v>
      </c>
      <c r="B102" s="914"/>
      <c r="C102" s="921">
        <f t="shared" si="81"/>
        <v>0</v>
      </c>
      <c r="D102" s="921">
        <v>0</v>
      </c>
      <c r="E102" s="922">
        <v>0</v>
      </c>
      <c r="F102" s="921">
        <v>0</v>
      </c>
      <c r="G102" s="922">
        <v>0</v>
      </c>
      <c r="H102" s="921">
        <v>0</v>
      </c>
      <c r="I102" s="921">
        <v>0</v>
      </c>
      <c r="J102" s="921">
        <v>0</v>
      </c>
      <c r="K102" s="923">
        <f t="shared" si="80"/>
        <v>0</v>
      </c>
      <c r="L102" s="1506">
        <v>0</v>
      </c>
      <c r="M102" s="1508" t="s">
        <v>2906</v>
      </c>
      <c r="N102" s="1511" t="s">
        <v>2907</v>
      </c>
      <c r="O102" s="1511" t="s">
        <v>2908</v>
      </c>
      <c r="P102" s="1521"/>
      <c r="Q102" s="1511" t="s">
        <v>2909</v>
      </c>
      <c r="R102" s="1511" t="s">
        <v>2910</v>
      </c>
      <c r="S102" s="1511" t="s">
        <v>2911</v>
      </c>
      <c r="T102" s="920"/>
      <c r="U102" s="920"/>
      <c r="V102" s="920"/>
      <c r="W102" s="920"/>
      <c r="X102" s="920"/>
      <c r="Y102" s="920"/>
      <c r="Z102" s="920"/>
      <c r="AA102" s="920"/>
      <c r="AB102" s="920"/>
      <c r="AC102" s="920"/>
      <c r="AD102" s="920"/>
      <c r="AE102" s="920"/>
      <c r="AF102" s="920"/>
    </row>
    <row r="103" spans="1:35" s="66" customFormat="1" ht="15.95" hidden="1" customHeight="1" x14ac:dyDescent="0.2">
      <c r="A103" s="415" t="s">
        <v>752</v>
      </c>
      <c r="B103" s="877"/>
      <c r="C103" s="111">
        <f t="shared" si="81"/>
        <v>0</v>
      </c>
      <c r="D103" s="111">
        <v>0</v>
      </c>
      <c r="E103" s="423">
        <v>0</v>
      </c>
      <c r="F103" s="111">
        <v>0</v>
      </c>
      <c r="G103" s="423">
        <v>0</v>
      </c>
      <c r="H103" s="938">
        <v>0</v>
      </c>
      <c r="I103" s="111">
        <v>0</v>
      </c>
      <c r="J103" s="111">
        <v>0</v>
      </c>
      <c r="K103" s="183">
        <f t="shared" si="80"/>
        <v>0</v>
      </c>
      <c r="L103" s="1506">
        <v>0</v>
      </c>
      <c r="M103" s="1506"/>
      <c r="N103" s="1127"/>
      <c r="O103" s="1127"/>
      <c r="P103" s="1520"/>
      <c r="Q103" s="1127"/>
      <c r="R103" s="1127"/>
      <c r="S103" s="1127"/>
      <c r="T103" s="920"/>
      <c r="U103" s="920"/>
      <c r="V103" s="920"/>
      <c r="W103" s="920"/>
      <c r="X103" s="920"/>
      <c r="Y103" s="920"/>
      <c r="Z103" s="920"/>
      <c r="AA103" s="920"/>
      <c r="AB103" s="920"/>
      <c r="AG103" s="920"/>
      <c r="AH103" s="920"/>
      <c r="AI103" s="920"/>
    </row>
    <row r="104" spans="1:35" s="66" customFormat="1" ht="15.95" hidden="1" customHeight="1" x14ac:dyDescent="0.2">
      <c r="A104" s="415" t="s">
        <v>753</v>
      </c>
      <c r="B104" s="877"/>
      <c r="C104" s="111">
        <f t="shared" si="81"/>
        <v>0</v>
      </c>
      <c r="D104" s="111">
        <v>0</v>
      </c>
      <c r="E104" s="423">
        <v>0</v>
      </c>
      <c r="F104" s="111">
        <v>0</v>
      </c>
      <c r="G104" s="423">
        <v>0</v>
      </c>
      <c r="H104" s="938">
        <v>0</v>
      </c>
      <c r="I104" s="111">
        <v>0</v>
      </c>
      <c r="J104" s="111">
        <v>0</v>
      </c>
      <c r="K104" s="183">
        <f t="shared" si="80"/>
        <v>0</v>
      </c>
      <c r="L104" s="1506">
        <v>0</v>
      </c>
      <c r="M104" s="1506"/>
      <c r="N104" s="1127"/>
      <c r="O104" s="1127"/>
      <c r="P104" s="1520"/>
      <c r="Q104" s="1127"/>
      <c r="R104" s="1127"/>
      <c r="S104" s="1127"/>
      <c r="AG104" s="920"/>
      <c r="AH104" s="920"/>
      <c r="AI104" s="920"/>
    </row>
    <row r="105" spans="1:35" s="66" customFormat="1" ht="15.95" customHeight="1" x14ac:dyDescent="0.2">
      <c r="A105" s="415" t="s">
        <v>8</v>
      </c>
      <c r="B105" s="877"/>
      <c r="C105" s="112">
        <f t="shared" ref="C105:D105" si="82">C106+C107</f>
        <v>-254510.14</v>
      </c>
      <c r="D105" s="112">
        <f t="shared" si="82"/>
        <v>-756321.24</v>
      </c>
      <c r="E105" s="1387">
        <f t="shared" ref="E105:J105" si="83">E106+E107</f>
        <v>-1010831.38</v>
      </c>
      <c r="F105" s="112">
        <f t="shared" si="83"/>
        <v>-15107061.01</v>
      </c>
      <c r="G105" s="1657">
        <f t="shared" si="83"/>
        <v>-3939668.72</v>
      </c>
      <c r="H105" s="112">
        <f t="shared" si="83"/>
        <v>-693157</v>
      </c>
      <c r="I105" s="112">
        <f t="shared" si="83"/>
        <v>0</v>
      </c>
      <c r="J105" s="112">
        <f t="shared" si="83"/>
        <v>-327445</v>
      </c>
      <c r="K105" s="933">
        <f t="shared" si="80"/>
        <v>-21078163.109999999</v>
      </c>
      <c r="L105" s="1508">
        <v>0</v>
      </c>
      <c r="M105" s="1508"/>
      <c r="N105" s="1127"/>
      <c r="O105" s="1127"/>
      <c r="P105" s="1520"/>
      <c r="Q105" s="1127"/>
      <c r="R105" s="1127"/>
      <c r="S105" s="1127"/>
    </row>
    <row r="106" spans="1:35" s="920" customFormat="1" ht="15.95" customHeight="1" x14ac:dyDescent="0.2">
      <c r="A106" s="913" t="s">
        <v>754</v>
      </c>
      <c r="B106" s="914"/>
      <c r="C106" s="916">
        <f t="shared" ref="C106:C107" si="84">E106-D106</f>
        <v>-254510.14</v>
      </c>
      <c r="D106" s="916">
        <v>-756321.24</v>
      </c>
      <c r="E106" s="1384">
        <f>-1010831.38</f>
        <v>-1010831.38</v>
      </c>
      <c r="F106" s="916">
        <v>-15107061.01</v>
      </c>
      <c r="G106" s="917">
        <v>-3939668.72</v>
      </c>
      <c r="H106" s="1663">
        <v>-693157</v>
      </c>
      <c r="I106" s="918">
        <v>0</v>
      </c>
      <c r="J106" s="918">
        <v>-327445</v>
      </c>
      <c r="K106" s="919">
        <f t="shared" si="80"/>
        <v>-21078163.109999999</v>
      </c>
      <c r="L106" s="1508">
        <v>0</v>
      </c>
      <c r="M106" s="1512" t="s">
        <v>2912</v>
      </c>
      <c r="N106" s="1513" t="s">
        <v>2913</v>
      </c>
      <c r="O106" s="1514" t="s">
        <v>2914</v>
      </c>
      <c r="P106" s="1522"/>
      <c r="Q106" s="1514" t="s">
        <v>2915</v>
      </c>
      <c r="R106" s="1514" t="s">
        <v>2916</v>
      </c>
      <c r="S106" s="1514" t="s">
        <v>2917</v>
      </c>
      <c r="T106" s="66"/>
      <c r="U106" s="66"/>
      <c r="V106" s="66"/>
      <c r="W106" s="66"/>
      <c r="X106" s="66"/>
      <c r="Y106" s="66"/>
      <c r="Z106" s="66"/>
      <c r="AA106" s="66"/>
      <c r="AB106" s="66"/>
      <c r="AC106" s="66"/>
      <c r="AD106" s="66"/>
      <c r="AE106" s="66"/>
      <c r="AF106" s="66"/>
      <c r="AG106" s="66"/>
      <c r="AH106" s="66"/>
      <c r="AI106" s="66"/>
    </row>
    <row r="107" spans="1:35" s="920" customFormat="1" ht="15.95" hidden="1" customHeight="1" x14ac:dyDescent="0.2">
      <c r="A107" s="913" t="s">
        <v>755</v>
      </c>
      <c r="B107" s="914"/>
      <c r="C107" s="921">
        <f t="shared" si="84"/>
        <v>0</v>
      </c>
      <c r="D107" s="921">
        <v>0</v>
      </c>
      <c r="E107" s="922">
        <v>0</v>
      </c>
      <c r="F107" s="921">
        <v>0</v>
      </c>
      <c r="G107" s="922">
        <v>0</v>
      </c>
      <c r="H107" s="921">
        <v>0</v>
      </c>
      <c r="I107" s="921">
        <v>0</v>
      </c>
      <c r="J107" s="921">
        <v>0</v>
      </c>
      <c r="K107" s="923">
        <f t="shared" si="80"/>
        <v>0</v>
      </c>
      <c r="L107" s="1508">
        <v>0</v>
      </c>
      <c r="M107" s="1508" t="s">
        <v>2918</v>
      </c>
      <c r="N107" s="1511" t="s">
        <v>2919</v>
      </c>
      <c r="O107" s="1511" t="s">
        <v>2920</v>
      </c>
      <c r="P107" s="1521"/>
      <c r="Q107" s="1511" t="s">
        <v>2921</v>
      </c>
      <c r="R107" s="1511" t="s">
        <v>2922</v>
      </c>
      <c r="S107" s="1511" t="s">
        <v>2923</v>
      </c>
      <c r="T107" s="66"/>
      <c r="U107" s="66"/>
      <c r="V107" s="66"/>
      <c r="W107" s="66"/>
      <c r="X107" s="66"/>
      <c r="Y107" s="66"/>
      <c r="Z107" s="66"/>
      <c r="AA107" s="66"/>
      <c r="AB107" s="66"/>
      <c r="AD107" s="66"/>
      <c r="AE107" s="66"/>
      <c r="AF107" s="66"/>
      <c r="AG107" s="66"/>
      <c r="AH107" s="66"/>
      <c r="AI107" s="66"/>
    </row>
    <row r="108" spans="1:35" s="66" customFormat="1" ht="15.95" customHeight="1" x14ac:dyDescent="0.2">
      <c r="A108" s="415"/>
      <c r="B108" s="877"/>
      <c r="C108" s="876"/>
      <c r="D108" s="876"/>
      <c r="E108" s="934"/>
      <c r="F108" s="876"/>
      <c r="G108" s="934"/>
      <c r="H108" s="1666"/>
      <c r="I108" s="876"/>
      <c r="J108" s="876"/>
      <c r="K108" s="935"/>
      <c r="L108" s="1506"/>
      <c r="M108" s="1506"/>
      <c r="N108" s="1127"/>
      <c r="O108" s="1127"/>
      <c r="P108" s="1520"/>
      <c r="Q108" s="1127"/>
      <c r="R108" s="1127"/>
      <c r="S108" s="1127"/>
      <c r="T108" s="920"/>
      <c r="U108" s="920"/>
      <c r="V108" s="920"/>
      <c r="W108" s="920"/>
      <c r="X108" s="920"/>
      <c r="Y108" s="920"/>
      <c r="Z108" s="920"/>
      <c r="AA108" s="920"/>
      <c r="AB108" s="920"/>
      <c r="AC108" s="920"/>
    </row>
    <row r="109" spans="1:35" s="66" customFormat="1" ht="15.95" customHeight="1" x14ac:dyDescent="0.2">
      <c r="A109" s="415" t="s">
        <v>756</v>
      </c>
      <c r="B109" s="877"/>
      <c r="C109" s="112">
        <f t="shared" ref="C109:D109" si="85">SUM(C110:C113)</f>
        <v>0</v>
      </c>
      <c r="D109" s="112">
        <f t="shared" si="85"/>
        <v>0</v>
      </c>
      <c r="E109" s="1387">
        <f>SUM(E110:E113)</f>
        <v>0</v>
      </c>
      <c r="F109" s="112">
        <f t="shared" ref="F109:K109" si="86">SUM(F110:F113)</f>
        <v>0</v>
      </c>
      <c r="G109" s="1657">
        <f t="shared" si="86"/>
        <v>0</v>
      </c>
      <c r="H109" s="112">
        <f t="shared" si="86"/>
        <v>-740308</v>
      </c>
      <c r="I109" s="112">
        <f t="shared" si="86"/>
        <v>0</v>
      </c>
      <c r="J109" s="112">
        <f t="shared" si="86"/>
        <v>0</v>
      </c>
      <c r="K109" s="933">
        <f t="shared" si="86"/>
        <v>-740308</v>
      </c>
      <c r="L109" s="1506"/>
      <c r="M109" s="1506"/>
      <c r="N109" s="1127"/>
      <c r="O109" s="1127"/>
      <c r="P109" s="1520"/>
      <c r="Q109" s="1127"/>
      <c r="R109" s="1127"/>
      <c r="S109" s="1127"/>
      <c r="T109" s="920"/>
      <c r="U109" s="920"/>
      <c r="V109" s="920"/>
      <c r="W109" s="920"/>
      <c r="X109" s="920"/>
      <c r="Y109" s="920"/>
      <c r="Z109" s="920"/>
      <c r="AA109" s="920"/>
      <c r="AB109" s="920"/>
      <c r="AD109" s="920"/>
      <c r="AE109" s="920"/>
      <c r="AF109" s="920"/>
    </row>
    <row r="110" spans="1:35" s="66" customFormat="1" ht="15.95" customHeight="1" x14ac:dyDescent="0.2">
      <c r="A110" s="415" t="s">
        <v>750</v>
      </c>
      <c r="B110" s="877"/>
      <c r="C110" s="925">
        <f t="shared" ref="C110:C112" si="87">E110-D110</f>
        <v>0</v>
      </c>
      <c r="D110" s="925">
        <v>0</v>
      </c>
      <c r="E110" s="936">
        <v>0</v>
      </c>
      <c r="F110" s="925">
        <v>0</v>
      </c>
      <c r="G110" s="936">
        <v>0</v>
      </c>
      <c r="H110" s="925">
        <v>-740308</v>
      </c>
      <c r="I110" s="925">
        <v>0</v>
      </c>
      <c r="J110" s="925">
        <v>0</v>
      </c>
      <c r="K110" s="931">
        <f>SUM(E110:J110)</f>
        <v>-740308</v>
      </c>
      <c r="L110" s="1506">
        <v>0</v>
      </c>
      <c r="M110" s="1508" t="s">
        <v>2924</v>
      </c>
      <c r="N110" s="1510" t="s">
        <v>2925</v>
      </c>
      <c r="O110" s="1511" t="s">
        <v>2926</v>
      </c>
      <c r="P110" s="1521"/>
      <c r="Q110" s="1511" t="s">
        <v>2927</v>
      </c>
      <c r="R110" s="1511" t="s">
        <v>2928</v>
      </c>
      <c r="S110" s="1511" t="s">
        <v>2929</v>
      </c>
      <c r="AD110" s="920"/>
      <c r="AE110" s="920"/>
      <c r="AF110" s="920"/>
    </row>
    <row r="111" spans="1:35" s="66" customFormat="1" ht="15.95" hidden="1" customHeight="1" x14ac:dyDescent="0.2">
      <c r="A111" s="415" t="s">
        <v>751</v>
      </c>
      <c r="B111" s="877"/>
      <c r="C111" s="194">
        <f t="shared" si="87"/>
        <v>0</v>
      </c>
      <c r="D111" s="194">
        <v>0</v>
      </c>
      <c r="E111" s="929">
        <v>0</v>
      </c>
      <c r="F111" s="937">
        <v>0</v>
      </c>
      <c r="G111" s="937">
        <v>0</v>
      </c>
      <c r="H111" s="194">
        <v>0</v>
      </c>
      <c r="I111" s="937">
        <v>0</v>
      </c>
      <c r="J111" s="937">
        <v>0</v>
      </c>
      <c r="K111" s="931">
        <f>SUM(E111:J111)</f>
        <v>0</v>
      </c>
      <c r="L111" s="1506">
        <v>0</v>
      </c>
      <c r="M111" s="1508" t="s">
        <v>2930</v>
      </c>
      <c r="N111" s="1510" t="s">
        <v>2931</v>
      </c>
      <c r="O111" s="1511" t="s">
        <v>2932</v>
      </c>
      <c r="P111" s="1521"/>
      <c r="Q111" s="1511" t="s">
        <v>2933</v>
      </c>
      <c r="R111" s="1511" t="s">
        <v>2934</v>
      </c>
      <c r="S111" s="1511" t="s">
        <v>2935</v>
      </c>
      <c r="AG111" s="920"/>
      <c r="AH111" s="920"/>
      <c r="AI111" s="920"/>
    </row>
    <row r="112" spans="1:35" s="66" customFormat="1" ht="15.95" hidden="1" customHeight="1" x14ac:dyDescent="0.2">
      <c r="A112" s="415" t="s">
        <v>757</v>
      </c>
      <c r="B112" s="877"/>
      <c r="C112" s="194">
        <f t="shared" si="87"/>
        <v>0</v>
      </c>
      <c r="D112" s="194">
        <v>0</v>
      </c>
      <c r="E112" s="929">
        <v>0</v>
      </c>
      <c r="F112" s="937">
        <v>0</v>
      </c>
      <c r="G112" s="937">
        <v>0</v>
      </c>
      <c r="H112" s="194">
        <v>0</v>
      </c>
      <c r="I112" s="937">
        <v>0</v>
      </c>
      <c r="J112" s="937">
        <v>0</v>
      </c>
      <c r="K112" s="931">
        <f>SUM(E112:J112)</f>
        <v>0</v>
      </c>
      <c r="L112" s="1506">
        <v>0</v>
      </c>
      <c r="M112" s="1508" t="s">
        <v>2936</v>
      </c>
      <c r="N112" s="1510" t="s">
        <v>2937</v>
      </c>
      <c r="O112" s="1511" t="s">
        <v>2938</v>
      </c>
      <c r="P112" s="1521"/>
      <c r="Q112" s="1511" t="s">
        <v>2939</v>
      </c>
      <c r="R112" s="1511" t="s">
        <v>2940</v>
      </c>
      <c r="S112" s="1511" t="s">
        <v>2941</v>
      </c>
      <c r="AG112" s="920"/>
      <c r="AH112" s="920"/>
      <c r="AI112" s="920"/>
    </row>
    <row r="113" spans="1:35" s="66" customFormat="1" ht="15.95" hidden="1" customHeight="1" x14ac:dyDescent="0.2">
      <c r="A113" s="415" t="s">
        <v>758</v>
      </c>
      <c r="B113" s="877"/>
      <c r="C113" s="194">
        <f t="shared" ref="C113:D113" si="88">SUM(C114:C115)</f>
        <v>0</v>
      </c>
      <c r="D113" s="194">
        <f t="shared" si="88"/>
        <v>0</v>
      </c>
      <c r="E113" s="929">
        <f>SUM(E114:E115)</f>
        <v>0</v>
      </c>
      <c r="F113" s="937">
        <f t="shared" ref="F113:K113" si="89">SUM(F114:F115)</f>
        <v>0</v>
      </c>
      <c r="G113" s="937">
        <f t="shared" si="89"/>
        <v>0</v>
      </c>
      <c r="H113" s="194">
        <f t="shared" si="89"/>
        <v>0</v>
      </c>
      <c r="I113" s="937">
        <f t="shared" si="89"/>
        <v>0</v>
      </c>
      <c r="J113" s="937">
        <f t="shared" si="89"/>
        <v>0</v>
      </c>
      <c r="K113" s="931">
        <f t="shared" si="89"/>
        <v>0</v>
      </c>
      <c r="L113" s="1508">
        <v>0</v>
      </c>
      <c r="M113" s="1508"/>
      <c r="N113" s="1127"/>
      <c r="O113" s="1127"/>
      <c r="P113" s="1520"/>
      <c r="Q113" s="1127"/>
      <c r="R113" s="1127"/>
      <c r="S113" s="1127"/>
    </row>
    <row r="114" spans="1:35" s="920" customFormat="1" ht="15.95" hidden="1" customHeight="1" x14ac:dyDescent="0.2">
      <c r="A114" s="913"/>
      <c r="B114" s="914" t="s">
        <v>754</v>
      </c>
      <c r="C114" s="916">
        <f t="shared" ref="C114:C115" si="90">E114-D114</f>
        <v>0</v>
      </c>
      <c r="D114" s="916">
        <v>0</v>
      </c>
      <c r="E114" s="1384">
        <v>0</v>
      </c>
      <c r="F114" s="916">
        <v>0</v>
      </c>
      <c r="G114" s="917">
        <v>0</v>
      </c>
      <c r="H114" s="1663">
        <v>0</v>
      </c>
      <c r="I114" s="918">
        <v>0</v>
      </c>
      <c r="J114" s="918">
        <v>0</v>
      </c>
      <c r="K114" s="919">
        <f>SUM(E114:J114)</f>
        <v>0</v>
      </c>
      <c r="L114" s="1508">
        <v>0</v>
      </c>
      <c r="M114" s="1508" t="s">
        <v>2942</v>
      </c>
      <c r="N114" s="1510" t="s">
        <v>2943</v>
      </c>
      <c r="O114" s="1511" t="s">
        <v>2944</v>
      </c>
      <c r="P114" s="1521"/>
      <c r="Q114" s="1511" t="s">
        <v>2945</v>
      </c>
      <c r="R114" s="1511" t="s">
        <v>2946</v>
      </c>
      <c r="S114" s="1511" t="s">
        <v>2947</v>
      </c>
      <c r="T114" s="66"/>
      <c r="U114" s="66"/>
      <c r="V114" s="66"/>
      <c r="W114" s="66"/>
      <c r="X114" s="66"/>
      <c r="Y114" s="66"/>
      <c r="Z114" s="66"/>
      <c r="AA114" s="66"/>
      <c r="AB114" s="66"/>
      <c r="AC114" s="66"/>
      <c r="AD114" s="66"/>
      <c r="AE114" s="66"/>
      <c r="AF114" s="66"/>
      <c r="AG114" s="66"/>
      <c r="AH114" s="66"/>
      <c r="AI114" s="66"/>
    </row>
    <row r="115" spans="1:35" s="920" customFormat="1" ht="15.95" hidden="1" customHeight="1" x14ac:dyDescent="0.2">
      <c r="A115" s="913"/>
      <c r="B115" s="914" t="s">
        <v>755</v>
      </c>
      <c r="C115" s="921">
        <f t="shared" si="90"/>
        <v>0</v>
      </c>
      <c r="D115" s="921">
        <v>0</v>
      </c>
      <c r="E115" s="922">
        <v>0</v>
      </c>
      <c r="F115" s="921">
        <v>0</v>
      </c>
      <c r="G115" s="922">
        <v>0</v>
      </c>
      <c r="H115" s="921">
        <v>0</v>
      </c>
      <c r="I115" s="921">
        <v>0</v>
      </c>
      <c r="J115" s="921">
        <v>0</v>
      </c>
      <c r="K115" s="923">
        <f>SUM(E115:J115)</f>
        <v>0</v>
      </c>
      <c r="L115" s="1508">
        <v>0</v>
      </c>
      <c r="M115" s="1508" t="s">
        <v>2948</v>
      </c>
      <c r="N115" s="1511" t="s">
        <v>2949</v>
      </c>
      <c r="O115" s="1511" t="s">
        <v>2950</v>
      </c>
      <c r="P115" s="1521"/>
      <c r="Q115" s="1511" t="s">
        <v>2951</v>
      </c>
      <c r="R115" s="1511" t="s">
        <v>2952</v>
      </c>
      <c r="S115" s="1511" t="s">
        <v>2953</v>
      </c>
      <c r="T115" s="66"/>
      <c r="U115" s="66"/>
      <c r="V115" s="66"/>
      <c r="W115" s="66"/>
      <c r="X115" s="66"/>
      <c r="Y115" s="66"/>
      <c r="Z115" s="66"/>
      <c r="AA115" s="66"/>
      <c r="AB115" s="66"/>
      <c r="AD115" s="66"/>
      <c r="AE115" s="66"/>
      <c r="AF115" s="66"/>
      <c r="AG115" s="66"/>
      <c r="AH115" s="66"/>
      <c r="AI115" s="66"/>
    </row>
    <row r="116" spans="1:35" s="66" customFormat="1" ht="15.95" customHeight="1" x14ac:dyDescent="0.2">
      <c r="A116" s="415"/>
      <c r="B116" s="877"/>
      <c r="C116" s="876"/>
      <c r="D116" s="876"/>
      <c r="E116" s="934"/>
      <c r="F116" s="876"/>
      <c r="G116" s="934"/>
      <c r="H116" s="1666"/>
      <c r="I116" s="876"/>
      <c r="J116" s="876"/>
      <c r="K116" s="935"/>
      <c r="L116" s="1506"/>
      <c r="M116" s="1506"/>
      <c r="N116" s="1127"/>
      <c r="O116" s="1127"/>
      <c r="P116" s="1520"/>
      <c r="Q116" s="1127"/>
      <c r="R116" s="1127"/>
      <c r="S116" s="1127"/>
      <c r="T116" s="920"/>
      <c r="U116" s="920"/>
      <c r="V116" s="920"/>
      <c r="W116" s="920"/>
      <c r="X116" s="920"/>
      <c r="Y116" s="920"/>
      <c r="Z116" s="920"/>
      <c r="AA116" s="920"/>
      <c r="AB116" s="920"/>
      <c r="AC116" s="920"/>
    </row>
    <row r="117" spans="1:35" s="66" customFormat="1" ht="15.95" hidden="1" customHeight="1" x14ac:dyDescent="0.2">
      <c r="A117" s="415" t="s">
        <v>759</v>
      </c>
      <c r="B117" s="877"/>
      <c r="C117" s="112">
        <f t="shared" ref="C117:D117" si="91">SUM(C118:C121)</f>
        <v>0</v>
      </c>
      <c r="D117" s="112">
        <f t="shared" si="91"/>
        <v>0</v>
      </c>
      <c r="E117" s="1387">
        <f t="shared" ref="E117:K117" si="92">SUM(E118:E121)</f>
        <v>0</v>
      </c>
      <c r="F117" s="112">
        <f t="shared" si="92"/>
        <v>0</v>
      </c>
      <c r="G117" s="1657">
        <f t="shared" si="92"/>
        <v>0</v>
      </c>
      <c r="H117" s="112">
        <f t="shared" si="92"/>
        <v>0</v>
      </c>
      <c r="I117" s="112">
        <f t="shared" si="92"/>
        <v>0</v>
      </c>
      <c r="J117" s="112">
        <f t="shared" si="92"/>
        <v>0</v>
      </c>
      <c r="K117" s="933">
        <f t="shared" si="92"/>
        <v>0</v>
      </c>
      <c r="L117" s="1506"/>
      <c r="M117" s="1506"/>
      <c r="N117" s="1127"/>
      <c r="O117" s="1127"/>
      <c r="P117" s="1520"/>
      <c r="Q117" s="1127"/>
      <c r="R117" s="1127"/>
      <c r="S117" s="1127"/>
      <c r="T117" s="920"/>
      <c r="U117" s="920"/>
      <c r="V117" s="920"/>
      <c r="W117" s="920"/>
      <c r="X117" s="920"/>
      <c r="Y117" s="920"/>
      <c r="Z117" s="920"/>
      <c r="AA117" s="920"/>
      <c r="AB117" s="920"/>
      <c r="AD117" s="920"/>
      <c r="AE117" s="920"/>
      <c r="AF117" s="920"/>
    </row>
    <row r="118" spans="1:35" s="66" customFormat="1" ht="15.95" hidden="1" customHeight="1" x14ac:dyDescent="0.2">
      <c r="A118" s="415" t="s">
        <v>750</v>
      </c>
      <c r="B118" s="877"/>
      <c r="C118" s="925">
        <f t="shared" ref="C118:C120" si="93">E118-D118</f>
        <v>0</v>
      </c>
      <c r="D118" s="925">
        <v>0</v>
      </c>
      <c r="E118" s="936">
        <v>0</v>
      </c>
      <c r="F118" s="924">
        <v>0</v>
      </c>
      <c r="G118" s="924">
        <v>0</v>
      </c>
      <c r="H118" s="925">
        <v>0</v>
      </c>
      <c r="I118" s="924">
        <v>0</v>
      </c>
      <c r="J118" s="924">
        <v>0</v>
      </c>
      <c r="K118" s="931">
        <f>SUM(E118:J118)</f>
        <v>0</v>
      </c>
      <c r="L118" s="1506">
        <v>0</v>
      </c>
      <c r="M118" s="1508" t="s">
        <v>2954</v>
      </c>
      <c r="N118" s="1510" t="s">
        <v>2955</v>
      </c>
      <c r="O118" s="1511" t="s">
        <v>2956</v>
      </c>
      <c r="P118" s="1521"/>
      <c r="Q118" s="1511" t="s">
        <v>2957</v>
      </c>
      <c r="R118" s="1511" t="s">
        <v>2958</v>
      </c>
      <c r="S118" s="1511" t="s">
        <v>2959</v>
      </c>
      <c r="AD118" s="920"/>
      <c r="AE118" s="920"/>
      <c r="AF118" s="920"/>
    </row>
    <row r="119" spans="1:35" s="66" customFormat="1" ht="15.95" hidden="1" customHeight="1" x14ac:dyDescent="0.2">
      <c r="A119" s="415" t="s">
        <v>751</v>
      </c>
      <c r="B119" s="877"/>
      <c r="C119" s="194">
        <f t="shared" si="93"/>
        <v>0</v>
      </c>
      <c r="D119" s="194">
        <v>0</v>
      </c>
      <c r="E119" s="929">
        <v>0</v>
      </c>
      <c r="F119" s="937">
        <v>0</v>
      </c>
      <c r="G119" s="937">
        <v>0</v>
      </c>
      <c r="H119" s="194">
        <v>0</v>
      </c>
      <c r="I119" s="937">
        <v>0</v>
      </c>
      <c r="J119" s="937">
        <v>0</v>
      </c>
      <c r="K119" s="931">
        <f>SUM(E119:J119)</f>
        <v>0</v>
      </c>
      <c r="L119" s="1506">
        <v>0</v>
      </c>
      <c r="M119" s="1508" t="s">
        <v>2960</v>
      </c>
      <c r="N119" s="1510" t="s">
        <v>2961</v>
      </c>
      <c r="O119" s="1511" t="s">
        <v>2962</v>
      </c>
      <c r="P119" s="1521"/>
      <c r="Q119" s="1511" t="s">
        <v>2963</v>
      </c>
      <c r="R119" s="1511" t="s">
        <v>2964</v>
      </c>
      <c r="S119" s="1511" t="s">
        <v>2965</v>
      </c>
      <c r="AG119" s="920"/>
      <c r="AH119" s="920"/>
      <c r="AI119" s="920"/>
    </row>
    <row r="120" spans="1:35" s="66" customFormat="1" ht="15.95" hidden="1" customHeight="1" x14ac:dyDescent="0.2">
      <c r="A120" s="415" t="s">
        <v>757</v>
      </c>
      <c r="B120" s="877"/>
      <c r="C120" s="194">
        <f t="shared" si="93"/>
        <v>0</v>
      </c>
      <c r="D120" s="194">
        <v>0</v>
      </c>
      <c r="E120" s="929">
        <v>0</v>
      </c>
      <c r="F120" s="937">
        <v>0</v>
      </c>
      <c r="G120" s="937">
        <v>0</v>
      </c>
      <c r="H120" s="194">
        <v>0</v>
      </c>
      <c r="I120" s="937">
        <v>0</v>
      </c>
      <c r="J120" s="937">
        <v>0</v>
      </c>
      <c r="K120" s="931">
        <f>SUM(E120:J120)</f>
        <v>0</v>
      </c>
      <c r="L120" s="1506">
        <v>0</v>
      </c>
      <c r="M120" s="1508" t="s">
        <v>2966</v>
      </c>
      <c r="N120" s="1510" t="s">
        <v>2967</v>
      </c>
      <c r="O120" s="1511" t="s">
        <v>2968</v>
      </c>
      <c r="P120" s="1521"/>
      <c r="Q120" s="1511" t="s">
        <v>2969</v>
      </c>
      <c r="R120" s="1511" t="s">
        <v>2970</v>
      </c>
      <c r="S120" s="1511" t="s">
        <v>2971</v>
      </c>
      <c r="AG120" s="920"/>
      <c r="AH120" s="920"/>
      <c r="AI120" s="920"/>
    </row>
    <row r="121" spans="1:35" s="66" customFormat="1" ht="15.95" hidden="1" customHeight="1" x14ac:dyDescent="0.2">
      <c r="A121" s="415" t="s">
        <v>758</v>
      </c>
      <c r="B121" s="877"/>
      <c r="C121" s="194">
        <f t="shared" ref="C121:D121" si="94">SUM(C122:C123)</f>
        <v>0</v>
      </c>
      <c r="D121" s="194">
        <f t="shared" si="94"/>
        <v>0</v>
      </c>
      <c r="E121" s="929">
        <f t="shared" ref="E121:K121" si="95">SUM(E122:E123)</f>
        <v>0</v>
      </c>
      <c r="F121" s="937">
        <f t="shared" si="95"/>
        <v>0</v>
      </c>
      <c r="G121" s="937">
        <f t="shared" si="95"/>
        <v>0</v>
      </c>
      <c r="H121" s="194">
        <f t="shared" si="95"/>
        <v>0</v>
      </c>
      <c r="I121" s="937">
        <f t="shared" si="95"/>
        <v>0</v>
      </c>
      <c r="J121" s="937">
        <f t="shared" si="95"/>
        <v>0</v>
      </c>
      <c r="K121" s="931">
        <f t="shared" si="95"/>
        <v>0</v>
      </c>
      <c r="L121" s="1506">
        <v>0</v>
      </c>
      <c r="M121" s="1508"/>
      <c r="N121" s="1127"/>
      <c r="O121" s="1127"/>
      <c r="P121" s="1520"/>
      <c r="Q121" s="1127"/>
      <c r="R121" s="1127"/>
      <c r="S121" s="1127"/>
    </row>
    <row r="122" spans="1:35" s="920" customFormat="1" ht="15.95" hidden="1" customHeight="1" x14ac:dyDescent="0.2">
      <c r="A122" s="913"/>
      <c r="B122" s="914" t="s">
        <v>754</v>
      </c>
      <c r="C122" s="916">
        <f t="shared" ref="C122:C123" si="96">E122-D122</f>
        <v>0</v>
      </c>
      <c r="D122" s="916">
        <v>0</v>
      </c>
      <c r="E122" s="1384">
        <v>0</v>
      </c>
      <c r="F122" s="915">
        <v>0</v>
      </c>
      <c r="G122" s="915">
        <v>0</v>
      </c>
      <c r="H122" s="916">
        <v>0</v>
      </c>
      <c r="I122" s="915">
        <v>0</v>
      </c>
      <c r="J122" s="915">
        <v>0</v>
      </c>
      <c r="K122" s="919">
        <f>SUM(E122:J122)</f>
        <v>0</v>
      </c>
      <c r="L122" s="1508">
        <v>0</v>
      </c>
      <c r="M122" s="1508" t="s">
        <v>2972</v>
      </c>
      <c r="N122" s="1510" t="s">
        <v>2973</v>
      </c>
      <c r="O122" s="1511" t="s">
        <v>2974</v>
      </c>
      <c r="P122" s="1521"/>
      <c r="Q122" s="1511" t="s">
        <v>2975</v>
      </c>
      <c r="R122" s="1511" t="s">
        <v>2976</v>
      </c>
      <c r="S122" s="1511" t="s">
        <v>2977</v>
      </c>
      <c r="T122" s="66"/>
      <c r="U122" s="66"/>
      <c r="V122" s="66"/>
      <c r="W122" s="66"/>
      <c r="X122" s="66"/>
      <c r="Y122" s="66"/>
      <c r="Z122" s="66"/>
      <c r="AA122" s="66"/>
      <c r="AB122" s="66"/>
      <c r="AC122" s="66"/>
      <c r="AD122" s="66"/>
      <c r="AE122" s="66"/>
      <c r="AF122" s="66"/>
      <c r="AG122" s="66"/>
      <c r="AH122" s="66"/>
      <c r="AI122" s="66"/>
    </row>
    <row r="123" spans="1:35" s="920" customFormat="1" ht="15.95" hidden="1" customHeight="1" x14ac:dyDescent="0.2">
      <c r="A123" s="913"/>
      <c r="B123" s="914" t="s">
        <v>755</v>
      </c>
      <c r="C123" s="921">
        <f t="shared" si="96"/>
        <v>0</v>
      </c>
      <c r="D123" s="921">
        <v>0</v>
      </c>
      <c r="E123" s="922">
        <v>0</v>
      </c>
      <c r="F123" s="921">
        <v>0</v>
      </c>
      <c r="G123" s="922">
        <v>0</v>
      </c>
      <c r="H123" s="921">
        <v>0</v>
      </c>
      <c r="I123" s="921">
        <v>0</v>
      </c>
      <c r="J123" s="921">
        <v>0</v>
      </c>
      <c r="K123" s="923">
        <f>SUM(E123:J123)</f>
        <v>0</v>
      </c>
      <c r="L123" s="1508">
        <v>0</v>
      </c>
      <c r="M123" s="1508" t="s">
        <v>2978</v>
      </c>
      <c r="N123" s="1511" t="s">
        <v>2979</v>
      </c>
      <c r="O123" s="1511" t="s">
        <v>2980</v>
      </c>
      <c r="P123" s="1521"/>
      <c r="Q123" s="1511" t="s">
        <v>2981</v>
      </c>
      <c r="R123" s="1511" t="s">
        <v>2982</v>
      </c>
      <c r="S123" s="1511" t="s">
        <v>2983</v>
      </c>
      <c r="T123" s="66"/>
      <c r="U123" s="66"/>
      <c r="V123" s="66"/>
      <c r="W123" s="66"/>
      <c r="X123" s="66"/>
      <c r="Y123" s="66"/>
      <c r="Z123" s="66"/>
      <c r="AA123" s="66"/>
      <c r="AB123" s="66"/>
      <c r="AC123" s="66"/>
      <c r="AD123" s="66"/>
      <c r="AE123" s="66"/>
      <c r="AF123" s="66"/>
      <c r="AG123" s="66"/>
      <c r="AH123" s="66"/>
      <c r="AI123" s="66"/>
    </row>
    <row r="124" spans="1:35" s="66" customFormat="1" ht="15.95" hidden="1" customHeight="1" x14ac:dyDescent="0.2">
      <c r="A124" s="415"/>
      <c r="B124" s="877"/>
      <c r="C124" s="876"/>
      <c r="D124" s="876"/>
      <c r="E124" s="934"/>
      <c r="F124" s="876"/>
      <c r="G124" s="934"/>
      <c r="H124" s="1666"/>
      <c r="I124" s="876"/>
      <c r="J124" s="876"/>
      <c r="K124" s="935"/>
      <c r="L124" s="1506"/>
      <c r="M124" s="1506"/>
      <c r="N124" s="1127"/>
      <c r="O124" s="1127"/>
      <c r="P124" s="1520"/>
      <c r="Q124" s="1127"/>
      <c r="R124" s="1127"/>
      <c r="S124" s="1127"/>
    </row>
    <row r="125" spans="1:35" s="66" customFormat="1" ht="15.95" hidden="1" customHeight="1" x14ac:dyDescent="0.2">
      <c r="A125" s="415" t="s">
        <v>760</v>
      </c>
      <c r="B125" s="877"/>
      <c r="C125" s="111">
        <f t="shared" ref="C125:C127" si="97">E125-D125</f>
        <v>0</v>
      </c>
      <c r="D125" s="111">
        <v>0</v>
      </c>
      <c r="E125" s="423">
        <v>0</v>
      </c>
      <c r="F125" s="111">
        <v>0</v>
      </c>
      <c r="G125" s="423">
        <v>0</v>
      </c>
      <c r="H125" s="938">
        <v>0</v>
      </c>
      <c r="I125" s="111">
        <v>0</v>
      </c>
      <c r="J125" s="111">
        <v>0</v>
      </c>
      <c r="K125" s="183">
        <f>SUM(E125:J125)</f>
        <v>0</v>
      </c>
      <c r="L125" s="1506">
        <v>0</v>
      </c>
      <c r="M125" s="1508" t="s">
        <v>2984</v>
      </c>
      <c r="N125" s="1511" t="s">
        <v>2985</v>
      </c>
      <c r="O125" s="1511" t="s">
        <v>2986</v>
      </c>
      <c r="P125" s="1521"/>
      <c r="Q125" s="1511" t="s">
        <v>2987</v>
      </c>
      <c r="R125" s="1511" t="s">
        <v>2988</v>
      </c>
      <c r="S125" s="1511" t="s">
        <v>2989</v>
      </c>
    </row>
    <row r="126" spans="1:35" s="66" customFormat="1" ht="15.95" hidden="1" customHeight="1" x14ac:dyDescent="0.2">
      <c r="A126" s="415" t="s">
        <v>154</v>
      </c>
      <c r="B126" s="877"/>
      <c r="C126" s="111">
        <f t="shared" si="97"/>
        <v>0</v>
      </c>
      <c r="D126" s="111">
        <v>0</v>
      </c>
      <c r="E126" s="423">
        <v>0</v>
      </c>
      <c r="F126" s="111">
        <v>0</v>
      </c>
      <c r="G126" s="423">
        <v>0</v>
      </c>
      <c r="H126" s="111">
        <v>0</v>
      </c>
      <c r="I126" s="111">
        <v>0</v>
      </c>
      <c r="J126" s="111">
        <v>0</v>
      </c>
      <c r="K126" s="183">
        <f>SUM(E126:J126)</f>
        <v>0</v>
      </c>
      <c r="L126" s="1506">
        <v>0</v>
      </c>
      <c r="M126" s="1508" t="s">
        <v>2990</v>
      </c>
      <c r="N126" s="1511" t="s">
        <v>2991</v>
      </c>
      <c r="O126" s="1511" t="s">
        <v>2992</v>
      </c>
      <c r="P126" s="1521"/>
      <c r="Q126" s="1511" t="s">
        <v>2993</v>
      </c>
      <c r="R126" s="1511" t="s">
        <v>2994</v>
      </c>
      <c r="S126" s="1511" t="s">
        <v>2995</v>
      </c>
      <c r="AC126" s="920"/>
    </row>
    <row r="127" spans="1:35" s="66" customFormat="1" ht="15.95" hidden="1" customHeight="1" x14ac:dyDescent="0.2">
      <c r="A127" s="415" t="s">
        <v>761</v>
      </c>
      <c r="B127" s="877"/>
      <c r="C127" s="111">
        <f t="shared" si="97"/>
        <v>0</v>
      </c>
      <c r="D127" s="111">
        <v>0</v>
      </c>
      <c r="E127" s="423">
        <v>0</v>
      </c>
      <c r="F127" s="111">
        <v>0</v>
      </c>
      <c r="G127" s="423">
        <v>0</v>
      </c>
      <c r="H127" s="111">
        <v>0</v>
      </c>
      <c r="I127" s="111">
        <v>0</v>
      </c>
      <c r="J127" s="111">
        <v>0</v>
      </c>
      <c r="K127" s="183">
        <f>SUM(E127:J127)</f>
        <v>0</v>
      </c>
      <c r="L127" s="1506">
        <v>0</v>
      </c>
      <c r="M127" s="1508" t="s">
        <v>2996</v>
      </c>
      <c r="N127" s="1511" t="s">
        <v>2997</v>
      </c>
      <c r="O127" s="1511" t="s">
        <v>2998</v>
      </c>
      <c r="P127" s="1521"/>
      <c r="Q127" s="1511" t="s">
        <v>2999</v>
      </c>
      <c r="R127" s="1511" t="s">
        <v>3000</v>
      </c>
      <c r="S127" s="1511" t="s">
        <v>3001</v>
      </c>
      <c r="T127" s="920"/>
      <c r="U127" s="920"/>
      <c r="V127" s="920"/>
      <c r="W127" s="920"/>
      <c r="X127" s="920"/>
      <c r="Y127" s="920"/>
      <c r="Z127" s="920"/>
      <c r="AA127" s="920"/>
      <c r="AB127" s="920"/>
      <c r="AC127" s="920"/>
    </row>
    <row r="128" spans="1:35" s="66" customFormat="1" ht="15.95" hidden="1" customHeight="1" x14ac:dyDescent="0.2">
      <c r="A128" s="415" t="s">
        <v>620</v>
      </c>
      <c r="B128" s="877"/>
      <c r="C128" s="112">
        <f t="shared" ref="C128:D128" si="98">SUM(C129:C132)</f>
        <v>0</v>
      </c>
      <c r="D128" s="112">
        <f t="shared" si="98"/>
        <v>0</v>
      </c>
      <c r="E128" s="1387">
        <f t="shared" ref="E128:K128" si="99">SUM(E129:E132)</f>
        <v>0</v>
      </c>
      <c r="F128" s="112">
        <f t="shared" si="99"/>
        <v>0</v>
      </c>
      <c r="G128" s="1657">
        <f t="shared" si="99"/>
        <v>0</v>
      </c>
      <c r="H128" s="112">
        <f t="shared" si="99"/>
        <v>0</v>
      </c>
      <c r="I128" s="112">
        <f t="shared" si="99"/>
        <v>0</v>
      </c>
      <c r="J128" s="112">
        <f t="shared" si="99"/>
        <v>0</v>
      </c>
      <c r="K128" s="933">
        <f t="shared" si="99"/>
        <v>0</v>
      </c>
      <c r="L128" s="1506"/>
      <c r="M128" s="1127"/>
      <c r="N128" s="1127"/>
      <c r="O128" s="1127"/>
      <c r="P128" s="1520"/>
      <c r="Q128" s="1127"/>
      <c r="R128" s="1127"/>
      <c r="S128" s="1127"/>
      <c r="T128" s="920"/>
      <c r="U128" s="920"/>
      <c r="V128" s="920"/>
      <c r="W128" s="920"/>
      <c r="X128" s="920"/>
      <c r="Y128" s="920"/>
      <c r="Z128" s="920"/>
      <c r="AA128" s="920"/>
      <c r="AB128" s="920"/>
      <c r="AD128" s="920"/>
      <c r="AE128" s="920"/>
      <c r="AF128" s="920"/>
    </row>
    <row r="129" spans="1:35" s="66" customFormat="1" ht="15.95" hidden="1" customHeight="1" x14ac:dyDescent="0.2">
      <c r="A129" s="415" t="s">
        <v>750</v>
      </c>
      <c r="B129" s="877"/>
      <c r="C129" s="925">
        <f t="shared" ref="C129:C131" si="100">E129-D129</f>
        <v>0</v>
      </c>
      <c r="D129" s="925">
        <v>0</v>
      </c>
      <c r="E129" s="936">
        <v>0</v>
      </c>
      <c r="F129" s="924">
        <v>0</v>
      </c>
      <c r="G129" s="924">
        <v>0</v>
      </c>
      <c r="H129" s="925">
        <v>0</v>
      </c>
      <c r="I129" s="924">
        <v>0</v>
      </c>
      <c r="J129" s="924">
        <v>0</v>
      </c>
      <c r="K129" s="931">
        <f>SUM(E129:J129)</f>
        <v>0</v>
      </c>
      <c r="L129" s="1506">
        <v>2.3283064365386963E-10</v>
      </c>
      <c r="M129" s="1506" t="s">
        <v>3002</v>
      </c>
      <c r="N129" s="1511" t="s">
        <v>3003</v>
      </c>
      <c r="O129" s="1511" t="s">
        <v>3004</v>
      </c>
      <c r="P129" s="1521"/>
      <c r="Q129" s="1511" t="s">
        <v>3005</v>
      </c>
      <c r="R129" s="1511" t="s">
        <v>3006</v>
      </c>
      <c r="S129" s="1511" t="s">
        <v>3007</v>
      </c>
      <c r="AD129" s="920"/>
      <c r="AE129" s="920"/>
      <c r="AF129" s="920"/>
    </row>
    <row r="130" spans="1:35" s="66" customFormat="1" ht="15.95" hidden="1" customHeight="1" x14ac:dyDescent="0.2">
      <c r="A130" s="415" t="s">
        <v>751</v>
      </c>
      <c r="B130" s="877"/>
      <c r="C130" s="194">
        <f t="shared" si="100"/>
        <v>0</v>
      </c>
      <c r="D130" s="194">
        <v>0</v>
      </c>
      <c r="E130" s="929">
        <v>0</v>
      </c>
      <c r="F130" s="937">
        <v>0</v>
      </c>
      <c r="G130" s="937">
        <v>0</v>
      </c>
      <c r="H130" s="194">
        <v>0</v>
      </c>
      <c r="I130" s="937">
        <v>0</v>
      </c>
      <c r="J130" s="937">
        <v>0</v>
      </c>
      <c r="K130" s="931">
        <f>SUM(E130:J130)</f>
        <v>0</v>
      </c>
      <c r="L130" s="1506">
        <v>0</v>
      </c>
      <c r="M130" s="1508" t="s">
        <v>3797</v>
      </c>
      <c r="N130" s="1510" t="s">
        <v>3799</v>
      </c>
      <c r="O130" s="1511" t="s">
        <v>3801</v>
      </c>
      <c r="P130" s="1521"/>
      <c r="Q130" s="1511" t="s">
        <v>3803</v>
      </c>
      <c r="R130" s="1511" t="s">
        <v>3805</v>
      </c>
      <c r="S130" s="1511" t="s">
        <v>3807</v>
      </c>
      <c r="AG130" s="920"/>
      <c r="AH130" s="920"/>
      <c r="AI130" s="920"/>
    </row>
    <row r="131" spans="1:35" s="66" customFormat="1" ht="15.95" hidden="1" customHeight="1" x14ac:dyDescent="0.2">
      <c r="A131" s="415" t="s">
        <v>757</v>
      </c>
      <c r="B131" s="877"/>
      <c r="C131" s="194">
        <f t="shared" si="100"/>
        <v>0</v>
      </c>
      <c r="D131" s="194">
        <v>0</v>
      </c>
      <c r="E131" s="929">
        <v>0</v>
      </c>
      <c r="F131" s="937">
        <v>0</v>
      </c>
      <c r="G131" s="937">
        <v>0</v>
      </c>
      <c r="H131" s="194">
        <v>0</v>
      </c>
      <c r="I131" s="937">
        <v>0</v>
      </c>
      <c r="J131" s="937">
        <v>0</v>
      </c>
      <c r="K131" s="931">
        <f>SUM(E131:J131)</f>
        <v>0</v>
      </c>
      <c r="L131" s="1506">
        <v>0</v>
      </c>
      <c r="M131" s="1508" t="s">
        <v>3798</v>
      </c>
      <c r="N131" s="1510" t="s">
        <v>3800</v>
      </c>
      <c r="O131" s="1511" t="s">
        <v>3802</v>
      </c>
      <c r="P131" s="1521"/>
      <c r="Q131" s="1511" t="s">
        <v>3804</v>
      </c>
      <c r="R131" s="1511" t="s">
        <v>3806</v>
      </c>
      <c r="S131" s="1511" t="s">
        <v>3808</v>
      </c>
      <c r="AG131" s="920"/>
      <c r="AH131" s="920"/>
      <c r="AI131" s="920"/>
    </row>
    <row r="132" spans="1:35" s="66" customFormat="1" ht="15.95" hidden="1" customHeight="1" x14ac:dyDescent="0.2">
      <c r="A132" s="415" t="s">
        <v>758</v>
      </c>
      <c r="B132" s="877"/>
      <c r="C132" s="194">
        <f t="shared" ref="C132:D132" si="101">SUM(C133:C134)</f>
        <v>0</v>
      </c>
      <c r="D132" s="194">
        <f t="shared" si="101"/>
        <v>0</v>
      </c>
      <c r="E132" s="929">
        <f t="shared" ref="E132:K132" si="102">SUM(E133:E134)</f>
        <v>0</v>
      </c>
      <c r="F132" s="937">
        <f t="shared" si="102"/>
        <v>0</v>
      </c>
      <c r="G132" s="937">
        <f t="shared" si="102"/>
        <v>0</v>
      </c>
      <c r="H132" s="194">
        <f t="shared" si="102"/>
        <v>0</v>
      </c>
      <c r="I132" s="937">
        <f t="shared" si="102"/>
        <v>0</v>
      </c>
      <c r="J132" s="937">
        <f t="shared" si="102"/>
        <v>0</v>
      </c>
      <c r="K132" s="931">
        <f t="shared" si="102"/>
        <v>0</v>
      </c>
      <c r="L132" s="1506">
        <v>0</v>
      </c>
      <c r="M132" s="1127"/>
      <c r="N132" s="1127"/>
      <c r="O132" s="1127"/>
      <c r="P132" s="1520"/>
      <c r="Q132" s="1127"/>
      <c r="R132" s="1127"/>
      <c r="S132" s="1127"/>
    </row>
    <row r="133" spans="1:35" s="920" customFormat="1" ht="15.95" hidden="1" customHeight="1" x14ac:dyDescent="0.2">
      <c r="A133" s="913"/>
      <c r="B133" s="914" t="s">
        <v>754</v>
      </c>
      <c r="C133" s="916">
        <f t="shared" ref="C133:C134" si="103">E133-D133</f>
        <v>0</v>
      </c>
      <c r="D133" s="916">
        <v>0</v>
      </c>
      <c r="E133" s="1384">
        <v>0</v>
      </c>
      <c r="F133" s="915">
        <v>0</v>
      </c>
      <c r="G133" s="915">
        <v>0</v>
      </c>
      <c r="H133" s="916">
        <v>0</v>
      </c>
      <c r="I133" s="915">
        <v>0</v>
      </c>
      <c r="J133" s="915">
        <v>0</v>
      </c>
      <c r="K133" s="919">
        <f>SUM(E133:J133)</f>
        <v>0</v>
      </c>
      <c r="L133" s="1508">
        <v>0</v>
      </c>
      <c r="M133" s="1512" t="s">
        <v>3044</v>
      </c>
      <c r="N133" s="1513" t="s">
        <v>3045</v>
      </c>
      <c r="O133" s="1514" t="s">
        <v>3046</v>
      </c>
      <c r="P133" s="1522"/>
      <c r="Q133" s="1514" t="s">
        <v>3047</v>
      </c>
      <c r="R133" s="1514" t="s">
        <v>3048</v>
      </c>
      <c r="S133" s="1514" t="s">
        <v>3049</v>
      </c>
      <c r="T133" s="66"/>
      <c r="U133" s="66"/>
      <c r="V133" s="66"/>
      <c r="W133" s="66"/>
      <c r="X133" s="66"/>
      <c r="Y133" s="66"/>
      <c r="Z133" s="66"/>
      <c r="AA133" s="66"/>
      <c r="AB133" s="66"/>
      <c r="AC133" s="66"/>
      <c r="AD133" s="66"/>
      <c r="AE133" s="66"/>
      <c r="AF133" s="66"/>
      <c r="AG133" s="66"/>
      <c r="AH133" s="66"/>
      <c r="AI133" s="66"/>
    </row>
    <row r="134" spans="1:35" s="920" customFormat="1" ht="15.95" hidden="1" customHeight="1" x14ac:dyDescent="0.2">
      <c r="A134" s="913"/>
      <c r="B134" s="914" t="s">
        <v>755</v>
      </c>
      <c r="C134" s="921">
        <f t="shared" si="103"/>
        <v>0</v>
      </c>
      <c r="D134" s="921">
        <v>0</v>
      </c>
      <c r="E134" s="922">
        <v>0</v>
      </c>
      <c r="F134" s="921">
        <v>0</v>
      </c>
      <c r="G134" s="922">
        <v>0</v>
      </c>
      <c r="H134" s="921">
        <v>0</v>
      </c>
      <c r="I134" s="921">
        <v>0</v>
      </c>
      <c r="J134" s="921">
        <v>0</v>
      </c>
      <c r="K134" s="923">
        <f>SUM(E134:J134)</f>
        <v>0</v>
      </c>
      <c r="L134" s="1508">
        <v>0</v>
      </c>
      <c r="M134" s="1512" t="s">
        <v>3791</v>
      </c>
      <c r="N134" s="1513" t="s">
        <v>3792</v>
      </c>
      <c r="O134" s="1514" t="s">
        <v>3793</v>
      </c>
      <c r="P134" s="1522"/>
      <c r="Q134" s="1514" t="s">
        <v>3794</v>
      </c>
      <c r="R134" s="1514" t="s">
        <v>3795</v>
      </c>
      <c r="S134" s="1514" t="s">
        <v>3796</v>
      </c>
      <c r="T134" s="66"/>
      <c r="U134" s="66"/>
      <c r="V134" s="66"/>
      <c r="W134" s="66"/>
      <c r="X134" s="66"/>
      <c r="Y134" s="66"/>
      <c r="Z134" s="66"/>
      <c r="AA134" s="66"/>
      <c r="AB134" s="66"/>
      <c r="AC134" s="66"/>
      <c r="AD134" s="66"/>
      <c r="AE134" s="66"/>
      <c r="AF134" s="66"/>
      <c r="AG134" s="66"/>
      <c r="AH134" s="66"/>
      <c r="AI134" s="66"/>
    </row>
    <row r="135" spans="1:35" s="66" customFormat="1" ht="15.95" hidden="1" customHeight="1" x14ac:dyDescent="0.2">
      <c r="A135" s="415"/>
      <c r="B135" s="877"/>
      <c r="C135" s="876"/>
      <c r="D135" s="876"/>
      <c r="E135" s="934"/>
      <c r="F135" s="876"/>
      <c r="G135" s="934"/>
      <c r="H135" s="876"/>
      <c r="I135" s="876"/>
      <c r="J135" s="876"/>
      <c r="K135" s="935"/>
      <c r="L135" s="1506"/>
      <c r="M135" s="1127"/>
      <c r="N135" s="1127"/>
      <c r="O135" s="1127"/>
      <c r="P135" s="1114"/>
      <c r="Q135" s="1127"/>
      <c r="R135" s="1127"/>
      <c r="S135" s="1127"/>
    </row>
    <row r="136" spans="1:35" s="66" customFormat="1" ht="15.95" customHeight="1" x14ac:dyDescent="0.25">
      <c r="A136" s="407" t="str">
        <f>"Carrying values at "&amp;Parameters!C13</f>
        <v>Carrying values at 30 June 2011</v>
      </c>
      <c r="B136" s="877"/>
      <c r="C136" s="1391">
        <f t="shared" ref="C136:D136" si="104">SUM(C137,C140:C142)</f>
        <v>-67492977.359999985</v>
      </c>
      <c r="D136" s="1391">
        <f t="shared" si="104"/>
        <v>86768999.579999983</v>
      </c>
      <c r="E136" s="1382">
        <f>SUM(E137,E140:E142)</f>
        <v>19276022.220000003</v>
      </c>
      <c r="F136" s="909">
        <f t="shared" ref="F136:K136" si="105">SUM(F137,F140:F142)</f>
        <v>224654871.60999998</v>
      </c>
      <c r="G136" s="909">
        <f t="shared" si="105"/>
        <v>59928332.140000001</v>
      </c>
      <c r="H136" s="1391">
        <f t="shared" si="105"/>
        <v>4927211</v>
      </c>
      <c r="I136" s="909">
        <f t="shared" si="105"/>
        <v>0</v>
      </c>
      <c r="J136" s="909">
        <f t="shared" si="105"/>
        <v>666482</v>
      </c>
      <c r="K136" s="910">
        <f t="shared" si="105"/>
        <v>309452918.97000003</v>
      </c>
      <c r="L136" s="1506">
        <f>K136-K109</f>
        <v>310193226.97000003</v>
      </c>
      <c r="M136" s="1127"/>
      <c r="N136" s="1127"/>
      <c r="O136" s="1127"/>
      <c r="P136" s="1114"/>
      <c r="Q136" s="1127"/>
      <c r="R136" s="1127"/>
      <c r="S136" s="1127"/>
    </row>
    <row r="137" spans="1:35" s="66" customFormat="1" ht="15.95" customHeight="1" x14ac:dyDescent="0.2">
      <c r="A137" s="415" t="s">
        <v>157</v>
      </c>
      <c r="B137" s="877"/>
      <c r="C137" s="1392">
        <f t="shared" ref="C137:D137" si="106">SUM(C138:C139)</f>
        <v>-50838350.839999989</v>
      </c>
      <c r="D137" s="1392">
        <f t="shared" si="106"/>
        <v>93893479.089999989</v>
      </c>
      <c r="E137" s="1383">
        <f t="shared" ref="E137:K137" si="107">SUM(E138:E139)</f>
        <v>43055128.25</v>
      </c>
      <c r="F137" s="911">
        <f>SUM(F138:F139)</f>
        <v>481745721.09999996</v>
      </c>
      <c r="G137" s="911">
        <f t="shared" si="107"/>
        <v>125090596.42</v>
      </c>
      <c r="H137" s="1392">
        <f t="shared" si="107"/>
        <v>6734182</v>
      </c>
      <c r="I137" s="911">
        <f t="shared" si="107"/>
        <v>0</v>
      </c>
      <c r="J137" s="911">
        <f t="shared" si="107"/>
        <v>1291611</v>
      </c>
      <c r="K137" s="912">
        <f t="shared" si="107"/>
        <v>657917238.76999998</v>
      </c>
      <c r="L137" s="1506">
        <v>0</v>
      </c>
      <c r="M137" s="1127"/>
      <c r="N137" s="1127"/>
      <c r="O137" s="1127"/>
      <c r="P137" s="1114"/>
      <c r="Q137" s="1127"/>
      <c r="R137" s="1127"/>
      <c r="S137" s="1127"/>
    </row>
    <row r="138" spans="1:35" s="66" customFormat="1" ht="15.95" customHeight="1" x14ac:dyDescent="0.2">
      <c r="A138" s="913" t="s">
        <v>747</v>
      </c>
      <c r="B138" s="914"/>
      <c r="C138" s="916">
        <f t="shared" ref="C138:D138" si="108">+C87+C89+C96+C97+C110+C118+C129</f>
        <v>-50800535.839999989</v>
      </c>
      <c r="D138" s="916">
        <f t="shared" si="108"/>
        <v>93855664.089999989</v>
      </c>
      <c r="E138" s="1384">
        <f>+E87+E89+E96+E97+E110+E118+E129</f>
        <v>43055128.25</v>
      </c>
      <c r="F138" s="915">
        <f>+F87+F89+F96+F97+F110+F118+F129</f>
        <v>451673665.39999998</v>
      </c>
      <c r="G138" s="915">
        <f t="shared" ref="G138:J138" si="109">+G87+G89+G96+G97+G110+G118+G129</f>
        <v>125090596.42</v>
      </c>
      <c r="H138" s="916">
        <f t="shared" si="109"/>
        <v>6734182</v>
      </c>
      <c r="I138" s="915">
        <f t="shared" si="109"/>
        <v>0</v>
      </c>
      <c r="J138" s="918">
        <f t="shared" si="109"/>
        <v>1291611</v>
      </c>
      <c r="K138" s="919">
        <f>SUM(E138:J138)</f>
        <v>627845183.06999993</v>
      </c>
      <c r="L138" s="1508">
        <v>0</v>
      </c>
      <c r="M138" s="1127"/>
      <c r="N138" s="1127"/>
      <c r="O138" s="1127"/>
      <c r="P138" s="1114"/>
      <c r="Q138" s="1127"/>
      <c r="R138" s="1127"/>
      <c r="S138" s="1127"/>
    </row>
    <row r="139" spans="1:35" s="66" customFormat="1" ht="15.95" customHeight="1" x14ac:dyDescent="0.2">
      <c r="A139" s="913" t="s">
        <v>748</v>
      </c>
      <c r="B139" s="914"/>
      <c r="C139" s="921">
        <f t="shared" ref="C139:D139" si="110">C88+C98+C127</f>
        <v>-37815</v>
      </c>
      <c r="D139" s="921">
        <f t="shared" si="110"/>
        <v>37815</v>
      </c>
      <c r="E139" s="922">
        <f t="shared" ref="E139:J139" si="111">E88+E98+E127</f>
        <v>0</v>
      </c>
      <c r="F139" s="921">
        <f t="shared" si="111"/>
        <v>30072055.699999999</v>
      </c>
      <c r="G139" s="922">
        <f t="shared" si="111"/>
        <v>0</v>
      </c>
      <c r="H139" s="921">
        <f t="shared" si="111"/>
        <v>0</v>
      </c>
      <c r="I139" s="921">
        <f t="shared" si="111"/>
        <v>0</v>
      </c>
      <c r="J139" s="921">
        <f t="shared" si="111"/>
        <v>0</v>
      </c>
      <c r="K139" s="923">
        <f>SUM(E139:J139)</f>
        <v>30072055.699999999</v>
      </c>
      <c r="L139" s="1508">
        <v>0</v>
      </c>
      <c r="M139" s="1127"/>
      <c r="N139" s="1127"/>
      <c r="O139" s="1127"/>
      <c r="P139" s="1114"/>
      <c r="Q139" s="1127"/>
      <c r="R139" s="1127"/>
      <c r="S139" s="1127"/>
    </row>
    <row r="140" spans="1:35" s="66" customFormat="1" ht="15.95" hidden="1" customHeight="1" x14ac:dyDescent="0.2">
      <c r="A140" s="415" t="s">
        <v>39</v>
      </c>
      <c r="B140" s="877"/>
      <c r="C140" s="194">
        <f t="shared" ref="C140:D140" si="112">+C90+C103+C111+C119+C125+C130</f>
        <v>0</v>
      </c>
      <c r="D140" s="194">
        <f t="shared" si="112"/>
        <v>0</v>
      </c>
      <c r="E140" s="1385">
        <f>+E90+E103+E111+E119+E125+E130</f>
        <v>0</v>
      </c>
      <c r="F140" s="194">
        <f t="shared" ref="F140:J140" si="113">+F90+F103+F111+F130</f>
        <v>0</v>
      </c>
      <c r="G140" s="937">
        <f t="shared" si="113"/>
        <v>0</v>
      </c>
      <c r="H140" s="194">
        <f t="shared" si="113"/>
        <v>0</v>
      </c>
      <c r="I140" s="194">
        <f t="shared" si="113"/>
        <v>0</v>
      </c>
      <c r="J140" s="194">
        <f t="shared" si="113"/>
        <v>0</v>
      </c>
      <c r="K140" s="931">
        <f>SUM(E140:J140)</f>
        <v>0</v>
      </c>
      <c r="L140" s="1506">
        <v>0</v>
      </c>
      <c r="M140" s="1127"/>
      <c r="N140" s="1127"/>
      <c r="O140" s="1127"/>
      <c r="P140" s="1114"/>
      <c r="Q140" s="1127"/>
      <c r="R140" s="1127"/>
      <c r="S140" s="1127"/>
    </row>
    <row r="141" spans="1:35" s="66" customFormat="1" ht="15.95" hidden="1" customHeight="1" x14ac:dyDescent="0.2">
      <c r="A141" s="415" t="s">
        <v>762</v>
      </c>
      <c r="B141" s="877"/>
      <c r="C141" s="194">
        <f t="shared" ref="C141:D141" si="114">+C91+C104+C112+C120+C126+C131</f>
        <v>0</v>
      </c>
      <c r="D141" s="194">
        <f t="shared" si="114"/>
        <v>0</v>
      </c>
      <c r="E141" s="1385">
        <f>+E91+E104+E112+E120+E126+E131</f>
        <v>0</v>
      </c>
      <c r="F141" s="194">
        <f t="shared" ref="F141:J141" si="115">+F91+F112+F126+F104+F131</f>
        <v>0</v>
      </c>
      <c r="G141" s="937">
        <f t="shared" si="115"/>
        <v>0</v>
      </c>
      <c r="H141" s="194">
        <f t="shared" si="115"/>
        <v>0</v>
      </c>
      <c r="I141" s="194">
        <f t="shared" si="115"/>
        <v>0</v>
      </c>
      <c r="J141" s="194">
        <f t="shared" si="115"/>
        <v>0</v>
      </c>
      <c r="K141" s="931">
        <f>SUM(E141:J141)</f>
        <v>0</v>
      </c>
      <c r="L141" s="1506">
        <v>0</v>
      </c>
      <c r="M141" s="1127"/>
      <c r="N141" s="1127"/>
      <c r="O141" s="1127"/>
      <c r="P141" s="1114"/>
      <c r="Q141" s="1127"/>
      <c r="R141" s="1127"/>
      <c r="S141" s="1127"/>
    </row>
    <row r="142" spans="1:35" s="66" customFormat="1" ht="15.95" customHeight="1" x14ac:dyDescent="0.2">
      <c r="A142" s="415" t="s">
        <v>749</v>
      </c>
      <c r="B142" s="877"/>
      <c r="C142" s="939">
        <f t="shared" ref="C142:D142" si="116">SUM(C143:C144)</f>
        <v>-16654626.52</v>
      </c>
      <c r="D142" s="939">
        <f t="shared" si="116"/>
        <v>-7124479.5100000007</v>
      </c>
      <c r="E142" s="1388">
        <f t="shared" ref="E142:I142" si="117">SUM(E143:E144)</f>
        <v>-23779106.029999997</v>
      </c>
      <c r="F142" s="939">
        <f t="shared" si="117"/>
        <v>-257090849.48999998</v>
      </c>
      <c r="G142" s="1658">
        <f t="shared" si="117"/>
        <v>-65162264.280000001</v>
      </c>
      <c r="H142" s="939">
        <f t="shared" si="117"/>
        <v>-1806971</v>
      </c>
      <c r="I142" s="939">
        <f t="shared" si="117"/>
        <v>0</v>
      </c>
      <c r="J142" s="939">
        <f>SUM(J143:J144)</f>
        <v>-625129</v>
      </c>
      <c r="K142" s="931">
        <f>SUM(K143:K144)</f>
        <v>-348464319.79999995</v>
      </c>
      <c r="L142" s="1506">
        <v>0</v>
      </c>
      <c r="M142" s="1127"/>
      <c r="N142" s="1127"/>
      <c r="O142" s="1127"/>
      <c r="P142" s="1114"/>
      <c r="Q142" s="1127"/>
      <c r="R142" s="1127"/>
      <c r="S142" s="1127"/>
    </row>
    <row r="143" spans="1:35" s="66" customFormat="1" ht="15.95" customHeight="1" thickBot="1" x14ac:dyDescent="0.25">
      <c r="A143" s="913" t="s">
        <v>750</v>
      </c>
      <c r="B143" s="914"/>
      <c r="C143" s="916">
        <f t="shared" ref="C143:D143" si="118">+C93+C106+C114+C122+C133</f>
        <v>-16654626.52</v>
      </c>
      <c r="D143" s="916">
        <f t="shared" si="118"/>
        <v>-7124479.5100000007</v>
      </c>
      <c r="E143" s="1384">
        <f t="shared" ref="E143:J144" si="119">+E93+E106+E114+E122+E133</f>
        <v>-23779106.029999997</v>
      </c>
      <c r="F143" s="915">
        <f t="shared" si="119"/>
        <v>-257090849.48999998</v>
      </c>
      <c r="G143" s="915">
        <f t="shared" si="119"/>
        <v>-65162264.280000001</v>
      </c>
      <c r="H143" s="916">
        <f t="shared" si="119"/>
        <v>-1806971</v>
      </c>
      <c r="I143" s="915">
        <f t="shared" si="119"/>
        <v>0</v>
      </c>
      <c r="J143" s="915">
        <f t="shared" si="119"/>
        <v>-625129</v>
      </c>
      <c r="K143" s="919">
        <f>SUM(E143:J143)</f>
        <v>-348464319.79999995</v>
      </c>
      <c r="L143" s="1506">
        <v>0</v>
      </c>
      <c r="M143" s="1127"/>
      <c r="N143" s="1127"/>
      <c r="O143" s="1127"/>
      <c r="P143" s="1114"/>
      <c r="Q143" s="1127"/>
      <c r="R143" s="1127"/>
      <c r="S143" s="1127"/>
    </row>
    <row r="144" spans="1:35" s="66" customFormat="1" ht="15.95" hidden="1" customHeight="1" thickBot="1" x14ac:dyDescent="0.25">
      <c r="A144" s="951" t="s">
        <v>751</v>
      </c>
      <c r="B144" s="952"/>
      <c r="C144" s="1393">
        <f t="shared" ref="C144:D144" si="120">+C94+C107+C115+C123+C134</f>
        <v>0</v>
      </c>
      <c r="D144" s="1393">
        <f t="shared" si="120"/>
        <v>0</v>
      </c>
      <c r="E144" s="1389">
        <f t="shared" si="119"/>
        <v>0</v>
      </c>
      <c r="F144" s="940">
        <f t="shared" si="119"/>
        <v>0</v>
      </c>
      <c r="G144" s="1659">
        <f t="shared" si="119"/>
        <v>0</v>
      </c>
      <c r="H144" s="1393">
        <f t="shared" si="119"/>
        <v>0</v>
      </c>
      <c r="I144" s="940">
        <f t="shared" si="119"/>
        <v>0</v>
      </c>
      <c r="J144" s="940">
        <f t="shared" si="119"/>
        <v>0</v>
      </c>
      <c r="K144" s="941">
        <f>SUM(E144:J144)</f>
        <v>0</v>
      </c>
      <c r="L144" s="1506">
        <v>0</v>
      </c>
      <c r="M144" s="1127"/>
      <c r="N144" s="1127"/>
      <c r="O144" s="1127"/>
      <c r="P144" s="1114"/>
      <c r="Q144" s="1127"/>
      <c r="R144" s="1127"/>
      <c r="S144" s="1127"/>
      <c r="AC144" s="188"/>
    </row>
    <row r="145" spans="1:35" s="66" customFormat="1" ht="15.95" customHeight="1" x14ac:dyDescent="0.2">
      <c r="A145" s="942"/>
      <c r="B145" s="942"/>
      <c r="C145" s="943">
        <v>0</v>
      </c>
      <c r="D145" s="943">
        <v>0</v>
      </c>
      <c r="E145" s="943">
        <v>0</v>
      </c>
      <c r="F145" s="943">
        <v>0</v>
      </c>
      <c r="G145" s="943">
        <v>0</v>
      </c>
      <c r="H145" s="943">
        <v>0</v>
      </c>
      <c r="I145" s="943">
        <v>0</v>
      </c>
      <c r="J145" s="943">
        <v>0</v>
      </c>
      <c r="K145" s="943">
        <v>0</v>
      </c>
      <c r="L145" s="1506"/>
      <c r="M145" s="1208"/>
      <c r="N145" s="1208"/>
      <c r="O145" s="1208"/>
      <c r="P145" s="1114"/>
      <c r="Q145" s="1208"/>
      <c r="R145" s="1208"/>
      <c r="S145" s="1208"/>
      <c r="T145" s="188"/>
      <c r="U145" s="188"/>
      <c r="V145" s="188"/>
      <c r="W145" s="188"/>
      <c r="X145" s="188"/>
      <c r="Y145" s="188"/>
      <c r="Z145" s="188"/>
      <c r="AA145" s="188"/>
      <c r="AB145" s="188"/>
    </row>
    <row r="146" spans="1:35" s="188" customFormat="1" ht="15.75" hidden="1" customHeight="1" x14ac:dyDescent="0.25">
      <c r="A146" s="211">
        <v>7</v>
      </c>
      <c r="B146" s="50" t="s">
        <v>584</v>
      </c>
      <c r="C146" s="50"/>
      <c r="D146" s="50"/>
      <c r="E146" s="50"/>
      <c r="F146" s="48"/>
      <c r="G146" s="135"/>
      <c r="H146" s="57"/>
      <c r="I146" s="48"/>
      <c r="L146" s="1515"/>
      <c r="M146" s="1208"/>
      <c r="N146" s="1208"/>
      <c r="O146" s="1208"/>
      <c r="P146" s="1114" t="s">
        <v>3520</v>
      </c>
      <c r="Q146" s="1208"/>
      <c r="R146" s="1208"/>
      <c r="S146" s="1208"/>
    </row>
    <row r="147" spans="1:35" s="188" customFormat="1" ht="15.95" hidden="1" customHeight="1" x14ac:dyDescent="0.25">
      <c r="A147" s="211"/>
      <c r="B147" s="48"/>
      <c r="C147" s="50"/>
      <c r="D147" s="50"/>
      <c r="E147" s="50"/>
      <c r="F147" s="48"/>
      <c r="G147" s="135"/>
      <c r="H147" s="135"/>
      <c r="I147" s="48"/>
      <c r="L147" s="1515"/>
      <c r="M147" s="1208"/>
      <c r="N147" s="1208"/>
      <c r="O147" s="1208"/>
      <c r="P147" s="1114"/>
      <c r="Q147" s="1208"/>
      <c r="R147" s="1208"/>
      <c r="S147" s="1208"/>
    </row>
    <row r="148" spans="1:35" s="66" customFormat="1" ht="32.1" hidden="1" customHeight="1" x14ac:dyDescent="0.25">
      <c r="A148" s="766"/>
      <c r="B148" s="2841" t="s">
        <v>3978</v>
      </c>
      <c r="C148" s="2841"/>
      <c r="D148" s="2841"/>
      <c r="E148" s="2841"/>
      <c r="F148" s="2841"/>
      <c r="G148" s="2841"/>
      <c r="H148" s="2841"/>
      <c r="I148" s="2841"/>
      <c r="J148" s="2841"/>
      <c r="K148" s="2841"/>
      <c r="L148" s="1519" t="s">
        <v>2277</v>
      </c>
      <c r="M148" s="1127"/>
      <c r="N148" s="1127"/>
      <c r="O148" s="1127"/>
      <c r="P148" s="1114"/>
      <c r="Q148" s="1127"/>
      <c r="R148" s="1127"/>
      <c r="S148" s="1127"/>
      <c r="AC148" s="188"/>
    </row>
    <row r="149" spans="1:35" s="66" customFormat="1" ht="15.95" hidden="1" customHeight="1" x14ac:dyDescent="0.2">
      <c r="A149" s="879"/>
      <c r="B149" s="879"/>
      <c r="C149" s="879"/>
      <c r="D149" s="879"/>
      <c r="E149" s="879"/>
      <c r="F149" s="879"/>
      <c r="G149" s="879"/>
      <c r="H149" s="879"/>
      <c r="I149" s="879"/>
      <c r="J149" s="879"/>
      <c r="K149" s="879"/>
      <c r="L149" s="1506"/>
      <c r="M149" s="1208"/>
      <c r="N149" s="1208"/>
      <c r="O149" s="1208"/>
      <c r="P149" s="1114"/>
      <c r="Q149" s="1208"/>
      <c r="R149" s="1208"/>
      <c r="S149" s="1208"/>
      <c r="T149" s="188"/>
      <c r="U149" s="188"/>
      <c r="V149" s="188"/>
      <c r="W149" s="188"/>
      <c r="X149" s="188"/>
      <c r="Y149" s="188"/>
      <c r="Z149" s="188"/>
      <c r="AA149" s="188"/>
      <c r="AB149" s="188"/>
    </row>
    <row r="150" spans="1:35" s="66" customFormat="1" ht="32.1" customHeight="1" x14ac:dyDescent="0.25">
      <c r="A150" s="211"/>
      <c r="B150" s="2839" t="s">
        <v>3979</v>
      </c>
      <c r="C150" s="2839"/>
      <c r="D150" s="2839"/>
      <c r="E150" s="2839"/>
      <c r="F150" s="2839"/>
      <c r="G150" s="2839"/>
      <c r="H150" s="2839"/>
      <c r="I150" s="2839"/>
      <c r="J150" s="2839"/>
      <c r="K150" s="2839"/>
      <c r="L150" s="1506"/>
      <c r="M150" s="1127"/>
      <c r="N150" s="1127"/>
      <c r="O150" s="1127"/>
      <c r="P150" s="1114"/>
      <c r="Q150" s="1127"/>
      <c r="R150" s="1127"/>
      <c r="S150" s="1127"/>
      <c r="AD150" s="188"/>
      <c r="AE150" s="188"/>
      <c r="AF150" s="188"/>
    </row>
    <row r="151" spans="1:35" s="66" customFormat="1" ht="15.95" customHeight="1" x14ac:dyDescent="0.2">
      <c r="A151" s="188"/>
      <c r="B151" s="188"/>
      <c r="C151" s="188"/>
      <c r="D151" s="188"/>
      <c r="E151" s="188"/>
      <c r="F151" s="188"/>
      <c r="G151" s="188"/>
      <c r="H151" s="188"/>
      <c r="I151" s="188"/>
      <c r="J151" s="188"/>
      <c r="K151" s="188"/>
      <c r="L151" s="1506"/>
      <c r="M151" s="1127"/>
      <c r="N151" s="1127"/>
      <c r="O151" s="1127"/>
      <c r="P151" s="1114"/>
      <c r="Q151" s="1127"/>
      <c r="R151" s="1127"/>
      <c r="S151" s="1127"/>
      <c r="AC151" s="188"/>
    </row>
    <row r="152" spans="1:35" s="66" customFormat="1" ht="15.95" hidden="1" customHeight="1" x14ac:dyDescent="0.25">
      <c r="A152" s="778"/>
      <c r="B152" s="2855" t="s">
        <v>3980</v>
      </c>
      <c r="C152" s="2855"/>
      <c r="D152" s="2855"/>
      <c r="E152" s="2855"/>
      <c r="F152" s="2855"/>
      <c r="G152" s="2855"/>
      <c r="H152" s="2855"/>
      <c r="I152" s="2855"/>
      <c r="J152" s="2855"/>
      <c r="K152" s="2855"/>
      <c r="L152" s="1506"/>
      <c r="M152" s="1127"/>
      <c r="N152" s="1127"/>
      <c r="O152" s="1127"/>
      <c r="P152" s="1114"/>
      <c r="Q152" s="1127"/>
      <c r="R152" s="1127"/>
      <c r="S152" s="1127"/>
    </row>
    <row r="153" spans="1:35" s="66" customFormat="1" ht="15.95" hidden="1" customHeight="1" x14ac:dyDescent="0.25">
      <c r="A153" s="778"/>
      <c r="B153" s="2855" t="s">
        <v>1887</v>
      </c>
      <c r="C153" s="2855"/>
      <c r="D153" s="2855"/>
      <c r="E153" s="2855"/>
      <c r="F153" s="2855"/>
      <c r="G153" s="2855"/>
      <c r="H153" s="2855"/>
      <c r="I153" s="2855"/>
      <c r="J153" s="2855"/>
      <c r="K153" s="2855"/>
      <c r="L153" s="1506"/>
      <c r="M153" s="1127"/>
      <c r="N153" s="1127"/>
      <c r="O153" s="1127"/>
      <c r="P153" s="1114"/>
      <c r="Q153" s="1127"/>
      <c r="R153" s="1127"/>
      <c r="S153" s="1127"/>
    </row>
    <row r="154" spans="1:35" s="66" customFormat="1" ht="15.95" hidden="1" customHeight="1" x14ac:dyDescent="0.25">
      <c r="A154" s="778"/>
      <c r="B154" s="2855" t="s">
        <v>1888</v>
      </c>
      <c r="C154" s="2855"/>
      <c r="D154" s="2855"/>
      <c r="E154" s="2855"/>
      <c r="F154" s="2855"/>
      <c r="G154" s="2855"/>
      <c r="H154" s="2855"/>
      <c r="I154" s="2855"/>
      <c r="J154" s="2855"/>
      <c r="K154" s="2855"/>
      <c r="L154" s="1506"/>
      <c r="M154" s="1127"/>
      <c r="N154" s="1127"/>
      <c r="O154" s="1127"/>
      <c r="P154" s="1114"/>
      <c r="Q154" s="1127"/>
      <c r="R154" s="1127"/>
      <c r="S154" s="1127"/>
    </row>
    <row r="155" spans="1:35" s="66" customFormat="1" ht="15.95" hidden="1" customHeight="1" x14ac:dyDescent="0.25">
      <c r="A155" s="778"/>
      <c r="B155" s="2855" t="s">
        <v>3981</v>
      </c>
      <c r="C155" s="2855"/>
      <c r="D155" s="2855"/>
      <c r="E155" s="2855"/>
      <c r="F155" s="2855"/>
      <c r="G155" s="2855"/>
      <c r="H155" s="2855"/>
      <c r="I155" s="2855"/>
      <c r="J155" s="2855"/>
      <c r="K155" s="2855"/>
      <c r="L155" s="1506"/>
      <c r="M155" s="1127"/>
      <c r="N155" s="1127"/>
      <c r="O155" s="1127"/>
      <c r="P155" s="1114"/>
      <c r="Q155" s="1127"/>
      <c r="R155" s="1127"/>
      <c r="S155" s="1127"/>
    </row>
    <row r="156" spans="1:35" s="66" customFormat="1" ht="15.95" hidden="1" customHeight="1" x14ac:dyDescent="0.25">
      <c r="A156" s="778"/>
      <c r="B156" s="2855"/>
      <c r="C156" s="2855"/>
      <c r="D156" s="2855"/>
      <c r="E156" s="2855"/>
      <c r="F156" s="2855"/>
      <c r="G156" s="2855"/>
      <c r="H156" s="2855"/>
      <c r="I156" s="2855"/>
      <c r="J156" s="2855"/>
      <c r="K156" s="2855"/>
      <c r="L156" s="1506"/>
      <c r="M156" s="1127"/>
      <c r="N156" s="1127"/>
      <c r="O156" s="1127"/>
      <c r="P156" s="1114"/>
      <c r="Q156" s="1127"/>
      <c r="R156" s="1127"/>
      <c r="S156" s="1127"/>
    </row>
    <row r="157" spans="1:35" s="66" customFormat="1" ht="15.95" hidden="1" customHeight="1" x14ac:dyDescent="0.25">
      <c r="A157" s="778"/>
      <c r="B157" s="2872" t="s">
        <v>3982</v>
      </c>
      <c r="C157" s="2872"/>
      <c r="D157" s="2872"/>
      <c r="E157" s="2872"/>
      <c r="F157" s="2872"/>
      <c r="G157" s="2872"/>
      <c r="H157" s="2872"/>
      <c r="I157" s="2872"/>
      <c r="J157" s="2872"/>
      <c r="K157" s="2872"/>
      <c r="L157" s="1506"/>
      <c r="M157" s="1208"/>
      <c r="N157" s="1208"/>
      <c r="O157" s="1208"/>
      <c r="P157" s="1114"/>
      <c r="Q157" s="1208"/>
      <c r="R157" s="1208"/>
      <c r="S157" s="1208"/>
      <c r="T157" s="188"/>
      <c r="U157" s="188"/>
      <c r="V157" s="188"/>
      <c r="W157" s="188"/>
      <c r="X157" s="188"/>
      <c r="Y157" s="188"/>
      <c r="Z157" s="188"/>
      <c r="AA157" s="188"/>
      <c r="AB157" s="188"/>
      <c r="AC157" s="188"/>
      <c r="AG157" s="188"/>
      <c r="AH157" s="188"/>
      <c r="AI157" s="188"/>
    </row>
    <row r="158" spans="1:35" s="66" customFormat="1" ht="15.95" hidden="1" customHeight="1" x14ac:dyDescent="0.2">
      <c r="A158" s="879"/>
      <c r="B158" s="879"/>
      <c r="C158" s="879"/>
      <c r="D158" s="879"/>
      <c r="E158" s="879"/>
      <c r="F158" s="879"/>
      <c r="G158" s="879"/>
      <c r="H158" s="879"/>
      <c r="I158" s="879"/>
      <c r="J158" s="879"/>
      <c r="K158" s="879"/>
      <c r="L158" s="1506"/>
      <c r="M158" s="1208"/>
      <c r="N158" s="1208"/>
      <c r="O158" s="1208"/>
      <c r="P158" s="1114"/>
      <c r="Q158" s="1208"/>
      <c r="R158" s="1208"/>
      <c r="S158" s="1208"/>
      <c r="T158" s="188"/>
      <c r="U158" s="188"/>
      <c r="V158" s="188"/>
      <c r="W158" s="188"/>
      <c r="X158" s="188"/>
      <c r="Y158" s="188"/>
      <c r="Z158" s="188"/>
      <c r="AA158" s="188"/>
      <c r="AB158" s="188"/>
      <c r="AD158" s="188"/>
      <c r="AE158" s="188"/>
      <c r="AF158" s="188"/>
    </row>
    <row r="159" spans="1:35" s="188" customFormat="1" ht="32.1" hidden="1" customHeight="1" x14ac:dyDescent="0.25">
      <c r="A159" s="211"/>
      <c r="B159" s="2839" t="s">
        <v>2497</v>
      </c>
      <c r="C159" s="2839"/>
      <c r="D159" s="2839"/>
      <c r="E159" s="2839"/>
      <c r="F159" s="2839"/>
      <c r="G159" s="2839"/>
      <c r="H159" s="2839"/>
      <c r="I159" s="2839"/>
      <c r="J159" s="2839"/>
      <c r="K159" s="2839"/>
      <c r="L159" s="1515"/>
      <c r="M159" s="1208"/>
      <c r="N159" s="1208"/>
      <c r="O159" s="1208"/>
      <c r="P159" s="1114"/>
      <c r="Q159" s="1208"/>
      <c r="R159" s="1208"/>
      <c r="S159" s="1208"/>
    </row>
    <row r="160" spans="1:35" s="188" customFormat="1" ht="15.95" hidden="1" customHeight="1" x14ac:dyDescent="0.25">
      <c r="A160" s="211"/>
      <c r="B160" s="48"/>
      <c r="C160" s="50"/>
      <c r="D160" s="50"/>
      <c r="E160" s="50"/>
      <c r="F160" s="48"/>
      <c r="G160" s="135"/>
      <c r="H160" s="135"/>
      <c r="I160" s="48"/>
      <c r="L160" s="1515"/>
      <c r="M160" s="1208"/>
      <c r="N160" s="1208"/>
      <c r="O160" s="1208"/>
      <c r="P160" s="1114"/>
      <c r="Q160" s="1208"/>
      <c r="R160" s="1208"/>
      <c r="S160" s="1208"/>
    </row>
    <row r="161" spans="1:35" s="188" customFormat="1" ht="32.1" customHeight="1" x14ac:dyDescent="0.25">
      <c r="A161" s="211"/>
      <c r="B161" s="2839" t="s">
        <v>7539</v>
      </c>
      <c r="C161" s="2839"/>
      <c r="D161" s="2839"/>
      <c r="E161" s="2839"/>
      <c r="F161" s="2839"/>
      <c r="G161" s="2839"/>
      <c r="H161" s="2839"/>
      <c r="I161" s="2839"/>
      <c r="J161" s="2839"/>
      <c r="K161" s="2839"/>
      <c r="L161" s="1515"/>
      <c r="M161" s="1208"/>
      <c r="N161" s="1208"/>
      <c r="O161" s="1208"/>
      <c r="P161" s="1114"/>
      <c r="Q161" s="1208"/>
      <c r="R161" s="1208"/>
      <c r="S161" s="1208"/>
    </row>
    <row r="162" spans="1:35" s="188" customFormat="1" ht="15.95" customHeight="1" x14ac:dyDescent="0.2">
      <c r="L162" s="1515"/>
      <c r="M162" s="1208"/>
      <c r="N162" s="1208"/>
      <c r="O162" s="1208"/>
      <c r="P162" s="1114"/>
      <c r="Q162" s="1208"/>
      <c r="R162" s="1208"/>
      <c r="S162" s="1208"/>
    </row>
    <row r="163" spans="1:35" s="188" customFormat="1" ht="48" hidden="1" customHeight="1" x14ac:dyDescent="0.25">
      <c r="A163" s="211"/>
      <c r="B163" s="2839" t="s">
        <v>4288</v>
      </c>
      <c r="C163" s="2839"/>
      <c r="D163" s="2839"/>
      <c r="E163" s="2839"/>
      <c r="F163" s="2839"/>
      <c r="G163" s="2839"/>
      <c r="H163" s="2839"/>
      <c r="I163" s="2839"/>
      <c r="J163" s="2839"/>
      <c r="K163" s="2839"/>
      <c r="L163" s="1515"/>
      <c r="M163" s="1208"/>
      <c r="N163" s="1208"/>
      <c r="O163" s="1208"/>
      <c r="P163" s="1114"/>
      <c r="Q163" s="1208"/>
      <c r="R163" s="1208"/>
      <c r="S163" s="1208"/>
    </row>
    <row r="164" spans="1:35" s="188" customFormat="1" ht="15.95" hidden="1" customHeight="1" x14ac:dyDescent="0.2">
      <c r="L164" s="1515"/>
      <c r="M164" s="1208"/>
      <c r="N164" s="1208"/>
      <c r="O164" s="1208"/>
      <c r="P164" s="1114"/>
      <c r="Q164" s="1208"/>
      <c r="R164" s="1208"/>
      <c r="S164" s="1208"/>
    </row>
    <row r="165" spans="1:35" s="188" customFormat="1" ht="15.95" hidden="1" customHeight="1" x14ac:dyDescent="0.25">
      <c r="A165" s="766"/>
      <c r="B165" s="2875" t="s">
        <v>1500</v>
      </c>
      <c r="C165" s="2875"/>
      <c r="D165" s="2875"/>
      <c r="E165" s="2875"/>
      <c r="F165" s="2875"/>
      <c r="G165" s="2875"/>
      <c r="H165" s="2875"/>
      <c r="I165" s="2875"/>
      <c r="J165" s="2875"/>
      <c r="K165" s="2875"/>
      <c r="L165" s="1515"/>
      <c r="M165" s="1208"/>
      <c r="N165" s="1208"/>
      <c r="O165" s="1208"/>
      <c r="P165" s="1114"/>
      <c r="Q165" s="1208"/>
      <c r="R165" s="1208"/>
      <c r="S165" s="1208"/>
    </row>
    <row r="166" spans="1:35" s="188" customFormat="1" ht="15.95" hidden="1" customHeight="1" x14ac:dyDescent="0.2">
      <c r="A166" s="878"/>
      <c r="B166" s="878"/>
      <c r="C166" s="878"/>
      <c r="D166" s="878"/>
      <c r="E166" s="878"/>
      <c r="F166" s="878"/>
      <c r="G166" s="878"/>
      <c r="H166" s="878"/>
      <c r="I166" s="878"/>
      <c r="J166" s="878"/>
      <c r="K166" s="878"/>
      <c r="L166" s="1515"/>
      <c r="M166" s="1208"/>
      <c r="N166" s="1208"/>
      <c r="O166" s="1208"/>
      <c r="P166" s="1114"/>
      <c r="Q166" s="1208"/>
      <c r="R166" s="1208"/>
      <c r="S166" s="1208"/>
    </row>
    <row r="167" spans="1:35" s="188" customFormat="1" ht="32.1" hidden="1" customHeight="1" x14ac:dyDescent="0.25">
      <c r="A167" s="766"/>
      <c r="B167" s="2841" t="s">
        <v>1499</v>
      </c>
      <c r="C167" s="2841"/>
      <c r="D167" s="2841"/>
      <c r="E167" s="2841"/>
      <c r="F167" s="2841"/>
      <c r="G167" s="2841"/>
      <c r="H167" s="2841"/>
      <c r="I167" s="2841"/>
      <c r="J167" s="2841"/>
      <c r="K167" s="2841"/>
      <c r="L167" s="1515"/>
      <c r="M167" s="1208"/>
      <c r="N167" s="1208"/>
      <c r="O167" s="1208"/>
      <c r="P167" s="1114"/>
      <c r="Q167" s="1208"/>
      <c r="R167" s="1208"/>
      <c r="S167" s="1208"/>
    </row>
    <row r="168" spans="1:35" s="188" customFormat="1" ht="15.95" hidden="1" customHeight="1" x14ac:dyDescent="0.2">
      <c r="A168" s="878"/>
      <c r="B168" s="878"/>
      <c r="C168" s="878"/>
      <c r="D168" s="878"/>
      <c r="E168" s="878"/>
      <c r="F168" s="878"/>
      <c r="G168" s="878"/>
      <c r="H168" s="878"/>
      <c r="I168" s="878"/>
      <c r="J168" s="878"/>
      <c r="K168" s="878"/>
      <c r="L168" s="1515"/>
      <c r="M168" s="1208"/>
      <c r="N168" s="1208"/>
      <c r="O168" s="1208"/>
      <c r="P168" s="1114"/>
      <c r="Q168" s="1208"/>
      <c r="R168" s="1208"/>
      <c r="S168" s="1208"/>
      <c r="AC168" s="1243"/>
    </row>
    <row r="169" spans="1:35" s="188" customFormat="1" ht="15.95" hidden="1" customHeight="1" x14ac:dyDescent="0.25">
      <c r="A169" s="766"/>
      <c r="B169" s="2875" t="s">
        <v>2278</v>
      </c>
      <c r="C169" s="2875"/>
      <c r="D169" s="2875"/>
      <c r="E169" s="2875"/>
      <c r="F169" s="2875"/>
      <c r="G169" s="2875"/>
      <c r="H169" s="2875"/>
      <c r="I169" s="2875"/>
      <c r="J169" s="2875"/>
      <c r="K169" s="2875"/>
      <c r="L169" s="1515"/>
      <c r="M169" s="1208"/>
      <c r="N169" s="1208"/>
      <c r="O169" s="1208"/>
      <c r="P169" s="1114"/>
      <c r="Q169" s="1208"/>
      <c r="R169" s="1208"/>
      <c r="S169" s="1208"/>
      <c r="T169" s="1243"/>
      <c r="U169" s="1243"/>
      <c r="V169" s="1243"/>
      <c r="W169" s="1243"/>
      <c r="X169" s="1243"/>
      <c r="Y169" s="1243"/>
      <c r="Z169" s="1243"/>
      <c r="AA169" s="1243"/>
      <c r="AB169" s="1243"/>
      <c r="AC169" s="1243"/>
      <c r="AD169" s="1243"/>
      <c r="AE169" s="1243"/>
      <c r="AF169" s="1243"/>
    </row>
    <row r="170" spans="1:35" s="188" customFormat="1" ht="15.95" hidden="1" customHeight="1" x14ac:dyDescent="0.2">
      <c r="A170" s="878"/>
      <c r="B170" s="878"/>
      <c r="C170" s="878"/>
      <c r="D170" s="878"/>
      <c r="E170" s="878"/>
      <c r="F170" s="878"/>
      <c r="G170" s="878"/>
      <c r="H170" s="878"/>
      <c r="I170" s="878"/>
      <c r="J170" s="878"/>
      <c r="K170" s="878"/>
      <c r="L170" s="1515"/>
      <c r="M170" s="1208"/>
      <c r="N170" s="1208"/>
      <c r="O170" s="1208"/>
      <c r="P170" s="1114"/>
      <c r="Q170" s="1208"/>
      <c r="R170" s="1208"/>
      <c r="S170" s="1208"/>
      <c r="T170" s="1243"/>
      <c r="U170" s="1243"/>
      <c r="V170" s="1243"/>
      <c r="W170" s="1243"/>
      <c r="X170" s="1243"/>
      <c r="Y170" s="1243"/>
      <c r="Z170" s="1243"/>
      <c r="AA170" s="1243"/>
      <c r="AB170" s="1243"/>
      <c r="AC170" s="1243"/>
      <c r="AD170" s="1243"/>
      <c r="AE170" s="1243"/>
      <c r="AF170" s="1243"/>
      <c r="AG170" s="1243"/>
      <c r="AH170" s="1243"/>
      <c r="AI170" s="1243"/>
    </row>
    <row r="171" spans="1:35" s="188" customFormat="1" ht="15.95" customHeight="1" x14ac:dyDescent="0.25">
      <c r="A171" s="211"/>
      <c r="B171" s="2839" t="s">
        <v>928</v>
      </c>
      <c r="C171" s="2839"/>
      <c r="D171" s="2839"/>
      <c r="E171" s="2839"/>
      <c r="F171" s="2839"/>
      <c r="G171" s="2839"/>
      <c r="H171" s="2839"/>
      <c r="I171" s="2839"/>
      <c r="J171" s="2839"/>
      <c r="K171" s="2839"/>
      <c r="L171" s="1515"/>
      <c r="M171" s="1208"/>
      <c r="N171" s="1208"/>
      <c r="O171" s="1208"/>
      <c r="P171" s="1114"/>
      <c r="Q171" s="1208"/>
      <c r="R171" s="1208"/>
      <c r="S171" s="1208"/>
      <c r="T171" s="1243"/>
      <c r="U171" s="1243"/>
      <c r="V171" s="1243"/>
      <c r="W171" s="1243"/>
      <c r="X171" s="1243"/>
      <c r="Y171" s="1243"/>
      <c r="Z171" s="1243"/>
      <c r="AA171" s="1243"/>
      <c r="AB171" s="1243"/>
      <c r="AC171" s="1243"/>
      <c r="AD171" s="1243"/>
      <c r="AE171" s="1243"/>
      <c r="AF171" s="1243"/>
      <c r="AG171" s="1243"/>
      <c r="AH171" s="1243"/>
      <c r="AI171" s="1243"/>
    </row>
    <row r="172" spans="1:35" s="188" customFormat="1" ht="15.95" customHeight="1" x14ac:dyDescent="0.2">
      <c r="L172" s="1515"/>
      <c r="M172" s="1208"/>
      <c r="N172" s="1208"/>
      <c r="O172" s="1208"/>
      <c r="P172" s="1114"/>
      <c r="Q172" s="1208"/>
      <c r="R172" s="1208"/>
      <c r="S172" s="1208"/>
      <c r="T172" s="1243"/>
      <c r="U172" s="1243"/>
      <c r="V172" s="1243"/>
      <c r="W172" s="1243"/>
      <c r="X172" s="1243"/>
      <c r="Y172" s="1243"/>
      <c r="Z172" s="1243"/>
      <c r="AA172" s="1243"/>
      <c r="AB172" s="1243"/>
      <c r="AC172" s="1243"/>
      <c r="AD172" s="1243"/>
      <c r="AE172" s="1243"/>
      <c r="AF172" s="1243"/>
      <c r="AG172" s="1243"/>
      <c r="AH172" s="1243"/>
      <c r="AI172" s="1243"/>
    </row>
  </sheetData>
  <mergeCells count="19">
    <mergeCell ref="B169:K169"/>
    <mergeCell ref="B171:K171"/>
    <mergeCell ref="B165:K165"/>
    <mergeCell ref="B148:K148"/>
    <mergeCell ref="B150:K150"/>
    <mergeCell ref="B167:K167"/>
    <mergeCell ref="B163:K163"/>
    <mergeCell ref="B152:K152"/>
    <mergeCell ref="B159:K159"/>
    <mergeCell ref="B161:K161"/>
    <mergeCell ref="A1:K1"/>
    <mergeCell ref="A2:K2"/>
    <mergeCell ref="B155:K155"/>
    <mergeCell ref="B157:K157"/>
    <mergeCell ref="B154:K154"/>
    <mergeCell ref="A10:B10"/>
    <mergeCell ref="A81:B81"/>
    <mergeCell ref="B156:K156"/>
    <mergeCell ref="B153:K153"/>
  </mergeCells>
  <phoneticPr fontId="0" type="noConversion"/>
  <conditionalFormatting sqref="C145:K145 C74:K74">
    <cfRule type="cellIs" dxfId="51" priority="5" stopIfTrue="1" operator="between">
      <formula>0.001</formula>
      <formula>-0.001</formula>
    </cfRule>
  </conditionalFormatting>
  <printOptions horizontalCentered="1"/>
  <pageMargins left="0.39370078740157483" right="0.39370078740157483" top="0.39370078740157483" bottom="0.39370078740157483" header="0.19685039370078741" footer="0.19685039370078741"/>
  <pageSetup paperSize="9" scale="55" firstPageNumber="59" orientation="portrait" r:id="rId1"/>
  <headerFooter alignWithMargins="0"/>
  <rowBreaks count="1" manualBreakCount="1">
    <brk id="17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129</vt:i4>
      </vt:variant>
    </vt:vector>
  </HeadingPairs>
  <TitlesOfParts>
    <vt:vector size="158" baseType="lpstr">
      <vt:lpstr>Parameters</vt:lpstr>
      <vt:lpstr>AFS Structure</vt:lpstr>
      <vt:lpstr>Fin Pos</vt:lpstr>
      <vt:lpstr>Fin Perform</vt:lpstr>
      <vt:lpstr>Net Assets</vt:lpstr>
      <vt:lpstr>Cash Flow</vt:lpstr>
      <vt:lpstr>Budget Statement</vt:lpstr>
      <vt:lpstr>Notes I</vt:lpstr>
      <vt:lpstr>PPE Note</vt:lpstr>
      <vt:lpstr>Notes II</vt:lpstr>
      <vt:lpstr>Fin Instruments - Continued</vt:lpstr>
      <vt:lpstr>Notes III</vt:lpstr>
      <vt:lpstr>APPENDIX A</vt:lpstr>
      <vt:lpstr>APPENDIX B</vt:lpstr>
      <vt:lpstr>APPENDIX C</vt:lpstr>
      <vt:lpstr>APPENDIX D</vt:lpstr>
      <vt:lpstr>APPENDIX E(1)</vt:lpstr>
      <vt:lpstr>APPENDIX E(2)</vt:lpstr>
      <vt:lpstr>APPENDIX F</vt:lpstr>
      <vt:lpstr>Internal Param</vt:lpstr>
      <vt:lpstr>Trial Balance - FPos</vt:lpstr>
      <vt:lpstr>Trial Balance - FPer</vt:lpstr>
      <vt:lpstr>2012 - TB</vt:lpstr>
      <vt:lpstr>2011 - TB</vt:lpstr>
      <vt:lpstr>2012 Budget</vt:lpstr>
      <vt:lpstr>2011 Budget</vt:lpstr>
      <vt:lpstr>TB 16 Aug 2012</vt:lpstr>
      <vt:lpstr>Original Budget</vt:lpstr>
      <vt:lpstr>TB 1 Sep 2012</vt:lpstr>
      <vt:lpstr>Afs_Type</vt:lpstr>
      <vt:lpstr>AppendixA</vt:lpstr>
      <vt:lpstr>AppendixB</vt:lpstr>
      <vt:lpstr>AppendixC</vt:lpstr>
      <vt:lpstr>AppendixD</vt:lpstr>
      <vt:lpstr>AppendixE1</vt:lpstr>
      <vt:lpstr>AppendixE2</vt:lpstr>
      <vt:lpstr>AppendixF</vt:lpstr>
      <vt:lpstr>'Fin Instruments - Continued'!Base</vt:lpstr>
      <vt:lpstr>Base</vt:lpstr>
      <vt:lpstr>'Fin Instruments - Continued'!Current</vt:lpstr>
      <vt:lpstr>Current</vt:lpstr>
      <vt:lpstr>Fin_Year</vt:lpstr>
      <vt:lpstr>FinPerf_Type</vt:lpstr>
      <vt:lpstr>FinPos_Type</vt:lpstr>
      <vt:lpstr>Input_Sign</vt:lpstr>
      <vt:lpstr>Note1</vt:lpstr>
      <vt:lpstr>Note10</vt:lpstr>
      <vt:lpstr>Note11</vt:lpstr>
      <vt:lpstr>Note12</vt:lpstr>
      <vt:lpstr>NOTE12B</vt:lpstr>
      <vt:lpstr>Note13</vt:lpstr>
      <vt:lpstr>Note14</vt:lpstr>
      <vt:lpstr>Note15</vt:lpstr>
      <vt:lpstr>Note16</vt:lpstr>
      <vt:lpstr>Note17</vt:lpstr>
      <vt:lpstr>Note18</vt:lpstr>
      <vt:lpstr>Note19</vt:lpstr>
      <vt:lpstr>Note2</vt:lpstr>
      <vt:lpstr>Note20</vt:lpstr>
      <vt:lpstr>Note21</vt:lpstr>
      <vt:lpstr>Note22</vt:lpstr>
      <vt:lpstr>Note23</vt:lpstr>
      <vt:lpstr>Note24</vt:lpstr>
      <vt:lpstr>Note25</vt:lpstr>
      <vt:lpstr>Note26</vt:lpstr>
      <vt:lpstr>Note27</vt:lpstr>
      <vt:lpstr>Note28</vt:lpstr>
      <vt:lpstr>Note29</vt:lpstr>
      <vt:lpstr>Note3</vt:lpstr>
      <vt:lpstr>Note30</vt:lpstr>
      <vt:lpstr>Note31</vt:lpstr>
      <vt:lpstr>Note32</vt:lpstr>
      <vt:lpstr>Note33</vt:lpstr>
      <vt:lpstr>Note34</vt:lpstr>
      <vt:lpstr>Note35</vt:lpstr>
      <vt:lpstr>Note36</vt:lpstr>
      <vt:lpstr>Note37</vt:lpstr>
      <vt:lpstr>Note38</vt:lpstr>
      <vt:lpstr>Note39</vt:lpstr>
      <vt:lpstr>Note4</vt:lpstr>
      <vt:lpstr>Note40</vt:lpstr>
      <vt:lpstr>Note41</vt:lpstr>
      <vt:lpstr>Note42</vt:lpstr>
      <vt:lpstr>Note43</vt:lpstr>
      <vt:lpstr>Note44</vt:lpstr>
      <vt:lpstr>Note45</vt:lpstr>
      <vt:lpstr>Note46</vt:lpstr>
      <vt:lpstr>Note47</vt:lpstr>
      <vt:lpstr>Note48</vt:lpstr>
      <vt:lpstr>Note49</vt:lpstr>
      <vt:lpstr>Note5</vt:lpstr>
      <vt:lpstr>Note50</vt:lpstr>
      <vt:lpstr>Note51</vt:lpstr>
      <vt:lpstr>Note52</vt:lpstr>
      <vt:lpstr>Note53</vt:lpstr>
      <vt:lpstr>Note54</vt:lpstr>
      <vt:lpstr>Note55</vt:lpstr>
      <vt:lpstr>Note56</vt:lpstr>
      <vt:lpstr>Note57</vt:lpstr>
      <vt:lpstr>Note58</vt:lpstr>
      <vt:lpstr>Note59</vt:lpstr>
      <vt:lpstr>Note6</vt:lpstr>
      <vt:lpstr>'Fin Instruments - Continued'!Note61</vt:lpstr>
      <vt:lpstr>Note61</vt:lpstr>
      <vt:lpstr>Note62</vt:lpstr>
      <vt:lpstr>Note63</vt:lpstr>
      <vt:lpstr>Note64</vt:lpstr>
      <vt:lpstr>Note65</vt:lpstr>
      <vt:lpstr>Note67</vt:lpstr>
      <vt:lpstr>Note68</vt:lpstr>
      <vt:lpstr>Note69</vt:lpstr>
      <vt:lpstr>Note7</vt:lpstr>
      <vt:lpstr>Note70</vt:lpstr>
      <vt:lpstr>Note71</vt:lpstr>
      <vt:lpstr>Note8</vt:lpstr>
      <vt:lpstr>Note9</vt:lpstr>
      <vt:lpstr>Output_Col</vt:lpstr>
      <vt:lpstr>'2012 - TB'!PF0812_</vt:lpstr>
      <vt:lpstr>'TB 16 Aug 2012'!PF0816_</vt:lpstr>
      <vt:lpstr>'2012 Budget'!PM2906_</vt:lpstr>
      <vt:lpstr>'APPENDIX A'!Print_Area</vt:lpstr>
      <vt:lpstr>'APPENDIX B'!Print_Area</vt:lpstr>
      <vt:lpstr>'APPENDIX C'!Print_Area</vt:lpstr>
      <vt:lpstr>'APPENDIX D'!Print_Area</vt:lpstr>
      <vt:lpstr>'APPENDIX E(1)'!Print_Area</vt:lpstr>
      <vt:lpstr>'APPENDIX E(2)'!Print_Area</vt:lpstr>
      <vt:lpstr>'APPENDIX F'!Print_Area</vt:lpstr>
      <vt:lpstr>'Budget Statement'!Print_Area</vt:lpstr>
      <vt:lpstr>'Cash Flow'!Print_Area</vt:lpstr>
      <vt:lpstr>'Fin Instruments - Continued'!Print_Area</vt:lpstr>
      <vt:lpstr>'Fin Perform'!Print_Area</vt:lpstr>
      <vt:lpstr>'Fin Pos'!Print_Area</vt:lpstr>
      <vt:lpstr>'Net Assets'!Print_Area</vt:lpstr>
      <vt:lpstr>'Notes I'!Print_Area</vt:lpstr>
      <vt:lpstr>'Notes II'!Print_Area</vt:lpstr>
      <vt:lpstr>'Notes III'!Print_Area</vt:lpstr>
      <vt:lpstr>'PPE Note'!Print_Area</vt:lpstr>
      <vt:lpstr>'APPENDIX A'!Print_Titles</vt:lpstr>
      <vt:lpstr>'APPENDIX B'!Print_Titles</vt:lpstr>
      <vt:lpstr>'APPENDIX C'!Print_Titles</vt:lpstr>
      <vt:lpstr>'APPENDIX D'!Print_Titles</vt:lpstr>
      <vt:lpstr>'APPENDIX E(1)'!Print_Titles</vt:lpstr>
      <vt:lpstr>'APPENDIX E(2)'!Print_Titles</vt:lpstr>
      <vt:lpstr>'APPENDIX F'!Print_Titles</vt:lpstr>
      <vt:lpstr>'Fin Instruments - Continued'!Print_Titles</vt:lpstr>
      <vt:lpstr>'Notes I'!Print_Titles</vt:lpstr>
      <vt:lpstr>'Notes II'!Print_Titles</vt:lpstr>
      <vt:lpstr>'Notes III'!Print_Titles</vt:lpstr>
      <vt:lpstr>'PPE Note'!Print_Titles</vt:lpstr>
      <vt:lpstr>'Fin Instruments - Continued'!Prior</vt:lpstr>
      <vt:lpstr>Prior</vt:lpstr>
      <vt:lpstr>'Fin Instruments - Continued'!PriorYear</vt:lpstr>
      <vt:lpstr>PriorYear</vt:lpstr>
      <vt:lpstr>'Fin Instruments - Continued'!ProperMuni</vt:lpstr>
      <vt:lpstr>ProperMuni</vt:lpstr>
      <vt:lpstr>UpperMuni</vt:lpstr>
      <vt:lpstr>'Fin Instruments - Continued'!YearEnd</vt:lpstr>
      <vt:lpstr>YearEnd</vt:lpstr>
    </vt:vector>
  </TitlesOfParts>
  <Company>Stellenbosch Munisipaliteit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 van Niekerk</dc:creator>
  <cp:lastModifiedBy>Fikile Mhlafu</cp:lastModifiedBy>
  <cp:lastPrinted>2012-12-04T14:25:08Z</cp:lastPrinted>
  <dcterms:created xsi:type="dcterms:W3CDTF">1999-11-17T07:37:32Z</dcterms:created>
  <dcterms:modified xsi:type="dcterms:W3CDTF">2015-03-10T11:16:08Z</dcterms:modified>
</cp:coreProperties>
</file>